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xl/tables/table285.xml" ContentType="application/vnd.openxmlformats-officedocument.spreadsheetml.table+xml"/>
  <Override PartName="/xl/tables/table286.xml" ContentType="application/vnd.openxmlformats-officedocument.spreadsheetml.table+xml"/>
  <Override PartName="/xl/tables/table287.xml" ContentType="application/vnd.openxmlformats-officedocument.spreadsheetml.table+xml"/>
  <Override PartName="/xl/tables/table288.xml" ContentType="application/vnd.openxmlformats-officedocument.spreadsheetml.table+xml"/>
  <Override PartName="/xl/tables/table289.xml" ContentType="application/vnd.openxmlformats-officedocument.spreadsheetml.table+xml"/>
  <Override PartName="/xl/tables/table290.xml" ContentType="application/vnd.openxmlformats-officedocument.spreadsheetml.table+xml"/>
  <Override PartName="/xl/tables/table291.xml" ContentType="application/vnd.openxmlformats-officedocument.spreadsheetml.table+xml"/>
  <Override PartName="/xl/tables/table292.xml" ContentType="application/vnd.openxmlformats-officedocument.spreadsheetml.table+xml"/>
  <Override PartName="/xl/tables/table293.xml" ContentType="application/vnd.openxmlformats-officedocument.spreadsheetml.table+xml"/>
  <Override PartName="/xl/tables/table294.xml" ContentType="application/vnd.openxmlformats-officedocument.spreadsheetml.table+xml"/>
  <Override PartName="/xl/tables/table295.xml" ContentType="application/vnd.openxmlformats-officedocument.spreadsheetml.table+xml"/>
  <Override PartName="/xl/tables/table296.xml" ContentType="application/vnd.openxmlformats-officedocument.spreadsheetml.table+xml"/>
  <Override PartName="/xl/tables/table297.xml" ContentType="application/vnd.openxmlformats-officedocument.spreadsheetml.table+xml"/>
  <Override PartName="/xl/tables/table298.xml" ContentType="application/vnd.openxmlformats-officedocument.spreadsheetml.table+xml"/>
  <Override PartName="/xl/tables/table299.xml" ContentType="application/vnd.openxmlformats-officedocument.spreadsheetml.table+xml"/>
  <Override PartName="/xl/tables/table300.xml" ContentType="application/vnd.openxmlformats-officedocument.spreadsheetml.table+xml"/>
  <Override PartName="/xl/tables/table301.xml" ContentType="application/vnd.openxmlformats-officedocument.spreadsheetml.table+xml"/>
  <Override PartName="/xl/tables/table302.xml" ContentType="application/vnd.openxmlformats-officedocument.spreadsheetml.table+xml"/>
  <Override PartName="/xl/tables/table303.xml" ContentType="application/vnd.openxmlformats-officedocument.spreadsheetml.table+xml"/>
  <Override PartName="/xl/tables/table304.xml" ContentType="application/vnd.openxmlformats-officedocument.spreadsheetml.table+xml"/>
  <Override PartName="/xl/tables/table305.xml" ContentType="application/vnd.openxmlformats-officedocument.spreadsheetml.table+xml"/>
  <Override PartName="/xl/tables/table306.xml" ContentType="application/vnd.openxmlformats-officedocument.spreadsheetml.table+xml"/>
  <Override PartName="/xl/tables/table307.xml" ContentType="application/vnd.openxmlformats-officedocument.spreadsheetml.table+xml"/>
  <Override PartName="/xl/tables/table308.xml" ContentType="application/vnd.openxmlformats-officedocument.spreadsheetml.table+xml"/>
  <Override PartName="/xl/tables/table309.xml" ContentType="application/vnd.openxmlformats-officedocument.spreadsheetml.table+xml"/>
  <Override PartName="/xl/tables/table310.xml" ContentType="application/vnd.openxmlformats-officedocument.spreadsheetml.table+xml"/>
  <Override PartName="/xl/tables/table311.xml" ContentType="application/vnd.openxmlformats-officedocument.spreadsheetml.table+xml"/>
  <Override PartName="/xl/tables/table312.xml" ContentType="application/vnd.openxmlformats-officedocument.spreadsheetml.table+xml"/>
  <Override PartName="/xl/tables/table313.xml" ContentType="application/vnd.openxmlformats-officedocument.spreadsheetml.table+xml"/>
  <Override PartName="/xl/tables/table314.xml" ContentType="application/vnd.openxmlformats-officedocument.spreadsheetml.table+xml"/>
  <Override PartName="/xl/tables/table315.xml" ContentType="application/vnd.openxmlformats-officedocument.spreadsheetml.table+xml"/>
  <Override PartName="/xl/tables/table316.xml" ContentType="application/vnd.openxmlformats-officedocument.spreadsheetml.table+xml"/>
  <Override PartName="/xl/tables/table317.xml" ContentType="application/vnd.openxmlformats-officedocument.spreadsheetml.table+xml"/>
  <Override PartName="/xl/tables/table318.xml" ContentType="application/vnd.openxmlformats-officedocument.spreadsheetml.table+xml"/>
  <Override PartName="/xl/tables/table319.xml" ContentType="application/vnd.openxmlformats-officedocument.spreadsheetml.table+xml"/>
  <Override PartName="/xl/tables/table320.xml" ContentType="application/vnd.openxmlformats-officedocument.spreadsheetml.table+xml"/>
  <Override PartName="/xl/tables/table321.xml" ContentType="application/vnd.openxmlformats-officedocument.spreadsheetml.table+xml"/>
  <Override PartName="/xl/tables/table322.xml" ContentType="application/vnd.openxmlformats-officedocument.spreadsheetml.table+xml"/>
  <Override PartName="/xl/tables/table323.xml" ContentType="application/vnd.openxmlformats-officedocument.spreadsheetml.table+xml"/>
  <Override PartName="/xl/tables/table324.xml" ContentType="application/vnd.openxmlformats-officedocument.spreadsheetml.table+xml"/>
  <Override PartName="/xl/tables/table325.xml" ContentType="application/vnd.openxmlformats-officedocument.spreadsheetml.table+xml"/>
  <Override PartName="/xl/tables/table326.xml" ContentType="application/vnd.openxmlformats-officedocument.spreadsheetml.table+xml"/>
  <Override PartName="/xl/tables/table327.xml" ContentType="application/vnd.openxmlformats-officedocument.spreadsheetml.table+xml"/>
  <Override PartName="/xl/tables/table328.xml" ContentType="application/vnd.openxmlformats-officedocument.spreadsheetml.table+xml"/>
  <Override PartName="/xl/tables/table329.xml" ContentType="application/vnd.openxmlformats-officedocument.spreadsheetml.table+xml"/>
  <Override PartName="/xl/tables/table330.xml" ContentType="application/vnd.openxmlformats-officedocument.spreadsheetml.table+xml"/>
  <Override PartName="/xl/tables/table331.xml" ContentType="application/vnd.openxmlformats-officedocument.spreadsheetml.table+xml"/>
  <Override PartName="/xl/tables/table332.xml" ContentType="application/vnd.openxmlformats-officedocument.spreadsheetml.table+xml"/>
  <Override PartName="/xl/tables/table333.xml" ContentType="application/vnd.openxmlformats-officedocument.spreadsheetml.table+xml"/>
  <Override PartName="/xl/tables/table334.xml" ContentType="application/vnd.openxmlformats-officedocument.spreadsheetml.table+xml"/>
  <Override PartName="/xl/tables/table335.xml" ContentType="application/vnd.openxmlformats-officedocument.spreadsheetml.table+xml"/>
  <Override PartName="/xl/tables/table336.xml" ContentType="application/vnd.openxmlformats-officedocument.spreadsheetml.table+xml"/>
  <Override PartName="/xl/tables/table337.xml" ContentType="application/vnd.openxmlformats-officedocument.spreadsheetml.table+xml"/>
  <Override PartName="/xl/tables/table338.xml" ContentType="application/vnd.openxmlformats-officedocument.spreadsheetml.table+xml"/>
  <Override PartName="/xl/tables/table339.xml" ContentType="application/vnd.openxmlformats-officedocument.spreadsheetml.table+xml"/>
  <Override PartName="/xl/tables/table340.xml" ContentType="application/vnd.openxmlformats-officedocument.spreadsheetml.table+xml"/>
  <Override PartName="/xl/tables/table341.xml" ContentType="application/vnd.openxmlformats-officedocument.spreadsheetml.table+xml"/>
  <Override PartName="/xl/tables/table342.xml" ContentType="application/vnd.openxmlformats-officedocument.spreadsheetml.table+xml"/>
  <Override PartName="/xl/tables/table343.xml" ContentType="application/vnd.openxmlformats-officedocument.spreadsheetml.table+xml"/>
  <Override PartName="/xl/tables/table344.xml" ContentType="application/vnd.openxmlformats-officedocument.spreadsheetml.table+xml"/>
  <Override PartName="/xl/tables/table345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seyconnaway/Desktop/MLBC/MLBC_1_STAT BOOK owner/"/>
    </mc:Choice>
  </mc:AlternateContent>
  <xr:revisionPtr revIDLastSave="0" documentId="8_{8482BCA4-0B1A-9847-A902-B75EAD5A01FC}" xr6:coauthVersionLast="47" xr6:coauthVersionMax="47" xr10:uidLastSave="{00000000-0000-0000-0000-000000000000}"/>
  <bookViews>
    <workbookView xWindow="-43220" yWindow="-1720" windowWidth="39480" windowHeight="14920" firstSheet="3" activeTab="3" xr2:uid="{00000000-000D-0000-FFFF-FFFF00000000}"/>
  </bookViews>
  <sheets>
    <sheet name="STANDINGS 2024" sheetId="3" r:id="rId1"/>
    <sheet name="AL EAST 2024" sheetId="4" r:id="rId2"/>
    <sheet name="AL CENTRAL 2024" sheetId="5" r:id="rId3"/>
    <sheet name="AL WEST 2024" sheetId="6" r:id="rId4"/>
    <sheet name="NL EAST 2024" sheetId="7" r:id="rId5"/>
    <sheet name="NL CENTRAL 2024" sheetId="8" r:id="rId6"/>
    <sheet name="NL WEST 2024" sheetId="9" r:id="rId7"/>
    <sheet name="AWARDS 2024" sheetId="30" r:id="rId8"/>
    <sheet name="MLB BATTING LEADERS 2024" sheetId="11" r:id="rId9"/>
    <sheet name="MLB PITCHING LEADERS 2024" sheetId="14" r:id="rId10"/>
    <sheet name="AL BATTING LEADERS 2024" sheetId="12" r:id="rId11"/>
    <sheet name="NL BATTING LEADERS 2024" sheetId="13" r:id="rId12"/>
    <sheet name="AL PITCHING LEADERS 2024" sheetId="15" r:id="rId13"/>
    <sheet name="NL PITCHING LEADERS 2024" sheetId="16" r:id="rId14"/>
    <sheet name="AL HITTERS 2024" sheetId="17" r:id="rId15"/>
    <sheet name="NL HITTERS 2024" sheetId="18" r:id="rId16"/>
    <sheet name="AL PITCHERS 2024" sheetId="19" r:id="rId17"/>
    <sheet name="NL PITCHERS 2024" sheetId="20" r:id="rId18"/>
    <sheet name="TEAM STATS 2024" sheetId="21" r:id="rId19"/>
    <sheet name="SEASON RECORDS 2024" sheetId="22" r:id="rId20"/>
    <sheet name="ALL STARS 2024" sheetId="25" r:id="rId21"/>
    <sheet name="PLAYOFF HITTERS 2024" sheetId="23" r:id="rId22"/>
    <sheet name="PLAYOFF PITCHERS 2024" sheetId="24" r:id="rId23"/>
    <sheet name="AL SCHEDULE 2024" sheetId="26" r:id="rId24"/>
    <sheet name="NL SCHEDULE 2024" sheetId="29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2" i="20" l="1"/>
  <c r="I151" i="20"/>
  <c r="I150" i="20"/>
  <c r="I148" i="20"/>
  <c r="I149" i="20"/>
  <c r="I147" i="20"/>
  <c r="I146" i="20"/>
  <c r="I145" i="20"/>
  <c r="I144" i="20"/>
  <c r="I143" i="20"/>
  <c r="I142" i="20"/>
  <c r="I141" i="20"/>
  <c r="I140" i="20"/>
  <c r="I139" i="20"/>
  <c r="I138" i="20"/>
  <c r="I137" i="20"/>
  <c r="I136" i="20"/>
  <c r="I135" i="20"/>
  <c r="I134" i="20"/>
  <c r="I133" i="20"/>
  <c r="I132" i="20"/>
  <c r="I131" i="20"/>
  <c r="I130" i="20"/>
  <c r="I129" i="20"/>
  <c r="I128" i="20"/>
  <c r="I127" i="20"/>
  <c r="I126" i="20"/>
  <c r="I125" i="20"/>
  <c r="I124" i="20"/>
  <c r="I123" i="20"/>
  <c r="H123" i="20"/>
  <c r="I112" i="20"/>
  <c r="I115" i="20"/>
  <c r="I116" i="20"/>
  <c r="I118" i="20"/>
  <c r="I117" i="20"/>
  <c r="I120" i="20"/>
  <c r="I121" i="20"/>
  <c r="I119" i="20"/>
  <c r="I122" i="20"/>
  <c r="AN81" i="25" l="1"/>
  <c r="AM81" i="25"/>
  <c r="AK81" i="25"/>
  <c r="AJ81" i="25"/>
  <c r="AI81" i="25"/>
  <c r="AH81" i="25"/>
  <c r="AG81" i="25"/>
  <c r="AF81" i="25"/>
  <c r="AD81" i="25"/>
  <c r="AC81" i="25"/>
  <c r="AL80" i="25"/>
  <c r="AB80" i="25"/>
  <c r="AL79" i="25"/>
  <c r="AB79" i="25"/>
  <c r="AL78" i="25"/>
  <c r="AB78" i="25"/>
  <c r="AL77" i="25"/>
  <c r="AB77" i="25"/>
  <c r="AL76" i="25"/>
  <c r="AB76" i="25"/>
  <c r="AL75" i="25"/>
  <c r="AB75" i="25"/>
  <c r="AL74" i="25"/>
  <c r="AB74" i="25"/>
  <c r="AL73" i="25"/>
  <c r="AB73" i="25"/>
  <c r="AL72" i="25"/>
  <c r="AB72" i="25"/>
  <c r="AL71" i="25"/>
  <c r="AB71" i="25"/>
  <c r="AL70" i="25"/>
  <c r="AB70" i="25"/>
  <c r="AL69" i="25"/>
  <c r="AB69" i="25"/>
  <c r="R139" i="20"/>
  <c r="Q139" i="20"/>
  <c r="P139" i="20"/>
  <c r="O139" i="20"/>
  <c r="M139" i="20"/>
  <c r="L139" i="20"/>
  <c r="K139" i="20"/>
  <c r="J139" i="20"/>
  <c r="H139" i="20"/>
  <c r="G139" i="20"/>
  <c r="F139" i="20"/>
  <c r="E139" i="20"/>
  <c r="R68" i="20"/>
  <c r="Q68" i="20"/>
  <c r="P68" i="20"/>
  <c r="O68" i="20"/>
  <c r="M68" i="20"/>
  <c r="L68" i="20"/>
  <c r="K68" i="20"/>
  <c r="J68" i="20"/>
  <c r="I68" i="20"/>
  <c r="H68" i="20"/>
  <c r="G68" i="20"/>
  <c r="F68" i="20"/>
  <c r="E68" i="20"/>
  <c r="R10" i="20"/>
  <c r="Q10" i="20"/>
  <c r="P10" i="20"/>
  <c r="O10" i="20"/>
  <c r="M10" i="20"/>
  <c r="L10" i="20"/>
  <c r="K10" i="20"/>
  <c r="J10" i="20"/>
  <c r="I10" i="20"/>
  <c r="H10" i="20"/>
  <c r="G10" i="20"/>
  <c r="F10" i="20"/>
  <c r="E10" i="20"/>
  <c r="R129" i="20"/>
  <c r="Q129" i="20"/>
  <c r="P129" i="20"/>
  <c r="O129" i="20"/>
  <c r="M129" i="20"/>
  <c r="L129" i="20"/>
  <c r="K129" i="20"/>
  <c r="J129" i="20"/>
  <c r="H129" i="20"/>
  <c r="G129" i="20"/>
  <c r="F129" i="20"/>
  <c r="E129" i="20"/>
  <c r="R48" i="20"/>
  <c r="Q48" i="20"/>
  <c r="P48" i="20"/>
  <c r="O48" i="20"/>
  <c r="M48" i="20"/>
  <c r="L48" i="20"/>
  <c r="K48" i="20"/>
  <c r="J48" i="20"/>
  <c r="I48" i="20"/>
  <c r="H48" i="20"/>
  <c r="G48" i="20"/>
  <c r="F48" i="20"/>
  <c r="E48" i="20"/>
  <c r="R108" i="20"/>
  <c r="Q108" i="20"/>
  <c r="P108" i="20"/>
  <c r="O108" i="20"/>
  <c r="M108" i="20"/>
  <c r="L108" i="20"/>
  <c r="K108" i="20"/>
  <c r="J108" i="20"/>
  <c r="I108" i="20"/>
  <c r="H108" i="20"/>
  <c r="G108" i="20"/>
  <c r="F108" i="20"/>
  <c r="E108" i="20"/>
  <c r="R79" i="20"/>
  <c r="Q79" i="20"/>
  <c r="P79" i="20"/>
  <c r="O79" i="20"/>
  <c r="M79" i="20"/>
  <c r="L79" i="20"/>
  <c r="K79" i="20"/>
  <c r="J79" i="20"/>
  <c r="I79" i="20"/>
  <c r="H79" i="20"/>
  <c r="G79" i="20"/>
  <c r="F79" i="20"/>
  <c r="E79" i="20"/>
  <c r="R117" i="20"/>
  <c r="Q117" i="20"/>
  <c r="P117" i="20"/>
  <c r="O117" i="20"/>
  <c r="M117" i="20"/>
  <c r="L117" i="20"/>
  <c r="K117" i="20"/>
  <c r="J117" i="20"/>
  <c r="H117" i="20"/>
  <c r="G117" i="20"/>
  <c r="F117" i="20"/>
  <c r="E117" i="20"/>
  <c r="R38" i="20"/>
  <c r="Q38" i="20"/>
  <c r="P38" i="20"/>
  <c r="O38" i="20"/>
  <c r="M38" i="20"/>
  <c r="L38" i="20"/>
  <c r="K38" i="20"/>
  <c r="J38" i="20"/>
  <c r="I38" i="20"/>
  <c r="H38" i="20"/>
  <c r="G38" i="20"/>
  <c r="F38" i="20"/>
  <c r="E38" i="20"/>
  <c r="R140" i="20"/>
  <c r="Q140" i="20"/>
  <c r="P140" i="20"/>
  <c r="O140" i="20"/>
  <c r="M140" i="20"/>
  <c r="L140" i="20"/>
  <c r="K140" i="20"/>
  <c r="J140" i="20"/>
  <c r="H140" i="20"/>
  <c r="G140" i="20"/>
  <c r="F140" i="20"/>
  <c r="E140" i="20"/>
  <c r="R78" i="20"/>
  <c r="Q78" i="20"/>
  <c r="P78" i="20"/>
  <c r="O78" i="20"/>
  <c r="M78" i="20"/>
  <c r="L78" i="20"/>
  <c r="K78" i="20"/>
  <c r="J78" i="20"/>
  <c r="I78" i="20"/>
  <c r="H78" i="20"/>
  <c r="G78" i="20"/>
  <c r="F78" i="20"/>
  <c r="E78" i="20"/>
  <c r="R118" i="20"/>
  <c r="Q118" i="20"/>
  <c r="P118" i="20"/>
  <c r="O118" i="20"/>
  <c r="M118" i="20"/>
  <c r="L118" i="20"/>
  <c r="K118" i="20"/>
  <c r="J118" i="20"/>
  <c r="H118" i="20"/>
  <c r="G118" i="20"/>
  <c r="F118" i="20"/>
  <c r="E118" i="20"/>
  <c r="R39" i="20"/>
  <c r="Q39" i="20"/>
  <c r="P39" i="20"/>
  <c r="O39" i="20"/>
  <c r="M39" i="20"/>
  <c r="L39" i="20"/>
  <c r="K39" i="20"/>
  <c r="J39" i="20"/>
  <c r="I39" i="20"/>
  <c r="H39" i="20"/>
  <c r="G39" i="20"/>
  <c r="F39" i="20"/>
  <c r="E39" i="20"/>
  <c r="R58" i="20"/>
  <c r="Q58" i="20"/>
  <c r="P58" i="20"/>
  <c r="O58" i="20"/>
  <c r="M58" i="20"/>
  <c r="L58" i="20"/>
  <c r="K58" i="20"/>
  <c r="J58" i="20"/>
  <c r="I58" i="20"/>
  <c r="H58" i="20"/>
  <c r="G58" i="20"/>
  <c r="F58" i="20"/>
  <c r="E58" i="20"/>
  <c r="R27" i="20"/>
  <c r="Q27" i="20"/>
  <c r="P27" i="20"/>
  <c r="O27" i="20"/>
  <c r="M27" i="20"/>
  <c r="L27" i="20"/>
  <c r="K27" i="20"/>
  <c r="J27" i="20"/>
  <c r="I27" i="20"/>
  <c r="H27" i="20"/>
  <c r="G27" i="20"/>
  <c r="F27" i="20"/>
  <c r="E27" i="20"/>
  <c r="R50" i="20"/>
  <c r="Q50" i="20"/>
  <c r="P50" i="20"/>
  <c r="O50" i="20"/>
  <c r="M50" i="20"/>
  <c r="L50" i="20"/>
  <c r="K50" i="20"/>
  <c r="J50" i="20"/>
  <c r="I50" i="20"/>
  <c r="H50" i="20"/>
  <c r="G50" i="20"/>
  <c r="F50" i="20"/>
  <c r="E50" i="20"/>
  <c r="R19" i="20"/>
  <c r="Q19" i="20"/>
  <c r="P19" i="20"/>
  <c r="O19" i="20"/>
  <c r="M19" i="20"/>
  <c r="L19" i="20"/>
  <c r="K19" i="20"/>
  <c r="J19" i="20"/>
  <c r="I19" i="20"/>
  <c r="H19" i="20"/>
  <c r="G19" i="20"/>
  <c r="F19" i="20"/>
  <c r="E19" i="20"/>
  <c r="R127" i="20"/>
  <c r="Q127" i="20"/>
  <c r="P127" i="20"/>
  <c r="O127" i="20"/>
  <c r="M127" i="20"/>
  <c r="L127" i="20"/>
  <c r="K127" i="20"/>
  <c r="J127" i="20"/>
  <c r="H127" i="20"/>
  <c r="G127" i="20"/>
  <c r="F127" i="20"/>
  <c r="E127" i="20"/>
  <c r="R52" i="20"/>
  <c r="Q52" i="20"/>
  <c r="P52" i="20"/>
  <c r="O52" i="20"/>
  <c r="M52" i="20"/>
  <c r="L52" i="20"/>
  <c r="K52" i="20"/>
  <c r="J52" i="20"/>
  <c r="I52" i="20"/>
  <c r="H52" i="20"/>
  <c r="G52" i="20"/>
  <c r="F52" i="20"/>
  <c r="E52" i="20"/>
  <c r="R149" i="20"/>
  <c r="Q149" i="20"/>
  <c r="P149" i="20"/>
  <c r="O149" i="20"/>
  <c r="M149" i="20"/>
  <c r="L149" i="20"/>
  <c r="K149" i="20"/>
  <c r="J149" i="20"/>
  <c r="H149" i="20"/>
  <c r="G149" i="20"/>
  <c r="F149" i="20"/>
  <c r="E149" i="20"/>
  <c r="R147" i="20"/>
  <c r="Q147" i="20"/>
  <c r="P147" i="20"/>
  <c r="O147" i="20"/>
  <c r="M147" i="20"/>
  <c r="L147" i="20"/>
  <c r="K147" i="20"/>
  <c r="J147" i="20"/>
  <c r="H147" i="20"/>
  <c r="G147" i="20"/>
  <c r="F147" i="20"/>
  <c r="E147" i="20"/>
  <c r="R87" i="20"/>
  <c r="Q87" i="20"/>
  <c r="P87" i="20"/>
  <c r="O87" i="20"/>
  <c r="M87" i="20"/>
  <c r="L87" i="20"/>
  <c r="K87" i="20"/>
  <c r="J87" i="20"/>
  <c r="I87" i="20"/>
  <c r="H87" i="20"/>
  <c r="G87" i="20"/>
  <c r="F87" i="20"/>
  <c r="E87" i="20"/>
  <c r="R12" i="20"/>
  <c r="Q12" i="20"/>
  <c r="P12" i="20"/>
  <c r="O12" i="20"/>
  <c r="M12" i="20"/>
  <c r="L12" i="20"/>
  <c r="K12" i="20"/>
  <c r="J12" i="20"/>
  <c r="I12" i="20"/>
  <c r="H12" i="20"/>
  <c r="G12" i="20"/>
  <c r="F12" i="20"/>
  <c r="E12" i="20"/>
  <c r="R18" i="20"/>
  <c r="Q18" i="20"/>
  <c r="P18" i="20"/>
  <c r="O18" i="20"/>
  <c r="M18" i="20"/>
  <c r="L18" i="20"/>
  <c r="K18" i="20"/>
  <c r="J18" i="20"/>
  <c r="I18" i="20"/>
  <c r="H18" i="20"/>
  <c r="G18" i="20"/>
  <c r="F18" i="20"/>
  <c r="E18" i="20"/>
  <c r="R57" i="20"/>
  <c r="Q57" i="20"/>
  <c r="P57" i="20"/>
  <c r="O57" i="20"/>
  <c r="M57" i="20"/>
  <c r="L57" i="20"/>
  <c r="K57" i="20"/>
  <c r="J57" i="20"/>
  <c r="I57" i="20"/>
  <c r="H57" i="20"/>
  <c r="G57" i="20"/>
  <c r="F57" i="20"/>
  <c r="E57" i="20"/>
  <c r="R49" i="20"/>
  <c r="Q49" i="20"/>
  <c r="P49" i="20"/>
  <c r="O49" i="20"/>
  <c r="M49" i="20"/>
  <c r="L49" i="20"/>
  <c r="K49" i="20"/>
  <c r="J49" i="20"/>
  <c r="I49" i="20"/>
  <c r="H49" i="20"/>
  <c r="G49" i="20"/>
  <c r="F49" i="20"/>
  <c r="E49" i="20"/>
  <c r="R28" i="20"/>
  <c r="Q28" i="20"/>
  <c r="P28" i="20"/>
  <c r="O28" i="20"/>
  <c r="M28" i="20"/>
  <c r="L28" i="20"/>
  <c r="K28" i="20"/>
  <c r="J28" i="20"/>
  <c r="I28" i="20"/>
  <c r="H28" i="20"/>
  <c r="G28" i="20"/>
  <c r="F28" i="20"/>
  <c r="E28" i="20"/>
  <c r="R88" i="20"/>
  <c r="Q88" i="20"/>
  <c r="P88" i="20"/>
  <c r="O88" i="20"/>
  <c r="M88" i="20"/>
  <c r="L88" i="20"/>
  <c r="K88" i="20"/>
  <c r="J88" i="20"/>
  <c r="I88" i="20"/>
  <c r="H88" i="20"/>
  <c r="G88" i="20"/>
  <c r="F88" i="20"/>
  <c r="E88" i="20"/>
  <c r="R119" i="20"/>
  <c r="Q119" i="20"/>
  <c r="P119" i="20"/>
  <c r="O119" i="20"/>
  <c r="M119" i="20"/>
  <c r="L119" i="20"/>
  <c r="K119" i="20"/>
  <c r="J119" i="20"/>
  <c r="H119" i="20"/>
  <c r="G119" i="20"/>
  <c r="F119" i="20"/>
  <c r="E119" i="20"/>
  <c r="R17" i="20"/>
  <c r="Q17" i="20"/>
  <c r="P17" i="20"/>
  <c r="O17" i="20"/>
  <c r="M17" i="20"/>
  <c r="L17" i="20"/>
  <c r="K17" i="20"/>
  <c r="J17" i="20"/>
  <c r="I17" i="20"/>
  <c r="H17" i="20"/>
  <c r="G17" i="20"/>
  <c r="F17" i="20"/>
  <c r="E17" i="20"/>
  <c r="R59" i="20"/>
  <c r="Q59" i="20"/>
  <c r="P59" i="20"/>
  <c r="O59" i="20"/>
  <c r="M59" i="20"/>
  <c r="L59" i="20"/>
  <c r="K59" i="20"/>
  <c r="J59" i="20"/>
  <c r="I59" i="20"/>
  <c r="H59" i="20"/>
  <c r="G59" i="20"/>
  <c r="F59" i="20"/>
  <c r="E59" i="20"/>
  <c r="R128" i="20"/>
  <c r="Q128" i="20"/>
  <c r="P128" i="20"/>
  <c r="O128" i="20"/>
  <c r="M128" i="20"/>
  <c r="L128" i="20"/>
  <c r="K128" i="20"/>
  <c r="J128" i="20"/>
  <c r="H128" i="20"/>
  <c r="G128" i="20"/>
  <c r="F128" i="20"/>
  <c r="E128" i="20"/>
  <c r="R90" i="20"/>
  <c r="Q90" i="20"/>
  <c r="P90" i="20"/>
  <c r="O90" i="20"/>
  <c r="M90" i="20"/>
  <c r="L90" i="20"/>
  <c r="K90" i="20"/>
  <c r="J90" i="20"/>
  <c r="I90" i="20"/>
  <c r="H90" i="20"/>
  <c r="G90" i="20"/>
  <c r="F90" i="20"/>
  <c r="E90" i="20"/>
  <c r="R60" i="20"/>
  <c r="Q60" i="20"/>
  <c r="P60" i="20"/>
  <c r="O60" i="20"/>
  <c r="M60" i="20"/>
  <c r="L60" i="20"/>
  <c r="K60" i="20"/>
  <c r="J60" i="20"/>
  <c r="I60" i="20"/>
  <c r="H60" i="20"/>
  <c r="G60" i="20"/>
  <c r="F60" i="20"/>
  <c r="E60" i="20"/>
  <c r="R100" i="20"/>
  <c r="Q100" i="20"/>
  <c r="P100" i="20"/>
  <c r="O100" i="20"/>
  <c r="M100" i="20"/>
  <c r="L100" i="20"/>
  <c r="K100" i="20"/>
  <c r="J100" i="20"/>
  <c r="I100" i="20"/>
  <c r="H100" i="20"/>
  <c r="G100" i="20"/>
  <c r="F100" i="20"/>
  <c r="E100" i="20"/>
  <c r="R9" i="20"/>
  <c r="Q9" i="20"/>
  <c r="P9" i="20"/>
  <c r="O9" i="20"/>
  <c r="M9" i="20"/>
  <c r="L9" i="20"/>
  <c r="K9" i="20"/>
  <c r="J9" i="20"/>
  <c r="I9" i="20"/>
  <c r="H9" i="20"/>
  <c r="G9" i="20"/>
  <c r="F9" i="20"/>
  <c r="E9" i="20"/>
  <c r="R101" i="20"/>
  <c r="Q101" i="20"/>
  <c r="P101" i="20"/>
  <c r="O101" i="20"/>
  <c r="M101" i="20"/>
  <c r="L101" i="20"/>
  <c r="K101" i="20"/>
  <c r="J101" i="20"/>
  <c r="I101" i="20"/>
  <c r="H101" i="20"/>
  <c r="G101" i="20"/>
  <c r="F101" i="20"/>
  <c r="E101" i="20"/>
  <c r="R148" i="20"/>
  <c r="Q148" i="20"/>
  <c r="P148" i="20"/>
  <c r="O148" i="20"/>
  <c r="M148" i="20"/>
  <c r="L148" i="20"/>
  <c r="K148" i="20"/>
  <c r="J148" i="20"/>
  <c r="H148" i="20"/>
  <c r="G148" i="20"/>
  <c r="F148" i="20"/>
  <c r="E148" i="20"/>
  <c r="R70" i="20"/>
  <c r="Q70" i="20"/>
  <c r="P70" i="20"/>
  <c r="O70" i="20"/>
  <c r="M70" i="20"/>
  <c r="L70" i="20"/>
  <c r="K70" i="20"/>
  <c r="J70" i="20"/>
  <c r="I70" i="20"/>
  <c r="H70" i="20"/>
  <c r="G70" i="20"/>
  <c r="F70" i="20"/>
  <c r="E70" i="20"/>
  <c r="R110" i="20"/>
  <c r="Q110" i="20"/>
  <c r="P110" i="20"/>
  <c r="O110" i="20"/>
  <c r="M110" i="20"/>
  <c r="L110" i="20"/>
  <c r="K110" i="20"/>
  <c r="J110" i="20"/>
  <c r="I110" i="20"/>
  <c r="H110" i="20"/>
  <c r="G110" i="20"/>
  <c r="F110" i="20"/>
  <c r="E110" i="20"/>
  <c r="R8" i="20"/>
  <c r="Q8" i="20"/>
  <c r="P8" i="20"/>
  <c r="O8" i="20"/>
  <c r="M8" i="20"/>
  <c r="L8" i="20"/>
  <c r="K8" i="20"/>
  <c r="J8" i="20"/>
  <c r="I8" i="20"/>
  <c r="H8" i="20"/>
  <c r="G8" i="20"/>
  <c r="F8" i="20"/>
  <c r="E8" i="20"/>
  <c r="R107" i="20"/>
  <c r="Q107" i="20"/>
  <c r="P107" i="20"/>
  <c r="O107" i="20"/>
  <c r="M107" i="20"/>
  <c r="L107" i="20"/>
  <c r="K107" i="20"/>
  <c r="J107" i="20"/>
  <c r="I107" i="20"/>
  <c r="H107" i="20"/>
  <c r="G107" i="20"/>
  <c r="F107" i="20"/>
  <c r="E107" i="20"/>
  <c r="R97" i="20"/>
  <c r="Q97" i="20"/>
  <c r="P97" i="20"/>
  <c r="O97" i="20"/>
  <c r="M97" i="20"/>
  <c r="L97" i="20"/>
  <c r="K97" i="20"/>
  <c r="J97" i="20"/>
  <c r="I97" i="20"/>
  <c r="H97" i="20"/>
  <c r="G97" i="20"/>
  <c r="F97" i="20"/>
  <c r="E97" i="20"/>
  <c r="R51" i="20"/>
  <c r="Q51" i="20"/>
  <c r="P51" i="20"/>
  <c r="O51" i="20"/>
  <c r="M51" i="20"/>
  <c r="L51" i="20"/>
  <c r="K51" i="20"/>
  <c r="J51" i="20"/>
  <c r="I51" i="20"/>
  <c r="H51" i="20"/>
  <c r="G51" i="20"/>
  <c r="F51" i="20"/>
  <c r="E51" i="20"/>
  <c r="R69" i="20"/>
  <c r="Q69" i="20"/>
  <c r="P69" i="20"/>
  <c r="O69" i="20"/>
  <c r="M69" i="20"/>
  <c r="L69" i="20"/>
  <c r="K69" i="20"/>
  <c r="J69" i="20"/>
  <c r="I69" i="20"/>
  <c r="H69" i="20"/>
  <c r="G69" i="20"/>
  <c r="F69" i="20"/>
  <c r="E69" i="20"/>
  <c r="R31" i="20"/>
  <c r="Q31" i="20"/>
  <c r="P31" i="20"/>
  <c r="O31" i="20"/>
  <c r="M31" i="20"/>
  <c r="L31" i="20"/>
  <c r="K31" i="20"/>
  <c r="J31" i="20"/>
  <c r="I31" i="20"/>
  <c r="H31" i="20"/>
  <c r="G31" i="20"/>
  <c r="F31" i="20"/>
  <c r="E31" i="20"/>
  <c r="R29" i="20"/>
  <c r="Q29" i="20"/>
  <c r="P29" i="20"/>
  <c r="O29" i="20"/>
  <c r="M29" i="20"/>
  <c r="L29" i="20"/>
  <c r="K29" i="20"/>
  <c r="J29" i="20"/>
  <c r="I29" i="20"/>
  <c r="H29" i="20"/>
  <c r="G29" i="20"/>
  <c r="F29" i="20"/>
  <c r="E29" i="20"/>
  <c r="R120" i="20"/>
  <c r="Q120" i="20"/>
  <c r="P120" i="20"/>
  <c r="O120" i="20"/>
  <c r="M120" i="20"/>
  <c r="L120" i="20"/>
  <c r="K120" i="20"/>
  <c r="J120" i="20"/>
  <c r="H120" i="20"/>
  <c r="G120" i="20"/>
  <c r="F120" i="20"/>
  <c r="E120" i="20"/>
  <c r="R131" i="20"/>
  <c r="Q131" i="20"/>
  <c r="P131" i="20"/>
  <c r="O131" i="20"/>
  <c r="M131" i="20"/>
  <c r="L131" i="20"/>
  <c r="K131" i="20"/>
  <c r="J131" i="20"/>
  <c r="H131" i="20"/>
  <c r="G131" i="20"/>
  <c r="F131" i="20"/>
  <c r="E131" i="20"/>
  <c r="R150" i="20"/>
  <c r="Q150" i="20"/>
  <c r="P150" i="20"/>
  <c r="O150" i="20"/>
  <c r="M150" i="20"/>
  <c r="L150" i="20"/>
  <c r="K150" i="20"/>
  <c r="J150" i="20"/>
  <c r="H150" i="20"/>
  <c r="G150" i="20"/>
  <c r="F150" i="20"/>
  <c r="E150" i="20"/>
  <c r="R109" i="20"/>
  <c r="Q109" i="20"/>
  <c r="P109" i="20"/>
  <c r="O109" i="20"/>
  <c r="M109" i="20"/>
  <c r="L109" i="20"/>
  <c r="K109" i="20"/>
  <c r="J109" i="20"/>
  <c r="I109" i="20"/>
  <c r="H109" i="20"/>
  <c r="G109" i="20"/>
  <c r="F109" i="20"/>
  <c r="E109" i="20"/>
  <c r="R111" i="20"/>
  <c r="Q111" i="20"/>
  <c r="P111" i="20"/>
  <c r="O111" i="20"/>
  <c r="M111" i="20"/>
  <c r="L111" i="20"/>
  <c r="K111" i="20"/>
  <c r="J111" i="20"/>
  <c r="I111" i="20"/>
  <c r="H111" i="20"/>
  <c r="G111" i="20"/>
  <c r="F111" i="20"/>
  <c r="E111" i="20"/>
  <c r="R138" i="20"/>
  <c r="Q138" i="20"/>
  <c r="P138" i="20"/>
  <c r="O138" i="20"/>
  <c r="M138" i="20"/>
  <c r="L138" i="20"/>
  <c r="K138" i="20"/>
  <c r="J138" i="20"/>
  <c r="H138" i="20"/>
  <c r="G138" i="20"/>
  <c r="F138" i="20"/>
  <c r="E138" i="20"/>
  <c r="R21" i="20"/>
  <c r="Q21" i="20"/>
  <c r="P21" i="20"/>
  <c r="O21" i="20"/>
  <c r="M21" i="20"/>
  <c r="L21" i="20"/>
  <c r="K21" i="20"/>
  <c r="J21" i="20"/>
  <c r="I21" i="20"/>
  <c r="H21" i="20"/>
  <c r="G21" i="20"/>
  <c r="F21" i="20"/>
  <c r="E21" i="20"/>
  <c r="R121" i="20"/>
  <c r="Q121" i="20"/>
  <c r="P121" i="20"/>
  <c r="O121" i="20"/>
  <c r="M121" i="20"/>
  <c r="L121" i="20"/>
  <c r="K121" i="20"/>
  <c r="J121" i="20"/>
  <c r="H121" i="20"/>
  <c r="G121" i="20"/>
  <c r="F121" i="20"/>
  <c r="E121" i="20"/>
  <c r="R7" i="20"/>
  <c r="Q7" i="20"/>
  <c r="P7" i="20"/>
  <c r="O7" i="20"/>
  <c r="M7" i="20"/>
  <c r="L7" i="20"/>
  <c r="K7" i="20"/>
  <c r="J7" i="20"/>
  <c r="I7" i="20"/>
  <c r="H7" i="20"/>
  <c r="G7" i="20"/>
  <c r="F7" i="20"/>
  <c r="E7" i="20"/>
  <c r="R130" i="20"/>
  <c r="Q130" i="20"/>
  <c r="P130" i="20"/>
  <c r="O130" i="20"/>
  <c r="M130" i="20"/>
  <c r="L130" i="20"/>
  <c r="K130" i="20"/>
  <c r="J130" i="20"/>
  <c r="H130" i="20"/>
  <c r="G130" i="20"/>
  <c r="F130" i="20"/>
  <c r="E130" i="20"/>
  <c r="R37" i="20"/>
  <c r="Q37" i="20"/>
  <c r="P37" i="20"/>
  <c r="O37" i="20"/>
  <c r="M37" i="20"/>
  <c r="L37" i="20"/>
  <c r="K37" i="20"/>
  <c r="J37" i="20"/>
  <c r="I37" i="20"/>
  <c r="H37" i="20"/>
  <c r="G37" i="20"/>
  <c r="F37" i="20"/>
  <c r="E37" i="20"/>
  <c r="R20" i="20"/>
  <c r="Q20" i="20"/>
  <c r="P20" i="20"/>
  <c r="O20" i="20"/>
  <c r="M20" i="20"/>
  <c r="L20" i="20"/>
  <c r="K20" i="20"/>
  <c r="J20" i="20"/>
  <c r="I20" i="20"/>
  <c r="H20" i="20"/>
  <c r="G20" i="20"/>
  <c r="F20" i="20"/>
  <c r="E20" i="20"/>
  <c r="R89" i="20"/>
  <c r="Q89" i="20"/>
  <c r="P89" i="20"/>
  <c r="O89" i="20"/>
  <c r="M89" i="20"/>
  <c r="L89" i="20"/>
  <c r="K89" i="20"/>
  <c r="J89" i="20"/>
  <c r="I89" i="20"/>
  <c r="H89" i="20"/>
  <c r="G89" i="20"/>
  <c r="F89" i="20"/>
  <c r="E89" i="20"/>
  <c r="R42" i="20"/>
  <c r="Q42" i="20"/>
  <c r="P42" i="20"/>
  <c r="O42" i="20"/>
  <c r="M42" i="20"/>
  <c r="L42" i="20"/>
  <c r="K42" i="20"/>
  <c r="J42" i="20"/>
  <c r="I42" i="20"/>
  <c r="H42" i="20"/>
  <c r="G42" i="20"/>
  <c r="F42" i="20"/>
  <c r="E42" i="20"/>
  <c r="R32" i="20"/>
  <c r="Q32" i="20"/>
  <c r="P32" i="20"/>
  <c r="O32" i="20"/>
  <c r="M32" i="20"/>
  <c r="L32" i="20"/>
  <c r="K32" i="20"/>
  <c r="J32" i="20"/>
  <c r="I32" i="20"/>
  <c r="H32" i="20"/>
  <c r="G32" i="20"/>
  <c r="F32" i="20"/>
  <c r="E32" i="20"/>
  <c r="R151" i="20"/>
  <c r="Q151" i="20"/>
  <c r="P151" i="20"/>
  <c r="O151" i="20"/>
  <c r="M151" i="20"/>
  <c r="L151" i="20"/>
  <c r="K151" i="20"/>
  <c r="J151" i="20"/>
  <c r="H151" i="20"/>
  <c r="G151" i="20"/>
  <c r="F151" i="20"/>
  <c r="E151" i="20"/>
  <c r="R112" i="20"/>
  <c r="Q112" i="20"/>
  <c r="P112" i="20"/>
  <c r="O112" i="20"/>
  <c r="M112" i="20"/>
  <c r="L112" i="20"/>
  <c r="K112" i="20"/>
  <c r="J112" i="20"/>
  <c r="H112" i="20"/>
  <c r="G112" i="20"/>
  <c r="F112" i="20"/>
  <c r="E112" i="20"/>
  <c r="R61" i="20"/>
  <c r="Q61" i="20"/>
  <c r="P61" i="20"/>
  <c r="O61" i="20"/>
  <c r="M61" i="20"/>
  <c r="L61" i="20"/>
  <c r="K61" i="20"/>
  <c r="J61" i="20"/>
  <c r="I61" i="20"/>
  <c r="H61" i="20"/>
  <c r="G61" i="20"/>
  <c r="F61" i="20"/>
  <c r="E61" i="20"/>
  <c r="R80" i="20"/>
  <c r="Q80" i="20"/>
  <c r="P80" i="20"/>
  <c r="O80" i="20"/>
  <c r="M80" i="20"/>
  <c r="L80" i="20"/>
  <c r="K80" i="20"/>
  <c r="J80" i="20"/>
  <c r="I80" i="20"/>
  <c r="H80" i="20"/>
  <c r="G80" i="20"/>
  <c r="F80" i="20"/>
  <c r="E80" i="20"/>
  <c r="R98" i="20"/>
  <c r="Q98" i="20"/>
  <c r="P98" i="20"/>
  <c r="O98" i="20"/>
  <c r="M98" i="20"/>
  <c r="L98" i="20"/>
  <c r="K98" i="20"/>
  <c r="J98" i="20"/>
  <c r="I98" i="20"/>
  <c r="H98" i="20"/>
  <c r="G98" i="20"/>
  <c r="F98" i="20"/>
  <c r="E98" i="20"/>
  <c r="R82" i="20"/>
  <c r="Q82" i="20"/>
  <c r="P82" i="20"/>
  <c r="O82" i="20"/>
  <c r="M82" i="20"/>
  <c r="L82" i="20"/>
  <c r="K82" i="20"/>
  <c r="J82" i="20"/>
  <c r="I82" i="20"/>
  <c r="H82" i="20"/>
  <c r="G82" i="20"/>
  <c r="F82" i="20"/>
  <c r="E82" i="20"/>
  <c r="R99" i="20"/>
  <c r="Q99" i="20"/>
  <c r="P99" i="20"/>
  <c r="O99" i="20"/>
  <c r="M99" i="20"/>
  <c r="L99" i="20"/>
  <c r="K99" i="20"/>
  <c r="J99" i="20"/>
  <c r="I99" i="20"/>
  <c r="H99" i="20"/>
  <c r="G99" i="20"/>
  <c r="F99" i="20"/>
  <c r="E99" i="20"/>
  <c r="R11" i="20"/>
  <c r="Q11" i="20"/>
  <c r="P11" i="20"/>
  <c r="O11" i="20"/>
  <c r="M11" i="20"/>
  <c r="L11" i="20"/>
  <c r="K11" i="20"/>
  <c r="J11" i="20"/>
  <c r="I11" i="20"/>
  <c r="H11" i="20"/>
  <c r="G11" i="20"/>
  <c r="F11" i="20"/>
  <c r="E11" i="20"/>
  <c r="R30" i="20"/>
  <c r="Q30" i="20"/>
  <c r="P30" i="20"/>
  <c r="O30" i="20"/>
  <c r="M30" i="20"/>
  <c r="L30" i="20"/>
  <c r="K30" i="20"/>
  <c r="J30" i="20"/>
  <c r="I30" i="20"/>
  <c r="H30" i="20"/>
  <c r="G30" i="20"/>
  <c r="F30" i="20"/>
  <c r="E30" i="20"/>
  <c r="R102" i="20"/>
  <c r="Q102" i="20"/>
  <c r="P102" i="20"/>
  <c r="O102" i="20"/>
  <c r="M102" i="20"/>
  <c r="L102" i="20"/>
  <c r="K102" i="20"/>
  <c r="J102" i="20"/>
  <c r="I102" i="20"/>
  <c r="H102" i="20"/>
  <c r="G102" i="20"/>
  <c r="F102" i="20"/>
  <c r="E102" i="20"/>
  <c r="R81" i="20"/>
  <c r="Q81" i="20"/>
  <c r="P81" i="20"/>
  <c r="O81" i="20"/>
  <c r="M81" i="20"/>
  <c r="L81" i="20"/>
  <c r="K81" i="20"/>
  <c r="J81" i="20"/>
  <c r="I81" i="20"/>
  <c r="H81" i="20"/>
  <c r="G81" i="20"/>
  <c r="F81" i="20"/>
  <c r="E81" i="20"/>
  <c r="R40" i="20"/>
  <c r="Q40" i="20"/>
  <c r="P40" i="20"/>
  <c r="O40" i="20"/>
  <c r="M40" i="20"/>
  <c r="L40" i="20"/>
  <c r="K40" i="20"/>
  <c r="J40" i="20"/>
  <c r="I40" i="20"/>
  <c r="H40" i="20"/>
  <c r="G40" i="20"/>
  <c r="F40" i="20"/>
  <c r="E40" i="20"/>
  <c r="R71" i="20"/>
  <c r="Q71" i="20"/>
  <c r="P71" i="20"/>
  <c r="O71" i="20"/>
  <c r="M71" i="20"/>
  <c r="L71" i="20"/>
  <c r="K71" i="20"/>
  <c r="J71" i="20"/>
  <c r="I71" i="20"/>
  <c r="H71" i="20"/>
  <c r="G71" i="20"/>
  <c r="F71" i="20"/>
  <c r="E71" i="20"/>
  <c r="R137" i="20"/>
  <c r="Q137" i="20"/>
  <c r="P137" i="20"/>
  <c r="O137" i="20"/>
  <c r="M137" i="20"/>
  <c r="L137" i="20"/>
  <c r="K137" i="20"/>
  <c r="J137" i="20"/>
  <c r="H137" i="20"/>
  <c r="G137" i="20"/>
  <c r="F137" i="20"/>
  <c r="E137" i="20"/>
  <c r="R152" i="20"/>
  <c r="Q152" i="20"/>
  <c r="P152" i="20"/>
  <c r="O152" i="20"/>
  <c r="M152" i="20"/>
  <c r="L152" i="20"/>
  <c r="K152" i="20"/>
  <c r="J152" i="20"/>
  <c r="H152" i="20"/>
  <c r="G152" i="20"/>
  <c r="F152" i="20"/>
  <c r="E152" i="20"/>
  <c r="R41" i="20"/>
  <c r="Q41" i="20"/>
  <c r="P41" i="20"/>
  <c r="O41" i="20"/>
  <c r="M41" i="20"/>
  <c r="L41" i="20"/>
  <c r="K41" i="20"/>
  <c r="J41" i="20"/>
  <c r="I41" i="20"/>
  <c r="H41" i="20"/>
  <c r="G41" i="20"/>
  <c r="F41" i="20"/>
  <c r="E41" i="20"/>
  <c r="R72" i="20"/>
  <c r="Q72" i="20"/>
  <c r="P72" i="20"/>
  <c r="O72" i="20"/>
  <c r="M72" i="20"/>
  <c r="L72" i="20"/>
  <c r="K72" i="20"/>
  <c r="J72" i="20"/>
  <c r="I72" i="20"/>
  <c r="H72" i="20"/>
  <c r="G72" i="20"/>
  <c r="F72" i="20"/>
  <c r="E72" i="20"/>
  <c r="R77" i="20"/>
  <c r="Q77" i="20"/>
  <c r="P77" i="20"/>
  <c r="O77" i="20"/>
  <c r="M77" i="20"/>
  <c r="L77" i="20"/>
  <c r="K77" i="20"/>
  <c r="J77" i="20"/>
  <c r="I77" i="20"/>
  <c r="H77" i="20"/>
  <c r="G77" i="20"/>
  <c r="F77" i="20"/>
  <c r="E77" i="20"/>
  <c r="R141" i="20"/>
  <c r="Q141" i="20"/>
  <c r="P141" i="20"/>
  <c r="O141" i="20"/>
  <c r="M141" i="20"/>
  <c r="L141" i="20"/>
  <c r="K141" i="20"/>
  <c r="J141" i="20"/>
  <c r="H141" i="20"/>
  <c r="G141" i="20"/>
  <c r="F141" i="20"/>
  <c r="E141" i="20"/>
  <c r="R92" i="20"/>
  <c r="Q92" i="20"/>
  <c r="P92" i="20"/>
  <c r="O92" i="20"/>
  <c r="M92" i="20"/>
  <c r="L92" i="20"/>
  <c r="K92" i="20"/>
  <c r="J92" i="20"/>
  <c r="I92" i="20"/>
  <c r="H92" i="20"/>
  <c r="G92" i="20"/>
  <c r="F92" i="20"/>
  <c r="E92" i="20"/>
  <c r="R142" i="20"/>
  <c r="Q142" i="20"/>
  <c r="P142" i="20"/>
  <c r="O142" i="20"/>
  <c r="M142" i="20"/>
  <c r="L142" i="20"/>
  <c r="K142" i="20"/>
  <c r="J142" i="20"/>
  <c r="H142" i="20"/>
  <c r="G142" i="20"/>
  <c r="F142" i="20"/>
  <c r="E142" i="20"/>
  <c r="R132" i="20"/>
  <c r="Q132" i="20"/>
  <c r="P132" i="20"/>
  <c r="O132" i="20"/>
  <c r="M132" i="20"/>
  <c r="L132" i="20"/>
  <c r="K132" i="20"/>
  <c r="J132" i="20"/>
  <c r="H132" i="20"/>
  <c r="G132" i="20"/>
  <c r="F132" i="20"/>
  <c r="E132" i="20"/>
  <c r="R62" i="20"/>
  <c r="Q62" i="20"/>
  <c r="P62" i="20"/>
  <c r="O62" i="20"/>
  <c r="M62" i="20"/>
  <c r="L62" i="20"/>
  <c r="K62" i="20"/>
  <c r="J62" i="20"/>
  <c r="I62" i="20"/>
  <c r="H62" i="20"/>
  <c r="G62" i="20"/>
  <c r="F62" i="20"/>
  <c r="E62" i="20"/>
  <c r="R22" i="20"/>
  <c r="Q22" i="20"/>
  <c r="P22" i="20"/>
  <c r="O22" i="20"/>
  <c r="M22" i="20"/>
  <c r="L22" i="20"/>
  <c r="K22" i="20"/>
  <c r="J22" i="20"/>
  <c r="I22" i="20"/>
  <c r="H22" i="20"/>
  <c r="G22" i="20"/>
  <c r="F22" i="20"/>
  <c r="E22" i="20"/>
  <c r="R122" i="20"/>
  <c r="Q122" i="20"/>
  <c r="P122" i="20"/>
  <c r="O122" i="20"/>
  <c r="M122" i="20"/>
  <c r="L122" i="20"/>
  <c r="K122" i="20"/>
  <c r="J122" i="20"/>
  <c r="H122" i="20"/>
  <c r="G122" i="20"/>
  <c r="F122" i="20"/>
  <c r="E122" i="20"/>
  <c r="R67" i="20"/>
  <c r="Q67" i="20"/>
  <c r="P67" i="20"/>
  <c r="O67" i="20"/>
  <c r="M67" i="20"/>
  <c r="L67" i="20"/>
  <c r="K67" i="20"/>
  <c r="J67" i="20"/>
  <c r="I67" i="20"/>
  <c r="H67" i="20"/>
  <c r="G67" i="20"/>
  <c r="F67" i="20"/>
  <c r="E67" i="20"/>
  <c r="R91" i="20"/>
  <c r="Q91" i="20"/>
  <c r="P91" i="20"/>
  <c r="O91" i="20"/>
  <c r="M91" i="20"/>
  <c r="L91" i="20"/>
  <c r="K91" i="20"/>
  <c r="J91" i="20"/>
  <c r="I91" i="20"/>
  <c r="H91" i="20"/>
  <c r="G91" i="20"/>
  <c r="F91" i="20"/>
  <c r="E91" i="20"/>
  <c r="R47" i="20"/>
  <c r="Q47" i="20"/>
  <c r="P47" i="20"/>
  <c r="O47" i="20"/>
  <c r="M47" i="20"/>
  <c r="L47" i="20"/>
  <c r="K47" i="20"/>
  <c r="J47" i="20"/>
  <c r="I47" i="20"/>
  <c r="H47" i="20"/>
  <c r="G47" i="20"/>
  <c r="F47" i="20"/>
  <c r="E47" i="20"/>
  <c r="R95" i="20"/>
  <c r="Q95" i="20"/>
  <c r="P95" i="20"/>
  <c r="O95" i="20"/>
  <c r="M95" i="20"/>
  <c r="L95" i="20"/>
  <c r="K95" i="20"/>
  <c r="J95" i="20"/>
  <c r="I95" i="20"/>
  <c r="H95" i="20"/>
  <c r="G95" i="20"/>
  <c r="F95" i="20"/>
  <c r="E95" i="20"/>
  <c r="R63" i="20"/>
  <c r="Q63" i="20"/>
  <c r="P63" i="20"/>
  <c r="O63" i="20"/>
  <c r="M63" i="20"/>
  <c r="L63" i="20"/>
  <c r="K63" i="20"/>
  <c r="J63" i="20"/>
  <c r="I63" i="20"/>
  <c r="H63" i="20"/>
  <c r="G63" i="20"/>
  <c r="F63" i="20"/>
  <c r="E63" i="20"/>
  <c r="R86" i="20"/>
  <c r="Q86" i="20"/>
  <c r="P86" i="20"/>
  <c r="O86" i="20"/>
  <c r="M86" i="20"/>
  <c r="L86" i="20"/>
  <c r="K86" i="20"/>
  <c r="J86" i="20"/>
  <c r="I86" i="20"/>
  <c r="H86" i="20"/>
  <c r="G86" i="20"/>
  <c r="F86" i="20"/>
  <c r="E86" i="20"/>
  <c r="R146" i="20"/>
  <c r="Q146" i="20"/>
  <c r="P146" i="20"/>
  <c r="O146" i="20"/>
  <c r="M146" i="20"/>
  <c r="L146" i="20"/>
  <c r="K146" i="20"/>
  <c r="J146" i="20"/>
  <c r="H146" i="20"/>
  <c r="G146" i="20"/>
  <c r="F146" i="20"/>
  <c r="E146" i="20"/>
  <c r="R106" i="20"/>
  <c r="Q106" i="20"/>
  <c r="P106" i="20"/>
  <c r="O106" i="20"/>
  <c r="M106" i="20"/>
  <c r="L106" i="20"/>
  <c r="K106" i="20"/>
  <c r="J106" i="20"/>
  <c r="I106" i="20"/>
  <c r="H106" i="20"/>
  <c r="G106" i="20"/>
  <c r="F106" i="20"/>
  <c r="E106" i="20"/>
  <c r="R76" i="20"/>
  <c r="Q76" i="20"/>
  <c r="P76" i="20"/>
  <c r="O76" i="20"/>
  <c r="M76" i="20"/>
  <c r="L76" i="20"/>
  <c r="K76" i="20"/>
  <c r="J76" i="20"/>
  <c r="I76" i="20"/>
  <c r="H76" i="20"/>
  <c r="G76" i="20"/>
  <c r="F76" i="20"/>
  <c r="E76" i="20"/>
  <c r="R85" i="20"/>
  <c r="Q85" i="20"/>
  <c r="P85" i="20"/>
  <c r="O85" i="20"/>
  <c r="M85" i="20"/>
  <c r="L85" i="20"/>
  <c r="K85" i="20"/>
  <c r="J85" i="20"/>
  <c r="I85" i="20"/>
  <c r="H85" i="20"/>
  <c r="G85" i="20"/>
  <c r="F85" i="20"/>
  <c r="E85" i="20"/>
  <c r="R26" i="20"/>
  <c r="Q26" i="20"/>
  <c r="P26" i="20"/>
  <c r="O26" i="20"/>
  <c r="M26" i="20"/>
  <c r="L26" i="20"/>
  <c r="K26" i="20"/>
  <c r="J26" i="20"/>
  <c r="I26" i="20"/>
  <c r="H26" i="20"/>
  <c r="G26" i="20"/>
  <c r="F26" i="20"/>
  <c r="E26" i="20"/>
  <c r="R34" i="20"/>
  <c r="Q34" i="20"/>
  <c r="P34" i="20"/>
  <c r="O34" i="20"/>
  <c r="M34" i="20"/>
  <c r="L34" i="20"/>
  <c r="K34" i="20"/>
  <c r="J34" i="20"/>
  <c r="I34" i="20"/>
  <c r="H34" i="20"/>
  <c r="G34" i="20"/>
  <c r="F34" i="20"/>
  <c r="E34" i="20"/>
  <c r="R134" i="20"/>
  <c r="Q134" i="20"/>
  <c r="P134" i="20"/>
  <c r="O134" i="20"/>
  <c r="M134" i="20"/>
  <c r="L134" i="20"/>
  <c r="K134" i="20"/>
  <c r="J134" i="20"/>
  <c r="H134" i="20"/>
  <c r="G134" i="20"/>
  <c r="F134" i="20"/>
  <c r="E134" i="20"/>
  <c r="R16" i="20"/>
  <c r="Q16" i="20"/>
  <c r="P16" i="20"/>
  <c r="O16" i="20"/>
  <c r="M16" i="20"/>
  <c r="L16" i="20"/>
  <c r="K16" i="20"/>
  <c r="J16" i="20"/>
  <c r="I16" i="20"/>
  <c r="H16" i="20"/>
  <c r="G16" i="20"/>
  <c r="F16" i="20"/>
  <c r="E16" i="20"/>
  <c r="R96" i="20"/>
  <c r="Q96" i="20"/>
  <c r="P96" i="20"/>
  <c r="O96" i="20"/>
  <c r="M96" i="20"/>
  <c r="L96" i="20"/>
  <c r="K96" i="20"/>
  <c r="J96" i="20"/>
  <c r="I96" i="20"/>
  <c r="H96" i="20"/>
  <c r="G96" i="20"/>
  <c r="F96" i="20"/>
  <c r="E96" i="20"/>
  <c r="R124" i="20"/>
  <c r="Q124" i="20"/>
  <c r="P124" i="20"/>
  <c r="O124" i="20"/>
  <c r="M124" i="20"/>
  <c r="L124" i="20"/>
  <c r="K124" i="20"/>
  <c r="J124" i="20"/>
  <c r="H124" i="20"/>
  <c r="G124" i="20"/>
  <c r="F124" i="20"/>
  <c r="E124" i="20"/>
  <c r="R136" i="20"/>
  <c r="Q136" i="20"/>
  <c r="P136" i="20"/>
  <c r="O136" i="20"/>
  <c r="M136" i="20"/>
  <c r="L136" i="20"/>
  <c r="K136" i="20"/>
  <c r="J136" i="20"/>
  <c r="H136" i="20"/>
  <c r="G136" i="20"/>
  <c r="F136" i="20"/>
  <c r="E136" i="20"/>
  <c r="R74" i="20"/>
  <c r="Q74" i="20"/>
  <c r="P74" i="20"/>
  <c r="O74" i="20"/>
  <c r="M74" i="20"/>
  <c r="L74" i="20"/>
  <c r="K74" i="20"/>
  <c r="J74" i="20"/>
  <c r="I74" i="20"/>
  <c r="H74" i="20"/>
  <c r="G74" i="20"/>
  <c r="F74" i="20"/>
  <c r="E74" i="20"/>
  <c r="R64" i="20"/>
  <c r="Q64" i="20"/>
  <c r="P64" i="20"/>
  <c r="O64" i="20"/>
  <c r="M64" i="20"/>
  <c r="L64" i="20"/>
  <c r="K64" i="20"/>
  <c r="J64" i="20"/>
  <c r="I64" i="20"/>
  <c r="H64" i="20"/>
  <c r="G64" i="20"/>
  <c r="F64" i="20"/>
  <c r="E64" i="20"/>
  <c r="R6" i="20"/>
  <c r="Q6" i="20"/>
  <c r="P6" i="20"/>
  <c r="O6" i="20"/>
  <c r="M6" i="20"/>
  <c r="L6" i="20"/>
  <c r="K6" i="20"/>
  <c r="J6" i="20"/>
  <c r="I6" i="20"/>
  <c r="H6" i="20"/>
  <c r="G6" i="20"/>
  <c r="F6" i="20"/>
  <c r="E6" i="20"/>
  <c r="R56" i="20"/>
  <c r="Q56" i="20"/>
  <c r="P56" i="20"/>
  <c r="O56" i="20"/>
  <c r="M56" i="20"/>
  <c r="L56" i="20"/>
  <c r="K56" i="20"/>
  <c r="J56" i="20"/>
  <c r="I56" i="20"/>
  <c r="H56" i="20"/>
  <c r="G56" i="20"/>
  <c r="F56" i="20"/>
  <c r="E56" i="20"/>
  <c r="R35" i="20"/>
  <c r="Q35" i="20"/>
  <c r="P35" i="20"/>
  <c r="O35" i="20"/>
  <c r="M35" i="20"/>
  <c r="L35" i="20"/>
  <c r="K35" i="20"/>
  <c r="J35" i="20"/>
  <c r="I35" i="20"/>
  <c r="H35" i="20"/>
  <c r="G35" i="20"/>
  <c r="F35" i="20"/>
  <c r="E35" i="20"/>
  <c r="R36" i="20"/>
  <c r="Q36" i="20"/>
  <c r="P36" i="20"/>
  <c r="O36" i="20"/>
  <c r="M36" i="20"/>
  <c r="L36" i="20"/>
  <c r="K36" i="20"/>
  <c r="J36" i="20"/>
  <c r="I36" i="20"/>
  <c r="H36" i="20"/>
  <c r="G36" i="20"/>
  <c r="F36" i="20"/>
  <c r="E36" i="20"/>
  <c r="R75" i="20"/>
  <c r="Q75" i="20"/>
  <c r="P75" i="20"/>
  <c r="O75" i="20"/>
  <c r="M75" i="20"/>
  <c r="L75" i="20"/>
  <c r="K75" i="20"/>
  <c r="J75" i="20"/>
  <c r="I75" i="20"/>
  <c r="H75" i="20"/>
  <c r="G75" i="20"/>
  <c r="F75" i="20"/>
  <c r="E75" i="20"/>
  <c r="R55" i="20"/>
  <c r="Q55" i="20"/>
  <c r="P55" i="20"/>
  <c r="O55" i="20"/>
  <c r="M55" i="20"/>
  <c r="L55" i="20"/>
  <c r="K55" i="20"/>
  <c r="J55" i="20"/>
  <c r="I55" i="20"/>
  <c r="H55" i="20"/>
  <c r="G55" i="20"/>
  <c r="F55" i="20"/>
  <c r="E55" i="20"/>
  <c r="R25" i="20"/>
  <c r="Q25" i="20"/>
  <c r="P25" i="20"/>
  <c r="O25" i="20"/>
  <c r="M25" i="20"/>
  <c r="L25" i="20"/>
  <c r="K25" i="20"/>
  <c r="J25" i="20"/>
  <c r="I25" i="20"/>
  <c r="H25" i="20"/>
  <c r="G25" i="20"/>
  <c r="F25" i="20"/>
  <c r="E25" i="20"/>
  <c r="R65" i="20"/>
  <c r="Q65" i="20"/>
  <c r="P65" i="20"/>
  <c r="O65" i="20"/>
  <c r="M65" i="20"/>
  <c r="L65" i="20"/>
  <c r="K65" i="20"/>
  <c r="J65" i="20"/>
  <c r="I65" i="20"/>
  <c r="H65" i="20"/>
  <c r="G65" i="20"/>
  <c r="F65" i="20"/>
  <c r="E65" i="20"/>
  <c r="R133" i="20"/>
  <c r="Q133" i="20"/>
  <c r="P133" i="20"/>
  <c r="O133" i="20"/>
  <c r="M133" i="20"/>
  <c r="L133" i="20"/>
  <c r="K133" i="20"/>
  <c r="J133" i="20"/>
  <c r="H133" i="20"/>
  <c r="G133" i="20"/>
  <c r="F133" i="20"/>
  <c r="E133" i="20"/>
  <c r="R45" i="20"/>
  <c r="Q45" i="20"/>
  <c r="P45" i="20"/>
  <c r="O45" i="20"/>
  <c r="M45" i="20"/>
  <c r="L45" i="20"/>
  <c r="K45" i="20"/>
  <c r="J45" i="20"/>
  <c r="I45" i="20"/>
  <c r="H45" i="20"/>
  <c r="G45" i="20"/>
  <c r="F45" i="20"/>
  <c r="E45" i="20"/>
  <c r="R46" i="20"/>
  <c r="Q46" i="20"/>
  <c r="P46" i="20"/>
  <c r="O46" i="20"/>
  <c r="M46" i="20"/>
  <c r="L46" i="20"/>
  <c r="K46" i="20"/>
  <c r="J46" i="20"/>
  <c r="I46" i="20"/>
  <c r="H46" i="20"/>
  <c r="G46" i="20"/>
  <c r="F46" i="20"/>
  <c r="E46" i="20"/>
  <c r="R126" i="20"/>
  <c r="Q126" i="20"/>
  <c r="P126" i="20"/>
  <c r="O126" i="20"/>
  <c r="M126" i="20"/>
  <c r="L126" i="20"/>
  <c r="K126" i="20"/>
  <c r="J126" i="20"/>
  <c r="H126" i="20"/>
  <c r="G126" i="20"/>
  <c r="F126" i="20"/>
  <c r="E126" i="20"/>
  <c r="R15" i="20"/>
  <c r="Q15" i="20"/>
  <c r="P15" i="20"/>
  <c r="O15" i="20"/>
  <c r="M15" i="20"/>
  <c r="L15" i="20"/>
  <c r="K15" i="20"/>
  <c r="J15" i="20"/>
  <c r="I15" i="20"/>
  <c r="H15" i="20"/>
  <c r="G15" i="20"/>
  <c r="F15" i="20"/>
  <c r="E15" i="20"/>
  <c r="R116" i="20"/>
  <c r="Q116" i="20"/>
  <c r="P116" i="20"/>
  <c r="O116" i="20"/>
  <c r="M116" i="20"/>
  <c r="L116" i="20"/>
  <c r="K116" i="20"/>
  <c r="J116" i="20"/>
  <c r="H116" i="20"/>
  <c r="G116" i="20"/>
  <c r="F116" i="20"/>
  <c r="E116" i="20"/>
  <c r="R3" i="20"/>
  <c r="Q3" i="20"/>
  <c r="P3" i="20"/>
  <c r="O3" i="20"/>
  <c r="M3" i="20"/>
  <c r="L3" i="20"/>
  <c r="K3" i="20"/>
  <c r="J3" i="20"/>
  <c r="I3" i="20"/>
  <c r="H3" i="20"/>
  <c r="G3" i="20"/>
  <c r="F3" i="20"/>
  <c r="E3" i="20"/>
  <c r="R14" i="20"/>
  <c r="Q14" i="20"/>
  <c r="P14" i="20"/>
  <c r="O14" i="20"/>
  <c r="M14" i="20"/>
  <c r="L14" i="20"/>
  <c r="K14" i="20"/>
  <c r="J14" i="20"/>
  <c r="I14" i="20"/>
  <c r="H14" i="20"/>
  <c r="G14" i="20"/>
  <c r="F14" i="20"/>
  <c r="E14" i="20"/>
  <c r="R145" i="20"/>
  <c r="Q145" i="20"/>
  <c r="P145" i="20"/>
  <c r="O145" i="20"/>
  <c r="M145" i="20"/>
  <c r="L145" i="20"/>
  <c r="K145" i="20"/>
  <c r="J145" i="20"/>
  <c r="H145" i="20"/>
  <c r="G145" i="20"/>
  <c r="F145" i="20"/>
  <c r="E145" i="20"/>
  <c r="R24" i="20"/>
  <c r="Q24" i="20"/>
  <c r="P24" i="20"/>
  <c r="O24" i="20"/>
  <c r="M24" i="20"/>
  <c r="L24" i="20"/>
  <c r="K24" i="20"/>
  <c r="J24" i="20"/>
  <c r="I24" i="20"/>
  <c r="H24" i="20"/>
  <c r="G24" i="20"/>
  <c r="F24" i="20"/>
  <c r="E24" i="20"/>
  <c r="R94" i="20"/>
  <c r="Q94" i="20"/>
  <c r="P94" i="20"/>
  <c r="O94" i="20"/>
  <c r="M94" i="20"/>
  <c r="L94" i="20"/>
  <c r="K94" i="20"/>
  <c r="J94" i="20"/>
  <c r="I94" i="20"/>
  <c r="H94" i="20"/>
  <c r="G94" i="20"/>
  <c r="F94" i="20"/>
  <c r="E94" i="20"/>
  <c r="R83" i="20"/>
  <c r="Q83" i="20"/>
  <c r="P83" i="20"/>
  <c r="O83" i="20"/>
  <c r="M83" i="20"/>
  <c r="L83" i="20"/>
  <c r="K83" i="20"/>
  <c r="J83" i="20"/>
  <c r="I83" i="20"/>
  <c r="H83" i="20"/>
  <c r="G83" i="20"/>
  <c r="F83" i="20"/>
  <c r="E83" i="20"/>
  <c r="R115" i="20"/>
  <c r="Q115" i="20"/>
  <c r="P115" i="20"/>
  <c r="O115" i="20"/>
  <c r="M115" i="20"/>
  <c r="L115" i="20"/>
  <c r="K115" i="20"/>
  <c r="J115" i="20"/>
  <c r="H115" i="20"/>
  <c r="G115" i="20"/>
  <c r="F115" i="20"/>
  <c r="E115" i="20"/>
  <c r="R33" i="20"/>
  <c r="Q33" i="20"/>
  <c r="P33" i="20"/>
  <c r="O33" i="20"/>
  <c r="M33" i="20"/>
  <c r="L33" i="20"/>
  <c r="K33" i="20"/>
  <c r="J33" i="20"/>
  <c r="I33" i="20"/>
  <c r="H33" i="20"/>
  <c r="G33" i="20"/>
  <c r="F33" i="20"/>
  <c r="E33" i="20"/>
  <c r="R114" i="20"/>
  <c r="Q114" i="20"/>
  <c r="P114" i="20"/>
  <c r="O114" i="20"/>
  <c r="M114" i="20"/>
  <c r="L114" i="20"/>
  <c r="K114" i="20"/>
  <c r="J114" i="20"/>
  <c r="I114" i="20"/>
  <c r="H114" i="20"/>
  <c r="G114" i="20"/>
  <c r="F114" i="20"/>
  <c r="E114" i="20"/>
  <c r="R105" i="20"/>
  <c r="Q105" i="20"/>
  <c r="P105" i="20"/>
  <c r="O105" i="20"/>
  <c r="M105" i="20"/>
  <c r="L105" i="20"/>
  <c r="K105" i="20"/>
  <c r="J105" i="20"/>
  <c r="I105" i="20"/>
  <c r="H105" i="20"/>
  <c r="G105" i="20"/>
  <c r="F105" i="20"/>
  <c r="E105" i="20"/>
  <c r="R44" i="20"/>
  <c r="Q44" i="20"/>
  <c r="P44" i="20"/>
  <c r="O44" i="20"/>
  <c r="M44" i="20"/>
  <c r="L44" i="20"/>
  <c r="K44" i="20"/>
  <c r="J44" i="20"/>
  <c r="I44" i="20"/>
  <c r="H44" i="20"/>
  <c r="G44" i="20"/>
  <c r="F44" i="20"/>
  <c r="E44" i="20"/>
  <c r="R143" i="20"/>
  <c r="Q143" i="20"/>
  <c r="P143" i="20"/>
  <c r="O143" i="20"/>
  <c r="M143" i="20"/>
  <c r="L143" i="20"/>
  <c r="K143" i="20"/>
  <c r="J143" i="20"/>
  <c r="H143" i="20"/>
  <c r="G143" i="20"/>
  <c r="F143" i="20"/>
  <c r="E143" i="20"/>
  <c r="R84" i="20"/>
  <c r="Q84" i="20"/>
  <c r="P84" i="20"/>
  <c r="O84" i="20"/>
  <c r="M84" i="20"/>
  <c r="L84" i="20"/>
  <c r="K84" i="20"/>
  <c r="J84" i="20"/>
  <c r="I84" i="20"/>
  <c r="H84" i="20"/>
  <c r="G84" i="20"/>
  <c r="F84" i="20"/>
  <c r="E84" i="20"/>
  <c r="R66" i="20"/>
  <c r="Q66" i="20"/>
  <c r="P66" i="20"/>
  <c r="O66" i="20"/>
  <c r="M66" i="20"/>
  <c r="L66" i="20"/>
  <c r="K66" i="20"/>
  <c r="J66" i="20"/>
  <c r="I66" i="20"/>
  <c r="H66" i="20"/>
  <c r="G66" i="20"/>
  <c r="F66" i="20"/>
  <c r="E66" i="20"/>
  <c r="R4" i="20"/>
  <c r="Q4" i="20"/>
  <c r="P4" i="20"/>
  <c r="O4" i="20"/>
  <c r="M4" i="20"/>
  <c r="L4" i="20"/>
  <c r="K4" i="20"/>
  <c r="J4" i="20"/>
  <c r="I4" i="20"/>
  <c r="H4" i="20"/>
  <c r="G4" i="20"/>
  <c r="F4" i="20"/>
  <c r="E4" i="20"/>
  <c r="R125" i="20"/>
  <c r="Q125" i="20"/>
  <c r="P125" i="20"/>
  <c r="O125" i="20"/>
  <c r="M125" i="20"/>
  <c r="L125" i="20"/>
  <c r="K125" i="20"/>
  <c r="J125" i="20"/>
  <c r="H125" i="20"/>
  <c r="G125" i="20"/>
  <c r="F125" i="20"/>
  <c r="E125" i="20"/>
  <c r="R135" i="20"/>
  <c r="Q135" i="20"/>
  <c r="P135" i="20"/>
  <c r="O135" i="20"/>
  <c r="M135" i="20"/>
  <c r="L135" i="20"/>
  <c r="K135" i="20"/>
  <c r="J135" i="20"/>
  <c r="H135" i="20"/>
  <c r="G135" i="20"/>
  <c r="F135" i="20"/>
  <c r="E135" i="20"/>
  <c r="R144" i="20"/>
  <c r="Q144" i="20"/>
  <c r="P144" i="20"/>
  <c r="O144" i="20"/>
  <c r="M144" i="20"/>
  <c r="L144" i="20"/>
  <c r="K144" i="20"/>
  <c r="J144" i="20"/>
  <c r="H144" i="20"/>
  <c r="G144" i="20"/>
  <c r="F144" i="20"/>
  <c r="E144" i="20"/>
  <c r="R104" i="20"/>
  <c r="Q104" i="20"/>
  <c r="P104" i="20"/>
  <c r="O104" i="20"/>
  <c r="M104" i="20"/>
  <c r="L104" i="20"/>
  <c r="K104" i="20"/>
  <c r="J104" i="20"/>
  <c r="I104" i="20"/>
  <c r="H104" i="20"/>
  <c r="G104" i="20"/>
  <c r="F104" i="20"/>
  <c r="E104" i="20"/>
  <c r="R53" i="20"/>
  <c r="Q53" i="20"/>
  <c r="P53" i="20"/>
  <c r="O53" i="20"/>
  <c r="M53" i="20"/>
  <c r="L53" i="20"/>
  <c r="K53" i="20"/>
  <c r="J53" i="20"/>
  <c r="I53" i="20"/>
  <c r="H53" i="20"/>
  <c r="G53" i="20"/>
  <c r="F53" i="20"/>
  <c r="E53" i="20"/>
  <c r="R5" i="20"/>
  <c r="Q5" i="20"/>
  <c r="P5" i="20"/>
  <c r="O5" i="20"/>
  <c r="M5" i="20"/>
  <c r="L5" i="20"/>
  <c r="K5" i="20"/>
  <c r="J5" i="20"/>
  <c r="I5" i="20"/>
  <c r="H5" i="20"/>
  <c r="G5" i="20"/>
  <c r="F5" i="20"/>
  <c r="E5" i="20"/>
  <c r="R54" i="20"/>
  <c r="Q54" i="20"/>
  <c r="P54" i="20"/>
  <c r="O54" i="20"/>
  <c r="M54" i="20"/>
  <c r="L54" i="20"/>
  <c r="K54" i="20"/>
  <c r="J54" i="20"/>
  <c r="I54" i="20"/>
  <c r="H54" i="20"/>
  <c r="G54" i="20"/>
  <c r="F54" i="20"/>
  <c r="E54" i="20"/>
  <c r="R73" i="20"/>
  <c r="Q73" i="20"/>
  <c r="P73" i="20"/>
  <c r="O73" i="20"/>
  <c r="M73" i="20"/>
  <c r="L73" i="20"/>
  <c r="K73" i="20"/>
  <c r="J73" i="20"/>
  <c r="I73" i="20"/>
  <c r="H73" i="20"/>
  <c r="G73" i="20"/>
  <c r="F73" i="20"/>
  <c r="E73" i="20"/>
  <c r="R103" i="20"/>
  <c r="Q103" i="20"/>
  <c r="P103" i="20"/>
  <c r="O103" i="20"/>
  <c r="M103" i="20"/>
  <c r="L103" i="20"/>
  <c r="K103" i="20"/>
  <c r="J103" i="20"/>
  <c r="I103" i="20"/>
  <c r="H103" i="20"/>
  <c r="G103" i="20"/>
  <c r="F103" i="20"/>
  <c r="E103" i="20"/>
  <c r="R93" i="20"/>
  <c r="Q93" i="20"/>
  <c r="P93" i="20"/>
  <c r="O93" i="20"/>
  <c r="M93" i="20"/>
  <c r="L93" i="20"/>
  <c r="K93" i="20"/>
  <c r="J93" i="20"/>
  <c r="I93" i="20"/>
  <c r="H93" i="20"/>
  <c r="G93" i="20"/>
  <c r="F93" i="20"/>
  <c r="E93" i="20"/>
  <c r="R123" i="20"/>
  <c r="Q123" i="20"/>
  <c r="P123" i="20"/>
  <c r="O123" i="20"/>
  <c r="M123" i="20"/>
  <c r="L123" i="20"/>
  <c r="K123" i="20"/>
  <c r="J123" i="20"/>
  <c r="G123" i="20"/>
  <c r="F123" i="20"/>
  <c r="E123" i="20"/>
  <c r="R113" i="20"/>
  <c r="Q113" i="20"/>
  <c r="P113" i="20"/>
  <c r="O113" i="20"/>
  <c r="M113" i="20"/>
  <c r="L113" i="20"/>
  <c r="K113" i="20"/>
  <c r="J113" i="20"/>
  <c r="I113" i="20"/>
  <c r="H113" i="20"/>
  <c r="G113" i="20"/>
  <c r="F113" i="20"/>
  <c r="E113" i="20"/>
  <c r="R43" i="20"/>
  <c r="Q43" i="20"/>
  <c r="P43" i="20"/>
  <c r="O43" i="20"/>
  <c r="M43" i="20"/>
  <c r="L43" i="20"/>
  <c r="K43" i="20"/>
  <c r="J43" i="20"/>
  <c r="I43" i="20"/>
  <c r="H43" i="20"/>
  <c r="G43" i="20"/>
  <c r="F43" i="20"/>
  <c r="E43" i="20"/>
  <c r="R23" i="20"/>
  <c r="Q23" i="20"/>
  <c r="P23" i="20"/>
  <c r="O23" i="20"/>
  <c r="M23" i="20"/>
  <c r="L23" i="20"/>
  <c r="K23" i="20"/>
  <c r="J23" i="20"/>
  <c r="I23" i="20"/>
  <c r="H23" i="20"/>
  <c r="G23" i="20"/>
  <c r="F23" i="20"/>
  <c r="E23" i="20"/>
  <c r="R13" i="20"/>
  <c r="Q13" i="20"/>
  <c r="P13" i="20"/>
  <c r="O13" i="20"/>
  <c r="M13" i="20"/>
  <c r="L13" i="20"/>
  <c r="K13" i="20"/>
  <c r="J13" i="20"/>
  <c r="I13" i="20"/>
  <c r="H13" i="20"/>
  <c r="G13" i="20"/>
  <c r="F13" i="20"/>
  <c r="E13" i="20"/>
  <c r="R108" i="19"/>
  <c r="Q108" i="19"/>
  <c r="P108" i="19"/>
  <c r="O108" i="19"/>
  <c r="M108" i="19"/>
  <c r="L108" i="19"/>
  <c r="K108" i="19"/>
  <c r="J108" i="19"/>
  <c r="I108" i="19"/>
  <c r="H108" i="19"/>
  <c r="G108" i="19"/>
  <c r="F108" i="19"/>
  <c r="E108" i="19"/>
  <c r="R38" i="19"/>
  <c r="Q38" i="19"/>
  <c r="P38" i="19"/>
  <c r="O38" i="19"/>
  <c r="M38" i="19"/>
  <c r="L38" i="19"/>
  <c r="K38" i="19"/>
  <c r="J38" i="19"/>
  <c r="I38" i="19"/>
  <c r="H38" i="19"/>
  <c r="G38" i="19"/>
  <c r="F38" i="19"/>
  <c r="E38" i="19"/>
  <c r="R7" i="19"/>
  <c r="Q7" i="19"/>
  <c r="P7" i="19"/>
  <c r="O7" i="19"/>
  <c r="M7" i="19"/>
  <c r="L7" i="19"/>
  <c r="K7" i="19"/>
  <c r="J7" i="19"/>
  <c r="I7" i="19"/>
  <c r="H7" i="19"/>
  <c r="G7" i="19"/>
  <c r="F7" i="19"/>
  <c r="E7" i="19"/>
  <c r="R47" i="19"/>
  <c r="Q47" i="19"/>
  <c r="P47" i="19"/>
  <c r="O47" i="19"/>
  <c r="M47" i="19"/>
  <c r="L47" i="19"/>
  <c r="K47" i="19"/>
  <c r="J47" i="19"/>
  <c r="I47" i="19"/>
  <c r="H47" i="19"/>
  <c r="G47" i="19"/>
  <c r="F47" i="19"/>
  <c r="E47" i="19"/>
  <c r="R18" i="19"/>
  <c r="Q18" i="19"/>
  <c r="P18" i="19"/>
  <c r="O18" i="19"/>
  <c r="M18" i="19"/>
  <c r="L18" i="19"/>
  <c r="K18" i="19"/>
  <c r="J18" i="19"/>
  <c r="I18" i="19"/>
  <c r="H18" i="19"/>
  <c r="G18" i="19"/>
  <c r="F18" i="19"/>
  <c r="E18" i="19"/>
  <c r="R118" i="19"/>
  <c r="Q118" i="19"/>
  <c r="P118" i="19"/>
  <c r="O118" i="19"/>
  <c r="M118" i="19"/>
  <c r="L118" i="19"/>
  <c r="K118" i="19"/>
  <c r="J118" i="19"/>
  <c r="I118" i="19"/>
  <c r="H118" i="19"/>
  <c r="G118" i="19"/>
  <c r="F118" i="19"/>
  <c r="E118" i="19"/>
  <c r="R60" i="19"/>
  <c r="Q60" i="19"/>
  <c r="P60" i="19"/>
  <c r="O60" i="19"/>
  <c r="M60" i="19"/>
  <c r="L60" i="19"/>
  <c r="K60" i="19"/>
  <c r="J60" i="19"/>
  <c r="I60" i="19"/>
  <c r="H60" i="19"/>
  <c r="G60" i="19"/>
  <c r="F60" i="19"/>
  <c r="E60" i="19"/>
  <c r="R128" i="19"/>
  <c r="Q128" i="19"/>
  <c r="P128" i="19"/>
  <c r="O128" i="19"/>
  <c r="M128" i="19"/>
  <c r="L128" i="19"/>
  <c r="K128" i="19"/>
  <c r="J128" i="19"/>
  <c r="I128" i="19"/>
  <c r="H128" i="19"/>
  <c r="G128" i="19"/>
  <c r="F128" i="19"/>
  <c r="E128" i="19"/>
  <c r="R78" i="19"/>
  <c r="Q78" i="19"/>
  <c r="P78" i="19"/>
  <c r="O78" i="19"/>
  <c r="M78" i="19"/>
  <c r="L78" i="19"/>
  <c r="K78" i="19"/>
  <c r="J78" i="19"/>
  <c r="I78" i="19"/>
  <c r="H78" i="19"/>
  <c r="G78" i="19"/>
  <c r="F78" i="19"/>
  <c r="E78" i="19"/>
  <c r="R148" i="19"/>
  <c r="Q148" i="19"/>
  <c r="P148" i="19"/>
  <c r="O148" i="19"/>
  <c r="M148" i="19"/>
  <c r="L148" i="19"/>
  <c r="K148" i="19"/>
  <c r="J148" i="19"/>
  <c r="I148" i="19"/>
  <c r="H148" i="19"/>
  <c r="G148" i="19"/>
  <c r="F148" i="19"/>
  <c r="E148" i="19"/>
  <c r="R59" i="19"/>
  <c r="Q59" i="19"/>
  <c r="P59" i="19"/>
  <c r="O59" i="19"/>
  <c r="M59" i="19"/>
  <c r="L59" i="19"/>
  <c r="K59" i="19"/>
  <c r="J59" i="19"/>
  <c r="I59" i="19"/>
  <c r="H59" i="19"/>
  <c r="G59" i="19"/>
  <c r="F59" i="19"/>
  <c r="E59" i="19"/>
  <c r="R28" i="19"/>
  <c r="Q28" i="19"/>
  <c r="P28" i="19"/>
  <c r="O28" i="19"/>
  <c r="M28" i="19"/>
  <c r="L28" i="19"/>
  <c r="K28" i="19"/>
  <c r="J28" i="19"/>
  <c r="I28" i="19"/>
  <c r="H28" i="19"/>
  <c r="G28" i="19"/>
  <c r="F28" i="19"/>
  <c r="E28" i="19"/>
  <c r="R87" i="19"/>
  <c r="Q87" i="19"/>
  <c r="P87" i="19"/>
  <c r="O87" i="19"/>
  <c r="M87" i="19"/>
  <c r="L87" i="19"/>
  <c r="K87" i="19"/>
  <c r="J87" i="19"/>
  <c r="I87" i="19"/>
  <c r="H87" i="19"/>
  <c r="G87" i="19"/>
  <c r="F87" i="19"/>
  <c r="E87" i="19"/>
  <c r="R117" i="19"/>
  <c r="Q117" i="19"/>
  <c r="P117" i="19"/>
  <c r="O117" i="19"/>
  <c r="M117" i="19"/>
  <c r="L117" i="19"/>
  <c r="K117" i="19"/>
  <c r="J117" i="19"/>
  <c r="I117" i="19"/>
  <c r="H117" i="19"/>
  <c r="G117" i="19"/>
  <c r="F117" i="19"/>
  <c r="E117" i="19"/>
  <c r="R39" i="19"/>
  <c r="Q39" i="19"/>
  <c r="P39" i="19"/>
  <c r="O39" i="19"/>
  <c r="M39" i="19"/>
  <c r="L39" i="19"/>
  <c r="K39" i="19"/>
  <c r="J39" i="19"/>
  <c r="I39" i="19"/>
  <c r="H39" i="19"/>
  <c r="G39" i="19"/>
  <c r="F39" i="19"/>
  <c r="E39" i="19"/>
  <c r="R98" i="19"/>
  <c r="Q98" i="19"/>
  <c r="P98" i="19"/>
  <c r="O98" i="19"/>
  <c r="M98" i="19"/>
  <c r="L98" i="19"/>
  <c r="K98" i="19"/>
  <c r="J98" i="19"/>
  <c r="I98" i="19"/>
  <c r="H98" i="19"/>
  <c r="G98" i="19"/>
  <c r="F98" i="19"/>
  <c r="E98" i="19"/>
  <c r="R20" i="19"/>
  <c r="Q20" i="19"/>
  <c r="P20" i="19"/>
  <c r="O20" i="19"/>
  <c r="M20" i="19"/>
  <c r="L20" i="19"/>
  <c r="K20" i="19"/>
  <c r="J20" i="19"/>
  <c r="I20" i="19"/>
  <c r="H20" i="19"/>
  <c r="G20" i="19"/>
  <c r="F20" i="19"/>
  <c r="E20" i="19"/>
  <c r="R67" i="19"/>
  <c r="Q67" i="19"/>
  <c r="P67" i="19"/>
  <c r="O67" i="19"/>
  <c r="M67" i="19"/>
  <c r="L67" i="19"/>
  <c r="K67" i="19"/>
  <c r="J67" i="19"/>
  <c r="I67" i="19"/>
  <c r="H67" i="19"/>
  <c r="G67" i="19"/>
  <c r="F67" i="19"/>
  <c r="E67" i="19"/>
  <c r="R77" i="19"/>
  <c r="Q77" i="19"/>
  <c r="P77" i="19"/>
  <c r="O77" i="19"/>
  <c r="M77" i="19"/>
  <c r="L77" i="19"/>
  <c r="K77" i="19"/>
  <c r="J77" i="19"/>
  <c r="I77" i="19"/>
  <c r="H77" i="19"/>
  <c r="G77" i="19"/>
  <c r="F77" i="19"/>
  <c r="E77" i="19"/>
  <c r="R97" i="19"/>
  <c r="Q97" i="19"/>
  <c r="P97" i="19"/>
  <c r="O97" i="19"/>
  <c r="M97" i="19"/>
  <c r="L97" i="19"/>
  <c r="K97" i="19"/>
  <c r="J97" i="19"/>
  <c r="I97" i="19"/>
  <c r="H97" i="19"/>
  <c r="G97" i="19"/>
  <c r="F97" i="19"/>
  <c r="E97" i="19"/>
  <c r="R119" i="19"/>
  <c r="Q119" i="19"/>
  <c r="P119" i="19"/>
  <c r="O119" i="19"/>
  <c r="M119" i="19"/>
  <c r="L119" i="19"/>
  <c r="K119" i="19"/>
  <c r="J119" i="19"/>
  <c r="I119" i="19"/>
  <c r="H119" i="19"/>
  <c r="G119" i="19"/>
  <c r="F119" i="19"/>
  <c r="E119" i="19"/>
  <c r="R138" i="19"/>
  <c r="Q138" i="19"/>
  <c r="P138" i="19"/>
  <c r="O138" i="19"/>
  <c r="M138" i="19"/>
  <c r="L138" i="19"/>
  <c r="K138" i="19"/>
  <c r="J138" i="19"/>
  <c r="I138" i="19"/>
  <c r="H138" i="19"/>
  <c r="G138" i="19"/>
  <c r="F138" i="19"/>
  <c r="E138" i="19"/>
  <c r="R88" i="19"/>
  <c r="Q88" i="19"/>
  <c r="P88" i="19"/>
  <c r="O88" i="19"/>
  <c r="M88" i="19"/>
  <c r="L88" i="19"/>
  <c r="K88" i="19"/>
  <c r="J88" i="19"/>
  <c r="I88" i="19"/>
  <c r="H88" i="19"/>
  <c r="G88" i="19"/>
  <c r="F88" i="19"/>
  <c r="E88" i="19"/>
  <c r="R17" i="19"/>
  <c r="Q17" i="19"/>
  <c r="P17" i="19"/>
  <c r="O17" i="19"/>
  <c r="M17" i="19"/>
  <c r="L17" i="19"/>
  <c r="K17" i="19"/>
  <c r="J17" i="19"/>
  <c r="I17" i="19"/>
  <c r="H17" i="19"/>
  <c r="G17" i="19"/>
  <c r="F17" i="19"/>
  <c r="E17" i="19"/>
  <c r="R69" i="19"/>
  <c r="Q69" i="19"/>
  <c r="P69" i="19"/>
  <c r="O69" i="19"/>
  <c r="M69" i="19"/>
  <c r="L69" i="19"/>
  <c r="K69" i="19"/>
  <c r="J69" i="19"/>
  <c r="I69" i="19"/>
  <c r="H69" i="19"/>
  <c r="G69" i="19"/>
  <c r="F69" i="19"/>
  <c r="E69" i="19"/>
  <c r="R49" i="19"/>
  <c r="Q49" i="19"/>
  <c r="P49" i="19"/>
  <c r="O49" i="19"/>
  <c r="M49" i="19"/>
  <c r="L49" i="19"/>
  <c r="K49" i="19"/>
  <c r="J49" i="19"/>
  <c r="I49" i="19"/>
  <c r="H49" i="19"/>
  <c r="G49" i="19"/>
  <c r="F49" i="19"/>
  <c r="E49" i="19"/>
  <c r="R29" i="19"/>
  <c r="Q29" i="19"/>
  <c r="P29" i="19"/>
  <c r="O29" i="19"/>
  <c r="M29" i="19"/>
  <c r="L29" i="19"/>
  <c r="K29" i="19"/>
  <c r="J29" i="19"/>
  <c r="I29" i="19"/>
  <c r="H29" i="19"/>
  <c r="G29" i="19"/>
  <c r="F29" i="19"/>
  <c r="E29" i="19"/>
  <c r="R89" i="19"/>
  <c r="Q89" i="19"/>
  <c r="P89" i="19"/>
  <c r="O89" i="19"/>
  <c r="M89" i="19"/>
  <c r="L89" i="19"/>
  <c r="K89" i="19"/>
  <c r="J89" i="19"/>
  <c r="I89" i="19"/>
  <c r="H89" i="19"/>
  <c r="G89" i="19"/>
  <c r="F89" i="19"/>
  <c r="E89" i="19"/>
  <c r="R50" i="19"/>
  <c r="Q50" i="19"/>
  <c r="P50" i="19"/>
  <c r="O50" i="19"/>
  <c r="M50" i="19"/>
  <c r="L50" i="19"/>
  <c r="K50" i="19"/>
  <c r="J50" i="19"/>
  <c r="I50" i="19"/>
  <c r="H50" i="19"/>
  <c r="G50" i="19"/>
  <c r="F50" i="19"/>
  <c r="E50" i="19"/>
  <c r="R90" i="19"/>
  <c r="Q90" i="19"/>
  <c r="P90" i="19"/>
  <c r="O90" i="19"/>
  <c r="M90" i="19"/>
  <c r="L90" i="19"/>
  <c r="K90" i="19"/>
  <c r="J90" i="19"/>
  <c r="I90" i="19"/>
  <c r="H90" i="19"/>
  <c r="G90" i="19"/>
  <c r="F90" i="19"/>
  <c r="E90" i="19"/>
  <c r="R129" i="19"/>
  <c r="Q129" i="19"/>
  <c r="P129" i="19"/>
  <c r="O129" i="19"/>
  <c r="M129" i="19"/>
  <c r="L129" i="19"/>
  <c r="K129" i="19"/>
  <c r="J129" i="19"/>
  <c r="I129" i="19"/>
  <c r="H129" i="19"/>
  <c r="G129" i="19"/>
  <c r="F129" i="19"/>
  <c r="E129" i="19"/>
  <c r="R139" i="19"/>
  <c r="Q139" i="19"/>
  <c r="P139" i="19"/>
  <c r="O139" i="19"/>
  <c r="M139" i="19"/>
  <c r="L139" i="19"/>
  <c r="K139" i="19"/>
  <c r="J139" i="19"/>
  <c r="I139" i="19"/>
  <c r="H139" i="19"/>
  <c r="G139" i="19"/>
  <c r="F139" i="19"/>
  <c r="E139" i="19"/>
  <c r="R80" i="19"/>
  <c r="Q80" i="19"/>
  <c r="P80" i="19"/>
  <c r="O80" i="19"/>
  <c r="M80" i="19"/>
  <c r="L80" i="19"/>
  <c r="K80" i="19"/>
  <c r="J80" i="19"/>
  <c r="I80" i="19"/>
  <c r="H80" i="19"/>
  <c r="G80" i="19"/>
  <c r="F80" i="19"/>
  <c r="E80" i="19"/>
  <c r="R101" i="19"/>
  <c r="Q101" i="19"/>
  <c r="P101" i="19"/>
  <c r="O101" i="19"/>
  <c r="M101" i="19"/>
  <c r="L101" i="19"/>
  <c r="K101" i="19"/>
  <c r="J101" i="19"/>
  <c r="I101" i="19"/>
  <c r="H101" i="19"/>
  <c r="G101" i="19"/>
  <c r="F101" i="19"/>
  <c r="E101" i="19"/>
  <c r="R127" i="19"/>
  <c r="Q127" i="19"/>
  <c r="P127" i="19"/>
  <c r="O127" i="19"/>
  <c r="M127" i="19"/>
  <c r="L127" i="19"/>
  <c r="K127" i="19"/>
  <c r="J127" i="19"/>
  <c r="I127" i="19"/>
  <c r="H127" i="19"/>
  <c r="G127" i="19"/>
  <c r="F127" i="19"/>
  <c r="E127" i="19"/>
  <c r="R109" i="19"/>
  <c r="Q109" i="19"/>
  <c r="P109" i="19"/>
  <c r="O109" i="19"/>
  <c r="M109" i="19"/>
  <c r="L109" i="19"/>
  <c r="K109" i="19"/>
  <c r="J109" i="19"/>
  <c r="I109" i="19"/>
  <c r="H109" i="19"/>
  <c r="G109" i="19"/>
  <c r="F109" i="19"/>
  <c r="E109" i="19"/>
  <c r="R141" i="19"/>
  <c r="Q141" i="19"/>
  <c r="P141" i="19"/>
  <c r="O141" i="19"/>
  <c r="M141" i="19"/>
  <c r="L141" i="19"/>
  <c r="K141" i="19"/>
  <c r="J141" i="19"/>
  <c r="I141" i="19"/>
  <c r="H141" i="19"/>
  <c r="G141" i="19"/>
  <c r="F141" i="19"/>
  <c r="E141" i="19"/>
  <c r="R110" i="19"/>
  <c r="Q110" i="19"/>
  <c r="P110" i="19"/>
  <c r="O110" i="19"/>
  <c r="M110" i="19"/>
  <c r="L110" i="19"/>
  <c r="K110" i="19"/>
  <c r="J110" i="19"/>
  <c r="I110" i="19"/>
  <c r="H110" i="19"/>
  <c r="G110" i="19"/>
  <c r="F110" i="19"/>
  <c r="E110" i="19"/>
  <c r="R79" i="19"/>
  <c r="Q79" i="19"/>
  <c r="P79" i="19"/>
  <c r="O79" i="19"/>
  <c r="M79" i="19"/>
  <c r="L79" i="19"/>
  <c r="K79" i="19"/>
  <c r="J79" i="19"/>
  <c r="I79" i="19"/>
  <c r="H79" i="19"/>
  <c r="G79" i="19"/>
  <c r="F79" i="19"/>
  <c r="E79" i="19"/>
  <c r="R140" i="19"/>
  <c r="Q140" i="19"/>
  <c r="P140" i="19"/>
  <c r="O140" i="19"/>
  <c r="M140" i="19"/>
  <c r="L140" i="19"/>
  <c r="K140" i="19"/>
  <c r="J140" i="19"/>
  <c r="I140" i="19"/>
  <c r="H140" i="19"/>
  <c r="G140" i="19"/>
  <c r="F140" i="19"/>
  <c r="E140" i="19"/>
  <c r="R57" i="19"/>
  <c r="Q57" i="19"/>
  <c r="P57" i="19"/>
  <c r="O57" i="19"/>
  <c r="M57" i="19"/>
  <c r="L57" i="19"/>
  <c r="K57" i="19"/>
  <c r="J57" i="19"/>
  <c r="I57" i="19"/>
  <c r="H57" i="19"/>
  <c r="G57" i="19"/>
  <c r="F57" i="19"/>
  <c r="E57" i="19"/>
  <c r="R120" i="19"/>
  <c r="Q120" i="19"/>
  <c r="P120" i="19"/>
  <c r="O120" i="19"/>
  <c r="M120" i="19"/>
  <c r="L120" i="19"/>
  <c r="K120" i="19"/>
  <c r="J120" i="19"/>
  <c r="I120" i="19"/>
  <c r="H120" i="19"/>
  <c r="G120" i="19"/>
  <c r="F120" i="19"/>
  <c r="E120" i="19"/>
  <c r="R19" i="19"/>
  <c r="Q19" i="19"/>
  <c r="P19" i="19"/>
  <c r="O19" i="19"/>
  <c r="M19" i="19"/>
  <c r="L19" i="19"/>
  <c r="K19" i="19"/>
  <c r="J19" i="19"/>
  <c r="I19" i="19"/>
  <c r="H19" i="19"/>
  <c r="G19" i="19"/>
  <c r="F19" i="19"/>
  <c r="E19" i="19"/>
  <c r="R149" i="19"/>
  <c r="Q149" i="19"/>
  <c r="P149" i="19"/>
  <c r="O149" i="19"/>
  <c r="M149" i="19"/>
  <c r="L149" i="19"/>
  <c r="K149" i="19"/>
  <c r="J149" i="19"/>
  <c r="I149" i="19"/>
  <c r="H149" i="19"/>
  <c r="G149" i="19"/>
  <c r="F149" i="19"/>
  <c r="E149" i="19"/>
  <c r="R58" i="19"/>
  <c r="Q58" i="19"/>
  <c r="P58" i="19"/>
  <c r="O58" i="19"/>
  <c r="M58" i="19"/>
  <c r="L58" i="19"/>
  <c r="K58" i="19"/>
  <c r="J58" i="19"/>
  <c r="I58" i="19"/>
  <c r="H58" i="19"/>
  <c r="G58" i="19"/>
  <c r="F58" i="19"/>
  <c r="E58" i="19"/>
  <c r="R30" i="19"/>
  <c r="Q30" i="19"/>
  <c r="P30" i="19"/>
  <c r="O30" i="19"/>
  <c r="M30" i="19"/>
  <c r="L30" i="19"/>
  <c r="K30" i="19"/>
  <c r="J30" i="19"/>
  <c r="I30" i="19"/>
  <c r="H30" i="19"/>
  <c r="G30" i="19"/>
  <c r="F30" i="19"/>
  <c r="E30" i="19"/>
  <c r="R61" i="19"/>
  <c r="Q61" i="19"/>
  <c r="P61" i="19"/>
  <c r="O61" i="19"/>
  <c r="M61" i="19"/>
  <c r="L61" i="19"/>
  <c r="K61" i="19"/>
  <c r="J61" i="19"/>
  <c r="I61" i="19"/>
  <c r="H61" i="19"/>
  <c r="G61" i="19"/>
  <c r="F61" i="19"/>
  <c r="E61" i="19"/>
  <c r="R51" i="19"/>
  <c r="Q51" i="19"/>
  <c r="P51" i="19"/>
  <c r="O51" i="19"/>
  <c r="M51" i="19"/>
  <c r="L51" i="19"/>
  <c r="K51" i="19"/>
  <c r="J51" i="19"/>
  <c r="I51" i="19"/>
  <c r="H51" i="19"/>
  <c r="G51" i="19"/>
  <c r="F51" i="19"/>
  <c r="E51" i="19"/>
  <c r="R111" i="19"/>
  <c r="Q111" i="19"/>
  <c r="P111" i="19"/>
  <c r="O111" i="19"/>
  <c r="M111" i="19"/>
  <c r="L111" i="19"/>
  <c r="K111" i="19"/>
  <c r="J111" i="19"/>
  <c r="I111" i="19"/>
  <c r="H111" i="19"/>
  <c r="G111" i="19"/>
  <c r="F111" i="19"/>
  <c r="E111" i="19"/>
  <c r="R82" i="19"/>
  <c r="Q82" i="19"/>
  <c r="P82" i="19"/>
  <c r="O82" i="19"/>
  <c r="M82" i="19"/>
  <c r="L82" i="19"/>
  <c r="K82" i="19"/>
  <c r="J82" i="19"/>
  <c r="I82" i="19"/>
  <c r="H82" i="19"/>
  <c r="G82" i="19"/>
  <c r="F82" i="19"/>
  <c r="E82" i="19"/>
  <c r="R11" i="19"/>
  <c r="Q11" i="19"/>
  <c r="P11" i="19"/>
  <c r="O11" i="19"/>
  <c r="M11" i="19"/>
  <c r="L11" i="19"/>
  <c r="K11" i="19"/>
  <c r="J11" i="19"/>
  <c r="I11" i="19"/>
  <c r="H11" i="19"/>
  <c r="G11" i="19"/>
  <c r="F11" i="19"/>
  <c r="E11" i="19"/>
  <c r="R107" i="19"/>
  <c r="Q107" i="19"/>
  <c r="P107" i="19"/>
  <c r="O107" i="19"/>
  <c r="M107" i="19"/>
  <c r="L107" i="19"/>
  <c r="K107" i="19"/>
  <c r="J107" i="19"/>
  <c r="I107" i="19"/>
  <c r="H107" i="19"/>
  <c r="G107" i="19"/>
  <c r="F107" i="19"/>
  <c r="E107" i="19"/>
  <c r="R27" i="19"/>
  <c r="Q27" i="19"/>
  <c r="P27" i="19"/>
  <c r="O27" i="19"/>
  <c r="M27" i="19"/>
  <c r="L27" i="19"/>
  <c r="K27" i="19"/>
  <c r="J27" i="19"/>
  <c r="I27" i="19"/>
  <c r="H27" i="19"/>
  <c r="G27" i="19"/>
  <c r="F27" i="19"/>
  <c r="E27" i="19"/>
  <c r="R48" i="19"/>
  <c r="Q48" i="19"/>
  <c r="P48" i="19"/>
  <c r="O48" i="19"/>
  <c r="M48" i="19"/>
  <c r="L48" i="19"/>
  <c r="K48" i="19"/>
  <c r="J48" i="19"/>
  <c r="I48" i="19"/>
  <c r="H48" i="19"/>
  <c r="G48" i="19"/>
  <c r="F48" i="19"/>
  <c r="E48" i="19"/>
  <c r="R147" i="19"/>
  <c r="Q147" i="19"/>
  <c r="P147" i="19"/>
  <c r="O147" i="19"/>
  <c r="M147" i="19"/>
  <c r="L147" i="19"/>
  <c r="K147" i="19"/>
  <c r="J147" i="19"/>
  <c r="I147" i="19"/>
  <c r="H147" i="19"/>
  <c r="G147" i="19"/>
  <c r="F147" i="19"/>
  <c r="E147" i="19"/>
  <c r="R131" i="19"/>
  <c r="Q131" i="19"/>
  <c r="P131" i="19"/>
  <c r="O131" i="19"/>
  <c r="M131" i="19"/>
  <c r="L131" i="19"/>
  <c r="K131" i="19"/>
  <c r="J131" i="19"/>
  <c r="I131" i="19"/>
  <c r="H131" i="19"/>
  <c r="G131" i="19"/>
  <c r="F131" i="19"/>
  <c r="E131" i="19"/>
  <c r="R132" i="19"/>
  <c r="Q132" i="19"/>
  <c r="P132" i="19"/>
  <c r="O132" i="19"/>
  <c r="M132" i="19"/>
  <c r="L132" i="19"/>
  <c r="K132" i="19"/>
  <c r="J132" i="19"/>
  <c r="I132" i="19"/>
  <c r="H132" i="19"/>
  <c r="G132" i="19"/>
  <c r="F132" i="19"/>
  <c r="E132" i="19"/>
  <c r="R68" i="19"/>
  <c r="Q68" i="19"/>
  <c r="P68" i="19"/>
  <c r="O68" i="19"/>
  <c r="M68" i="19"/>
  <c r="L68" i="19"/>
  <c r="K68" i="19"/>
  <c r="J68" i="19"/>
  <c r="I68" i="19"/>
  <c r="H68" i="19"/>
  <c r="G68" i="19"/>
  <c r="F68" i="19"/>
  <c r="E68" i="19"/>
  <c r="R40" i="19"/>
  <c r="Q40" i="19"/>
  <c r="P40" i="19"/>
  <c r="O40" i="19"/>
  <c r="M40" i="19"/>
  <c r="L40" i="19"/>
  <c r="K40" i="19"/>
  <c r="J40" i="19"/>
  <c r="I40" i="19"/>
  <c r="H40" i="19"/>
  <c r="G40" i="19"/>
  <c r="F40" i="19"/>
  <c r="E40" i="19"/>
  <c r="R71" i="19"/>
  <c r="Q71" i="19"/>
  <c r="P71" i="19"/>
  <c r="O71" i="19"/>
  <c r="M71" i="19"/>
  <c r="L71" i="19"/>
  <c r="K71" i="19"/>
  <c r="J71" i="19"/>
  <c r="I71" i="19"/>
  <c r="H71" i="19"/>
  <c r="G71" i="19"/>
  <c r="F71" i="19"/>
  <c r="E71" i="19"/>
  <c r="R130" i="19"/>
  <c r="Q130" i="19"/>
  <c r="P130" i="19"/>
  <c r="O130" i="19"/>
  <c r="M130" i="19"/>
  <c r="L130" i="19"/>
  <c r="K130" i="19"/>
  <c r="J130" i="19"/>
  <c r="I130" i="19"/>
  <c r="H130" i="19"/>
  <c r="G130" i="19"/>
  <c r="F130" i="19"/>
  <c r="E130" i="19"/>
  <c r="R9" i="19"/>
  <c r="Q9" i="19"/>
  <c r="P9" i="19"/>
  <c r="O9" i="19"/>
  <c r="M9" i="19"/>
  <c r="L9" i="19"/>
  <c r="K9" i="19"/>
  <c r="J9" i="19"/>
  <c r="I9" i="19"/>
  <c r="H9" i="19"/>
  <c r="G9" i="19"/>
  <c r="F9" i="19"/>
  <c r="E9" i="19"/>
  <c r="R10" i="19"/>
  <c r="Q10" i="19"/>
  <c r="P10" i="19"/>
  <c r="O10" i="19"/>
  <c r="M10" i="19"/>
  <c r="L10" i="19"/>
  <c r="K10" i="19"/>
  <c r="J10" i="19"/>
  <c r="I10" i="19"/>
  <c r="H10" i="19"/>
  <c r="G10" i="19"/>
  <c r="F10" i="19"/>
  <c r="E10" i="19"/>
  <c r="R12" i="19"/>
  <c r="Q12" i="19"/>
  <c r="P12" i="19"/>
  <c r="O12" i="19"/>
  <c r="M12" i="19"/>
  <c r="L12" i="19"/>
  <c r="K12" i="19"/>
  <c r="J12" i="19"/>
  <c r="I12" i="19"/>
  <c r="H12" i="19"/>
  <c r="G12" i="19"/>
  <c r="F12" i="19"/>
  <c r="E12" i="19"/>
  <c r="R37" i="19"/>
  <c r="Q37" i="19"/>
  <c r="P37" i="19"/>
  <c r="O37" i="19"/>
  <c r="M37" i="19"/>
  <c r="L37" i="19"/>
  <c r="K37" i="19"/>
  <c r="J37" i="19"/>
  <c r="I37" i="19"/>
  <c r="H37" i="19"/>
  <c r="G37" i="19"/>
  <c r="F37" i="19"/>
  <c r="E37" i="19"/>
  <c r="R91" i="19"/>
  <c r="Q91" i="19"/>
  <c r="P91" i="19"/>
  <c r="O91" i="19"/>
  <c r="M91" i="19"/>
  <c r="L91" i="19"/>
  <c r="K91" i="19"/>
  <c r="J91" i="19"/>
  <c r="I91" i="19"/>
  <c r="H91" i="19"/>
  <c r="G91" i="19"/>
  <c r="F91" i="19"/>
  <c r="E91" i="19"/>
  <c r="R112" i="19"/>
  <c r="Q112" i="19"/>
  <c r="P112" i="19"/>
  <c r="O112" i="19"/>
  <c r="M112" i="19"/>
  <c r="L112" i="19"/>
  <c r="K112" i="19"/>
  <c r="J112" i="19"/>
  <c r="I112" i="19"/>
  <c r="H112" i="19"/>
  <c r="G112" i="19"/>
  <c r="F112" i="19"/>
  <c r="E112" i="19"/>
  <c r="R102" i="19"/>
  <c r="Q102" i="19"/>
  <c r="P102" i="19"/>
  <c r="O102" i="19"/>
  <c r="M102" i="19"/>
  <c r="L102" i="19"/>
  <c r="K102" i="19"/>
  <c r="J102" i="19"/>
  <c r="I102" i="19"/>
  <c r="H102" i="19"/>
  <c r="G102" i="19"/>
  <c r="F102" i="19"/>
  <c r="E102" i="19"/>
  <c r="R70" i="19"/>
  <c r="Q70" i="19"/>
  <c r="P70" i="19"/>
  <c r="O70" i="19"/>
  <c r="M70" i="19"/>
  <c r="L70" i="19"/>
  <c r="K70" i="19"/>
  <c r="J70" i="19"/>
  <c r="I70" i="19"/>
  <c r="H70" i="19"/>
  <c r="G70" i="19"/>
  <c r="F70" i="19"/>
  <c r="E70" i="19"/>
  <c r="R99" i="19"/>
  <c r="Q99" i="19"/>
  <c r="P99" i="19"/>
  <c r="O99" i="19"/>
  <c r="M99" i="19"/>
  <c r="L99" i="19"/>
  <c r="K99" i="19"/>
  <c r="J99" i="19"/>
  <c r="I99" i="19"/>
  <c r="H99" i="19"/>
  <c r="G99" i="19"/>
  <c r="F99" i="19"/>
  <c r="E99" i="19"/>
  <c r="R81" i="19"/>
  <c r="Q81" i="19"/>
  <c r="P81" i="19"/>
  <c r="O81" i="19"/>
  <c r="M81" i="19"/>
  <c r="L81" i="19"/>
  <c r="K81" i="19"/>
  <c r="J81" i="19"/>
  <c r="I81" i="19"/>
  <c r="H81" i="19"/>
  <c r="G81" i="19"/>
  <c r="F81" i="19"/>
  <c r="E81" i="19"/>
  <c r="R137" i="19"/>
  <c r="Q137" i="19"/>
  <c r="P137" i="19"/>
  <c r="O137" i="19"/>
  <c r="M137" i="19"/>
  <c r="L137" i="19"/>
  <c r="K137" i="19"/>
  <c r="J137" i="19"/>
  <c r="I137" i="19"/>
  <c r="H137" i="19"/>
  <c r="G137" i="19"/>
  <c r="F137" i="19"/>
  <c r="E137" i="19"/>
  <c r="R31" i="19"/>
  <c r="Q31" i="19"/>
  <c r="P31" i="19"/>
  <c r="O31" i="19"/>
  <c r="M31" i="19"/>
  <c r="L31" i="19"/>
  <c r="K31" i="19"/>
  <c r="J31" i="19"/>
  <c r="I31" i="19"/>
  <c r="H31" i="19"/>
  <c r="G31" i="19"/>
  <c r="F31" i="19"/>
  <c r="E31" i="19"/>
  <c r="R8" i="19"/>
  <c r="Q8" i="19"/>
  <c r="P8" i="19"/>
  <c r="O8" i="19"/>
  <c r="M8" i="19"/>
  <c r="L8" i="19"/>
  <c r="K8" i="19"/>
  <c r="J8" i="19"/>
  <c r="I8" i="19"/>
  <c r="H8" i="19"/>
  <c r="G8" i="19"/>
  <c r="F8" i="19"/>
  <c r="E8" i="19"/>
  <c r="R72" i="19"/>
  <c r="Q72" i="19"/>
  <c r="P72" i="19"/>
  <c r="O72" i="19"/>
  <c r="M72" i="19"/>
  <c r="L72" i="19"/>
  <c r="K72" i="19"/>
  <c r="J72" i="19"/>
  <c r="I72" i="19"/>
  <c r="H72" i="19"/>
  <c r="G72" i="19"/>
  <c r="F72" i="19"/>
  <c r="E72" i="19"/>
  <c r="R122" i="19"/>
  <c r="Q122" i="19"/>
  <c r="P122" i="19"/>
  <c r="O122" i="19"/>
  <c r="M122" i="19"/>
  <c r="L122" i="19"/>
  <c r="K122" i="19"/>
  <c r="J122" i="19"/>
  <c r="I122" i="19"/>
  <c r="H122" i="19"/>
  <c r="G122" i="19"/>
  <c r="F122" i="19"/>
  <c r="E122" i="19"/>
  <c r="R22" i="19"/>
  <c r="Q22" i="19"/>
  <c r="P22" i="19"/>
  <c r="O22" i="19"/>
  <c r="M22" i="19"/>
  <c r="L22" i="19"/>
  <c r="K22" i="19"/>
  <c r="J22" i="19"/>
  <c r="I22" i="19"/>
  <c r="H22" i="19"/>
  <c r="G22" i="19"/>
  <c r="F22" i="19"/>
  <c r="E22" i="19"/>
  <c r="R121" i="19"/>
  <c r="Q121" i="19"/>
  <c r="P121" i="19"/>
  <c r="O121" i="19"/>
  <c r="M121" i="19"/>
  <c r="L121" i="19"/>
  <c r="K121" i="19"/>
  <c r="J121" i="19"/>
  <c r="I121" i="19"/>
  <c r="H121" i="19"/>
  <c r="G121" i="19"/>
  <c r="F121" i="19"/>
  <c r="E121" i="19"/>
  <c r="R21" i="19"/>
  <c r="Q21" i="19"/>
  <c r="P21" i="19"/>
  <c r="O21" i="19"/>
  <c r="M21" i="19"/>
  <c r="L21" i="19"/>
  <c r="K21" i="19"/>
  <c r="J21" i="19"/>
  <c r="I21" i="19"/>
  <c r="H21" i="19"/>
  <c r="G21" i="19"/>
  <c r="F21" i="19"/>
  <c r="E21" i="19"/>
  <c r="R52" i="19"/>
  <c r="Q52" i="19"/>
  <c r="P52" i="19"/>
  <c r="O52" i="19"/>
  <c r="M52" i="19"/>
  <c r="L52" i="19"/>
  <c r="K52" i="19"/>
  <c r="J52" i="19"/>
  <c r="I52" i="19"/>
  <c r="H52" i="19"/>
  <c r="G52" i="19"/>
  <c r="F52" i="19"/>
  <c r="E52" i="19"/>
  <c r="R142" i="19"/>
  <c r="Q142" i="19"/>
  <c r="P142" i="19"/>
  <c r="O142" i="19"/>
  <c r="M142" i="19"/>
  <c r="L142" i="19"/>
  <c r="K142" i="19"/>
  <c r="J142" i="19"/>
  <c r="I142" i="19"/>
  <c r="H142" i="19"/>
  <c r="G142" i="19"/>
  <c r="F142" i="19"/>
  <c r="E142" i="19"/>
  <c r="R42" i="19"/>
  <c r="Q42" i="19"/>
  <c r="P42" i="19"/>
  <c r="O42" i="19"/>
  <c r="M42" i="19"/>
  <c r="L42" i="19"/>
  <c r="K42" i="19"/>
  <c r="J42" i="19"/>
  <c r="I42" i="19"/>
  <c r="H42" i="19"/>
  <c r="G42" i="19"/>
  <c r="F42" i="19"/>
  <c r="E42" i="19"/>
  <c r="R152" i="19"/>
  <c r="Q152" i="19"/>
  <c r="P152" i="19"/>
  <c r="O152" i="19"/>
  <c r="M152" i="19"/>
  <c r="L152" i="19"/>
  <c r="K152" i="19"/>
  <c r="J152" i="19"/>
  <c r="I152" i="19"/>
  <c r="H152" i="19"/>
  <c r="G152" i="19"/>
  <c r="F152" i="19"/>
  <c r="E152" i="19"/>
  <c r="R151" i="19"/>
  <c r="Q151" i="19"/>
  <c r="P151" i="19"/>
  <c r="O151" i="19"/>
  <c r="M151" i="19"/>
  <c r="L151" i="19"/>
  <c r="K151" i="19"/>
  <c r="J151" i="19"/>
  <c r="I151" i="19"/>
  <c r="H151" i="19"/>
  <c r="G151" i="19"/>
  <c r="F151" i="19"/>
  <c r="E151" i="19"/>
  <c r="R32" i="19"/>
  <c r="Q32" i="19"/>
  <c r="P32" i="19"/>
  <c r="O32" i="19"/>
  <c r="M32" i="19"/>
  <c r="L32" i="19"/>
  <c r="K32" i="19"/>
  <c r="J32" i="19"/>
  <c r="I32" i="19"/>
  <c r="H32" i="19"/>
  <c r="G32" i="19"/>
  <c r="F32" i="19"/>
  <c r="E32" i="19"/>
  <c r="R150" i="19"/>
  <c r="Q150" i="19"/>
  <c r="P150" i="19"/>
  <c r="O150" i="19"/>
  <c r="M150" i="19"/>
  <c r="L150" i="19"/>
  <c r="K150" i="19"/>
  <c r="J150" i="19"/>
  <c r="I150" i="19"/>
  <c r="H150" i="19"/>
  <c r="G150" i="19"/>
  <c r="F150" i="19"/>
  <c r="E150" i="19"/>
  <c r="R41" i="19"/>
  <c r="Q41" i="19"/>
  <c r="P41" i="19"/>
  <c r="O41" i="19"/>
  <c r="M41" i="19"/>
  <c r="L41" i="19"/>
  <c r="K41" i="19"/>
  <c r="J41" i="19"/>
  <c r="I41" i="19"/>
  <c r="H41" i="19"/>
  <c r="G41" i="19"/>
  <c r="F41" i="19"/>
  <c r="E41" i="19"/>
  <c r="R92" i="19"/>
  <c r="Q92" i="19"/>
  <c r="P92" i="19"/>
  <c r="O92" i="19"/>
  <c r="M92" i="19"/>
  <c r="L92" i="19"/>
  <c r="K92" i="19"/>
  <c r="J92" i="19"/>
  <c r="I92" i="19"/>
  <c r="H92" i="19"/>
  <c r="G92" i="19"/>
  <c r="F92" i="19"/>
  <c r="E92" i="19"/>
  <c r="R100" i="19"/>
  <c r="Q100" i="19"/>
  <c r="P100" i="19"/>
  <c r="O100" i="19"/>
  <c r="M100" i="19"/>
  <c r="L100" i="19"/>
  <c r="K100" i="19"/>
  <c r="J100" i="19"/>
  <c r="I100" i="19"/>
  <c r="H100" i="19"/>
  <c r="G100" i="19"/>
  <c r="F100" i="19"/>
  <c r="E100" i="19"/>
  <c r="R62" i="19"/>
  <c r="Q62" i="19"/>
  <c r="P62" i="19"/>
  <c r="O62" i="19"/>
  <c r="M62" i="19"/>
  <c r="L62" i="19"/>
  <c r="K62" i="19"/>
  <c r="J62" i="19"/>
  <c r="I62" i="19"/>
  <c r="H62" i="19"/>
  <c r="G62" i="19"/>
  <c r="F62" i="19"/>
  <c r="E62" i="19"/>
  <c r="R146" i="19"/>
  <c r="Q146" i="19"/>
  <c r="P146" i="19"/>
  <c r="O146" i="19"/>
  <c r="M146" i="19"/>
  <c r="L146" i="19"/>
  <c r="K146" i="19"/>
  <c r="J146" i="19"/>
  <c r="I146" i="19"/>
  <c r="H146" i="19"/>
  <c r="G146" i="19"/>
  <c r="F146" i="19"/>
  <c r="E146" i="19"/>
  <c r="R136" i="19"/>
  <c r="Q136" i="19"/>
  <c r="P136" i="19"/>
  <c r="O136" i="19"/>
  <c r="M136" i="19"/>
  <c r="L136" i="19"/>
  <c r="K136" i="19"/>
  <c r="J136" i="19"/>
  <c r="I136" i="19"/>
  <c r="H136" i="19"/>
  <c r="G136" i="19"/>
  <c r="F136" i="19"/>
  <c r="E136" i="19"/>
  <c r="R76" i="19"/>
  <c r="Q76" i="19"/>
  <c r="P76" i="19"/>
  <c r="O76" i="19"/>
  <c r="M76" i="19"/>
  <c r="L76" i="19"/>
  <c r="K76" i="19"/>
  <c r="J76" i="19"/>
  <c r="I76" i="19"/>
  <c r="H76" i="19"/>
  <c r="G76" i="19"/>
  <c r="F76" i="19"/>
  <c r="E76" i="19"/>
  <c r="R63" i="19"/>
  <c r="Q63" i="19"/>
  <c r="P63" i="19"/>
  <c r="O63" i="19"/>
  <c r="M63" i="19"/>
  <c r="L63" i="19"/>
  <c r="K63" i="19"/>
  <c r="J63" i="19"/>
  <c r="I63" i="19"/>
  <c r="H63" i="19"/>
  <c r="G63" i="19"/>
  <c r="F63" i="19"/>
  <c r="E63" i="19"/>
  <c r="R95" i="19"/>
  <c r="Q95" i="19"/>
  <c r="P95" i="19"/>
  <c r="O95" i="19"/>
  <c r="M95" i="19"/>
  <c r="L95" i="19"/>
  <c r="K95" i="19"/>
  <c r="J95" i="19"/>
  <c r="I95" i="19"/>
  <c r="H95" i="19"/>
  <c r="G95" i="19"/>
  <c r="F95" i="19"/>
  <c r="E95" i="19"/>
  <c r="R126" i="19"/>
  <c r="Q126" i="19"/>
  <c r="P126" i="19"/>
  <c r="O126" i="19"/>
  <c r="M126" i="19"/>
  <c r="L126" i="19"/>
  <c r="K126" i="19"/>
  <c r="J126" i="19"/>
  <c r="I126" i="19"/>
  <c r="H126" i="19"/>
  <c r="G126" i="19"/>
  <c r="F126" i="19"/>
  <c r="E126" i="19"/>
  <c r="R116" i="19"/>
  <c r="Q116" i="19"/>
  <c r="P116" i="19"/>
  <c r="O116" i="19"/>
  <c r="M116" i="19"/>
  <c r="L116" i="19"/>
  <c r="K116" i="19"/>
  <c r="J116" i="19"/>
  <c r="I116" i="19"/>
  <c r="H116" i="19"/>
  <c r="G116" i="19"/>
  <c r="F116" i="19"/>
  <c r="E116" i="19"/>
  <c r="R4" i="19"/>
  <c r="Q4" i="19"/>
  <c r="P4" i="19"/>
  <c r="O4" i="19"/>
  <c r="M4" i="19"/>
  <c r="L4" i="19"/>
  <c r="K4" i="19"/>
  <c r="J4" i="19"/>
  <c r="I4" i="19"/>
  <c r="H4" i="19"/>
  <c r="G4" i="19"/>
  <c r="F4" i="19"/>
  <c r="E4" i="19"/>
  <c r="R145" i="19"/>
  <c r="Q145" i="19"/>
  <c r="P145" i="19"/>
  <c r="O145" i="19"/>
  <c r="M145" i="19"/>
  <c r="L145" i="19"/>
  <c r="K145" i="19"/>
  <c r="J145" i="19"/>
  <c r="I145" i="19"/>
  <c r="H145" i="19"/>
  <c r="G145" i="19"/>
  <c r="F145" i="19"/>
  <c r="E145" i="19"/>
  <c r="R55" i="19"/>
  <c r="Q55" i="19"/>
  <c r="P55" i="19"/>
  <c r="O55" i="19"/>
  <c r="M55" i="19"/>
  <c r="L55" i="19"/>
  <c r="K55" i="19"/>
  <c r="J55" i="19"/>
  <c r="I55" i="19"/>
  <c r="H55" i="19"/>
  <c r="G55" i="19"/>
  <c r="F55" i="19"/>
  <c r="E55" i="19"/>
  <c r="R106" i="19"/>
  <c r="Q106" i="19"/>
  <c r="P106" i="19"/>
  <c r="O106" i="19"/>
  <c r="M106" i="19"/>
  <c r="L106" i="19"/>
  <c r="K106" i="19"/>
  <c r="J106" i="19"/>
  <c r="I106" i="19"/>
  <c r="H106" i="19"/>
  <c r="G106" i="19"/>
  <c r="F106" i="19"/>
  <c r="E106" i="19"/>
  <c r="R144" i="19"/>
  <c r="Q144" i="19"/>
  <c r="P144" i="19"/>
  <c r="O144" i="19"/>
  <c r="M144" i="19"/>
  <c r="L144" i="19"/>
  <c r="K144" i="19"/>
  <c r="J144" i="19"/>
  <c r="I144" i="19"/>
  <c r="H144" i="19"/>
  <c r="G144" i="19"/>
  <c r="F144" i="19"/>
  <c r="E144" i="19"/>
  <c r="R23" i="19"/>
  <c r="Q23" i="19"/>
  <c r="P23" i="19"/>
  <c r="O23" i="19"/>
  <c r="M23" i="19"/>
  <c r="L23" i="19"/>
  <c r="K23" i="19"/>
  <c r="J23" i="19"/>
  <c r="I23" i="19"/>
  <c r="H23" i="19"/>
  <c r="G23" i="19"/>
  <c r="F23" i="19"/>
  <c r="E23" i="19"/>
  <c r="R26" i="19"/>
  <c r="Q26" i="19"/>
  <c r="P26" i="19"/>
  <c r="O26" i="19"/>
  <c r="M26" i="19"/>
  <c r="L26" i="19"/>
  <c r="K26" i="19"/>
  <c r="J26" i="19"/>
  <c r="I26" i="19"/>
  <c r="H26" i="19"/>
  <c r="G26" i="19"/>
  <c r="F26" i="19"/>
  <c r="E26" i="19"/>
  <c r="R25" i="19"/>
  <c r="Q25" i="19"/>
  <c r="P25" i="19"/>
  <c r="O25" i="19"/>
  <c r="M25" i="19"/>
  <c r="L25" i="19"/>
  <c r="K25" i="19"/>
  <c r="J25" i="19"/>
  <c r="I25" i="19"/>
  <c r="H25" i="19"/>
  <c r="G25" i="19"/>
  <c r="F25" i="19"/>
  <c r="E25" i="19"/>
  <c r="R46" i="19"/>
  <c r="Q46" i="19"/>
  <c r="P46" i="19"/>
  <c r="O46" i="19"/>
  <c r="M46" i="19"/>
  <c r="L46" i="19"/>
  <c r="K46" i="19"/>
  <c r="J46" i="19"/>
  <c r="I46" i="19"/>
  <c r="H46" i="19"/>
  <c r="G46" i="19"/>
  <c r="F46" i="19"/>
  <c r="E46" i="19"/>
  <c r="R5" i="19"/>
  <c r="Q5" i="19"/>
  <c r="P5" i="19"/>
  <c r="O5" i="19"/>
  <c r="M5" i="19"/>
  <c r="L5" i="19"/>
  <c r="K5" i="19"/>
  <c r="J5" i="19"/>
  <c r="I5" i="19"/>
  <c r="H5" i="19"/>
  <c r="G5" i="19"/>
  <c r="F5" i="19"/>
  <c r="E5" i="19"/>
  <c r="R85" i="19"/>
  <c r="Q85" i="19"/>
  <c r="P85" i="19"/>
  <c r="O85" i="19"/>
  <c r="M85" i="19"/>
  <c r="L85" i="19"/>
  <c r="K85" i="19"/>
  <c r="J85" i="19"/>
  <c r="I85" i="19"/>
  <c r="H85" i="19"/>
  <c r="G85" i="19"/>
  <c r="F85" i="19"/>
  <c r="E85" i="19"/>
  <c r="R15" i="19"/>
  <c r="Q15" i="19"/>
  <c r="P15" i="19"/>
  <c r="O15" i="19"/>
  <c r="M15" i="19"/>
  <c r="L15" i="19"/>
  <c r="K15" i="19"/>
  <c r="J15" i="19"/>
  <c r="I15" i="19"/>
  <c r="H15" i="19"/>
  <c r="G15" i="19"/>
  <c r="F15" i="19"/>
  <c r="E15" i="19"/>
  <c r="R86" i="19"/>
  <c r="Q86" i="19"/>
  <c r="P86" i="19"/>
  <c r="O86" i="19"/>
  <c r="M86" i="19"/>
  <c r="L86" i="19"/>
  <c r="K86" i="19"/>
  <c r="J86" i="19"/>
  <c r="I86" i="19"/>
  <c r="H86" i="19"/>
  <c r="G86" i="19"/>
  <c r="F86" i="19"/>
  <c r="E86" i="19"/>
  <c r="R33" i="19"/>
  <c r="Q33" i="19"/>
  <c r="P33" i="19"/>
  <c r="O33" i="19"/>
  <c r="M33" i="19"/>
  <c r="L33" i="19"/>
  <c r="K33" i="19"/>
  <c r="J33" i="19"/>
  <c r="I33" i="19"/>
  <c r="H33" i="19"/>
  <c r="G33" i="19"/>
  <c r="F33" i="19"/>
  <c r="E33" i="19"/>
  <c r="R104" i="19"/>
  <c r="Q104" i="19"/>
  <c r="P104" i="19"/>
  <c r="O104" i="19"/>
  <c r="M104" i="19"/>
  <c r="L104" i="19"/>
  <c r="K104" i="19"/>
  <c r="J104" i="19"/>
  <c r="I104" i="19"/>
  <c r="H104" i="19"/>
  <c r="G104" i="19"/>
  <c r="F104" i="19"/>
  <c r="E104" i="19"/>
  <c r="R64" i="19"/>
  <c r="Q64" i="19"/>
  <c r="P64" i="19"/>
  <c r="O64" i="19"/>
  <c r="M64" i="19"/>
  <c r="L64" i="19"/>
  <c r="K64" i="19"/>
  <c r="J64" i="19"/>
  <c r="I64" i="19"/>
  <c r="H64" i="19"/>
  <c r="G64" i="19"/>
  <c r="F64" i="19"/>
  <c r="E64" i="19"/>
  <c r="R143" i="19"/>
  <c r="Q143" i="19"/>
  <c r="P143" i="19"/>
  <c r="O143" i="19"/>
  <c r="M143" i="19"/>
  <c r="L143" i="19"/>
  <c r="K143" i="19"/>
  <c r="J143" i="19"/>
  <c r="I143" i="19"/>
  <c r="H143" i="19"/>
  <c r="G143" i="19"/>
  <c r="F143" i="19"/>
  <c r="E143" i="19"/>
  <c r="R35" i="19"/>
  <c r="Q35" i="19"/>
  <c r="P35" i="19"/>
  <c r="O35" i="19"/>
  <c r="M35" i="19"/>
  <c r="L35" i="19"/>
  <c r="K35" i="19"/>
  <c r="J35" i="19"/>
  <c r="I35" i="19"/>
  <c r="H35" i="19"/>
  <c r="G35" i="19"/>
  <c r="F35" i="19"/>
  <c r="E35" i="19"/>
  <c r="R125" i="19"/>
  <c r="Q125" i="19"/>
  <c r="P125" i="19"/>
  <c r="O125" i="19"/>
  <c r="M125" i="19"/>
  <c r="L125" i="19"/>
  <c r="K125" i="19"/>
  <c r="J125" i="19"/>
  <c r="I125" i="19"/>
  <c r="H125" i="19"/>
  <c r="G125" i="19"/>
  <c r="F125" i="19"/>
  <c r="E125" i="19"/>
  <c r="R16" i="19"/>
  <c r="Q16" i="19"/>
  <c r="P16" i="19"/>
  <c r="O16" i="19"/>
  <c r="M16" i="19"/>
  <c r="L16" i="19"/>
  <c r="K16" i="19"/>
  <c r="J16" i="19"/>
  <c r="I16" i="19"/>
  <c r="H16" i="19"/>
  <c r="G16" i="19"/>
  <c r="F16" i="19"/>
  <c r="E16" i="19"/>
  <c r="R44" i="19"/>
  <c r="Q44" i="19"/>
  <c r="P44" i="19"/>
  <c r="O44" i="19"/>
  <c r="M44" i="19"/>
  <c r="L44" i="19"/>
  <c r="K44" i="19"/>
  <c r="J44" i="19"/>
  <c r="I44" i="19"/>
  <c r="H44" i="19"/>
  <c r="G44" i="19"/>
  <c r="F44" i="19"/>
  <c r="E44" i="19"/>
  <c r="R66" i="19"/>
  <c r="Q66" i="19"/>
  <c r="P66" i="19"/>
  <c r="O66" i="19"/>
  <c r="M66" i="19"/>
  <c r="L66" i="19"/>
  <c r="K66" i="19"/>
  <c r="J66" i="19"/>
  <c r="I66" i="19"/>
  <c r="H66" i="19"/>
  <c r="G66" i="19"/>
  <c r="F66" i="19"/>
  <c r="E66" i="19"/>
  <c r="R135" i="19"/>
  <c r="Q135" i="19"/>
  <c r="P135" i="19"/>
  <c r="O135" i="19"/>
  <c r="M135" i="19"/>
  <c r="L135" i="19"/>
  <c r="K135" i="19"/>
  <c r="J135" i="19"/>
  <c r="I135" i="19"/>
  <c r="H135" i="19"/>
  <c r="G135" i="19"/>
  <c r="F135" i="19"/>
  <c r="E135" i="19"/>
  <c r="R6" i="19"/>
  <c r="Q6" i="19"/>
  <c r="P6" i="19"/>
  <c r="O6" i="19"/>
  <c r="M6" i="19"/>
  <c r="L6" i="19"/>
  <c r="K6" i="19"/>
  <c r="J6" i="19"/>
  <c r="I6" i="19"/>
  <c r="H6" i="19"/>
  <c r="G6" i="19"/>
  <c r="F6" i="19"/>
  <c r="E6" i="19"/>
  <c r="R45" i="19"/>
  <c r="Q45" i="19"/>
  <c r="P45" i="19"/>
  <c r="O45" i="19"/>
  <c r="M45" i="19"/>
  <c r="L45" i="19"/>
  <c r="K45" i="19"/>
  <c r="J45" i="19"/>
  <c r="I45" i="19"/>
  <c r="H45" i="19"/>
  <c r="G45" i="19"/>
  <c r="F45" i="19"/>
  <c r="E45" i="19"/>
  <c r="R96" i="19"/>
  <c r="Q96" i="19"/>
  <c r="P96" i="19"/>
  <c r="O96" i="19"/>
  <c r="M96" i="19"/>
  <c r="L96" i="19"/>
  <c r="K96" i="19"/>
  <c r="J96" i="19"/>
  <c r="I96" i="19"/>
  <c r="H96" i="19"/>
  <c r="G96" i="19"/>
  <c r="F96" i="19"/>
  <c r="E96" i="19"/>
  <c r="R34" i="19"/>
  <c r="Q34" i="19"/>
  <c r="P34" i="19"/>
  <c r="O34" i="19"/>
  <c r="M34" i="19"/>
  <c r="L34" i="19"/>
  <c r="K34" i="19"/>
  <c r="J34" i="19"/>
  <c r="I34" i="19"/>
  <c r="H34" i="19"/>
  <c r="G34" i="19"/>
  <c r="F34" i="19"/>
  <c r="E34" i="19"/>
  <c r="R94" i="19"/>
  <c r="Q94" i="19"/>
  <c r="P94" i="19"/>
  <c r="O94" i="19"/>
  <c r="M94" i="19"/>
  <c r="L94" i="19"/>
  <c r="K94" i="19"/>
  <c r="J94" i="19"/>
  <c r="I94" i="19"/>
  <c r="H94" i="19"/>
  <c r="G94" i="19"/>
  <c r="F94" i="19"/>
  <c r="E94" i="19"/>
  <c r="R56" i="19"/>
  <c r="Q56" i="19"/>
  <c r="P56" i="19"/>
  <c r="O56" i="19"/>
  <c r="M56" i="19"/>
  <c r="L56" i="19"/>
  <c r="K56" i="19"/>
  <c r="J56" i="19"/>
  <c r="I56" i="19"/>
  <c r="H56" i="19"/>
  <c r="G56" i="19"/>
  <c r="F56" i="19"/>
  <c r="E56" i="19"/>
  <c r="R134" i="19"/>
  <c r="Q134" i="19"/>
  <c r="P134" i="19"/>
  <c r="O134" i="19"/>
  <c r="M134" i="19"/>
  <c r="L134" i="19"/>
  <c r="K134" i="19"/>
  <c r="J134" i="19"/>
  <c r="I134" i="19"/>
  <c r="H134" i="19"/>
  <c r="G134" i="19"/>
  <c r="F134" i="19"/>
  <c r="E134" i="19"/>
  <c r="R24" i="19"/>
  <c r="Q24" i="19"/>
  <c r="P24" i="19"/>
  <c r="O24" i="19"/>
  <c r="M24" i="19"/>
  <c r="L24" i="19"/>
  <c r="K24" i="19"/>
  <c r="J24" i="19"/>
  <c r="I24" i="19"/>
  <c r="H24" i="19"/>
  <c r="G24" i="19"/>
  <c r="F24" i="19"/>
  <c r="E24" i="19"/>
  <c r="R75" i="19"/>
  <c r="Q75" i="19"/>
  <c r="P75" i="19"/>
  <c r="O75" i="19"/>
  <c r="M75" i="19"/>
  <c r="L75" i="19"/>
  <c r="K75" i="19"/>
  <c r="J75" i="19"/>
  <c r="I75" i="19"/>
  <c r="H75" i="19"/>
  <c r="G75" i="19"/>
  <c r="F75" i="19"/>
  <c r="E75" i="19"/>
  <c r="R124" i="19"/>
  <c r="Q124" i="19"/>
  <c r="P124" i="19"/>
  <c r="O124" i="19"/>
  <c r="M124" i="19"/>
  <c r="L124" i="19"/>
  <c r="K124" i="19"/>
  <c r="J124" i="19"/>
  <c r="I124" i="19"/>
  <c r="H124" i="19"/>
  <c r="G124" i="19"/>
  <c r="F124" i="19"/>
  <c r="E124" i="19"/>
  <c r="R36" i="19"/>
  <c r="Q36" i="19"/>
  <c r="P36" i="19"/>
  <c r="O36" i="19"/>
  <c r="M36" i="19"/>
  <c r="L36" i="19"/>
  <c r="K36" i="19"/>
  <c r="J36" i="19"/>
  <c r="I36" i="19"/>
  <c r="H36" i="19"/>
  <c r="G36" i="19"/>
  <c r="F36" i="19"/>
  <c r="E36" i="19"/>
  <c r="R83" i="19"/>
  <c r="Q83" i="19"/>
  <c r="P83" i="19"/>
  <c r="O83" i="19"/>
  <c r="M83" i="19"/>
  <c r="L83" i="19"/>
  <c r="K83" i="19"/>
  <c r="J83" i="19"/>
  <c r="I83" i="19"/>
  <c r="H83" i="19"/>
  <c r="G83" i="19"/>
  <c r="F83" i="19"/>
  <c r="E83" i="19"/>
  <c r="R84" i="19"/>
  <c r="Q84" i="19"/>
  <c r="P84" i="19"/>
  <c r="O84" i="19"/>
  <c r="M84" i="19"/>
  <c r="L84" i="19"/>
  <c r="K84" i="19"/>
  <c r="J84" i="19"/>
  <c r="I84" i="19"/>
  <c r="H84" i="19"/>
  <c r="G84" i="19"/>
  <c r="F84" i="19"/>
  <c r="E84" i="19"/>
  <c r="R53" i="19"/>
  <c r="Q53" i="19"/>
  <c r="P53" i="19"/>
  <c r="O53" i="19"/>
  <c r="M53" i="19"/>
  <c r="L53" i="19"/>
  <c r="K53" i="19"/>
  <c r="J53" i="19"/>
  <c r="I53" i="19"/>
  <c r="H53" i="19"/>
  <c r="G53" i="19"/>
  <c r="F53" i="19"/>
  <c r="E53" i="19"/>
  <c r="R14" i="19"/>
  <c r="Q14" i="19"/>
  <c r="P14" i="19"/>
  <c r="O14" i="19"/>
  <c r="M14" i="19"/>
  <c r="L14" i="19"/>
  <c r="K14" i="19"/>
  <c r="J14" i="19"/>
  <c r="I14" i="19"/>
  <c r="H14" i="19"/>
  <c r="G14" i="19"/>
  <c r="F14" i="19"/>
  <c r="E14" i="19"/>
  <c r="R114" i="19"/>
  <c r="Q114" i="19"/>
  <c r="P114" i="19"/>
  <c r="O114" i="19"/>
  <c r="M114" i="19"/>
  <c r="L114" i="19"/>
  <c r="K114" i="19"/>
  <c r="J114" i="19"/>
  <c r="I114" i="19"/>
  <c r="H114" i="19"/>
  <c r="G114" i="19"/>
  <c r="F114" i="19"/>
  <c r="E114" i="19"/>
  <c r="R123" i="19"/>
  <c r="Q123" i="19"/>
  <c r="P123" i="19"/>
  <c r="O123" i="19"/>
  <c r="M123" i="19"/>
  <c r="L123" i="19"/>
  <c r="K123" i="19"/>
  <c r="J123" i="19"/>
  <c r="I123" i="19"/>
  <c r="H123" i="19"/>
  <c r="G123" i="19"/>
  <c r="F123" i="19"/>
  <c r="E123" i="19"/>
  <c r="R133" i="19"/>
  <c r="Q133" i="19"/>
  <c r="P133" i="19"/>
  <c r="O133" i="19"/>
  <c r="M133" i="19"/>
  <c r="L133" i="19"/>
  <c r="K133" i="19"/>
  <c r="J133" i="19"/>
  <c r="I133" i="19"/>
  <c r="H133" i="19"/>
  <c r="G133" i="19"/>
  <c r="F133" i="19"/>
  <c r="E133" i="19"/>
  <c r="R74" i="19"/>
  <c r="Q74" i="19"/>
  <c r="P74" i="19"/>
  <c r="O74" i="19"/>
  <c r="M74" i="19"/>
  <c r="L74" i="19"/>
  <c r="K74" i="19"/>
  <c r="J74" i="19"/>
  <c r="I74" i="19"/>
  <c r="H74" i="19"/>
  <c r="G74" i="19"/>
  <c r="F74" i="19"/>
  <c r="E74" i="19"/>
  <c r="R113" i="19"/>
  <c r="Q113" i="19"/>
  <c r="P113" i="19"/>
  <c r="O113" i="19"/>
  <c r="M113" i="19"/>
  <c r="L113" i="19"/>
  <c r="K113" i="19"/>
  <c r="J113" i="19"/>
  <c r="I113" i="19"/>
  <c r="H113" i="19"/>
  <c r="G113" i="19"/>
  <c r="F113" i="19"/>
  <c r="E113" i="19"/>
  <c r="R115" i="19"/>
  <c r="Q115" i="19"/>
  <c r="P115" i="19"/>
  <c r="O115" i="19"/>
  <c r="M115" i="19"/>
  <c r="L115" i="19"/>
  <c r="K115" i="19"/>
  <c r="J115" i="19"/>
  <c r="I115" i="19"/>
  <c r="H115" i="19"/>
  <c r="G115" i="19"/>
  <c r="F115" i="19"/>
  <c r="E115" i="19"/>
  <c r="R105" i="19"/>
  <c r="Q105" i="19"/>
  <c r="P105" i="19"/>
  <c r="O105" i="19"/>
  <c r="M105" i="19"/>
  <c r="L105" i="19"/>
  <c r="K105" i="19"/>
  <c r="J105" i="19"/>
  <c r="I105" i="19"/>
  <c r="H105" i="19"/>
  <c r="G105" i="19"/>
  <c r="F105" i="19"/>
  <c r="E105" i="19"/>
  <c r="R93" i="19"/>
  <c r="Q93" i="19"/>
  <c r="P93" i="19"/>
  <c r="O93" i="19"/>
  <c r="M93" i="19"/>
  <c r="L93" i="19"/>
  <c r="K93" i="19"/>
  <c r="J93" i="19"/>
  <c r="I93" i="19"/>
  <c r="H93" i="19"/>
  <c r="G93" i="19"/>
  <c r="F93" i="19"/>
  <c r="E93" i="19"/>
  <c r="R65" i="19"/>
  <c r="Q65" i="19"/>
  <c r="P65" i="19"/>
  <c r="O65" i="19"/>
  <c r="M65" i="19"/>
  <c r="L65" i="19"/>
  <c r="K65" i="19"/>
  <c r="J65" i="19"/>
  <c r="I65" i="19"/>
  <c r="H65" i="19"/>
  <c r="G65" i="19"/>
  <c r="F65" i="19"/>
  <c r="E65" i="19"/>
  <c r="R43" i="19"/>
  <c r="Q43" i="19"/>
  <c r="P43" i="19"/>
  <c r="O43" i="19"/>
  <c r="M43" i="19"/>
  <c r="L43" i="19"/>
  <c r="K43" i="19"/>
  <c r="J43" i="19"/>
  <c r="I43" i="19"/>
  <c r="H43" i="19"/>
  <c r="G43" i="19"/>
  <c r="F43" i="19"/>
  <c r="E43" i="19"/>
  <c r="R13" i="19"/>
  <c r="Q13" i="19"/>
  <c r="P13" i="19"/>
  <c r="O13" i="19"/>
  <c r="M13" i="19"/>
  <c r="L13" i="19"/>
  <c r="K13" i="19"/>
  <c r="J13" i="19"/>
  <c r="I13" i="19"/>
  <c r="H13" i="19"/>
  <c r="G13" i="19"/>
  <c r="F13" i="19"/>
  <c r="E13" i="19"/>
  <c r="R54" i="19"/>
  <c r="Q54" i="19"/>
  <c r="P54" i="19"/>
  <c r="O54" i="19"/>
  <c r="M54" i="19"/>
  <c r="L54" i="19"/>
  <c r="K54" i="19"/>
  <c r="J54" i="19"/>
  <c r="I54" i="19"/>
  <c r="H54" i="19"/>
  <c r="G54" i="19"/>
  <c r="F54" i="19"/>
  <c r="E54" i="19"/>
  <c r="R73" i="19"/>
  <c r="Q73" i="19"/>
  <c r="P73" i="19"/>
  <c r="O73" i="19"/>
  <c r="M73" i="19"/>
  <c r="L73" i="19"/>
  <c r="K73" i="19"/>
  <c r="J73" i="19"/>
  <c r="I73" i="19"/>
  <c r="H73" i="19"/>
  <c r="G73" i="19"/>
  <c r="F73" i="19"/>
  <c r="E73" i="19"/>
  <c r="R3" i="19"/>
  <c r="Q3" i="19"/>
  <c r="P3" i="19"/>
  <c r="O3" i="19"/>
  <c r="M3" i="19"/>
  <c r="L3" i="19"/>
  <c r="K3" i="19"/>
  <c r="J3" i="19"/>
  <c r="I3" i="19"/>
  <c r="H3" i="19"/>
  <c r="G3" i="19"/>
  <c r="F3" i="19"/>
  <c r="E3" i="19"/>
  <c r="R103" i="19"/>
  <c r="Q103" i="19"/>
  <c r="P103" i="19"/>
  <c r="O103" i="19"/>
  <c r="M103" i="19"/>
  <c r="L103" i="19"/>
  <c r="K103" i="19"/>
  <c r="J103" i="19"/>
  <c r="I103" i="19"/>
  <c r="H103" i="19"/>
  <c r="G103" i="19"/>
  <c r="F103" i="19"/>
  <c r="E103" i="19"/>
  <c r="V210" i="18"/>
  <c r="S210" i="18"/>
  <c r="R210" i="18"/>
  <c r="Q210" i="18"/>
  <c r="P210" i="18"/>
  <c r="O210" i="18"/>
  <c r="N210" i="18"/>
  <c r="M210" i="18"/>
  <c r="L210" i="18"/>
  <c r="K210" i="18"/>
  <c r="J210" i="18"/>
  <c r="I210" i="18"/>
  <c r="H210" i="18"/>
  <c r="G210" i="18"/>
  <c r="V198" i="18"/>
  <c r="S198" i="18"/>
  <c r="R198" i="18"/>
  <c r="Q198" i="18"/>
  <c r="P198" i="18"/>
  <c r="O198" i="18"/>
  <c r="N198" i="18"/>
  <c r="M198" i="18"/>
  <c r="L198" i="18"/>
  <c r="K198" i="18"/>
  <c r="J198" i="18"/>
  <c r="I198" i="18"/>
  <c r="H198" i="18"/>
  <c r="G198" i="18"/>
  <c r="V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V170" i="18"/>
  <c r="S170" i="18"/>
  <c r="R170" i="18"/>
  <c r="Q170" i="18"/>
  <c r="P170" i="18"/>
  <c r="O170" i="18"/>
  <c r="N170" i="18"/>
  <c r="M170" i="18"/>
  <c r="L170" i="18"/>
  <c r="K170" i="18"/>
  <c r="J170" i="18"/>
  <c r="I170" i="18"/>
  <c r="H170" i="18"/>
  <c r="G170" i="18"/>
  <c r="V139" i="18"/>
  <c r="S139" i="18"/>
  <c r="R139" i="18"/>
  <c r="Q139" i="18"/>
  <c r="P139" i="18"/>
  <c r="O139" i="18"/>
  <c r="N139" i="18"/>
  <c r="M139" i="18"/>
  <c r="L139" i="18"/>
  <c r="K139" i="18"/>
  <c r="J139" i="18"/>
  <c r="I139" i="18"/>
  <c r="H139" i="18"/>
  <c r="G139" i="18"/>
  <c r="V197" i="18"/>
  <c r="S197" i="18"/>
  <c r="R197" i="18"/>
  <c r="Q197" i="18"/>
  <c r="P197" i="18"/>
  <c r="O197" i="18"/>
  <c r="N197" i="18"/>
  <c r="M197" i="18"/>
  <c r="L197" i="18"/>
  <c r="K197" i="18"/>
  <c r="J197" i="18"/>
  <c r="I197" i="18"/>
  <c r="H197" i="18"/>
  <c r="G197" i="18"/>
  <c r="V100" i="18"/>
  <c r="S100" i="18"/>
  <c r="R100" i="18"/>
  <c r="Q100" i="18"/>
  <c r="P100" i="18"/>
  <c r="O100" i="18"/>
  <c r="N100" i="18"/>
  <c r="M100" i="18"/>
  <c r="L100" i="18"/>
  <c r="K100" i="18"/>
  <c r="J100" i="18"/>
  <c r="I100" i="18"/>
  <c r="H100" i="18"/>
  <c r="G100" i="18"/>
  <c r="V72" i="18"/>
  <c r="S72" i="18"/>
  <c r="R72" i="18"/>
  <c r="Q72" i="18"/>
  <c r="P72" i="18"/>
  <c r="O72" i="18"/>
  <c r="N72" i="18"/>
  <c r="M72" i="18"/>
  <c r="L72" i="18"/>
  <c r="K72" i="18"/>
  <c r="J72" i="18"/>
  <c r="I72" i="18"/>
  <c r="H72" i="18"/>
  <c r="G72" i="18"/>
  <c r="V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V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V142" i="18"/>
  <c r="S142" i="18"/>
  <c r="R142" i="18"/>
  <c r="Q142" i="18"/>
  <c r="P142" i="18"/>
  <c r="O142" i="18"/>
  <c r="N142" i="18"/>
  <c r="M142" i="18"/>
  <c r="L142" i="18"/>
  <c r="K142" i="18"/>
  <c r="J142" i="18"/>
  <c r="I142" i="18"/>
  <c r="H142" i="18"/>
  <c r="G142" i="18"/>
  <c r="V128" i="18"/>
  <c r="S128" i="18"/>
  <c r="R128" i="18"/>
  <c r="Q128" i="18"/>
  <c r="P128" i="18"/>
  <c r="O128" i="18"/>
  <c r="N128" i="18"/>
  <c r="M128" i="18"/>
  <c r="L128" i="18"/>
  <c r="K128" i="18"/>
  <c r="J128" i="18"/>
  <c r="I128" i="18"/>
  <c r="H128" i="18"/>
  <c r="G128" i="18"/>
  <c r="V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V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V124" i="18"/>
  <c r="S124" i="18"/>
  <c r="R124" i="18"/>
  <c r="Q124" i="18"/>
  <c r="P124" i="18"/>
  <c r="O124" i="18"/>
  <c r="N124" i="18"/>
  <c r="M124" i="18"/>
  <c r="L124" i="18"/>
  <c r="K124" i="18"/>
  <c r="J124" i="18"/>
  <c r="I124" i="18"/>
  <c r="H124" i="18"/>
  <c r="G124" i="18"/>
  <c r="V127" i="18"/>
  <c r="S127" i="18"/>
  <c r="R127" i="18"/>
  <c r="Q127" i="18"/>
  <c r="P127" i="18"/>
  <c r="O127" i="18"/>
  <c r="N127" i="18"/>
  <c r="M127" i="18"/>
  <c r="L127" i="18"/>
  <c r="K127" i="18"/>
  <c r="J127" i="18"/>
  <c r="I127" i="18"/>
  <c r="H127" i="18"/>
  <c r="G127" i="18"/>
  <c r="V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V212" i="18"/>
  <c r="S212" i="18"/>
  <c r="R212" i="18"/>
  <c r="Q212" i="18"/>
  <c r="P212" i="18"/>
  <c r="O212" i="18"/>
  <c r="N212" i="18"/>
  <c r="M212" i="18"/>
  <c r="L212" i="18"/>
  <c r="K212" i="18"/>
  <c r="J212" i="18"/>
  <c r="I212" i="18"/>
  <c r="H212" i="18"/>
  <c r="G212" i="18"/>
  <c r="V125" i="18"/>
  <c r="S125" i="18"/>
  <c r="R125" i="18"/>
  <c r="Q125" i="18"/>
  <c r="P125" i="18"/>
  <c r="O125" i="18"/>
  <c r="N125" i="18"/>
  <c r="M125" i="18"/>
  <c r="L125" i="18"/>
  <c r="K125" i="18"/>
  <c r="J125" i="18"/>
  <c r="I125" i="18"/>
  <c r="H125" i="18"/>
  <c r="G125" i="18"/>
  <c r="V14" i="18"/>
  <c r="S14" i="18"/>
  <c r="R14" i="18"/>
  <c r="Q14" i="18"/>
  <c r="P14" i="18"/>
  <c r="O14" i="18"/>
  <c r="N14" i="18"/>
  <c r="M14" i="18"/>
  <c r="L14" i="18"/>
  <c r="K14" i="18"/>
  <c r="J14" i="18"/>
  <c r="I14" i="18"/>
  <c r="H14" i="18"/>
  <c r="G14" i="18"/>
  <c r="V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V28" i="18"/>
  <c r="S28" i="18"/>
  <c r="R28" i="18"/>
  <c r="Q28" i="18"/>
  <c r="P28" i="18"/>
  <c r="O28" i="18"/>
  <c r="N28" i="18"/>
  <c r="M28" i="18"/>
  <c r="L28" i="18"/>
  <c r="K28" i="18"/>
  <c r="J28" i="18"/>
  <c r="I28" i="18"/>
  <c r="H28" i="18"/>
  <c r="G28" i="18"/>
  <c r="V208" i="18"/>
  <c r="S208" i="18"/>
  <c r="R208" i="18"/>
  <c r="Q208" i="18"/>
  <c r="P208" i="18"/>
  <c r="O208" i="18"/>
  <c r="N208" i="18"/>
  <c r="M208" i="18"/>
  <c r="L208" i="18"/>
  <c r="K208" i="18"/>
  <c r="J208" i="18"/>
  <c r="I208" i="18"/>
  <c r="H208" i="18"/>
  <c r="G208" i="18"/>
  <c r="V126" i="18"/>
  <c r="S126" i="18"/>
  <c r="R126" i="18"/>
  <c r="Q126" i="18"/>
  <c r="P126" i="18"/>
  <c r="O126" i="18"/>
  <c r="N126" i="18"/>
  <c r="M126" i="18"/>
  <c r="L126" i="18"/>
  <c r="K126" i="18"/>
  <c r="J126" i="18"/>
  <c r="I126" i="18"/>
  <c r="H126" i="18"/>
  <c r="G126" i="18"/>
  <c r="V68" i="18"/>
  <c r="S68" i="18"/>
  <c r="R68" i="18"/>
  <c r="Q68" i="18"/>
  <c r="P68" i="18"/>
  <c r="O68" i="18"/>
  <c r="N68" i="18"/>
  <c r="M68" i="18"/>
  <c r="L68" i="18"/>
  <c r="K68" i="18"/>
  <c r="J68" i="18"/>
  <c r="I68" i="18"/>
  <c r="H68" i="18"/>
  <c r="G68" i="18"/>
  <c r="V86" i="18"/>
  <c r="S86" i="18"/>
  <c r="R86" i="18"/>
  <c r="Q86" i="18"/>
  <c r="P86" i="18"/>
  <c r="O86" i="18"/>
  <c r="N86" i="18"/>
  <c r="M86" i="18"/>
  <c r="L86" i="18"/>
  <c r="K86" i="18"/>
  <c r="J86" i="18"/>
  <c r="I86" i="18"/>
  <c r="H86" i="18"/>
  <c r="G86" i="18"/>
  <c r="V110" i="18"/>
  <c r="S110" i="18"/>
  <c r="R110" i="18"/>
  <c r="Q110" i="18"/>
  <c r="P110" i="18"/>
  <c r="O110" i="18"/>
  <c r="N110" i="18"/>
  <c r="M110" i="18"/>
  <c r="L110" i="18"/>
  <c r="K110" i="18"/>
  <c r="J110" i="18"/>
  <c r="I110" i="18"/>
  <c r="H110" i="18"/>
  <c r="G110" i="18"/>
  <c r="V153" i="18"/>
  <c r="S153" i="18"/>
  <c r="R153" i="18"/>
  <c r="Q153" i="18"/>
  <c r="P153" i="18"/>
  <c r="O153" i="18"/>
  <c r="N153" i="18"/>
  <c r="M153" i="18"/>
  <c r="L153" i="18"/>
  <c r="K153" i="18"/>
  <c r="J153" i="18"/>
  <c r="I153" i="18"/>
  <c r="H153" i="18"/>
  <c r="G153" i="18"/>
  <c r="V98" i="18"/>
  <c r="S98" i="18"/>
  <c r="R98" i="18"/>
  <c r="Q98" i="18"/>
  <c r="P98" i="18"/>
  <c r="O98" i="18"/>
  <c r="N98" i="18"/>
  <c r="M98" i="18"/>
  <c r="L98" i="18"/>
  <c r="K98" i="18"/>
  <c r="J98" i="18"/>
  <c r="I98" i="18"/>
  <c r="H98" i="18"/>
  <c r="G98" i="18"/>
  <c r="V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V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V168" i="18"/>
  <c r="S168" i="18"/>
  <c r="R168" i="18"/>
  <c r="Q168" i="18"/>
  <c r="P168" i="18"/>
  <c r="O168" i="18"/>
  <c r="N168" i="18"/>
  <c r="M168" i="18"/>
  <c r="L168" i="18"/>
  <c r="K168" i="18"/>
  <c r="J168" i="18"/>
  <c r="I168" i="18"/>
  <c r="H168" i="18"/>
  <c r="G168" i="18"/>
  <c r="V113" i="18"/>
  <c r="S113" i="18"/>
  <c r="R113" i="18"/>
  <c r="Q113" i="18"/>
  <c r="P113" i="18"/>
  <c r="O113" i="18"/>
  <c r="N113" i="18"/>
  <c r="M113" i="18"/>
  <c r="L113" i="18"/>
  <c r="K113" i="18"/>
  <c r="J113" i="18"/>
  <c r="I113" i="18"/>
  <c r="H113" i="18"/>
  <c r="G113" i="18"/>
  <c r="V209" i="18"/>
  <c r="S209" i="18"/>
  <c r="R209" i="18"/>
  <c r="Q209" i="18"/>
  <c r="P209" i="18"/>
  <c r="O209" i="18"/>
  <c r="N209" i="18"/>
  <c r="M209" i="18"/>
  <c r="L209" i="18"/>
  <c r="K209" i="18"/>
  <c r="J209" i="18"/>
  <c r="I209" i="18"/>
  <c r="H209" i="18"/>
  <c r="G209" i="18"/>
  <c r="V166" i="18"/>
  <c r="S166" i="18"/>
  <c r="R166" i="18"/>
  <c r="Q166" i="18"/>
  <c r="P166" i="18"/>
  <c r="O166" i="18"/>
  <c r="N166" i="18"/>
  <c r="M166" i="18"/>
  <c r="L166" i="18"/>
  <c r="K166" i="18"/>
  <c r="J166" i="18"/>
  <c r="I166" i="18"/>
  <c r="H166" i="18"/>
  <c r="G166" i="18"/>
  <c r="V54" i="18"/>
  <c r="S54" i="18"/>
  <c r="R54" i="18"/>
  <c r="Q54" i="18"/>
  <c r="P54" i="18"/>
  <c r="O54" i="18"/>
  <c r="N54" i="18"/>
  <c r="M54" i="18"/>
  <c r="L54" i="18"/>
  <c r="K54" i="18"/>
  <c r="J54" i="18"/>
  <c r="I54" i="18"/>
  <c r="H54" i="18"/>
  <c r="G54" i="18"/>
  <c r="V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V156" i="18"/>
  <c r="S156" i="18"/>
  <c r="R156" i="18"/>
  <c r="Q156" i="18"/>
  <c r="P156" i="18"/>
  <c r="O156" i="18"/>
  <c r="N156" i="18"/>
  <c r="M156" i="18"/>
  <c r="L156" i="18"/>
  <c r="K156" i="18"/>
  <c r="J156" i="18"/>
  <c r="I156" i="18"/>
  <c r="H156" i="18"/>
  <c r="G156" i="18"/>
  <c r="V99" i="18"/>
  <c r="S99" i="18"/>
  <c r="R99" i="18"/>
  <c r="Q99" i="18"/>
  <c r="P99" i="18"/>
  <c r="O99" i="18"/>
  <c r="N99" i="18"/>
  <c r="M99" i="18"/>
  <c r="L99" i="18"/>
  <c r="K99" i="18"/>
  <c r="J99" i="18"/>
  <c r="I99" i="18"/>
  <c r="H99" i="18"/>
  <c r="G99" i="18"/>
  <c r="V138" i="18"/>
  <c r="S138" i="18"/>
  <c r="R138" i="18"/>
  <c r="Q138" i="18"/>
  <c r="P138" i="18"/>
  <c r="O138" i="18"/>
  <c r="N138" i="18"/>
  <c r="M138" i="18"/>
  <c r="L138" i="18"/>
  <c r="K138" i="18"/>
  <c r="J138" i="18"/>
  <c r="I138" i="18"/>
  <c r="H138" i="18"/>
  <c r="G138" i="18"/>
  <c r="V140" i="18"/>
  <c r="S140" i="18"/>
  <c r="R140" i="18"/>
  <c r="Q140" i="18"/>
  <c r="P140" i="18"/>
  <c r="O140" i="18"/>
  <c r="N140" i="18"/>
  <c r="M140" i="18"/>
  <c r="L140" i="18"/>
  <c r="K140" i="18"/>
  <c r="J140" i="18"/>
  <c r="I140" i="18"/>
  <c r="H140" i="18"/>
  <c r="G140" i="18"/>
  <c r="V85" i="18"/>
  <c r="S85" i="18"/>
  <c r="R85" i="18"/>
  <c r="Q85" i="18"/>
  <c r="P85" i="18"/>
  <c r="O85" i="18"/>
  <c r="N85" i="18"/>
  <c r="M85" i="18"/>
  <c r="L85" i="18"/>
  <c r="K85" i="18"/>
  <c r="J85" i="18"/>
  <c r="I85" i="18"/>
  <c r="H85" i="18"/>
  <c r="G85" i="18"/>
  <c r="V84" i="18"/>
  <c r="S84" i="18"/>
  <c r="R84" i="18"/>
  <c r="Q84" i="18"/>
  <c r="P84" i="18"/>
  <c r="O84" i="18"/>
  <c r="N84" i="18"/>
  <c r="M84" i="18"/>
  <c r="L84" i="18"/>
  <c r="K84" i="18"/>
  <c r="J84" i="18"/>
  <c r="I84" i="18"/>
  <c r="H84" i="18"/>
  <c r="G84" i="18"/>
  <c r="V27" i="18"/>
  <c r="S27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V55" i="18"/>
  <c r="S55" i="18"/>
  <c r="R55" i="18"/>
  <c r="Q55" i="18"/>
  <c r="P55" i="18"/>
  <c r="O55" i="18"/>
  <c r="N55" i="18"/>
  <c r="M55" i="18"/>
  <c r="L55" i="18"/>
  <c r="K55" i="18"/>
  <c r="J55" i="18"/>
  <c r="I55" i="18"/>
  <c r="H55" i="18"/>
  <c r="G55" i="18"/>
  <c r="V82" i="18"/>
  <c r="S82" i="18"/>
  <c r="R82" i="18"/>
  <c r="Q82" i="18"/>
  <c r="P82" i="18"/>
  <c r="O82" i="18"/>
  <c r="N82" i="18"/>
  <c r="M82" i="18"/>
  <c r="L82" i="18"/>
  <c r="K82" i="18"/>
  <c r="J82" i="18"/>
  <c r="I82" i="18"/>
  <c r="H82" i="18"/>
  <c r="G82" i="18"/>
  <c r="V26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V96" i="18"/>
  <c r="S96" i="18"/>
  <c r="R96" i="18"/>
  <c r="Q96" i="18"/>
  <c r="P96" i="18"/>
  <c r="O96" i="18"/>
  <c r="N96" i="18"/>
  <c r="M96" i="18"/>
  <c r="L96" i="18"/>
  <c r="K96" i="18"/>
  <c r="J96" i="18"/>
  <c r="I96" i="18"/>
  <c r="H96" i="18"/>
  <c r="G96" i="18"/>
  <c r="V194" i="18"/>
  <c r="S194" i="18"/>
  <c r="R194" i="18"/>
  <c r="Q194" i="18"/>
  <c r="P194" i="18"/>
  <c r="O194" i="18"/>
  <c r="N194" i="18"/>
  <c r="M194" i="18"/>
  <c r="L194" i="18"/>
  <c r="K194" i="18"/>
  <c r="J194" i="18"/>
  <c r="I194" i="18"/>
  <c r="H194" i="18"/>
  <c r="G194" i="18"/>
  <c r="V154" i="18"/>
  <c r="S154" i="18"/>
  <c r="R154" i="18"/>
  <c r="Q154" i="18"/>
  <c r="P154" i="18"/>
  <c r="O154" i="18"/>
  <c r="N154" i="18"/>
  <c r="M154" i="18"/>
  <c r="L154" i="18"/>
  <c r="K154" i="18"/>
  <c r="J154" i="18"/>
  <c r="I154" i="18"/>
  <c r="H154" i="18"/>
  <c r="G154" i="18"/>
  <c r="V196" i="18"/>
  <c r="S196" i="18"/>
  <c r="R196" i="18"/>
  <c r="Q196" i="18"/>
  <c r="P196" i="18"/>
  <c r="O196" i="18"/>
  <c r="N196" i="18"/>
  <c r="M196" i="18"/>
  <c r="L196" i="18"/>
  <c r="K196" i="18"/>
  <c r="J196" i="18"/>
  <c r="I196" i="18"/>
  <c r="H196" i="18"/>
  <c r="G196" i="18"/>
  <c r="V97" i="18"/>
  <c r="S97" i="18"/>
  <c r="R97" i="18"/>
  <c r="Q97" i="18"/>
  <c r="P97" i="18"/>
  <c r="O97" i="18"/>
  <c r="N97" i="18"/>
  <c r="M97" i="18"/>
  <c r="L97" i="18"/>
  <c r="K97" i="18"/>
  <c r="J97" i="18"/>
  <c r="I97" i="18"/>
  <c r="H97" i="18"/>
  <c r="G97" i="18"/>
  <c r="V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V40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V83" i="18"/>
  <c r="S83" i="18"/>
  <c r="R83" i="18"/>
  <c r="Q83" i="18"/>
  <c r="P83" i="18"/>
  <c r="O83" i="18"/>
  <c r="N83" i="18"/>
  <c r="M83" i="18"/>
  <c r="L83" i="18"/>
  <c r="K83" i="18"/>
  <c r="J83" i="18"/>
  <c r="I83" i="18"/>
  <c r="H83" i="18"/>
  <c r="G83" i="18"/>
  <c r="V112" i="18"/>
  <c r="S112" i="18"/>
  <c r="R112" i="18"/>
  <c r="Q112" i="18"/>
  <c r="P112" i="18"/>
  <c r="O112" i="18"/>
  <c r="N112" i="18"/>
  <c r="M112" i="18"/>
  <c r="L112" i="18"/>
  <c r="K112" i="18"/>
  <c r="J112" i="18"/>
  <c r="I112" i="18"/>
  <c r="H112" i="18"/>
  <c r="G112" i="18"/>
  <c r="V44" i="18"/>
  <c r="S44" i="18"/>
  <c r="R44" i="18"/>
  <c r="Q44" i="18"/>
  <c r="P44" i="18"/>
  <c r="O44" i="18"/>
  <c r="N44" i="18"/>
  <c r="M44" i="18"/>
  <c r="L44" i="18"/>
  <c r="K44" i="18"/>
  <c r="J44" i="18"/>
  <c r="I44" i="18"/>
  <c r="H44" i="18"/>
  <c r="G44" i="18"/>
  <c r="V169" i="18"/>
  <c r="S169" i="18"/>
  <c r="R169" i="18"/>
  <c r="Q169" i="18"/>
  <c r="P169" i="18"/>
  <c r="O169" i="18"/>
  <c r="N169" i="18"/>
  <c r="M169" i="18"/>
  <c r="L169" i="18"/>
  <c r="K169" i="18"/>
  <c r="J169" i="18"/>
  <c r="I169" i="18"/>
  <c r="H169" i="18"/>
  <c r="G169" i="18"/>
  <c r="V195" i="18"/>
  <c r="S195" i="18"/>
  <c r="R195" i="18"/>
  <c r="Q195" i="18"/>
  <c r="P195" i="18"/>
  <c r="O195" i="18"/>
  <c r="N195" i="18"/>
  <c r="M195" i="18"/>
  <c r="L195" i="18"/>
  <c r="K195" i="18"/>
  <c r="J195" i="18"/>
  <c r="I195" i="18"/>
  <c r="H195" i="18"/>
  <c r="G195" i="18"/>
  <c r="V69" i="18"/>
  <c r="S69" i="18"/>
  <c r="R69" i="18"/>
  <c r="Q69" i="18"/>
  <c r="P69" i="18"/>
  <c r="O69" i="18"/>
  <c r="N69" i="18"/>
  <c r="M69" i="18"/>
  <c r="L69" i="18"/>
  <c r="K69" i="18"/>
  <c r="J69" i="18"/>
  <c r="I69" i="18"/>
  <c r="H69" i="18"/>
  <c r="G69" i="18"/>
  <c r="V211" i="18"/>
  <c r="S211" i="18"/>
  <c r="R211" i="18"/>
  <c r="Q211" i="18"/>
  <c r="P211" i="18"/>
  <c r="O211" i="18"/>
  <c r="N211" i="18"/>
  <c r="M211" i="18"/>
  <c r="L211" i="18"/>
  <c r="K211" i="18"/>
  <c r="J211" i="18"/>
  <c r="I211" i="18"/>
  <c r="H211" i="18"/>
  <c r="G211" i="18"/>
  <c r="V111" i="18"/>
  <c r="S111" i="18"/>
  <c r="R111" i="18"/>
  <c r="Q111" i="18"/>
  <c r="P111" i="18"/>
  <c r="O111" i="18"/>
  <c r="N111" i="18"/>
  <c r="M111" i="18"/>
  <c r="L111" i="18"/>
  <c r="K111" i="18"/>
  <c r="J111" i="18"/>
  <c r="I111" i="18"/>
  <c r="H111" i="18"/>
  <c r="G111" i="18"/>
  <c r="V152" i="18"/>
  <c r="S152" i="18"/>
  <c r="R152" i="18"/>
  <c r="Q152" i="18"/>
  <c r="P152" i="18"/>
  <c r="O152" i="18"/>
  <c r="N152" i="18"/>
  <c r="M152" i="18"/>
  <c r="L152" i="18"/>
  <c r="K152" i="18"/>
  <c r="J152" i="18"/>
  <c r="I152" i="18"/>
  <c r="H152" i="18"/>
  <c r="G152" i="18"/>
  <c r="V193" i="18"/>
  <c r="S193" i="18"/>
  <c r="R193" i="18"/>
  <c r="Q193" i="18"/>
  <c r="P193" i="18"/>
  <c r="O193" i="18"/>
  <c r="N193" i="18"/>
  <c r="M193" i="18"/>
  <c r="L193" i="18"/>
  <c r="K193" i="18"/>
  <c r="J193" i="18"/>
  <c r="I193" i="18"/>
  <c r="H193" i="18"/>
  <c r="G193" i="18"/>
  <c r="V104" i="18"/>
  <c r="S104" i="18"/>
  <c r="R104" i="18"/>
  <c r="Q104" i="18"/>
  <c r="P104" i="18"/>
  <c r="O104" i="18"/>
  <c r="N104" i="18"/>
  <c r="M104" i="18"/>
  <c r="L104" i="18"/>
  <c r="K104" i="18"/>
  <c r="J104" i="18"/>
  <c r="I104" i="18"/>
  <c r="H104" i="18"/>
  <c r="G104" i="18"/>
  <c r="V165" i="18"/>
  <c r="S165" i="18"/>
  <c r="R165" i="18"/>
  <c r="Q165" i="18"/>
  <c r="P165" i="18"/>
  <c r="O165" i="18"/>
  <c r="N165" i="18"/>
  <c r="M165" i="18"/>
  <c r="L165" i="18"/>
  <c r="K165" i="18"/>
  <c r="J165" i="18"/>
  <c r="I165" i="18"/>
  <c r="H165" i="18"/>
  <c r="G165" i="18"/>
  <c r="V167" i="18"/>
  <c r="S167" i="18"/>
  <c r="R167" i="18"/>
  <c r="Q167" i="18"/>
  <c r="P167" i="18"/>
  <c r="O167" i="18"/>
  <c r="N167" i="18"/>
  <c r="M167" i="18"/>
  <c r="L167" i="18"/>
  <c r="K167" i="18"/>
  <c r="J167" i="18"/>
  <c r="I167" i="18"/>
  <c r="H167" i="18"/>
  <c r="G167" i="18"/>
  <c r="V71" i="18"/>
  <c r="S71" i="18"/>
  <c r="R71" i="18"/>
  <c r="Q71" i="18"/>
  <c r="P71" i="18"/>
  <c r="O71" i="18"/>
  <c r="N71" i="18"/>
  <c r="M71" i="18"/>
  <c r="L71" i="18"/>
  <c r="K71" i="18"/>
  <c r="J71" i="18"/>
  <c r="I71" i="18"/>
  <c r="H71" i="18"/>
  <c r="G71" i="18"/>
  <c r="V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V129" i="18"/>
  <c r="S129" i="18"/>
  <c r="R129" i="18"/>
  <c r="Q129" i="18"/>
  <c r="P129" i="18"/>
  <c r="O129" i="18"/>
  <c r="N129" i="18"/>
  <c r="M129" i="18"/>
  <c r="L129" i="18"/>
  <c r="K129" i="18"/>
  <c r="J129" i="18"/>
  <c r="I129" i="18"/>
  <c r="H129" i="18"/>
  <c r="G129" i="18"/>
  <c r="V141" i="18"/>
  <c r="S141" i="18"/>
  <c r="R141" i="18"/>
  <c r="Q141" i="18"/>
  <c r="P141" i="18"/>
  <c r="O141" i="18"/>
  <c r="N141" i="18"/>
  <c r="M141" i="18"/>
  <c r="L141" i="18"/>
  <c r="K141" i="18"/>
  <c r="J141" i="18"/>
  <c r="I141" i="18"/>
  <c r="H141" i="18"/>
  <c r="G141" i="18"/>
  <c r="V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V75" i="18"/>
  <c r="S75" i="18"/>
  <c r="R75" i="18"/>
  <c r="Q75" i="18"/>
  <c r="P75" i="18"/>
  <c r="O75" i="18"/>
  <c r="N75" i="18"/>
  <c r="M75" i="18"/>
  <c r="L75" i="18"/>
  <c r="K75" i="18"/>
  <c r="J75" i="18"/>
  <c r="I75" i="18"/>
  <c r="H75" i="18"/>
  <c r="G75" i="18"/>
  <c r="V114" i="18"/>
  <c r="S114" i="18"/>
  <c r="R114" i="18"/>
  <c r="Q114" i="18"/>
  <c r="P114" i="18"/>
  <c r="O114" i="18"/>
  <c r="N114" i="18"/>
  <c r="M114" i="18"/>
  <c r="L114" i="18"/>
  <c r="K114" i="18"/>
  <c r="J114" i="18"/>
  <c r="I114" i="18"/>
  <c r="H114" i="18"/>
  <c r="G114" i="18"/>
  <c r="V155" i="18"/>
  <c r="S155" i="18"/>
  <c r="R155" i="18"/>
  <c r="Q155" i="18"/>
  <c r="P155" i="18"/>
  <c r="O155" i="18"/>
  <c r="N155" i="18"/>
  <c r="M155" i="18"/>
  <c r="L155" i="18"/>
  <c r="K155" i="18"/>
  <c r="J155" i="18"/>
  <c r="I155" i="18"/>
  <c r="H155" i="18"/>
  <c r="G155" i="18"/>
  <c r="V137" i="18"/>
  <c r="S137" i="18"/>
  <c r="R137" i="18"/>
  <c r="Q137" i="18"/>
  <c r="P137" i="18"/>
  <c r="O137" i="18"/>
  <c r="N137" i="18"/>
  <c r="M137" i="18"/>
  <c r="L137" i="18"/>
  <c r="K137" i="18"/>
  <c r="J137" i="18"/>
  <c r="I137" i="18"/>
  <c r="H137" i="18"/>
  <c r="G137" i="18"/>
  <c r="V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V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V89" i="18"/>
  <c r="S89" i="18"/>
  <c r="R89" i="18"/>
  <c r="Q89" i="18"/>
  <c r="P89" i="18"/>
  <c r="O89" i="18"/>
  <c r="N89" i="18"/>
  <c r="M89" i="18"/>
  <c r="L89" i="18"/>
  <c r="K89" i="18"/>
  <c r="J89" i="18"/>
  <c r="I89" i="18"/>
  <c r="H89" i="18"/>
  <c r="G89" i="18"/>
  <c r="V132" i="18"/>
  <c r="S132" i="18"/>
  <c r="R132" i="18"/>
  <c r="Q132" i="18"/>
  <c r="P132" i="18"/>
  <c r="O132" i="18"/>
  <c r="N132" i="18"/>
  <c r="M132" i="18"/>
  <c r="L132" i="18"/>
  <c r="K132" i="18"/>
  <c r="J132" i="18"/>
  <c r="I132" i="18"/>
  <c r="H132" i="18"/>
  <c r="G132" i="18"/>
  <c r="V148" i="18"/>
  <c r="S148" i="18"/>
  <c r="R148" i="18"/>
  <c r="Q148" i="18"/>
  <c r="P148" i="18"/>
  <c r="O148" i="18"/>
  <c r="N148" i="18"/>
  <c r="M148" i="18"/>
  <c r="L148" i="18"/>
  <c r="K148" i="18"/>
  <c r="J148" i="18"/>
  <c r="I148" i="18"/>
  <c r="H148" i="18"/>
  <c r="G148" i="18"/>
  <c r="V48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V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V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V101" i="18"/>
  <c r="S101" i="18"/>
  <c r="R101" i="18"/>
  <c r="Q101" i="18"/>
  <c r="P101" i="18"/>
  <c r="O101" i="18"/>
  <c r="N101" i="18"/>
  <c r="M101" i="18"/>
  <c r="L101" i="18"/>
  <c r="K101" i="18"/>
  <c r="J101" i="18"/>
  <c r="I101" i="18"/>
  <c r="H101" i="18"/>
  <c r="G101" i="18"/>
  <c r="V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V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V45" i="18"/>
  <c r="S45" i="18"/>
  <c r="R45" i="18"/>
  <c r="Q45" i="18"/>
  <c r="P45" i="18"/>
  <c r="O45" i="18"/>
  <c r="N45" i="18"/>
  <c r="M45" i="18"/>
  <c r="L45" i="18"/>
  <c r="K45" i="18"/>
  <c r="J45" i="18"/>
  <c r="I45" i="18"/>
  <c r="H45" i="18"/>
  <c r="G45" i="18"/>
  <c r="V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V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V102" i="18"/>
  <c r="S102" i="18"/>
  <c r="R102" i="18"/>
  <c r="Q102" i="18"/>
  <c r="P102" i="18"/>
  <c r="O102" i="18"/>
  <c r="N102" i="18"/>
  <c r="M102" i="18"/>
  <c r="L102" i="18"/>
  <c r="K102" i="18"/>
  <c r="J102" i="18"/>
  <c r="I102" i="18"/>
  <c r="H102" i="18"/>
  <c r="G102" i="18"/>
  <c r="V146" i="18"/>
  <c r="S146" i="18"/>
  <c r="R146" i="18"/>
  <c r="Q146" i="18"/>
  <c r="P146" i="18"/>
  <c r="O146" i="18"/>
  <c r="N146" i="18"/>
  <c r="M146" i="18"/>
  <c r="L146" i="18"/>
  <c r="K146" i="18"/>
  <c r="J146" i="18"/>
  <c r="I146" i="18"/>
  <c r="H146" i="18"/>
  <c r="G146" i="18"/>
  <c r="V199" i="18"/>
  <c r="S199" i="18"/>
  <c r="R199" i="18"/>
  <c r="Q199" i="18"/>
  <c r="P199" i="18"/>
  <c r="O199" i="18"/>
  <c r="N199" i="18"/>
  <c r="M199" i="18"/>
  <c r="L199" i="18"/>
  <c r="K199" i="18"/>
  <c r="J199" i="18"/>
  <c r="I199" i="18"/>
  <c r="H199" i="18"/>
  <c r="G199" i="18"/>
  <c r="V151" i="18"/>
  <c r="S151" i="18"/>
  <c r="R151" i="18"/>
  <c r="Q151" i="18"/>
  <c r="P151" i="18"/>
  <c r="O151" i="18"/>
  <c r="N151" i="18"/>
  <c r="M151" i="18"/>
  <c r="L151" i="18"/>
  <c r="K151" i="18"/>
  <c r="J151" i="18"/>
  <c r="I151" i="18"/>
  <c r="H151" i="18"/>
  <c r="G151" i="18"/>
  <c r="V39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V106" i="18"/>
  <c r="S106" i="18"/>
  <c r="R106" i="18"/>
  <c r="Q106" i="18"/>
  <c r="P106" i="18"/>
  <c r="O106" i="18"/>
  <c r="N106" i="18"/>
  <c r="M106" i="18"/>
  <c r="L106" i="18"/>
  <c r="K106" i="18"/>
  <c r="J106" i="18"/>
  <c r="I106" i="18"/>
  <c r="H106" i="18"/>
  <c r="G106" i="18"/>
  <c r="V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V185" i="18"/>
  <c r="S185" i="18"/>
  <c r="R185" i="18"/>
  <c r="Q185" i="18"/>
  <c r="P185" i="18"/>
  <c r="O185" i="18"/>
  <c r="N185" i="18"/>
  <c r="M185" i="18"/>
  <c r="L185" i="18"/>
  <c r="K185" i="18"/>
  <c r="J185" i="18"/>
  <c r="I185" i="18"/>
  <c r="H185" i="18"/>
  <c r="G185" i="18"/>
  <c r="V118" i="18"/>
  <c r="S118" i="18"/>
  <c r="R118" i="18"/>
  <c r="Q118" i="18"/>
  <c r="P118" i="18"/>
  <c r="O118" i="18"/>
  <c r="N118" i="18"/>
  <c r="M118" i="18"/>
  <c r="L118" i="18"/>
  <c r="K118" i="18"/>
  <c r="J118" i="18"/>
  <c r="I118" i="18"/>
  <c r="H118" i="18"/>
  <c r="G118" i="18"/>
  <c r="V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V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V207" i="18"/>
  <c r="S207" i="18"/>
  <c r="R207" i="18"/>
  <c r="Q207" i="18"/>
  <c r="P207" i="18"/>
  <c r="O207" i="18"/>
  <c r="N207" i="18"/>
  <c r="M207" i="18"/>
  <c r="L207" i="18"/>
  <c r="K207" i="18"/>
  <c r="J207" i="18"/>
  <c r="I207" i="18"/>
  <c r="H207" i="18"/>
  <c r="G207" i="18"/>
  <c r="V76" i="18"/>
  <c r="S76" i="18"/>
  <c r="R76" i="18"/>
  <c r="Q76" i="18"/>
  <c r="P76" i="18"/>
  <c r="O76" i="18"/>
  <c r="N76" i="18"/>
  <c r="M76" i="18"/>
  <c r="L76" i="18"/>
  <c r="K76" i="18"/>
  <c r="J76" i="18"/>
  <c r="I76" i="18"/>
  <c r="H76" i="18"/>
  <c r="G76" i="18"/>
  <c r="V93" i="18"/>
  <c r="S93" i="18"/>
  <c r="R93" i="18"/>
  <c r="Q93" i="18"/>
  <c r="P93" i="18"/>
  <c r="O93" i="18"/>
  <c r="N93" i="18"/>
  <c r="M93" i="18"/>
  <c r="L93" i="18"/>
  <c r="K93" i="18"/>
  <c r="J93" i="18"/>
  <c r="I93" i="18"/>
  <c r="H93" i="18"/>
  <c r="G93" i="18"/>
  <c r="V109" i="18"/>
  <c r="S109" i="18"/>
  <c r="R109" i="18"/>
  <c r="Q109" i="18"/>
  <c r="P109" i="18"/>
  <c r="O109" i="18"/>
  <c r="N109" i="18"/>
  <c r="M109" i="18"/>
  <c r="L109" i="18"/>
  <c r="K109" i="18"/>
  <c r="J109" i="18"/>
  <c r="I109" i="18"/>
  <c r="H109" i="18"/>
  <c r="G109" i="18"/>
  <c r="V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V201" i="18"/>
  <c r="S201" i="18"/>
  <c r="R201" i="18"/>
  <c r="Q201" i="18"/>
  <c r="P201" i="18"/>
  <c r="O201" i="18"/>
  <c r="N201" i="18"/>
  <c r="M201" i="18"/>
  <c r="L201" i="18"/>
  <c r="K201" i="18"/>
  <c r="J201" i="18"/>
  <c r="I201" i="18"/>
  <c r="H201" i="18"/>
  <c r="G201" i="18"/>
  <c r="V95" i="18"/>
  <c r="S95" i="18"/>
  <c r="R95" i="18"/>
  <c r="Q95" i="18"/>
  <c r="P95" i="18"/>
  <c r="O95" i="18"/>
  <c r="N95" i="18"/>
  <c r="M95" i="18"/>
  <c r="L95" i="18"/>
  <c r="K95" i="18"/>
  <c r="J95" i="18"/>
  <c r="I95" i="18"/>
  <c r="H95" i="18"/>
  <c r="G95" i="18"/>
  <c r="V65" i="18"/>
  <c r="S65" i="18"/>
  <c r="R65" i="18"/>
  <c r="Q65" i="18"/>
  <c r="P65" i="18"/>
  <c r="O65" i="18"/>
  <c r="N65" i="18"/>
  <c r="M65" i="18"/>
  <c r="L65" i="18"/>
  <c r="K65" i="18"/>
  <c r="J65" i="18"/>
  <c r="I65" i="18"/>
  <c r="H65" i="18"/>
  <c r="G65" i="18"/>
  <c r="V143" i="18"/>
  <c r="S143" i="18"/>
  <c r="R143" i="18"/>
  <c r="Q143" i="18"/>
  <c r="P143" i="18"/>
  <c r="O143" i="18"/>
  <c r="N143" i="18"/>
  <c r="M143" i="18"/>
  <c r="L143" i="18"/>
  <c r="K143" i="18"/>
  <c r="J143" i="18"/>
  <c r="I143" i="18"/>
  <c r="H143" i="18"/>
  <c r="G143" i="18"/>
  <c r="V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V162" i="18"/>
  <c r="S162" i="18"/>
  <c r="R162" i="18"/>
  <c r="Q162" i="18"/>
  <c r="P162" i="18"/>
  <c r="O162" i="18"/>
  <c r="N162" i="18"/>
  <c r="M162" i="18"/>
  <c r="L162" i="18"/>
  <c r="K162" i="18"/>
  <c r="J162" i="18"/>
  <c r="I162" i="18"/>
  <c r="H162" i="18"/>
  <c r="G162" i="18"/>
  <c r="V64" i="18"/>
  <c r="S64" i="18"/>
  <c r="R64" i="18"/>
  <c r="Q64" i="18"/>
  <c r="P64" i="18"/>
  <c r="O64" i="18"/>
  <c r="N64" i="18"/>
  <c r="M64" i="18"/>
  <c r="L64" i="18"/>
  <c r="K64" i="18"/>
  <c r="J64" i="18"/>
  <c r="I64" i="18"/>
  <c r="H64" i="18"/>
  <c r="G64" i="18"/>
  <c r="V79" i="18"/>
  <c r="S79" i="18"/>
  <c r="R79" i="18"/>
  <c r="Q79" i="18"/>
  <c r="P79" i="18"/>
  <c r="O79" i="18"/>
  <c r="N79" i="18"/>
  <c r="M79" i="18"/>
  <c r="L79" i="18"/>
  <c r="K79" i="18"/>
  <c r="J79" i="18"/>
  <c r="I79" i="18"/>
  <c r="H79" i="18"/>
  <c r="G79" i="18"/>
  <c r="V78" i="18"/>
  <c r="S78" i="18"/>
  <c r="R78" i="18"/>
  <c r="Q78" i="18"/>
  <c r="P78" i="18"/>
  <c r="O78" i="18"/>
  <c r="N78" i="18"/>
  <c r="M78" i="18"/>
  <c r="L78" i="18"/>
  <c r="K78" i="18"/>
  <c r="J78" i="18"/>
  <c r="I78" i="18"/>
  <c r="H78" i="18"/>
  <c r="G78" i="18"/>
  <c r="V105" i="18"/>
  <c r="S105" i="18"/>
  <c r="R105" i="18"/>
  <c r="Q105" i="18"/>
  <c r="P105" i="18"/>
  <c r="O105" i="18"/>
  <c r="N105" i="18"/>
  <c r="M105" i="18"/>
  <c r="L105" i="18"/>
  <c r="K105" i="18"/>
  <c r="J105" i="18"/>
  <c r="I105" i="18"/>
  <c r="H105" i="18"/>
  <c r="G105" i="18"/>
  <c r="V108" i="18"/>
  <c r="S108" i="18"/>
  <c r="R108" i="18"/>
  <c r="Q108" i="18"/>
  <c r="P108" i="18"/>
  <c r="O108" i="18"/>
  <c r="N108" i="18"/>
  <c r="M108" i="18"/>
  <c r="L108" i="18"/>
  <c r="K108" i="18"/>
  <c r="J108" i="18"/>
  <c r="I108" i="18"/>
  <c r="H108" i="18"/>
  <c r="G108" i="18"/>
  <c r="V116" i="18"/>
  <c r="S116" i="18"/>
  <c r="R116" i="18"/>
  <c r="Q116" i="18"/>
  <c r="P116" i="18"/>
  <c r="O116" i="18"/>
  <c r="N116" i="18"/>
  <c r="M116" i="18"/>
  <c r="L116" i="18"/>
  <c r="K116" i="18"/>
  <c r="J116" i="18"/>
  <c r="I116" i="18"/>
  <c r="H116" i="18"/>
  <c r="G116" i="18"/>
  <c r="V107" i="18"/>
  <c r="S107" i="18"/>
  <c r="R107" i="18"/>
  <c r="Q107" i="18"/>
  <c r="P107" i="18"/>
  <c r="O107" i="18"/>
  <c r="N107" i="18"/>
  <c r="M107" i="18"/>
  <c r="L107" i="18"/>
  <c r="K107" i="18"/>
  <c r="J107" i="18"/>
  <c r="I107" i="18"/>
  <c r="H107" i="18"/>
  <c r="G107" i="18"/>
  <c r="V163" i="18"/>
  <c r="S163" i="18"/>
  <c r="R163" i="18"/>
  <c r="Q163" i="18"/>
  <c r="P163" i="18"/>
  <c r="O163" i="18"/>
  <c r="N163" i="18"/>
  <c r="M163" i="18"/>
  <c r="L163" i="18"/>
  <c r="K163" i="18"/>
  <c r="J163" i="18"/>
  <c r="I163" i="18"/>
  <c r="H163" i="18"/>
  <c r="G163" i="18"/>
  <c r="V50" i="18"/>
  <c r="S50" i="18"/>
  <c r="R50" i="18"/>
  <c r="Q50" i="18"/>
  <c r="P50" i="18"/>
  <c r="O50" i="18"/>
  <c r="N50" i="18"/>
  <c r="M50" i="18"/>
  <c r="L50" i="18"/>
  <c r="K50" i="18"/>
  <c r="J50" i="18"/>
  <c r="I50" i="18"/>
  <c r="H50" i="18"/>
  <c r="G50" i="18"/>
  <c r="V77" i="18"/>
  <c r="S77" i="18"/>
  <c r="R77" i="18"/>
  <c r="Q77" i="18"/>
  <c r="P77" i="18"/>
  <c r="O77" i="18"/>
  <c r="N77" i="18"/>
  <c r="M77" i="18"/>
  <c r="L77" i="18"/>
  <c r="K77" i="18"/>
  <c r="J77" i="18"/>
  <c r="I77" i="18"/>
  <c r="H77" i="18"/>
  <c r="G77" i="18"/>
  <c r="V73" i="18"/>
  <c r="S73" i="18"/>
  <c r="R73" i="18"/>
  <c r="Q73" i="18"/>
  <c r="P73" i="18"/>
  <c r="O73" i="18"/>
  <c r="N73" i="18"/>
  <c r="M73" i="18"/>
  <c r="L73" i="18"/>
  <c r="K73" i="18"/>
  <c r="J73" i="18"/>
  <c r="I73" i="18"/>
  <c r="H73" i="18"/>
  <c r="G73" i="18"/>
  <c r="V205" i="18"/>
  <c r="S205" i="18"/>
  <c r="R205" i="18"/>
  <c r="Q205" i="18"/>
  <c r="P205" i="18"/>
  <c r="O205" i="18"/>
  <c r="N205" i="18"/>
  <c r="M205" i="18"/>
  <c r="L205" i="18"/>
  <c r="K205" i="18"/>
  <c r="J205" i="18"/>
  <c r="I205" i="18"/>
  <c r="H205" i="18"/>
  <c r="G205" i="18"/>
  <c r="V17" i="18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V159" i="18"/>
  <c r="S159" i="18"/>
  <c r="R159" i="18"/>
  <c r="Q159" i="18"/>
  <c r="P159" i="18"/>
  <c r="O159" i="18"/>
  <c r="N159" i="18"/>
  <c r="M159" i="18"/>
  <c r="L159" i="18"/>
  <c r="K159" i="18"/>
  <c r="J159" i="18"/>
  <c r="I159" i="18"/>
  <c r="H159" i="18"/>
  <c r="G159" i="18"/>
  <c r="V122" i="18"/>
  <c r="S122" i="18"/>
  <c r="R122" i="18"/>
  <c r="Q122" i="18"/>
  <c r="P122" i="18"/>
  <c r="O122" i="18"/>
  <c r="N122" i="18"/>
  <c r="M122" i="18"/>
  <c r="L122" i="18"/>
  <c r="K122" i="18"/>
  <c r="J122" i="18"/>
  <c r="I122" i="18"/>
  <c r="H122" i="18"/>
  <c r="G122" i="18"/>
  <c r="V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V115" i="18"/>
  <c r="S115" i="18"/>
  <c r="R115" i="18"/>
  <c r="Q115" i="18"/>
  <c r="P115" i="18"/>
  <c r="O115" i="18"/>
  <c r="N115" i="18"/>
  <c r="M115" i="18"/>
  <c r="L115" i="18"/>
  <c r="K115" i="18"/>
  <c r="J115" i="18"/>
  <c r="I115" i="18"/>
  <c r="H115" i="18"/>
  <c r="G115" i="18"/>
  <c r="V80" i="18"/>
  <c r="S80" i="18"/>
  <c r="R80" i="18"/>
  <c r="Q80" i="18"/>
  <c r="P80" i="18"/>
  <c r="O80" i="18"/>
  <c r="N80" i="18"/>
  <c r="M80" i="18"/>
  <c r="L80" i="18"/>
  <c r="K80" i="18"/>
  <c r="J80" i="18"/>
  <c r="I80" i="18"/>
  <c r="H80" i="18"/>
  <c r="G80" i="18"/>
  <c r="V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V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V204" i="18"/>
  <c r="S204" i="18"/>
  <c r="R204" i="18"/>
  <c r="Q204" i="18"/>
  <c r="P204" i="18"/>
  <c r="O204" i="18"/>
  <c r="N204" i="18"/>
  <c r="M204" i="18"/>
  <c r="L204" i="18"/>
  <c r="K204" i="18"/>
  <c r="J204" i="18"/>
  <c r="I204" i="18"/>
  <c r="H204" i="18"/>
  <c r="G204" i="18"/>
  <c r="V66" i="18"/>
  <c r="S66" i="18"/>
  <c r="R66" i="18"/>
  <c r="Q66" i="18"/>
  <c r="P66" i="18"/>
  <c r="O66" i="18"/>
  <c r="N66" i="18"/>
  <c r="M66" i="18"/>
  <c r="L66" i="18"/>
  <c r="K66" i="18"/>
  <c r="J66" i="18"/>
  <c r="I66" i="18"/>
  <c r="H66" i="18"/>
  <c r="G66" i="18"/>
  <c r="V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V147" i="18"/>
  <c r="S147" i="18"/>
  <c r="R147" i="18"/>
  <c r="Q147" i="18"/>
  <c r="P147" i="18"/>
  <c r="O147" i="18"/>
  <c r="N147" i="18"/>
  <c r="M147" i="18"/>
  <c r="L147" i="18"/>
  <c r="K147" i="18"/>
  <c r="J147" i="18"/>
  <c r="I147" i="18"/>
  <c r="H147" i="18"/>
  <c r="G147" i="18"/>
  <c r="V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V150" i="18"/>
  <c r="S150" i="18"/>
  <c r="R150" i="18"/>
  <c r="Q150" i="18"/>
  <c r="P150" i="18"/>
  <c r="O150" i="18"/>
  <c r="N150" i="18"/>
  <c r="M150" i="18"/>
  <c r="L150" i="18"/>
  <c r="K150" i="18"/>
  <c r="J150" i="18"/>
  <c r="I150" i="18"/>
  <c r="H150" i="18"/>
  <c r="G150" i="18"/>
  <c r="V90" i="18"/>
  <c r="S90" i="18"/>
  <c r="R90" i="18"/>
  <c r="Q90" i="18"/>
  <c r="P90" i="18"/>
  <c r="O90" i="18"/>
  <c r="N90" i="18"/>
  <c r="M90" i="18"/>
  <c r="L90" i="18"/>
  <c r="K90" i="18"/>
  <c r="J90" i="18"/>
  <c r="I90" i="18"/>
  <c r="H90" i="18"/>
  <c r="G90" i="18"/>
  <c r="V135" i="18"/>
  <c r="S135" i="18"/>
  <c r="R135" i="18"/>
  <c r="Q135" i="18"/>
  <c r="P135" i="18"/>
  <c r="O135" i="18"/>
  <c r="N135" i="18"/>
  <c r="M135" i="18"/>
  <c r="L135" i="18"/>
  <c r="K135" i="18"/>
  <c r="J135" i="18"/>
  <c r="I135" i="18"/>
  <c r="H135" i="18"/>
  <c r="G135" i="18"/>
  <c r="V103" i="18"/>
  <c r="S103" i="18"/>
  <c r="R103" i="18"/>
  <c r="Q103" i="18"/>
  <c r="P103" i="18"/>
  <c r="O103" i="18"/>
  <c r="N103" i="18"/>
  <c r="M103" i="18"/>
  <c r="L103" i="18"/>
  <c r="K103" i="18"/>
  <c r="J103" i="18"/>
  <c r="I103" i="18"/>
  <c r="H103" i="18"/>
  <c r="G103" i="18"/>
  <c r="V149" i="18"/>
  <c r="S149" i="18"/>
  <c r="R149" i="18"/>
  <c r="Q149" i="18"/>
  <c r="P149" i="18"/>
  <c r="O149" i="18"/>
  <c r="N149" i="18"/>
  <c r="M149" i="18"/>
  <c r="L149" i="18"/>
  <c r="K149" i="18"/>
  <c r="J149" i="18"/>
  <c r="I149" i="18"/>
  <c r="H149" i="18"/>
  <c r="G149" i="18"/>
  <c r="V144" i="18"/>
  <c r="S144" i="18"/>
  <c r="R144" i="18"/>
  <c r="Q144" i="18"/>
  <c r="P144" i="18"/>
  <c r="O144" i="18"/>
  <c r="N144" i="18"/>
  <c r="M144" i="18"/>
  <c r="L144" i="18"/>
  <c r="K144" i="18"/>
  <c r="J144" i="18"/>
  <c r="I144" i="18"/>
  <c r="H144" i="18"/>
  <c r="G144" i="18"/>
  <c r="V130" i="18"/>
  <c r="S130" i="18"/>
  <c r="R130" i="18"/>
  <c r="Q130" i="18"/>
  <c r="P130" i="18"/>
  <c r="O130" i="18"/>
  <c r="N130" i="18"/>
  <c r="M130" i="18"/>
  <c r="L130" i="18"/>
  <c r="K130" i="18"/>
  <c r="J130" i="18"/>
  <c r="I130" i="18"/>
  <c r="H130" i="18"/>
  <c r="G130" i="18"/>
  <c r="V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V145" i="18"/>
  <c r="S145" i="18"/>
  <c r="R145" i="18"/>
  <c r="Q145" i="18"/>
  <c r="P145" i="18"/>
  <c r="O145" i="18"/>
  <c r="N145" i="18"/>
  <c r="M145" i="18"/>
  <c r="L145" i="18"/>
  <c r="K145" i="18"/>
  <c r="J145" i="18"/>
  <c r="I145" i="18"/>
  <c r="H145" i="18"/>
  <c r="G145" i="18"/>
  <c r="V49" i="18"/>
  <c r="S49" i="18"/>
  <c r="R49" i="18"/>
  <c r="Q49" i="18"/>
  <c r="P49" i="18"/>
  <c r="O49" i="18"/>
  <c r="N49" i="18"/>
  <c r="M49" i="18"/>
  <c r="L49" i="18"/>
  <c r="K49" i="18"/>
  <c r="J49" i="18"/>
  <c r="I49" i="18"/>
  <c r="H49" i="18"/>
  <c r="G49" i="18"/>
  <c r="V46" i="18"/>
  <c r="S46" i="18"/>
  <c r="R46" i="18"/>
  <c r="Q46" i="18"/>
  <c r="P46" i="18"/>
  <c r="O46" i="18"/>
  <c r="N46" i="18"/>
  <c r="M46" i="18"/>
  <c r="L46" i="18"/>
  <c r="K46" i="18"/>
  <c r="J46" i="18"/>
  <c r="I46" i="18"/>
  <c r="H46" i="18"/>
  <c r="G46" i="18"/>
  <c r="V9" i="18"/>
  <c r="S9" i="18"/>
  <c r="R9" i="18"/>
  <c r="Q9" i="18"/>
  <c r="P9" i="18"/>
  <c r="O9" i="18"/>
  <c r="N9" i="18"/>
  <c r="M9" i="18"/>
  <c r="L9" i="18"/>
  <c r="K9" i="18"/>
  <c r="J9" i="18"/>
  <c r="I9" i="18"/>
  <c r="H9" i="18"/>
  <c r="G9" i="18"/>
  <c r="V157" i="18"/>
  <c r="S157" i="18"/>
  <c r="R157" i="18"/>
  <c r="Q157" i="18"/>
  <c r="P157" i="18"/>
  <c r="O157" i="18"/>
  <c r="N157" i="18"/>
  <c r="M157" i="18"/>
  <c r="L157" i="18"/>
  <c r="K157" i="18"/>
  <c r="J157" i="18"/>
  <c r="I157" i="18"/>
  <c r="H157" i="18"/>
  <c r="G157" i="18"/>
  <c r="V186" i="18"/>
  <c r="S186" i="18"/>
  <c r="R186" i="18"/>
  <c r="Q186" i="18"/>
  <c r="P186" i="18"/>
  <c r="O186" i="18"/>
  <c r="N186" i="18"/>
  <c r="M186" i="18"/>
  <c r="L186" i="18"/>
  <c r="K186" i="18"/>
  <c r="J186" i="18"/>
  <c r="I186" i="18"/>
  <c r="H186" i="18"/>
  <c r="G186" i="18"/>
  <c r="V3" i="18"/>
  <c r="S3" i="18"/>
  <c r="R3" i="18"/>
  <c r="Q3" i="18"/>
  <c r="P3" i="18"/>
  <c r="O3" i="18"/>
  <c r="N3" i="18"/>
  <c r="M3" i="18"/>
  <c r="L3" i="18"/>
  <c r="K3" i="18"/>
  <c r="J3" i="18"/>
  <c r="I3" i="18"/>
  <c r="H3" i="18"/>
  <c r="G3" i="18"/>
  <c r="V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V94" i="18"/>
  <c r="S94" i="18"/>
  <c r="R94" i="18"/>
  <c r="Q94" i="18"/>
  <c r="P94" i="18"/>
  <c r="O94" i="18"/>
  <c r="N94" i="18"/>
  <c r="M94" i="18"/>
  <c r="L94" i="18"/>
  <c r="K94" i="18"/>
  <c r="J94" i="18"/>
  <c r="I94" i="18"/>
  <c r="H94" i="18"/>
  <c r="G94" i="18"/>
  <c r="V92" i="18"/>
  <c r="S92" i="18"/>
  <c r="R92" i="18"/>
  <c r="Q92" i="18"/>
  <c r="P92" i="18"/>
  <c r="O92" i="18"/>
  <c r="N92" i="18"/>
  <c r="M92" i="18"/>
  <c r="L92" i="18"/>
  <c r="K92" i="18"/>
  <c r="J92" i="18"/>
  <c r="I92" i="18"/>
  <c r="H92" i="18"/>
  <c r="G92" i="18"/>
  <c r="V192" i="18"/>
  <c r="S192" i="18"/>
  <c r="R192" i="18"/>
  <c r="Q192" i="18"/>
  <c r="P192" i="18"/>
  <c r="O192" i="18"/>
  <c r="N192" i="18"/>
  <c r="M192" i="18"/>
  <c r="L192" i="18"/>
  <c r="K192" i="18"/>
  <c r="J192" i="18"/>
  <c r="I192" i="18"/>
  <c r="H192" i="18"/>
  <c r="G192" i="18"/>
  <c r="V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V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V119" i="18"/>
  <c r="S119" i="18"/>
  <c r="R119" i="18"/>
  <c r="Q119" i="18"/>
  <c r="P119" i="18"/>
  <c r="O119" i="18"/>
  <c r="N119" i="18"/>
  <c r="M119" i="18"/>
  <c r="L119" i="18"/>
  <c r="K119" i="18"/>
  <c r="J119" i="18"/>
  <c r="I119" i="18"/>
  <c r="H119" i="18"/>
  <c r="G119" i="18"/>
  <c r="V74" i="18"/>
  <c r="S74" i="18"/>
  <c r="R74" i="18"/>
  <c r="Q74" i="18"/>
  <c r="P74" i="18"/>
  <c r="O74" i="18"/>
  <c r="N74" i="18"/>
  <c r="M74" i="18"/>
  <c r="L74" i="18"/>
  <c r="K74" i="18"/>
  <c r="J74" i="18"/>
  <c r="I74" i="18"/>
  <c r="H74" i="18"/>
  <c r="G74" i="18"/>
  <c r="V117" i="18"/>
  <c r="S117" i="18"/>
  <c r="R117" i="18"/>
  <c r="Q117" i="18"/>
  <c r="P117" i="18"/>
  <c r="O117" i="18"/>
  <c r="N117" i="18"/>
  <c r="M117" i="18"/>
  <c r="L117" i="18"/>
  <c r="K117" i="18"/>
  <c r="J117" i="18"/>
  <c r="I117" i="18"/>
  <c r="H117" i="18"/>
  <c r="G117" i="18"/>
  <c r="V160" i="18"/>
  <c r="S160" i="18"/>
  <c r="R160" i="18"/>
  <c r="Q160" i="18"/>
  <c r="P160" i="18"/>
  <c r="O160" i="18"/>
  <c r="N160" i="18"/>
  <c r="M160" i="18"/>
  <c r="L160" i="18"/>
  <c r="K160" i="18"/>
  <c r="J160" i="18"/>
  <c r="I160" i="18"/>
  <c r="H160" i="18"/>
  <c r="G160" i="18"/>
  <c r="V164" i="18"/>
  <c r="S164" i="18"/>
  <c r="R164" i="18"/>
  <c r="Q164" i="18"/>
  <c r="P164" i="18"/>
  <c r="O164" i="18"/>
  <c r="N164" i="18"/>
  <c r="M164" i="18"/>
  <c r="L164" i="18"/>
  <c r="K164" i="18"/>
  <c r="J164" i="18"/>
  <c r="I164" i="18"/>
  <c r="H164" i="18"/>
  <c r="G164" i="18"/>
  <c r="V187" i="18"/>
  <c r="S187" i="18"/>
  <c r="R187" i="18"/>
  <c r="Q187" i="18"/>
  <c r="P187" i="18"/>
  <c r="O187" i="18"/>
  <c r="N187" i="18"/>
  <c r="M187" i="18"/>
  <c r="L187" i="18"/>
  <c r="K187" i="18"/>
  <c r="J187" i="18"/>
  <c r="I187" i="18"/>
  <c r="H187" i="18"/>
  <c r="G187" i="18"/>
  <c r="V131" i="18"/>
  <c r="S131" i="18"/>
  <c r="R131" i="18"/>
  <c r="Q131" i="18"/>
  <c r="P131" i="18"/>
  <c r="O131" i="18"/>
  <c r="N131" i="18"/>
  <c r="M131" i="18"/>
  <c r="L131" i="18"/>
  <c r="K131" i="18"/>
  <c r="J131" i="18"/>
  <c r="I131" i="18"/>
  <c r="H131" i="18"/>
  <c r="G131" i="18"/>
  <c r="V121" i="18"/>
  <c r="S121" i="18"/>
  <c r="R121" i="18"/>
  <c r="Q121" i="18"/>
  <c r="P121" i="18"/>
  <c r="O121" i="18"/>
  <c r="N121" i="18"/>
  <c r="M121" i="18"/>
  <c r="L121" i="18"/>
  <c r="K121" i="18"/>
  <c r="J121" i="18"/>
  <c r="I121" i="18"/>
  <c r="H121" i="18"/>
  <c r="G121" i="18"/>
  <c r="V189" i="18"/>
  <c r="S189" i="18"/>
  <c r="R189" i="18"/>
  <c r="Q189" i="18"/>
  <c r="P189" i="18"/>
  <c r="O189" i="18"/>
  <c r="N189" i="18"/>
  <c r="M189" i="18"/>
  <c r="L189" i="18"/>
  <c r="K189" i="18"/>
  <c r="J189" i="18"/>
  <c r="I189" i="18"/>
  <c r="H189" i="18"/>
  <c r="G189" i="18"/>
  <c r="V47" i="18"/>
  <c r="S47" i="18"/>
  <c r="R47" i="18"/>
  <c r="Q47" i="18"/>
  <c r="P47" i="18"/>
  <c r="O47" i="18"/>
  <c r="N47" i="18"/>
  <c r="M47" i="18"/>
  <c r="L47" i="18"/>
  <c r="K47" i="18"/>
  <c r="J47" i="18"/>
  <c r="I47" i="18"/>
  <c r="H47" i="18"/>
  <c r="G47" i="18"/>
  <c r="V62" i="18"/>
  <c r="S62" i="18"/>
  <c r="R62" i="18"/>
  <c r="Q62" i="18"/>
  <c r="P62" i="18"/>
  <c r="O62" i="18"/>
  <c r="N62" i="18"/>
  <c r="M62" i="18"/>
  <c r="L62" i="18"/>
  <c r="K62" i="18"/>
  <c r="J62" i="18"/>
  <c r="I62" i="18"/>
  <c r="H62" i="18"/>
  <c r="G62" i="18"/>
  <c r="V188" i="18"/>
  <c r="S188" i="18"/>
  <c r="R188" i="18"/>
  <c r="Q188" i="18"/>
  <c r="P188" i="18"/>
  <c r="O188" i="18"/>
  <c r="N188" i="18"/>
  <c r="M188" i="18"/>
  <c r="L188" i="18"/>
  <c r="K188" i="18"/>
  <c r="J188" i="18"/>
  <c r="I188" i="18"/>
  <c r="H188" i="18"/>
  <c r="G188" i="18"/>
  <c r="V6" i="18"/>
  <c r="S6" i="18"/>
  <c r="R6" i="18"/>
  <c r="Q6" i="18"/>
  <c r="P6" i="18"/>
  <c r="O6" i="18"/>
  <c r="N6" i="18"/>
  <c r="M6" i="18"/>
  <c r="L6" i="18"/>
  <c r="K6" i="18"/>
  <c r="J6" i="18"/>
  <c r="I6" i="18"/>
  <c r="H6" i="18"/>
  <c r="G6" i="18"/>
  <c r="V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V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V91" i="18"/>
  <c r="S91" i="18"/>
  <c r="R91" i="18"/>
  <c r="Q91" i="18"/>
  <c r="P91" i="18"/>
  <c r="O91" i="18"/>
  <c r="N91" i="18"/>
  <c r="M91" i="18"/>
  <c r="L91" i="18"/>
  <c r="K91" i="18"/>
  <c r="J91" i="18"/>
  <c r="I91" i="18"/>
  <c r="H91" i="18"/>
  <c r="G91" i="18"/>
  <c r="V134" i="18"/>
  <c r="S134" i="18"/>
  <c r="R134" i="18"/>
  <c r="Q134" i="18"/>
  <c r="P134" i="18"/>
  <c r="O134" i="18"/>
  <c r="N134" i="18"/>
  <c r="M134" i="18"/>
  <c r="L134" i="18"/>
  <c r="K134" i="18"/>
  <c r="J134" i="18"/>
  <c r="I134" i="18"/>
  <c r="H134" i="18"/>
  <c r="G134" i="18"/>
  <c r="V136" i="18"/>
  <c r="S136" i="18"/>
  <c r="R136" i="18"/>
  <c r="Q136" i="18"/>
  <c r="P136" i="18"/>
  <c r="O136" i="18"/>
  <c r="N136" i="18"/>
  <c r="M136" i="18"/>
  <c r="L136" i="18"/>
  <c r="K136" i="18"/>
  <c r="J136" i="18"/>
  <c r="I136" i="18"/>
  <c r="H136" i="18"/>
  <c r="G136" i="18"/>
  <c r="V203" i="18"/>
  <c r="S203" i="18"/>
  <c r="R203" i="18"/>
  <c r="Q203" i="18"/>
  <c r="P203" i="18"/>
  <c r="O203" i="18"/>
  <c r="N203" i="18"/>
  <c r="M203" i="18"/>
  <c r="L203" i="18"/>
  <c r="K203" i="18"/>
  <c r="J203" i="18"/>
  <c r="I203" i="18"/>
  <c r="H203" i="18"/>
  <c r="G203" i="18"/>
  <c r="V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V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V120" i="18"/>
  <c r="S120" i="18"/>
  <c r="R120" i="18"/>
  <c r="Q120" i="18"/>
  <c r="P120" i="18"/>
  <c r="O120" i="18"/>
  <c r="N120" i="18"/>
  <c r="M120" i="18"/>
  <c r="L120" i="18"/>
  <c r="K120" i="18"/>
  <c r="J120" i="18"/>
  <c r="I120" i="18"/>
  <c r="H120" i="18"/>
  <c r="G120" i="18"/>
  <c r="V133" i="18"/>
  <c r="S133" i="18"/>
  <c r="R133" i="18"/>
  <c r="Q133" i="18"/>
  <c r="P133" i="18"/>
  <c r="O133" i="18"/>
  <c r="N133" i="18"/>
  <c r="M133" i="18"/>
  <c r="L133" i="18"/>
  <c r="K133" i="18"/>
  <c r="J133" i="18"/>
  <c r="I133" i="18"/>
  <c r="H133" i="18"/>
  <c r="G133" i="18"/>
  <c r="V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V190" i="18"/>
  <c r="S190" i="18"/>
  <c r="R190" i="18"/>
  <c r="Q190" i="18"/>
  <c r="P190" i="18"/>
  <c r="O190" i="18"/>
  <c r="N190" i="18"/>
  <c r="M190" i="18"/>
  <c r="L190" i="18"/>
  <c r="K190" i="18"/>
  <c r="J190" i="18"/>
  <c r="I190" i="18"/>
  <c r="H190" i="18"/>
  <c r="G190" i="18"/>
  <c r="V158" i="18"/>
  <c r="S158" i="18"/>
  <c r="R158" i="18"/>
  <c r="Q158" i="18"/>
  <c r="P158" i="18"/>
  <c r="O158" i="18"/>
  <c r="N158" i="18"/>
  <c r="M158" i="18"/>
  <c r="L158" i="18"/>
  <c r="K158" i="18"/>
  <c r="J158" i="18"/>
  <c r="I158" i="18"/>
  <c r="H158" i="18"/>
  <c r="G158" i="18"/>
  <c r="V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V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V191" i="18"/>
  <c r="S191" i="18"/>
  <c r="R191" i="18"/>
  <c r="Q191" i="18"/>
  <c r="P191" i="18"/>
  <c r="O191" i="18"/>
  <c r="N191" i="18"/>
  <c r="M191" i="18"/>
  <c r="L191" i="18"/>
  <c r="K191" i="18"/>
  <c r="J191" i="18"/>
  <c r="I191" i="18"/>
  <c r="H191" i="18"/>
  <c r="G191" i="18"/>
  <c r="V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V19" i="18"/>
  <c r="S19" i="18"/>
  <c r="R19" i="18"/>
  <c r="Q19" i="18"/>
  <c r="P19" i="18"/>
  <c r="O19" i="18"/>
  <c r="N19" i="18"/>
  <c r="M19" i="18"/>
  <c r="L19" i="18"/>
  <c r="K19" i="18"/>
  <c r="J19" i="18"/>
  <c r="I19" i="18"/>
  <c r="H19" i="18"/>
  <c r="G19" i="18"/>
  <c r="V4" i="18"/>
  <c r="S4" i="18"/>
  <c r="R4" i="18"/>
  <c r="Q4" i="18"/>
  <c r="P4" i="18"/>
  <c r="O4" i="18"/>
  <c r="N4" i="18"/>
  <c r="M4" i="18"/>
  <c r="L4" i="18"/>
  <c r="K4" i="18"/>
  <c r="J4" i="18"/>
  <c r="I4" i="18"/>
  <c r="H4" i="18"/>
  <c r="G4" i="18"/>
  <c r="V206" i="18"/>
  <c r="S206" i="18"/>
  <c r="R206" i="18"/>
  <c r="Q206" i="18"/>
  <c r="P206" i="18"/>
  <c r="O206" i="18"/>
  <c r="N206" i="18"/>
  <c r="M206" i="18"/>
  <c r="L206" i="18"/>
  <c r="K206" i="18"/>
  <c r="J206" i="18"/>
  <c r="I206" i="18"/>
  <c r="H206" i="18"/>
  <c r="G206" i="18"/>
  <c r="V123" i="18"/>
  <c r="S123" i="18"/>
  <c r="R123" i="18"/>
  <c r="Q123" i="18"/>
  <c r="P123" i="18"/>
  <c r="O123" i="18"/>
  <c r="N123" i="18"/>
  <c r="M123" i="18"/>
  <c r="L123" i="18"/>
  <c r="K123" i="18"/>
  <c r="J123" i="18"/>
  <c r="I123" i="18"/>
  <c r="H123" i="18"/>
  <c r="G123" i="18"/>
  <c r="V202" i="18"/>
  <c r="S202" i="18"/>
  <c r="R202" i="18"/>
  <c r="Q202" i="18"/>
  <c r="P202" i="18"/>
  <c r="O202" i="18"/>
  <c r="N202" i="18"/>
  <c r="M202" i="18"/>
  <c r="L202" i="18"/>
  <c r="K202" i="18"/>
  <c r="J202" i="18"/>
  <c r="I202" i="18"/>
  <c r="H202" i="18"/>
  <c r="G202" i="18"/>
  <c r="V161" i="18"/>
  <c r="S161" i="18"/>
  <c r="R161" i="18"/>
  <c r="Q161" i="18"/>
  <c r="P161" i="18"/>
  <c r="O161" i="18"/>
  <c r="N161" i="18"/>
  <c r="M161" i="18"/>
  <c r="L161" i="18"/>
  <c r="K161" i="18"/>
  <c r="J161" i="18"/>
  <c r="I161" i="18"/>
  <c r="H161" i="18"/>
  <c r="G161" i="18"/>
  <c r="V200" i="18"/>
  <c r="S200" i="18"/>
  <c r="R200" i="18"/>
  <c r="Q200" i="18"/>
  <c r="P200" i="18"/>
  <c r="O200" i="18"/>
  <c r="N200" i="18"/>
  <c r="M200" i="18"/>
  <c r="L200" i="18"/>
  <c r="K200" i="18"/>
  <c r="J200" i="18"/>
  <c r="I200" i="18"/>
  <c r="H200" i="18"/>
  <c r="G200" i="18"/>
  <c r="V81" i="18"/>
  <c r="S81" i="18"/>
  <c r="R81" i="18"/>
  <c r="Q81" i="18"/>
  <c r="P81" i="18"/>
  <c r="O81" i="18"/>
  <c r="N81" i="18"/>
  <c r="M81" i="18"/>
  <c r="L81" i="18"/>
  <c r="K81" i="18"/>
  <c r="J81" i="18"/>
  <c r="I81" i="18"/>
  <c r="H81" i="18"/>
  <c r="G81" i="18"/>
  <c r="V211" i="17"/>
  <c r="S211" i="17"/>
  <c r="R211" i="17"/>
  <c r="Q211" i="17"/>
  <c r="P211" i="17"/>
  <c r="O211" i="17"/>
  <c r="N211" i="17"/>
  <c r="M211" i="17"/>
  <c r="L211" i="17"/>
  <c r="K211" i="17"/>
  <c r="J211" i="17"/>
  <c r="I211" i="17"/>
  <c r="H211" i="17"/>
  <c r="G211" i="17"/>
  <c r="V212" i="17"/>
  <c r="S212" i="17"/>
  <c r="R212" i="17"/>
  <c r="Q212" i="17"/>
  <c r="P212" i="17"/>
  <c r="O212" i="17"/>
  <c r="N212" i="17"/>
  <c r="M212" i="17"/>
  <c r="L212" i="17"/>
  <c r="K212" i="17"/>
  <c r="J212" i="17"/>
  <c r="I212" i="17"/>
  <c r="H212" i="17"/>
  <c r="G212" i="17"/>
  <c r="V209" i="17"/>
  <c r="S209" i="17"/>
  <c r="R209" i="17"/>
  <c r="Q209" i="17"/>
  <c r="P209" i="17"/>
  <c r="O209" i="17"/>
  <c r="N209" i="17"/>
  <c r="M209" i="17"/>
  <c r="L209" i="17"/>
  <c r="K209" i="17"/>
  <c r="J209" i="17"/>
  <c r="I209" i="17"/>
  <c r="H209" i="17"/>
  <c r="G209" i="17"/>
  <c r="V210" i="17"/>
  <c r="S210" i="17"/>
  <c r="R210" i="17"/>
  <c r="Q210" i="17"/>
  <c r="P210" i="17"/>
  <c r="O210" i="17"/>
  <c r="N210" i="17"/>
  <c r="M210" i="17"/>
  <c r="L210" i="17"/>
  <c r="K210" i="17"/>
  <c r="J210" i="17"/>
  <c r="I210" i="17"/>
  <c r="H210" i="17"/>
  <c r="G210" i="17"/>
  <c r="V208" i="17"/>
  <c r="S208" i="17"/>
  <c r="R208" i="17"/>
  <c r="Q208" i="17"/>
  <c r="P208" i="17"/>
  <c r="O208" i="17"/>
  <c r="N208" i="17"/>
  <c r="M208" i="17"/>
  <c r="L208" i="17"/>
  <c r="K208" i="17"/>
  <c r="J208" i="17"/>
  <c r="I208" i="17"/>
  <c r="H208" i="17"/>
  <c r="G208" i="17"/>
  <c r="V207" i="17"/>
  <c r="S207" i="17"/>
  <c r="R207" i="17"/>
  <c r="Q207" i="17"/>
  <c r="P207" i="17"/>
  <c r="O207" i="17"/>
  <c r="N207" i="17"/>
  <c r="M207" i="17"/>
  <c r="L207" i="17"/>
  <c r="K207" i="17"/>
  <c r="J207" i="17"/>
  <c r="I207" i="17"/>
  <c r="H207" i="17"/>
  <c r="G207" i="17"/>
  <c r="V206" i="17"/>
  <c r="S206" i="17"/>
  <c r="R206" i="17"/>
  <c r="Q206" i="17"/>
  <c r="P206" i="17"/>
  <c r="O206" i="17"/>
  <c r="N206" i="17"/>
  <c r="M206" i="17"/>
  <c r="L206" i="17"/>
  <c r="K206" i="17"/>
  <c r="J206" i="17"/>
  <c r="I206" i="17"/>
  <c r="H206" i="17"/>
  <c r="G206" i="17"/>
  <c r="V205" i="17"/>
  <c r="S205" i="17"/>
  <c r="R205" i="17"/>
  <c r="Q205" i="17"/>
  <c r="P205" i="17"/>
  <c r="O205" i="17"/>
  <c r="N205" i="17"/>
  <c r="M205" i="17"/>
  <c r="L205" i="17"/>
  <c r="K205" i="17"/>
  <c r="J205" i="17"/>
  <c r="I205" i="17"/>
  <c r="H205" i="17"/>
  <c r="G205" i="17"/>
  <c r="V204" i="17"/>
  <c r="S204" i="17"/>
  <c r="R204" i="17"/>
  <c r="Q204" i="17"/>
  <c r="P204" i="17"/>
  <c r="O204" i="17"/>
  <c r="N204" i="17"/>
  <c r="M204" i="17"/>
  <c r="L204" i="17"/>
  <c r="K204" i="17"/>
  <c r="J204" i="17"/>
  <c r="I204" i="17"/>
  <c r="H204" i="17"/>
  <c r="G204" i="17"/>
  <c r="V203" i="17"/>
  <c r="S203" i="17"/>
  <c r="R203" i="17"/>
  <c r="Q203" i="17"/>
  <c r="P203" i="17"/>
  <c r="O203" i="17"/>
  <c r="N203" i="17"/>
  <c r="M203" i="17"/>
  <c r="L203" i="17"/>
  <c r="K203" i="17"/>
  <c r="J203" i="17"/>
  <c r="I203" i="17"/>
  <c r="H203" i="17"/>
  <c r="G203" i="17"/>
  <c r="V202" i="17"/>
  <c r="S202" i="17"/>
  <c r="R202" i="17"/>
  <c r="Q202" i="17"/>
  <c r="P202" i="17"/>
  <c r="O202" i="17"/>
  <c r="N202" i="17"/>
  <c r="M202" i="17"/>
  <c r="L202" i="17"/>
  <c r="K202" i="17"/>
  <c r="J202" i="17"/>
  <c r="I202" i="17"/>
  <c r="H202" i="17"/>
  <c r="G202" i="17"/>
  <c r="V201" i="17"/>
  <c r="S201" i="17"/>
  <c r="R201" i="17"/>
  <c r="Q201" i="17"/>
  <c r="P201" i="17"/>
  <c r="O201" i="17"/>
  <c r="N201" i="17"/>
  <c r="M201" i="17"/>
  <c r="L201" i="17"/>
  <c r="K201" i="17"/>
  <c r="J201" i="17"/>
  <c r="I201" i="17"/>
  <c r="H201" i="17"/>
  <c r="G201" i="17"/>
  <c r="V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G200" i="17"/>
  <c r="V199" i="17"/>
  <c r="S199" i="17"/>
  <c r="R199" i="17"/>
  <c r="Q199" i="17"/>
  <c r="P199" i="17"/>
  <c r="O199" i="17"/>
  <c r="N199" i="17"/>
  <c r="M199" i="17"/>
  <c r="L199" i="17"/>
  <c r="K199" i="17"/>
  <c r="J199" i="17"/>
  <c r="I199" i="17"/>
  <c r="H199" i="17"/>
  <c r="G199" i="17"/>
  <c r="V198" i="17"/>
  <c r="S198" i="17"/>
  <c r="R198" i="17"/>
  <c r="Q198" i="17"/>
  <c r="P198" i="17"/>
  <c r="O198" i="17"/>
  <c r="N198" i="17"/>
  <c r="M198" i="17"/>
  <c r="L198" i="17"/>
  <c r="K198" i="17"/>
  <c r="J198" i="17"/>
  <c r="I198" i="17"/>
  <c r="H198" i="17"/>
  <c r="G198" i="17"/>
  <c r="V197" i="17"/>
  <c r="S197" i="17"/>
  <c r="R197" i="17"/>
  <c r="Q197" i="17"/>
  <c r="P197" i="17"/>
  <c r="O197" i="17"/>
  <c r="N197" i="17"/>
  <c r="M197" i="17"/>
  <c r="L197" i="17"/>
  <c r="K197" i="17"/>
  <c r="J197" i="17"/>
  <c r="I197" i="17"/>
  <c r="H197" i="17"/>
  <c r="G197" i="17"/>
  <c r="V196" i="17"/>
  <c r="S196" i="17"/>
  <c r="R196" i="17"/>
  <c r="Q196" i="17"/>
  <c r="P196" i="17"/>
  <c r="O196" i="17"/>
  <c r="N196" i="17"/>
  <c r="M196" i="17"/>
  <c r="L196" i="17"/>
  <c r="K196" i="17"/>
  <c r="J196" i="17"/>
  <c r="I196" i="17"/>
  <c r="H196" i="17"/>
  <c r="G196" i="17"/>
  <c r="V195" i="17"/>
  <c r="S195" i="17"/>
  <c r="R195" i="17"/>
  <c r="Q195" i="17"/>
  <c r="P195" i="17"/>
  <c r="O195" i="17"/>
  <c r="N195" i="17"/>
  <c r="M195" i="17"/>
  <c r="L195" i="17"/>
  <c r="K195" i="17"/>
  <c r="J195" i="17"/>
  <c r="I195" i="17"/>
  <c r="H195" i="17"/>
  <c r="G195" i="17"/>
  <c r="V194" i="17"/>
  <c r="S194" i="17"/>
  <c r="R194" i="17"/>
  <c r="Q194" i="17"/>
  <c r="P194" i="17"/>
  <c r="O194" i="17"/>
  <c r="N194" i="17"/>
  <c r="M194" i="17"/>
  <c r="L194" i="17"/>
  <c r="K194" i="17"/>
  <c r="J194" i="17"/>
  <c r="I194" i="17"/>
  <c r="H194" i="17"/>
  <c r="G194" i="17"/>
  <c r="V193" i="17"/>
  <c r="S193" i="17"/>
  <c r="R193" i="17"/>
  <c r="Q193" i="17"/>
  <c r="P193" i="17"/>
  <c r="O193" i="17"/>
  <c r="N193" i="17"/>
  <c r="M193" i="17"/>
  <c r="L193" i="17"/>
  <c r="K193" i="17"/>
  <c r="J193" i="17"/>
  <c r="I193" i="17"/>
  <c r="H193" i="17"/>
  <c r="G193" i="17"/>
  <c r="V192" i="17"/>
  <c r="S192" i="17"/>
  <c r="R192" i="17"/>
  <c r="Q192" i="17"/>
  <c r="P192" i="17"/>
  <c r="O192" i="17"/>
  <c r="N192" i="17"/>
  <c r="M192" i="17"/>
  <c r="L192" i="17"/>
  <c r="K192" i="17"/>
  <c r="J192" i="17"/>
  <c r="I192" i="17"/>
  <c r="H192" i="17"/>
  <c r="G192" i="17"/>
  <c r="V191" i="17"/>
  <c r="S191" i="17"/>
  <c r="R191" i="17"/>
  <c r="Q191" i="17"/>
  <c r="P191" i="17"/>
  <c r="O191" i="17"/>
  <c r="N191" i="17"/>
  <c r="M191" i="17"/>
  <c r="L191" i="17"/>
  <c r="K191" i="17"/>
  <c r="J191" i="17"/>
  <c r="I191" i="17"/>
  <c r="H191" i="17"/>
  <c r="G191" i="17"/>
  <c r="V190" i="17"/>
  <c r="S190" i="17"/>
  <c r="R190" i="17"/>
  <c r="Q190" i="17"/>
  <c r="P190" i="17"/>
  <c r="O190" i="17"/>
  <c r="N190" i="17"/>
  <c r="M190" i="17"/>
  <c r="L190" i="17"/>
  <c r="K190" i="17"/>
  <c r="J190" i="17"/>
  <c r="I190" i="17"/>
  <c r="H190" i="17"/>
  <c r="G190" i="17"/>
  <c r="V189" i="17"/>
  <c r="S189" i="17"/>
  <c r="R189" i="17"/>
  <c r="Q189" i="17"/>
  <c r="P189" i="17"/>
  <c r="O189" i="17"/>
  <c r="N189" i="17"/>
  <c r="M189" i="17"/>
  <c r="L189" i="17"/>
  <c r="K189" i="17"/>
  <c r="J189" i="17"/>
  <c r="I189" i="17"/>
  <c r="H189" i="17"/>
  <c r="G189" i="17"/>
  <c r="V188" i="17"/>
  <c r="S188" i="17"/>
  <c r="R188" i="17"/>
  <c r="Q188" i="17"/>
  <c r="P188" i="17"/>
  <c r="O188" i="17"/>
  <c r="N188" i="17"/>
  <c r="M188" i="17"/>
  <c r="L188" i="17"/>
  <c r="K188" i="17"/>
  <c r="J188" i="17"/>
  <c r="I188" i="17"/>
  <c r="H188" i="17"/>
  <c r="G188" i="17"/>
  <c r="V187" i="17"/>
  <c r="S187" i="17"/>
  <c r="R187" i="17"/>
  <c r="Q187" i="17"/>
  <c r="P187" i="17"/>
  <c r="O187" i="17"/>
  <c r="N187" i="17"/>
  <c r="M187" i="17"/>
  <c r="L187" i="17"/>
  <c r="K187" i="17"/>
  <c r="J187" i="17"/>
  <c r="I187" i="17"/>
  <c r="H187" i="17"/>
  <c r="G187" i="17"/>
  <c r="V186" i="17"/>
  <c r="S186" i="17"/>
  <c r="R186" i="17"/>
  <c r="Q186" i="17"/>
  <c r="P186" i="17"/>
  <c r="O186" i="17"/>
  <c r="N186" i="17"/>
  <c r="M186" i="17"/>
  <c r="L186" i="17"/>
  <c r="K186" i="17"/>
  <c r="J186" i="17"/>
  <c r="I186" i="17"/>
  <c r="H186" i="17"/>
  <c r="G186" i="17"/>
  <c r="V185" i="17"/>
  <c r="S185" i="17"/>
  <c r="R185" i="17"/>
  <c r="Q185" i="17"/>
  <c r="P185" i="17"/>
  <c r="O185" i="17"/>
  <c r="N185" i="17"/>
  <c r="M185" i="17"/>
  <c r="L185" i="17"/>
  <c r="K185" i="17"/>
  <c r="J185" i="17"/>
  <c r="I185" i="17"/>
  <c r="H185" i="17"/>
  <c r="G185" i="17"/>
  <c r="V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G184" i="17"/>
  <c r="V178" i="17"/>
  <c r="S178" i="17"/>
  <c r="R178" i="17"/>
  <c r="Q178" i="17"/>
  <c r="P178" i="17"/>
  <c r="O178" i="17"/>
  <c r="N178" i="17"/>
  <c r="M178" i="17"/>
  <c r="L178" i="17"/>
  <c r="K178" i="17"/>
  <c r="J178" i="17"/>
  <c r="I178" i="17"/>
  <c r="H178" i="17"/>
  <c r="G178" i="17"/>
  <c r="V183" i="17"/>
  <c r="S183" i="17"/>
  <c r="R183" i="17"/>
  <c r="Q183" i="17"/>
  <c r="P183" i="17"/>
  <c r="O183" i="17"/>
  <c r="N183" i="17"/>
  <c r="M183" i="17"/>
  <c r="L183" i="17"/>
  <c r="K183" i="17"/>
  <c r="J183" i="17"/>
  <c r="I183" i="17"/>
  <c r="H183" i="17"/>
  <c r="G183" i="17"/>
  <c r="V181" i="17"/>
  <c r="S181" i="17"/>
  <c r="R181" i="17"/>
  <c r="Q181" i="17"/>
  <c r="P181" i="17"/>
  <c r="O181" i="17"/>
  <c r="N181" i="17"/>
  <c r="M181" i="17"/>
  <c r="L181" i="17"/>
  <c r="K181" i="17"/>
  <c r="J181" i="17"/>
  <c r="I181" i="17"/>
  <c r="H181" i="17"/>
  <c r="G181" i="17"/>
  <c r="V180" i="17"/>
  <c r="S180" i="17"/>
  <c r="R180" i="17"/>
  <c r="Q180" i="17"/>
  <c r="P180" i="17"/>
  <c r="O180" i="17"/>
  <c r="N180" i="17"/>
  <c r="M180" i="17"/>
  <c r="L180" i="17"/>
  <c r="K180" i="17"/>
  <c r="J180" i="17"/>
  <c r="I180" i="17"/>
  <c r="H180" i="17"/>
  <c r="G180" i="17"/>
  <c r="V182" i="17"/>
  <c r="S182" i="17"/>
  <c r="R182" i="17"/>
  <c r="Q182" i="17"/>
  <c r="P182" i="17"/>
  <c r="O182" i="17"/>
  <c r="N182" i="17"/>
  <c r="M182" i="17"/>
  <c r="L182" i="17"/>
  <c r="K182" i="17"/>
  <c r="J182" i="17"/>
  <c r="I182" i="17"/>
  <c r="H182" i="17"/>
  <c r="G182" i="17"/>
  <c r="V179" i="17"/>
  <c r="S179" i="17"/>
  <c r="R179" i="17"/>
  <c r="Q179" i="17"/>
  <c r="P179" i="17"/>
  <c r="O179" i="17"/>
  <c r="N179" i="17"/>
  <c r="M179" i="17"/>
  <c r="L179" i="17"/>
  <c r="K179" i="17"/>
  <c r="J179" i="17"/>
  <c r="I179" i="17"/>
  <c r="H179" i="17"/>
  <c r="G179" i="17"/>
  <c r="V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G177" i="17"/>
  <c r="V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G176" i="17"/>
  <c r="V175" i="17"/>
  <c r="S175" i="17"/>
  <c r="R175" i="17"/>
  <c r="Q175" i="17"/>
  <c r="P175" i="17"/>
  <c r="O175" i="17"/>
  <c r="N175" i="17"/>
  <c r="M175" i="17"/>
  <c r="L175" i="17"/>
  <c r="K175" i="17"/>
  <c r="J175" i="17"/>
  <c r="I175" i="17"/>
  <c r="H175" i="17"/>
  <c r="G175" i="17"/>
  <c r="V174" i="17"/>
  <c r="S174" i="17"/>
  <c r="R174" i="17"/>
  <c r="Q174" i="17"/>
  <c r="P174" i="17"/>
  <c r="O174" i="17"/>
  <c r="N174" i="17"/>
  <c r="M174" i="17"/>
  <c r="L174" i="17"/>
  <c r="K174" i="17"/>
  <c r="J174" i="17"/>
  <c r="I174" i="17"/>
  <c r="H174" i="17"/>
  <c r="G174" i="17"/>
  <c r="V173" i="17"/>
  <c r="S173" i="17"/>
  <c r="R173" i="17"/>
  <c r="Q173" i="17"/>
  <c r="P173" i="17"/>
  <c r="O173" i="17"/>
  <c r="N173" i="17"/>
  <c r="M173" i="17"/>
  <c r="L173" i="17"/>
  <c r="K173" i="17"/>
  <c r="J173" i="17"/>
  <c r="I173" i="17"/>
  <c r="H173" i="17"/>
  <c r="G173" i="17"/>
  <c r="V172" i="17"/>
  <c r="S172" i="17"/>
  <c r="R172" i="17"/>
  <c r="Q172" i="17"/>
  <c r="P172" i="17"/>
  <c r="O172" i="17"/>
  <c r="N172" i="17"/>
  <c r="M172" i="17"/>
  <c r="L172" i="17"/>
  <c r="K172" i="17"/>
  <c r="J172" i="17"/>
  <c r="I172" i="17"/>
  <c r="H172" i="17"/>
  <c r="G172" i="17"/>
  <c r="V171" i="17"/>
  <c r="S171" i="17"/>
  <c r="R171" i="17"/>
  <c r="Q171" i="17"/>
  <c r="P171" i="17"/>
  <c r="O171" i="17"/>
  <c r="N171" i="17"/>
  <c r="M171" i="17"/>
  <c r="L171" i="17"/>
  <c r="K171" i="17"/>
  <c r="J171" i="17"/>
  <c r="I171" i="17"/>
  <c r="H171" i="17"/>
  <c r="G171" i="17"/>
  <c r="V170" i="17"/>
  <c r="S170" i="17"/>
  <c r="R170" i="17"/>
  <c r="Q170" i="17"/>
  <c r="P170" i="17"/>
  <c r="O170" i="17"/>
  <c r="N170" i="17"/>
  <c r="M170" i="17"/>
  <c r="L170" i="17"/>
  <c r="K170" i="17"/>
  <c r="J170" i="17"/>
  <c r="I170" i="17"/>
  <c r="H170" i="17"/>
  <c r="G170" i="17"/>
  <c r="V169" i="17"/>
  <c r="S169" i="17"/>
  <c r="R169" i="17"/>
  <c r="Q169" i="17"/>
  <c r="P169" i="17"/>
  <c r="O169" i="17"/>
  <c r="N169" i="17"/>
  <c r="M169" i="17"/>
  <c r="L169" i="17"/>
  <c r="K169" i="17"/>
  <c r="J169" i="17"/>
  <c r="I169" i="17"/>
  <c r="H169" i="17"/>
  <c r="G169" i="17"/>
  <c r="V167" i="17"/>
  <c r="S167" i="17"/>
  <c r="R167" i="17"/>
  <c r="Q167" i="17"/>
  <c r="P167" i="17"/>
  <c r="O167" i="17"/>
  <c r="N167" i="17"/>
  <c r="M167" i="17"/>
  <c r="L167" i="17"/>
  <c r="K167" i="17"/>
  <c r="J167" i="17"/>
  <c r="I167" i="17"/>
  <c r="H167" i="17"/>
  <c r="G167" i="17"/>
  <c r="V168" i="17"/>
  <c r="S168" i="17"/>
  <c r="R168" i="17"/>
  <c r="Q168" i="17"/>
  <c r="P168" i="17"/>
  <c r="O168" i="17"/>
  <c r="N168" i="17"/>
  <c r="M168" i="17"/>
  <c r="L168" i="17"/>
  <c r="K168" i="17"/>
  <c r="J168" i="17"/>
  <c r="I168" i="17"/>
  <c r="H168" i="17"/>
  <c r="G168" i="17"/>
  <c r="V166" i="17"/>
  <c r="S166" i="17"/>
  <c r="R166" i="17"/>
  <c r="Q166" i="17"/>
  <c r="P166" i="17"/>
  <c r="O166" i="17"/>
  <c r="N166" i="17"/>
  <c r="M166" i="17"/>
  <c r="L166" i="17"/>
  <c r="K166" i="17"/>
  <c r="J166" i="17"/>
  <c r="I166" i="17"/>
  <c r="H166" i="17"/>
  <c r="G166" i="17"/>
  <c r="V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G165" i="17"/>
  <c r="V164" i="17"/>
  <c r="S164" i="17"/>
  <c r="R164" i="17"/>
  <c r="Q164" i="17"/>
  <c r="P164" i="17"/>
  <c r="O164" i="17"/>
  <c r="N164" i="17"/>
  <c r="M164" i="17"/>
  <c r="L164" i="17"/>
  <c r="K164" i="17"/>
  <c r="J164" i="17"/>
  <c r="I164" i="17"/>
  <c r="H164" i="17"/>
  <c r="G164" i="17"/>
  <c r="V163" i="17"/>
  <c r="S163" i="17"/>
  <c r="R163" i="17"/>
  <c r="Q163" i="17"/>
  <c r="P163" i="17"/>
  <c r="O163" i="17"/>
  <c r="N163" i="17"/>
  <c r="M163" i="17"/>
  <c r="L163" i="17"/>
  <c r="K163" i="17"/>
  <c r="J163" i="17"/>
  <c r="I163" i="17"/>
  <c r="H163" i="17"/>
  <c r="G163" i="17"/>
  <c r="V162" i="17"/>
  <c r="S162" i="17"/>
  <c r="R162" i="17"/>
  <c r="Q162" i="17"/>
  <c r="P162" i="17"/>
  <c r="O162" i="17"/>
  <c r="N162" i="17"/>
  <c r="M162" i="17"/>
  <c r="L162" i="17"/>
  <c r="K162" i="17"/>
  <c r="J162" i="17"/>
  <c r="I162" i="17"/>
  <c r="H162" i="17"/>
  <c r="G162" i="17"/>
  <c r="V161" i="17"/>
  <c r="S161" i="17"/>
  <c r="R161" i="17"/>
  <c r="Q161" i="17"/>
  <c r="P161" i="17"/>
  <c r="O161" i="17"/>
  <c r="N161" i="17"/>
  <c r="M161" i="17"/>
  <c r="L161" i="17"/>
  <c r="K161" i="17"/>
  <c r="J161" i="17"/>
  <c r="I161" i="17"/>
  <c r="H161" i="17"/>
  <c r="G161" i="17"/>
  <c r="V160" i="17"/>
  <c r="S160" i="17"/>
  <c r="R160" i="17"/>
  <c r="Q160" i="17"/>
  <c r="P160" i="17"/>
  <c r="O160" i="17"/>
  <c r="N160" i="17"/>
  <c r="M160" i="17"/>
  <c r="L160" i="17"/>
  <c r="K160" i="17"/>
  <c r="J160" i="17"/>
  <c r="I160" i="17"/>
  <c r="H160" i="17"/>
  <c r="G160" i="17"/>
  <c r="V159" i="17"/>
  <c r="S159" i="17"/>
  <c r="R159" i="17"/>
  <c r="Q159" i="17"/>
  <c r="P159" i="17"/>
  <c r="O159" i="17"/>
  <c r="N159" i="17"/>
  <c r="M159" i="17"/>
  <c r="L159" i="17"/>
  <c r="K159" i="17"/>
  <c r="J159" i="17"/>
  <c r="I159" i="17"/>
  <c r="H159" i="17"/>
  <c r="G159" i="17"/>
  <c r="V158" i="17"/>
  <c r="S158" i="17"/>
  <c r="R158" i="17"/>
  <c r="Q158" i="17"/>
  <c r="P158" i="17"/>
  <c r="O158" i="17"/>
  <c r="N158" i="17"/>
  <c r="M158" i="17"/>
  <c r="L158" i="17"/>
  <c r="K158" i="17"/>
  <c r="J158" i="17"/>
  <c r="I158" i="17"/>
  <c r="H158" i="17"/>
  <c r="G158" i="17"/>
  <c r="V157" i="17"/>
  <c r="S157" i="17"/>
  <c r="R157" i="17"/>
  <c r="Q157" i="17"/>
  <c r="P157" i="17"/>
  <c r="O157" i="17"/>
  <c r="N157" i="17"/>
  <c r="M157" i="17"/>
  <c r="L157" i="17"/>
  <c r="K157" i="17"/>
  <c r="J157" i="17"/>
  <c r="I157" i="17"/>
  <c r="H157" i="17"/>
  <c r="G157" i="17"/>
  <c r="V156" i="17"/>
  <c r="S156" i="17"/>
  <c r="R156" i="17"/>
  <c r="Q156" i="17"/>
  <c r="P156" i="17"/>
  <c r="O156" i="17"/>
  <c r="N156" i="17"/>
  <c r="M156" i="17"/>
  <c r="L156" i="17"/>
  <c r="K156" i="17"/>
  <c r="J156" i="17"/>
  <c r="I156" i="17"/>
  <c r="H156" i="17"/>
  <c r="G156" i="17"/>
  <c r="V155" i="17"/>
  <c r="S155" i="17"/>
  <c r="R155" i="17"/>
  <c r="Q155" i="17"/>
  <c r="P155" i="17"/>
  <c r="O155" i="17"/>
  <c r="N155" i="17"/>
  <c r="M155" i="17"/>
  <c r="L155" i="17"/>
  <c r="K155" i="17"/>
  <c r="J155" i="17"/>
  <c r="I155" i="17"/>
  <c r="H155" i="17"/>
  <c r="G155" i="17"/>
  <c r="V153" i="17"/>
  <c r="S153" i="17"/>
  <c r="R153" i="17"/>
  <c r="Q153" i="17"/>
  <c r="P153" i="17"/>
  <c r="O153" i="17"/>
  <c r="N153" i="17"/>
  <c r="M153" i="17"/>
  <c r="L153" i="17"/>
  <c r="K153" i="17"/>
  <c r="J153" i="17"/>
  <c r="I153" i="17"/>
  <c r="H153" i="17"/>
  <c r="G153" i="17"/>
  <c r="V154" i="17"/>
  <c r="S154" i="17"/>
  <c r="R154" i="17"/>
  <c r="Q154" i="17"/>
  <c r="P154" i="17"/>
  <c r="O154" i="17"/>
  <c r="N154" i="17"/>
  <c r="M154" i="17"/>
  <c r="L154" i="17"/>
  <c r="K154" i="17"/>
  <c r="J154" i="17"/>
  <c r="I154" i="17"/>
  <c r="H154" i="17"/>
  <c r="G154" i="17"/>
  <c r="V152" i="17"/>
  <c r="S152" i="17"/>
  <c r="R152" i="17"/>
  <c r="Q152" i="17"/>
  <c r="P152" i="17"/>
  <c r="O152" i="17"/>
  <c r="N152" i="17"/>
  <c r="M152" i="17"/>
  <c r="L152" i="17"/>
  <c r="K152" i="17"/>
  <c r="J152" i="17"/>
  <c r="I152" i="17"/>
  <c r="H152" i="17"/>
  <c r="G152" i="17"/>
  <c r="V151" i="17"/>
  <c r="S151" i="17"/>
  <c r="R151" i="17"/>
  <c r="Q151" i="17"/>
  <c r="P151" i="17"/>
  <c r="O151" i="17"/>
  <c r="N151" i="17"/>
  <c r="M151" i="17"/>
  <c r="L151" i="17"/>
  <c r="K151" i="17"/>
  <c r="J151" i="17"/>
  <c r="I151" i="17"/>
  <c r="H151" i="17"/>
  <c r="G151" i="17"/>
  <c r="V150" i="17"/>
  <c r="S150" i="17"/>
  <c r="R150" i="17"/>
  <c r="Q150" i="17"/>
  <c r="P150" i="17"/>
  <c r="O150" i="17"/>
  <c r="N150" i="17"/>
  <c r="M150" i="17"/>
  <c r="L150" i="17"/>
  <c r="K150" i="17"/>
  <c r="J150" i="17"/>
  <c r="I150" i="17"/>
  <c r="H150" i="17"/>
  <c r="G150" i="17"/>
  <c r="V149" i="17"/>
  <c r="S149" i="17"/>
  <c r="R149" i="17"/>
  <c r="Q149" i="17"/>
  <c r="P149" i="17"/>
  <c r="O149" i="17"/>
  <c r="N149" i="17"/>
  <c r="M149" i="17"/>
  <c r="L149" i="17"/>
  <c r="K149" i="17"/>
  <c r="J149" i="17"/>
  <c r="I149" i="17"/>
  <c r="H149" i="17"/>
  <c r="G149" i="17"/>
  <c r="V148" i="17"/>
  <c r="S148" i="17"/>
  <c r="R148" i="17"/>
  <c r="Q148" i="17"/>
  <c r="P148" i="17"/>
  <c r="O148" i="17"/>
  <c r="N148" i="17"/>
  <c r="M148" i="17"/>
  <c r="L148" i="17"/>
  <c r="K148" i="17"/>
  <c r="J148" i="17"/>
  <c r="I148" i="17"/>
  <c r="H148" i="17"/>
  <c r="G148" i="17"/>
  <c r="V147" i="17"/>
  <c r="S147" i="17"/>
  <c r="R147" i="17"/>
  <c r="Q147" i="17"/>
  <c r="P147" i="17"/>
  <c r="O147" i="17"/>
  <c r="N147" i="17"/>
  <c r="M147" i="17"/>
  <c r="L147" i="17"/>
  <c r="K147" i="17"/>
  <c r="J147" i="17"/>
  <c r="I147" i="17"/>
  <c r="H147" i="17"/>
  <c r="G147" i="17"/>
  <c r="V146" i="17"/>
  <c r="S146" i="17"/>
  <c r="R146" i="17"/>
  <c r="Q146" i="17"/>
  <c r="P146" i="17"/>
  <c r="O146" i="17"/>
  <c r="N146" i="17"/>
  <c r="M146" i="17"/>
  <c r="L146" i="17"/>
  <c r="K146" i="17"/>
  <c r="J146" i="17"/>
  <c r="I146" i="17"/>
  <c r="H146" i="17"/>
  <c r="G146" i="17"/>
  <c r="V145" i="17"/>
  <c r="S145" i="17"/>
  <c r="R145" i="17"/>
  <c r="Q145" i="17"/>
  <c r="P145" i="17"/>
  <c r="O145" i="17"/>
  <c r="N145" i="17"/>
  <c r="M145" i="17"/>
  <c r="L145" i="17"/>
  <c r="K145" i="17"/>
  <c r="J145" i="17"/>
  <c r="I145" i="17"/>
  <c r="H145" i="17"/>
  <c r="G145" i="17"/>
  <c r="V144" i="17"/>
  <c r="S144" i="17"/>
  <c r="R144" i="17"/>
  <c r="Q144" i="17"/>
  <c r="P144" i="17"/>
  <c r="O144" i="17"/>
  <c r="N144" i="17"/>
  <c r="M144" i="17"/>
  <c r="L144" i="17"/>
  <c r="K144" i="17"/>
  <c r="J144" i="17"/>
  <c r="I144" i="17"/>
  <c r="H144" i="17"/>
  <c r="G144" i="17"/>
  <c r="V143" i="17"/>
  <c r="S143" i="17"/>
  <c r="R143" i="17"/>
  <c r="Q143" i="17"/>
  <c r="P143" i="17"/>
  <c r="O143" i="17"/>
  <c r="N143" i="17"/>
  <c r="M143" i="17"/>
  <c r="L143" i="17"/>
  <c r="K143" i="17"/>
  <c r="J143" i="17"/>
  <c r="I143" i="17"/>
  <c r="H143" i="17"/>
  <c r="G143" i="17"/>
  <c r="V142" i="17"/>
  <c r="S142" i="17"/>
  <c r="R142" i="17"/>
  <c r="Q142" i="17"/>
  <c r="P142" i="17"/>
  <c r="O142" i="17"/>
  <c r="N142" i="17"/>
  <c r="M142" i="17"/>
  <c r="L142" i="17"/>
  <c r="K142" i="17"/>
  <c r="J142" i="17"/>
  <c r="I142" i="17"/>
  <c r="H142" i="17"/>
  <c r="G142" i="17"/>
  <c r="V141" i="17"/>
  <c r="S141" i="17"/>
  <c r="R141" i="17"/>
  <c r="Q141" i="17"/>
  <c r="P141" i="17"/>
  <c r="O141" i="17"/>
  <c r="N141" i="17"/>
  <c r="M141" i="17"/>
  <c r="L141" i="17"/>
  <c r="K141" i="17"/>
  <c r="J141" i="17"/>
  <c r="I141" i="17"/>
  <c r="H141" i="17"/>
  <c r="G141" i="17"/>
  <c r="V139" i="17"/>
  <c r="S139" i="17"/>
  <c r="R139" i="17"/>
  <c r="Q139" i="17"/>
  <c r="P139" i="17"/>
  <c r="O139" i="17"/>
  <c r="N139" i="17"/>
  <c r="M139" i="17"/>
  <c r="L139" i="17"/>
  <c r="K139" i="17"/>
  <c r="J139" i="17"/>
  <c r="I139" i="17"/>
  <c r="H139" i="17"/>
  <c r="G139" i="17"/>
  <c r="V140" i="17"/>
  <c r="S140" i="17"/>
  <c r="R140" i="17"/>
  <c r="Q140" i="17"/>
  <c r="P140" i="17"/>
  <c r="O140" i="17"/>
  <c r="N140" i="17"/>
  <c r="M140" i="17"/>
  <c r="L140" i="17"/>
  <c r="K140" i="17"/>
  <c r="J140" i="17"/>
  <c r="I140" i="17"/>
  <c r="H140" i="17"/>
  <c r="G140" i="17"/>
  <c r="V138" i="17"/>
  <c r="S138" i="17"/>
  <c r="R138" i="17"/>
  <c r="Q138" i="17"/>
  <c r="P138" i="17"/>
  <c r="O138" i="17"/>
  <c r="N138" i="17"/>
  <c r="M138" i="17"/>
  <c r="L138" i="17"/>
  <c r="K138" i="17"/>
  <c r="J138" i="17"/>
  <c r="I138" i="17"/>
  <c r="H138" i="17"/>
  <c r="G138" i="17"/>
  <c r="V137" i="17"/>
  <c r="S137" i="17"/>
  <c r="R137" i="17"/>
  <c r="Q137" i="17"/>
  <c r="P137" i="17"/>
  <c r="O137" i="17"/>
  <c r="N137" i="17"/>
  <c r="M137" i="17"/>
  <c r="L137" i="17"/>
  <c r="K137" i="17"/>
  <c r="J137" i="17"/>
  <c r="I137" i="17"/>
  <c r="H137" i="17"/>
  <c r="G137" i="17"/>
  <c r="V136" i="17"/>
  <c r="S136" i="17"/>
  <c r="R136" i="17"/>
  <c r="Q136" i="17"/>
  <c r="P136" i="17"/>
  <c r="O136" i="17"/>
  <c r="N136" i="17"/>
  <c r="M136" i="17"/>
  <c r="L136" i="17"/>
  <c r="K136" i="17"/>
  <c r="J136" i="17"/>
  <c r="I136" i="17"/>
  <c r="H136" i="17"/>
  <c r="G136" i="17"/>
  <c r="V135" i="17"/>
  <c r="S135" i="17"/>
  <c r="R135" i="17"/>
  <c r="Q135" i="17"/>
  <c r="P135" i="17"/>
  <c r="O135" i="17"/>
  <c r="N135" i="17"/>
  <c r="M135" i="17"/>
  <c r="L135" i="17"/>
  <c r="K135" i="17"/>
  <c r="J135" i="17"/>
  <c r="I135" i="17"/>
  <c r="H135" i="17"/>
  <c r="G135" i="17"/>
  <c r="V134" i="17"/>
  <c r="S134" i="17"/>
  <c r="R134" i="17"/>
  <c r="Q134" i="17"/>
  <c r="P134" i="17"/>
  <c r="O134" i="17"/>
  <c r="N134" i="17"/>
  <c r="M134" i="17"/>
  <c r="L134" i="17"/>
  <c r="K134" i="17"/>
  <c r="J134" i="17"/>
  <c r="I134" i="17"/>
  <c r="H134" i="17"/>
  <c r="G134" i="17"/>
  <c r="V133" i="17"/>
  <c r="S133" i="17"/>
  <c r="R133" i="17"/>
  <c r="Q133" i="17"/>
  <c r="P133" i="17"/>
  <c r="O133" i="17"/>
  <c r="N133" i="17"/>
  <c r="M133" i="17"/>
  <c r="L133" i="17"/>
  <c r="K133" i="17"/>
  <c r="J133" i="17"/>
  <c r="I133" i="17"/>
  <c r="H133" i="17"/>
  <c r="G133" i="17"/>
  <c r="V132" i="17"/>
  <c r="S132" i="17"/>
  <c r="R132" i="17"/>
  <c r="Q132" i="17"/>
  <c r="P132" i="17"/>
  <c r="O132" i="17"/>
  <c r="N132" i="17"/>
  <c r="M132" i="17"/>
  <c r="L132" i="17"/>
  <c r="K132" i="17"/>
  <c r="J132" i="17"/>
  <c r="I132" i="17"/>
  <c r="H132" i="17"/>
  <c r="G132" i="17"/>
  <c r="V131" i="17"/>
  <c r="S131" i="17"/>
  <c r="R131" i="17"/>
  <c r="Q131" i="17"/>
  <c r="P131" i="17"/>
  <c r="O131" i="17"/>
  <c r="N131" i="17"/>
  <c r="M131" i="17"/>
  <c r="L131" i="17"/>
  <c r="K131" i="17"/>
  <c r="J131" i="17"/>
  <c r="I131" i="17"/>
  <c r="H131" i="17"/>
  <c r="G131" i="17"/>
  <c r="V130" i="17"/>
  <c r="S130" i="17"/>
  <c r="R130" i="17"/>
  <c r="Q130" i="17"/>
  <c r="P130" i="17"/>
  <c r="O130" i="17"/>
  <c r="N130" i="17"/>
  <c r="M130" i="17"/>
  <c r="L130" i="17"/>
  <c r="K130" i="17"/>
  <c r="J130" i="17"/>
  <c r="I130" i="17"/>
  <c r="H130" i="17"/>
  <c r="G130" i="17"/>
  <c r="V129" i="17"/>
  <c r="S129" i="17"/>
  <c r="R129" i="17"/>
  <c r="Q129" i="17"/>
  <c r="P129" i="17"/>
  <c r="O129" i="17"/>
  <c r="N129" i="17"/>
  <c r="M129" i="17"/>
  <c r="L129" i="17"/>
  <c r="K129" i="17"/>
  <c r="J129" i="17"/>
  <c r="I129" i="17"/>
  <c r="H129" i="17"/>
  <c r="G129" i="17"/>
  <c r="V128" i="17"/>
  <c r="S128" i="17"/>
  <c r="R128" i="17"/>
  <c r="Q128" i="17"/>
  <c r="P128" i="17"/>
  <c r="O128" i="17"/>
  <c r="N128" i="17"/>
  <c r="M128" i="17"/>
  <c r="L128" i="17"/>
  <c r="K128" i="17"/>
  <c r="J128" i="17"/>
  <c r="I128" i="17"/>
  <c r="H128" i="17"/>
  <c r="G128" i="17"/>
  <c r="V126" i="17"/>
  <c r="S126" i="17"/>
  <c r="R126" i="17"/>
  <c r="Q126" i="17"/>
  <c r="P126" i="17"/>
  <c r="O126" i="17"/>
  <c r="N126" i="17"/>
  <c r="M126" i="17"/>
  <c r="L126" i="17"/>
  <c r="K126" i="17"/>
  <c r="J126" i="17"/>
  <c r="I126" i="17"/>
  <c r="H126" i="17"/>
  <c r="G126" i="17"/>
  <c r="V127" i="17"/>
  <c r="S127" i="17"/>
  <c r="R127" i="17"/>
  <c r="Q127" i="17"/>
  <c r="P127" i="17"/>
  <c r="O127" i="17"/>
  <c r="N127" i="17"/>
  <c r="M127" i="17"/>
  <c r="L127" i="17"/>
  <c r="K127" i="17"/>
  <c r="J127" i="17"/>
  <c r="I127" i="17"/>
  <c r="H127" i="17"/>
  <c r="G127" i="17"/>
  <c r="V125" i="17"/>
  <c r="S125" i="17"/>
  <c r="R125" i="17"/>
  <c r="Q125" i="17"/>
  <c r="P125" i="17"/>
  <c r="O125" i="17"/>
  <c r="N125" i="17"/>
  <c r="M125" i="17"/>
  <c r="L125" i="17"/>
  <c r="K125" i="17"/>
  <c r="J125" i="17"/>
  <c r="I125" i="17"/>
  <c r="H125" i="17"/>
  <c r="G125" i="17"/>
  <c r="V124" i="17"/>
  <c r="S124" i="17"/>
  <c r="R124" i="17"/>
  <c r="Q124" i="17"/>
  <c r="P124" i="17"/>
  <c r="O124" i="17"/>
  <c r="N124" i="17"/>
  <c r="M124" i="17"/>
  <c r="L124" i="17"/>
  <c r="K124" i="17"/>
  <c r="J124" i="17"/>
  <c r="I124" i="17"/>
  <c r="H124" i="17"/>
  <c r="G124" i="17"/>
  <c r="V123" i="17"/>
  <c r="S123" i="17"/>
  <c r="R123" i="17"/>
  <c r="Q123" i="17"/>
  <c r="P123" i="17"/>
  <c r="O123" i="17"/>
  <c r="N123" i="17"/>
  <c r="M123" i="17"/>
  <c r="L123" i="17"/>
  <c r="K123" i="17"/>
  <c r="J123" i="17"/>
  <c r="I123" i="17"/>
  <c r="H123" i="17"/>
  <c r="G123" i="17"/>
  <c r="V122" i="17"/>
  <c r="S122" i="17"/>
  <c r="R122" i="17"/>
  <c r="Q122" i="17"/>
  <c r="P122" i="17"/>
  <c r="O122" i="17"/>
  <c r="N122" i="17"/>
  <c r="M122" i="17"/>
  <c r="L122" i="17"/>
  <c r="K122" i="17"/>
  <c r="J122" i="17"/>
  <c r="I122" i="17"/>
  <c r="H122" i="17"/>
  <c r="G122" i="17"/>
  <c r="V121" i="17"/>
  <c r="S121" i="17"/>
  <c r="R121" i="17"/>
  <c r="Q121" i="17"/>
  <c r="P121" i="17"/>
  <c r="O121" i="17"/>
  <c r="N121" i="17"/>
  <c r="M121" i="17"/>
  <c r="L121" i="17"/>
  <c r="K121" i="17"/>
  <c r="J121" i="17"/>
  <c r="I121" i="17"/>
  <c r="H121" i="17"/>
  <c r="G121" i="17"/>
  <c r="V120" i="17"/>
  <c r="S120" i="17"/>
  <c r="R120" i="17"/>
  <c r="Q120" i="17"/>
  <c r="P120" i="17"/>
  <c r="O120" i="17"/>
  <c r="N120" i="17"/>
  <c r="M120" i="17"/>
  <c r="L120" i="17"/>
  <c r="K120" i="17"/>
  <c r="J120" i="17"/>
  <c r="I120" i="17"/>
  <c r="H120" i="17"/>
  <c r="G120" i="17"/>
  <c r="V119" i="17"/>
  <c r="S119" i="17"/>
  <c r="R119" i="17"/>
  <c r="Q119" i="17"/>
  <c r="P119" i="17"/>
  <c r="O119" i="17"/>
  <c r="N119" i="17"/>
  <c r="M119" i="17"/>
  <c r="L119" i="17"/>
  <c r="K119" i="17"/>
  <c r="J119" i="17"/>
  <c r="I119" i="17"/>
  <c r="H119" i="17"/>
  <c r="G119" i="17"/>
  <c r="V118" i="17"/>
  <c r="S118" i="17"/>
  <c r="R118" i="17"/>
  <c r="Q118" i="17"/>
  <c r="P118" i="17"/>
  <c r="O118" i="17"/>
  <c r="N118" i="17"/>
  <c r="M118" i="17"/>
  <c r="L118" i="17"/>
  <c r="K118" i="17"/>
  <c r="J118" i="17"/>
  <c r="I118" i="17"/>
  <c r="H118" i="17"/>
  <c r="G118" i="17"/>
  <c r="V117" i="17"/>
  <c r="S117" i="17"/>
  <c r="R117" i="17"/>
  <c r="Q117" i="17"/>
  <c r="P117" i="17"/>
  <c r="O117" i="17"/>
  <c r="N117" i="17"/>
  <c r="M117" i="17"/>
  <c r="L117" i="17"/>
  <c r="K117" i="17"/>
  <c r="J117" i="17"/>
  <c r="I117" i="17"/>
  <c r="H117" i="17"/>
  <c r="G117" i="17"/>
  <c r="V116" i="17"/>
  <c r="S116" i="17"/>
  <c r="R116" i="17"/>
  <c r="Q116" i="17"/>
  <c r="P116" i="17"/>
  <c r="O116" i="17"/>
  <c r="N116" i="17"/>
  <c r="M116" i="17"/>
  <c r="L116" i="17"/>
  <c r="K116" i="17"/>
  <c r="J116" i="17"/>
  <c r="I116" i="17"/>
  <c r="H116" i="17"/>
  <c r="G116" i="17"/>
  <c r="V115" i="17"/>
  <c r="S115" i="17"/>
  <c r="R115" i="17"/>
  <c r="Q115" i="17"/>
  <c r="P115" i="17"/>
  <c r="O115" i="17"/>
  <c r="N115" i="17"/>
  <c r="M115" i="17"/>
  <c r="L115" i="17"/>
  <c r="K115" i="17"/>
  <c r="J115" i="17"/>
  <c r="I115" i="17"/>
  <c r="H115" i="17"/>
  <c r="G115" i="17"/>
  <c r="V114" i="17"/>
  <c r="S114" i="17"/>
  <c r="R114" i="17"/>
  <c r="Q114" i="17"/>
  <c r="P114" i="17"/>
  <c r="O114" i="17"/>
  <c r="N114" i="17"/>
  <c r="M114" i="17"/>
  <c r="L114" i="17"/>
  <c r="K114" i="17"/>
  <c r="J114" i="17"/>
  <c r="I114" i="17"/>
  <c r="H114" i="17"/>
  <c r="G114" i="17"/>
  <c r="V113" i="17"/>
  <c r="S113" i="17"/>
  <c r="R113" i="17"/>
  <c r="Q113" i="17"/>
  <c r="P113" i="17"/>
  <c r="O113" i="17"/>
  <c r="N113" i="17"/>
  <c r="M113" i="17"/>
  <c r="L113" i="17"/>
  <c r="K113" i="17"/>
  <c r="J113" i="17"/>
  <c r="I113" i="17"/>
  <c r="H113" i="17"/>
  <c r="G113" i="17"/>
  <c r="V112" i="17"/>
  <c r="S112" i="17"/>
  <c r="R112" i="17"/>
  <c r="Q112" i="17"/>
  <c r="P112" i="17"/>
  <c r="O112" i="17"/>
  <c r="N112" i="17"/>
  <c r="M112" i="17"/>
  <c r="L112" i="17"/>
  <c r="K112" i="17"/>
  <c r="J112" i="17"/>
  <c r="I112" i="17"/>
  <c r="H112" i="17"/>
  <c r="G112" i="17"/>
  <c r="V111" i="17"/>
  <c r="S111" i="17"/>
  <c r="R111" i="17"/>
  <c r="Q111" i="17"/>
  <c r="P111" i="17"/>
  <c r="O111" i="17"/>
  <c r="N111" i="17"/>
  <c r="M111" i="17"/>
  <c r="L111" i="17"/>
  <c r="K111" i="17"/>
  <c r="J111" i="17"/>
  <c r="I111" i="17"/>
  <c r="H111" i="17"/>
  <c r="G111" i="17"/>
  <c r="V110" i="17"/>
  <c r="S110" i="17"/>
  <c r="R110" i="17"/>
  <c r="Q110" i="17"/>
  <c r="P110" i="17"/>
  <c r="O110" i="17"/>
  <c r="N110" i="17"/>
  <c r="M110" i="17"/>
  <c r="L110" i="17"/>
  <c r="K110" i="17"/>
  <c r="J110" i="17"/>
  <c r="I110" i="17"/>
  <c r="H110" i="17"/>
  <c r="G110" i="17"/>
  <c r="V109" i="17"/>
  <c r="S109" i="17"/>
  <c r="R109" i="17"/>
  <c r="Q109" i="17"/>
  <c r="P109" i="17"/>
  <c r="O109" i="17"/>
  <c r="N109" i="17"/>
  <c r="M109" i="17"/>
  <c r="L109" i="17"/>
  <c r="K109" i="17"/>
  <c r="J109" i="17"/>
  <c r="I109" i="17"/>
  <c r="H109" i="17"/>
  <c r="G109" i="17"/>
  <c r="V108" i="17"/>
  <c r="S108" i="17"/>
  <c r="R108" i="17"/>
  <c r="Q108" i="17"/>
  <c r="P108" i="17"/>
  <c r="O108" i="17"/>
  <c r="N108" i="17"/>
  <c r="M108" i="17"/>
  <c r="L108" i="17"/>
  <c r="K108" i="17"/>
  <c r="J108" i="17"/>
  <c r="I108" i="17"/>
  <c r="H108" i="17"/>
  <c r="G108" i="17"/>
  <c r="V107" i="17"/>
  <c r="S107" i="17"/>
  <c r="R107" i="17"/>
  <c r="Q107" i="17"/>
  <c r="P107" i="17"/>
  <c r="O107" i="17"/>
  <c r="N107" i="17"/>
  <c r="M107" i="17"/>
  <c r="L107" i="17"/>
  <c r="K107" i="17"/>
  <c r="J107" i="17"/>
  <c r="I107" i="17"/>
  <c r="H107" i="17"/>
  <c r="G107" i="17"/>
  <c r="V106" i="17"/>
  <c r="S106" i="17"/>
  <c r="R106" i="17"/>
  <c r="Q106" i="17"/>
  <c r="P106" i="17"/>
  <c r="O106" i="17"/>
  <c r="N106" i="17"/>
  <c r="M106" i="17"/>
  <c r="L106" i="17"/>
  <c r="K106" i="17"/>
  <c r="J106" i="17"/>
  <c r="I106" i="17"/>
  <c r="H106" i="17"/>
  <c r="G106" i="17"/>
  <c r="V105" i="17"/>
  <c r="S105" i="17"/>
  <c r="R105" i="17"/>
  <c r="Q105" i="17"/>
  <c r="P105" i="17"/>
  <c r="O105" i="17"/>
  <c r="N105" i="17"/>
  <c r="M105" i="17"/>
  <c r="L105" i="17"/>
  <c r="K105" i="17"/>
  <c r="J105" i="17"/>
  <c r="I105" i="17"/>
  <c r="H105" i="17"/>
  <c r="G105" i="17"/>
  <c r="V104" i="17"/>
  <c r="S104" i="17"/>
  <c r="R104" i="17"/>
  <c r="Q104" i="17"/>
  <c r="P104" i="17"/>
  <c r="O104" i="17"/>
  <c r="N104" i="17"/>
  <c r="M104" i="17"/>
  <c r="L104" i="17"/>
  <c r="K104" i="17"/>
  <c r="J104" i="17"/>
  <c r="I104" i="17"/>
  <c r="H104" i="17"/>
  <c r="G104" i="17"/>
  <c r="V103" i="17"/>
  <c r="S103" i="17"/>
  <c r="R103" i="17"/>
  <c r="Q103" i="17"/>
  <c r="P103" i="17"/>
  <c r="O103" i="17"/>
  <c r="N103" i="17"/>
  <c r="M103" i="17"/>
  <c r="L103" i="17"/>
  <c r="K103" i="17"/>
  <c r="J103" i="17"/>
  <c r="I103" i="17"/>
  <c r="H103" i="17"/>
  <c r="G103" i="17"/>
  <c r="V102" i="17"/>
  <c r="S102" i="17"/>
  <c r="R102" i="17"/>
  <c r="Q102" i="17"/>
  <c r="P102" i="17"/>
  <c r="O102" i="17"/>
  <c r="N102" i="17"/>
  <c r="M102" i="17"/>
  <c r="L102" i="17"/>
  <c r="K102" i="17"/>
  <c r="J102" i="17"/>
  <c r="I102" i="17"/>
  <c r="H102" i="17"/>
  <c r="G102" i="17"/>
  <c r="V101" i="17"/>
  <c r="S101" i="17"/>
  <c r="R101" i="17"/>
  <c r="Q101" i="17"/>
  <c r="P101" i="17"/>
  <c r="O101" i="17"/>
  <c r="N101" i="17"/>
  <c r="M101" i="17"/>
  <c r="L101" i="17"/>
  <c r="K101" i="17"/>
  <c r="J101" i="17"/>
  <c r="I101" i="17"/>
  <c r="H101" i="17"/>
  <c r="G101" i="17"/>
  <c r="V100" i="17"/>
  <c r="S100" i="17"/>
  <c r="R100" i="17"/>
  <c r="Q100" i="17"/>
  <c r="P100" i="17"/>
  <c r="O100" i="17"/>
  <c r="N100" i="17"/>
  <c r="M100" i="17"/>
  <c r="L100" i="17"/>
  <c r="K100" i="17"/>
  <c r="J100" i="17"/>
  <c r="I100" i="17"/>
  <c r="H100" i="17"/>
  <c r="G100" i="17"/>
  <c r="V99" i="17"/>
  <c r="S99" i="17"/>
  <c r="R99" i="17"/>
  <c r="Q99" i="17"/>
  <c r="P99" i="17"/>
  <c r="O99" i="17"/>
  <c r="N99" i="17"/>
  <c r="M99" i="17"/>
  <c r="L99" i="17"/>
  <c r="K99" i="17"/>
  <c r="J99" i="17"/>
  <c r="I99" i="17"/>
  <c r="H99" i="17"/>
  <c r="G99" i="17"/>
  <c r="V98" i="17"/>
  <c r="S98" i="17"/>
  <c r="R98" i="17"/>
  <c r="Q98" i="17"/>
  <c r="P98" i="17"/>
  <c r="O98" i="17"/>
  <c r="N98" i="17"/>
  <c r="M98" i="17"/>
  <c r="L98" i="17"/>
  <c r="K98" i="17"/>
  <c r="J98" i="17"/>
  <c r="I98" i="17"/>
  <c r="H98" i="17"/>
  <c r="G98" i="17"/>
  <c r="V97" i="17"/>
  <c r="S97" i="17"/>
  <c r="R97" i="17"/>
  <c r="Q97" i="17"/>
  <c r="P97" i="17"/>
  <c r="O97" i="17"/>
  <c r="N97" i="17"/>
  <c r="M97" i="17"/>
  <c r="L97" i="17"/>
  <c r="K97" i="17"/>
  <c r="J97" i="17"/>
  <c r="I97" i="17"/>
  <c r="H97" i="17"/>
  <c r="G97" i="17"/>
  <c r="V96" i="17"/>
  <c r="S96" i="17"/>
  <c r="R96" i="17"/>
  <c r="Q96" i="17"/>
  <c r="P96" i="17"/>
  <c r="O96" i="17"/>
  <c r="N96" i="17"/>
  <c r="M96" i="17"/>
  <c r="L96" i="17"/>
  <c r="K96" i="17"/>
  <c r="J96" i="17"/>
  <c r="I96" i="17"/>
  <c r="H96" i="17"/>
  <c r="G96" i="17"/>
  <c r="V95" i="17"/>
  <c r="S95" i="17"/>
  <c r="R95" i="17"/>
  <c r="Q95" i="17"/>
  <c r="P95" i="17"/>
  <c r="O95" i="17"/>
  <c r="N95" i="17"/>
  <c r="M95" i="17"/>
  <c r="L95" i="17"/>
  <c r="K95" i="17"/>
  <c r="J95" i="17"/>
  <c r="I95" i="17"/>
  <c r="H95" i="17"/>
  <c r="G95" i="17"/>
  <c r="V94" i="17"/>
  <c r="S94" i="17"/>
  <c r="R94" i="17"/>
  <c r="Q94" i="17"/>
  <c r="P94" i="17"/>
  <c r="O94" i="17"/>
  <c r="N94" i="17"/>
  <c r="M94" i="17"/>
  <c r="L94" i="17"/>
  <c r="K94" i="17"/>
  <c r="J94" i="17"/>
  <c r="I94" i="17"/>
  <c r="H94" i="17"/>
  <c r="G94" i="17"/>
  <c r="V93" i="17"/>
  <c r="S93" i="17"/>
  <c r="R93" i="17"/>
  <c r="Q93" i="17"/>
  <c r="P93" i="17"/>
  <c r="O93" i="17"/>
  <c r="N93" i="17"/>
  <c r="M93" i="17"/>
  <c r="L93" i="17"/>
  <c r="K93" i="17"/>
  <c r="J93" i="17"/>
  <c r="I93" i="17"/>
  <c r="H93" i="17"/>
  <c r="G93" i="17"/>
  <c r="V92" i="17"/>
  <c r="S92" i="17"/>
  <c r="R92" i="17"/>
  <c r="Q92" i="17"/>
  <c r="P92" i="17"/>
  <c r="O92" i="17"/>
  <c r="N92" i="17"/>
  <c r="M92" i="17"/>
  <c r="L92" i="17"/>
  <c r="K92" i="17"/>
  <c r="J92" i="17"/>
  <c r="I92" i="17"/>
  <c r="H92" i="17"/>
  <c r="G92" i="17"/>
  <c r="V91" i="17"/>
  <c r="S91" i="17"/>
  <c r="R91" i="17"/>
  <c r="Q91" i="17"/>
  <c r="P91" i="17"/>
  <c r="O91" i="17"/>
  <c r="N91" i="17"/>
  <c r="M91" i="17"/>
  <c r="L91" i="17"/>
  <c r="K91" i="17"/>
  <c r="J91" i="17"/>
  <c r="I91" i="17"/>
  <c r="H91" i="17"/>
  <c r="G91" i="17"/>
  <c r="V90" i="17"/>
  <c r="S90" i="17"/>
  <c r="R90" i="17"/>
  <c r="Q90" i="17"/>
  <c r="P90" i="17"/>
  <c r="O90" i="17"/>
  <c r="N90" i="17"/>
  <c r="M90" i="17"/>
  <c r="L90" i="17"/>
  <c r="K90" i="17"/>
  <c r="J90" i="17"/>
  <c r="I90" i="17"/>
  <c r="H90" i="17"/>
  <c r="G90" i="17"/>
  <c r="V89" i="17"/>
  <c r="S89" i="17"/>
  <c r="R89" i="17"/>
  <c r="Q89" i="17"/>
  <c r="P89" i="17"/>
  <c r="O89" i="17"/>
  <c r="N89" i="17"/>
  <c r="M89" i="17"/>
  <c r="L89" i="17"/>
  <c r="K89" i="17"/>
  <c r="J89" i="17"/>
  <c r="I89" i="17"/>
  <c r="H89" i="17"/>
  <c r="G89" i="17"/>
  <c r="V88" i="17"/>
  <c r="S88" i="17"/>
  <c r="R88" i="17"/>
  <c r="Q88" i="17"/>
  <c r="P88" i="17"/>
  <c r="O88" i="17"/>
  <c r="N88" i="17"/>
  <c r="M88" i="17"/>
  <c r="L88" i="17"/>
  <c r="K88" i="17"/>
  <c r="J88" i="17"/>
  <c r="I88" i="17"/>
  <c r="H88" i="17"/>
  <c r="G88" i="17"/>
  <c r="V87" i="17"/>
  <c r="S87" i="17"/>
  <c r="R87" i="17"/>
  <c r="Q87" i="17"/>
  <c r="P87" i="17"/>
  <c r="O87" i="17"/>
  <c r="N87" i="17"/>
  <c r="M87" i="17"/>
  <c r="L87" i="17"/>
  <c r="K87" i="17"/>
  <c r="J87" i="17"/>
  <c r="I87" i="17"/>
  <c r="H87" i="17"/>
  <c r="G87" i="17"/>
  <c r="V86" i="17"/>
  <c r="S86" i="17"/>
  <c r="R86" i="17"/>
  <c r="Q86" i="17"/>
  <c r="P86" i="17"/>
  <c r="O86" i="17"/>
  <c r="N86" i="17"/>
  <c r="M86" i="17"/>
  <c r="L86" i="17"/>
  <c r="K86" i="17"/>
  <c r="J86" i="17"/>
  <c r="I86" i="17"/>
  <c r="H86" i="17"/>
  <c r="G86" i="17"/>
  <c r="V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G85" i="17"/>
  <c r="V83" i="17"/>
  <c r="S83" i="17"/>
  <c r="R83" i="17"/>
  <c r="Q83" i="17"/>
  <c r="P83" i="17"/>
  <c r="O83" i="17"/>
  <c r="N83" i="17"/>
  <c r="M83" i="17"/>
  <c r="L83" i="17"/>
  <c r="K83" i="17"/>
  <c r="J83" i="17"/>
  <c r="I83" i="17"/>
  <c r="H83" i="17"/>
  <c r="G83" i="17"/>
  <c r="V84" i="17"/>
  <c r="S84" i="17"/>
  <c r="R84" i="17"/>
  <c r="Q84" i="17"/>
  <c r="P84" i="17"/>
  <c r="O84" i="17"/>
  <c r="N84" i="17"/>
  <c r="M84" i="17"/>
  <c r="L84" i="17"/>
  <c r="K84" i="17"/>
  <c r="J84" i="17"/>
  <c r="I84" i="17"/>
  <c r="H84" i="17"/>
  <c r="G84" i="17"/>
  <c r="V82" i="17"/>
  <c r="S82" i="17"/>
  <c r="R82" i="17"/>
  <c r="Q82" i="17"/>
  <c r="P82" i="17"/>
  <c r="O82" i="17"/>
  <c r="N82" i="17"/>
  <c r="M82" i="17"/>
  <c r="L82" i="17"/>
  <c r="K82" i="17"/>
  <c r="J82" i="17"/>
  <c r="I82" i="17"/>
  <c r="H82" i="17"/>
  <c r="G82" i="17"/>
  <c r="V81" i="17"/>
  <c r="S81" i="17"/>
  <c r="R81" i="17"/>
  <c r="Q81" i="17"/>
  <c r="P81" i="17"/>
  <c r="O81" i="17"/>
  <c r="N81" i="17"/>
  <c r="M81" i="17"/>
  <c r="L81" i="17"/>
  <c r="K81" i="17"/>
  <c r="J81" i="17"/>
  <c r="I81" i="17"/>
  <c r="H81" i="17"/>
  <c r="G81" i="17"/>
  <c r="V80" i="17"/>
  <c r="S80" i="17"/>
  <c r="R80" i="17"/>
  <c r="Q80" i="17"/>
  <c r="P80" i="17"/>
  <c r="O80" i="17"/>
  <c r="N80" i="17"/>
  <c r="M80" i="17"/>
  <c r="L80" i="17"/>
  <c r="K80" i="17"/>
  <c r="J80" i="17"/>
  <c r="I80" i="17"/>
  <c r="H80" i="17"/>
  <c r="G80" i="17"/>
  <c r="V79" i="17"/>
  <c r="S79" i="17"/>
  <c r="R79" i="17"/>
  <c r="Q79" i="17"/>
  <c r="P79" i="17"/>
  <c r="O79" i="17"/>
  <c r="N79" i="17"/>
  <c r="M79" i="17"/>
  <c r="L79" i="17"/>
  <c r="K79" i="17"/>
  <c r="J79" i="17"/>
  <c r="I79" i="17"/>
  <c r="H79" i="17"/>
  <c r="G79" i="17"/>
  <c r="V78" i="17"/>
  <c r="S78" i="17"/>
  <c r="R78" i="17"/>
  <c r="Q78" i="17"/>
  <c r="P78" i="17"/>
  <c r="O78" i="17"/>
  <c r="N78" i="17"/>
  <c r="M78" i="17"/>
  <c r="L78" i="17"/>
  <c r="K78" i="17"/>
  <c r="J78" i="17"/>
  <c r="I78" i="17"/>
  <c r="H78" i="17"/>
  <c r="G78" i="17"/>
  <c r="V77" i="17"/>
  <c r="S77" i="17"/>
  <c r="R77" i="17"/>
  <c r="Q77" i="17"/>
  <c r="P77" i="17"/>
  <c r="O77" i="17"/>
  <c r="N77" i="17"/>
  <c r="M77" i="17"/>
  <c r="L77" i="17"/>
  <c r="K77" i="17"/>
  <c r="J77" i="17"/>
  <c r="I77" i="17"/>
  <c r="H77" i="17"/>
  <c r="G77" i="17"/>
  <c r="V76" i="17"/>
  <c r="S76" i="17"/>
  <c r="R76" i="17"/>
  <c r="Q76" i="17"/>
  <c r="P76" i="17"/>
  <c r="O76" i="17"/>
  <c r="N76" i="17"/>
  <c r="M76" i="17"/>
  <c r="L76" i="17"/>
  <c r="K76" i="17"/>
  <c r="J76" i="17"/>
  <c r="I76" i="17"/>
  <c r="H76" i="17"/>
  <c r="G76" i="17"/>
  <c r="V75" i="17"/>
  <c r="S75" i="17"/>
  <c r="R75" i="17"/>
  <c r="Q75" i="17"/>
  <c r="P75" i="17"/>
  <c r="O75" i="17"/>
  <c r="N75" i="17"/>
  <c r="M75" i="17"/>
  <c r="L75" i="17"/>
  <c r="K75" i="17"/>
  <c r="J75" i="17"/>
  <c r="I75" i="17"/>
  <c r="H75" i="17"/>
  <c r="G75" i="17"/>
  <c r="V74" i="17"/>
  <c r="S74" i="17"/>
  <c r="R74" i="17"/>
  <c r="Q74" i="17"/>
  <c r="P74" i="17"/>
  <c r="O74" i="17"/>
  <c r="N74" i="17"/>
  <c r="M74" i="17"/>
  <c r="L74" i="17"/>
  <c r="K74" i="17"/>
  <c r="J74" i="17"/>
  <c r="I74" i="17"/>
  <c r="H74" i="17"/>
  <c r="G74" i="17"/>
  <c r="V73" i="17"/>
  <c r="S73" i="17"/>
  <c r="R73" i="17"/>
  <c r="Q73" i="17"/>
  <c r="P73" i="17"/>
  <c r="O73" i="17"/>
  <c r="N73" i="17"/>
  <c r="M73" i="17"/>
  <c r="L73" i="17"/>
  <c r="K73" i="17"/>
  <c r="J73" i="17"/>
  <c r="I73" i="17"/>
  <c r="H73" i="17"/>
  <c r="G73" i="17"/>
  <c r="V72" i="17"/>
  <c r="S72" i="17"/>
  <c r="R72" i="17"/>
  <c r="Q72" i="17"/>
  <c r="P72" i="17"/>
  <c r="O72" i="17"/>
  <c r="N72" i="17"/>
  <c r="M72" i="17"/>
  <c r="L72" i="17"/>
  <c r="K72" i="17"/>
  <c r="J72" i="17"/>
  <c r="I72" i="17"/>
  <c r="H72" i="17"/>
  <c r="G72" i="17"/>
  <c r="V71" i="17"/>
  <c r="S71" i="17"/>
  <c r="R71" i="17"/>
  <c r="Q71" i="17"/>
  <c r="P71" i="17"/>
  <c r="O71" i="17"/>
  <c r="N71" i="17"/>
  <c r="M71" i="17"/>
  <c r="L71" i="17"/>
  <c r="K71" i="17"/>
  <c r="J71" i="17"/>
  <c r="I71" i="17"/>
  <c r="H71" i="17"/>
  <c r="G71" i="17"/>
  <c r="V70" i="17"/>
  <c r="S70" i="17"/>
  <c r="R70" i="17"/>
  <c r="Q70" i="17"/>
  <c r="P70" i="17"/>
  <c r="O70" i="17"/>
  <c r="N70" i="17"/>
  <c r="M70" i="17"/>
  <c r="L70" i="17"/>
  <c r="K70" i="17"/>
  <c r="J70" i="17"/>
  <c r="I70" i="17"/>
  <c r="H70" i="17"/>
  <c r="G70" i="17"/>
  <c r="V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V68" i="17"/>
  <c r="S68" i="17"/>
  <c r="R68" i="17"/>
  <c r="Q68" i="17"/>
  <c r="P68" i="17"/>
  <c r="O68" i="17"/>
  <c r="N68" i="17"/>
  <c r="M68" i="17"/>
  <c r="L68" i="17"/>
  <c r="K68" i="17"/>
  <c r="J68" i="17"/>
  <c r="I68" i="17"/>
  <c r="H68" i="17"/>
  <c r="G68" i="17"/>
  <c r="V67" i="17"/>
  <c r="S67" i="17"/>
  <c r="R67" i="17"/>
  <c r="Q67" i="17"/>
  <c r="P67" i="17"/>
  <c r="O67" i="17"/>
  <c r="N67" i="17"/>
  <c r="M67" i="17"/>
  <c r="L67" i="17"/>
  <c r="K67" i="17"/>
  <c r="J67" i="17"/>
  <c r="I67" i="17"/>
  <c r="H67" i="17"/>
  <c r="G67" i="17"/>
  <c r="V66" i="17"/>
  <c r="S66" i="17"/>
  <c r="R66" i="17"/>
  <c r="Q66" i="17"/>
  <c r="P66" i="17"/>
  <c r="O66" i="17"/>
  <c r="N66" i="17"/>
  <c r="M66" i="17"/>
  <c r="L66" i="17"/>
  <c r="K66" i="17"/>
  <c r="J66" i="17"/>
  <c r="I66" i="17"/>
  <c r="H66" i="17"/>
  <c r="G66" i="17"/>
  <c r="V65" i="17"/>
  <c r="S65" i="17"/>
  <c r="R65" i="17"/>
  <c r="Q65" i="17"/>
  <c r="P65" i="17"/>
  <c r="O65" i="17"/>
  <c r="N65" i="17"/>
  <c r="M65" i="17"/>
  <c r="L65" i="17"/>
  <c r="K65" i="17"/>
  <c r="J65" i="17"/>
  <c r="I65" i="17"/>
  <c r="H65" i="17"/>
  <c r="G65" i="17"/>
  <c r="V64" i="17"/>
  <c r="S64" i="17"/>
  <c r="R64" i="17"/>
  <c r="Q64" i="17"/>
  <c r="P64" i="17"/>
  <c r="O64" i="17"/>
  <c r="N64" i="17"/>
  <c r="M64" i="17"/>
  <c r="L64" i="17"/>
  <c r="K64" i="17"/>
  <c r="J64" i="17"/>
  <c r="I64" i="17"/>
  <c r="H64" i="17"/>
  <c r="G64" i="17"/>
  <c r="V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G63" i="17"/>
  <c r="V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G62" i="17"/>
  <c r="V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G61" i="17"/>
  <c r="V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V59" i="17"/>
  <c r="S59" i="17"/>
  <c r="R59" i="17"/>
  <c r="Q59" i="17"/>
  <c r="P59" i="17"/>
  <c r="O59" i="17"/>
  <c r="N59" i="17"/>
  <c r="M59" i="17"/>
  <c r="L59" i="17"/>
  <c r="K59" i="17"/>
  <c r="J59" i="17"/>
  <c r="I59" i="17"/>
  <c r="H59" i="17"/>
  <c r="G59" i="17"/>
  <c r="V58" i="17"/>
  <c r="S58" i="17"/>
  <c r="R58" i="17"/>
  <c r="Q58" i="17"/>
  <c r="P58" i="17"/>
  <c r="O58" i="17"/>
  <c r="N58" i="17"/>
  <c r="M58" i="17"/>
  <c r="L58" i="17"/>
  <c r="K58" i="17"/>
  <c r="J58" i="17"/>
  <c r="I58" i="17"/>
  <c r="H58" i="17"/>
  <c r="G58" i="17"/>
  <c r="V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V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G56" i="17"/>
  <c r="V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G55" i="17"/>
  <c r="V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V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V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V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V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V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V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V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V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V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V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V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V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V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V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V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V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V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V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V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V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V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V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V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V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V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V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V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V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V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V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V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V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V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V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V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V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V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V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V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V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V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V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V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V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V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V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V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V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V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V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V3" i="17"/>
  <c r="S3" i="17"/>
  <c r="R3" i="17"/>
  <c r="Q3" i="17"/>
  <c r="P3" i="17"/>
  <c r="O3" i="17"/>
  <c r="N3" i="17"/>
  <c r="M3" i="17"/>
  <c r="L3" i="17"/>
  <c r="K3" i="17"/>
  <c r="J3" i="17"/>
  <c r="I3" i="17"/>
  <c r="H3" i="17"/>
  <c r="G3" i="17"/>
  <c r="AQ249" i="9"/>
  <c r="AP249" i="9"/>
  <c r="AO249" i="9"/>
  <c r="AN249" i="9"/>
  <c r="AL249" i="9"/>
  <c r="AK249" i="9"/>
  <c r="AJ249" i="9"/>
  <c r="AI249" i="9"/>
  <c r="AH249" i="9"/>
  <c r="AG249" i="9"/>
  <c r="AE249" i="9"/>
  <c r="AD249" i="9"/>
  <c r="R249" i="9"/>
  <c r="Q249" i="9"/>
  <c r="P249" i="9"/>
  <c r="O249" i="9"/>
  <c r="M249" i="9"/>
  <c r="L249" i="9"/>
  <c r="K249" i="9"/>
  <c r="J249" i="9"/>
  <c r="I249" i="9"/>
  <c r="H249" i="9"/>
  <c r="F249" i="9"/>
  <c r="E249" i="9"/>
  <c r="AM248" i="9"/>
  <c r="AC248" i="9"/>
  <c r="N248" i="9"/>
  <c r="D248" i="9"/>
  <c r="AM245" i="9"/>
  <c r="AC245" i="9"/>
  <c r="N247" i="9"/>
  <c r="D247" i="9"/>
  <c r="AM246" i="9"/>
  <c r="AC246" i="9"/>
  <c r="N246" i="9"/>
  <c r="D246" i="9"/>
  <c r="AM247" i="9"/>
  <c r="AC247" i="9"/>
  <c r="N245" i="9"/>
  <c r="D245" i="9"/>
  <c r="AM243" i="9"/>
  <c r="AC243" i="9"/>
  <c r="N243" i="9"/>
  <c r="D243" i="9"/>
  <c r="AM244" i="9"/>
  <c r="AC244" i="9"/>
  <c r="N244" i="9"/>
  <c r="D244" i="9"/>
  <c r="AM242" i="9"/>
  <c r="AC242" i="9"/>
  <c r="N242" i="9"/>
  <c r="D242" i="9"/>
  <c r="AM241" i="9"/>
  <c r="AC241" i="9"/>
  <c r="N241" i="9"/>
  <c r="D241" i="9"/>
  <c r="AM240" i="9"/>
  <c r="AC240" i="9"/>
  <c r="N240" i="9"/>
  <c r="D240" i="9"/>
  <c r="AM239" i="9"/>
  <c r="AC239" i="9"/>
  <c r="N239" i="9"/>
  <c r="D239" i="9"/>
  <c r="AU236" i="9"/>
  <c r="AP236" i="9"/>
  <c r="AO236" i="9"/>
  <c r="AN236" i="9"/>
  <c r="AM236" i="9"/>
  <c r="AL236" i="9"/>
  <c r="AK236" i="9"/>
  <c r="AJ236" i="9"/>
  <c r="AI236" i="9"/>
  <c r="AH236" i="9"/>
  <c r="AG236" i="9"/>
  <c r="V236" i="9"/>
  <c r="Q236" i="9"/>
  <c r="P236" i="9"/>
  <c r="O236" i="9"/>
  <c r="N236" i="9"/>
  <c r="M236" i="9"/>
  <c r="L236" i="9"/>
  <c r="K236" i="9"/>
  <c r="J236" i="9"/>
  <c r="I236" i="9"/>
  <c r="H236" i="9"/>
  <c r="AS235" i="9"/>
  <c r="AE235" i="9"/>
  <c r="AD235" i="9"/>
  <c r="AC235" i="9"/>
  <c r="T235" i="9"/>
  <c r="F235" i="9"/>
  <c r="E235" i="9"/>
  <c r="D235" i="9"/>
  <c r="AS233" i="9"/>
  <c r="AE233" i="9"/>
  <c r="AD233" i="9"/>
  <c r="AC233" i="9"/>
  <c r="T231" i="9"/>
  <c r="F231" i="9"/>
  <c r="E231" i="9"/>
  <c r="D231" i="9"/>
  <c r="AS232" i="9"/>
  <c r="AE232" i="9"/>
  <c r="AD232" i="9"/>
  <c r="AC232" i="9"/>
  <c r="T233" i="9"/>
  <c r="F233" i="9"/>
  <c r="E233" i="9"/>
  <c r="D233" i="9"/>
  <c r="AS231" i="9"/>
  <c r="AE231" i="9"/>
  <c r="AD231" i="9"/>
  <c r="AC231" i="9"/>
  <c r="T234" i="9"/>
  <c r="F234" i="9"/>
  <c r="E234" i="9"/>
  <c r="D234" i="9"/>
  <c r="AS229" i="9"/>
  <c r="AE229" i="9"/>
  <c r="AD229" i="9"/>
  <c r="AC229" i="9"/>
  <c r="T232" i="9"/>
  <c r="F232" i="9"/>
  <c r="E232" i="9"/>
  <c r="D232" i="9"/>
  <c r="AS234" i="9"/>
  <c r="AE234" i="9"/>
  <c r="AD234" i="9"/>
  <c r="AC234" i="9"/>
  <c r="T230" i="9"/>
  <c r="F230" i="9"/>
  <c r="E230" i="9"/>
  <c r="D230" i="9"/>
  <c r="AS225" i="9"/>
  <c r="AE225" i="9"/>
  <c r="AD225" i="9"/>
  <c r="AC225" i="9"/>
  <c r="T225" i="9"/>
  <c r="F225" i="9"/>
  <c r="E225" i="9"/>
  <c r="D225" i="9"/>
  <c r="AS224" i="9"/>
  <c r="AE224" i="9"/>
  <c r="AD224" i="9"/>
  <c r="AC224" i="9"/>
  <c r="T228" i="9"/>
  <c r="F228" i="9"/>
  <c r="E228" i="9"/>
  <c r="D228" i="9"/>
  <c r="AS222" i="9"/>
  <c r="AE222" i="9"/>
  <c r="AD222" i="9"/>
  <c r="AC222" i="9"/>
  <c r="T223" i="9"/>
  <c r="F223" i="9"/>
  <c r="E223" i="9"/>
  <c r="D223" i="9"/>
  <c r="AS223" i="9"/>
  <c r="AE223" i="9"/>
  <c r="AD223" i="9"/>
  <c r="AC223" i="9"/>
  <c r="T222" i="9"/>
  <c r="F222" i="9"/>
  <c r="E222" i="9"/>
  <c r="D222" i="9"/>
  <c r="AS230" i="9"/>
  <c r="AE230" i="9"/>
  <c r="AD230" i="9"/>
  <c r="AC230" i="9"/>
  <c r="T227" i="9"/>
  <c r="F227" i="9"/>
  <c r="E227" i="9"/>
  <c r="D227" i="9"/>
  <c r="AS227" i="9"/>
  <c r="AE227" i="9"/>
  <c r="AD227" i="9"/>
  <c r="AC227" i="9"/>
  <c r="T226" i="9"/>
  <c r="F226" i="9"/>
  <c r="E226" i="9"/>
  <c r="D226" i="9"/>
  <c r="AS226" i="9"/>
  <c r="AE226" i="9"/>
  <c r="AD226" i="9"/>
  <c r="AC226" i="9"/>
  <c r="T229" i="9"/>
  <c r="F229" i="9"/>
  <c r="E229" i="9"/>
  <c r="D229" i="9"/>
  <c r="AS228" i="9"/>
  <c r="AE228" i="9"/>
  <c r="AD228" i="9"/>
  <c r="AC228" i="9"/>
  <c r="T224" i="9"/>
  <c r="F224" i="9"/>
  <c r="E224" i="9"/>
  <c r="D224" i="9"/>
  <c r="BP218" i="9"/>
  <c r="BO218" i="9"/>
  <c r="BN218" i="9"/>
  <c r="BM218" i="9"/>
  <c r="BK218" i="9"/>
  <c r="BJ218" i="9"/>
  <c r="BI218" i="9"/>
  <c r="BH218" i="9"/>
  <c r="BG218" i="9"/>
  <c r="BF218" i="9"/>
  <c r="BD218" i="9"/>
  <c r="BC218" i="9"/>
  <c r="AQ218" i="9"/>
  <c r="AP218" i="9"/>
  <c r="AO218" i="9"/>
  <c r="AN218" i="9"/>
  <c r="AL218" i="9"/>
  <c r="AK218" i="9"/>
  <c r="AJ218" i="9"/>
  <c r="AI218" i="9"/>
  <c r="AH218" i="9"/>
  <c r="AG218" i="9"/>
  <c r="AE218" i="9"/>
  <c r="AD218" i="9"/>
  <c r="R218" i="9"/>
  <c r="Q218" i="9"/>
  <c r="P218" i="9"/>
  <c r="O218" i="9"/>
  <c r="M218" i="9"/>
  <c r="L218" i="9"/>
  <c r="K218" i="9"/>
  <c r="J218" i="9"/>
  <c r="I218" i="9"/>
  <c r="H218" i="9"/>
  <c r="F218" i="9"/>
  <c r="E218" i="9"/>
  <c r="BL217" i="9"/>
  <c r="BB217" i="9"/>
  <c r="AM217" i="9"/>
  <c r="AC217" i="9"/>
  <c r="N217" i="9"/>
  <c r="D217" i="9"/>
  <c r="BL216" i="9"/>
  <c r="BB216" i="9"/>
  <c r="AM214" i="9"/>
  <c r="AC214" i="9"/>
  <c r="N216" i="9"/>
  <c r="D216" i="9"/>
  <c r="BL215" i="9"/>
  <c r="BB215" i="9"/>
  <c r="AM216" i="9"/>
  <c r="AC216" i="9"/>
  <c r="N215" i="9"/>
  <c r="D215" i="9"/>
  <c r="BL213" i="9"/>
  <c r="BB213" i="9"/>
  <c r="AM215" i="9"/>
  <c r="AC215" i="9"/>
  <c r="N214" i="9"/>
  <c r="D214" i="9"/>
  <c r="BL214" i="9"/>
  <c r="BB214" i="9"/>
  <c r="AM213" i="9"/>
  <c r="AC213" i="9"/>
  <c r="N213" i="9"/>
  <c r="D213" i="9"/>
  <c r="BL212" i="9"/>
  <c r="BB212" i="9"/>
  <c r="AM212" i="9"/>
  <c r="AC212" i="9"/>
  <c r="N212" i="9"/>
  <c r="D212" i="9"/>
  <c r="BL211" i="9"/>
  <c r="BB211" i="9"/>
  <c r="AM211" i="9"/>
  <c r="AC211" i="9"/>
  <c r="N211" i="9"/>
  <c r="D211" i="9"/>
  <c r="BL210" i="9"/>
  <c r="BB210" i="9"/>
  <c r="AM210" i="9"/>
  <c r="AC210" i="9"/>
  <c r="N210" i="9"/>
  <c r="D210" i="9"/>
  <c r="BL209" i="9"/>
  <c r="BB209" i="9"/>
  <c r="AM209" i="9"/>
  <c r="AC209" i="9"/>
  <c r="N209" i="9"/>
  <c r="D209" i="9"/>
  <c r="BL208" i="9"/>
  <c r="BB208" i="9"/>
  <c r="AM208" i="9"/>
  <c r="AC208" i="9"/>
  <c r="N208" i="9"/>
  <c r="D208" i="9"/>
  <c r="BT205" i="9"/>
  <c r="BO205" i="9"/>
  <c r="BN205" i="9"/>
  <c r="BM205" i="9"/>
  <c r="BL205" i="9"/>
  <c r="BK205" i="9"/>
  <c r="BJ205" i="9"/>
  <c r="BI205" i="9"/>
  <c r="BH205" i="9"/>
  <c r="BG205" i="9"/>
  <c r="BF205" i="9"/>
  <c r="AU205" i="9"/>
  <c r="AP205" i="9"/>
  <c r="AO205" i="9"/>
  <c r="AN205" i="9"/>
  <c r="AM205" i="9"/>
  <c r="AL205" i="9"/>
  <c r="AK205" i="9"/>
  <c r="AJ205" i="9"/>
  <c r="AI205" i="9"/>
  <c r="AH205" i="9"/>
  <c r="AG205" i="9"/>
  <c r="V205" i="9"/>
  <c r="Q205" i="9"/>
  <c r="P205" i="9"/>
  <c r="O205" i="9"/>
  <c r="N205" i="9"/>
  <c r="M205" i="9"/>
  <c r="L205" i="9"/>
  <c r="K205" i="9"/>
  <c r="J205" i="9"/>
  <c r="I205" i="9"/>
  <c r="H205" i="9"/>
  <c r="BR202" i="9"/>
  <c r="BD202" i="9"/>
  <c r="BC202" i="9"/>
  <c r="BB202" i="9"/>
  <c r="AS204" i="9"/>
  <c r="AE204" i="9"/>
  <c r="AD204" i="9"/>
  <c r="AC204" i="9"/>
  <c r="T204" i="9"/>
  <c r="F204" i="9"/>
  <c r="E204" i="9"/>
  <c r="D204" i="9"/>
  <c r="BR203" i="9"/>
  <c r="BD203" i="9"/>
  <c r="BC203" i="9"/>
  <c r="BB203" i="9"/>
  <c r="AS202" i="9"/>
  <c r="AE202" i="9"/>
  <c r="AD202" i="9"/>
  <c r="AC202" i="9"/>
  <c r="T201" i="9"/>
  <c r="F201" i="9"/>
  <c r="E201" i="9"/>
  <c r="D201" i="9"/>
  <c r="BR204" i="9"/>
  <c r="BD204" i="9"/>
  <c r="BC204" i="9"/>
  <c r="BB204" i="9"/>
  <c r="AS201" i="9"/>
  <c r="AE201" i="9"/>
  <c r="AD201" i="9"/>
  <c r="AC201" i="9"/>
  <c r="T200" i="9"/>
  <c r="F200" i="9"/>
  <c r="E200" i="9"/>
  <c r="D200" i="9"/>
  <c r="BR201" i="9"/>
  <c r="BD201" i="9"/>
  <c r="BC201" i="9"/>
  <c r="BB201" i="9"/>
  <c r="AS203" i="9"/>
  <c r="AE203" i="9"/>
  <c r="AD203" i="9"/>
  <c r="AC203" i="9"/>
  <c r="T203" i="9"/>
  <c r="F203" i="9"/>
  <c r="E203" i="9"/>
  <c r="D203" i="9"/>
  <c r="BR200" i="9"/>
  <c r="BD200" i="9"/>
  <c r="BC200" i="9"/>
  <c r="BB200" i="9"/>
  <c r="AS200" i="9"/>
  <c r="AE200" i="9"/>
  <c r="AD200" i="9"/>
  <c r="AC200" i="9"/>
  <c r="T202" i="9"/>
  <c r="F202" i="9"/>
  <c r="E202" i="9"/>
  <c r="D202" i="9"/>
  <c r="BR199" i="9"/>
  <c r="BD199" i="9"/>
  <c r="BC199" i="9"/>
  <c r="BB199" i="9"/>
  <c r="AS193" i="9"/>
  <c r="AE193" i="9"/>
  <c r="AD193" i="9"/>
  <c r="AC193" i="9"/>
  <c r="T195" i="9"/>
  <c r="F195" i="9"/>
  <c r="E195" i="9"/>
  <c r="D195" i="9"/>
  <c r="BR197" i="9"/>
  <c r="BD197" i="9"/>
  <c r="BC197" i="9"/>
  <c r="BB197" i="9"/>
  <c r="AS194" i="9"/>
  <c r="AE194" i="9"/>
  <c r="AD194" i="9"/>
  <c r="AC194" i="9"/>
  <c r="T199" i="9"/>
  <c r="F199" i="9"/>
  <c r="E199" i="9"/>
  <c r="D199" i="9"/>
  <c r="BR193" i="9"/>
  <c r="BD193" i="9"/>
  <c r="BC193" i="9"/>
  <c r="BB193" i="9"/>
  <c r="AS197" i="9"/>
  <c r="AE197" i="9"/>
  <c r="AD197" i="9"/>
  <c r="AC197" i="9"/>
  <c r="T193" i="9"/>
  <c r="F193" i="9"/>
  <c r="E193" i="9"/>
  <c r="D193" i="9"/>
  <c r="BR195" i="9"/>
  <c r="BD195" i="9"/>
  <c r="BC195" i="9"/>
  <c r="BB195" i="9"/>
  <c r="AS191" i="9"/>
  <c r="AE191" i="9"/>
  <c r="AD191" i="9"/>
  <c r="AC191" i="9"/>
  <c r="T196" i="9"/>
  <c r="F196" i="9"/>
  <c r="E196" i="9"/>
  <c r="D196" i="9"/>
  <c r="BR191" i="9"/>
  <c r="BD191" i="9"/>
  <c r="BC191" i="9"/>
  <c r="BB191" i="9"/>
  <c r="AS198" i="9"/>
  <c r="AE198" i="9"/>
  <c r="AD198" i="9"/>
  <c r="AC198" i="9"/>
  <c r="T197" i="9"/>
  <c r="F197" i="9"/>
  <c r="E197" i="9"/>
  <c r="D197" i="9"/>
  <c r="BR192" i="9"/>
  <c r="BD192" i="9"/>
  <c r="BC192" i="9"/>
  <c r="BB192" i="9"/>
  <c r="AS192" i="9"/>
  <c r="AE192" i="9"/>
  <c r="AD192" i="9"/>
  <c r="AC192" i="9"/>
  <c r="T191" i="9"/>
  <c r="F191" i="9"/>
  <c r="E191" i="9"/>
  <c r="D191" i="9"/>
  <c r="BR198" i="9"/>
  <c r="BD198" i="9"/>
  <c r="BC198" i="9"/>
  <c r="BB198" i="9"/>
  <c r="AS196" i="9"/>
  <c r="AE196" i="9"/>
  <c r="AD196" i="9"/>
  <c r="AC196" i="9"/>
  <c r="T192" i="9"/>
  <c r="F192" i="9"/>
  <c r="E192" i="9"/>
  <c r="D192" i="9"/>
  <c r="BR196" i="9"/>
  <c r="BD196" i="9"/>
  <c r="BC196" i="9"/>
  <c r="BB196" i="9"/>
  <c r="AS199" i="9"/>
  <c r="AE199" i="9"/>
  <c r="AD199" i="9"/>
  <c r="AC199" i="9"/>
  <c r="T194" i="9"/>
  <c r="F194" i="9"/>
  <c r="E194" i="9"/>
  <c r="D194" i="9"/>
  <c r="BR194" i="9"/>
  <c r="BD194" i="9"/>
  <c r="BC194" i="9"/>
  <c r="BB194" i="9"/>
  <c r="AS195" i="9"/>
  <c r="AE195" i="9"/>
  <c r="AD195" i="9"/>
  <c r="AC195" i="9"/>
  <c r="T198" i="9"/>
  <c r="F198" i="9"/>
  <c r="E198" i="9"/>
  <c r="D198" i="9"/>
  <c r="BP187" i="9"/>
  <c r="BO187" i="9"/>
  <c r="BN187" i="9"/>
  <c r="BM187" i="9"/>
  <c r="BK187" i="9"/>
  <c r="BJ187" i="9"/>
  <c r="BI187" i="9"/>
  <c r="BH187" i="9"/>
  <c r="BG187" i="9"/>
  <c r="BF187" i="9"/>
  <c r="BD187" i="9"/>
  <c r="BC187" i="9"/>
  <c r="AQ187" i="9"/>
  <c r="AP187" i="9"/>
  <c r="AO187" i="9"/>
  <c r="AN187" i="9"/>
  <c r="AL187" i="9"/>
  <c r="AK187" i="9"/>
  <c r="AJ187" i="9"/>
  <c r="AI187" i="9"/>
  <c r="AH187" i="9"/>
  <c r="AG187" i="9"/>
  <c r="AE187" i="9"/>
  <c r="AD187" i="9"/>
  <c r="R187" i="9"/>
  <c r="Q187" i="9"/>
  <c r="P187" i="9"/>
  <c r="O187" i="9"/>
  <c r="M187" i="9"/>
  <c r="L187" i="9"/>
  <c r="K187" i="9"/>
  <c r="J187" i="9"/>
  <c r="I187" i="9"/>
  <c r="H187" i="9"/>
  <c r="F187" i="9"/>
  <c r="E187" i="9"/>
  <c r="BL186" i="9"/>
  <c r="BB186" i="9"/>
  <c r="AM186" i="9"/>
  <c r="AC186" i="9"/>
  <c r="N186" i="9"/>
  <c r="D186" i="9"/>
  <c r="BL182" i="9"/>
  <c r="BB182" i="9"/>
  <c r="AM183" i="9"/>
  <c r="AC183" i="9"/>
  <c r="N183" i="9"/>
  <c r="D183" i="9"/>
  <c r="BL183" i="9"/>
  <c r="BB183" i="9"/>
  <c r="AM184" i="9"/>
  <c r="AC184" i="9"/>
  <c r="N185" i="9"/>
  <c r="D185" i="9"/>
  <c r="BL185" i="9"/>
  <c r="BB185" i="9"/>
  <c r="AM185" i="9"/>
  <c r="AC185" i="9"/>
  <c r="N184" i="9"/>
  <c r="D184" i="9"/>
  <c r="BL184" i="9"/>
  <c r="BB184" i="9"/>
  <c r="AM181" i="9"/>
  <c r="AC181" i="9"/>
  <c r="N181" i="9"/>
  <c r="D181" i="9"/>
  <c r="BL181" i="9"/>
  <c r="BB181" i="9"/>
  <c r="AM182" i="9"/>
  <c r="AC182" i="9"/>
  <c r="N182" i="9"/>
  <c r="D182" i="9"/>
  <c r="BL180" i="9"/>
  <c r="BB180" i="9"/>
  <c r="AM180" i="9"/>
  <c r="AC180" i="9"/>
  <c r="N180" i="9"/>
  <c r="D180" i="9"/>
  <c r="BL179" i="9"/>
  <c r="BB179" i="9"/>
  <c r="AM179" i="9"/>
  <c r="AC179" i="9"/>
  <c r="N179" i="9"/>
  <c r="D179" i="9"/>
  <c r="BL178" i="9"/>
  <c r="BB178" i="9"/>
  <c r="AM178" i="9"/>
  <c r="AC178" i="9"/>
  <c r="N178" i="9"/>
  <c r="D178" i="9"/>
  <c r="BL177" i="9"/>
  <c r="BB177" i="9"/>
  <c r="AM177" i="9"/>
  <c r="AC177" i="9"/>
  <c r="N177" i="9"/>
  <c r="D177" i="9"/>
  <c r="BT174" i="9"/>
  <c r="BO174" i="9"/>
  <c r="BN174" i="9"/>
  <c r="BM174" i="9"/>
  <c r="BL174" i="9"/>
  <c r="BK174" i="9"/>
  <c r="BJ174" i="9"/>
  <c r="BI174" i="9"/>
  <c r="BH174" i="9"/>
  <c r="BG174" i="9"/>
  <c r="BF174" i="9"/>
  <c r="AU174" i="9"/>
  <c r="AP174" i="9"/>
  <c r="AO174" i="9"/>
  <c r="AN174" i="9"/>
  <c r="AM174" i="9"/>
  <c r="AL174" i="9"/>
  <c r="AK174" i="9"/>
  <c r="AJ174" i="9"/>
  <c r="AI174" i="9"/>
  <c r="AH174" i="9"/>
  <c r="AG174" i="9"/>
  <c r="V174" i="9"/>
  <c r="Q174" i="9"/>
  <c r="P174" i="9"/>
  <c r="O174" i="9"/>
  <c r="N174" i="9"/>
  <c r="M174" i="9"/>
  <c r="L174" i="9"/>
  <c r="K174" i="9"/>
  <c r="J174" i="9"/>
  <c r="I174" i="9"/>
  <c r="H174" i="9"/>
  <c r="BR171" i="9"/>
  <c r="BD171" i="9"/>
  <c r="BC171" i="9"/>
  <c r="BB171" i="9"/>
  <c r="AS173" i="9"/>
  <c r="AE173" i="9"/>
  <c r="AD173" i="9"/>
  <c r="AC173" i="9"/>
  <c r="T173" i="9"/>
  <c r="F173" i="9"/>
  <c r="E173" i="9"/>
  <c r="D173" i="9"/>
  <c r="BR170" i="9"/>
  <c r="BD170" i="9"/>
  <c r="BC170" i="9"/>
  <c r="BB170" i="9"/>
  <c r="AS169" i="9"/>
  <c r="AE169" i="9"/>
  <c r="AD169" i="9"/>
  <c r="AC169" i="9"/>
  <c r="T169" i="9"/>
  <c r="F169" i="9"/>
  <c r="E169" i="9"/>
  <c r="D169" i="9"/>
  <c r="BR169" i="9"/>
  <c r="BD169" i="9"/>
  <c r="BC169" i="9"/>
  <c r="BB169" i="9"/>
  <c r="AS172" i="9"/>
  <c r="AE172" i="9"/>
  <c r="AD172" i="9"/>
  <c r="AC172" i="9"/>
  <c r="T171" i="9"/>
  <c r="F171" i="9"/>
  <c r="E171" i="9"/>
  <c r="D171" i="9"/>
  <c r="BR173" i="9"/>
  <c r="BD173" i="9"/>
  <c r="BC173" i="9"/>
  <c r="BB173" i="9"/>
  <c r="AS171" i="9"/>
  <c r="AE171" i="9"/>
  <c r="AD171" i="9"/>
  <c r="AC171" i="9"/>
  <c r="T172" i="9"/>
  <c r="F172" i="9"/>
  <c r="E172" i="9"/>
  <c r="D172" i="9"/>
  <c r="BR163" i="9"/>
  <c r="BD163" i="9"/>
  <c r="BC163" i="9"/>
  <c r="BB163" i="9"/>
  <c r="AS170" i="9"/>
  <c r="AE170" i="9"/>
  <c r="AD170" i="9"/>
  <c r="AC170" i="9"/>
  <c r="T170" i="9"/>
  <c r="F170" i="9"/>
  <c r="E170" i="9"/>
  <c r="D170" i="9"/>
  <c r="BR167" i="9"/>
  <c r="BD167" i="9"/>
  <c r="BC167" i="9"/>
  <c r="BB167" i="9"/>
  <c r="AS167" i="9"/>
  <c r="AE167" i="9"/>
  <c r="AD167" i="9"/>
  <c r="AC167" i="9"/>
  <c r="T168" i="9"/>
  <c r="F168" i="9"/>
  <c r="E168" i="9"/>
  <c r="D168" i="9"/>
  <c r="BR172" i="9"/>
  <c r="BD172" i="9"/>
  <c r="BC172" i="9"/>
  <c r="BB172" i="9"/>
  <c r="AS162" i="9"/>
  <c r="AE162" i="9"/>
  <c r="AD162" i="9"/>
  <c r="AC162" i="9"/>
  <c r="T166" i="9"/>
  <c r="F166" i="9"/>
  <c r="E166" i="9"/>
  <c r="D166" i="9"/>
  <c r="BR162" i="9"/>
  <c r="BD162" i="9"/>
  <c r="BC162" i="9"/>
  <c r="BB162" i="9"/>
  <c r="AS163" i="9"/>
  <c r="AE163" i="9"/>
  <c r="AD163" i="9"/>
  <c r="AC163" i="9"/>
  <c r="T165" i="9"/>
  <c r="F165" i="9"/>
  <c r="E165" i="9"/>
  <c r="D165" i="9"/>
  <c r="BR166" i="9"/>
  <c r="BD166" i="9"/>
  <c r="BC166" i="9"/>
  <c r="BB166" i="9"/>
  <c r="AS161" i="9"/>
  <c r="AE161" i="9"/>
  <c r="AD161" i="9"/>
  <c r="AC161" i="9"/>
  <c r="T161" i="9"/>
  <c r="F161" i="9"/>
  <c r="E161" i="9"/>
  <c r="D161" i="9"/>
  <c r="BR164" i="9"/>
  <c r="BD164" i="9"/>
  <c r="BC164" i="9"/>
  <c r="BB164" i="9"/>
  <c r="AS166" i="9"/>
  <c r="AE166" i="9"/>
  <c r="AD166" i="9"/>
  <c r="AC166" i="9"/>
  <c r="T163" i="9"/>
  <c r="F163" i="9"/>
  <c r="E163" i="9"/>
  <c r="D163" i="9"/>
  <c r="BR161" i="9"/>
  <c r="BD161" i="9"/>
  <c r="BC161" i="9"/>
  <c r="BB161" i="9"/>
  <c r="AS160" i="9"/>
  <c r="AE160" i="9"/>
  <c r="AD160" i="9"/>
  <c r="AC160" i="9"/>
  <c r="T160" i="9"/>
  <c r="F160" i="9"/>
  <c r="E160" i="9"/>
  <c r="D160" i="9"/>
  <c r="BR168" i="9"/>
  <c r="BD168" i="9"/>
  <c r="BC168" i="9"/>
  <c r="BB168" i="9"/>
  <c r="AS168" i="9"/>
  <c r="AE168" i="9"/>
  <c r="AD168" i="9"/>
  <c r="AC168" i="9"/>
  <c r="T164" i="9"/>
  <c r="F164" i="9"/>
  <c r="E164" i="9"/>
  <c r="D164" i="9"/>
  <c r="BR160" i="9"/>
  <c r="BD160" i="9"/>
  <c r="BC160" i="9"/>
  <c r="BB160" i="9"/>
  <c r="AS164" i="9"/>
  <c r="AE164" i="9"/>
  <c r="AD164" i="9"/>
  <c r="AC164" i="9"/>
  <c r="T162" i="9"/>
  <c r="F162" i="9"/>
  <c r="E162" i="9"/>
  <c r="D162" i="9"/>
  <c r="BR165" i="9"/>
  <c r="BD165" i="9"/>
  <c r="BC165" i="9"/>
  <c r="BB165" i="9"/>
  <c r="AS165" i="9"/>
  <c r="AE165" i="9"/>
  <c r="AD165" i="9"/>
  <c r="AC165" i="9"/>
  <c r="T167" i="9"/>
  <c r="F167" i="9"/>
  <c r="E167" i="9"/>
  <c r="D167" i="9"/>
  <c r="BP155" i="9"/>
  <c r="BO155" i="9"/>
  <c r="BN155" i="9"/>
  <c r="BM155" i="9"/>
  <c r="BK155" i="9"/>
  <c r="BJ155" i="9"/>
  <c r="BI155" i="9"/>
  <c r="BH155" i="9"/>
  <c r="BG155" i="9"/>
  <c r="BF155" i="9"/>
  <c r="BD155" i="9"/>
  <c r="AV56" i="3" s="1"/>
  <c r="BC155" i="9"/>
  <c r="AU56" i="3" s="1"/>
  <c r="AQ155" i="9"/>
  <c r="AP155" i="9"/>
  <c r="AO155" i="9"/>
  <c r="AN155" i="9"/>
  <c r="AL155" i="9"/>
  <c r="AK155" i="9"/>
  <c r="AJ155" i="9"/>
  <c r="AI155" i="9"/>
  <c r="AH155" i="9"/>
  <c r="AG155" i="9"/>
  <c r="AE155" i="9"/>
  <c r="AD155" i="9"/>
  <c r="R155" i="9"/>
  <c r="Q155" i="9"/>
  <c r="P155" i="9"/>
  <c r="O155" i="9"/>
  <c r="M155" i="9"/>
  <c r="L155" i="9"/>
  <c r="K155" i="9"/>
  <c r="J155" i="9"/>
  <c r="I155" i="9"/>
  <c r="H155" i="9"/>
  <c r="F155" i="9"/>
  <c r="E155" i="9"/>
  <c r="BL154" i="9"/>
  <c r="BB154" i="9"/>
  <c r="AM154" i="9"/>
  <c r="AC154" i="9"/>
  <c r="N154" i="9"/>
  <c r="N152" i="20" s="1"/>
  <c r="D154" i="9"/>
  <c r="D152" i="20" s="1"/>
  <c r="BL153" i="9"/>
  <c r="BB153" i="9"/>
  <c r="AM153" i="9"/>
  <c r="AC153" i="9"/>
  <c r="N153" i="9"/>
  <c r="N151" i="20" s="1"/>
  <c r="D153" i="9"/>
  <c r="D151" i="20" s="1"/>
  <c r="BL152" i="9"/>
  <c r="BB152" i="9"/>
  <c r="AM152" i="9"/>
  <c r="AC152" i="9"/>
  <c r="N152" i="9"/>
  <c r="N150" i="20" s="1"/>
  <c r="D152" i="9"/>
  <c r="D150" i="20" s="1"/>
  <c r="BL149" i="9"/>
  <c r="BB149" i="9"/>
  <c r="AM150" i="9"/>
  <c r="AC150" i="9"/>
  <c r="N150" i="9"/>
  <c r="N148" i="20" s="1"/>
  <c r="D150" i="9"/>
  <c r="D148" i="20" s="1"/>
  <c r="BL151" i="9"/>
  <c r="BB151" i="9"/>
  <c r="AM151" i="9"/>
  <c r="AC151" i="9"/>
  <c r="N151" i="9"/>
  <c r="N149" i="20" s="1"/>
  <c r="D151" i="9"/>
  <c r="D149" i="20" s="1"/>
  <c r="BL150" i="9"/>
  <c r="BB150" i="9"/>
  <c r="AM149" i="9"/>
  <c r="AC149" i="9"/>
  <c r="N149" i="9"/>
  <c r="N147" i="20" s="1"/>
  <c r="D149" i="9"/>
  <c r="D147" i="20" s="1"/>
  <c r="BL148" i="9"/>
  <c r="BB148" i="9"/>
  <c r="AM148" i="9"/>
  <c r="AC148" i="9"/>
  <c r="N148" i="9"/>
  <c r="N146" i="20" s="1"/>
  <c r="D148" i="9"/>
  <c r="D146" i="20" s="1"/>
  <c r="BL147" i="9"/>
  <c r="BB147" i="9"/>
  <c r="AM147" i="9"/>
  <c r="AC147" i="9"/>
  <c r="N147" i="9"/>
  <c r="N145" i="20" s="1"/>
  <c r="D147" i="9"/>
  <c r="D145" i="20" s="1"/>
  <c r="BL146" i="9"/>
  <c r="BB146" i="9"/>
  <c r="AM146" i="9"/>
  <c r="AC146" i="9"/>
  <c r="N146" i="9"/>
  <c r="N144" i="20" s="1"/>
  <c r="D146" i="9"/>
  <c r="D144" i="20" s="1"/>
  <c r="BL145" i="9"/>
  <c r="BB145" i="9"/>
  <c r="AM145" i="9"/>
  <c r="AC145" i="9"/>
  <c r="N145" i="9"/>
  <c r="N143" i="20" s="1"/>
  <c r="D145" i="9"/>
  <c r="D143" i="20" s="1"/>
  <c r="BT142" i="9"/>
  <c r="BO142" i="9"/>
  <c r="BN142" i="9"/>
  <c r="BM142" i="9"/>
  <c r="BL142" i="9"/>
  <c r="BK142" i="9"/>
  <c r="BJ142" i="9"/>
  <c r="BI142" i="9"/>
  <c r="BH142" i="9"/>
  <c r="BG142" i="9"/>
  <c r="BF142" i="9"/>
  <c r="AU142" i="9"/>
  <c r="AP142" i="9"/>
  <c r="AO142" i="9"/>
  <c r="AN142" i="9"/>
  <c r="AM142" i="9"/>
  <c r="AL142" i="9"/>
  <c r="AK142" i="9"/>
  <c r="AJ142" i="9"/>
  <c r="AI142" i="9"/>
  <c r="AH142" i="9"/>
  <c r="AG142" i="9"/>
  <c r="V142" i="9"/>
  <c r="Q142" i="9"/>
  <c r="P142" i="9"/>
  <c r="O142" i="9"/>
  <c r="N142" i="9"/>
  <c r="M142" i="9"/>
  <c r="L142" i="9"/>
  <c r="K142" i="9"/>
  <c r="J142" i="9"/>
  <c r="I142" i="9"/>
  <c r="Q24" i="3" s="1"/>
  <c r="H142" i="9"/>
  <c r="BR139" i="9"/>
  <c r="BD139" i="9"/>
  <c r="BC139" i="9"/>
  <c r="BB139" i="9"/>
  <c r="AS141" i="9"/>
  <c r="AE141" i="9"/>
  <c r="AD141" i="9"/>
  <c r="AC141" i="9"/>
  <c r="T139" i="9"/>
  <c r="T210" i="18" s="1"/>
  <c r="F139" i="9"/>
  <c r="F210" i="18" s="1"/>
  <c r="E139" i="9"/>
  <c r="E210" i="18" s="1"/>
  <c r="D139" i="9"/>
  <c r="D210" i="18" s="1"/>
  <c r="BR141" i="9"/>
  <c r="BD141" i="9"/>
  <c r="BC141" i="9"/>
  <c r="BB141" i="9"/>
  <c r="AS140" i="9"/>
  <c r="AE140" i="9"/>
  <c r="AD140" i="9"/>
  <c r="AC140" i="9"/>
  <c r="T141" i="9"/>
  <c r="T212" i="18" s="1"/>
  <c r="F141" i="9"/>
  <c r="F212" i="18" s="1"/>
  <c r="E141" i="9"/>
  <c r="E212" i="18" s="1"/>
  <c r="D141" i="9"/>
  <c r="D212" i="18" s="1"/>
  <c r="BR138" i="9"/>
  <c r="BD138" i="9"/>
  <c r="BC138" i="9"/>
  <c r="BB138" i="9"/>
  <c r="AS137" i="9"/>
  <c r="AE137" i="9"/>
  <c r="AD137" i="9"/>
  <c r="AC137" i="9"/>
  <c r="T137" i="9"/>
  <c r="T208" i="18" s="1"/>
  <c r="F137" i="9"/>
  <c r="F208" i="18" s="1"/>
  <c r="E137" i="9"/>
  <c r="E208" i="18" s="1"/>
  <c r="D137" i="9"/>
  <c r="D208" i="18" s="1"/>
  <c r="BR129" i="9"/>
  <c r="BD129" i="9"/>
  <c r="BC129" i="9"/>
  <c r="BB129" i="9"/>
  <c r="AS139" i="9"/>
  <c r="AE139" i="9"/>
  <c r="AD139" i="9"/>
  <c r="AC139" i="9"/>
  <c r="T138" i="9"/>
  <c r="T209" i="18" s="1"/>
  <c r="F138" i="9"/>
  <c r="F209" i="18" s="1"/>
  <c r="E138" i="9"/>
  <c r="E209" i="18" s="1"/>
  <c r="D138" i="9"/>
  <c r="D209" i="18" s="1"/>
  <c r="BR135" i="9"/>
  <c r="BD135" i="9"/>
  <c r="BC135" i="9"/>
  <c r="BB135" i="9"/>
  <c r="AS138" i="9"/>
  <c r="AE138" i="9"/>
  <c r="AD138" i="9"/>
  <c r="AC138" i="9"/>
  <c r="T140" i="9"/>
  <c r="T211" i="18" s="1"/>
  <c r="F140" i="9"/>
  <c r="F211" i="18" s="1"/>
  <c r="E140" i="9"/>
  <c r="E211" i="18" s="1"/>
  <c r="D140" i="9"/>
  <c r="D211" i="18" s="1"/>
  <c r="BR140" i="9"/>
  <c r="BD140" i="9"/>
  <c r="BC140" i="9"/>
  <c r="BB140" i="9"/>
  <c r="AS130" i="9"/>
  <c r="AE130" i="9"/>
  <c r="AD130" i="9"/>
  <c r="AC130" i="9"/>
  <c r="T128" i="9"/>
  <c r="T199" i="18" s="1"/>
  <c r="F128" i="9"/>
  <c r="F199" i="18" s="1"/>
  <c r="E128" i="9"/>
  <c r="E199" i="18" s="1"/>
  <c r="D128" i="9"/>
  <c r="D199" i="18" s="1"/>
  <c r="BR137" i="9"/>
  <c r="BD137" i="9"/>
  <c r="BC137" i="9"/>
  <c r="BB137" i="9"/>
  <c r="AS133" i="9"/>
  <c r="AE133" i="9"/>
  <c r="AD133" i="9"/>
  <c r="AC133" i="9"/>
  <c r="T136" i="9"/>
  <c r="T207" i="18" s="1"/>
  <c r="F136" i="9"/>
  <c r="F207" i="18" s="1"/>
  <c r="E136" i="9"/>
  <c r="E207" i="18" s="1"/>
  <c r="D136" i="9"/>
  <c r="D207" i="18" s="1"/>
  <c r="BR131" i="9"/>
  <c r="BD131" i="9"/>
  <c r="BC131" i="9"/>
  <c r="BB131" i="9"/>
  <c r="AS128" i="9"/>
  <c r="AE128" i="9"/>
  <c r="AD128" i="9"/>
  <c r="AC128" i="9"/>
  <c r="T130" i="9"/>
  <c r="T201" i="18" s="1"/>
  <c r="F130" i="9"/>
  <c r="F201" i="18" s="1"/>
  <c r="E130" i="9"/>
  <c r="E201" i="18" s="1"/>
  <c r="D130" i="9"/>
  <c r="D201" i="18" s="1"/>
  <c r="BR132" i="9"/>
  <c r="BD132" i="9"/>
  <c r="BC132" i="9"/>
  <c r="BB132" i="9"/>
  <c r="AS135" i="9"/>
  <c r="AE135" i="9"/>
  <c r="AD135" i="9"/>
  <c r="AC135" i="9"/>
  <c r="T134" i="9"/>
  <c r="T205" i="18" s="1"/>
  <c r="F134" i="9"/>
  <c r="F205" i="18" s="1"/>
  <c r="E134" i="9"/>
  <c r="E205" i="18" s="1"/>
  <c r="D134" i="9"/>
  <c r="D205" i="18" s="1"/>
  <c r="BR133" i="9"/>
  <c r="BD133" i="9"/>
  <c r="BC133" i="9"/>
  <c r="BB133" i="9"/>
  <c r="AS134" i="9"/>
  <c r="AE134" i="9"/>
  <c r="AD134" i="9"/>
  <c r="AC134" i="9"/>
  <c r="T133" i="9"/>
  <c r="T204" i="18" s="1"/>
  <c r="F133" i="9"/>
  <c r="F204" i="18" s="1"/>
  <c r="E133" i="9"/>
  <c r="E204" i="18" s="1"/>
  <c r="D133" i="9"/>
  <c r="D204" i="18" s="1"/>
  <c r="BR136" i="9"/>
  <c r="BD136" i="9"/>
  <c r="BC136" i="9"/>
  <c r="BB136" i="9"/>
  <c r="AS136" i="9"/>
  <c r="AE136" i="9"/>
  <c r="AD136" i="9"/>
  <c r="AC136" i="9"/>
  <c r="T132" i="9"/>
  <c r="T203" i="18" s="1"/>
  <c r="F132" i="9"/>
  <c r="F203" i="18" s="1"/>
  <c r="E132" i="9"/>
  <c r="E203" i="18" s="1"/>
  <c r="D132" i="9"/>
  <c r="D203" i="18" s="1"/>
  <c r="BR128" i="9"/>
  <c r="BD128" i="9"/>
  <c r="BC128" i="9"/>
  <c r="BB128" i="9"/>
  <c r="AS132" i="9"/>
  <c r="AE132" i="9"/>
  <c r="AD132" i="9"/>
  <c r="AC132" i="9"/>
  <c r="T135" i="9"/>
  <c r="T206" i="18" s="1"/>
  <c r="F135" i="9"/>
  <c r="F206" i="18" s="1"/>
  <c r="E135" i="9"/>
  <c r="E206" i="18" s="1"/>
  <c r="D135" i="9"/>
  <c r="D206" i="18" s="1"/>
  <c r="BR134" i="9"/>
  <c r="BD134" i="9"/>
  <c r="BC134" i="9"/>
  <c r="BB134" i="9"/>
  <c r="AS129" i="9"/>
  <c r="AE129" i="9"/>
  <c r="AD129" i="9"/>
  <c r="AC129" i="9"/>
  <c r="T131" i="9"/>
  <c r="T202" i="18" s="1"/>
  <c r="F131" i="9"/>
  <c r="F202" i="18" s="1"/>
  <c r="E131" i="9"/>
  <c r="E202" i="18" s="1"/>
  <c r="D131" i="9"/>
  <c r="D202" i="18" s="1"/>
  <c r="BR130" i="9"/>
  <c r="BD130" i="9"/>
  <c r="BC130" i="9"/>
  <c r="BB130" i="9"/>
  <c r="AS131" i="9"/>
  <c r="AE131" i="9"/>
  <c r="AD131" i="9"/>
  <c r="AC131" i="9"/>
  <c r="T129" i="9"/>
  <c r="T200" i="18" s="1"/>
  <c r="F129" i="9"/>
  <c r="F200" i="18" s="1"/>
  <c r="E129" i="9"/>
  <c r="E200" i="18" s="1"/>
  <c r="D129" i="9"/>
  <c r="D200" i="18" s="1"/>
  <c r="BP124" i="9"/>
  <c r="BO124" i="9"/>
  <c r="BN124" i="9"/>
  <c r="BM124" i="9"/>
  <c r="BK124" i="9"/>
  <c r="BJ124" i="9"/>
  <c r="BI124" i="9"/>
  <c r="BH124" i="9"/>
  <c r="BG124" i="9"/>
  <c r="BF124" i="9"/>
  <c r="BD124" i="9"/>
  <c r="BC124" i="9"/>
  <c r="AQ124" i="9"/>
  <c r="AP124" i="9"/>
  <c r="AO124" i="9"/>
  <c r="AN124" i="9"/>
  <c r="AL124" i="9"/>
  <c r="AK124" i="9"/>
  <c r="AJ124" i="9"/>
  <c r="AI124" i="9"/>
  <c r="AH124" i="9"/>
  <c r="AG124" i="9"/>
  <c r="AE124" i="9"/>
  <c r="AD124" i="9"/>
  <c r="R124" i="9"/>
  <c r="Q124" i="9"/>
  <c r="P124" i="9"/>
  <c r="O124" i="9"/>
  <c r="M124" i="9"/>
  <c r="L124" i="9"/>
  <c r="K124" i="9"/>
  <c r="J124" i="9"/>
  <c r="I124" i="9"/>
  <c r="H124" i="9"/>
  <c r="F124" i="9"/>
  <c r="E124" i="9"/>
  <c r="BL123" i="9"/>
  <c r="BB123" i="9"/>
  <c r="AM123" i="9"/>
  <c r="AC123" i="9"/>
  <c r="N123" i="9"/>
  <c r="N142" i="20" s="1"/>
  <c r="D123" i="9"/>
  <c r="D142" i="20" s="1"/>
  <c r="BL122" i="9"/>
  <c r="BB122" i="9"/>
  <c r="AM122" i="9"/>
  <c r="AC122" i="9"/>
  <c r="N122" i="9"/>
  <c r="N141" i="20" s="1"/>
  <c r="D122" i="9"/>
  <c r="D141" i="20" s="1"/>
  <c r="BL120" i="9"/>
  <c r="BB120" i="9"/>
  <c r="AM121" i="9"/>
  <c r="AC121" i="9"/>
  <c r="N121" i="9"/>
  <c r="N140" i="20" s="1"/>
  <c r="D121" i="9"/>
  <c r="D140" i="20" s="1"/>
  <c r="BL121" i="9"/>
  <c r="BB121" i="9"/>
  <c r="AM120" i="9"/>
  <c r="AC120" i="9"/>
  <c r="N120" i="9"/>
  <c r="N139" i="20" s="1"/>
  <c r="D120" i="9"/>
  <c r="D139" i="20" s="1"/>
  <c r="BL119" i="9"/>
  <c r="BB119" i="9"/>
  <c r="AM119" i="9"/>
  <c r="AC119" i="9"/>
  <c r="N119" i="9"/>
  <c r="N138" i="20" s="1"/>
  <c r="D119" i="9"/>
  <c r="D138" i="20" s="1"/>
  <c r="BL118" i="9"/>
  <c r="BB118" i="9"/>
  <c r="AM118" i="9"/>
  <c r="AC118" i="9"/>
  <c r="N118" i="9"/>
  <c r="N137" i="20" s="1"/>
  <c r="D118" i="9"/>
  <c r="D137" i="20" s="1"/>
  <c r="BL117" i="9"/>
  <c r="BB117" i="9"/>
  <c r="AM117" i="9"/>
  <c r="AC117" i="9"/>
  <c r="N117" i="9"/>
  <c r="N136" i="20" s="1"/>
  <c r="D117" i="9"/>
  <c r="D136" i="20" s="1"/>
  <c r="BL116" i="9"/>
  <c r="BB116" i="9"/>
  <c r="AM116" i="9"/>
  <c r="AC116" i="9"/>
  <c r="N116" i="9"/>
  <c r="N135" i="20" s="1"/>
  <c r="D116" i="9"/>
  <c r="D135" i="20" s="1"/>
  <c r="BL115" i="9"/>
  <c r="BB115" i="9"/>
  <c r="AM115" i="9"/>
  <c r="AC115" i="9"/>
  <c r="N115" i="9"/>
  <c r="N134" i="20" s="1"/>
  <c r="D115" i="9"/>
  <c r="D134" i="20" s="1"/>
  <c r="BL114" i="9"/>
  <c r="BB114" i="9"/>
  <c r="AM114" i="9"/>
  <c r="AC114" i="9"/>
  <c r="N114" i="9"/>
  <c r="N133" i="20" s="1"/>
  <c r="D114" i="9"/>
  <c r="D133" i="20" s="1"/>
  <c r="BT111" i="9"/>
  <c r="BO111" i="9"/>
  <c r="BN111" i="9"/>
  <c r="BM111" i="9"/>
  <c r="BL111" i="9"/>
  <c r="BK111" i="9"/>
  <c r="BJ111" i="9"/>
  <c r="BI111" i="9"/>
  <c r="BH111" i="9"/>
  <c r="BG111" i="9"/>
  <c r="AX52" i="3" s="1"/>
  <c r="BF111" i="9"/>
  <c r="AU111" i="9"/>
  <c r="AP111" i="9"/>
  <c r="AO111" i="9"/>
  <c r="AN111" i="9"/>
  <c r="AM111" i="9"/>
  <c r="AL111" i="9"/>
  <c r="AK111" i="9"/>
  <c r="AJ111" i="9"/>
  <c r="AI111" i="9"/>
  <c r="AH111" i="9"/>
  <c r="AG111" i="9"/>
  <c r="V111" i="9"/>
  <c r="Q111" i="9"/>
  <c r="P111" i="9"/>
  <c r="O111" i="9"/>
  <c r="N111" i="9"/>
  <c r="M111" i="9"/>
  <c r="L111" i="9"/>
  <c r="K111" i="9"/>
  <c r="J111" i="9"/>
  <c r="I111" i="9"/>
  <c r="F60" i="3" s="1"/>
  <c r="H111" i="9"/>
  <c r="BR110" i="9"/>
  <c r="BD110" i="9"/>
  <c r="BC110" i="9"/>
  <c r="BB110" i="9"/>
  <c r="AS109" i="9"/>
  <c r="AE109" i="9"/>
  <c r="AD109" i="9"/>
  <c r="AC109" i="9"/>
  <c r="T110" i="9"/>
  <c r="T198" i="18" s="1"/>
  <c r="F110" i="9"/>
  <c r="F198" i="18" s="1"/>
  <c r="E110" i="9"/>
  <c r="E198" i="18" s="1"/>
  <c r="D110" i="9"/>
  <c r="D198" i="18" s="1"/>
  <c r="BR106" i="9"/>
  <c r="BD106" i="9"/>
  <c r="BC106" i="9"/>
  <c r="BB106" i="9"/>
  <c r="AS106" i="9"/>
  <c r="AE106" i="9"/>
  <c r="AD106" i="9"/>
  <c r="AC106" i="9"/>
  <c r="T109" i="9"/>
  <c r="T197" i="18" s="1"/>
  <c r="F109" i="9"/>
  <c r="F197" i="18" s="1"/>
  <c r="E109" i="9"/>
  <c r="E197" i="18" s="1"/>
  <c r="D109" i="9"/>
  <c r="D197" i="18" s="1"/>
  <c r="BR107" i="9"/>
  <c r="BD107" i="9"/>
  <c r="BC107" i="9"/>
  <c r="BB107" i="9"/>
  <c r="AS107" i="9"/>
  <c r="AE107" i="9"/>
  <c r="AD107" i="9"/>
  <c r="AC107" i="9"/>
  <c r="T106" i="9"/>
  <c r="T194" i="18" s="1"/>
  <c r="F106" i="9"/>
  <c r="F194" i="18" s="1"/>
  <c r="E106" i="9"/>
  <c r="E194" i="18" s="1"/>
  <c r="D106" i="9"/>
  <c r="D194" i="18" s="1"/>
  <c r="BR108" i="9"/>
  <c r="BD108" i="9"/>
  <c r="BC108" i="9"/>
  <c r="BB108" i="9"/>
  <c r="AS110" i="9"/>
  <c r="AE110" i="9"/>
  <c r="AD110" i="9"/>
  <c r="AC110" i="9"/>
  <c r="T108" i="9"/>
  <c r="T196" i="18" s="1"/>
  <c r="F108" i="9"/>
  <c r="F196" i="18" s="1"/>
  <c r="E108" i="9"/>
  <c r="E196" i="18" s="1"/>
  <c r="D108" i="9"/>
  <c r="D196" i="18" s="1"/>
  <c r="BR97" i="9"/>
  <c r="BD97" i="9"/>
  <c r="BC97" i="9"/>
  <c r="BB97" i="9"/>
  <c r="AS98" i="9"/>
  <c r="AE98" i="9"/>
  <c r="AD98" i="9"/>
  <c r="AC98" i="9"/>
  <c r="T107" i="9"/>
  <c r="T195" i="18" s="1"/>
  <c r="F107" i="9"/>
  <c r="F195" i="18" s="1"/>
  <c r="E107" i="9"/>
  <c r="E195" i="18" s="1"/>
  <c r="D107" i="9"/>
  <c r="D195" i="18" s="1"/>
  <c r="BR109" i="9"/>
  <c r="BD109" i="9"/>
  <c r="BC109" i="9"/>
  <c r="BB109" i="9"/>
  <c r="AS108" i="9"/>
  <c r="AE108" i="9"/>
  <c r="AD108" i="9"/>
  <c r="AC108" i="9"/>
  <c r="T105" i="9"/>
  <c r="T193" i="18" s="1"/>
  <c r="F105" i="9"/>
  <c r="F193" i="18" s="1"/>
  <c r="E105" i="9"/>
  <c r="E193" i="18" s="1"/>
  <c r="D105" i="9"/>
  <c r="D193" i="18" s="1"/>
  <c r="BR102" i="9"/>
  <c r="BD102" i="9"/>
  <c r="BC102" i="9"/>
  <c r="BB102" i="9"/>
  <c r="AS97" i="9"/>
  <c r="AE97" i="9"/>
  <c r="AD97" i="9"/>
  <c r="AC97" i="9"/>
  <c r="T97" i="9"/>
  <c r="T185" i="18" s="1"/>
  <c r="F97" i="9"/>
  <c r="F185" i="18" s="1"/>
  <c r="E97" i="9"/>
  <c r="E185" i="18" s="1"/>
  <c r="D97" i="9"/>
  <c r="D185" i="18" s="1"/>
  <c r="BR98" i="9"/>
  <c r="BD98" i="9"/>
  <c r="BC98" i="9"/>
  <c r="BB98" i="9"/>
  <c r="AS102" i="9"/>
  <c r="AE102" i="9"/>
  <c r="AD102" i="9"/>
  <c r="AC102" i="9"/>
  <c r="T98" i="9"/>
  <c r="T186" i="18" s="1"/>
  <c r="F98" i="9"/>
  <c r="F186" i="18" s="1"/>
  <c r="E98" i="9"/>
  <c r="E186" i="18" s="1"/>
  <c r="D98" i="9"/>
  <c r="D186" i="18" s="1"/>
  <c r="BR105" i="9"/>
  <c r="BD105" i="9"/>
  <c r="BC105" i="9"/>
  <c r="BB105" i="9"/>
  <c r="AS100" i="9"/>
  <c r="AE100" i="9"/>
  <c r="AD100" i="9"/>
  <c r="AC100" i="9"/>
  <c r="T104" i="9"/>
  <c r="T192" i="18" s="1"/>
  <c r="F104" i="9"/>
  <c r="F192" i="18" s="1"/>
  <c r="E104" i="9"/>
  <c r="E192" i="18" s="1"/>
  <c r="D104" i="9"/>
  <c r="D192" i="18" s="1"/>
  <c r="BR104" i="9"/>
  <c r="BD104" i="9"/>
  <c r="BC104" i="9"/>
  <c r="BB104" i="9"/>
  <c r="AS105" i="9"/>
  <c r="AE105" i="9"/>
  <c r="AD105" i="9"/>
  <c r="AC105" i="9"/>
  <c r="T99" i="9"/>
  <c r="T187" i="18" s="1"/>
  <c r="F99" i="9"/>
  <c r="F187" i="18" s="1"/>
  <c r="E99" i="9"/>
  <c r="E187" i="18" s="1"/>
  <c r="D99" i="9"/>
  <c r="D187" i="18" s="1"/>
  <c r="BR100" i="9"/>
  <c r="BD100" i="9"/>
  <c r="BC100" i="9"/>
  <c r="BB100" i="9"/>
  <c r="AS103" i="9"/>
  <c r="AE103" i="9"/>
  <c r="AD103" i="9"/>
  <c r="AC103" i="9"/>
  <c r="T101" i="9"/>
  <c r="T189" i="18" s="1"/>
  <c r="F101" i="9"/>
  <c r="F189" i="18" s="1"/>
  <c r="E101" i="9"/>
  <c r="E189" i="18" s="1"/>
  <c r="D101" i="9"/>
  <c r="D189" i="18" s="1"/>
  <c r="BR103" i="9"/>
  <c r="BD103" i="9"/>
  <c r="BC103" i="9"/>
  <c r="BB103" i="9"/>
  <c r="AS104" i="9"/>
  <c r="AE104" i="9"/>
  <c r="AD104" i="9"/>
  <c r="AC104" i="9"/>
  <c r="T100" i="9"/>
  <c r="T188" i="18" s="1"/>
  <c r="F100" i="9"/>
  <c r="F188" i="18" s="1"/>
  <c r="E100" i="9"/>
  <c r="E188" i="18" s="1"/>
  <c r="D100" i="9"/>
  <c r="D188" i="18" s="1"/>
  <c r="BR101" i="9"/>
  <c r="BD101" i="9"/>
  <c r="BC101" i="9"/>
  <c r="BB101" i="9"/>
  <c r="AS101" i="9"/>
  <c r="AE101" i="9"/>
  <c r="AD101" i="9"/>
  <c r="AC101" i="9"/>
  <c r="T102" i="9"/>
  <c r="T190" i="18" s="1"/>
  <c r="F102" i="9"/>
  <c r="F190" i="18" s="1"/>
  <c r="E102" i="9"/>
  <c r="E190" i="18" s="1"/>
  <c r="D102" i="9"/>
  <c r="D190" i="18" s="1"/>
  <c r="BR99" i="9"/>
  <c r="BD99" i="9"/>
  <c r="BC99" i="9"/>
  <c r="BB99" i="9"/>
  <c r="AS99" i="9"/>
  <c r="AE99" i="9"/>
  <c r="AD99" i="9"/>
  <c r="AC99" i="9"/>
  <c r="T103" i="9"/>
  <c r="T191" i="18" s="1"/>
  <c r="F103" i="9"/>
  <c r="F191" i="18" s="1"/>
  <c r="E103" i="9"/>
  <c r="E191" i="18" s="1"/>
  <c r="D103" i="9"/>
  <c r="D191" i="18" s="1"/>
  <c r="BP93" i="9"/>
  <c r="BO93" i="9"/>
  <c r="BN93" i="9"/>
  <c r="BM93" i="9"/>
  <c r="BK93" i="9"/>
  <c r="BJ93" i="9"/>
  <c r="BI93" i="9"/>
  <c r="BH93" i="9"/>
  <c r="BG93" i="9"/>
  <c r="BF93" i="9"/>
  <c r="BD93" i="9"/>
  <c r="BC93" i="9"/>
  <c r="AQ93" i="9"/>
  <c r="AP93" i="9"/>
  <c r="AO93" i="9"/>
  <c r="AN93" i="9"/>
  <c r="AL93" i="9"/>
  <c r="AK93" i="9"/>
  <c r="AJ93" i="9"/>
  <c r="AI93" i="9"/>
  <c r="AH93" i="9"/>
  <c r="AG93" i="9"/>
  <c r="AE93" i="9"/>
  <c r="AD93" i="9"/>
  <c r="R93" i="9"/>
  <c r="Q93" i="9"/>
  <c r="P93" i="9"/>
  <c r="O93" i="9"/>
  <c r="M93" i="9"/>
  <c r="L93" i="9"/>
  <c r="K93" i="9"/>
  <c r="J93" i="9"/>
  <c r="I93" i="9"/>
  <c r="H93" i="9"/>
  <c r="F93" i="9"/>
  <c r="E93" i="9"/>
  <c r="BL92" i="9"/>
  <c r="BB92" i="9"/>
  <c r="AM92" i="9"/>
  <c r="AC92" i="9"/>
  <c r="N92" i="9"/>
  <c r="N132" i="20" s="1"/>
  <c r="D92" i="9"/>
  <c r="D132" i="20" s="1"/>
  <c r="BL91" i="9"/>
  <c r="BB91" i="9"/>
  <c r="AM91" i="9"/>
  <c r="AC91" i="9"/>
  <c r="N91" i="9"/>
  <c r="N131" i="20" s="1"/>
  <c r="D91" i="9"/>
  <c r="D131" i="20" s="1"/>
  <c r="BL90" i="9"/>
  <c r="BB90" i="9"/>
  <c r="AM90" i="9"/>
  <c r="AC90" i="9"/>
  <c r="N90" i="9"/>
  <c r="N130" i="20" s="1"/>
  <c r="D90" i="9"/>
  <c r="D130" i="20" s="1"/>
  <c r="BL89" i="9"/>
  <c r="BB89" i="9"/>
  <c r="AM89" i="9"/>
  <c r="AC89" i="9"/>
  <c r="N89" i="9"/>
  <c r="N129" i="20" s="1"/>
  <c r="D89" i="9"/>
  <c r="D129" i="20" s="1"/>
  <c r="BL88" i="9"/>
  <c r="BB88" i="9"/>
  <c r="AM88" i="9"/>
  <c r="AC88" i="9"/>
  <c r="N88" i="9"/>
  <c r="N128" i="20" s="1"/>
  <c r="D88" i="9"/>
  <c r="D128" i="20" s="1"/>
  <c r="BL87" i="9"/>
  <c r="BB87" i="9"/>
  <c r="AM87" i="9"/>
  <c r="AC87" i="9"/>
  <c r="N87" i="9"/>
  <c r="N127" i="20" s="1"/>
  <c r="D87" i="9"/>
  <c r="D127" i="20" s="1"/>
  <c r="BL86" i="9"/>
  <c r="BB86" i="9"/>
  <c r="AM86" i="9"/>
  <c r="AC86" i="9"/>
  <c r="N86" i="9"/>
  <c r="N126" i="20" s="1"/>
  <c r="D86" i="9"/>
  <c r="D126" i="20" s="1"/>
  <c r="BL85" i="9"/>
  <c r="BB85" i="9"/>
  <c r="AM85" i="9"/>
  <c r="AC85" i="9"/>
  <c r="N85" i="9"/>
  <c r="N125" i="20" s="1"/>
  <c r="D85" i="9"/>
  <c r="D125" i="20" s="1"/>
  <c r="BL84" i="9"/>
  <c r="BB84" i="9"/>
  <c r="AM84" i="9"/>
  <c r="AC84" i="9"/>
  <c r="N84" i="9"/>
  <c r="N124" i="20" s="1"/>
  <c r="D84" i="9"/>
  <c r="D124" i="20" s="1"/>
  <c r="BL83" i="9"/>
  <c r="BB83" i="9"/>
  <c r="AM83" i="9"/>
  <c r="AC83" i="9"/>
  <c r="N83" i="9"/>
  <c r="N123" i="20" s="1"/>
  <c r="D83" i="9"/>
  <c r="D123" i="20" s="1"/>
  <c r="BT80" i="9"/>
  <c r="BO80" i="9"/>
  <c r="BN80" i="9"/>
  <c r="BM80" i="9"/>
  <c r="BL80" i="9"/>
  <c r="BK80" i="9"/>
  <c r="BJ80" i="9"/>
  <c r="BI80" i="9"/>
  <c r="BH80" i="9"/>
  <c r="BG80" i="9"/>
  <c r="BF80" i="9"/>
  <c r="AU80" i="9"/>
  <c r="AP80" i="9"/>
  <c r="AO80" i="9"/>
  <c r="AN80" i="9"/>
  <c r="AM80" i="9"/>
  <c r="AL80" i="9"/>
  <c r="AK80" i="9"/>
  <c r="AJ80" i="9"/>
  <c r="AI80" i="9"/>
  <c r="AH80" i="9"/>
  <c r="AG80" i="9"/>
  <c r="V80" i="9"/>
  <c r="Q80" i="9"/>
  <c r="P80" i="9"/>
  <c r="O80" i="9"/>
  <c r="N80" i="9"/>
  <c r="M80" i="9"/>
  <c r="L80" i="9"/>
  <c r="K80" i="9"/>
  <c r="J80" i="9"/>
  <c r="I80" i="9"/>
  <c r="H80" i="9"/>
  <c r="BR76" i="9"/>
  <c r="BS76" i="9"/>
  <c r="AS79" i="9"/>
  <c r="AE79" i="9"/>
  <c r="AD79" i="9"/>
  <c r="AC79" i="9"/>
  <c r="T79" i="9"/>
  <c r="F79" i="9"/>
  <c r="E79" i="9"/>
  <c r="D79" i="9"/>
  <c r="BR75" i="9"/>
  <c r="BD75" i="9"/>
  <c r="BC75" i="9"/>
  <c r="BB75" i="9"/>
  <c r="AS77" i="9"/>
  <c r="AE77" i="9"/>
  <c r="AD77" i="9"/>
  <c r="AC77" i="9"/>
  <c r="T77" i="9"/>
  <c r="F77" i="9"/>
  <c r="E77" i="9"/>
  <c r="D77" i="9"/>
  <c r="BR79" i="9"/>
  <c r="BS79" i="9"/>
  <c r="AS76" i="9"/>
  <c r="AE76" i="9"/>
  <c r="AD76" i="9"/>
  <c r="AC76" i="9"/>
  <c r="T75" i="9"/>
  <c r="F75" i="9"/>
  <c r="E75" i="9"/>
  <c r="D75" i="9"/>
  <c r="BR77" i="9"/>
  <c r="BD77" i="9"/>
  <c r="BC77" i="9"/>
  <c r="BB77" i="9"/>
  <c r="AS75" i="9"/>
  <c r="AE75" i="9"/>
  <c r="AD75" i="9"/>
  <c r="AC75" i="9"/>
  <c r="T78" i="9"/>
  <c r="F78" i="9"/>
  <c r="E78" i="9"/>
  <c r="D78" i="9"/>
  <c r="BR78" i="9"/>
  <c r="BD78" i="9"/>
  <c r="BC78" i="9"/>
  <c r="BB78" i="9"/>
  <c r="AS71" i="9"/>
  <c r="AE71" i="9"/>
  <c r="AD71" i="9"/>
  <c r="AC71" i="9"/>
  <c r="T76" i="9"/>
  <c r="F76" i="9"/>
  <c r="E76" i="9"/>
  <c r="D76" i="9"/>
  <c r="BR70" i="9"/>
  <c r="BD70" i="9"/>
  <c r="BC70" i="9"/>
  <c r="BB70" i="9"/>
  <c r="AS78" i="9"/>
  <c r="AE78" i="9"/>
  <c r="AD78" i="9"/>
  <c r="AC78" i="9"/>
  <c r="T74" i="9"/>
  <c r="F74" i="9"/>
  <c r="E74" i="9"/>
  <c r="D74" i="9"/>
  <c r="BR72" i="9"/>
  <c r="BD72" i="9"/>
  <c r="BC72" i="9"/>
  <c r="BB72" i="9"/>
  <c r="AS69" i="9"/>
  <c r="AE69" i="9"/>
  <c r="AD69" i="9"/>
  <c r="AC69" i="9"/>
  <c r="T66" i="9"/>
  <c r="F66" i="9"/>
  <c r="E66" i="9"/>
  <c r="D66" i="9"/>
  <c r="BR71" i="9"/>
  <c r="BD71" i="9"/>
  <c r="BC71" i="9"/>
  <c r="BB71" i="9"/>
  <c r="AS66" i="9"/>
  <c r="AE66" i="9"/>
  <c r="AD66" i="9"/>
  <c r="AC66" i="9"/>
  <c r="T69" i="9"/>
  <c r="F69" i="9"/>
  <c r="E69" i="9"/>
  <c r="D69" i="9"/>
  <c r="BR74" i="9"/>
  <c r="BD74" i="9"/>
  <c r="BC74" i="9"/>
  <c r="BB74" i="9"/>
  <c r="AS70" i="9"/>
  <c r="AE70" i="9"/>
  <c r="AD70" i="9"/>
  <c r="AC70" i="9"/>
  <c r="T67" i="9"/>
  <c r="F67" i="9"/>
  <c r="E67" i="9"/>
  <c r="D67" i="9"/>
  <c r="BR66" i="9"/>
  <c r="BD66" i="9"/>
  <c r="BC66" i="9"/>
  <c r="BB66" i="9"/>
  <c r="AS74" i="9"/>
  <c r="AE74" i="9"/>
  <c r="AD74" i="9"/>
  <c r="AC74" i="9"/>
  <c r="T70" i="9"/>
  <c r="F70" i="9"/>
  <c r="E70" i="9"/>
  <c r="D70" i="9"/>
  <c r="BR69" i="9"/>
  <c r="BD69" i="9"/>
  <c r="BC69" i="9"/>
  <c r="BB69" i="9"/>
  <c r="AS72" i="9"/>
  <c r="AE72" i="9"/>
  <c r="AD72" i="9"/>
  <c r="AC72" i="9"/>
  <c r="T71" i="9"/>
  <c r="F71" i="9"/>
  <c r="E71" i="9"/>
  <c r="D71" i="9"/>
  <c r="BR73" i="9"/>
  <c r="BD73" i="9"/>
  <c r="BC73" i="9"/>
  <c r="BB73" i="9"/>
  <c r="AS73" i="9"/>
  <c r="AE73" i="9"/>
  <c r="AD73" i="9"/>
  <c r="AC73" i="9"/>
  <c r="T68" i="9"/>
  <c r="F68" i="9"/>
  <c r="E68" i="9"/>
  <c r="D68" i="9"/>
  <c r="BR67" i="9"/>
  <c r="BD67" i="9"/>
  <c r="BC67" i="9"/>
  <c r="BB67" i="9"/>
  <c r="AS67" i="9"/>
  <c r="AE67" i="9"/>
  <c r="AD67" i="9"/>
  <c r="AC67" i="9"/>
  <c r="T72" i="9"/>
  <c r="F72" i="9"/>
  <c r="E72" i="9"/>
  <c r="D72" i="9"/>
  <c r="BR68" i="9"/>
  <c r="BD68" i="9"/>
  <c r="BC68" i="9"/>
  <c r="BB68" i="9"/>
  <c r="AS68" i="9"/>
  <c r="AE68" i="9"/>
  <c r="AD68" i="9"/>
  <c r="AC68" i="9"/>
  <c r="T73" i="9"/>
  <c r="F73" i="9"/>
  <c r="E73" i="9"/>
  <c r="D73" i="9"/>
  <c r="BP62" i="9"/>
  <c r="BO62" i="9"/>
  <c r="BN62" i="9"/>
  <c r="BM62" i="9"/>
  <c r="BK62" i="9"/>
  <c r="BJ62" i="9"/>
  <c r="BI62" i="9"/>
  <c r="BH62" i="9"/>
  <c r="BG62" i="9"/>
  <c r="BF62" i="9"/>
  <c r="BD62" i="9"/>
  <c r="BC62" i="9"/>
  <c r="AQ62" i="9"/>
  <c r="AP62" i="9"/>
  <c r="AO62" i="9"/>
  <c r="AN62" i="9"/>
  <c r="AL62" i="9"/>
  <c r="AK62" i="9"/>
  <c r="AJ62" i="9"/>
  <c r="AI62" i="9"/>
  <c r="AH62" i="9"/>
  <c r="AG62" i="9"/>
  <c r="AE62" i="9"/>
  <c r="AD62" i="9"/>
  <c r="R62" i="9"/>
  <c r="Q62" i="9"/>
  <c r="P62" i="9"/>
  <c r="O62" i="9"/>
  <c r="M62" i="9"/>
  <c r="L62" i="9"/>
  <c r="K62" i="9"/>
  <c r="J62" i="9"/>
  <c r="I62" i="9"/>
  <c r="H62" i="9"/>
  <c r="F62" i="9"/>
  <c r="E62" i="9"/>
  <c r="BL61" i="9"/>
  <c r="BB61" i="9"/>
  <c r="AM61" i="9"/>
  <c r="AC61" i="9"/>
  <c r="N61" i="9"/>
  <c r="N122" i="20" s="1"/>
  <c r="D61" i="9"/>
  <c r="D122" i="20" s="1"/>
  <c r="BL58" i="9"/>
  <c r="BB58" i="9"/>
  <c r="AM58" i="9"/>
  <c r="AC58" i="9"/>
  <c r="N58" i="9"/>
  <c r="N119" i="20" s="1"/>
  <c r="D58" i="9"/>
  <c r="D119" i="20" s="1"/>
  <c r="BL60" i="9"/>
  <c r="BB60" i="9"/>
  <c r="AM60" i="9"/>
  <c r="AC60" i="9"/>
  <c r="N60" i="9"/>
  <c r="N121" i="20" s="1"/>
  <c r="D60" i="9"/>
  <c r="D121" i="20" s="1"/>
  <c r="BL59" i="9"/>
  <c r="BB59" i="9"/>
  <c r="AM59" i="9"/>
  <c r="AC59" i="9"/>
  <c r="N59" i="9"/>
  <c r="N120" i="20" s="1"/>
  <c r="D59" i="9"/>
  <c r="D120" i="20" s="1"/>
  <c r="BL57" i="9"/>
  <c r="BB57" i="9"/>
  <c r="AM57" i="9"/>
  <c r="AC57" i="9"/>
  <c r="N56" i="9"/>
  <c r="N117" i="20" s="1"/>
  <c r="D56" i="9"/>
  <c r="D117" i="20" s="1"/>
  <c r="BL56" i="9"/>
  <c r="BB56" i="9"/>
  <c r="AM56" i="9"/>
  <c r="AC56" i="9"/>
  <c r="N57" i="9"/>
  <c r="N118" i="20" s="1"/>
  <c r="D57" i="9"/>
  <c r="D118" i="20" s="1"/>
  <c r="BL55" i="9"/>
  <c r="BB55" i="9"/>
  <c r="AM55" i="9"/>
  <c r="AC55" i="9"/>
  <c r="N55" i="9"/>
  <c r="N116" i="20" s="1"/>
  <c r="D55" i="9"/>
  <c r="D116" i="20" s="1"/>
  <c r="BL54" i="9"/>
  <c r="BB54" i="9"/>
  <c r="AM54" i="9"/>
  <c r="AC54" i="9"/>
  <c r="N54" i="9"/>
  <c r="N115" i="20" s="1"/>
  <c r="D54" i="9"/>
  <c r="D115" i="20" s="1"/>
  <c r="BL53" i="9"/>
  <c r="BB53" i="9"/>
  <c r="AM53" i="9"/>
  <c r="AC53" i="9"/>
  <c r="N53" i="9"/>
  <c r="N114" i="20" s="1"/>
  <c r="D53" i="9"/>
  <c r="D114" i="20" s="1"/>
  <c r="BL52" i="9"/>
  <c r="BB52" i="9"/>
  <c r="AM52" i="9"/>
  <c r="AC52" i="9"/>
  <c r="N52" i="9"/>
  <c r="N113" i="20" s="1"/>
  <c r="D52" i="9"/>
  <c r="D113" i="20" s="1"/>
  <c r="BT49" i="9"/>
  <c r="BO49" i="9"/>
  <c r="BN49" i="9"/>
  <c r="BM49" i="9"/>
  <c r="BL49" i="9"/>
  <c r="BK49" i="9"/>
  <c r="BJ49" i="9"/>
  <c r="BI49" i="9"/>
  <c r="BH49" i="9"/>
  <c r="BG49" i="9"/>
  <c r="BF49" i="9"/>
  <c r="AU49" i="9"/>
  <c r="AP49" i="9"/>
  <c r="AO49" i="9"/>
  <c r="AN49" i="9"/>
  <c r="AM49" i="9"/>
  <c r="AL49" i="9"/>
  <c r="AK49" i="9"/>
  <c r="AJ49" i="9"/>
  <c r="AI49" i="9"/>
  <c r="AH49" i="9"/>
  <c r="AG49" i="9"/>
  <c r="V49" i="9"/>
  <c r="Q49" i="9"/>
  <c r="P49" i="9"/>
  <c r="O49" i="9"/>
  <c r="N49" i="9"/>
  <c r="M49" i="9"/>
  <c r="L49" i="9"/>
  <c r="K49" i="9"/>
  <c r="J49" i="9"/>
  <c r="I49" i="9"/>
  <c r="Q22" i="3" s="1"/>
  <c r="H49" i="9"/>
  <c r="BR45" i="9"/>
  <c r="BD45" i="9"/>
  <c r="BC45" i="9"/>
  <c r="BB45" i="9"/>
  <c r="AS44" i="9"/>
  <c r="AE44" i="9"/>
  <c r="AD44" i="9"/>
  <c r="AC44" i="9"/>
  <c r="T48" i="9"/>
  <c r="T170" i="18" s="1"/>
  <c r="F48" i="9"/>
  <c r="F170" i="18" s="1"/>
  <c r="E48" i="9"/>
  <c r="E170" i="18" s="1"/>
  <c r="D48" i="9"/>
  <c r="D170" i="18" s="1"/>
  <c r="BR44" i="9"/>
  <c r="BD44" i="9"/>
  <c r="BC44" i="9"/>
  <c r="BB44" i="9"/>
  <c r="AS45" i="9"/>
  <c r="AE45" i="9"/>
  <c r="AD45" i="9"/>
  <c r="AC45" i="9"/>
  <c r="T46" i="9"/>
  <c r="T168" i="18" s="1"/>
  <c r="F46" i="9"/>
  <c r="F168" i="18" s="1"/>
  <c r="E46" i="9"/>
  <c r="E168" i="18" s="1"/>
  <c r="D46" i="9"/>
  <c r="D168" i="18" s="1"/>
  <c r="BR46" i="9"/>
  <c r="BD46" i="9"/>
  <c r="BC46" i="9"/>
  <c r="BB46" i="9"/>
  <c r="AS47" i="9"/>
  <c r="AE47" i="9"/>
  <c r="AD47" i="9"/>
  <c r="AC47" i="9"/>
  <c r="T44" i="9"/>
  <c r="T166" i="18" s="1"/>
  <c r="F44" i="9"/>
  <c r="F166" i="18" s="1"/>
  <c r="E44" i="9"/>
  <c r="E166" i="18" s="1"/>
  <c r="D44" i="9"/>
  <c r="D166" i="18" s="1"/>
  <c r="BR48" i="9"/>
  <c r="BD48" i="9"/>
  <c r="BC48" i="9"/>
  <c r="BB48" i="9"/>
  <c r="AS46" i="9"/>
  <c r="AE46" i="9"/>
  <c r="AD46" i="9"/>
  <c r="AC46" i="9"/>
  <c r="T47" i="9"/>
  <c r="T169" i="18" s="1"/>
  <c r="F47" i="9"/>
  <c r="F169" i="18" s="1"/>
  <c r="E47" i="9"/>
  <c r="E169" i="18" s="1"/>
  <c r="D47" i="9"/>
  <c r="D169" i="18" s="1"/>
  <c r="BR38" i="9"/>
  <c r="BD38" i="9"/>
  <c r="BC38" i="9"/>
  <c r="BB38" i="9"/>
  <c r="AS48" i="9"/>
  <c r="AE48" i="9"/>
  <c r="AD48" i="9"/>
  <c r="AC48" i="9"/>
  <c r="T43" i="9"/>
  <c r="T165" i="18" s="1"/>
  <c r="F43" i="9"/>
  <c r="F165" i="18" s="1"/>
  <c r="E43" i="9"/>
  <c r="E165" i="18" s="1"/>
  <c r="D43" i="9"/>
  <c r="D165" i="18" s="1"/>
  <c r="BR47" i="9"/>
  <c r="BD47" i="9"/>
  <c r="BC47" i="9"/>
  <c r="BB47" i="9"/>
  <c r="AS43" i="9"/>
  <c r="AE43" i="9"/>
  <c r="AD43" i="9"/>
  <c r="AC43" i="9"/>
  <c r="T45" i="9"/>
  <c r="T167" i="18" s="1"/>
  <c r="F45" i="9"/>
  <c r="F167" i="18" s="1"/>
  <c r="E45" i="9"/>
  <c r="E167" i="18" s="1"/>
  <c r="D45" i="9"/>
  <c r="D167" i="18" s="1"/>
  <c r="BR40" i="9"/>
  <c r="BD40" i="9"/>
  <c r="BC40" i="9"/>
  <c r="BB40" i="9"/>
  <c r="AS36" i="9"/>
  <c r="AE36" i="9"/>
  <c r="AD36" i="9"/>
  <c r="AC36" i="9"/>
  <c r="T40" i="9"/>
  <c r="T162" i="18" s="1"/>
  <c r="F40" i="9"/>
  <c r="F162" i="18" s="1"/>
  <c r="E40" i="9"/>
  <c r="E162" i="18" s="1"/>
  <c r="D40" i="9"/>
  <c r="D162" i="18" s="1"/>
  <c r="BR41" i="9"/>
  <c r="BD41" i="9"/>
  <c r="BC41" i="9"/>
  <c r="BB41" i="9"/>
  <c r="AS38" i="9"/>
  <c r="AE38" i="9"/>
  <c r="AD38" i="9"/>
  <c r="AC38" i="9"/>
  <c r="T41" i="9"/>
  <c r="T163" i="18" s="1"/>
  <c r="F41" i="9"/>
  <c r="F163" i="18" s="1"/>
  <c r="E41" i="9"/>
  <c r="E163" i="18" s="1"/>
  <c r="D41" i="9"/>
  <c r="D163" i="18" s="1"/>
  <c r="BR43" i="9"/>
  <c r="BD43" i="9"/>
  <c r="BC43" i="9"/>
  <c r="BB43" i="9"/>
  <c r="AS35" i="9"/>
  <c r="AE35" i="9"/>
  <c r="AD35" i="9"/>
  <c r="AC35" i="9"/>
  <c r="T37" i="9"/>
  <c r="T159" i="18" s="1"/>
  <c r="F37" i="9"/>
  <c r="F159" i="18" s="1"/>
  <c r="E37" i="9"/>
  <c r="E159" i="18" s="1"/>
  <c r="D37" i="9"/>
  <c r="D159" i="18" s="1"/>
  <c r="BR36" i="9"/>
  <c r="BD36" i="9"/>
  <c r="BC36" i="9"/>
  <c r="BB36" i="9"/>
  <c r="AS40" i="9"/>
  <c r="AE40" i="9"/>
  <c r="AD40" i="9"/>
  <c r="AC40" i="9"/>
  <c r="T35" i="9"/>
  <c r="T157" i="18" s="1"/>
  <c r="F35" i="9"/>
  <c r="F157" i="18" s="1"/>
  <c r="E35" i="9"/>
  <c r="E157" i="18" s="1"/>
  <c r="D35" i="9"/>
  <c r="D157" i="18" s="1"/>
  <c r="BR39" i="9"/>
  <c r="BD39" i="9"/>
  <c r="BC39" i="9"/>
  <c r="BB39" i="9"/>
  <c r="AS37" i="9"/>
  <c r="AE37" i="9"/>
  <c r="AD37" i="9"/>
  <c r="AC37" i="9"/>
  <c r="T38" i="9"/>
  <c r="T160" i="18" s="1"/>
  <c r="F38" i="9"/>
  <c r="F160" i="18" s="1"/>
  <c r="E38" i="9"/>
  <c r="E160" i="18" s="1"/>
  <c r="D38" i="9"/>
  <c r="D160" i="18" s="1"/>
  <c r="BR35" i="9"/>
  <c r="BD35" i="9"/>
  <c r="BC35" i="9"/>
  <c r="BB35" i="9"/>
  <c r="AS41" i="9"/>
  <c r="AE41" i="9"/>
  <c r="AD41" i="9"/>
  <c r="AC41" i="9"/>
  <c r="T42" i="9"/>
  <c r="T164" i="18" s="1"/>
  <c r="F42" i="9"/>
  <c r="F164" i="18" s="1"/>
  <c r="E42" i="9"/>
  <c r="E164" i="18" s="1"/>
  <c r="D42" i="9"/>
  <c r="D164" i="18" s="1"/>
  <c r="BR42" i="9"/>
  <c r="BD42" i="9"/>
  <c r="BC42" i="9"/>
  <c r="BB42" i="9"/>
  <c r="AS39" i="9"/>
  <c r="AE39" i="9"/>
  <c r="AD39" i="9"/>
  <c r="AC39" i="9"/>
  <c r="T36" i="9"/>
  <c r="T158" i="18" s="1"/>
  <c r="F36" i="9"/>
  <c r="F158" i="18" s="1"/>
  <c r="E36" i="9"/>
  <c r="E158" i="18" s="1"/>
  <c r="D36" i="9"/>
  <c r="D158" i="18" s="1"/>
  <c r="BR37" i="9"/>
  <c r="BD37" i="9"/>
  <c r="BC37" i="9"/>
  <c r="BB37" i="9"/>
  <c r="AS42" i="9"/>
  <c r="AE42" i="9"/>
  <c r="AD42" i="9"/>
  <c r="AC42" i="9"/>
  <c r="T39" i="9"/>
  <c r="T161" i="18" s="1"/>
  <c r="F39" i="9"/>
  <c r="F161" i="18" s="1"/>
  <c r="E39" i="9"/>
  <c r="E161" i="18" s="1"/>
  <c r="D39" i="9"/>
  <c r="D161" i="18" s="1"/>
  <c r="BP31" i="9"/>
  <c r="BO31" i="9"/>
  <c r="BN31" i="9"/>
  <c r="BM31" i="9"/>
  <c r="BK31" i="9"/>
  <c r="BJ31" i="9"/>
  <c r="BI31" i="9"/>
  <c r="BH31" i="9"/>
  <c r="BG31" i="9"/>
  <c r="BF31" i="9"/>
  <c r="BD31" i="9"/>
  <c r="AV32" i="3" s="1"/>
  <c r="BC31" i="9"/>
  <c r="AQ31" i="9"/>
  <c r="AP31" i="9"/>
  <c r="AO31" i="9"/>
  <c r="AN31" i="9"/>
  <c r="AL31" i="9"/>
  <c r="AK31" i="9"/>
  <c r="AJ31" i="9"/>
  <c r="AI31" i="9"/>
  <c r="AH31" i="9"/>
  <c r="AG31" i="9"/>
  <c r="AE31" i="9"/>
  <c r="AD31" i="9"/>
  <c r="R31" i="9"/>
  <c r="Q31" i="9"/>
  <c r="P31" i="9"/>
  <c r="O31" i="9"/>
  <c r="M31" i="9"/>
  <c r="L31" i="9"/>
  <c r="K31" i="9"/>
  <c r="J31" i="9"/>
  <c r="G45" i="3" s="1"/>
  <c r="I31" i="9"/>
  <c r="H31" i="9"/>
  <c r="F31" i="9"/>
  <c r="O25" i="3" s="1"/>
  <c r="E31" i="9"/>
  <c r="BL30" i="9"/>
  <c r="BB30" i="9"/>
  <c r="AM30" i="9"/>
  <c r="AC30" i="9"/>
  <c r="N30" i="9"/>
  <c r="N112" i="20" s="1"/>
  <c r="D30" i="9"/>
  <c r="D112" i="20" s="1"/>
  <c r="BL26" i="9"/>
  <c r="BB26" i="9"/>
  <c r="AM27" i="9"/>
  <c r="AC27" i="9"/>
  <c r="N29" i="9"/>
  <c r="N111" i="20" s="1"/>
  <c r="D29" i="9"/>
  <c r="D111" i="20" s="1"/>
  <c r="BL27" i="9"/>
  <c r="BB27" i="9"/>
  <c r="AM28" i="9"/>
  <c r="AC28" i="9"/>
  <c r="N28" i="9"/>
  <c r="N110" i="20" s="1"/>
  <c r="D28" i="9"/>
  <c r="D110" i="20" s="1"/>
  <c r="BL29" i="9"/>
  <c r="BB29" i="9"/>
  <c r="AM29" i="9"/>
  <c r="AC29" i="9"/>
  <c r="N26" i="9"/>
  <c r="N108" i="20" s="1"/>
  <c r="D26" i="9"/>
  <c r="D108" i="20" s="1"/>
  <c r="BL28" i="9"/>
  <c r="BB28" i="9"/>
  <c r="AM25" i="9"/>
  <c r="AC25" i="9"/>
  <c r="N27" i="9"/>
  <c r="N109" i="20" s="1"/>
  <c r="D27" i="9"/>
  <c r="D109" i="20" s="1"/>
  <c r="BL25" i="9"/>
  <c r="BB25" i="9"/>
  <c r="AM26" i="9"/>
  <c r="AC26" i="9"/>
  <c r="N25" i="9"/>
  <c r="N107" i="20" s="1"/>
  <c r="D25" i="9"/>
  <c r="D107" i="20" s="1"/>
  <c r="BL24" i="9"/>
  <c r="BB24" i="9"/>
  <c r="AM24" i="9"/>
  <c r="AC24" i="9"/>
  <c r="N24" i="9"/>
  <c r="N106" i="20" s="1"/>
  <c r="D24" i="9"/>
  <c r="D106" i="20" s="1"/>
  <c r="BL23" i="9"/>
  <c r="BB23" i="9"/>
  <c r="AM23" i="9"/>
  <c r="AC23" i="9"/>
  <c r="N23" i="9"/>
  <c r="N105" i="20" s="1"/>
  <c r="D23" i="9"/>
  <c r="D105" i="20" s="1"/>
  <c r="BL22" i="9"/>
  <c r="BB22" i="9"/>
  <c r="AM22" i="9"/>
  <c r="AC22" i="9"/>
  <c r="N22" i="9"/>
  <c r="N104" i="20" s="1"/>
  <c r="D22" i="9"/>
  <c r="D104" i="20" s="1"/>
  <c r="BL21" i="9"/>
  <c r="BB21" i="9"/>
  <c r="AM21" i="9"/>
  <c r="AC21" i="9"/>
  <c r="N21" i="9"/>
  <c r="N103" i="20" s="1"/>
  <c r="D21" i="9"/>
  <c r="D103" i="20" s="1"/>
  <c r="BT18" i="9"/>
  <c r="BO18" i="9"/>
  <c r="BN18" i="9"/>
  <c r="BM18" i="9"/>
  <c r="BL18" i="9"/>
  <c r="BK18" i="9"/>
  <c r="BJ18" i="9"/>
  <c r="BI18" i="9"/>
  <c r="BH18" i="9"/>
  <c r="BG18" i="9"/>
  <c r="AX32" i="3" s="1"/>
  <c r="BF18" i="9"/>
  <c r="AU18" i="9"/>
  <c r="AP18" i="9"/>
  <c r="AO18" i="9"/>
  <c r="AN18" i="9"/>
  <c r="AM18" i="9"/>
  <c r="AL18" i="9"/>
  <c r="AK18" i="9"/>
  <c r="AJ18" i="9"/>
  <c r="AI18" i="9"/>
  <c r="AH18" i="9"/>
  <c r="AG18" i="9"/>
  <c r="V18" i="9"/>
  <c r="Q18" i="9"/>
  <c r="P18" i="9"/>
  <c r="O18" i="9"/>
  <c r="N18" i="9"/>
  <c r="M18" i="9"/>
  <c r="L18" i="9"/>
  <c r="K18" i="9"/>
  <c r="J18" i="9"/>
  <c r="I18" i="9"/>
  <c r="Q25" i="3" s="1"/>
  <c r="H18" i="9"/>
  <c r="BR13" i="9"/>
  <c r="BD13" i="9"/>
  <c r="BC13" i="9"/>
  <c r="BB13" i="9"/>
  <c r="AS14" i="9"/>
  <c r="AE14" i="9"/>
  <c r="AD14" i="9"/>
  <c r="AC14" i="9"/>
  <c r="T14" i="9"/>
  <c r="T153" i="18" s="1"/>
  <c r="F14" i="9"/>
  <c r="F153" i="18" s="1"/>
  <c r="E14" i="9"/>
  <c r="E153" i="18" s="1"/>
  <c r="D14" i="9"/>
  <c r="D153" i="18" s="1"/>
  <c r="BR15" i="9"/>
  <c r="BD15" i="9"/>
  <c r="BC15" i="9"/>
  <c r="BB15" i="9"/>
  <c r="AS16" i="9"/>
  <c r="AE16" i="9"/>
  <c r="AD16" i="9"/>
  <c r="AC16" i="9"/>
  <c r="T17" i="9"/>
  <c r="T156" i="18" s="1"/>
  <c r="F17" i="9"/>
  <c r="F156" i="18" s="1"/>
  <c r="E17" i="9"/>
  <c r="E156" i="18" s="1"/>
  <c r="D17" i="9"/>
  <c r="D156" i="18" s="1"/>
  <c r="BR17" i="9"/>
  <c r="BD17" i="9"/>
  <c r="BC17" i="9"/>
  <c r="BB17" i="9"/>
  <c r="AS17" i="9"/>
  <c r="AE17" i="9"/>
  <c r="AD17" i="9"/>
  <c r="AC17" i="9"/>
  <c r="T15" i="9"/>
  <c r="T154" i="18" s="1"/>
  <c r="F15" i="9"/>
  <c r="F154" i="18" s="1"/>
  <c r="E15" i="9"/>
  <c r="E154" i="18" s="1"/>
  <c r="D15" i="9"/>
  <c r="D154" i="18" s="1"/>
  <c r="BR16" i="9"/>
  <c r="BD16" i="9"/>
  <c r="BC16" i="9"/>
  <c r="BB16" i="9"/>
  <c r="AS15" i="9"/>
  <c r="AE15" i="9"/>
  <c r="AD15" i="9"/>
  <c r="AC15" i="9"/>
  <c r="T13" i="9"/>
  <c r="T152" i="18" s="1"/>
  <c r="F13" i="9"/>
  <c r="F152" i="18" s="1"/>
  <c r="E13" i="9"/>
  <c r="E152" i="18" s="1"/>
  <c r="D13" i="9"/>
  <c r="D152" i="18" s="1"/>
  <c r="BR14" i="9"/>
  <c r="BD14" i="9"/>
  <c r="BC14" i="9"/>
  <c r="BB14" i="9"/>
  <c r="AS13" i="9"/>
  <c r="AE13" i="9"/>
  <c r="AD13" i="9"/>
  <c r="AC13" i="9"/>
  <c r="T16" i="9"/>
  <c r="T155" i="18" s="1"/>
  <c r="F16" i="9"/>
  <c r="F155" i="18" s="1"/>
  <c r="E16" i="9"/>
  <c r="E155" i="18" s="1"/>
  <c r="D16" i="9"/>
  <c r="D155" i="18" s="1"/>
  <c r="BR7" i="9"/>
  <c r="BD7" i="9"/>
  <c r="BC7" i="9"/>
  <c r="BB7" i="9"/>
  <c r="AS6" i="9"/>
  <c r="AE6" i="9"/>
  <c r="AD6" i="9"/>
  <c r="AC6" i="9"/>
  <c r="T9" i="9"/>
  <c r="T148" i="18" s="1"/>
  <c r="F9" i="9"/>
  <c r="F148" i="18" s="1"/>
  <c r="E9" i="9"/>
  <c r="E148" i="18" s="1"/>
  <c r="D9" i="9"/>
  <c r="D148" i="18" s="1"/>
  <c r="BR11" i="9"/>
  <c r="BD11" i="9"/>
  <c r="BC11" i="9"/>
  <c r="BB11" i="9"/>
  <c r="AS8" i="9"/>
  <c r="AE8" i="9"/>
  <c r="AD8" i="9"/>
  <c r="AC8" i="9"/>
  <c r="T7" i="9"/>
  <c r="T146" i="18" s="1"/>
  <c r="F7" i="9"/>
  <c r="F146" i="18" s="1"/>
  <c r="E7" i="9"/>
  <c r="E146" i="18" s="1"/>
  <c r="D7" i="9"/>
  <c r="D146" i="18" s="1"/>
  <c r="BR6" i="9"/>
  <c r="BD6" i="9"/>
  <c r="BC6" i="9"/>
  <c r="BB6" i="9"/>
  <c r="AS11" i="9"/>
  <c r="AE11" i="9"/>
  <c r="AD11" i="9"/>
  <c r="AC11" i="9"/>
  <c r="T12" i="9"/>
  <c r="T151" i="18" s="1"/>
  <c r="F12" i="9"/>
  <c r="F151" i="18" s="1"/>
  <c r="E12" i="9"/>
  <c r="E151" i="18" s="1"/>
  <c r="D12" i="9"/>
  <c r="D151" i="18" s="1"/>
  <c r="BR5" i="9"/>
  <c r="BD5" i="9"/>
  <c r="BC5" i="9"/>
  <c r="BB5" i="9"/>
  <c r="AS7" i="9"/>
  <c r="AE7" i="9"/>
  <c r="AD7" i="9"/>
  <c r="AC7" i="9"/>
  <c r="T4" i="9"/>
  <c r="T143" i="18" s="1"/>
  <c r="F4" i="9"/>
  <c r="F143" i="18" s="1"/>
  <c r="E4" i="9"/>
  <c r="E143" i="18" s="1"/>
  <c r="D4" i="9"/>
  <c r="D143" i="18" s="1"/>
  <c r="BR4" i="9"/>
  <c r="BD4" i="9"/>
  <c r="BC4" i="9"/>
  <c r="BB4" i="9"/>
  <c r="AS10" i="9"/>
  <c r="AE10" i="9"/>
  <c r="AD10" i="9"/>
  <c r="AC10" i="9"/>
  <c r="T11" i="9"/>
  <c r="T150" i="18" s="1"/>
  <c r="F11" i="9"/>
  <c r="F150" i="18" s="1"/>
  <c r="E11" i="9"/>
  <c r="E150" i="18" s="1"/>
  <c r="D11" i="9"/>
  <c r="D150" i="18" s="1"/>
  <c r="BR8" i="9"/>
  <c r="BD8" i="9"/>
  <c r="BC8" i="9"/>
  <c r="BB8" i="9"/>
  <c r="AS4" i="9"/>
  <c r="AE4" i="9"/>
  <c r="AD4" i="9"/>
  <c r="AC4" i="9"/>
  <c r="T8" i="9"/>
  <c r="T147" i="18" s="1"/>
  <c r="F8" i="9"/>
  <c r="F147" i="18" s="1"/>
  <c r="E8" i="9"/>
  <c r="E147" i="18" s="1"/>
  <c r="D8" i="9"/>
  <c r="D147" i="18" s="1"/>
  <c r="BR12" i="9"/>
  <c r="BD12" i="9"/>
  <c r="BC12" i="9"/>
  <c r="BB12" i="9"/>
  <c r="AS12" i="9"/>
  <c r="AE12" i="9"/>
  <c r="AD12" i="9"/>
  <c r="AC12" i="9"/>
  <c r="T10" i="9"/>
  <c r="T149" i="18" s="1"/>
  <c r="F10" i="9"/>
  <c r="F149" i="18" s="1"/>
  <c r="E10" i="9"/>
  <c r="E149" i="18" s="1"/>
  <c r="D10" i="9"/>
  <c r="D149" i="18" s="1"/>
  <c r="BR10" i="9"/>
  <c r="BD10" i="9"/>
  <c r="BC10" i="9"/>
  <c r="BB10" i="9"/>
  <c r="AS9" i="9"/>
  <c r="AE9" i="9"/>
  <c r="AD9" i="9"/>
  <c r="AC9" i="9"/>
  <c r="T5" i="9"/>
  <c r="T144" i="18" s="1"/>
  <c r="F5" i="9"/>
  <c r="F144" i="18" s="1"/>
  <c r="E5" i="9"/>
  <c r="E144" i="18" s="1"/>
  <c r="D5" i="9"/>
  <c r="D144" i="18" s="1"/>
  <c r="BR9" i="9"/>
  <c r="BD9" i="9"/>
  <c r="BC9" i="9"/>
  <c r="BB9" i="9"/>
  <c r="AS5" i="9"/>
  <c r="AE5" i="9"/>
  <c r="AD5" i="9"/>
  <c r="AC5" i="9"/>
  <c r="T6" i="9"/>
  <c r="T145" i="18" s="1"/>
  <c r="F6" i="9"/>
  <c r="F145" i="18" s="1"/>
  <c r="E6" i="9"/>
  <c r="E145" i="18" s="1"/>
  <c r="D6" i="9"/>
  <c r="D145" i="18" s="1"/>
  <c r="BP218" i="8"/>
  <c r="BO218" i="8"/>
  <c r="BN218" i="8"/>
  <c r="BM218" i="8"/>
  <c r="BK218" i="8"/>
  <c r="BJ218" i="8"/>
  <c r="BI218" i="8"/>
  <c r="BH218" i="8"/>
  <c r="BG218" i="8"/>
  <c r="BF218" i="8"/>
  <c r="BD218" i="8"/>
  <c r="BC218" i="8"/>
  <c r="AQ218" i="8"/>
  <c r="AP218" i="8"/>
  <c r="AO218" i="8"/>
  <c r="AN218" i="8"/>
  <c r="AL218" i="8"/>
  <c r="AK218" i="8"/>
  <c r="AJ218" i="8"/>
  <c r="AI218" i="8"/>
  <c r="AH218" i="8"/>
  <c r="AG218" i="8"/>
  <c r="AE218" i="8"/>
  <c r="AD218" i="8"/>
  <c r="BL217" i="8"/>
  <c r="BB217" i="8"/>
  <c r="AM217" i="8"/>
  <c r="AC217" i="8"/>
  <c r="BL216" i="8"/>
  <c r="BB216" i="8"/>
  <c r="AM214" i="8"/>
  <c r="AC214" i="8"/>
  <c r="BL215" i="8"/>
  <c r="BB215" i="8"/>
  <c r="AM215" i="8"/>
  <c r="AC215" i="8"/>
  <c r="BL212" i="8"/>
  <c r="BB212" i="8"/>
  <c r="AM216" i="8"/>
  <c r="AC216" i="8"/>
  <c r="BL213" i="8"/>
  <c r="BB213" i="8"/>
  <c r="AM213" i="8"/>
  <c r="AC213" i="8"/>
  <c r="BL214" i="8"/>
  <c r="BB214" i="8"/>
  <c r="AM212" i="8"/>
  <c r="AC212" i="8"/>
  <c r="BL211" i="8"/>
  <c r="BB211" i="8"/>
  <c r="AM211" i="8"/>
  <c r="AC211" i="8"/>
  <c r="BL210" i="8"/>
  <c r="BB210" i="8"/>
  <c r="AM210" i="8"/>
  <c r="AC210" i="8"/>
  <c r="BL209" i="8"/>
  <c r="BB209" i="8"/>
  <c r="AM209" i="8"/>
  <c r="AC209" i="8"/>
  <c r="BL208" i="8"/>
  <c r="BB208" i="8"/>
  <c r="AM208" i="8"/>
  <c r="AC208" i="8"/>
  <c r="BT205" i="8"/>
  <c r="BO205" i="8"/>
  <c r="BN205" i="8"/>
  <c r="BM205" i="8"/>
  <c r="BL205" i="8"/>
  <c r="BK205" i="8"/>
  <c r="BJ205" i="8"/>
  <c r="BI205" i="8"/>
  <c r="BH205" i="8"/>
  <c r="BG205" i="8"/>
  <c r="BF205" i="8"/>
  <c r="AU205" i="8"/>
  <c r="AP205" i="8"/>
  <c r="AO205" i="8"/>
  <c r="AN205" i="8"/>
  <c r="AM205" i="8"/>
  <c r="AL205" i="8"/>
  <c r="AK205" i="8"/>
  <c r="AJ205" i="8"/>
  <c r="AI205" i="8"/>
  <c r="AH205" i="8"/>
  <c r="AG205" i="8"/>
  <c r="BR204" i="8"/>
  <c r="BD204" i="8"/>
  <c r="BC204" i="8"/>
  <c r="BB204" i="8"/>
  <c r="AS203" i="8"/>
  <c r="AE203" i="8"/>
  <c r="AD203" i="8"/>
  <c r="AC203" i="8"/>
  <c r="BR203" i="8"/>
  <c r="BD203" i="8"/>
  <c r="BC203" i="8"/>
  <c r="BB203" i="8"/>
  <c r="AS204" i="8"/>
  <c r="AE204" i="8"/>
  <c r="AD204" i="8"/>
  <c r="AC204" i="8"/>
  <c r="BR202" i="8"/>
  <c r="BD202" i="8"/>
  <c r="BC202" i="8"/>
  <c r="BB202" i="8"/>
  <c r="AS202" i="8"/>
  <c r="AE202" i="8"/>
  <c r="AD202" i="8"/>
  <c r="AC202" i="8"/>
  <c r="BR200" i="8"/>
  <c r="BD200" i="8"/>
  <c r="BC200" i="8"/>
  <c r="BB200" i="8"/>
  <c r="AS201" i="8"/>
  <c r="AE201" i="8"/>
  <c r="AD201" i="8"/>
  <c r="AC201" i="8"/>
  <c r="BR201" i="8"/>
  <c r="BD201" i="8"/>
  <c r="BC201" i="8"/>
  <c r="BB201" i="8"/>
  <c r="AS200" i="8"/>
  <c r="AE200" i="8"/>
  <c r="AD200" i="8"/>
  <c r="AC200" i="8"/>
  <c r="BR193" i="8"/>
  <c r="BD193" i="8"/>
  <c r="BC193" i="8"/>
  <c r="BB193" i="8"/>
  <c r="AS199" i="8"/>
  <c r="AE199" i="8"/>
  <c r="AD199" i="8"/>
  <c r="AC199" i="8"/>
  <c r="BR194" i="8"/>
  <c r="BD194" i="8"/>
  <c r="BC194" i="8"/>
  <c r="BB194" i="8"/>
  <c r="AS195" i="8"/>
  <c r="AE195" i="8"/>
  <c r="AD195" i="8"/>
  <c r="AC195" i="8"/>
  <c r="BR197" i="8"/>
  <c r="BD197" i="8"/>
  <c r="BC197" i="8"/>
  <c r="BB197" i="8"/>
  <c r="AS198" i="8"/>
  <c r="AE198" i="8"/>
  <c r="AD198" i="8"/>
  <c r="AC198" i="8"/>
  <c r="BR191" i="8"/>
  <c r="BD191" i="8"/>
  <c r="BC191" i="8"/>
  <c r="BB191" i="8"/>
  <c r="AS191" i="8"/>
  <c r="AE191" i="8"/>
  <c r="AD191" i="8"/>
  <c r="AC191" i="8"/>
  <c r="BR196" i="8"/>
  <c r="BD196" i="8"/>
  <c r="BC196" i="8"/>
  <c r="BB196" i="8"/>
  <c r="AS197" i="8"/>
  <c r="AE197" i="8"/>
  <c r="AD197" i="8"/>
  <c r="AC197" i="8"/>
  <c r="BR195" i="8"/>
  <c r="BD195" i="8"/>
  <c r="BC195" i="8"/>
  <c r="BB195" i="8"/>
  <c r="AS196" i="8"/>
  <c r="AE196" i="8"/>
  <c r="AD196" i="8"/>
  <c r="AC196" i="8"/>
  <c r="BR192" i="8"/>
  <c r="BD192" i="8"/>
  <c r="BC192" i="8"/>
  <c r="BB192" i="8"/>
  <c r="AS193" i="8"/>
  <c r="AE193" i="8"/>
  <c r="AD193" i="8"/>
  <c r="AC193" i="8"/>
  <c r="BR198" i="8"/>
  <c r="BD198" i="8"/>
  <c r="BC198" i="8"/>
  <c r="BB198" i="8"/>
  <c r="AS192" i="8"/>
  <c r="AE192" i="8"/>
  <c r="AD192" i="8"/>
  <c r="AC192" i="8"/>
  <c r="BR199" i="8"/>
  <c r="BD199" i="8"/>
  <c r="BC199" i="8"/>
  <c r="BB199" i="8"/>
  <c r="AS194" i="8"/>
  <c r="AE194" i="8"/>
  <c r="AD194" i="8"/>
  <c r="AC194" i="8"/>
  <c r="BP187" i="8"/>
  <c r="BO187" i="8"/>
  <c r="BN187" i="8"/>
  <c r="BM187" i="8"/>
  <c r="BK187" i="8"/>
  <c r="BJ187" i="8"/>
  <c r="BI187" i="8"/>
  <c r="BH187" i="8"/>
  <c r="BG187" i="8"/>
  <c r="BF187" i="8"/>
  <c r="BD187" i="8"/>
  <c r="BC187" i="8"/>
  <c r="AQ187" i="8"/>
  <c r="AP187" i="8"/>
  <c r="AO187" i="8"/>
  <c r="AN187" i="8"/>
  <c r="AL187" i="8"/>
  <c r="AK187" i="8"/>
  <c r="AJ187" i="8"/>
  <c r="AI187" i="8"/>
  <c r="AH187" i="8"/>
  <c r="AG187" i="8"/>
  <c r="AE187" i="8"/>
  <c r="AD187" i="8"/>
  <c r="R187" i="8"/>
  <c r="Q187" i="8"/>
  <c r="P187" i="8"/>
  <c r="O187" i="8"/>
  <c r="M187" i="8"/>
  <c r="L187" i="8"/>
  <c r="K187" i="8"/>
  <c r="J187" i="8"/>
  <c r="I187" i="8"/>
  <c r="H187" i="8"/>
  <c r="F187" i="8"/>
  <c r="E187" i="8"/>
  <c r="BL186" i="8"/>
  <c r="BB186" i="8"/>
  <c r="AM186" i="8"/>
  <c r="AC186" i="8"/>
  <c r="N186" i="8"/>
  <c r="D186" i="8"/>
  <c r="BL185" i="8"/>
  <c r="BB185" i="8"/>
  <c r="AM184" i="8"/>
  <c r="AC184" i="8"/>
  <c r="N185" i="8"/>
  <c r="D185" i="8"/>
  <c r="BL184" i="8"/>
  <c r="BB184" i="8"/>
  <c r="AM185" i="8"/>
  <c r="AC185" i="8"/>
  <c r="N184" i="8"/>
  <c r="D184" i="8"/>
  <c r="BL183" i="8"/>
  <c r="BB183" i="8"/>
  <c r="AM183" i="8"/>
  <c r="AC183" i="8"/>
  <c r="N183" i="8"/>
  <c r="D183" i="8"/>
  <c r="BL182" i="8"/>
  <c r="BB182" i="8"/>
  <c r="AM182" i="8"/>
  <c r="AC182" i="8"/>
  <c r="N182" i="8"/>
  <c r="D182" i="8"/>
  <c r="BL181" i="8"/>
  <c r="BB181" i="8"/>
  <c r="AM181" i="8"/>
  <c r="AC181" i="8"/>
  <c r="N181" i="8"/>
  <c r="D181" i="8"/>
  <c r="BL180" i="8"/>
  <c r="BB180" i="8"/>
  <c r="AM180" i="8"/>
  <c r="AC180" i="8"/>
  <c r="N180" i="8"/>
  <c r="D180" i="8"/>
  <c r="BL179" i="8"/>
  <c r="BB179" i="8"/>
  <c r="AM178" i="8"/>
  <c r="AC178" i="8"/>
  <c r="N179" i="8"/>
  <c r="D179" i="8"/>
  <c r="BL178" i="8"/>
  <c r="BB178" i="8"/>
  <c r="AM179" i="8"/>
  <c r="AC179" i="8"/>
  <c r="N178" i="8"/>
  <c r="D178" i="8"/>
  <c r="BL177" i="8"/>
  <c r="BB177" i="8"/>
  <c r="AM177" i="8"/>
  <c r="AC177" i="8"/>
  <c r="N177" i="8"/>
  <c r="D177" i="8"/>
  <c r="BT174" i="8"/>
  <c r="BO174" i="8"/>
  <c r="BN174" i="8"/>
  <c r="BM174" i="8"/>
  <c r="BL174" i="8"/>
  <c r="BK174" i="8"/>
  <c r="BJ174" i="8"/>
  <c r="BI174" i="8"/>
  <c r="BH174" i="8"/>
  <c r="BG174" i="8"/>
  <c r="BF174" i="8"/>
  <c r="AU174" i="8"/>
  <c r="AP174" i="8"/>
  <c r="AO174" i="8"/>
  <c r="AN174" i="8"/>
  <c r="AM174" i="8"/>
  <c r="AL174" i="8"/>
  <c r="AK174" i="8"/>
  <c r="AJ174" i="8"/>
  <c r="AI174" i="8"/>
  <c r="AH174" i="8"/>
  <c r="AG174" i="8"/>
  <c r="V174" i="8"/>
  <c r="Q174" i="8"/>
  <c r="P174" i="8"/>
  <c r="O174" i="8"/>
  <c r="N174" i="8"/>
  <c r="M174" i="8"/>
  <c r="L174" i="8"/>
  <c r="K174" i="8"/>
  <c r="J174" i="8"/>
  <c r="I174" i="8"/>
  <c r="H174" i="8"/>
  <c r="BR172" i="8"/>
  <c r="BD172" i="8"/>
  <c r="BC172" i="8"/>
  <c r="BB172" i="8"/>
  <c r="AS173" i="8"/>
  <c r="AE173" i="8"/>
  <c r="AD173" i="8"/>
  <c r="AC173" i="8"/>
  <c r="T169" i="8"/>
  <c r="F169" i="8"/>
  <c r="E169" i="8"/>
  <c r="D169" i="8"/>
  <c r="BR173" i="8"/>
  <c r="BD173" i="8"/>
  <c r="BC173" i="8"/>
  <c r="BB173" i="8"/>
  <c r="AS172" i="8"/>
  <c r="AE172" i="8"/>
  <c r="AD172" i="8"/>
  <c r="AC172" i="8"/>
  <c r="T173" i="8"/>
  <c r="F173" i="8"/>
  <c r="E173" i="8"/>
  <c r="D173" i="8"/>
  <c r="BR171" i="8"/>
  <c r="BD171" i="8"/>
  <c r="BC171" i="8"/>
  <c r="BB171" i="8"/>
  <c r="AS170" i="8"/>
  <c r="AE170" i="8"/>
  <c r="AD170" i="8"/>
  <c r="AC170" i="8"/>
  <c r="T172" i="8"/>
  <c r="F172" i="8"/>
  <c r="E172" i="8"/>
  <c r="D172" i="8"/>
  <c r="BR170" i="8"/>
  <c r="BD170" i="8"/>
  <c r="BC170" i="8"/>
  <c r="BB170" i="8"/>
  <c r="AS171" i="8"/>
  <c r="AE171" i="8"/>
  <c r="AD171" i="8"/>
  <c r="AC171" i="8"/>
  <c r="T171" i="8"/>
  <c r="F171" i="8"/>
  <c r="E171" i="8"/>
  <c r="D171" i="8"/>
  <c r="BR169" i="8"/>
  <c r="BD169" i="8"/>
  <c r="BC169" i="8"/>
  <c r="BB169" i="8"/>
  <c r="AS169" i="8"/>
  <c r="AE169" i="8"/>
  <c r="AD169" i="8"/>
  <c r="AC169" i="8"/>
  <c r="T170" i="8"/>
  <c r="F170" i="8"/>
  <c r="E170" i="8"/>
  <c r="D170" i="8"/>
  <c r="BR168" i="8"/>
  <c r="BD168" i="8"/>
  <c r="BC168" i="8"/>
  <c r="BB168" i="8"/>
  <c r="AS160" i="8"/>
  <c r="AE160" i="8"/>
  <c r="AD160" i="8"/>
  <c r="AC160" i="8"/>
  <c r="T162" i="8"/>
  <c r="F162" i="8"/>
  <c r="E162" i="8"/>
  <c r="D162" i="8"/>
  <c r="BR161" i="8"/>
  <c r="BD161" i="8"/>
  <c r="BC161" i="8"/>
  <c r="BB161" i="8"/>
  <c r="AS163" i="8"/>
  <c r="AE163" i="8"/>
  <c r="AD163" i="8"/>
  <c r="AC163" i="8"/>
  <c r="T167" i="8"/>
  <c r="F167" i="8"/>
  <c r="E167" i="8"/>
  <c r="D167" i="8"/>
  <c r="BR166" i="8"/>
  <c r="BD166" i="8"/>
  <c r="BC166" i="8"/>
  <c r="BB166" i="8"/>
  <c r="AS164" i="8"/>
  <c r="AE164" i="8"/>
  <c r="AD164" i="8"/>
  <c r="AC164" i="8"/>
  <c r="T160" i="8"/>
  <c r="F160" i="8"/>
  <c r="E160" i="8"/>
  <c r="D160" i="8"/>
  <c r="BR162" i="8"/>
  <c r="BD162" i="8"/>
  <c r="BC162" i="8"/>
  <c r="BB162" i="8"/>
  <c r="AS166" i="8"/>
  <c r="AE166" i="8"/>
  <c r="AD166" i="8"/>
  <c r="AC166" i="8"/>
  <c r="T165" i="8"/>
  <c r="F165" i="8"/>
  <c r="E165" i="8"/>
  <c r="D165" i="8"/>
  <c r="BR164" i="8"/>
  <c r="BD164" i="8"/>
  <c r="BC164" i="8"/>
  <c r="BB164" i="8"/>
  <c r="AS162" i="8"/>
  <c r="AE162" i="8"/>
  <c r="AD162" i="8"/>
  <c r="AC162" i="8"/>
  <c r="T168" i="8"/>
  <c r="F168" i="8"/>
  <c r="E168" i="8"/>
  <c r="D168" i="8"/>
  <c r="BR163" i="8"/>
  <c r="BD163" i="8"/>
  <c r="BC163" i="8"/>
  <c r="BB163" i="8"/>
  <c r="AS168" i="8"/>
  <c r="AE168" i="8"/>
  <c r="AD168" i="8"/>
  <c r="AC168" i="8"/>
  <c r="T161" i="8"/>
  <c r="F161" i="8"/>
  <c r="E161" i="8"/>
  <c r="D161" i="8"/>
  <c r="BR167" i="8"/>
  <c r="BD167" i="8"/>
  <c r="BC167" i="8"/>
  <c r="BB167" i="8"/>
  <c r="AS161" i="8"/>
  <c r="AE161" i="8"/>
  <c r="AD161" i="8"/>
  <c r="AC161" i="8"/>
  <c r="T166" i="8"/>
  <c r="F166" i="8"/>
  <c r="E166" i="8"/>
  <c r="D166" i="8"/>
  <c r="BR160" i="8"/>
  <c r="BD160" i="8"/>
  <c r="BC160" i="8"/>
  <c r="BB160" i="8"/>
  <c r="AS167" i="8"/>
  <c r="AE167" i="8"/>
  <c r="AD167" i="8"/>
  <c r="AC167" i="8"/>
  <c r="T164" i="8"/>
  <c r="F164" i="8"/>
  <c r="E164" i="8"/>
  <c r="D164" i="8"/>
  <c r="BR165" i="8"/>
  <c r="BD165" i="8"/>
  <c r="BC165" i="8"/>
  <c r="BB165" i="8"/>
  <c r="AS165" i="8"/>
  <c r="AE165" i="8"/>
  <c r="AD165" i="8"/>
  <c r="AC165" i="8"/>
  <c r="T163" i="8"/>
  <c r="F163" i="8"/>
  <c r="E163" i="8"/>
  <c r="D163" i="8"/>
  <c r="BP155" i="8"/>
  <c r="BO155" i="8"/>
  <c r="BN155" i="8"/>
  <c r="BM155" i="8"/>
  <c r="BK155" i="8"/>
  <c r="BJ155" i="8"/>
  <c r="BI155" i="8"/>
  <c r="BH155" i="8"/>
  <c r="BG155" i="8"/>
  <c r="BF155" i="8"/>
  <c r="BD155" i="8"/>
  <c r="AV58" i="3" s="1"/>
  <c r="BC155" i="8"/>
  <c r="AQ155" i="8"/>
  <c r="AP155" i="8"/>
  <c r="AO155" i="8"/>
  <c r="AN155" i="8"/>
  <c r="AL155" i="8"/>
  <c r="AK155" i="8"/>
  <c r="AJ155" i="8"/>
  <c r="AI155" i="8"/>
  <c r="AH155" i="8"/>
  <c r="AG155" i="8"/>
  <c r="AE155" i="8"/>
  <c r="AD155" i="8"/>
  <c r="R155" i="8"/>
  <c r="Q155" i="8"/>
  <c r="P155" i="8"/>
  <c r="O155" i="8"/>
  <c r="M155" i="8"/>
  <c r="L155" i="8"/>
  <c r="K155" i="8"/>
  <c r="J155" i="8"/>
  <c r="G51" i="3" s="1"/>
  <c r="I155" i="8"/>
  <c r="H155" i="8"/>
  <c r="F155" i="8"/>
  <c r="E155" i="8"/>
  <c r="BL154" i="8"/>
  <c r="BB154" i="8"/>
  <c r="AM154" i="8"/>
  <c r="AC154" i="8"/>
  <c r="N154" i="8"/>
  <c r="N102" i="20" s="1"/>
  <c r="D154" i="8"/>
  <c r="D102" i="20" s="1"/>
  <c r="BL153" i="8"/>
  <c r="BB153" i="8"/>
  <c r="AM153" i="8"/>
  <c r="AC153" i="8"/>
  <c r="N153" i="8"/>
  <c r="N101" i="20" s="1"/>
  <c r="D153" i="8"/>
  <c r="D101" i="20" s="1"/>
  <c r="BL152" i="8"/>
  <c r="BB152" i="8"/>
  <c r="AM150" i="8"/>
  <c r="AC150" i="8"/>
  <c r="N152" i="8"/>
  <c r="N100" i="20" s="1"/>
  <c r="D152" i="8"/>
  <c r="D100" i="20" s="1"/>
  <c r="BL151" i="8"/>
  <c r="BB151" i="8"/>
  <c r="AM152" i="8"/>
  <c r="AC152" i="8"/>
  <c r="N151" i="8"/>
  <c r="N99" i="20" s="1"/>
  <c r="D151" i="8"/>
  <c r="D99" i="20" s="1"/>
  <c r="BL150" i="8"/>
  <c r="BB150" i="8"/>
  <c r="AM149" i="8"/>
  <c r="AC149" i="8"/>
  <c r="N149" i="8"/>
  <c r="N97" i="20" s="1"/>
  <c r="D149" i="8"/>
  <c r="D97" i="20" s="1"/>
  <c r="BL149" i="8"/>
  <c r="BB149" i="8"/>
  <c r="AM151" i="8"/>
  <c r="AC151" i="8"/>
  <c r="N150" i="8"/>
  <c r="N98" i="20" s="1"/>
  <c r="D150" i="8"/>
  <c r="D98" i="20" s="1"/>
  <c r="BL148" i="8"/>
  <c r="BB148" i="8"/>
  <c r="AM148" i="8"/>
  <c r="AC148" i="8"/>
  <c r="N148" i="8"/>
  <c r="N96" i="20" s="1"/>
  <c r="D148" i="8"/>
  <c r="D96" i="20" s="1"/>
  <c r="BL147" i="8"/>
  <c r="BB147" i="8"/>
  <c r="AM147" i="8"/>
  <c r="AC147" i="8"/>
  <c r="N147" i="8"/>
  <c r="N95" i="20" s="1"/>
  <c r="D147" i="8"/>
  <c r="D95" i="20" s="1"/>
  <c r="BL145" i="8"/>
  <c r="BB145" i="8"/>
  <c r="AM146" i="8"/>
  <c r="AC146" i="8"/>
  <c r="N146" i="8"/>
  <c r="N94" i="20" s="1"/>
  <c r="D146" i="8"/>
  <c r="D94" i="20" s="1"/>
  <c r="BL146" i="8"/>
  <c r="BB146" i="8"/>
  <c r="AM145" i="8"/>
  <c r="AC145" i="8"/>
  <c r="N145" i="8"/>
  <c r="N93" i="20" s="1"/>
  <c r="D145" i="8"/>
  <c r="D93" i="20" s="1"/>
  <c r="BT142" i="8"/>
  <c r="BO142" i="8"/>
  <c r="BN142" i="8"/>
  <c r="BM142" i="8"/>
  <c r="BL142" i="8"/>
  <c r="BK142" i="8"/>
  <c r="BJ142" i="8"/>
  <c r="BI142" i="8"/>
  <c r="BH142" i="8"/>
  <c r="BG142" i="8"/>
  <c r="AX58" i="3" s="1"/>
  <c r="BF142" i="8"/>
  <c r="AU142" i="8"/>
  <c r="AP142" i="8"/>
  <c r="AO142" i="8"/>
  <c r="AN142" i="8"/>
  <c r="AM142" i="8"/>
  <c r="AL142" i="8"/>
  <c r="AK142" i="8"/>
  <c r="AJ142" i="8"/>
  <c r="AI142" i="8"/>
  <c r="AH142" i="8"/>
  <c r="AG142" i="8"/>
  <c r="V142" i="8"/>
  <c r="Q142" i="8"/>
  <c r="P142" i="8"/>
  <c r="O142" i="8"/>
  <c r="N142" i="8"/>
  <c r="M142" i="8"/>
  <c r="L142" i="8"/>
  <c r="K142" i="8"/>
  <c r="J142" i="8"/>
  <c r="I142" i="8"/>
  <c r="F51" i="3" s="1"/>
  <c r="H142" i="8"/>
  <c r="BR141" i="8"/>
  <c r="BD141" i="8"/>
  <c r="BC141" i="8"/>
  <c r="BB141" i="8"/>
  <c r="AS139" i="8"/>
  <c r="AE139" i="8"/>
  <c r="AD139" i="8"/>
  <c r="AC139" i="8"/>
  <c r="T141" i="8"/>
  <c r="T142" i="18" s="1"/>
  <c r="F141" i="8"/>
  <c r="F142" i="18" s="1"/>
  <c r="E141" i="8"/>
  <c r="E142" i="18" s="1"/>
  <c r="D141" i="8"/>
  <c r="D142" i="18" s="1"/>
  <c r="BR140" i="8"/>
  <c r="BD140" i="8"/>
  <c r="BC140" i="8"/>
  <c r="BB140" i="8"/>
  <c r="AS138" i="8"/>
  <c r="AE138" i="8"/>
  <c r="AD138" i="8"/>
  <c r="AC138" i="8"/>
  <c r="T139" i="8"/>
  <c r="T139" i="18" s="1"/>
  <c r="F139" i="8"/>
  <c r="F139" i="18" s="1"/>
  <c r="E139" i="8"/>
  <c r="E139" i="18" s="1"/>
  <c r="D139" i="8"/>
  <c r="D139" i="18" s="1"/>
  <c r="BR139" i="8"/>
  <c r="BD139" i="8"/>
  <c r="BC139" i="8"/>
  <c r="BB139" i="8"/>
  <c r="AS140" i="8"/>
  <c r="AE140" i="8"/>
  <c r="AD140" i="8"/>
  <c r="AC140" i="8"/>
  <c r="T138" i="8"/>
  <c r="T140" i="18" s="1"/>
  <c r="F138" i="8"/>
  <c r="F140" i="18" s="1"/>
  <c r="E138" i="8"/>
  <c r="E140" i="18" s="1"/>
  <c r="D138" i="8"/>
  <c r="D140" i="18" s="1"/>
  <c r="BR137" i="8"/>
  <c r="BD137" i="8"/>
  <c r="BC137" i="8"/>
  <c r="BB137" i="8"/>
  <c r="AS137" i="8"/>
  <c r="AE137" i="8"/>
  <c r="AD137" i="8"/>
  <c r="AC137" i="8"/>
  <c r="T137" i="8"/>
  <c r="T138" i="18" s="1"/>
  <c r="F137" i="8"/>
  <c r="F138" i="18" s="1"/>
  <c r="E137" i="8"/>
  <c r="E138" i="18" s="1"/>
  <c r="D137" i="8"/>
  <c r="D138" i="18" s="1"/>
  <c r="BR128" i="8"/>
  <c r="BD128" i="8"/>
  <c r="BC128" i="8"/>
  <c r="BB128" i="8"/>
  <c r="AS141" i="8"/>
  <c r="AE141" i="8"/>
  <c r="AD141" i="8"/>
  <c r="AC141" i="8"/>
  <c r="T128" i="8"/>
  <c r="T129" i="18" s="1"/>
  <c r="F128" i="8"/>
  <c r="F129" i="18" s="1"/>
  <c r="E128" i="8"/>
  <c r="E129" i="18" s="1"/>
  <c r="D128" i="8"/>
  <c r="D129" i="18" s="1"/>
  <c r="BR138" i="8"/>
  <c r="BD138" i="8"/>
  <c r="BC138" i="8"/>
  <c r="BB138" i="8"/>
  <c r="AS131" i="8"/>
  <c r="AE131" i="8"/>
  <c r="AD131" i="8"/>
  <c r="AC131" i="8"/>
  <c r="T140" i="8"/>
  <c r="T141" i="18" s="1"/>
  <c r="F140" i="8"/>
  <c r="F141" i="18" s="1"/>
  <c r="E140" i="8"/>
  <c r="E141" i="18" s="1"/>
  <c r="D140" i="8"/>
  <c r="D141" i="18" s="1"/>
  <c r="BR136" i="8"/>
  <c r="BD136" i="8"/>
  <c r="BC136" i="8"/>
  <c r="BB136" i="8"/>
  <c r="AS128" i="8"/>
  <c r="AE128" i="8"/>
  <c r="AD128" i="8"/>
  <c r="AC128" i="8"/>
  <c r="T136" i="8"/>
  <c r="T137" i="18" s="1"/>
  <c r="F136" i="8"/>
  <c r="F137" i="18" s="1"/>
  <c r="E136" i="8"/>
  <c r="E137" i="18" s="1"/>
  <c r="D136" i="8"/>
  <c r="D137" i="18" s="1"/>
  <c r="BR131" i="8"/>
  <c r="BD131" i="8"/>
  <c r="BC131" i="8"/>
  <c r="BB131" i="8"/>
  <c r="AS134" i="8"/>
  <c r="AE134" i="8"/>
  <c r="AD134" i="8"/>
  <c r="AC134" i="8"/>
  <c r="T131" i="8"/>
  <c r="T132" i="18" s="1"/>
  <c r="F131" i="8"/>
  <c r="F132" i="18" s="1"/>
  <c r="E131" i="8"/>
  <c r="E132" i="18" s="1"/>
  <c r="D131" i="8"/>
  <c r="D132" i="18" s="1"/>
  <c r="BR130" i="8"/>
  <c r="BD130" i="8"/>
  <c r="BC130" i="8"/>
  <c r="BB130" i="8"/>
  <c r="AS136" i="8"/>
  <c r="AE136" i="8"/>
  <c r="AD136" i="8"/>
  <c r="AC136" i="8"/>
  <c r="T134" i="8"/>
  <c r="T135" i="18" s="1"/>
  <c r="F134" i="8"/>
  <c r="F135" i="18" s="1"/>
  <c r="E134" i="8"/>
  <c r="E135" i="18" s="1"/>
  <c r="D134" i="8"/>
  <c r="D135" i="18" s="1"/>
  <c r="BR132" i="8"/>
  <c r="BD132" i="8"/>
  <c r="BC132" i="8"/>
  <c r="BB132" i="8"/>
  <c r="AS130" i="8"/>
  <c r="AE130" i="8"/>
  <c r="AD130" i="8"/>
  <c r="AC130" i="8"/>
  <c r="T129" i="8"/>
  <c r="T130" i="18" s="1"/>
  <c r="F129" i="8"/>
  <c r="F130" i="18" s="1"/>
  <c r="E129" i="8"/>
  <c r="E130" i="18" s="1"/>
  <c r="D129" i="8"/>
  <c r="D130" i="18" s="1"/>
  <c r="BR129" i="8"/>
  <c r="BD129" i="8"/>
  <c r="BC129" i="8"/>
  <c r="BB129" i="8"/>
  <c r="AS129" i="8"/>
  <c r="AE129" i="8"/>
  <c r="AD129" i="8"/>
  <c r="AC129" i="8"/>
  <c r="T130" i="8"/>
  <c r="T131" i="18" s="1"/>
  <c r="F130" i="8"/>
  <c r="F131" i="18" s="1"/>
  <c r="E130" i="8"/>
  <c r="E131" i="18" s="1"/>
  <c r="D130" i="8"/>
  <c r="D131" i="18" s="1"/>
  <c r="BR135" i="8"/>
  <c r="BD135" i="8"/>
  <c r="BC135" i="8"/>
  <c r="BB135" i="8"/>
  <c r="AS135" i="8"/>
  <c r="AE135" i="8"/>
  <c r="AD135" i="8"/>
  <c r="AC135" i="8"/>
  <c r="T135" i="8"/>
  <c r="T136" i="18" s="1"/>
  <c r="F135" i="8"/>
  <c r="F136" i="18" s="1"/>
  <c r="E135" i="8"/>
  <c r="E136" i="18" s="1"/>
  <c r="D135" i="8"/>
  <c r="D136" i="18" s="1"/>
  <c r="BR134" i="8"/>
  <c r="BD134" i="8"/>
  <c r="BC134" i="8"/>
  <c r="BB134" i="8"/>
  <c r="AS133" i="8"/>
  <c r="AE133" i="8"/>
  <c r="AD133" i="8"/>
  <c r="AC133" i="8"/>
  <c r="T133" i="8"/>
  <c r="T134" i="18" s="1"/>
  <c r="F133" i="8"/>
  <c r="E133" i="8"/>
  <c r="E134" i="18" s="1"/>
  <c r="D133" i="8"/>
  <c r="D134" i="18" s="1"/>
  <c r="BR133" i="8"/>
  <c r="BD133" i="8"/>
  <c r="BC133" i="8"/>
  <c r="BB133" i="8"/>
  <c r="AS132" i="8"/>
  <c r="AE132" i="8"/>
  <c r="AD132" i="8"/>
  <c r="AC132" i="8"/>
  <c r="T132" i="8"/>
  <c r="F132" i="8"/>
  <c r="F133" i="18" s="1"/>
  <c r="E132" i="8"/>
  <c r="E133" i="18" s="1"/>
  <c r="D132" i="8"/>
  <c r="D133" i="18" s="1"/>
  <c r="BP124" i="8"/>
  <c r="BO124" i="8"/>
  <c r="BN124" i="8"/>
  <c r="BM124" i="8"/>
  <c r="BK124" i="8"/>
  <c r="BJ124" i="8"/>
  <c r="BI124" i="8"/>
  <c r="BH124" i="8"/>
  <c r="BG124" i="8"/>
  <c r="BF124" i="8"/>
  <c r="BD124" i="8"/>
  <c r="BC124" i="8"/>
  <c r="AU42" i="3" s="1"/>
  <c r="AQ124" i="8"/>
  <c r="AP124" i="8"/>
  <c r="AO124" i="8"/>
  <c r="AN124" i="8"/>
  <c r="AL124" i="8"/>
  <c r="AK124" i="8"/>
  <c r="AJ124" i="8"/>
  <c r="AI124" i="8"/>
  <c r="AH124" i="8"/>
  <c r="AG124" i="8"/>
  <c r="AE124" i="8"/>
  <c r="AD124" i="8"/>
  <c r="R124" i="8"/>
  <c r="Q124" i="8"/>
  <c r="P124" i="8"/>
  <c r="O124" i="8"/>
  <c r="M124" i="8"/>
  <c r="L124" i="8"/>
  <c r="K124" i="8"/>
  <c r="J124" i="8"/>
  <c r="I124" i="8"/>
  <c r="H124" i="8"/>
  <c r="F124" i="8"/>
  <c r="E124" i="8"/>
  <c r="BL123" i="8"/>
  <c r="BB123" i="8"/>
  <c r="AM123" i="8"/>
  <c r="AC123" i="8"/>
  <c r="N123" i="8"/>
  <c r="N92" i="20" s="1"/>
  <c r="D123" i="8"/>
  <c r="D92" i="20" s="1"/>
  <c r="BL122" i="8"/>
  <c r="BB122" i="8"/>
  <c r="AM122" i="8"/>
  <c r="AC122" i="8"/>
  <c r="N122" i="8"/>
  <c r="N91" i="20" s="1"/>
  <c r="D122" i="8"/>
  <c r="D91" i="20" s="1"/>
  <c r="BL121" i="8"/>
  <c r="BB121" i="8"/>
  <c r="AM121" i="8"/>
  <c r="AC121" i="8"/>
  <c r="N121" i="8"/>
  <c r="N90" i="20" s="1"/>
  <c r="D121" i="8"/>
  <c r="D90" i="20" s="1"/>
  <c r="BL120" i="8"/>
  <c r="BB120" i="8"/>
  <c r="AM120" i="8"/>
  <c r="AC120" i="8"/>
  <c r="N120" i="8"/>
  <c r="N89" i="20" s="1"/>
  <c r="D120" i="8"/>
  <c r="D89" i="20" s="1"/>
  <c r="BL119" i="8"/>
  <c r="BB119" i="8"/>
  <c r="AM119" i="8"/>
  <c r="AC119" i="8"/>
  <c r="N119" i="8"/>
  <c r="N88" i="20" s="1"/>
  <c r="D119" i="8"/>
  <c r="D88" i="20" s="1"/>
  <c r="BL118" i="8"/>
  <c r="BB118" i="8"/>
  <c r="AM118" i="8"/>
  <c r="AC118" i="8"/>
  <c r="N118" i="8"/>
  <c r="N87" i="20" s="1"/>
  <c r="D118" i="8"/>
  <c r="D87" i="20" s="1"/>
  <c r="BL117" i="8"/>
  <c r="BB117" i="8"/>
  <c r="AM117" i="8"/>
  <c r="AC117" i="8"/>
  <c r="N117" i="8"/>
  <c r="N86" i="20" s="1"/>
  <c r="D117" i="8"/>
  <c r="D86" i="20" s="1"/>
  <c r="BL116" i="8"/>
  <c r="BB116" i="8"/>
  <c r="AM116" i="8"/>
  <c r="AC116" i="8"/>
  <c r="N116" i="8"/>
  <c r="N85" i="20" s="1"/>
  <c r="D116" i="8"/>
  <c r="D85" i="20" s="1"/>
  <c r="BL115" i="8"/>
  <c r="BB115" i="8"/>
  <c r="AM115" i="8"/>
  <c r="AC115" i="8"/>
  <c r="N115" i="8"/>
  <c r="N84" i="20" s="1"/>
  <c r="D115" i="8"/>
  <c r="D84" i="20" s="1"/>
  <c r="BL114" i="8"/>
  <c r="BB114" i="8"/>
  <c r="AM114" i="8"/>
  <c r="AC114" i="8"/>
  <c r="N114" i="8"/>
  <c r="N83" i="20" s="1"/>
  <c r="D114" i="8"/>
  <c r="D83" i="20" s="1"/>
  <c r="BT111" i="8"/>
  <c r="BO111" i="8"/>
  <c r="BN111" i="8"/>
  <c r="BM111" i="8"/>
  <c r="BL111" i="8"/>
  <c r="BK111" i="8"/>
  <c r="BJ111" i="8"/>
  <c r="BI111" i="8"/>
  <c r="BH111" i="8"/>
  <c r="BG111" i="8"/>
  <c r="AX42" i="3" s="1"/>
  <c r="BF111" i="8"/>
  <c r="AU111" i="8"/>
  <c r="AP111" i="8"/>
  <c r="AO111" i="8"/>
  <c r="AN111" i="8"/>
  <c r="AM111" i="8"/>
  <c r="AL111" i="8"/>
  <c r="AK111" i="8"/>
  <c r="AJ111" i="8"/>
  <c r="AI111" i="8"/>
  <c r="AH111" i="8"/>
  <c r="AG111" i="8"/>
  <c r="V111" i="8"/>
  <c r="Q111" i="8"/>
  <c r="P111" i="8"/>
  <c r="O111" i="8"/>
  <c r="N111" i="8"/>
  <c r="M111" i="8"/>
  <c r="L111" i="8"/>
  <c r="K111" i="8"/>
  <c r="J111" i="8"/>
  <c r="I111" i="8"/>
  <c r="Q14" i="3" s="1"/>
  <c r="H111" i="8"/>
  <c r="AS109" i="8"/>
  <c r="AE109" i="8"/>
  <c r="AD109" i="8"/>
  <c r="AC109" i="8"/>
  <c r="T110" i="8"/>
  <c r="T128" i="18" s="1"/>
  <c r="F110" i="8"/>
  <c r="E110" i="8"/>
  <c r="E128" i="18" s="1"/>
  <c r="D110" i="8"/>
  <c r="D128" i="18" s="1"/>
  <c r="AS107" i="8"/>
  <c r="AE107" i="8"/>
  <c r="AD107" i="8"/>
  <c r="AC107" i="8"/>
  <c r="T109" i="8"/>
  <c r="T127" i="18" s="1"/>
  <c r="F109" i="8"/>
  <c r="F127" i="18" s="1"/>
  <c r="E109" i="8"/>
  <c r="D109" i="8"/>
  <c r="D127" i="18" s="1"/>
  <c r="BR106" i="8"/>
  <c r="BD106" i="8"/>
  <c r="BC106" i="8"/>
  <c r="BB106" i="8"/>
  <c r="AS106" i="8"/>
  <c r="AE106" i="8"/>
  <c r="AD106" i="8"/>
  <c r="AC106" i="8"/>
  <c r="T106" i="8"/>
  <c r="T124" i="18" s="1"/>
  <c r="F106" i="8"/>
  <c r="F124" i="18" s="1"/>
  <c r="E106" i="8"/>
  <c r="E124" i="18" s="1"/>
  <c r="D106" i="8"/>
  <c r="D124" i="18" s="1"/>
  <c r="BR108" i="8"/>
  <c r="BD108" i="8"/>
  <c r="BC108" i="8"/>
  <c r="BB108" i="8"/>
  <c r="AS110" i="8"/>
  <c r="AE110" i="8"/>
  <c r="AD110" i="8"/>
  <c r="AC110" i="8"/>
  <c r="T107" i="8"/>
  <c r="T125" i="18" s="1"/>
  <c r="F107" i="8"/>
  <c r="F125" i="18" s="1"/>
  <c r="E107" i="8"/>
  <c r="E125" i="18" s="1"/>
  <c r="D107" i="8"/>
  <c r="D125" i="18" s="1"/>
  <c r="BR107" i="8"/>
  <c r="BD107" i="8"/>
  <c r="BC107" i="8"/>
  <c r="BB107" i="8"/>
  <c r="AS108" i="8"/>
  <c r="AE108" i="8"/>
  <c r="AD108" i="8"/>
  <c r="AC108" i="8"/>
  <c r="T108" i="8"/>
  <c r="T126" i="18" s="1"/>
  <c r="F108" i="8"/>
  <c r="F126" i="18" s="1"/>
  <c r="E108" i="8"/>
  <c r="E126" i="18" s="1"/>
  <c r="D108" i="8"/>
  <c r="D126" i="18" s="1"/>
  <c r="BR97" i="8"/>
  <c r="BD97" i="8"/>
  <c r="BC97" i="8"/>
  <c r="BB97" i="8"/>
  <c r="AS100" i="8"/>
  <c r="AE100" i="8"/>
  <c r="AD100" i="8"/>
  <c r="AC100" i="8"/>
  <c r="T100" i="8"/>
  <c r="T118" i="18" s="1"/>
  <c r="F100" i="8"/>
  <c r="F118" i="18" s="1"/>
  <c r="E100" i="8"/>
  <c r="D100" i="8"/>
  <c r="D118" i="18" s="1"/>
  <c r="BR105" i="8"/>
  <c r="BD105" i="8"/>
  <c r="BC105" i="8"/>
  <c r="BB105" i="8"/>
  <c r="AS104" i="8"/>
  <c r="AE104" i="8"/>
  <c r="AD104" i="8"/>
  <c r="AC104" i="8"/>
  <c r="T98" i="8"/>
  <c r="T116" i="18" s="1"/>
  <c r="F98" i="8"/>
  <c r="E98" i="8"/>
  <c r="E116" i="18" s="1"/>
  <c r="D98" i="8"/>
  <c r="D116" i="18" s="1"/>
  <c r="BR103" i="8"/>
  <c r="BD103" i="8"/>
  <c r="BC103" i="8"/>
  <c r="BB103" i="8"/>
  <c r="AS98" i="8"/>
  <c r="AE98" i="8"/>
  <c r="AD98" i="8"/>
  <c r="AC98" i="8"/>
  <c r="T104" i="8"/>
  <c r="T122" i="18" s="1"/>
  <c r="F104" i="8"/>
  <c r="F122" i="18" s="1"/>
  <c r="E104" i="8"/>
  <c r="E122" i="18" s="1"/>
  <c r="D104" i="8"/>
  <c r="D122" i="18" s="1"/>
  <c r="BR100" i="8"/>
  <c r="BD100" i="8"/>
  <c r="BC100" i="8"/>
  <c r="BB100" i="8"/>
  <c r="AS103" i="8"/>
  <c r="AE103" i="8"/>
  <c r="AD103" i="8"/>
  <c r="AC103" i="8"/>
  <c r="T97" i="8"/>
  <c r="T115" i="18" s="1"/>
  <c r="F97" i="8"/>
  <c r="F115" i="18" s="1"/>
  <c r="E97" i="8"/>
  <c r="E115" i="18" s="1"/>
  <c r="D97" i="8"/>
  <c r="D115" i="18" s="1"/>
  <c r="BR101" i="8"/>
  <c r="BD101" i="8"/>
  <c r="BC101" i="8"/>
  <c r="BB101" i="8"/>
  <c r="AS99" i="8"/>
  <c r="AE99" i="8"/>
  <c r="AD99" i="8"/>
  <c r="AC99" i="8"/>
  <c r="T101" i="8"/>
  <c r="T119" i="18" s="1"/>
  <c r="F101" i="8"/>
  <c r="F119" i="18" s="1"/>
  <c r="E101" i="8"/>
  <c r="E119" i="18" s="1"/>
  <c r="D101" i="8"/>
  <c r="D119" i="18" s="1"/>
  <c r="BR98" i="8"/>
  <c r="BD98" i="8"/>
  <c r="BC98" i="8"/>
  <c r="BB98" i="8"/>
  <c r="AS97" i="8"/>
  <c r="AE97" i="8"/>
  <c r="AD97" i="8"/>
  <c r="AC97" i="8"/>
  <c r="T99" i="8"/>
  <c r="T117" i="18" s="1"/>
  <c r="F99" i="8"/>
  <c r="F117" i="18" s="1"/>
  <c r="E99" i="8"/>
  <c r="E117" i="18" s="1"/>
  <c r="D99" i="8"/>
  <c r="D117" i="18" s="1"/>
  <c r="BR99" i="8"/>
  <c r="BD99" i="8"/>
  <c r="BC99" i="8"/>
  <c r="BB99" i="8"/>
  <c r="AS105" i="8"/>
  <c r="AE105" i="8"/>
  <c r="AD105" i="8"/>
  <c r="AC105" i="8"/>
  <c r="T103" i="8"/>
  <c r="T121" i="18" s="1"/>
  <c r="F103" i="8"/>
  <c r="F121" i="18" s="1"/>
  <c r="E103" i="8"/>
  <c r="D103" i="8"/>
  <c r="D121" i="18" s="1"/>
  <c r="BR102" i="8"/>
  <c r="BD102" i="8"/>
  <c r="BC102" i="8"/>
  <c r="BB102" i="8"/>
  <c r="AS101" i="8"/>
  <c r="AE101" i="8"/>
  <c r="AD101" i="8"/>
  <c r="AC101" i="8"/>
  <c r="T102" i="8"/>
  <c r="T120" i="18" s="1"/>
  <c r="F102" i="8"/>
  <c r="F120" i="18" s="1"/>
  <c r="E102" i="8"/>
  <c r="E120" i="18" s="1"/>
  <c r="D102" i="8"/>
  <c r="D120" i="18" s="1"/>
  <c r="BR104" i="8"/>
  <c r="BD104" i="8"/>
  <c r="BC104" i="8"/>
  <c r="BB104" i="8"/>
  <c r="AS102" i="8"/>
  <c r="AE102" i="8"/>
  <c r="AD102" i="8"/>
  <c r="AC102" i="8"/>
  <c r="T105" i="8"/>
  <c r="T123" i="18" s="1"/>
  <c r="F105" i="8"/>
  <c r="F123" i="18" s="1"/>
  <c r="E105" i="8"/>
  <c r="E123" i="18" s="1"/>
  <c r="D105" i="8"/>
  <c r="D123" i="18" s="1"/>
  <c r="BP93" i="8"/>
  <c r="BO93" i="8"/>
  <c r="BN93" i="8"/>
  <c r="BM93" i="8"/>
  <c r="BK93" i="8"/>
  <c r="BJ93" i="8"/>
  <c r="BI93" i="8"/>
  <c r="BH93" i="8"/>
  <c r="BG93" i="8"/>
  <c r="BF93" i="8"/>
  <c r="BD93" i="8"/>
  <c r="AV46" i="3" s="1"/>
  <c r="BC93" i="8"/>
  <c r="AU46" i="3" s="1"/>
  <c r="AQ93" i="8"/>
  <c r="AP93" i="8"/>
  <c r="AO93" i="8"/>
  <c r="AN93" i="8"/>
  <c r="AL93" i="8"/>
  <c r="AK93" i="8"/>
  <c r="AJ93" i="8"/>
  <c r="AI93" i="8"/>
  <c r="AH93" i="8"/>
  <c r="AG93" i="8"/>
  <c r="AE93" i="8"/>
  <c r="AD93" i="8"/>
  <c r="R93" i="8"/>
  <c r="Q93" i="8"/>
  <c r="P93" i="8"/>
  <c r="O93" i="8"/>
  <c r="M93" i="8"/>
  <c r="L93" i="8"/>
  <c r="K93" i="8"/>
  <c r="J93" i="8"/>
  <c r="R17" i="3" s="1"/>
  <c r="I93" i="8"/>
  <c r="H93" i="8"/>
  <c r="F93" i="8"/>
  <c r="O60" i="3" s="1"/>
  <c r="E93" i="8"/>
  <c r="C58" i="3" s="1"/>
  <c r="BL92" i="8"/>
  <c r="BB92" i="8"/>
  <c r="AM92" i="8"/>
  <c r="AC92" i="8"/>
  <c r="N92" i="8"/>
  <c r="N82" i="20" s="1"/>
  <c r="D92" i="8"/>
  <c r="D82" i="20" s="1"/>
  <c r="BL89" i="8"/>
  <c r="BB89" i="8"/>
  <c r="AM90" i="8"/>
  <c r="AC90" i="8"/>
  <c r="N91" i="8"/>
  <c r="N81" i="20" s="1"/>
  <c r="D91" i="8"/>
  <c r="D81" i="20" s="1"/>
  <c r="BL91" i="8"/>
  <c r="BB91" i="8"/>
  <c r="AM91" i="8"/>
  <c r="AC91" i="8"/>
  <c r="N90" i="8"/>
  <c r="N80" i="20" s="1"/>
  <c r="D90" i="8"/>
  <c r="D80" i="20" s="1"/>
  <c r="BL90" i="8"/>
  <c r="BB90" i="8"/>
  <c r="AM89" i="8"/>
  <c r="AC89" i="8"/>
  <c r="N89" i="8"/>
  <c r="N79" i="20" s="1"/>
  <c r="D89" i="8"/>
  <c r="D79" i="20" s="1"/>
  <c r="BL87" i="8"/>
  <c r="BB87" i="8"/>
  <c r="AM88" i="8"/>
  <c r="AC88" i="8"/>
  <c r="N88" i="8"/>
  <c r="N78" i="20" s="1"/>
  <c r="D88" i="8"/>
  <c r="D78" i="20" s="1"/>
  <c r="BL88" i="8"/>
  <c r="BB88" i="8"/>
  <c r="AM87" i="8"/>
  <c r="AC87" i="8"/>
  <c r="N87" i="8"/>
  <c r="N77" i="20" s="1"/>
  <c r="D87" i="8"/>
  <c r="D77" i="20" s="1"/>
  <c r="BL86" i="8"/>
  <c r="BB86" i="8"/>
  <c r="AM86" i="8"/>
  <c r="AC86" i="8"/>
  <c r="N86" i="8"/>
  <c r="N76" i="20" s="1"/>
  <c r="D86" i="8"/>
  <c r="D76" i="20" s="1"/>
  <c r="BL85" i="8"/>
  <c r="BB85" i="8"/>
  <c r="AM84" i="8"/>
  <c r="AC84" i="8"/>
  <c r="N85" i="8"/>
  <c r="N75" i="20" s="1"/>
  <c r="D85" i="8"/>
  <c r="D75" i="20" s="1"/>
  <c r="BL84" i="8"/>
  <c r="BB84" i="8"/>
  <c r="AM85" i="8"/>
  <c r="AC85" i="8"/>
  <c r="N84" i="8"/>
  <c r="N74" i="20" s="1"/>
  <c r="D84" i="8"/>
  <c r="D74" i="20" s="1"/>
  <c r="BL83" i="8"/>
  <c r="BB83" i="8"/>
  <c r="AM83" i="8"/>
  <c r="AC83" i="8"/>
  <c r="N83" i="8"/>
  <c r="N73" i="20" s="1"/>
  <c r="D83" i="8"/>
  <c r="D73" i="20" s="1"/>
  <c r="BT80" i="8"/>
  <c r="BO80" i="8"/>
  <c r="BN80" i="8"/>
  <c r="BM80" i="8"/>
  <c r="BL80" i="8"/>
  <c r="BK80" i="8"/>
  <c r="BJ80" i="8"/>
  <c r="BI80" i="8"/>
  <c r="BH80" i="8"/>
  <c r="BG80" i="8"/>
  <c r="AX46" i="3" s="1"/>
  <c r="BF80" i="8"/>
  <c r="AU80" i="8"/>
  <c r="AP80" i="8"/>
  <c r="AO80" i="8"/>
  <c r="AN80" i="8"/>
  <c r="AM80" i="8"/>
  <c r="AL80" i="8"/>
  <c r="AK80" i="8"/>
  <c r="AJ80" i="8"/>
  <c r="AI80" i="8"/>
  <c r="AH80" i="8"/>
  <c r="AG80" i="8"/>
  <c r="V80" i="8"/>
  <c r="Q80" i="8"/>
  <c r="P80" i="8"/>
  <c r="O80" i="8"/>
  <c r="N80" i="8"/>
  <c r="M80" i="8"/>
  <c r="L80" i="8"/>
  <c r="K80" i="8"/>
  <c r="J80" i="8"/>
  <c r="I80" i="8"/>
  <c r="H80" i="8"/>
  <c r="BR79" i="8"/>
  <c r="BD79" i="8"/>
  <c r="BC79" i="8"/>
  <c r="BB79" i="8"/>
  <c r="AS75" i="8"/>
  <c r="AE75" i="8"/>
  <c r="AD75" i="8"/>
  <c r="AC75" i="8"/>
  <c r="T75" i="8"/>
  <c r="T110" i="18" s="1"/>
  <c r="F75" i="8"/>
  <c r="F110" i="18" s="1"/>
  <c r="E75" i="8"/>
  <c r="D75" i="8"/>
  <c r="D110" i="18" s="1"/>
  <c r="BR75" i="8"/>
  <c r="BD75" i="8"/>
  <c r="BC75" i="8"/>
  <c r="BB75" i="8"/>
  <c r="AS79" i="8"/>
  <c r="AE79" i="8"/>
  <c r="AD79" i="8"/>
  <c r="AC79" i="8"/>
  <c r="T79" i="8"/>
  <c r="T113" i="18" s="1"/>
  <c r="F79" i="8"/>
  <c r="F113" i="18" s="1"/>
  <c r="E79" i="8"/>
  <c r="D79" i="8"/>
  <c r="D113" i="18" s="1"/>
  <c r="BR78" i="8"/>
  <c r="BD78" i="8"/>
  <c r="BC78" i="8"/>
  <c r="BB78" i="8"/>
  <c r="AS78" i="8"/>
  <c r="AE78" i="8"/>
  <c r="AD78" i="8"/>
  <c r="AC78" i="8"/>
  <c r="T76" i="8"/>
  <c r="T112" i="18" s="1"/>
  <c r="F76" i="8"/>
  <c r="F112" i="18" s="1"/>
  <c r="E76" i="8"/>
  <c r="E112" i="18" s="1"/>
  <c r="D76" i="8"/>
  <c r="D112" i="18" s="1"/>
  <c r="BR76" i="8"/>
  <c r="BD76" i="8"/>
  <c r="BC76" i="8"/>
  <c r="BB76" i="8"/>
  <c r="AS77" i="8"/>
  <c r="AE77" i="8"/>
  <c r="AD77" i="8"/>
  <c r="AC77" i="8"/>
  <c r="T69" i="8"/>
  <c r="T111" i="18" s="1"/>
  <c r="F69" i="8"/>
  <c r="F111" i="18" s="1"/>
  <c r="E69" i="8"/>
  <c r="E111" i="18" s="1"/>
  <c r="D69" i="8"/>
  <c r="D111" i="18" s="1"/>
  <c r="BR77" i="8"/>
  <c r="BD77" i="8"/>
  <c r="BC77" i="8"/>
  <c r="BB77" i="8"/>
  <c r="AS76" i="8"/>
  <c r="AE76" i="8"/>
  <c r="AD76" i="8"/>
  <c r="AC76" i="8"/>
  <c r="T77" i="8"/>
  <c r="T104" i="18" s="1"/>
  <c r="F77" i="8"/>
  <c r="F104" i="18" s="1"/>
  <c r="E77" i="8"/>
  <c r="E104" i="18" s="1"/>
  <c r="D77" i="8"/>
  <c r="D104" i="18" s="1"/>
  <c r="BR71" i="8"/>
  <c r="BD71" i="8"/>
  <c r="BC71" i="8"/>
  <c r="BB71" i="8"/>
  <c r="AS71" i="8"/>
  <c r="AE71" i="8"/>
  <c r="AD71" i="8"/>
  <c r="AC71" i="8"/>
  <c r="T74" i="8"/>
  <c r="T114" i="18" s="1"/>
  <c r="F74" i="8"/>
  <c r="F114" i="18" s="1"/>
  <c r="E74" i="8"/>
  <c r="D74" i="8"/>
  <c r="D114" i="18" s="1"/>
  <c r="BR69" i="8"/>
  <c r="BD69" i="8"/>
  <c r="BC69" i="8"/>
  <c r="BB69" i="8"/>
  <c r="AS74" i="8"/>
  <c r="AE74" i="8"/>
  <c r="AD74" i="8"/>
  <c r="AC74" i="8"/>
  <c r="T66" i="8"/>
  <c r="T101" i="18" s="1"/>
  <c r="F66" i="8"/>
  <c r="F101" i="18" s="1"/>
  <c r="E66" i="8"/>
  <c r="E101" i="18" s="1"/>
  <c r="D66" i="8"/>
  <c r="D101" i="18" s="1"/>
  <c r="BR74" i="8"/>
  <c r="BD74" i="8"/>
  <c r="BC74" i="8"/>
  <c r="BB74" i="8"/>
  <c r="AS66" i="8"/>
  <c r="AE66" i="8"/>
  <c r="AD66" i="8"/>
  <c r="AC66" i="8"/>
  <c r="T67" i="8"/>
  <c r="T102" i="18" s="1"/>
  <c r="F67" i="8"/>
  <c r="F102" i="18" s="1"/>
  <c r="E67" i="8"/>
  <c r="E102" i="18" s="1"/>
  <c r="D67" i="8"/>
  <c r="D102" i="18" s="1"/>
  <c r="BR72" i="8"/>
  <c r="BD72" i="8"/>
  <c r="BC72" i="8"/>
  <c r="BB72" i="8"/>
  <c r="AS68" i="8"/>
  <c r="AE68" i="8"/>
  <c r="AD68" i="8"/>
  <c r="AC68" i="8"/>
  <c r="T71" i="8"/>
  <c r="T106" i="18" s="1"/>
  <c r="F71" i="8"/>
  <c r="F106" i="18" s="1"/>
  <c r="E71" i="8"/>
  <c r="E106" i="18" s="1"/>
  <c r="D71" i="8"/>
  <c r="D106" i="18" s="1"/>
  <c r="BR70" i="8"/>
  <c r="BD70" i="8"/>
  <c r="BC70" i="8"/>
  <c r="BB70" i="8"/>
  <c r="AS67" i="8"/>
  <c r="AE67" i="8"/>
  <c r="AD67" i="8"/>
  <c r="AC67" i="8"/>
  <c r="T78" i="8"/>
  <c r="T109" i="18" s="1"/>
  <c r="F78" i="8"/>
  <c r="F109" i="18" s="1"/>
  <c r="E78" i="8"/>
  <c r="D78" i="8"/>
  <c r="D109" i="18" s="1"/>
  <c r="BR67" i="8"/>
  <c r="BD67" i="8"/>
  <c r="BC67" i="8"/>
  <c r="BB67" i="8"/>
  <c r="AS69" i="8"/>
  <c r="AE69" i="8"/>
  <c r="AD69" i="8"/>
  <c r="AC69" i="8"/>
  <c r="T70" i="8"/>
  <c r="T105" i="18" s="1"/>
  <c r="F70" i="8"/>
  <c r="F105" i="18" s="1"/>
  <c r="E70" i="8"/>
  <c r="E105" i="18" s="1"/>
  <c r="D70" i="8"/>
  <c r="D105" i="18" s="1"/>
  <c r="BR66" i="8"/>
  <c r="BD66" i="8"/>
  <c r="BC66" i="8"/>
  <c r="BB66" i="8"/>
  <c r="AS72" i="8"/>
  <c r="AE72" i="8"/>
  <c r="AD72" i="8"/>
  <c r="AC72" i="8"/>
  <c r="T73" i="8"/>
  <c r="T108" i="18" s="1"/>
  <c r="F73" i="8"/>
  <c r="F108" i="18" s="1"/>
  <c r="E73" i="8"/>
  <c r="E108" i="18" s="1"/>
  <c r="D73" i="8"/>
  <c r="D108" i="18" s="1"/>
  <c r="BR68" i="8"/>
  <c r="BD68" i="8"/>
  <c r="BC68" i="8"/>
  <c r="BB68" i="8"/>
  <c r="AS73" i="8"/>
  <c r="AE73" i="8"/>
  <c r="AD73" i="8"/>
  <c r="AC73" i="8"/>
  <c r="T72" i="8"/>
  <c r="T107" i="18" s="1"/>
  <c r="F72" i="8"/>
  <c r="F107" i="18" s="1"/>
  <c r="E72" i="8"/>
  <c r="E107" i="18" s="1"/>
  <c r="D72" i="8"/>
  <c r="D107" i="18" s="1"/>
  <c r="BR73" i="8"/>
  <c r="BD73" i="8"/>
  <c r="BC73" i="8"/>
  <c r="BB73" i="8"/>
  <c r="AS70" i="8"/>
  <c r="AE70" i="8"/>
  <c r="AD70" i="8"/>
  <c r="AC70" i="8"/>
  <c r="T68" i="8"/>
  <c r="T103" i="18" s="1"/>
  <c r="F68" i="8"/>
  <c r="F103" i="18" s="1"/>
  <c r="E68" i="8"/>
  <c r="E103" i="18" s="1"/>
  <c r="D68" i="8"/>
  <c r="D103" i="18" s="1"/>
  <c r="BP62" i="8"/>
  <c r="BO62" i="8"/>
  <c r="BN62" i="8"/>
  <c r="BM62" i="8"/>
  <c r="BK62" i="8"/>
  <c r="BJ62" i="8"/>
  <c r="BI62" i="8"/>
  <c r="BH62" i="8"/>
  <c r="BG62" i="8"/>
  <c r="BF62" i="8"/>
  <c r="BD62" i="8"/>
  <c r="BC62" i="8"/>
  <c r="AQ62" i="8"/>
  <c r="AP62" i="8"/>
  <c r="AO62" i="8"/>
  <c r="AN62" i="8"/>
  <c r="AL62" i="8"/>
  <c r="AK62" i="8"/>
  <c r="AJ62" i="8"/>
  <c r="AI62" i="8"/>
  <c r="AH62" i="8"/>
  <c r="AG62" i="8"/>
  <c r="AE62" i="8"/>
  <c r="AD62" i="8"/>
  <c r="R62" i="8"/>
  <c r="Q62" i="8"/>
  <c r="P62" i="8"/>
  <c r="O62" i="8"/>
  <c r="M62" i="8"/>
  <c r="L62" i="8"/>
  <c r="K62" i="8"/>
  <c r="J62" i="8"/>
  <c r="I62" i="8"/>
  <c r="H62" i="8"/>
  <c r="F62" i="8"/>
  <c r="E62" i="8"/>
  <c r="N57" i="3" s="1"/>
  <c r="BL59" i="8"/>
  <c r="BB59" i="8"/>
  <c r="AM61" i="8"/>
  <c r="AC61" i="8"/>
  <c r="N61" i="8"/>
  <c r="N72" i="20" s="1"/>
  <c r="D61" i="8"/>
  <c r="D72" i="20" s="1"/>
  <c r="BL60" i="8"/>
  <c r="BB60" i="8"/>
  <c r="AM58" i="8"/>
  <c r="AC58" i="8"/>
  <c r="N60" i="8"/>
  <c r="N71" i="20" s="1"/>
  <c r="D60" i="8"/>
  <c r="D71" i="20" s="1"/>
  <c r="BL61" i="8"/>
  <c r="BB61" i="8"/>
  <c r="AM59" i="8"/>
  <c r="AC59" i="8"/>
  <c r="N59" i="8"/>
  <c r="N70" i="20" s="1"/>
  <c r="D59" i="8"/>
  <c r="D70" i="20" s="1"/>
  <c r="BL56" i="8"/>
  <c r="BB56" i="8"/>
  <c r="AM60" i="8"/>
  <c r="AC60" i="8"/>
  <c r="N57" i="8"/>
  <c r="N68" i="20" s="1"/>
  <c r="D57" i="8"/>
  <c r="D68" i="20" s="1"/>
  <c r="BL57" i="8"/>
  <c r="BB57" i="8"/>
  <c r="AM57" i="8"/>
  <c r="AC57" i="8"/>
  <c r="N58" i="8"/>
  <c r="N69" i="20" s="1"/>
  <c r="D58" i="8"/>
  <c r="D69" i="20" s="1"/>
  <c r="BL58" i="8"/>
  <c r="BB58" i="8"/>
  <c r="AM56" i="8"/>
  <c r="AC56" i="8"/>
  <c r="N56" i="8"/>
  <c r="N67" i="20" s="1"/>
  <c r="D56" i="8"/>
  <c r="D67" i="20" s="1"/>
  <c r="BL55" i="8"/>
  <c r="BB55" i="8"/>
  <c r="AM55" i="8"/>
  <c r="AC55" i="8"/>
  <c r="N55" i="8"/>
  <c r="N66" i="20" s="1"/>
  <c r="D55" i="8"/>
  <c r="D66" i="20" s="1"/>
  <c r="BL54" i="8"/>
  <c r="BB54" i="8"/>
  <c r="AM54" i="8"/>
  <c r="AC54" i="8"/>
  <c r="N54" i="8"/>
  <c r="N65" i="20" s="1"/>
  <c r="D54" i="8"/>
  <c r="D65" i="20" s="1"/>
  <c r="BL53" i="8"/>
  <c r="BB53" i="8"/>
  <c r="AM53" i="8"/>
  <c r="AC53" i="8"/>
  <c r="N53" i="8"/>
  <c r="N64" i="20" s="1"/>
  <c r="D53" i="8"/>
  <c r="D64" i="20" s="1"/>
  <c r="BL52" i="8"/>
  <c r="BB52" i="8"/>
  <c r="AM52" i="8"/>
  <c r="AC52" i="8"/>
  <c r="N52" i="8"/>
  <c r="N63" i="20" s="1"/>
  <c r="D52" i="8"/>
  <c r="D63" i="20" s="1"/>
  <c r="BT49" i="8"/>
  <c r="BO49" i="8"/>
  <c r="BN49" i="8"/>
  <c r="BM49" i="8"/>
  <c r="BL49" i="8"/>
  <c r="BK49" i="8"/>
  <c r="BJ49" i="8"/>
  <c r="BI49" i="8"/>
  <c r="BH49" i="8"/>
  <c r="BG49" i="8"/>
  <c r="BF49" i="8"/>
  <c r="AU49" i="8"/>
  <c r="AP49" i="8"/>
  <c r="AO49" i="8"/>
  <c r="AN49" i="8"/>
  <c r="AM49" i="8"/>
  <c r="AL49" i="8"/>
  <c r="AK49" i="8"/>
  <c r="AJ49" i="8"/>
  <c r="AI49" i="8"/>
  <c r="AH49" i="8"/>
  <c r="AG49" i="8"/>
  <c r="V49" i="8"/>
  <c r="Q49" i="8"/>
  <c r="P49" i="8"/>
  <c r="O49" i="8"/>
  <c r="N49" i="8"/>
  <c r="M49" i="8"/>
  <c r="L49" i="8"/>
  <c r="K49" i="8"/>
  <c r="J49" i="8"/>
  <c r="I49" i="8"/>
  <c r="F50" i="3" s="1"/>
  <c r="H49" i="8"/>
  <c r="BR48" i="8"/>
  <c r="BD48" i="8"/>
  <c r="BC48" i="8"/>
  <c r="BB48" i="8"/>
  <c r="AS47" i="8"/>
  <c r="AE47" i="8"/>
  <c r="AD47" i="8"/>
  <c r="AC47" i="8"/>
  <c r="T48" i="8"/>
  <c r="T100" i="18" s="1"/>
  <c r="F48" i="8"/>
  <c r="F100" i="18" s="1"/>
  <c r="E48" i="8"/>
  <c r="E100" i="18" s="1"/>
  <c r="D48" i="8"/>
  <c r="D100" i="18" s="1"/>
  <c r="BR46" i="8"/>
  <c r="BD46" i="8"/>
  <c r="BC46" i="8"/>
  <c r="BB46" i="8"/>
  <c r="AS46" i="8"/>
  <c r="AE46" i="8"/>
  <c r="AD46" i="8"/>
  <c r="AC46" i="8"/>
  <c r="T46" i="8"/>
  <c r="T98" i="18" s="1"/>
  <c r="F46" i="8"/>
  <c r="F98" i="18" s="1"/>
  <c r="E46" i="8"/>
  <c r="E98" i="18" s="1"/>
  <c r="D46" i="8"/>
  <c r="D98" i="18" s="1"/>
  <c r="BR45" i="8"/>
  <c r="BD45" i="8"/>
  <c r="BC45" i="8"/>
  <c r="BB45" i="8"/>
  <c r="AS48" i="8"/>
  <c r="AE48" i="8"/>
  <c r="AD48" i="8"/>
  <c r="AC48" i="8"/>
  <c r="T47" i="8"/>
  <c r="T99" i="18" s="1"/>
  <c r="F47" i="8"/>
  <c r="F99" i="18" s="1"/>
  <c r="E47" i="8"/>
  <c r="E99" i="18" s="1"/>
  <c r="D47" i="8"/>
  <c r="D99" i="18" s="1"/>
  <c r="BR44" i="8"/>
  <c r="BD44" i="8"/>
  <c r="BC44" i="8"/>
  <c r="BB44" i="8"/>
  <c r="AS44" i="8"/>
  <c r="AE44" i="8"/>
  <c r="AD44" i="8"/>
  <c r="AC44" i="8"/>
  <c r="T44" i="8"/>
  <c r="T96" i="18" s="1"/>
  <c r="F44" i="8"/>
  <c r="F96" i="18" s="1"/>
  <c r="E44" i="8"/>
  <c r="E96" i="18" s="1"/>
  <c r="D44" i="8"/>
  <c r="D96" i="18" s="1"/>
  <c r="BR47" i="8"/>
  <c r="BD47" i="8"/>
  <c r="BC47" i="8"/>
  <c r="BB47" i="8"/>
  <c r="AS45" i="8"/>
  <c r="AE45" i="8"/>
  <c r="AD45" i="8"/>
  <c r="AC45" i="8"/>
  <c r="T45" i="8"/>
  <c r="T97" i="18" s="1"/>
  <c r="F45" i="8"/>
  <c r="F97" i="18" s="1"/>
  <c r="E45" i="8"/>
  <c r="D45" i="8"/>
  <c r="D97" i="18" s="1"/>
  <c r="BR35" i="8"/>
  <c r="BD35" i="8"/>
  <c r="BC35" i="8"/>
  <c r="BB35" i="8"/>
  <c r="AS36" i="8"/>
  <c r="AE36" i="8"/>
  <c r="AD36" i="8"/>
  <c r="AC36" i="8"/>
  <c r="T37" i="8"/>
  <c r="T89" i="18" s="1"/>
  <c r="F37" i="8"/>
  <c r="F89" i="18" s="1"/>
  <c r="E37" i="8"/>
  <c r="D37" i="8"/>
  <c r="D89" i="18" s="1"/>
  <c r="BR41" i="8"/>
  <c r="BD41" i="8"/>
  <c r="BC41" i="8"/>
  <c r="BB41" i="8"/>
  <c r="AS35" i="8"/>
  <c r="AE35" i="8"/>
  <c r="AD35" i="8"/>
  <c r="AC35" i="8"/>
  <c r="T36" i="8"/>
  <c r="T88" i="18" s="1"/>
  <c r="F36" i="8"/>
  <c r="E36" i="8"/>
  <c r="E88" i="18" s="1"/>
  <c r="D36" i="8"/>
  <c r="D88" i="18" s="1"/>
  <c r="BR40" i="8"/>
  <c r="BD40" i="8"/>
  <c r="BC40" i="8"/>
  <c r="BB40" i="8"/>
  <c r="AS42" i="8"/>
  <c r="AE42" i="8"/>
  <c r="AD42" i="8"/>
  <c r="AC42" i="8"/>
  <c r="T35" i="8"/>
  <c r="T87" i="18" s="1"/>
  <c r="F35" i="8"/>
  <c r="F87" i="18" s="1"/>
  <c r="E35" i="8"/>
  <c r="E87" i="18" s="1"/>
  <c r="D35" i="8"/>
  <c r="D87" i="18" s="1"/>
  <c r="BR43" i="8"/>
  <c r="BD43" i="8"/>
  <c r="BC43" i="8"/>
  <c r="BB43" i="8"/>
  <c r="AS37" i="8"/>
  <c r="AE37" i="8"/>
  <c r="AD37" i="8"/>
  <c r="AC37" i="8"/>
  <c r="T41" i="8"/>
  <c r="T93" i="18" s="1"/>
  <c r="F41" i="8"/>
  <c r="F93" i="18" s="1"/>
  <c r="E41" i="8"/>
  <c r="E93" i="18" s="1"/>
  <c r="D41" i="8"/>
  <c r="D93" i="18" s="1"/>
  <c r="BR36" i="8"/>
  <c r="BD36" i="8"/>
  <c r="BC36" i="8"/>
  <c r="BB36" i="8"/>
  <c r="AS41" i="8"/>
  <c r="AE41" i="8"/>
  <c r="AD41" i="8"/>
  <c r="AC41" i="8"/>
  <c r="T43" i="8"/>
  <c r="T95" i="18" s="1"/>
  <c r="F43" i="8"/>
  <c r="F95" i="18" s="1"/>
  <c r="E43" i="8"/>
  <c r="D43" i="8"/>
  <c r="D95" i="18" s="1"/>
  <c r="BR39" i="8"/>
  <c r="BD39" i="8"/>
  <c r="BC39" i="8"/>
  <c r="BB39" i="8"/>
  <c r="AS40" i="8"/>
  <c r="AE40" i="8"/>
  <c r="AD40" i="8"/>
  <c r="AC40" i="8"/>
  <c r="T38" i="8"/>
  <c r="T90" i="18" s="1"/>
  <c r="F38" i="8"/>
  <c r="F90" i="18" s="1"/>
  <c r="E38" i="8"/>
  <c r="E90" i="18" s="1"/>
  <c r="D38" i="8"/>
  <c r="D90" i="18" s="1"/>
  <c r="BR38" i="8"/>
  <c r="BD38" i="8"/>
  <c r="BC38" i="8"/>
  <c r="BB38" i="8"/>
  <c r="AS38" i="8"/>
  <c r="AE38" i="8"/>
  <c r="AD38" i="8"/>
  <c r="AC38" i="8"/>
  <c r="T42" i="8"/>
  <c r="T94" i="18" s="1"/>
  <c r="F42" i="8"/>
  <c r="F94" i="18" s="1"/>
  <c r="E42" i="8"/>
  <c r="E94" i="18" s="1"/>
  <c r="D42" i="8"/>
  <c r="D94" i="18" s="1"/>
  <c r="BR37" i="8"/>
  <c r="BD37" i="8"/>
  <c r="BC37" i="8"/>
  <c r="BB37" i="8"/>
  <c r="AS39" i="8"/>
  <c r="AE39" i="8"/>
  <c r="AD39" i="8"/>
  <c r="AC39" i="8"/>
  <c r="T40" i="8"/>
  <c r="T92" i="18" s="1"/>
  <c r="F40" i="8"/>
  <c r="F92" i="18" s="1"/>
  <c r="E40" i="8"/>
  <c r="E92" i="18" s="1"/>
  <c r="D40" i="8"/>
  <c r="D92" i="18" s="1"/>
  <c r="BR42" i="8"/>
  <c r="BD42" i="8"/>
  <c r="BC42" i="8"/>
  <c r="BB42" i="8"/>
  <c r="AS43" i="8"/>
  <c r="AE43" i="8"/>
  <c r="AD43" i="8"/>
  <c r="AC43" i="8"/>
  <c r="T39" i="8"/>
  <c r="F39" i="8"/>
  <c r="F91" i="18" s="1"/>
  <c r="E39" i="8"/>
  <c r="E91" i="18" s="1"/>
  <c r="D39" i="8"/>
  <c r="D91" i="18" s="1"/>
  <c r="BP31" i="8"/>
  <c r="BO31" i="8"/>
  <c r="BN31" i="8"/>
  <c r="BM31" i="8"/>
  <c r="BK31" i="8"/>
  <c r="BJ31" i="8"/>
  <c r="BI31" i="8"/>
  <c r="BH31" i="8"/>
  <c r="AY39" i="3" s="1"/>
  <c r="BG31" i="8"/>
  <c r="BF31" i="8"/>
  <c r="BD31" i="8"/>
  <c r="AV39" i="3" s="1"/>
  <c r="BC31" i="8"/>
  <c r="AQ31" i="8"/>
  <c r="AP31" i="8"/>
  <c r="AO31" i="8"/>
  <c r="AN31" i="8"/>
  <c r="AL31" i="8"/>
  <c r="AK31" i="8"/>
  <c r="AJ31" i="8"/>
  <c r="AI31" i="8"/>
  <c r="AH31" i="8"/>
  <c r="AG31" i="8"/>
  <c r="AE31" i="8"/>
  <c r="AD31" i="8"/>
  <c r="R31" i="8"/>
  <c r="Q31" i="8"/>
  <c r="P31" i="8"/>
  <c r="O31" i="8"/>
  <c r="M31" i="8"/>
  <c r="L31" i="8"/>
  <c r="K31" i="8"/>
  <c r="J31" i="8"/>
  <c r="R13" i="3" s="1"/>
  <c r="I31" i="8"/>
  <c r="H31" i="8"/>
  <c r="F31" i="8"/>
  <c r="E31" i="8"/>
  <c r="N13" i="3" s="1"/>
  <c r="BL30" i="8"/>
  <c r="BB30" i="8"/>
  <c r="AM30" i="8"/>
  <c r="AC30" i="8"/>
  <c r="N30" i="8"/>
  <c r="N62" i="20" s="1"/>
  <c r="D30" i="8"/>
  <c r="D62" i="20" s="1"/>
  <c r="BL28" i="8"/>
  <c r="BB28" i="8"/>
  <c r="AM28" i="8"/>
  <c r="AC28" i="8"/>
  <c r="N29" i="8"/>
  <c r="N61" i="20" s="1"/>
  <c r="D29" i="8"/>
  <c r="D61" i="20" s="1"/>
  <c r="BL29" i="8"/>
  <c r="BB29" i="8"/>
  <c r="AM29" i="8"/>
  <c r="AC29" i="8"/>
  <c r="N28" i="8"/>
  <c r="N60" i="20" s="1"/>
  <c r="D28" i="8"/>
  <c r="D60" i="20" s="1"/>
  <c r="BL25" i="8"/>
  <c r="BB25" i="8"/>
  <c r="AM25" i="8"/>
  <c r="AC25" i="8"/>
  <c r="N27" i="8"/>
  <c r="N59" i="20" s="1"/>
  <c r="D27" i="8"/>
  <c r="D59" i="20" s="1"/>
  <c r="BL26" i="8"/>
  <c r="BB26" i="8"/>
  <c r="AM26" i="8"/>
  <c r="AC26" i="8"/>
  <c r="N26" i="8"/>
  <c r="N58" i="20" s="1"/>
  <c r="D26" i="8"/>
  <c r="D58" i="20" s="1"/>
  <c r="BL27" i="8"/>
  <c r="BB27" i="8"/>
  <c r="AM27" i="8"/>
  <c r="AC27" i="8"/>
  <c r="N25" i="8"/>
  <c r="N57" i="20" s="1"/>
  <c r="D25" i="8"/>
  <c r="D57" i="20" s="1"/>
  <c r="BL24" i="8"/>
  <c r="BB24" i="8"/>
  <c r="AM24" i="8"/>
  <c r="AC24" i="8"/>
  <c r="N24" i="8"/>
  <c r="N55" i="20" s="1"/>
  <c r="D24" i="8"/>
  <c r="D55" i="20" s="1"/>
  <c r="BL23" i="8"/>
  <c r="BB23" i="8"/>
  <c r="AM23" i="8"/>
  <c r="AC23" i="8"/>
  <c r="N23" i="8"/>
  <c r="N56" i="20" s="1"/>
  <c r="D23" i="8"/>
  <c r="D56" i="20" s="1"/>
  <c r="BL22" i="8"/>
  <c r="BB22" i="8"/>
  <c r="AM22" i="8"/>
  <c r="AC22" i="8"/>
  <c r="N22" i="8"/>
  <c r="N54" i="20" s="1"/>
  <c r="D22" i="8"/>
  <c r="D54" i="20" s="1"/>
  <c r="BL21" i="8"/>
  <c r="BB21" i="8"/>
  <c r="AM21" i="8"/>
  <c r="AC21" i="8"/>
  <c r="N21" i="8"/>
  <c r="N53" i="20" s="1"/>
  <c r="D21" i="8"/>
  <c r="D53" i="20" s="1"/>
  <c r="BT18" i="8"/>
  <c r="BO18" i="8"/>
  <c r="BN18" i="8"/>
  <c r="BM18" i="8"/>
  <c r="BL18" i="8"/>
  <c r="BK18" i="8"/>
  <c r="BJ18" i="8"/>
  <c r="BI18" i="8"/>
  <c r="BH18" i="8"/>
  <c r="BG18" i="8"/>
  <c r="BF18" i="8"/>
  <c r="AU18" i="8"/>
  <c r="AP18" i="8"/>
  <c r="AO18" i="8"/>
  <c r="AN18" i="8"/>
  <c r="AM18" i="8"/>
  <c r="AL18" i="8"/>
  <c r="AK18" i="8"/>
  <c r="AJ18" i="8"/>
  <c r="AI18" i="8"/>
  <c r="AH18" i="8"/>
  <c r="AG18" i="8"/>
  <c r="V18" i="8"/>
  <c r="Q18" i="8"/>
  <c r="P18" i="8"/>
  <c r="O18" i="8"/>
  <c r="N18" i="8"/>
  <c r="M18" i="8"/>
  <c r="L18" i="8"/>
  <c r="K18" i="8"/>
  <c r="J18" i="8"/>
  <c r="I18" i="8"/>
  <c r="Q13" i="3" s="1"/>
  <c r="H18" i="8"/>
  <c r="BR13" i="8"/>
  <c r="BD13" i="8"/>
  <c r="BC13" i="8"/>
  <c r="BB13" i="8"/>
  <c r="AS15" i="8"/>
  <c r="AE15" i="8"/>
  <c r="AD15" i="8"/>
  <c r="AC15" i="8"/>
  <c r="T17" i="8"/>
  <c r="T86" i="18" s="1"/>
  <c r="F17" i="8"/>
  <c r="F86" i="18" s="1"/>
  <c r="E17" i="8"/>
  <c r="E86" i="18" s="1"/>
  <c r="D17" i="8"/>
  <c r="D86" i="18" s="1"/>
  <c r="BR15" i="8"/>
  <c r="BD15" i="8"/>
  <c r="BC15" i="8"/>
  <c r="BB15" i="8"/>
  <c r="AS17" i="8"/>
  <c r="AE17" i="8"/>
  <c r="AD17" i="8"/>
  <c r="AC17" i="8"/>
  <c r="T16" i="8"/>
  <c r="T85" i="18" s="1"/>
  <c r="F16" i="8"/>
  <c r="F85" i="18" s="1"/>
  <c r="E16" i="8"/>
  <c r="E85" i="18" s="1"/>
  <c r="D16" i="8"/>
  <c r="D85" i="18" s="1"/>
  <c r="BR17" i="8"/>
  <c r="BD17" i="8"/>
  <c r="BC17" i="8"/>
  <c r="BB17" i="8"/>
  <c r="AS13" i="8"/>
  <c r="AE13" i="8"/>
  <c r="AD13" i="8"/>
  <c r="AC13" i="8"/>
  <c r="T15" i="8"/>
  <c r="T84" i="18" s="1"/>
  <c r="F15" i="8"/>
  <c r="F84" i="18" s="1"/>
  <c r="E15" i="8"/>
  <c r="E84" i="18" s="1"/>
  <c r="D15" i="8"/>
  <c r="D84" i="18" s="1"/>
  <c r="BR16" i="8"/>
  <c r="BD16" i="8"/>
  <c r="BC16" i="8"/>
  <c r="BB16" i="8"/>
  <c r="AS14" i="8"/>
  <c r="AE14" i="8"/>
  <c r="AD14" i="8"/>
  <c r="AC14" i="8"/>
  <c r="T13" i="8"/>
  <c r="T82" i="18" s="1"/>
  <c r="F13" i="8"/>
  <c r="F82" i="18" s="1"/>
  <c r="E13" i="8"/>
  <c r="E82" i="18" s="1"/>
  <c r="D13" i="8"/>
  <c r="D82" i="18" s="1"/>
  <c r="BR14" i="8"/>
  <c r="BD14" i="8"/>
  <c r="BC14" i="8"/>
  <c r="BB14" i="8"/>
  <c r="AS16" i="8"/>
  <c r="AE16" i="8"/>
  <c r="AD16" i="8"/>
  <c r="AC16" i="8"/>
  <c r="T14" i="8"/>
  <c r="T83" i="18" s="1"/>
  <c r="F14" i="8"/>
  <c r="F83" i="18" s="1"/>
  <c r="E14" i="8"/>
  <c r="E83" i="18" s="1"/>
  <c r="D14" i="8"/>
  <c r="D83" i="18" s="1"/>
  <c r="BR10" i="8"/>
  <c r="BD10" i="8"/>
  <c r="BC10" i="8"/>
  <c r="BB10" i="8"/>
  <c r="AS10" i="8"/>
  <c r="AE10" i="8"/>
  <c r="AD10" i="8"/>
  <c r="AC10" i="8"/>
  <c r="T6" i="8"/>
  <c r="T75" i="18" s="1"/>
  <c r="F6" i="8"/>
  <c r="F75" i="18" s="1"/>
  <c r="E6" i="8"/>
  <c r="E75" i="18" s="1"/>
  <c r="D6" i="8"/>
  <c r="D75" i="18" s="1"/>
  <c r="BR6" i="8"/>
  <c r="BD6" i="8"/>
  <c r="BC6" i="8"/>
  <c r="BB6" i="8"/>
  <c r="AS6" i="8"/>
  <c r="AE6" i="8"/>
  <c r="AD6" i="8"/>
  <c r="AC6" i="8"/>
  <c r="T7" i="8"/>
  <c r="T76" i="18" s="1"/>
  <c r="F7" i="8"/>
  <c r="F76" i="18" s="1"/>
  <c r="E7" i="8"/>
  <c r="E76" i="18" s="1"/>
  <c r="D7" i="8"/>
  <c r="D76" i="18" s="1"/>
  <c r="BR11" i="8"/>
  <c r="BD11" i="8"/>
  <c r="BC11" i="8"/>
  <c r="BB11" i="8"/>
  <c r="AS8" i="8"/>
  <c r="AE8" i="8"/>
  <c r="AD8" i="8"/>
  <c r="AC8" i="8"/>
  <c r="T10" i="8"/>
  <c r="T79" i="18" s="1"/>
  <c r="F10" i="8"/>
  <c r="F79" i="18" s="1"/>
  <c r="E10" i="8"/>
  <c r="E79" i="18" s="1"/>
  <c r="D10" i="8"/>
  <c r="D79" i="18" s="1"/>
  <c r="BR4" i="8"/>
  <c r="BD4" i="8"/>
  <c r="BC4" i="8"/>
  <c r="BB4" i="8"/>
  <c r="AS7" i="8"/>
  <c r="AE7" i="8"/>
  <c r="AD7" i="8"/>
  <c r="AC7" i="8"/>
  <c r="T9" i="8"/>
  <c r="T78" i="18" s="1"/>
  <c r="F9" i="8"/>
  <c r="F78" i="18" s="1"/>
  <c r="E9" i="8"/>
  <c r="E78" i="18" s="1"/>
  <c r="D9" i="8"/>
  <c r="D78" i="18" s="1"/>
  <c r="BR7" i="8"/>
  <c r="BD7" i="8"/>
  <c r="BC7" i="8"/>
  <c r="BB7" i="8"/>
  <c r="AS12" i="8"/>
  <c r="AE12" i="8"/>
  <c r="AD12" i="8"/>
  <c r="AC12" i="8"/>
  <c r="T8" i="8"/>
  <c r="T77" i="18" s="1"/>
  <c r="F8" i="8"/>
  <c r="F77" i="18" s="1"/>
  <c r="E8" i="8"/>
  <c r="D8" i="8"/>
  <c r="D77" i="18" s="1"/>
  <c r="BR9" i="8"/>
  <c r="BD9" i="8"/>
  <c r="BC9" i="8"/>
  <c r="BB9" i="8"/>
  <c r="AS4" i="8"/>
  <c r="AE4" i="8"/>
  <c r="AD4" i="8"/>
  <c r="AC4" i="8"/>
  <c r="T4" i="8"/>
  <c r="T73" i="18" s="1"/>
  <c r="F4" i="8"/>
  <c r="F73" i="18" s="1"/>
  <c r="E4" i="8"/>
  <c r="E73" i="18" s="1"/>
  <c r="D4" i="8"/>
  <c r="D73" i="18" s="1"/>
  <c r="BR8" i="8"/>
  <c r="BD8" i="8"/>
  <c r="BC8" i="8"/>
  <c r="BB8" i="8"/>
  <c r="AS9" i="8"/>
  <c r="AE9" i="8"/>
  <c r="AD9" i="8"/>
  <c r="AC9" i="8"/>
  <c r="T11" i="8"/>
  <c r="T80" i="18" s="1"/>
  <c r="F11" i="8"/>
  <c r="F80" i="18" s="1"/>
  <c r="E11" i="8"/>
  <c r="E80" i="18" s="1"/>
  <c r="D11" i="8"/>
  <c r="D80" i="18" s="1"/>
  <c r="BR5" i="8"/>
  <c r="BD5" i="8"/>
  <c r="BC5" i="8"/>
  <c r="BB5" i="8"/>
  <c r="AS5" i="8"/>
  <c r="AE5" i="8"/>
  <c r="AD5" i="8"/>
  <c r="AC5" i="8"/>
  <c r="T5" i="8"/>
  <c r="T74" i="18" s="1"/>
  <c r="F5" i="8"/>
  <c r="F74" i="18" s="1"/>
  <c r="E5" i="8"/>
  <c r="E74" i="18" s="1"/>
  <c r="D5" i="8"/>
  <c r="D74" i="18" s="1"/>
  <c r="BR12" i="8"/>
  <c r="BD12" i="8"/>
  <c r="BC12" i="8"/>
  <c r="BB12" i="8"/>
  <c r="AS11" i="8"/>
  <c r="AE11" i="8"/>
  <c r="AD11" i="8"/>
  <c r="AC11" i="8"/>
  <c r="T12" i="8"/>
  <c r="T81" i="18" s="1"/>
  <c r="F12" i="8"/>
  <c r="F81" i="18" s="1"/>
  <c r="E12" i="8"/>
  <c r="D12" i="8"/>
  <c r="D81" i="18" s="1"/>
  <c r="BP249" i="7"/>
  <c r="BO249" i="7"/>
  <c r="BN249" i="7"/>
  <c r="BM249" i="7"/>
  <c r="BK249" i="7"/>
  <c r="BJ249" i="7"/>
  <c r="BI249" i="7"/>
  <c r="BH249" i="7"/>
  <c r="BG249" i="7"/>
  <c r="BF249" i="7"/>
  <c r="BD249" i="7"/>
  <c r="BC249" i="7"/>
  <c r="R249" i="7"/>
  <c r="Q249" i="7"/>
  <c r="P249" i="7"/>
  <c r="O249" i="7"/>
  <c r="M249" i="7"/>
  <c r="L249" i="7"/>
  <c r="K249" i="7"/>
  <c r="J249" i="7"/>
  <c r="I249" i="7"/>
  <c r="H249" i="7"/>
  <c r="F249" i="7"/>
  <c r="E249" i="7"/>
  <c r="BL248" i="7"/>
  <c r="BB248" i="7"/>
  <c r="N248" i="7"/>
  <c r="D248" i="7"/>
  <c r="BL247" i="7"/>
  <c r="BB247" i="7"/>
  <c r="N247" i="7"/>
  <c r="D247" i="7"/>
  <c r="BL244" i="7"/>
  <c r="BB244" i="7"/>
  <c r="N246" i="7"/>
  <c r="D246" i="7"/>
  <c r="BL245" i="7"/>
  <c r="BB245" i="7"/>
  <c r="N245" i="7"/>
  <c r="D245" i="7"/>
  <c r="BL246" i="7"/>
  <c r="BB246" i="7"/>
  <c r="N243" i="7"/>
  <c r="D243" i="7"/>
  <c r="BL243" i="7"/>
  <c r="BB243" i="7"/>
  <c r="N244" i="7"/>
  <c r="D244" i="7"/>
  <c r="BL242" i="7"/>
  <c r="BB242" i="7"/>
  <c r="N242" i="7"/>
  <c r="D242" i="7"/>
  <c r="BL241" i="7"/>
  <c r="BB241" i="7"/>
  <c r="N241" i="7"/>
  <c r="D241" i="7"/>
  <c r="BL240" i="7"/>
  <c r="BB240" i="7"/>
  <c r="N240" i="7"/>
  <c r="D240" i="7"/>
  <c r="BL239" i="7"/>
  <c r="BB239" i="7"/>
  <c r="N239" i="7"/>
  <c r="D239" i="7"/>
  <c r="BT236" i="7"/>
  <c r="BO236" i="7"/>
  <c r="BN236" i="7"/>
  <c r="BM236" i="7"/>
  <c r="BL236" i="7"/>
  <c r="BK236" i="7"/>
  <c r="BJ236" i="7"/>
  <c r="BI236" i="7"/>
  <c r="BH236" i="7"/>
  <c r="BG236" i="7"/>
  <c r="BF236" i="7"/>
  <c r="V236" i="7"/>
  <c r="Q236" i="7"/>
  <c r="P236" i="7"/>
  <c r="O236" i="7"/>
  <c r="N236" i="7"/>
  <c r="M236" i="7"/>
  <c r="L236" i="7"/>
  <c r="K236" i="7"/>
  <c r="J236" i="7"/>
  <c r="I236" i="7"/>
  <c r="H236" i="7"/>
  <c r="BR235" i="7"/>
  <c r="BD235" i="7"/>
  <c r="BC235" i="7"/>
  <c r="BB235" i="7"/>
  <c r="T233" i="7"/>
  <c r="F233" i="7"/>
  <c r="E233" i="7"/>
  <c r="D233" i="7"/>
  <c r="BR234" i="7"/>
  <c r="BD234" i="7"/>
  <c r="BC234" i="7"/>
  <c r="BB234" i="7"/>
  <c r="T234" i="7"/>
  <c r="F234" i="7"/>
  <c r="E234" i="7"/>
  <c r="D234" i="7"/>
  <c r="BR232" i="7"/>
  <c r="BD232" i="7"/>
  <c r="BC232" i="7"/>
  <c r="BB232" i="7"/>
  <c r="T235" i="7"/>
  <c r="F235" i="7"/>
  <c r="E235" i="7"/>
  <c r="D235" i="7"/>
  <c r="BR233" i="7"/>
  <c r="BD233" i="7"/>
  <c r="BC233" i="7"/>
  <c r="BB233" i="7"/>
  <c r="T231" i="7"/>
  <c r="F231" i="7"/>
  <c r="E231" i="7"/>
  <c r="D231" i="7"/>
  <c r="BR231" i="7"/>
  <c r="BD231" i="7"/>
  <c r="BC231" i="7"/>
  <c r="BB231" i="7"/>
  <c r="T232" i="7"/>
  <c r="F232" i="7"/>
  <c r="E232" i="7"/>
  <c r="D232" i="7"/>
  <c r="BR227" i="7"/>
  <c r="BD227" i="7"/>
  <c r="BC227" i="7"/>
  <c r="BB227" i="7"/>
  <c r="T222" i="7"/>
  <c r="F222" i="7"/>
  <c r="E222" i="7"/>
  <c r="D222" i="7"/>
  <c r="BR225" i="7"/>
  <c r="BD225" i="7"/>
  <c r="BC225" i="7"/>
  <c r="BB225" i="7"/>
  <c r="T226" i="7"/>
  <c r="F226" i="7"/>
  <c r="E226" i="7"/>
  <c r="D226" i="7"/>
  <c r="BR226" i="7"/>
  <c r="BD226" i="7"/>
  <c r="BC226" i="7"/>
  <c r="BB226" i="7"/>
  <c r="T228" i="7"/>
  <c r="F228" i="7"/>
  <c r="E228" i="7"/>
  <c r="D228" i="7"/>
  <c r="BR229" i="7"/>
  <c r="BD229" i="7"/>
  <c r="BC229" i="7"/>
  <c r="BB229" i="7"/>
  <c r="T230" i="7"/>
  <c r="F230" i="7"/>
  <c r="E230" i="7"/>
  <c r="D230" i="7"/>
  <c r="BR224" i="7"/>
  <c r="BD224" i="7"/>
  <c r="BC224" i="7"/>
  <c r="BB224" i="7"/>
  <c r="T224" i="7"/>
  <c r="F224" i="7"/>
  <c r="E224" i="7"/>
  <c r="D224" i="7"/>
  <c r="BR228" i="7"/>
  <c r="BD228" i="7"/>
  <c r="BC228" i="7"/>
  <c r="BB228" i="7"/>
  <c r="T225" i="7"/>
  <c r="F225" i="7"/>
  <c r="E225" i="7"/>
  <c r="D225" i="7"/>
  <c r="BR230" i="7"/>
  <c r="BD230" i="7"/>
  <c r="BC230" i="7"/>
  <c r="BB230" i="7"/>
  <c r="T223" i="7"/>
  <c r="F223" i="7"/>
  <c r="E223" i="7"/>
  <c r="D223" i="7"/>
  <c r="BR223" i="7"/>
  <c r="BD223" i="7"/>
  <c r="BC223" i="7"/>
  <c r="BB223" i="7"/>
  <c r="T229" i="7"/>
  <c r="F229" i="7"/>
  <c r="E229" i="7"/>
  <c r="D229" i="7"/>
  <c r="BR222" i="7"/>
  <c r="BD222" i="7"/>
  <c r="BC222" i="7"/>
  <c r="BB222" i="7"/>
  <c r="T227" i="7"/>
  <c r="F227" i="7"/>
  <c r="E227" i="7"/>
  <c r="D227" i="7"/>
  <c r="BP218" i="7"/>
  <c r="BO218" i="7"/>
  <c r="BN218" i="7"/>
  <c r="BM218" i="7"/>
  <c r="BK218" i="7"/>
  <c r="BJ218" i="7"/>
  <c r="BI218" i="7"/>
  <c r="BH218" i="7"/>
  <c r="BG218" i="7"/>
  <c r="BF218" i="7"/>
  <c r="BD218" i="7"/>
  <c r="BC218" i="7"/>
  <c r="AQ218" i="7"/>
  <c r="AP218" i="7"/>
  <c r="AO218" i="7"/>
  <c r="AN218" i="7"/>
  <c r="AL218" i="7"/>
  <c r="AK218" i="7"/>
  <c r="AJ218" i="7"/>
  <c r="AI218" i="7"/>
  <c r="AH218" i="7"/>
  <c r="AG218" i="7"/>
  <c r="AE218" i="7"/>
  <c r="AD218" i="7"/>
  <c r="R218" i="7"/>
  <c r="Q218" i="7"/>
  <c r="P218" i="7"/>
  <c r="O218" i="7"/>
  <c r="M218" i="7"/>
  <c r="L218" i="7"/>
  <c r="K218" i="7"/>
  <c r="J218" i="7"/>
  <c r="I218" i="7"/>
  <c r="H218" i="7"/>
  <c r="F218" i="7"/>
  <c r="E218" i="7"/>
  <c r="BL217" i="7"/>
  <c r="BB217" i="7"/>
  <c r="AM217" i="7"/>
  <c r="AC217" i="7"/>
  <c r="N217" i="7"/>
  <c r="D217" i="7"/>
  <c r="BL216" i="7"/>
  <c r="BB216" i="7"/>
  <c r="AM216" i="7"/>
  <c r="AC216" i="7"/>
  <c r="N216" i="7"/>
  <c r="D216" i="7"/>
  <c r="BL212" i="7"/>
  <c r="BB212" i="7"/>
  <c r="AM212" i="7"/>
  <c r="AC212" i="7"/>
  <c r="N215" i="7"/>
  <c r="D215" i="7"/>
  <c r="BL215" i="7"/>
  <c r="BB215" i="7"/>
  <c r="AM215" i="7"/>
  <c r="AC215" i="7"/>
  <c r="N214" i="7"/>
  <c r="D214" i="7"/>
  <c r="BL213" i="7"/>
  <c r="BB213" i="7"/>
  <c r="AM213" i="7"/>
  <c r="AC213" i="7"/>
  <c r="N213" i="7"/>
  <c r="D213" i="7"/>
  <c r="BL214" i="7"/>
  <c r="BB214" i="7"/>
  <c r="AM214" i="7"/>
  <c r="AC214" i="7"/>
  <c r="N212" i="7"/>
  <c r="D212" i="7"/>
  <c r="BL211" i="7"/>
  <c r="BB211" i="7"/>
  <c r="AM211" i="7"/>
  <c r="AC211" i="7"/>
  <c r="N211" i="7"/>
  <c r="D211" i="7"/>
  <c r="BL210" i="7"/>
  <c r="BB210" i="7"/>
  <c r="AM210" i="7"/>
  <c r="AC210" i="7"/>
  <c r="N210" i="7"/>
  <c r="D210" i="7"/>
  <c r="BL209" i="7"/>
  <c r="BB209" i="7"/>
  <c r="AM209" i="7"/>
  <c r="AC209" i="7"/>
  <c r="N209" i="7"/>
  <c r="D209" i="7"/>
  <c r="BL208" i="7"/>
  <c r="BB208" i="7"/>
  <c r="AM208" i="7"/>
  <c r="AC208" i="7"/>
  <c r="N208" i="7"/>
  <c r="D208" i="7"/>
  <c r="BT205" i="7"/>
  <c r="BO205" i="7"/>
  <c r="BN205" i="7"/>
  <c r="BM205" i="7"/>
  <c r="BL205" i="7"/>
  <c r="BK205" i="7"/>
  <c r="BJ205" i="7"/>
  <c r="BI205" i="7"/>
  <c r="BH205" i="7"/>
  <c r="BG205" i="7"/>
  <c r="BF205" i="7"/>
  <c r="AU205" i="7"/>
  <c r="AP205" i="7"/>
  <c r="AO205" i="7"/>
  <c r="AN205" i="7"/>
  <c r="AM205" i="7"/>
  <c r="AL205" i="7"/>
  <c r="AK205" i="7"/>
  <c r="AJ205" i="7"/>
  <c r="AI205" i="7"/>
  <c r="AH205" i="7"/>
  <c r="AG205" i="7"/>
  <c r="V205" i="7"/>
  <c r="Q205" i="7"/>
  <c r="P205" i="7"/>
  <c r="O205" i="7"/>
  <c r="N205" i="7"/>
  <c r="M205" i="7"/>
  <c r="L205" i="7"/>
  <c r="K205" i="7"/>
  <c r="J205" i="7"/>
  <c r="I205" i="7"/>
  <c r="H205" i="7"/>
  <c r="BR204" i="7"/>
  <c r="BD204" i="7"/>
  <c r="BC204" i="7"/>
  <c r="BB204" i="7"/>
  <c r="AS204" i="7"/>
  <c r="AE204" i="7"/>
  <c r="AD204" i="7"/>
  <c r="AC204" i="7"/>
  <c r="T202" i="7"/>
  <c r="F202" i="7"/>
  <c r="E202" i="7"/>
  <c r="D202" i="7"/>
  <c r="BR203" i="7"/>
  <c r="BD203" i="7"/>
  <c r="BC203" i="7"/>
  <c r="BB203" i="7"/>
  <c r="AS203" i="7"/>
  <c r="AE203" i="7"/>
  <c r="AD203" i="7"/>
  <c r="AC203" i="7"/>
  <c r="T201" i="7"/>
  <c r="F201" i="7"/>
  <c r="E201" i="7"/>
  <c r="D201" i="7"/>
  <c r="BR202" i="7"/>
  <c r="BD202" i="7"/>
  <c r="BC202" i="7"/>
  <c r="BB202" i="7"/>
  <c r="AS201" i="7"/>
  <c r="AE201" i="7"/>
  <c r="AD201" i="7"/>
  <c r="AC201" i="7"/>
  <c r="T200" i="7"/>
  <c r="F200" i="7"/>
  <c r="E200" i="7"/>
  <c r="D200" i="7"/>
  <c r="BR201" i="7"/>
  <c r="BD201" i="7"/>
  <c r="BC201" i="7"/>
  <c r="BB201" i="7"/>
  <c r="AS202" i="7"/>
  <c r="AE202" i="7"/>
  <c r="AD202" i="7"/>
  <c r="AC202" i="7"/>
  <c r="T204" i="7"/>
  <c r="F204" i="7"/>
  <c r="E204" i="7"/>
  <c r="D204" i="7"/>
  <c r="BR200" i="7"/>
  <c r="BD200" i="7"/>
  <c r="BC200" i="7"/>
  <c r="BB200" i="7"/>
  <c r="AS200" i="7"/>
  <c r="AE200" i="7"/>
  <c r="AD200" i="7"/>
  <c r="AC200" i="7"/>
  <c r="T203" i="7"/>
  <c r="F203" i="7"/>
  <c r="E203" i="7"/>
  <c r="D203" i="7"/>
  <c r="BR196" i="7"/>
  <c r="BD196" i="7"/>
  <c r="BC196" i="7"/>
  <c r="BB196" i="7"/>
  <c r="AS194" i="7"/>
  <c r="AE194" i="7"/>
  <c r="AD194" i="7"/>
  <c r="AC194" i="7"/>
  <c r="T197" i="7"/>
  <c r="F197" i="7"/>
  <c r="E197" i="7"/>
  <c r="D197" i="7"/>
  <c r="BR193" i="7"/>
  <c r="BD193" i="7"/>
  <c r="BC193" i="7"/>
  <c r="BB193" i="7"/>
  <c r="AS195" i="7"/>
  <c r="AE195" i="7"/>
  <c r="AD195" i="7"/>
  <c r="AC195" i="7"/>
  <c r="T198" i="7"/>
  <c r="F198" i="7"/>
  <c r="E198" i="7"/>
  <c r="D198" i="7"/>
  <c r="BR198" i="7"/>
  <c r="BD198" i="7"/>
  <c r="BC198" i="7"/>
  <c r="BB198" i="7"/>
  <c r="AS192" i="7"/>
  <c r="AE192" i="7"/>
  <c r="AD192" i="7"/>
  <c r="AC192" i="7"/>
  <c r="T195" i="7"/>
  <c r="F195" i="7"/>
  <c r="E195" i="7"/>
  <c r="D195" i="7"/>
  <c r="BR194" i="7"/>
  <c r="BD194" i="7"/>
  <c r="BC194" i="7"/>
  <c r="BB194" i="7"/>
  <c r="AS193" i="7"/>
  <c r="AE193" i="7"/>
  <c r="AD193" i="7"/>
  <c r="AC193" i="7"/>
  <c r="T199" i="7"/>
  <c r="F199" i="7"/>
  <c r="E199" i="7"/>
  <c r="D199" i="7"/>
  <c r="BR197" i="7"/>
  <c r="BD197" i="7"/>
  <c r="BC197" i="7"/>
  <c r="BB197" i="7"/>
  <c r="AS191" i="7"/>
  <c r="AE191" i="7"/>
  <c r="AD191" i="7"/>
  <c r="AC191" i="7"/>
  <c r="T193" i="7"/>
  <c r="F193" i="7"/>
  <c r="E193" i="7"/>
  <c r="D193" i="7"/>
  <c r="BR192" i="7"/>
  <c r="BD192" i="7"/>
  <c r="BC192" i="7"/>
  <c r="BB192" i="7"/>
  <c r="AS198" i="7"/>
  <c r="AE198" i="7"/>
  <c r="AD198" i="7"/>
  <c r="AC198" i="7"/>
  <c r="T191" i="7"/>
  <c r="F191" i="7"/>
  <c r="E191" i="7"/>
  <c r="D191" i="7"/>
  <c r="BR191" i="7"/>
  <c r="BD191" i="7"/>
  <c r="BC191" i="7"/>
  <c r="BB191" i="7"/>
  <c r="AS199" i="7"/>
  <c r="AE199" i="7"/>
  <c r="AD199" i="7"/>
  <c r="AC199" i="7"/>
  <c r="T196" i="7"/>
  <c r="F196" i="7"/>
  <c r="E196" i="7"/>
  <c r="D196" i="7"/>
  <c r="BR199" i="7"/>
  <c r="BD199" i="7"/>
  <c r="BC199" i="7"/>
  <c r="BB199" i="7"/>
  <c r="AS196" i="7"/>
  <c r="AE196" i="7"/>
  <c r="AD196" i="7"/>
  <c r="AC196" i="7"/>
  <c r="T192" i="7"/>
  <c r="F192" i="7"/>
  <c r="E192" i="7"/>
  <c r="D192" i="7"/>
  <c r="BR195" i="7"/>
  <c r="BD195" i="7"/>
  <c r="BC195" i="7"/>
  <c r="BB195" i="7"/>
  <c r="AS197" i="7"/>
  <c r="AE197" i="7"/>
  <c r="AD197" i="7"/>
  <c r="AC197" i="7"/>
  <c r="T194" i="7"/>
  <c r="F194" i="7"/>
  <c r="E194" i="7"/>
  <c r="D194" i="7"/>
  <c r="BP187" i="7"/>
  <c r="BO187" i="7"/>
  <c r="BN187" i="7"/>
  <c r="BM187" i="7"/>
  <c r="BK187" i="7"/>
  <c r="BJ187" i="7"/>
  <c r="BI187" i="7"/>
  <c r="BH187" i="7"/>
  <c r="BG187" i="7"/>
  <c r="BF187" i="7"/>
  <c r="BD187" i="7"/>
  <c r="BC187" i="7"/>
  <c r="AQ187" i="7"/>
  <c r="AP187" i="7"/>
  <c r="AO187" i="7"/>
  <c r="AN187" i="7"/>
  <c r="AL187" i="7"/>
  <c r="AK187" i="7"/>
  <c r="AJ187" i="7"/>
  <c r="AI187" i="7"/>
  <c r="AH187" i="7"/>
  <c r="AG187" i="7"/>
  <c r="AE187" i="7"/>
  <c r="AD187" i="7"/>
  <c r="R187" i="7"/>
  <c r="Q187" i="7"/>
  <c r="P187" i="7"/>
  <c r="O187" i="7"/>
  <c r="M187" i="7"/>
  <c r="L187" i="7"/>
  <c r="K187" i="7"/>
  <c r="J187" i="7"/>
  <c r="I187" i="7"/>
  <c r="H187" i="7"/>
  <c r="F187" i="7"/>
  <c r="E187" i="7"/>
  <c r="BL186" i="7"/>
  <c r="BB186" i="7"/>
  <c r="AM186" i="7"/>
  <c r="AC186" i="7"/>
  <c r="N186" i="7"/>
  <c r="D186" i="7"/>
  <c r="BL185" i="7"/>
  <c r="BB185" i="7"/>
  <c r="AM185" i="7"/>
  <c r="AC185" i="7"/>
  <c r="N185" i="7"/>
  <c r="D185" i="7"/>
  <c r="BL182" i="7"/>
  <c r="BB182" i="7"/>
  <c r="AM183" i="7"/>
  <c r="AC183" i="7"/>
  <c r="N183" i="7"/>
  <c r="D183" i="7"/>
  <c r="BL183" i="7"/>
  <c r="BB183" i="7"/>
  <c r="AM182" i="7"/>
  <c r="AC182" i="7"/>
  <c r="N182" i="7"/>
  <c r="D182" i="7"/>
  <c r="BL184" i="7"/>
  <c r="BB184" i="7"/>
  <c r="AM184" i="7"/>
  <c r="AC184" i="7"/>
  <c r="N184" i="7"/>
  <c r="D184" i="7"/>
  <c r="BL181" i="7"/>
  <c r="BB181" i="7"/>
  <c r="AM181" i="7"/>
  <c r="AC181" i="7"/>
  <c r="N181" i="7"/>
  <c r="D181" i="7"/>
  <c r="BL180" i="7"/>
  <c r="BB180" i="7"/>
  <c r="AM180" i="7"/>
  <c r="AC180" i="7"/>
  <c r="N180" i="7"/>
  <c r="D180" i="7"/>
  <c r="BL179" i="7"/>
  <c r="BB179" i="7"/>
  <c r="AM179" i="7"/>
  <c r="AC179" i="7"/>
  <c r="N179" i="7"/>
  <c r="D179" i="7"/>
  <c r="BL178" i="7"/>
  <c r="BB178" i="7"/>
  <c r="AM178" i="7"/>
  <c r="AC178" i="7"/>
  <c r="N178" i="7"/>
  <c r="D178" i="7"/>
  <c r="BL177" i="7"/>
  <c r="BB177" i="7"/>
  <c r="AM177" i="7"/>
  <c r="AC177" i="7"/>
  <c r="N177" i="7"/>
  <c r="D177" i="7"/>
  <c r="BT174" i="7"/>
  <c r="BO174" i="7"/>
  <c r="BN174" i="7"/>
  <c r="BM174" i="7"/>
  <c r="BL174" i="7"/>
  <c r="BK174" i="7"/>
  <c r="BJ174" i="7"/>
  <c r="BI174" i="7"/>
  <c r="BH174" i="7"/>
  <c r="BG174" i="7"/>
  <c r="BF174" i="7"/>
  <c r="AU174" i="7"/>
  <c r="AP174" i="7"/>
  <c r="AO174" i="7"/>
  <c r="AN174" i="7"/>
  <c r="AM174" i="7"/>
  <c r="AL174" i="7"/>
  <c r="AK174" i="7"/>
  <c r="AJ174" i="7"/>
  <c r="AI174" i="7"/>
  <c r="AH174" i="7"/>
  <c r="AG174" i="7"/>
  <c r="V174" i="7"/>
  <c r="Q174" i="7"/>
  <c r="P174" i="7"/>
  <c r="O174" i="7"/>
  <c r="N174" i="7"/>
  <c r="M174" i="7"/>
  <c r="L174" i="7"/>
  <c r="K174" i="7"/>
  <c r="J174" i="7"/>
  <c r="I174" i="7"/>
  <c r="H174" i="7"/>
  <c r="BR173" i="7"/>
  <c r="BD173" i="7"/>
  <c r="BC173" i="7"/>
  <c r="BB173" i="7"/>
  <c r="AS170" i="7"/>
  <c r="AE170" i="7"/>
  <c r="AD170" i="7"/>
  <c r="AC170" i="7"/>
  <c r="T173" i="7"/>
  <c r="F173" i="7"/>
  <c r="E173" i="7"/>
  <c r="D173" i="7"/>
  <c r="BR172" i="7"/>
  <c r="BD172" i="7"/>
  <c r="BC172" i="7"/>
  <c r="BB172" i="7"/>
  <c r="AS171" i="7"/>
  <c r="AE171" i="7"/>
  <c r="AD171" i="7"/>
  <c r="AC171" i="7"/>
  <c r="T169" i="7"/>
  <c r="F169" i="7"/>
  <c r="E169" i="7"/>
  <c r="D169" i="7"/>
  <c r="BR170" i="7"/>
  <c r="BD170" i="7"/>
  <c r="BC170" i="7"/>
  <c r="BB170" i="7"/>
  <c r="AS172" i="7"/>
  <c r="AE172" i="7"/>
  <c r="AD172" i="7"/>
  <c r="AC172" i="7"/>
  <c r="T170" i="7"/>
  <c r="F170" i="7"/>
  <c r="E170" i="7"/>
  <c r="D170" i="7"/>
  <c r="BR171" i="7"/>
  <c r="BD171" i="7"/>
  <c r="BC171" i="7"/>
  <c r="BB171" i="7"/>
  <c r="AS169" i="7"/>
  <c r="AE169" i="7"/>
  <c r="AD169" i="7"/>
  <c r="AC169" i="7"/>
  <c r="T171" i="7"/>
  <c r="F171" i="7"/>
  <c r="E171" i="7"/>
  <c r="D171" i="7"/>
  <c r="BR169" i="7"/>
  <c r="BD169" i="7"/>
  <c r="BC169" i="7"/>
  <c r="BB169" i="7"/>
  <c r="AS173" i="7"/>
  <c r="AE173" i="7"/>
  <c r="AD173" i="7"/>
  <c r="AC173" i="7"/>
  <c r="T172" i="7"/>
  <c r="F172" i="7"/>
  <c r="E172" i="7"/>
  <c r="D172" i="7"/>
  <c r="BR165" i="7"/>
  <c r="BD165" i="7"/>
  <c r="BC165" i="7"/>
  <c r="BB165" i="7"/>
  <c r="AS166" i="7"/>
  <c r="AE166" i="7"/>
  <c r="AD166" i="7"/>
  <c r="AC166" i="7"/>
  <c r="T160" i="7"/>
  <c r="F160" i="7"/>
  <c r="E160" i="7"/>
  <c r="D160" i="7"/>
  <c r="BR163" i="7"/>
  <c r="BD163" i="7"/>
  <c r="BC163" i="7"/>
  <c r="BB163" i="7"/>
  <c r="AS162" i="7"/>
  <c r="AE162" i="7"/>
  <c r="AD162" i="7"/>
  <c r="AC162" i="7"/>
  <c r="T167" i="7"/>
  <c r="F167" i="7"/>
  <c r="E167" i="7"/>
  <c r="D167" i="7"/>
  <c r="BR162" i="7"/>
  <c r="BD162" i="7"/>
  <c r="BC162" i="7"/>
  <c r="BB162" i="7"/>
  <c r="AS163" i="7"/>
  <c r="AE163" i="7"/>
  <c r="AD163" i="7"/>
  <c r="AC163" i="7"/>
  <c r="T161" i="7"/>
  <c r="F161" i="7"/>
  <c r="E161" i="7"/>
  <c r="D161" i="7"/>
  <c r="BR168" i="7"/>
  <c r="BD168" i="7"/>
  <c r="BC168" i="7"/>
  <c r="BB168" i="7"/>
  <c r="AS160" i="7"/>
  <c r="AE160" i="7"/>
  <c r="AD160" i="7"/>
  <c r="AC160" i="7"/>
  <c r="T162" i="7"/>
  <c r="F162" i="7"/>
  <c r="E162" i="7"/>
  <c r="D162" i="7"/>
  <c r="BR167" i="7"/>
  <c r="BD167" i="7"/>
  <c r="BC167" i="7"/>
  <c r="BB167" i="7"/>
  <c r="AS164" i="7"/>
  <c r="AE164" i="7"/>
  <c r="AD164" i="7"/>
  <c r="AC164" i="7"/>
  <c r="T166" i="7"/>
  <c r="F166" i="7"/>
  <c r="E166" i="7"/>
  <c r="D166" i="7"/>
  <c r="BR161" i="7"/>
  <c r="BD161" i="7"/>
  <c r="BC161" i="7"/>
  <c r="BB161" i="7"/>
  <c r="AS167" i="7"/>
  <c r="AE167" i="7"/>
  <c r="AD167" i="7"/>
  <c r="AC167" i="7"/>
  <c r="T163" i="7"/>
  <c r="F163" i="7"/>
  <c r="E163" i="7"/>
  <c r="D163" i="7"/>
  <c r="BR160" i="7"/>
  <c r="BD160" i="7"/>
  <c r="BC160" i="7"/>
  <c r="BB160" i="7"/>
  <c r="AS168" i="7"/>
  <c r="AE168" i="7"/>
  <c r="AD168" i="7"/>
  <c r="AC168" i="7"/>
  <c r="T164" i="7"/>
  <c r="F164" i="7"/>
  <c r="E164" i="7"/>
  <c r="D164" i="7"/>
  <c r="BR166" i="7"/>
  <c r="BD166" i="7"/>
  <c r="BC166" i="7"/>
  <c r="BB166" i="7"/>
  <c r="AS161" i="7"/>
  <c r="AE161" i="7"/>
  <c r="AD161" i="7"/>
  <c r="AC161" i="7"/>
  <c r="T165" i="7"/>
  <c r="F165" i="7"/>
  <c r="E165" i="7"/>
  <c r="D165" i="7"/>
  <c r="BR164" i="7"/>
  <c r="BD164" i="7"/>
  <c r="BC164" i="7"/>
  <c r="BB164" i="7"/>
  <c r="AS165" i="7"/>
  <c r="AE165" i="7"/>
  <c r="AD165" i="7"/>
  <c r="AC165" i="7"/>
  <c r="T168" i="7"/>
  <c r="F168" i="7"/>
  <c r="E168" i="7"/>
  <c r="D168" i="7"/>
  <c r="BP155" i="7"/>
  <c r="BO155" i="7"/>
  <c r="BN155" i="7"/>
  <c r="BM155" i="7"/>
  <c r="BK155" i="7"/>
  <c r="BJ155" i="7"/>
  <c r="BI155" i="7"/>
  <c r="BH155" i="7"/>
  <c r="BG155" i="7"/>
  <c r="BF155" i="7"/>
  <c r="BD155" i="7"/>
  <c r="BC155" i="7"/>
  <c r="AU53" i="3" s="1"/>
  <c r="AQ155" i="7"/>
  <c r="AP155" i="7"/>
  <c r="AO155" i="7"/>
  <c r="AN155" i="7"/>
  <c r="AL155" i="7"/>
  <c r="AK155" i="7"/>
  <c r="AJ155" i="7"/>
  <c r="AI155" i="7"/>
  <c r="AH155" i="7"/>
  <c r="AG155" i="7"/>
  <c r="AE155" i="7"/>
  <c r="AD155" i="7"/>
  <c r="R155" i="7"/>
  <c r="Q155" i="7"/>
  <c r="P155" i="7"/>
  <c r="O155" i="7"/>
  <c r="M155" i="7"/>
  <c r="L155" i="7"/>
  <c r="K155" i="7"/>
  <c r="J155" i="7"/>
  <c r="R7" i="3" s="1"/>
  <c r="I155" i="7"/>
  <c r="H155" i="7"/>
  <c r="F155" i="7"/>
  <c r="D52" i="3" s="1"/>
  <c r="E155" i="7"/>
  <c r="C52" i="3" s="1"/>
  <c r="BL154" i="7"/>
  <c r="BB154" i="7"/>
  <c r="AM154" i="7"/>
  <c r="AC154" i="7"/>
  <c r="N154" i="7"/>
  <c r="N52" i="20" s="1"/>
  <c r="D154" i="7"/>
  <c r="D52" i="20" s="1"/>
  <c r="BL153" i="7"/>
  <c r="BB153" i="7"/>
  <c r="AM152" i="7"/>
  <c r="AC152" i="7"/>
  <c r="N152" i="7"/>
  <c r="N50" i="20" s="1"/>
  <c r="D152" i="7"/>
  <c r="D50" i="20" s="1"/>
  <c r="BL150" i="7"/>
  <c r="BB150" i="7"/>
  <c r="AM151" i="7"/>
  <c r="AC151" i="7"/>
  <c r="N151" i="7"/>
  <c r="N49" i="20" s="1"/>
  <c r="D151" i="7"/>
  <c r="D49" i="20" s="1"/>
  <c r="BL149" i="7"/>
  <c r="BB149" i="7"/>
  <c r="AM149" i="7"/>
  <c r="AC149" i="7"/>
  <c r="N150" i="7"/>
  <c r="N48" i="20" s="1"/>
  <c r="D150" i="7"/>
  <c r="D48" i="20" s="1"/>
  <c r="BL151" i="7"/>
  <c r="BB151" i="7"/>
  <c r="AM150" i="7"/>
  <c r="AC150" i="7"/>
  <c r="N153" i="7"/>
  <c r="N51" i="20" s="1"/>
  <c r="D153" i="7"/>
  <c r="D51" i="20" s="1"/>
  <c r="BL152" i="7"/>
  <c r="BB152" i="7"/>
  <c r="AM153" i="7"/>
  <c r="AC153" i="7"/>
  <c r="N149" i="7"/>
  <c r="N47" i="20" s="1"/>
  <c r="D149" i="7"/>
  <c r="D47" i="20" s="1"/>
  <c r="BL148" i="7"/>
  <c r="BB148" i="7"/>
  <c r="AM148" i="7"/>
  <c r="AC148" i="7"/>
  <c r="N148" i="7"/>
  <c r="N46" i="20" s="1"/>
  <c r="D148" i="7"/>
  <c r="D46" i="20" s="1"/>
  <c r="BL147" i="7"/>
  <c r="BB147" i="7"/>
  <c r="AM147" i="7"/>
  <c r="AC147" i="7"/>
  <c r="N147" i="7"/>
  <c r="N45" i="20" s="1"/>
  <c r="D147" i="7"/>
  <c r="D45" i="20" s="1"/>
  <c r="BL146" i="7"/>
  <c r="BB146" i="7"/>
  <c r="AM146" i="7"/>
  <c r="AC146" i="7"/>
  <c r="N146" i="7"/>
  <c r="N44" i="20" s="1"/>
  <c r="D146" i="7"/>
  <c r="D44" i="20" s="1"/>
  <c r="BL145" i="7"/>
  <c r="BB145" i="7"/>
  <c r="AM145" i="7"/>
  <c r="AC145" i="7"/>
  <c r="N145" i="7"/>
  <c r="N43" i="20" s="1"/>
  <c r="D145" i="7"/>
  <c r="D43" i="20" s="1"/>
  <c r="BT142" i="7"/>
  <c r="BO142" i="7"/>
  <c r="BN142" i="7"/>
  <c r="BM142" i="7"/>
  <c r="BL142" i="7"/>
  <c r="BK142" i="7"/>
  <c r="BJ142" i="7"/>
  <c r="BI142" i="7"/>
  <c r="BH142" i="7"/>
  <c r="BG142" i="7"/>
  <c r="BF142" i="7"/>
  <c r="AU142" i="7"/>
  <c r="AP142" i="7"/>
  <c r="AO142" i="7"/>
  <c r="AN142" i="7"/>
  <c r="AM142" i="7"/>
  <c r="AL142" i="7"/>
  <c r="AK142" i="7"/>
  <c r="AJ142" i="7"/>
  <c r="AI142" i="7"/>
  <c r="AH142" i="7"/>
  <c r="AG142" i="7"/>
  <c r="V142" i="7"/>
  <c r="Q142" i="7"/>
  <c r="P142" i="7"/>
  <c r="O142" i="7"/>
  <c r="N142" i="7"/>
  <c r="M142" i="7"/>
  <c r="L142" i="7"/>
  <c r="K142" i="7"/>
  <c r="J142" i="7"/>
  <c r="I142" i="7"/>
  <c r="Q7" i="3" s="1"/>
  <c r="H142" i="7"/>
  <c r="BR139" i="7"/>
  <c r="BD139" i="7"/>
  <c r="BC139" i="7"/>
  <c r="BB139" i="7"/>
  <c r="AS139" i="7"/>
  <c r="AE139" i="7"/>
  <c r="AD139" i="7"/>
  <c r="AC139" i="7"/>
  <c r="T141" i="7"/>
  <c r="T72" i="18" s="1"/>
  <c r="F141" i="7"/>
  <c r="F72" i="18" s="1"/>
  <c r="E141" i="7"/>
  <c r="E72" i="18" s="1"/>
  <c r="D141" i="7"/>
  <c r="D72" i="18" s="1"/>
  <c r="BR137" i="7"/>
  <c r="BD137" i="7"/>
  <c r="BC137" i="7"/>
  <c r="BB137" i="7"/>
  <c r="AS141" i="7"/>
  <c r="AE141" i="7"/>
  <c r="AD141" i="7"/>
  <c r="AC141" i="7"/>
  <c r="T139" i="7"/>
  <c r="T70" i="18" s="1"/>
  <c r="F139" i="7"/>
  <c r="F70" i="18" s="1"/>
  <c r="E139" i="7"/>
  <c r="E70" i="18" s="1"/>
  <c r="D139" i="7"/>
  <c r="D70" i="18" s="1"/>
  <c r="BR140" i="7"/>
  <c r="BD140" i="7"/>
  <c r="BC140" i="7"/>
  <c r="BB140" i="7"/>
  <c r="AS137" i="7"/>
  <c r="AE137" i="7"/>
  <c r="AD137" i="7"/>
  <c r="AC137" i="7"/>
  <c r="T137" i="7"/>
  <c r="T68" i="18" s="1"/>
  <c r="F137" i="7"/>
  <c r="F68" i="18" s="1"/>
  <c r="E137" i="7"/>
  <c r="E68" i="18" s="1"/>
  <c r="D137" i="7"/>
  <c r="D68" i="18" s="1"/>
  <c r="BR141" i="7"/>
  <c r="BD141" i="7"/>
  <c r="BC141" i="7"/>
  <c r="BB141" i="7"/>
  <c r="AS138" i="7"/>
  <c r="AE138" i="7"/>
  <c r="AD138" i="7"/>
  <c r="AC138" i="7"/>
  <c r="T138" i="7"/>
  <c r="T69" i="18" s="1"/>
  <c r="F138" i="7"/>
  <c r="F69" i="18" s="1"/>
  <c r="E138" i="7"/>
  <c r="E69" i="18" s="1"/>
  <c r="D138" i="7"/>
  <c r="D69" i="18" s="1"/>
  <c r="BR138" i="7"/>
  <c r="BD138" i="7"/>
  <c r="BC138" i="7"/>
  <c r="BB138" i="7"/>
  <c r="AS130" i="7"/>
  <c r="AE130" i="7"/>
  <c r="AD130" i="7"/>
  <c r="AC130" i="7"/>
  <c r="T140" i="7"/>
  <c r="T71" i="18" s="1"/>
  <c r="F140" i="7"/>
  <c r="F71" i="18" s="1"/>
  <c r="E140" i="7"/>
  <c r="E71" i="18" s="1"/>
  <c r="D140" i="7"/>
  <c r="D71" i="18" s="1"/>
  <c r="BR128" i="7"/>
  <c r="BD128" i="7"/>
  <c r="BC128" i="7"/>
  <c r="BB128" i="7"/>
  <c r="AS140" i="7"/>
  <c r="AE140" i="7"/>
  <c r="AD140" i="7"/>
  <c r="AC140" i="7"/>
  <c r="T136" i="7"/>
  <c r="T67" i="18" s="1"/>
  <c r="F136" i="7"/>
  <c r="F67" i="18" s="1"/>
  <c r="E136" i="7"/>
  <c r="E67" i="18" s="1"/>
  <c r="D136" i="7"/>
  <c r="D67" i="18" s="1"/>
  <c r="BR129" i="7"/>
  <c r="BD129" i="7"/>
  <c r="BC129" i="7"/>
  <c r="BB129" i="7"/>
  <c r="AS136" i="7"/>
  <c r="AE136" i="7"/>
  <c r="AD136" i="7"/>
  <c r="AC136" i="7"/>
  <c r="T128" i="7"/>
  <c r="T59" i="18" s="1"/>
  <c r="F128" i="7"/>
  <c r="F59" i="18" s="1"/>
  <c r="E128" i="7"/>
  <c r="E59" i="18" s="1"/>
  <c r="D128" i="7"/>
  <c r="D59" i="18" s="1"/>
  <c r="BR132" i="7"/>
  <c r="BD132" i="7"/>
  <c r="BC132" i="7"/>
  <c r="BB132" i="7"/>
  <c r="AS128" i="7"/>
  <c r="AE128" i="7"/>
  <c r="AD128" i="7"/>
  <c r="AC128" i="7"/>
  <c r="T134" i="7"/>
  <c r="T65" i="18" s="1"/>
  <c r="F134" i="7"/>
  <c r="F65" i="18" s="1"/>
  <c r="E134" i="7"/>
  <c r="E65" i="18" s="1"/>
  <c r="D134" i="7"/>
  <c r="D65" i="18" s="1"/>
  <c r="BR134" i="7"/>
  <c r="BD134" i="7"/>
  <c r="BC134" i="7"/>
  <c r="BB134" i="7"/>
  <c r="AS129" i="7"/>
  <c r="AE129" i="7"/>
  <c r="AD129" i="7"/>
  <c r="AC129" i="7"/>
  <c r="T133" i="7"/>
  <c r="T64" i="18" s="1"/>
  <c r="F133" i="7"/>
  <c r="F64" i="18" s="1"/>
  <c r="E133" i="7"/>
  <c r="E64" i="18" s="1"/>
  <c r="D133" i="7"/>
  <c r="D64" i="18" s="1"/>
  <c r="BR136" i="7"/>
  <c r="BD136" i="7"/>
  <c r="BC136" i="7"/>
  <c r="BB136" i="7"/>
  <c r="AS133" i="7"/>
  <c r="AE133" i="7"/>
  <c r="AD133" i="7"/>
  <c r="AC133" i="7"/>
  <c r="T129" i="7"/>
  <c r="T60" i="18" s="1"/>
  <c r="F129" i="7"/>
  <c r="F60" i="18" s="1"/>
  <c r="E129" i="7"/>
  <c r="E60" i="18" s="1"/>
  <c r="D129" i="7"/>
  <c r="D60" i="18" s="1"/>
  <c r="BR135" i="7"/>
  <c r="BD135" i="7"/>
  <c r="BC135" i="7"/>
  <c r="BB135" i="7"/>
  <c r="AS132" i="7"/>
  <c r="AE132" i="7"/>
  <c r="AD132" i="7"/>
  <c r="AC132" i="7"/>
  <c r="T135" i="7"/>
  <c r="T66" i="18" s="1"/>
  <c r="F135" i="7"/>
  <c r="F66" i="18" s="1"/>
  <c r="E135" i="7"/>
  <c r="E66" i="18" s="1"/>
  <c r="D135" i="7"/>
  <c r="D66" i="18" s="1"/>
  <c r="BR133" i="7"/>
  <c r="BD133" i="7"/>
  <c r="BC133" i="7"/>
  <c r="BB133" i="7"/>
  <c r="AS135" i="7"/>
  <c r="AE135" i="7"/>
  <c r="AD135" i="7"/>
  <c r="AC135" i="7"/>
  <c r="T131" i="7"/>
  <c r="T62" i="18" s="1"/>
  <c r="F131" i="7"/>
  <c r="F62" i="18" s="1"/>
  <c r="E131" i="7"/>
  <c r="E62" i="18" s="1"/>
  <c r="D131" i="7"/>
  <c r="D62" i="18" s="1"/>
  <c r="BR131" i="7"/>
  <c r="BD131" i="7"/>
  <c r="BC131" i="7"/>
  <c r="BB131" i="7"/>
  <c r="AS131" i="7"/>
  <c r="AE131" i="7"/>
  <c r="AD131" i="7"/>
  <c r="AC131" i="7"/>
  <c r="T132" i="7"/>
  <c r="T63" i="18" s="1"/>
  <c r="F132" i="7"/>
  <c r="F63" i="18" s="1"/>
  <c r="E132" i="7"/>
  <c r="E63" i="18" s="1"/>
  <c r="D132" i="7"/>
  <c r="D63" i="18" s="1"/>
  <c r="BR130" i="7"/>
  <c r="BD130" i="7"/>
  <c r="BC130" i="7"/>
  <c r="BB130" i="7"/>
  <c r="AS134" i="7"/>
  <c r="AE134" i="7"/>
  <c r="AD134" i="7"/>
  <c r="AC134" i="7"/>
  <c r="T130" i="7"/>
  <c r="T61" i="18" s="1"/>
  <c r="F130" i="7"/>
  <c r="F61" i="18" s="1"/>
  <c r="E130" i="7"/>
  <c r="E61" i="18" s="1"/>
  <c r="D130" i="7"/>
  <c r="D61" i="18" s="1"/>
  <c r="BP124" i="7"/>
  <c r="BO124" i="7"/>
  <c r="BN124" i="7"/>
  <c r="BM124" i="7"/>
  <c r="BK124" i="7"/>
  <c r="BJ124" i="7"/>
  <c r="BI124" i="7"/>
  <c r="BH124" i="7"/>
  <c r="AY47" i="3" s="1"/>
  <c r="BG124" i="7"/>
  <c r="BF124" i="7"/>
  <c r="BD124" i="7"/>
  <c r="BC124" i="7"/>
  <c r="AU47" i="3" s="1"/>
  <c r="AQ124" i="7"/>
  <c r="AP124" i="7"/>
  <c r="AO124" i="7"/>
  <c r="AN124" i="7"/>
  <c r="AL124" i="7"/>
  <c r="AK124" i="7"/>
  <c r="AJ124" i="7"/>
  <c r="AI124" i="7"/>
  <c r="AH124" i="7"/>
  <c r="AG124" i="7"/>
  <c r="AE124" i="7"/>
  <c r="AD124" i="7"/>
  <c r="R124" i="7"/>
  <c r="Q124" i="7"/>
  <c r="P124" i="7"/>
  <c r="O124" i="7"/>
  <c r="M124" i="7"/>
  <c r="L124" i="7"/>
  <c r="K124" i="7"/>
  <c r="J124" i="7"/>
  <c r="I124" i="7"/>
  <c r="H124" i="7"/>
  <c r="F124" i="7"/>
  <c r="D59" i="3" s="1"/>
  <c r="E124" i="7"/>
  <c r="C59" i="3" s="1"/>
  <c r="BL123" i="7"/>
  <c r="BB123" i="7"/>
  <c r="AM123" i="7"/>
  <c r="AC123" i="7"/>
  <c r="N122" i="7"/>
  <c r="N41" i="20" s="1"/>
  <c r="D122" i="7"/>
  <c r="D41" i="20" s="1"/>
  <c r="BL122" i="7"/>
  <c r="BB122" i="7"/>
  <c r="AM122" i="7"/>
  <c r="AC122" i="7"/>
  <c r="N123" i="7"/>
  <c r="N42" i="20" s="1"/>
  <c r="D123" i="7"/>
  <c r="D42" i="20" s="1"/>
  <c r="BL121" i="7"/>
  <c r="BB121" i="7"/>
  <c r="AM121" i="7"/>
  <c r="AC121" i="7"/>
  <c r="N121" i="7"/>
  <c r="N40" i="20" s="1"/>
  <c r="D121" i="7"/>
  <c r="D40" i="20" s="1"/>
  <c r="BL118" i="7"/>
  <c r="BB118" i="7"/>
  <c r="AM119" i="7"/>
  <c r="AC119" i="7"/>
  <c r="N120" i="7"/>
  <c r="N39" i="20" s="1"/>
  <c r="D120" i="7"/>
  <c r="D39" i="20" s="1"/>
  <c r="BL119" i="7"/>
  <c r="BB119" i="7"/>
  <c r="AM120" i="7"/>
  <c r="AC120" i="7"/>
  <c r="N118" i="7"/>
  <c r="N37" i="20" s="1"/>
  <c r="D118" i="7"/>
  <c r="D37" i="20" s="1"/>
  <c r="BL120" i="7"/>
  <c r="BB120" i="7"/>
  <c r="AM118" i="7"/>
  <c r="AC118" i="7"/>
  <c r="N119" i="7"/>
  <c r="N38" i="20" s="1"/>
  <c r="D119" i="7"/>
  <c r="D38" i="20" s="1"/>
  <c r="BL116" i="7"/>
  <c r="BB116" i="7"/>
  <c r="AM117" i="7"/>
  <c r="AC117" i="7"/>
  <c r="N117" i="7"/>
  <c r="N36" i="20" s="1"/>
  <c r="D117" i="7"/>
  <c r="D36" i="20" s="1"/>
  <c r="BL117" i="7"/>
  <c r="BB117" i="7"/>
  <c r="AM116" i="7"/>
  <c r="AC116" i="7"/>
  <c r="N116" i="7"/>
  <c r="N35" i="20" s="1"/>
  <c r="D116" i="7"/>
  <c r="D35" i="20" s="1"/>
  <c r="BL115" i="7"/>
  <c r="BB115" i="7"/>
  <c r="AM115" i="7"/>
  <c r="AC115" i="7"/>
  <c r="N115" i="7"/>
  <c r="N34" i="20" s="1"/>
  <c r="D115" i="7"/>
  <c r="D34" i="20" s="1"/>
  <c r="BL114" i="7"/>
  <c r="BB114" i="7"/>
  <c r="AM114" i="7"/>
  <c r="AC114" i="7"/>
  <c r="N114" i="7"/>
  <c r="N33" i="20" s="1"/>
  <c r="D114" i="7"/>
  <c r="D33" i="20" s="1"/>
  <c r="BT111" i="7"/>
  <c r="BO111" i="7"/>
  <c r="BN111" i="7"/>
  <c r="BM111" i="7"/>
  <c r="BL111" i="7"/>
  <c r="BK111" i="7"/>
  <c r="BJ111" i="7"/>
  <c r="BI111" i="7"/>
  <c r="BH111" i="7"/>
  <c r="BG111" i="7"/>
  <c r="AX47" i="3" s="1"/>
  <c r="BF111" i="7"/>
  <c r="AU111" i="7"/>
  <c r="AP111" i="7"/>
  <c r="AO111" i="7"/>
  <c r="AN111" i="7"/>
  <c r="AM111" i="7"/>
  <c r="AL111" i="7"/>
  <c r="AK111" i="7"/>
  <c r="AJ111" i="7"/>
  <c r="AI111" i="7"/>
  <c r="AH111" i="7"/>
  <c r="AG111" i="7"/>
  <c r="V111" i="7"/>
  <c r="Q111" i="7"/>
  <c r="P111" i="7"/>
  <c r="O111" i="7"/>
  <c r="N111" i="7"/>
  <c r="M111" i="7"/>
  <c r="L111" i="7"/>
  <c r="K111" i="7"/>
  <c r="J111" i="7"/>
  <c r="I111" i="7"/>
  <c r="F59" i="3" s="1"/>
  <c r="H111" i="7"/>
  <c r="BR108" i="7"/>
  <c r="BD108" i="7"/>
  <c r="BC108" i="7"/>
  <c r="BB108" i="7"/>
  <c r="AS106" i="7"/>
  <c r="AE106" i="7"/>
  <c r="AD106" i="7"/>
  <c r="AC106" i="7"/>
  <c r="T109" i="7"/>
  <c r="T57" i="18" s="1"/>
  <c r="F109" i="7"/>
  <c r="F57" i="18" s="1"/>
  <c r="E109" i="7"/>
  <c r="E57" i="18" s="1"/>
  <c r="D109" i="7"/>
  <c r="D57" i="18" s="1"/>
  <c r="BR110" i="7"/>
  <c r="BD110" i="7"/>
  <c r="BC110" i="7"/>
  <c r="BB110" i="7"/>
  <c r="AS108" i="7"/>
  <c r="AE108" i="7"/>
  <c r="AD108" i="7"/>
  <c r="AC108" i="7"/>
  <c r="T108" i="7"/>
  <c r="T56" i="18" s="1"/>
  <c r="F108" i="7"/>
  <c r="F56" i="18" s="1"/>
  <c r="E108" i="7"/>
  <c r="E56" i="18" s="1"/>
  <c r="D108" i="7"/>
  <c r="D56" i="18" s="1"/>
  <c r="BR107" i="7"/>
  <c r="BD107" i="7"/>
  <c r="BC107" i="7"/>
  <c r="BB107" i="7"/>
  <c r="AS107" i="7"/>
  <c r="AE107" i="7"/>
  <c r="AD107" i="7"/>
  <c r="AC107" i="7"/>
  <c r="T106" i="7"/>
  <c r="T54" i="18" s="1"/>
  <c r="F106" i="7"/>
  <c r="F54" i="18" s="1"/>
  <c r="E106" i="7"/>
  <c r="E54" i="18" s="1"/>
  <c r="D106" i="7"/>
  <c r="D54" i="18" s="1"/>
  <c r="BR106" i="7"/>
  <c r="BD106" i="7"/>
  <c r="BC106" i="7"/>
  <c r="BB106" i="7"/>
  <c r="AS109" i="7"/>
  <c r="AE109" i="7"/>
  <c r="AD109" i="7"/>
  <c r="AC109" i="7"/>
  <c r="T110" i="7"/>
  <c r="T58" i="18" s="1"/>
  <c r="F110" i="7"/>
  <c r="F58" i="18" s="1"/>
  <c r="E110" i="7"/>
  <c r="E58" i="18" s="1"/>
  <c r="D110" i="7"/>
  <c r="D58" i="18" s="1"/>
  <c r="BR109" i="7"/>
  <c r="BD109" i="7"/>
  <c r="BC109" i="7"/>
  <c r="BB109" i="7"/>
  <c r="AS100" i="7"/>
  <c r="AE100" i="7"/>
  <c r="AD100" i="7"/>
  <c r="AC100" i="7"/>
  <c r="T107" i="7"/>
  <c r="T55" i="18" s="1"/>
  <c r="F107" i="7"/>
  <c r="F55" i="18" s="1"/>
  <c r="E107" i="7"/>
  <c r="E55" i="18" s="1"/>
  <c r="D107" i="7"/>
  <c r="D55" i="18" s="1"/>
  <c r="BR105" i="7"/>
  <c r="BD105" i="7"/>
  <c r="BC105" i="7"/>
  <c r="BB105" i="7"/>
  <c r="AS99" i="7"/>
  <c r="AE99" i="7"/>
  <c r="AD99" i="7"/>
  <c r="AC99" i="7"/>
  <c r="T103" i="7"/>
  <c r="T51" i="18" s="1"/>
  <c r="F103" i="7"/>
  <c r="F51" i="18" s="1"/>
  <c r="E103" i="7"/>
  <c r="E51" i="18" s="1"/>
  <c r="D103" i="7"/>
  <c r="D51" i="18" s="1"/>
  <c r="BR103" i="7"/>
  <c r="BD103" i="7"/>
  <c r="BC103" i="7"/>
  <c r="BB103" i="7"/>
  <c r="AS110" i="7"/>
  <c r="AE110" i="7"/>
  <c r="AD110" i="7"/>
  <c r="AC110" i="7"/>
  <c r="T100" i="7"/>
  <c r="T48" i="18" s="1"/>
  <c r="F100" i="7"/>
  <c r="F48" i="18" s="1"/>
  <c r="E100" i="7"/>
  <c r="E48" i="18" s="1"/>
  <c r="D100" i="7"/>
  <c r="D48" i="18" s="1"/>
  <c r="BR100" i="7"/>
  <c r="BD100" i="7"/>
  <c r="BC100" i="7"/>
  <c r="BB100" i="7"/>
  <c r="AS103" i="7"/>
  <c r="AE103" i="7"/>
  <c r="AD103" i="7"/>
  <c r="AC103" i="7"/>
  <c r="T97" i="7"/>
  <c r="T45" i="18" s="1"/>
  <c r="F97" i="7"/>
  <c r="F45" i="18" s="1"/>
  <c r="E97" i="7"/>
  <c r="E45" i="18" s="1"/>
  <c r="D97" i="7"/>
  <c r="D45" i="18" s="1"/>
  <c r="BR98" i="7"/>
  <c r="BD98" i="7"/>
  <c r="BC98" i="7"/>
  <c r="BB98" i="7"/>
  <c r="AS102" i="7"/>
  <c r="AE102" i="7"/>
  <c r="AD102" i="7"/>
  <c r="AC102" i="7"/>
  <c r="T105" i="7"/>
  <c r="T53" i="18" s="1"/>
  <c r="F105" i="7"/>
  <c r="F53" i="18" s="1"/>
  <c r="E105" i="7"/>
  <c r="E53" i="18" s="1"/>
  <c r="D105" i="7"/>
  <c r="D53" i="18" s="1"/>
  <c r="BR102" i="7"/>
  <c r="BD102" i="7"/>
  <c r="BC102" i="7"/>
  <c r="BB102" i="7"/>
  <c r="AS104" i="7"/>
  <c r="AE104" i="7"/>
  <c r="AD104" i="7"/>
  <c r="AC104" i="7"/>
  <c r="T102" i="7"/>
  <c r="T50" i="18" s="1"/>
  <c r="F102" i="7"/>
  <c r="F50" i="18" s="1"/>
  <c r="E102" i="7"/>
  <c r="E50" i="18" s="1"/>
  <c r="D102" i="7"/>
  <c r="D50" i="18" s="1"/>
  <c r="BR104" i="7"/>
  <c r="BD104" i="7"/>
  <c r="BC104" i="7"/>
  <c r="BB104" i="7"/>
  <c r="AS105" i="7"/>
  <c r="AE105" i="7"/>
  <c r="AD105" i="7"/>
  <c r="AC105" i="7"/>
  <c r="T104" i="7"/>
  <c r="T52" i="18" s="1"/>
  <c r="F104" i="7"/>
  <c r="F52" i="18" s="1"/>
  <c r="E104" i="7"/>
  <c r="E52" i="18" s="1"/>
  <c r="D104" i="7"/>
  <c r="D52" i="18" s="1"/>
  <c r="BR101" i="7"/>
  <c r="BD101" i="7"/>
  <c r="BC101" i="7"/>
  <c r="BB101" i="7"/>
  <c r="AS97" i="7"/>
  <c r="AE97" i="7"/>
  <c r="AD97" i="7"/>
  <c r="AC97" i="7"/>
  <c r="T101" i="7"/>
  <c r="T49" i="18" s="1"/>
  <c r="F101" i="7"/>
  <c r="F49" i="18" s="1"/>
  <c r="E101" i="7"/>
  <c r="E49" i="18" s="1"/>
  <c r="D101" i="7"/>
  <c r="D49" i="18" s="1"/>
  <c r="BR97" i="7"/>
  <c r="BD97" i="7"/>
  <c r="BC97" i="7"/>
  <c r="BB97" i="7"/>
  <c r="AS98" i="7"/>
  <c r="AE98" i="7"/>
  <c r="AD98" i="7"/>
  <c r="AC98" i="7"/>
  <c r="T98" i="7"/>
  <c r="T46" i="18" s="1"/>
  <c r="F98" i="7"/>
  <c r="F46" i="18" s="1"/>
  <c r="E98" i="7"/>
  <c r="E46" i="18" s="1"/>
  <c r="D98" i="7"/>
  <c r="D46" i="18" s="1"/>
  <c r="BR99" i="7"/>
  <c r="BD99" i="7"/>
  <c r="BC99" i="7"/>
  <c r="BB99" i="7"/>
  <c r="AS101" i="7"/>
  <c r="AE101" i="7"/>
  <c r="AD101" i="7"/>
  <c r="AC101" i="7"/>
  <c r="T99" i="7"/>
  <c r="T47" i="18" s="1"/>
  <c r="F99" i="7"/>
  <c r="F47" i="18" s="1"/>
  <c r="E99" i="7"/>
  <c r="E47" i="18" s="1"/>
  <c r="D99" i="7"/>
  <c r="D47" i="18" s="1"/>
  <c r="BP93" i="7"/>
  <c r="BO93" i="7"/>
  <c r="BN93" i="7"/>
  <c r="BM93" i="7"/>
  <c r="BK93" i="7"/>
  <c r="BJ93" i="7"/>
  <c r="BI93" i="7"/>
  <c r="BH93" i="7"/>
  <c r="AY44" i="3" s="1"/>
  <c r="BG93" i="7"/>
  <c r="BF93" i="7"/>
  <c r="BD93" i="7"/>
  <c r="AV44" i="3" s="1"/>
  <c r="BC93" i="7"/>
  <c r="AU44" i="3" s="1"/>
  <c r="AQ93" i="7"/>
  <c r="AP93" i="7"/>
  <c r="AO93" i="7"/>
  <c r="AN93" i="7"/>
  <c r="AL93" i="7"/>
  <c r="AK93" i="7"/>
  <c r="AJ93" i="7"/>
  <c r="AI93" i="7"/>
  <c r="AH93" i="7"/>
  <c r="AG93" i="7"/>
  <c r="AE93" i="7"/>
  <c r="AD93" i="7"/>
  <c r="R93" i="7"/>
  <c r="Q93" i="7"/>
  <c r="P93" i="7"/>
  <c r="O93" i="7"/>
  <c r="M93" i="7"/>
  <c r="L93" i="7"/>
  <c r="K93" i="7"/>
  <c r="J93" i="7"/>
  <c r="I93" i="7"/>
  <c r="H93" i="7"/>
  <c r="F93" i="7"/>
  <c r="O50" i="3" s="1"/>
  <c r="E93" i="7"/>
  <c r="N5" i="3" s="1"/>
  <c r="BL92" i="7"/>
  <c r="BB92" i="7"/>
  <c r="AM92" i="7"/>
  <c r="AC92" i="7"/>
  <c r="N92" i="7"/>
  <c r="N32" i="20" s="1"/>
  <c r="D92" i="7"/>
  <c r="D32" i="20" s="1"/>
  <c r="BL90" i="7"/>
  <c r="BB90" i="7"/>
  <c r="AM91" i="7"/>
  <c r="AC91" i="7"/>
  <c r="N91" i="7"/>
  <c r="N31" i="20" s="1"/>
  <c r="D91" i="7"/>
  <c r="D31" i="20" s="1"/>
  <c r="BL91" i="7"/>
  <c r="BB91" i="7"/>
  <c r="AM89" i="7"/>
  <c r="AC89" i="7"/>
  <c r="N90" i="7"/>
  <c r="N30" i="20" s="1"/>
  <c r="D90" i="7"/>
  <c r="D30" i="20" s="1"/>
  <c r="BL89" i="7"/>
  <c r="BB89" i="7"/>
  <c r="AM88" i="7"/>
  <c r="AC88" i="7"/>
  <c r="N89" i="7"/>
  <c r="N29" i="20" s="1"/>
  <c r="D89" i="7"/>
  <c r="D29" i="20" s="1"/>
  <c r="BL87" i="7"/>
  <c r="BB87" i="7"/>
  <c r="AM90" i="7"/>
  <c r="AC90" i="7"/>
  <c r="N87" i="7"/>
  <c r="N27" i="20" s="1"/>
  <c r="D87" i="7"/>
  <c r="D27" i="20" s="1"/>
  <c r="BL88" i="7"/>
  <c r="BB88" i="7"/>
  <c r="AM87" i="7"/>
  <c r="AC87" i="7"/>
  <c r="N88" i="7"/>
  <c r="N28" i="20" s="1"/>
  <c r="D88" i="7"/>
  <c r="D28" i="20" s="1"/>
  <c r="BL86" i="7"/>
  <c r="BB86" i="7"/>
  <c r="AM86" i="7"/>
  <c r="AC86" i="7"/>
  <c r="N86" i="7"/>
  <c r="N26" i="20" s="1"/>
  <c r="D86" i="7"/>
  <c r="D26" i="20" s="1"/>
  <c r="BL85" i="7"/>
  <c r="BB85" i="7"/>
  <c r="AM85" i="7"/>
  <c r="AC85" i="7"/>
  <c r="N85" i="7"/>
  <c r="N25" i="20" s="1"/>
  <c r="D85" i="7"/>
  <c r="D25" i="20" s="1"/>
  <c r="BL84" i="7"/>
  <c r="BB84" i="7"/>
  <c r="AM84" i="7"/>
  <c r="AC84" i="7"/>
  <c r="N84" i="7"/>
  <c r="N24" i="20" s="1"/>
  <c r="D84" i="7"/>
  <c r="D24" i="20" s="1"/>
  <c r="BL83" i="7"/>
  <c r="BB83" i="7"/>
  <c r="AM83" i="7"/>
  <c r="AC83" i="7"/>
  <c r="N83" i="7"/>
  <c r="N23" i="20" s="1"/>
  <c r="D83" i="7"/>
  <c r="D23" i="20" s="1"/>
  <c r="BT80" i="7"/>
  <c r="BO80" i="7"/>
  <c r="BN80" i="7"/>
  <c r="BM80" i="7"/>
  <c r="BL80" i="7"/>
  <c r="BK80" i="7"/>
  <c r="BJ80" i="7"/>
  <c r="BI80" i="7"/>
  <c r="BH80" i="7"/>
  <c r="BG80" i="7"/>
  <c r="AX44" i="3" s="1"/>
  <c r="BF80" i="7"/>
  <c r="AU80" i="7"/>
  <c r="AP80" i="7"/>
  <c r="AO80" i="7"/>
  <c r="AN80" i="7"/>
  <c r="AM80" i="7"/>
  <c r="AL80" i="7"/>
  <c r="AK80" i="7"/>
  <c r="AJ80" i="7"/>
  <c r="AI80" i="7"/>
  <c r="AH80" i="7"/>
  <c r="AG80" i="7"/>
  <c r="V80" i="7"/>
  <c r="Q80" i="7"/>
  <c r="P80" i="7"/>
  <c r="O80" i="7"/>
  <c r="N80" i="7"/>
  <c r="M80" i="7"/>
  <c r="L80" i="7"/>
  <c r="K80" i="7"/>
  <c r="J80" i="7"/>
  <c r="I80" i="7"/>
  <c r="H80" i="7"/>
  <c r="BR77" i="7"/>
  <c r="BD77" i="7"/>
  <c r="BC77" i="7"/>
  <c r="BB77" i="7"/>
  <c r="AS77" i="7"/>
  <c r="AE77" i="7"/>
  <c r="AD77" i="7"/>
  <c r="AC77" i="7"/>
  <c r="T78" i="7"/>
  <c r="T42" i="18" s="1"/>
  <c r="F78" i="7"/>
  <c r="F42" i="18" s="1"/>
  <c r="E78" i="7"/>
  <c r="E42" i="18" s="1"/>
  <c r="D78" i="7"/>
  <c r="D42" i="18" s="1"/>
  <c r="BR78" i="7"/>
  <c r="BD78" i="7"/>
  <c r="BC78" i="7"/>
  <c r="BB78" i="7"/>
  <c r="AS76" i="7"/>
  <c r="AE76" i="7"/>
  <c r="AD76" i="7"/>
  <c r="AC76" i="7"/>
  <c r="T77" i="7"/>
  <c r="T43" i="18" s="1"/>
  <c r="F77" i="7"/>
  <c r="F43" i="18" s="1"/>
  <c r="E77" i="7"/>
  <c r="E43" i="18" s="1"/>
  <c r="D77" i="7"/>
  <c r="D43" i="18" s="1"/>
  <c r="BR75" i="7"/>
  <c r="BD75" i="7"/>
  <c r="BC75" i="7"/>
  <c r="BB75" i="7"/>
  <c r="AS78" i="7"/>
  <c r="AE78" i="7"/>
  <c r="AD78" i="7"/>
  <c r="AC78" i="7"/>
  <c r="T75" i="7"/>
  <c r="T40" i="18" s="1"/>
  <c r="F75" i="7"/>
  <c r="F40" i="18" s="1"/>
  <c r="E75" i="7"/>
  <c r="E40" i="18" s="1"/>
  <c r="D75" i="7"/>
  <c r="D40" i="18" s="1"/>
  <c r="BR71" i="7"/>
  <c r="BD71" i="7"/>
  <c r="BC71" i="7"/>
  <c r="BB71" i="7"/>
  <c r="AS75" i="7"/>
  <c r="AE75" i="7"/>
  <c r="AD75" i="7"/>
  <c r="AC75" i="7"/>
  <c r="T79" i="7"/>
  <c r="T44" i="18" s="1"/>
  <c r="F79" i="7"/>
  <c r="F44" i="18" s="1"/>
  <c r="E79" i="7"/>
  <c r="E44" i="18" s="1"/>
  <c r="D79" i="7"/>
  <c r="D44" i="18" s="1"/>
  <c r="BR66" i="7"/>
  <c r="BD66" i="7"/>
  <c r="BC66" i="7"/>
  <c r="BB66" i="7"/>
  <c r="AS71" i="7"/>
  <c r="AE71" i="7"/>
  <c r="AD71" i="7"/>
  <c r="AC71" i="7"/>
  <c r="T76" i="7"/>
  <c r="T41" i="18" s="1"/>
  <c r="F76" i="7"/>
  <c r="F41" i="18" s="1"/>
  <c r="E76" i="7"/>
  <c r="E41" i="18" s="1"/>
  <c r="D76" i="7"/>
  <c r="D41" i="18" s="1"/>
  <c r="BR79" i="7"/>
  <c r="BD79" i="7"/>
  <c r="BC79" i="7"/>
  <c r="BB79" i="7"/>
  <c r="AS79" i="7"/>
  <c r="AE79" i="7"/>
  <c r="AD79" i="7"/>
  <c r="AC79" i="7"/>
  <c r="T74" i="7"/>
  <c r="T39" i="18" s="1"/>
  <c r="F74" i="7"/>
  <c r="F39" i="18" s="1"/>
  <c r="E74" i="7"/>
  <c r="E39" i="18" s="1"/>
  <c r="D74" i="7"/>
  <c r="D39" i="18" s="1"/>
  <c r="BR76" i="7"/>
  <c r="BD76" i="7"/>
  <c r="BC76" i="7"/>
  <c r="BB76" i="7"/>
  <c r="AS68" i="7"/>
  <c r="AE68" i="7"/>
  <c r="AD68" i="7"/>
  <c r="AC68" i="7"/>
  <c r="T68" i="7"/>
  <c r="T33" i="18" s="1"/>
  <c r="F68" i="7"/>
  <c r="F33" i="18" s="1"/>
  <c r="E68" i="7"/>
  <c r="E33" i="18" s="1"/>
  <c r="D68" i="7"/>
  <c r="D33" i="18" s="1"/>
  <c r="BR69" i="7"/>
  <c r="BD69" i="7"/>
  <c r="BC69" i="7"/>
  <c r="BB69" i="7"/>
  <c r="AS73" i="7"/>
  <c r="AE73" i="7"/>
  <c r="AD73" i="7"/>
  <c r="AC73" i="7"/>
  <c r="T66" i="7"/>
  <c r="T31" i="18" s="1"/>
  <c r="F66" i="7"/>
  <c r="F31" i="18" s="1"/>
  <c r="E66" i="7"/>
  <c r="E31" i="18" s="1"/>
  <c r="D66" i="7"/>
  <c r="D31" i="18" s="1"/>
  <c r="BR73" i="7"/>
  <c r="BD73" i="7"/>
  <c r="BC73" i="7"/>
  <c r="BB73" i="7"/>
  <c r="AS69" i="7"/>
  <c r="AE69" i="7"/>
  <c r="AD69" i="7"/>
  <c r="AC69" i="7"/>
  <c r="T73" i="7"/>
  <c r="T38" i="18" s="1"/>
  <c r="F73" i="7"/>
  <c r="F38" i="18" s="1"/>
  <c r="E73" i="7"/>
  <c r="E38" i="18" s="1"/>
  <c r="D73" i="7"/>
  <c r="D38" i="18" s="1"/>
  <c r="BR74" i="7"/>
  <c r="BD74" i="7"/>
  <c r="BC74" i="7"/>
  <c r="BB74" i="7"/>
  <c r="AS72" i="7"/>
  <c r="AE72" i="7"/>
  <c r="AD72" i="7"/>
  <c r="AC72" i="7"/>
  <c r="T71" i="7"/>
  <c r="T36" i="18" s="1"/>
  <c r="F71" i="7"/>
  <c r="F36" i="18" s="1"/>
  <c r="E71" i="7"/>
  <c r="E36" i="18" s="1"/>
  <c r="D71" i="7"/>
  <c r="D36" i="18" s="1"/>
  <c r="BR67" i="7"/>
  <c r="BD67" i="7"/>
  <c r="BC67" i="7"/>
  <c r="BB67" i="7"/>
  <c r="AS70" i="7"/>
  <c r="AE70" i="7"/>
  <c r="AD70" i="7"/>
  <c r="AC70" i="7"/>
  <c r="T70" i="7"/>
  <c r="T35" i="18" s="1"/>
  <c r="F70" i="7"/>
  <c r="F35" i="18" s="1"/>
  <c r="E70" i="7"/>
  <c r="E35" i="18" s="1"/>
  <c r="D70" i="7"/>
  <c r="D35" i="18" s="1"/>
  <c r="BR68" i="7"/>
  <c r="BD68" i="7"/>
  <c r="BC68" i="7"/>
  <c r="BB68" i="7"/>
  <c r="AS66" i="7"/>
  <c r="AE66" i="7"/>
  <c r="AD66" i="7"/>
  <c r="AC66" i="7"/>
  <c r="T72" i="7"/>
  <c r="T37" i="18" s="1"/>
  <c r="F72" i="7"/>
  <c r="F37" i="18" s="1"/>
  <c r="E72" i="7"/>
  <c r="E37" i="18" s="1"/>
  <c r="D72" i="7"/>
  <c r="D37" i="18" s="1"/>
  <c r="BR72" i="7"/>
  <c r="BD72" i="7"/>
  <c r="BC72" i="7"/>
  <c r="BB72" i="7"/>
  <c r="AS67" i="7"/>
  <c r="AE67" i="7"/>
  <c r="AD67" i="7"/>
  <c r="AC67" i="7"/>
  <c r="T69" i="7"/>
  <c r="T34" i="18" s="1"/>
  <c r="F69" i="7"/>
  <c r="F34" i="18" s="1"/>
  <c r="E69" i="7"/>
  <c r="E34" i="18" s="1"/>
  <c r="D69" i="7"/>
  <c r="D34" i="18" s="1"/>
  <c r="BR70" i="7"/>
  <c r="BD70" i="7"/>
  <c r="BC70" i="7"/>
  <c r="BB70" i="7"/>
  <c r="AS74" i="7"/>
  <c r="AE74" i="7"/>
  <c r="AD74" i="7"/>
  <c r="AC74" i="7"/>
  <c r="T67" i="7"/>
  <c r="T32" i="18" s="1"/>
  <c r="F67" i="7"/>
  <c r="F32" i="18" s="1"/>
  <c r="E67" i="7"/>
  <c r="E32" i="18" s="1"/>
  <c r="D67" i="7"/>
  <c r="D32" i="18" s="1"/>
  <c r="BP62" i="7"/>
  <c r="BO62" i="7"/>
  <c r="BN62" i="7"/>
  <c r="BM62" i="7"/>
  <c r="BK62" i="7"/>
  <c r="BJ62" i="7"/>
  <c r="BI62" i="7"/>
  <c r="BH62" i="7"/>
  <c r="AY38" i="3" s="1"/>
  <c r="BG62" i="7"/>
  <c r="BF62" i="7"/>
  <c r="BD62" i="7"/>
  <c r="BC62" i="7"/>
  <c r="AU38" i="3" s="1"/>
  <c r="AQ62" i="7"/>
  <c r="AP62" i="7"/>
  <c r="AO62" i="7"/>
  <c r="AN62" i="7"/>
  <c r="AL62" i="7"/>
  <c r="AK62" i="7"/>
  <c r="AJ62" i="7"/>
  <c r="AI62" i="7"/>
  <c r="AH62" i="7"/>
  <c r="AG62" i="7"/>
  <c r="AE62" i="7"/>
  <c r="AD62" i="7"/>
  <c r="R62" i="7"/>
  <c r="Q62" i="7"/>
  <c r="P62" i="7"/>
  <c r="O62" i="7"/>
  <c r="M62" i="7"/>
  <c r="L62" i="7"/>
  <c r="K62" i="7"/>
  <c r="J62" i="7"/>
  <c r="I62" i="7"/>
  <c r="H62" i="7"/>
  <c r="F62" i="7"/>
  <c r="D31" i="3" s="1"/>
  <c r="E62" i="7"/>
  <c r="N48" i="3" s="1"/>
  <c r="BL61" i="7"/>
  <c r="BB61" i="7"/>
  <c r="AM61" i="7"/>
  <c r="AC61" i="7"/>
  <c r="N61" i="7"/>
  <c r="N22" i="20" s="1"/>
  <c r="D61" i="7"/>
  <c r="D22" i="20" s="1"/>
  <c r="BL60" i="7"/>
  <c r="BB60" i="7"/>
  <c r="AM60" i="7"/>
  <c r="AC60" i="7"/>
  <c r="N60" i="7"/>
  <c r="N21" i="20" s="1"/>
  <c r="D60" i="7"/>
  <c r="D21" i="20" s="1"/>
  <c r="BL56" i="7"/>
  <c r="BB56" i="7"/>
  <c r="AM56" i="7"/>
  <c r="AC56" i="7"/>
  <c r="N59" i="7"/>
  <c r="N20" i="20" s="1"/>
  <c r="D59" i="7"/>
  <c r="D20" i="20" s="1"/>
  <c r="BL59" i="7"/>
  <c r="BB59" i="7"/>
  <c r="AM59" i="7"/>
  <c r="AC59" i="7"/>
  <c r="N58" i="7"/>
  <c r="N19" i="20" s="1"/>
  <c r="D58" i="7"/>
  <c r="D19" i="20" s="1"/>
  <c r="BL57" i="7"/>
  <c r="BB57" i="7"/>
  <c r="AM57" i="7"/>
  <c r="AC57" i="7"/>
  <c r="N57" i="7"/>
  <c r="N18" i="20" s="1"/>
  <c r="D57" i="7"/>
  <c r="D18" i="20" s="1"/>
  <c r="BL58" i="7"/>
  <c r="BB58" i="7"/>
  <c r="AM58" i="7"/>
  <c r="AC58" i="7"/>
  <c r="N56" i="7"/>
  <c r="N17" i="20" s="1"/>
  <c r="D56" i="7"/>
  <c r="D17" i="20" s="1"/>
  <c r="BL55" i="7"/>
  <c r="BB55" i="7"/>
  <c r="AM55" i="7"/>
  <c r="AC55" i="7"/>
  <c r="N55" i="7"/>
  <c r="N16" i="20" s="1"/>
  <c r="D55" i="7"/>
  <c r="D16" i="20" s="1"/>
  <c r="BL54" i="7"/>
  <c r="BB54" i="7"/>
  <c r="AM54" i="7"/>
  <c r="AC54" i="7"/>
  <c r="N54" i="7"/>
  <c r="N15" i="20" s="1"/>
  <c r="D54" i="7"/>
  <c r="D15" i="20" s="1"/>
  <c r="BL53" i="7"/>
  <c r="BB53" i="7"/>
  <c r="AM53" i="7"/>
  <c r="AC53" i="7"/>
  <c r="N53" i="7"/>
  <c r="N14" i="20" s="1"/>
  <c r="D53" i="7"/>
  <c r="D14" i="20" s="1"/>
  <c r="BL52" i="7"/>
  <c r="BB52" i="7"/>
  <c r="AM52" i="7"/>
  <c r="AC52" i="7"/>
  <c r="N52" i="7"/>
  <c r="N13" i="20" s="1"/>
  <c r="D52" i="7"/>
  <c r="D13" i="20" s="1"/>
  <c r="BT49" i="7"/>
  <c r="BO49" i="7"/>
  <c r="BN49" i="7"/>
  <c r="BM49" i="7"/>
  <c r="BL49" i="7"/>
  <c r="BK49" i="7"/>
  <c r="BJ49" i="7"/>
  <c r="BI49" i="7"/>
  <c r="BH49" i="7"/>
  <c r="BG49" i="7"/>
  <c r="AX38" i="3" s="1"/>
  <c r="BF49" i="7"/>
  <c r="AU49" i="7"/>
  <c r="AP49" i="7"/>
  <c r="AO49" i="7"/>
  <c r="AN49" i="7"/>
  <c r="AM49" i="7"/>
  <c r="AL49" i="7"/>
  <c r="AK49" i="7"/>
  <c r="AJ49" i="7"/>
  <c r="AI49" i="7"/>
  <c r="AH49" i="7"/>
  <c r="AG49" i="7"/>
  <c r="V49" i="7"/>
  <c r="Q49" i="7"/>
  <c r="P49" i="7"/>
  <c r="O49" i="7"/>
  <c r="N49" i="7"/>
  <c r="M49" i="7"/>
  <c r="L49" i="7"/>
  <c r="K49" i="7"/>
  <c r="J49" i="7"/>
  <c r="I49" i="7"/>
  <c r="F31" i="3" s="1"/>
  <c r="H49" i="7"/>
  <c r="BR44" i="7"/>
  <c r="BD44" i="7"/>
  <c r="BC44" i="7"/>
  <c r="BB44" i="7"/>
  <c r="AS44" i="7"/>
  <c r="AE44" i="7"/>
  <c r="AD44" i="7"/>
  <c r="AC44" i="7"/>
  <c r="T46" i="7"/>
  <c r="T28" i="18" s="1"/>
  <c r="F46" i="7"/>
  <c r="F28" i="18" s="1"/>
  <c r="E46" i="7"/>
  <c r="E28" i="18" s="1"/>
  <c r="D46" i="7"/>
  <c r="D28" i="18" s="1"/>
  <c r="BR45" i="7"/>
  <c r="BD45" i="7"/>
  <c r="BC45" i="7"/>
  <c r="BB45" i="7"/>
  <c r="AS48" i="7"/>
  <c r="AE48" i="7"/>
  <c r="AD48" i="7"/>
  <c r="AC48" i="7"/>
  <c r="T45" i="7"/>
  <c r="T27" i="18" s="1"/>
  <c r="F45" i="7"/>
  <c r="F27" i="18" s="1"/>
  <c r="E45" i="7"/>
  <c r="E27" i="18" s="1"/>
  <c r="D45" i="7"/>
  <c r="D27" i="18" s="1"/>
  <c r="BR47" i="7"/>
  <c r="BD47" i="7"/>
  <c r="BC47" i="7"/>
  <c r="BB47" i="7"/>
  <c r="AS47" i="7"/>
  <c r="AE47" i="7"/>
  <c r="AD47" i="7"/>
  <c r="AC47" i="7"/>
  <c r="T44" i="7"/>
  <c r="T26" i="18" s="1"/>
  <c r="F44" i="7"/>
  <c r="F26" i="18" s="1"/>
  <c r="E44" i="7"/>
  <c r="E26" i="18" s="1"/>
  <c r="D44" i="7"/>
  <c r="D26" i="18" s="1"/>
  <c r="BR48" i="7"/>
  <c r="BD48" i="7"/>
  <c r="BC48" i="7"/>
  <c r="BB48" i="7"/>
  <c r="AS45" i="7"/>
  <c r="AE45" i="7"/>
  <c r="AD45" i="7"/>
  <c r="AC45" i="7"/>
  <c r="T48" i="7"/>
  <c r="T30" i="18" s="1"/>
  <c r="F48" i="7"/>
  <c r="F30" i="18" s="1"/>
  <c r="E48" i="7"/>
  <c r="E30" i="18" s="1"/>
  <c r="D48" i="7"/>
  <c r="D30" i="18" s="1"/>
  <c r="BR46" i="7"/>
  <c r="BD46" i="7"/>
  <c r="BC46" i="7"/>
  <c r="BB46" i="7"/>
  <c r="AS46" i="7"/>
  <c r="AE46" i="7"/>
  <c r="AD46" i="7"/>
  <c r="AC46" i="7"/>
  <c r="T47" i="7"/>
  <c r="T29" i="18" s="1"/>
  <c r="F47" i="7"/>
  <c r="F29" i="18" s="1"/>
  <c r="E47" i="7"/>
  <c r="E29" i="18" s="1"/>
  <c r="D47" i="7"/>
  <c r="D29" i="18" s="1"/>
  <c r="BR41" i="7"/>
  <c r="BD41" i="7"/>
  <c r="BC41" i="7"/>
  <c r="BB41" i="7"/>
  <c r="AS40" i="7"/>
  <c r="AE40" i="7"/>
  <c r="AD40" i="7"/>
  <c r="AC40" i="7"/>
  <c r="T40" i="7"/>
  <c r="T22" i="18" s="1"/>
  <c r="F40" i="7"/>
  <c r="F22" i="18" s="1"/>
  <c r="E40" i="7"/>
  <c r="E22" i="18" s="1"/>
  <c r="D40" i="7"/>
  <c r="D22" i="18" s="1"/>
  <c r="BR36" i="7"/>
  <c r="BD36" i="7"/>
  <c r="BC36" i="7"/>
  <c r="BB36" i="7"/>
  <c r="AS38" i="7"/>
  <c r="AE38" i="7"/>
  <c r="AD38" i="7"/>
  <c r="AC38" i="7"/>
  <c r="T41" i="7"/>
  <c r="T23" i="18" s="1"/>
  <c r="F41" i="7"/>
  <c r="F23" i="18" s="1"/>
  <c r="E41" i="7"/>
  <c r="E23" i="18" s="1"/>
  <c r="D41" i="7"/>
  <c r="D23" i="18" s="1"/>
  <c r="BR35" i="7"/>
  <c r="BD35" i="7"/>
  <c r="BC35" i="7"/>
  <c r="BB35" i="7"/>
  <c r="AS35" i="7"/>
  <c r="AE35" i="7"/>
  <c r="AD35" i="7"/>
  <c r="AC35" i="7"/>
  <c r="T35" i="7"/>
  <c r="T17" i="18" s="1"/>
  <c r="F35" i="7"/>
  <c r="F17" i="18" s="1"/>
  <c r="E35" i="7"/>
  <c r="E17" i="18" s="1"/>
  <c r="D35" i="7"/>
  <c r="D17" i="18" s="1"/>
  <c r="BR40" i="7"/>
  <c r="BD40" i="7"/>
  <c r="BC40" i="7"/>
  <c r="BB40" i="7"/>
  <c r="AS43" i="7"/>
  <c r="AE43" i="7"/>
  <c r="AD43" i="7"/>
  <c r="AC43" i="7"/>
  <c r="T38" i="7"/>
  <c r="T20" i="18" s="1"/>
  <c r="F38" i="7"/>
  <c r="F20" i="18" s="1"/>
  <c r="E38" i="7"/>
  <c r="E20" i="18" s="1"/>
  <c r="D38" i="7"/>
  <c r="D20" i="18" s="1"/>
  <c r="BR38" i="7"/>
  <c r="BD38" i="7"/>
  <c r="BC38" i="7"/>
  <c r="BB38" i="7"/>
  <c r="AS41" i="7"/>
  <c r="AE41" i="7"/>
  <c r="AD41" i="7"/>
  <c r="AC41" i="7"/>
  <c r="T36" i="7"/>
  <c r="T18" i="18" s="1"/>
  <c r="F36" i="7"/>
  <c r="F18" i="18" s="1"/>
  <c r="E36" i="7"/>
  <c r="E18" i="18" s="1"/>
  <c r="D36" i="7"/>
  <c r="D18" i="18" s="1"/>
  <c r="BR39" i="7"/>
  <c r="BD39" i="7"/>
  <c r="BC39" i="7"/>
  <c r="BB39" i="7"/>
  <c r="AS42" i="7"/>
  <c r="AE42" i="7"/>
  <c r="AD42" i="7"/>
  <c r="AC42" i="7"/>
  <c r="T42" i="7"/>
  <c r="T24" i="18" s="1"/>
  <c r="F42" i="7"/>
  <c r="F24" i="18" s="1"/>
  <c r="E42" i="7"/>
  <c r="E24" i="18" s="1"/>
  <c r="D42" i="7"/>
  <c r="D24" i="18" s="1"/>
  <c r="BR42" i="7"/>
  <c r="BD42" i="7"/>
  <c r="BC42" i="7"/>
  <c r="BB42" i="7"/>
  <c r="AS36" i="7"/>
  <c r="AE36" i="7"/>
  <c r="AD36" i="7"/>
  <c r="AC36" i="7"/>
  <c r="T43" i="7"/>
  <c r="T25" i="18" s="1"/>
  <c r="F43" i="7"/>
  <c r="F25" i="18" s="1"/>
  <c r="E43" i="7"/>
  <c r="E25" i="18" s="1"/>
  <c r="D43" i="7"/>
  <c r="D25" i="18" s="1"/>
  <c r="BR37" i="7"/>
  <c r="BD37" i="7"/>
  <c r="BC37" i="7"/>
  <c r="BB37" i="7"/>
  <c r="AS37" i="7"/>
  <c r="AE37" i="7"/>
  <c r="AD37" i="7"/>
  <c r="AC37" i="7"/>
  <c r="T39" i="7"/>
  <c r="T21" i="18" s="1"/>
  <c r="F39" i="7"/>
  <c r="F21" i="18" s="1"/>
  <c r="E39" i="7"/>
  <c r="E21" i="18" s="1"/>
  <c r="D39" i="7"/>
  <c r="D21" i="18" s="1"/>
  <c r="BR43" i="7"/>
  <c r="BD43" i="7"/>
  <c r="BC43" i="7"/>
  <c r="BB43" i="7"/>
  <c r="AS39" i="7"/>
  <c r="AE39" i="7"/>
  <c r="AD39" i="7"/>
  <c r="AC39" i="7"/>
  <c r="T37" i="7"/>
  <c r="T19" i="18" s="1"/>
  <c r="F37" i="7"/>
  <c r="F19" i="18" s="1"/>
  <c r="E37" i="7"/>
  <c r="E19" i="18" s="1"/>
  <c r="D37" i="7"/>
  <c r="D19" i="18" s="1"/>
  <c r="BP31" i="7"/>
  <c r="BO31" i="7"/>
  <c r="BN31" i="7"/>
  <c r="BM31" i="7"/>
  <c r="BK31" i="7"/>
  <c r="BJ31" i="7"/>
  <c r="BI31" i="7"/>
  <c r="BH31" i="7"/>
  <c r="BG31" i="7"/>
  <c r="BF31" i="7"/>
  <c r="BD31" i="7"/>
  <c r="AV36" i="3" s="1"/>
  <c r="BC31" i="7"/>
  <c r="AQ31" i="7"/>
  <c r="AP31" i="7"/>
  <c r="AO31" i="7"/>
  <c r="AN31" i="7"/>
  <c r="AL31" i="7"/>
  <c r="AK31" i="7"/>
  <c r="AJ31" i="7"/>
  <c r="AI31" i="7"/>
  <c r="AH31" i="7"/>
  <c r="AG31" i="7"/>
  <c r="AE31" i="7"/>
  <c r="AD31" i="7"/>
  <c r="R31" i="7"/>
  <c r="Q31" i="7"/>
  <c r="P31" i="7"/>
  <c r="O31" i="7"/>
  <c r="M31" i="7"/>
  <c r="L31" i="7"/>
  <c r="K31" i="7"/>
  <c r="J31" i="7"/>
  <c r="R6" i="3" s="1"/>
  <c r="I31" i="7"/>
  <c r="H31" i="7"/>
  <c r="F31" i="7"/>
  <c r="D41" i="3" s="1"/>
  <c r="E31" i="7"/>
  <c r="N6" i="3" s="1"/>
  <c r="BL30" i="7"/>
  <c r="BB30" i="7"/>
  <c r="AM30" i="7"/>
  <c r="AC30" i="7"/>
  <c r="N30" i="7"/>
  <c r="N12" i="20" s="1"/>
  <c r="D30" i="7"/>
  <c r="D12" i="20" s="1"/>
  <c r="BL29" i="7"/>
  <c r="BB29" i="7"/>
  <c r="AM29" i="7"/>
  <c r="AC29" i="7"/>
  <c r="N29" i="7"/>
  <c r="N11" i="20" s="1"/>
  <c r="D29" i="7"/>
  <c r="D11" i="20" s="1"/>
  <c r="BL28" i="7"/>
  <c r="BB28" i="7"/>
  <c r="AM28" i="7"/>
  <c r="AC28" i="7"/>
  <c r="N28" i="7"/>
  <c r="N9" i="20" s="1"/>
  <c r="D28" i="7"/>
  <c r="D9" i="20" s="1"/>
  <c r="BL27" i="7"/>
  <c r="BB27" i="7"/>
  <c r="AM27" i="7"/>
  <c r="AC27" i="7"/>
  <c r="N27" i="7"/>
  <c r="N8" i="20" s="1"/>
  <c r="D27" i="7"/>
  <c r="D8" i="20" s="1"/>
  <c r="BL26" i="7"/>
  <c r="BB26" i="7"/>
  <c r="AM26" i="7"/>
  <c r="AC26" i="7"/>
  <c r="N26" i="7"/>
  <c r="N10" i="20" s="1"/>
  <c r="D26" i="7"/>
  <c r="D10" i="20" s="1"/>
  <c r="BL25" i="7"/>
  <c r="BB25" i="7"/>
  <c r="AM25" i="7"/>
  <c r="AC25" i="7"/>
  <c r="N25" i="7"/>
  <c r="N7" i="20" s="1"/>
  <c r="D25" i="7"/>
  <c r="D7" i="20" s="1"/>
  <c r="BL24" i="7"/>
  <c r="BB24" i="7"/>
  <c r="AM24" i="7"/>
  <c r="AC24" i="7"/>
  <c r="N24" i="7"/>
  <c r="N6" i="20" s="1"/>
  <c r="D24" i="7"/>
  <c r="D6" i="20" s="1"/>
  <c r="BL23" i="7"/>
  <c r="BB23" i="7"/>
  <c r="AM23" i="7"/>
  <c r="AC23" i="7"/>
  <c r="N23" i="7"/>
  <c r="N5" i="20" s="1"/>
  <c r="D23" i="7"/>
  <c r="D5" i="20" s="1"/>
  <c r="BL22" i="7"/>
  <c r="BB22" i="7"/>
  <c r="AM22" i="7"/>
  <c r="AC22" i="7"/>
  <c r="N22" i="7"/>
  <c r="N4" i="20" s="1"/>
  <c r="D22" i="7"/>
  <c r="D4" i="20" s="1"/>
  <c r="BL21" i="7"/>
  <c r="BB21" i="7"/>
  <c r="AM21" i="7"/>
  <c r="AC21" i="7"/>
  <c r="N21" i="7"/>
  <c r="N3" i="20" s="1"/>
  <c r="D21" i="7"/>
  <c r="D3" i="20" s="1"/>
  <c r="BT18" i="7"/>
  <c r="BO18" i="7"/>
  <c r="BN18" i="7"/>
  <c r="BM18" i="7"/>
  <c r="BL18" i="7"/>
  <c r="BK18" i="7"/>
  <c r="BJ18" i="7"/>
  <c r="BI18" i="7"/>
  <c r="BH18" i="7"/>
  <c r="BG18" i="7"/>
  <c r="BF18" i="7"/>
  <c r="AU18" i="7"/>
  <c r="AP18" i="7"/>
  <c r="AO18" i="7"/>
  <c r="AN18" i="7"/>
  <c r="AM18" i="7"/>
  <c r="AL18" i="7"/>
  <c r="AK18" i="7"/>
  <c r="AJ18" i="7"/>
  <c r="AI18" i="7"/>
  <c r="AH18" i="7"/>
  <c r="AG18" i="7"/>
  <c r="V18" i="7"/>
  <c r="Q18" i="7"/>
  <c r="P18" i="7"/>
  <c r="O18" i="7"/>
  <c r="N18" i="7"/>
  <c r="M18" i="7"/>
  <c r="L18" i="7"/>
  <c r="K18" i="7"/>
  <c r="J18" i="7"/>
  <c r="I18" i="7"/>
  <c r="F41" i="3" s="1"/>
  <c r="H18" i="7"/>
  <c r="BR16" i="7"/>
  <c r="BD16" i="7"/>
  <c r="BC16" i="7"/>
  <c r="BB16" i="7"/>
  <c r="AS13" i="7"/>
  <c r="AE13" i="7"/>
  <c r="AD13" i="7"/>
  <c r="AC13" i="7"/>
  <c r="T17" i="7"/>
  <c r="T16" i="18" s="1"/>
  <c r="F17" i="7"/>
  <c r="F16" i="18" s="1"/>
  <c r="E17" i="7"/>
  <c r="E16" i="18" s="1"/>
  <c r="D17" i="7"/>
  <c r="D16" i="18" s="1"/>
  <c r="BR13" i="7"/>
  <c r="BD13" i="7"/>
  <c r="BC13" i="7"/>
  <c r="BB13" i="7"/>
  <c r="AS15" i="7"/>
  <c r="AE15" i="7"/>
  <c r="AD15" i="7"/>
  <c r="AC15" i="7"/>
  <c r="T13" i="7"/>
  <c r="T12" i="18" s="1"/>
  <c r="F13" i="7"/>
  <c r="F12" i="18" s="1"/>
  <c r="E13" i="7"/>
  <c r="E12" i="18" s="1"/>
  <c r="D13" i="7"/>
  <c r="D12" i="18" s="1"/>
  <c r="BR14" i="7"/>
  <c r="BD14" i="7"/>
  <c r="BC14" i="7"/>
  <c r="BB14" i="7"/>
  <c r="AS14" i="7"/>
  <c r="AE14" i="7"/>
  <c r="AD14" i="7"/>
  <c r="AC14" i="7"/>
  <c r="T14" i="7"/>
  <c r="T13" i="18" s="1"/>
  <c r="F14" i="7"/>
  <c r="F13" i="18" s="1"/>
  <c r="E14" i="7"/>
  <c r="E13" i="18" s="1"/>
  <c r="D14" i="7"/>
  <c r="D13" i="18" s="1"/>
  <c r="BR15" i="7"/>
  <c r="BD15" i="7"/>
  <c r="BC15" i="7"/>
  <c r="BB15" i="7"/>
  <c r="AS17" i="7"/>
  <c r="AE17" i="7"/>
  <c r="AD17" i="7"/>
  <c r="AC17" i="7"/>
  <c r="T15" i="7"/>
  <c r="T14" i="18" s="1"/>
  <c r="F15" i="7"/>
  <c r="F14" i="18" s="1"/>
  <c r="E15" i="7"/>
  <c r="E14" i="18" s="1"/>
  <c r="D15" i="7"/>
  <c r="D14" i="18" s="1"/>
  <c r="BR17" i="7"/>
  <c r="BD17" i="7"/>
  <c r="BC17" i="7"/>
  <c r="BB17" i="7"/>
  <c r="AS16" i="7"/>
  <c r="AE16" i="7"/>
  <c r="AD16" i="7"/>
  <c r="AC16" i="7"/>
  <c r="T16" i="7"/>
  <c r="T15" i="18" s="1"/>
  <c r="F16" i="7"/>
  <c r="F15" i="18" s="1"/>
  <c r="E16" i="7"/>
  <c r="E15" i="18" s="1"/>
  <c r="D16" i="7"/>
  <c r="D15" i="18" s="1"/>
  <c r="BR9" i="7"/>
  <c r="BD9" i="7"/>
  <c r="BC9" i="7"/>
  <c r="BB9" i="7"/>
  <c r="AS4" i="7"/>
  <c r="AE4" i="7"/>
  <c r="AD4" i="7"/>
  <c r="AC4" i="7"/>
  <c r="T12" i="7"/>
  <c r="T11" i="18" s="1"/>
  <c r="F12" i="7"/>
  <c r="F11" i="18" s="1"/>
  <c r="E12" i="7"/>
  <c r="E11" i="18" s="1"/>
  <c r="D12" i="7"/>
  <c r="D11" i="18" s="1"/>
  <c r="BR6" i="7"/>
  <c r="BD6" i="7"/>
  <c r="BC6" i="7"/>
  <c r="BB6" i="7"/>
  <c r="AS10" i="7"/>
  <c r="AE10" i="7"/>
  <c r="AD10" i="7"/>
  <c r="AC10" i="7"/>
  <c r="T6" i="7"/>
  <c r="T5" i="18" s="1"/>
  <c r="F6" i="7"/>
  <c r="F5" i="18" s="1"/>
  <c r="E6" i="7"/>
  <c r="E5" i="18" s="1"/>
  <c r="D6" i="7"/>
  <c r="D5" i="18" s="1"/>
  <c r="BR7" i="7"/>
  <c r="BD7" i="7"/>
  <c r="BC7" i="7"/>
  <c r="BB7" i="7"/>
  <c r="AS8" i="7"/>
  <c r="AE8" i="7"/>
  <c r="AD8" i="7"/>
  <c r="AC8" i="7"/>
  <c r="T9" i="7"/>
  <c r="T8" i="18" s="1"/>
  <c r="F9" i="7"/>
  <c r="F8" i="18" s="1"/>
  <c r="E9" i="7"/>
  <c r="E8" i="18" s="1"/>
  <c r="D9" i="7"/>
  <c r="D8" i="18" s="1"/>
  <c r="BR4" i="7"/>
  <c r="BD4" i="7"/>
  <c r="BC4" i="7"/>
  <c r="BB4" i="7"/>
  <c r="AS12" i="7"/>
  <c r="AE12" i="7"/>
  <c r="AD12" i="7"/>
  <c r="AC12" i="7"/>
  <c r="T10" i="7"/>
  <c r="T9" i="18" s="1"/>
  <c r="F10" i="7"/>
  <c r="F9" i="18" s="1"/>
  <c r="E10" i="7"/>
  <c r="E9" i="18" s="1"/>
  <c r="D10" i="7"/>
  <c r="D9" i="18" s="1"/>
  <c r="BR8" i="7"/>
  <c r="BD8" i="7"/>
  <c r="BC8" i="7"/>
  <c r="BB8" i="7"/>
  <c r="AS7" i="7"/>
  <c r="AE7" i="7"/>
  <c r="AD7" i="7"/>
  <c r="AC7" i="7"/>
  <c r="T4" i="7"/>
  <c r="T3" i="18" s="1"/>
  <c r="F4" i="7"/>
  <c r="F3" i="18" s="1"/>
  <c r="E4" i="7"/>
  <c r="E3" i="18" s="1"/>
  <c r="D4" i="7"/>
  <c r="D3" i="18" s="1"/>
  <c r="BR5" i="7"/>
  <c r="BD5" i="7"/>
  <c r="BC5" i="7"/>
  <c r="BB5" i="7"/>
  <c r="AS6" i="7"/>
  <c r="AE6" i="7"/>
  <c r="AD6" i="7"/>
  <c r="AC6" i="7"/>
  <c r="T7" i="7"/>
  <c r="T6" i="18" s="1"/>
  <c r="F7" i="7"/>
  <c r="F6" i="18" s="1"/>
  <c r="E7" i="7"/>
  <c r="E6" i="18" s="1"/>
  <c r="D7" i="7"/>
  <c r="D6" i="18" s="1"/>
  <c r="BR10" i="7"/>
  <c r="BD10" i="7"/>
  <c r="BC10" i="7"/>
  <c r="BB10" i="7"/>
  <c r="AS5" i="7"/>
  <c r="AE5" i="7"/>
  <c r="AD5" i="7"/>
  <c r="AC5" i="7"/>
  <c r="T11" i="7"/>
  <c r="T10" i="18" s="1"/>
  <c r="F11" i="7"/>
  <c r="F10" i="18" s="1"/>
  <c r="E11" i="7"/>
  <c r="D11" i="7"/>
  <c r="D10" i="18" s="1"/>
  <c r="BR11" i="7"/>
  <c r="BD11" i="7"/>
  <c r="BC11" i="7"/>
  <c r="BB11" i="7"/>
  <c r="AS9" i="7"/>
  <c r="AE9" i="7"/>
  <c r="AD9" i="7"/>
  <c r="AC9" i="7"/>
  <c r="T8" i="7"/>
  <c r="T7" i="18" s="1"/>
  <c r="F8" i="7"/>
  <c r="F7" i="18" s="1"/>
  <c r="E8" i="7"/>
  <c r="E7" i="18" s="1"/>
  <c r="D8" i="7"/>
  <c r="D7" i="18" s="1"/>
  <c r="BR12" i="7"/>
  <c r="BD12" i="7"/>
  <c r="BC12" i="7"/>
  <c r="BB12" i="7"/>
  <c r="AS11" i="7"/>
  <c r="AE11" i="7"/>
  <c r="AD11" i="7"/>
  <c r="AC11" i="7"/>
  <c r="T5" i="7"/>
  <c r="F5" i="7"/>
  <c r="F4" i="18" s="1"/>
  <c r="E5" i="7"/>
  <c r="E4" i="18" s="1"/>
  <c r="D5" i="7"/>
  <c r="D4" i="18" s="1"/>
  <c r="BP249" i="6"/>
  <c r="BO249" i="6"/>
  <c r="BN249" i="6"/>
  <c r="BM249" i="6"/>
  <c r="BK249" i="6"/>
  <c r="BJ249" i="6"/>
  <c r="BI249" i="6"/>
  <c r="BH249" i="6"/>
  <c r="BG249" i="6"/>
  <c r="BF249" i="6"/>
  <c r="BD249" i="6"/>
  <c r="BC249" i="6"/>
  <c r="BL248" i="6"/>
  <c r="BB248" i="6"/>
  <c r="BL247" i="6"/>
  <c r="BB247" i="6"/>
  <c r="BL246" i="6"/>
  <c r="BB246" i="6"/>
  <c r="BL244" i="6"/>
  <c r="BB244" i="6"/>
  <c r="BL243" i="6"/>
  <c r="BB243" i="6"/>
  <c r="BL245" i="6"/>
  <c r="BB245" i="6"/>
  <c r="BL242" i="6"/>
  <c r="BB242" i="6"/>
  <c r="BL241" i="6"/>
  <c r="BB241" i="6"/>
  <c r="BL240" i="6"/>
  <c r="BB240" i="6"/>
  <c r="BL239" i="6"/>
  <c r="BB239" i="6"/>
  <c r="BT236" i="6"/>
  <c r="BO236" i="6"/>
  <c r="BN236" i="6"/>
  <c r="BM236" i="6"/>
  <c r="BL236" i="6"/>
  <c r="BK236" i="6"/>
  <c r="BJ236" i="6"/>
  <c r="BI236" i="6"/>
  <c r="BH236" i="6"/>
  <c r="BG236" i="6"/>
  <c r="BF236" i="6"/>
  <c r="BR235" i="6"/>
  <c r="BD235" i="6"/>
  <c r="BC235" i="6"/>
  <c r="BB235" i="6"/>
  <c r="BR234" i="6"/>
  <c r="BD234" i="6"/>
  <c r="BC234" i="6"/>
  <c r="BB234" i="6"/>
  <c r="BR232" i="6"/>
  <c r="BD232" i="6"/>
  <c r="BC232" i="6"/>
  <c r="BB232" i="6"/>
  <c r="BR233" i="6"/>
  <c r="BD233" i="6"/>
  <c r="BC233" i="6"/>
  <c r="BB233" i="6"/>
  <c r="BR231" i="6"/>
  <c r="BD231" i="6"/>
  <c r="BC231" i="6"/>
  <c r="BB231" i="6"/>
  <c r="BR229" i="6"/>
  <c r="BD229" i="6"/>
  <c r="BC229" i="6"/>
  <c r="BB229" i="6"/>
  <c r="BR222" i="6"/>
  <c r="BD222" i="6"/>
  <c r="BC222" i="6"/>
  <c r="BB222" i="6"/>
  <c r="BR224" i="6"/>
  <c r="BD224" i="6"/>
  <c r="BC224" i="6"/>
  <c r="BB224" i="6"/>
  <c r="BR223" i="6"/>
  <c r="BD223" i="6"/>
  <c r="BC223" i="6"/>
  <c r="BB223" i="6"/>
  <c r="BR226" i="6"/>
  <c r="BD226" i="6"/>
  <c r="BC226" i="6"/>
  <c r="BB226" i="6"/>
  <c r="BR225" i="6"/>
  <c r="BD225" i="6"/>
  <c r="BC225" i="6"/>
  <c r="BB225" i="6"/>
  <c r="BR230" i="6"/>
  <c r="BD230" i="6"/>
  <c r="BC230" i="6"/>
  <c r="BB230" i="6"/>
  <c r="BR227" i="6"/>
  <c r="BD227" i="6"/>
  <c r="BC227" i="6"/>
  <c r="BB227" i="6"/>
  <c r="BR228" i="6"/>
  <c r="BD228" i="6"/>
  <c r="BC228" i="6"/>
  <c r="BB228" i="6"/>
  <c r="BP218" i="6"/>
  <c r="BO218" i="6"/>
  <c r="BN218" i="6"/>
  <c r="BM218" i="6"/>
  <c r="BK218" i="6"/>
  <c r="BJ218" i="6"/>
  <c r="BI218" i="6"/>
  <c r="BH218" i="6"/>
  <c r="BG218" i="6"/>
  <c r="BF218" i="6"/>
  <c r="BD218" i="6"/>
  <c r="BC218" i="6"/>
  <c r="R218" i="6"/>
  <c r="Q218" i="6"/>
  <c r="P218" i="6"/>
  <c r="O218" i="6"/>
  <c r="M218" i="6"/>
  <c r="L218" i="6"/>
  <c r="K218" i="6"/>
  <c r="J218" i="6"/>
  <c r="I218" i="6"/>
  <c r="H218" i="6"/>
  <c r="F218" i="6"/>
  <c r="E218" i="6"/>
  <c r="BL217" i="6"/>
  <c r="BB217" i="6"/>
  <c r="N217" i="6"/>
  <c r="D217" i="6"/>
  <c r="BL216" i="6"/>
  <c r="BB216" i="6"/>
  <c r="N216" i="6"/>
  <c r="D216" i="6"/>
  <c r="BL212" i="6"/>
  <c r="BB212" i="6"/>
  <c r="N215" i="6"/>
  <c r="D215" i="6"/>
  <c r="BL214" i="6"/>
  <c r="BB214" i="6"/>
  <c r="N214" i="6"/>
  <c r="D214" i="6"/>
  <c r="BL213" i="6"/>
  <c r="BB213" i="6"/>
  <c r="N213" i="6"/>
  <c r="D213" i="6"/>
  <c r="BL215" i="6"/>
  <c r="BB215" i="6"/>
  <c r="N212" i="6"/>
  <c r="D212" i="6"/>
  <c r="BL211" i="6"/>
  <c r="BB211" i="6"/>
  <c r="N211" i="6"/>
  <c r="D211" i="6"/>
  <c r="BL210" i="6"/>
  <c r="BB210" i="6"/>
  <c r="N210" i="6"/>
  <c r="D210" i="6"/>
  <c r="BL209" i="6"/>
  <c r="BB209" i="6"/>
  <c r="N209" i="6"/>
  <c r="D209" i="6"/>
  <c r="BL208" i="6"/>
  <c r="BB208" i="6"/>
  <c r="N208" i="6"/>
  <c r="D208" i="6"/>
  <c r="BT205" i="6"/>
  <c r="BO205" i="6"/>
  <c r="BN205" i="6"/>
  <c r="BM205" i="6"/>
  <c r="BL205" i="6"/>
  <c r="BK205" i="6"/>
  <c r="BJ205" i="6"/>
  <c r="BI205" i="6"/>
  <c r="BH205" i="6"/>
  <c r="BG205" i="6"/>
  <c r="BF205" i="6"/>
  <c r="V205" i="6"/>
  <c r="Q205" i="6"/>
  <c r="P205" i="6"/>
  <c r="O205" i="6"/>
  <c r="N205" i="6"/>
  <c r="M205" i="6"/>
  <c r="L205" i="6"/>
  <c r="K205" i="6"/>
  <c r="J205" i="6"/>
  <c r="I205" i="6"/>
  <c r="H205" i="6"/>
  <c r="BR204" i="6"/>
  <c r="BD204" i="6"/>
  <c r="BC204" i="6"/>
  <c r="BB204" i="6"/>
  <c r="T204" i="6"/>
  <c r="F204" i="6"/>
  <c r="E204" i="6"/>
  <c r="D204" i="6"/>
  <c r="BR203" i="6"/>
  <c r="BD203" i="6"/>
  <c r="BC203" i="6"/>
  <c r="BB203" i="6"/>
  <c r="T203" i="6"/>
  <c r="F203" i="6"/>
  <c r="E203" i="6"/>
  <c r="D203" i="6"/>
  <c r="BR201" i="6"/>
  <c r="BD201" i="6"/>
  <c r="BC201" i="6"/>
  <c r="BB201" i="6"/>
  <c r="T201" i="6"/>
  <c r="F201" i="6"/>
  <c r="E201" i="6"/>
  <c r="D201" i="6"/>
  <c r="BR200" i="6"/>
  <c r="BD200" i="6"/>
  <c r="BC200" i="6"/>
  <c r="BB200" i="6"/>
  <c r="T202" i="6"/>
  <c r="F202" i="6"/>
  <c r="E202" i="6"/>
  <c r="D202" i="6"/>
  <c r="BR202" i="6"/>
  <c r="BD202" i="6"/>
  <c r="BC202" i="6"/>
  <c r="BB202" i="6"/>
  <c r="T200" i="6"/>
  <c r="F200" i="6"/>
  <c r="E200" i="6"/>
  <c r="D200" i="6"/>
  <c r="BR193" i="6"/>
  <c r="BD193" i="6"/>
  <c r="BC193" i="6"/>
  <c r="BB193" i="6"/>
  <c r="T191" i="6"/>
  <c r="F191" i="6"/>
  <c r="E191" i="6"/>
  <c r="D191" i="6"/>
  <c r="BR195" i="6"/>
  <c r="BD195" i="6"/>
  <c r="BC195" i="6"/>
  <c r="BB195" i="6"/>
  <c r="T196" i="6"/>
  <c r="F196" i="6"/>
  <c r="E196" i="6"/>
  <c r="D196" i="6"/>
  <c r="BR191" i="6"/>
  <c r="BD191" i="6"/>
  <c r="BC191" i="6"/>
  <c r="BB191" i="6"/>
  <c r="T199" i="6"/>
  <c r="F199" i="6"/>
  <c r="E199" i="6"/>
  <c r="D199" i="6"/>
  <c r="BR196" i="6"/>
  <c r="BD196" i="6"/>
  <c r="BC196" i="6"/>
  <c r="BB196" i="6"/>
  <c r="T193" i="6"/>
  <c r="F193" i="6"/>
  <c r="E193" i="6"/>
  <c r="D193" i="6"/>
  <c r="BR194" i="6"/>
  <c r="BD194" i="6"/>
  <c r="BC194" i="6"/>
  <c r="BB194" i="6"/>
  <c r="T197" i="6"/>
  <c r="F197" i="6"/>
  <c r="E197" i="6"/>
  <c r="D197" i="6"/>
  <c r="BR199" i="6"/>
  <c r="BD199" i="6"/>
  <c r="BC199" i="6"/>
  <c r="BB199" i="6"/>
  <c r="T194" i="6"/>
  <c r="F194" i="6"/>
  <c r="E194" i="6"/>
  <c r="D194" i="6"/>
  <c r="BR192" i="6"/>
  <c r="BD192" i="6"/>
  <c r="BC192" i="6"/>
  <c r="BB192" i="6"/>
  <c r="T192" i="6"/>
  <c r="F192" i="6"/>
  <c r="E192" i="6"/>
  <c r="D192" i="6"/>
  <c r="BR197" i="6"/>
  <c r="BD197" i="6"/>
  <c r="BC197" i="6"/>
  <c r="BB197" i="6"/>
  <c r="T195" i="6"/>
  <c r="F195" i="6"/>
  <c r="E195" i="6"/>
  <c r="D195" i="6"/>
  <c r="BR198" i="6"/>
  <c r="BD198" i="6"/>
  <c r="BC198" i="6"/>
  <c r="BB198" i="6"/>
  <c r="T198" i="6"/>
  <c r="F198" i="6"/>
  <c r="E198" i="6"/>
  <c r="D198" i="6"/>
  <c r="BP187" i="6"/>
  <c r="BO187" i="6"/>
  <c r="BN187" i="6"/>
  <c r="BM187" i="6"/>
  <c r="BK187" i="6"/>
  <c r="BJ187" i="6"/>
  <c r="BI187" i="6"/>
  <c r="BH187" i="6"/>
  <c r="BG187" i="6"/>
  <c r="BF187" i="6"/>
  <c r="BD187" i="6"/>
  <c r="BC187" i="6"/>
  <c r="AQ187" i="6"/>
  <c r="AP187" i="6"/>
  <c r="AO187" i="6"/>
  <c r="AN187" i="6"/>
  <c r="AL187" i="6"/>
  <c r="AK187" i="6"/>
  <c r="AJ187" i="6"/>
  <c r="AI187" i="6"/>
  <c r="AH187" i="6"/>
  <c r="AG187" i="6"/>
  <c r="AE187" i="6"/>
  <c r="AD187" i="6"/>
  <c r="R187" i="6"/>
  <c r="Q187" i="6"/>
  <c r="P187" i="6"/>
  <c r="O187" i="6"/>
  <c r="M187" i="6"/>
  <c r="L187" i="6"/>
  <c r="K187" i="6"/>
  <c r="J187" i="6"/>
  <c r="I187" i="6"/>
  <c r="H187" i="6"/>
  <c r="F187" i="6"/>
  <c r="E187" i="6"/>
  <c r="BL186" i="6"/>
  <c r="BB186" i="6"/>
  <c r="AM186" i="6"/>
  <c r="AC186" i="6"/>
  <c r="N186" i="6"/>
  <c r="D186" i="6"/>
  <c r="BL185" i="6"/>
  <c r="BB185" i="6"/>
  <c r="AM184" i="6"/>
  <c r="AC184" i="6"/>
  <c r="N185" i="6"/>
  <c r="D185" i="6"/>
  <c r="BL184" i="6"/>
  <c r="BB184" i="6"/>
  <c r="AM185" i="6"/>
  <c r="AC185" i="6"/>
  <c r="N184" i="6"/>
  <c r="D184" i="6"/>
  <c r="BL182" i="6"/>
  <c r="BB182" i="6"/>
  <c r="AM182" i="6"/>
  <c r="AC182" i="6"/>
  <c r="N181" i="6"/>
  <c r="D181" i="6"/>
  <c r="BL181" i="6"/>
  <c r="BB181" i="6"/>
  <c r="AM183" i="6"/>
  <c r="AC183" i="6"/>
  <c r="N183" i="6"/>
  <c r="D183" i="6"/>
  <c r="BL183" i="6"/>
  <c r="BB183" i="6"/>
  <c r="AM181" i="6"/>
  <c r="AC181" i="6"/>
  <c r="N182" i="6"/>
  <c r="D182" i="6"/>
  <c r="BL180" i="6"/>
  <c r="BB180" i="6"/>
  <c r="AM180" i="6"/>
  <c r="AC180" i="6"/>
  <c r="N180" i="6"/>
  <c r="D180" i="6"/>
  <c r="BL179" i="6"/>
  <c r="BB179" i="6"/>
  <c r="AM179" i="6"/>
  <c r="AC179" i="6"/>
  <c r="N179" i="6"/>
  <c r="D179" i="6"/>
  <c r="BL178" i="6"/>
  <c r="BB178" i="6"/>
  <c r="AM178" i="6"/>
  <c r="AC178" i="6"/>
  <c r="N178" i="6"/>
  <c r="D178" i="6"/>
  <c r="BL177" i="6"/>
  <c r="BB177" i="6"/>
  <c r="AM177" i="6"/>
  <c r="AC177" i="6"/>
  <c r="N177" i="6"/>
  <c r="D177" i="6"/>
  <c r="BT174" i="6"/>
  <c r="BO174" i="6"/>
  <c r="BN174" i="6"/>
  <c r="BM174" i="6"/>
  <c r="BL174" i="6"/>
  <c r="BK174" i="6"/>
  <c r="BJ174" i="6"/>
  <c r="BI174" i="6"/>
  <c r="BH174" i="6"/>
  <c r="BG174" i="6"/>
  <c r="BF174" i="6"/>
  <c r="AU174" i="6"/>
  <c r="AP174" i="6"/>
  <c r="AO174" i="6"/>
  <c r="AN174" i="6"/>
  <c r="AM174" i="6"/>
  <c r="AL174" i="6"/>
  <c r="AK174" i="6"/>
  <c r="AJ174" i="6"/>
  <c r="AI174" i="6"/>
  <c r="AH174" i="6"/>
  <c r="AG174" i="6"/>
  <c r="V174" i="6"/>
  <c r="Q174" i="6"/>
  <c r="P174" i="6"/>
  <c r="O174" i="6"/>
  <c r="N174" i="6"/>
  <c r="M174" i="6"/>
  <c r="L174" i="6"/>
  <c r="K174" i="6"/>
  <c r="J174" i="6"/>
  <c r="I174" i="6"/>
  <c r="H174" i="6"/>
  <c r="BR173" i="6"/>
  <c r="BD173" i="6"/>
  <c r="BC173" i="6"/>
  <c r="BB173" i="6"/>
  <c r="AS173" i="6"/>
  <c r="AE173" i="6"/>
  <c r="AD173" i="6"/>
  <c r="AC173" i="6"/>
  <c r="T173" i="6"/>
  <c r="F173" i="6"/>
  <c r="E173" i="6"/>
  <c r="D173" i="6"/>
  <c r="BR172" i="6"/>
  <c r="BD172" i="6"/>
  <c r="BC172" i="6"/>
  <c r="BB172" i="6"/>
  <c r="AS171" i="6"/>
  <c r="AE171" i="6"/>
  <c r="AD171" i="6"/>
  <c r="AC171" i="6"/>
  <c r="T172" i="6"/>
  <c r="F172" i="6"/>
  <c r="E172" i="6"/>
  <c r="D172" i="6"/>
  <c r="BR170" i="6"/>
  <c r="BD170" i="6"/>
  <c r="BC170" i="6"/>
  <c r="BB170" i="6"/>
  <c r="AS169" i="6"/>
  <c r="AE169" i="6"/>
  <c r="AD169" i="6"/>
  <c r="AC169" i="6"/>
  <c r="T170" i="6"/>
  <c r="F170" i="6"/>
  <c r="E170" i="6"/>
  <c r="D170" i="6"/>
  <c r="BR171" i="6"/>
  <c r="BD171" i="6"/>
  <c r="BC171" i="6"/>
  <c r="BB171" i="6"/>
  <c r="AS170" i="6"/>
  <c r="AE170" i="6"/>
  <c r="AD170" i="6"/>
  <c r="AC170" i="6"/>
  <c r="T171" i="6"/>
  <c r="F171" i="6"/>
  <c r="E171" i="6"/>
  <c r="D171" i="6"/>
  <c r="BR169" i="6"/>
  <c r="BD169" i="6"/>
  <c r="BC169" i="6"/>
  <c r="BB169" i="6"/>
  <c r="AS172" i="6"/>
  <c r="AE172" i="6"/>
  <c r="AD172" i="6"/>
  <c r="AC172" i="6"/>
  <c r="T169" i="6"/>
  <c r="F169" i="6"/>
  <c r="E169" i="6"/>
  <c r="D169" i="6"/>
  <c r="BR160" i="6"/>
  <c r="BD160" i="6"/>
  <c r="BC160" i="6"/>
  <c r="BB160" i="6"/>
  <c r="AS162" i="6"/>
  <c r="AE162" i="6"/>
  <c r="AD162" i="6"/>
  <c r="AC162" i="6"/>
  <c r="T161" i="6"/>
  <c r="F161" i="6"/>
  <c r="E161" i="6"/>
  <c r="D161" i="6"/>
  <c r="BR161" i="6"/>
  <c r="BD161" i="6"/>
  <c r="BC161" i="6"/>
  <c r="BB161" i="6"/>
  <c r="AS165" i="6"/>
  <c r="AE165" i="6"/>
  <c r="AD165" i="6"/>
  <c r="AC165" i="6"/>
  <c r="T166" i="6"/>
  <c r="F166" i="6"/>
  <c r="E166" i="6"/>
  <c r="D166" i="6"/>
  <c r="BR164" i="6"/>
  <c r="BD164" i="6"/>
  <c r="BC164" i="6"/>
  <c r="BB164" i="6"/>
  <c r="AS160" i="6"/>
  <c r="AE160" i="6"/>
  <c r="AD160" i="6"/>
  <c r="AC160" i="6"/>
  <c r="T162" i="6"/>
  <c r="F162" i="6"/>
  <c r="E162" i="6"/>
  <c r="D162" i="6"/>
  <c r="BR168" i="6"/>
  <c r="BD168" i="6"/>
  <c r="BC168" i="6"/>
  <c r="BB168" i="6"/>
  <c r="AS167" i="6"/>
  <c r="AE167" i="6"/>
  <c r="AD167" i="6"/>
  <c r="AC167" i="6"/>
  <c r="T164" i="6"/>
  <c r="F164" i="6"/>
  <c r="E164" i="6"/>
  <c r="D164" i="6"/>
  <c r="BR162" i="6"/>
  <c r="BD162" i="6"/>
  <c r="BC162" i="6"/>
  <c r="BB162" i="6"/>
  <c r="AS161" i="6"/>
  <c r="AE161" i="6"/>
  <c r="AD161" i="6"/>
  <c r="AC161" i="6"/>
  <c r="T168" i="6"/>
  <c r="F168" i="6"/>
  <c r="E168" i="6"/>
  <c r="D168" i="6"/>
  <c r="BR167" i="6"/>
  <c r="BD167" i="6"/>
  <c r="BC167" i="6"/>
  <c r="BB167" i="6"/>
  <c r="AS168" i="6"/>
  <c r="AE168" i="6"/>
  <c r="AD168" i="6"/>
  <c r="AC168" i="6"/>
  <c r="T165" i="6"/>
  <c r="F165" i="6"/>
  <c r="E165" i="6"/>
  <c r="D165" i="6"/>
  <c r="BR165" i="6"/>
  <c r="BD165" i="6"/>
  <c r="BC165" i="6"/>
  <c r="BB165" i="6"/>
  <c r="AS166" i="6"/>
  <c r="AE166" i="6"/>
  <c r="AD166" i="6"/>
  <c r="AC166" i="6"/>
  <c r="T167" i="6"/>
  <c r="F167" i="6"/>
  <c r="E167" i="6"/>
  <c r="D167" i="6"/>
  <c r="BR166" i="6"/>
  <c r="BD166" i="6"/>
  <c r="BC166" i="6"/>
  <c r="BB166" i="6"/>
  <c r="AS164" i="6"/>
  <c r="AE164" i="6"/>
  <c r="AD164" i="6"/>
  <c r="AC164" i="6"/>
  <c r="T160" i="6"/>
  <c r="F160" i="6"/>
  <c r="E160" i="6"/>
  <c r="D160" i="6"/>
  <c r="BR163" i="6"/>
  <c r="BD163" i="6"/>
  <c r="BC163" i="6"/>
  <c r="BB163" i="6"/>
  <c r="AS163" i="6"/>
  <c r="AE163" i="6"/>
  <c r="AD163" i="6"/>
  <c r="AC163" i="6"/>
  <c r="T163" i="6"/>
  <c r="F163" i="6"/>
  <c r="E163" i="6"/>
  <c r="D163" i="6"/>
  <c r="BP155" i="6"/>
  <c r="BO155" i="6"/>
  <c r="BN155" i="6"/>
  <c r="BM155" i="6"/>
  <c r="BK155" i="6"/>
  <c r="BJ155" i="6"/>
  <c r="BI155" i="6"/>
  <c r="BH155" i="6"/>
  <c r="AY25" i="3" s="1"/>
  <c r="AY50" i="3" s="1"/>
  <c r="BG155" i="6"/>
  <c r="BF155" i="6"/>
  <c r="BD155" i="6"/>
  <c r="AV25" i="3" s="1"/>
  <c r="BG40" i="3" s="1"/>
  <c r="BC155" i="6"/>
  <c r="AU25" i="3" s="1"/>
  <c r="AQ155" i="6"/>
  <c r="AP155" i="6"/>
  <c r="AO155" i="6"/>
  <c r="AN155" i="6"/>
  <c r="AL155" i="6"/>
  <c r="AK155" i="6"/>
  <c r="AJ155" i="6"/>
  <c r="AI155" i="6"/>
  <c r="AH155" i="6"/>
  <c r="AG155" i="6"/>
  <c r="AE155" i="6"/>
  <c r="AD155" i="6"/>
  <c r="R155" i="6"/>
  <c r="Q155" i="6"/>
  <c r="P155" i="6"/>
  <c r="O155" i="6"/>
  <c r="M155" i="6"/>
  <c r="L155" i="6"/>
  <c r="K155" i="6"/>
  <c r="J155" i="6"/>
  <c r="G55" i="3" s="1"/>
  <c r="I155" i="6"/>
  <c r="H155" i="6"/>
  <c r="F155" i="6"/>
  <c r="D55" i="3" s="1"/>
  <c r="E155" i="6"/>
  <c r="C55" i="3" s="1"/>
  <c r="BL154" i="6"/>
  <c r="BB154" i="6"/>
  <c r="AM154" i="6"/>
  <c r="AC154" i="6"/>
  <c r="N154" i="6"/>
  <c r="N152" i="19" s="1"/>
  <c r="D154" i="6"/>
  <c r="D152" i="19" s="1"/>
  <c r="BL151" i="6"/>
  <c r="BB151" i="6"/>
  <c r="AM152" i="6"/>
  <c r="AC152" i="6"/>
  <c r="N153" i="6"/>
  <c r="N151" i="19" s="1"/>
  <c r="D153" i="6"/>
  <c r="D151" i="19" s="1"/>
  <c r="BL153" i="6"/>
  <c r="BB153" i="6"/>
  <c r="AM153" i="6"/>
  <c r="AC153" i="6"/>
  <c r="N152" i="6"/>
  <c r="N150" i="19" s="1"/>
  <c r="D152" i="6"/>
  <c r="D150" i="19" s="1"/>
  <c r="BL152" i="6"/>
  <c r="BB152" i="6"/>
  <c r="AM151" i="6"/>
  <c r="AC151" i="6"/>
  <c r="N151" i="6"/>
  <c r="N149" i="19" s="1"/>
  <c r="D151" i="6"/>
  <c r="D149" i="19" s="1"/>
  <c r="BL150" i="6"/>
  <c r="BB150" i="6"/>
  <c r="AM150" i="6"/>
  <c r="AC150" i="6"/>
  <c r="N150" i="6"/>
  <c r="N148" i="19" s="1"/>
  <c r="D150" i="6"/>
  <c r="D148" i="19" s="1"/>
  <c r="BL149" i="6"/>
  <c r="BB149" i="6"/>
  <c r="AM149" i="6"/>
  <c r="AC149" i="6"/>
  <c r="N149" i="6"/>
  <c r="N147" i="19" s="1"/>
  <c r="D149" i="6"/>
  <c r="D147" i="19" s="1"/>
  <c r="BL148" i="6"/>
  <c r="BB148" i="6"/>
  <c r="AM148" i="6"/>
  <c r="AC148" i="6"/>
  <c r="N148" i="6"/>
  <c r="N146" i="19" s="1"/>
  <c r="D148" i="6"/>
  <c r="D146" i="19" s="1"/>
  <c r="BL147" i="6"/>
  <c r="BB147" i="6"/>
  <c r="AM147" i="6"/>
  <c r="AC147" i="6"/>
  <c r="N147" i="6"/>
  <c r="N145" i="19" s="1"/>
  <c r="D147" i="6"/>
  <c r="D145" i="19" s="1"/>
  <c r="BL146" i="6"/>
  <c r="BB146" i="6"/>
  <c r="AM146" i="6"/>
  <c r="AC146" i="6"/>
  <c r="N146" i="6"/>
  <c r="N144" i="19" s="1"/>
  <c r="D146" i="6"/>
  <c r="D144" i="19" s="1"/>
  <c r="BL145" i="6"/>
  <c r="BB145" i="6"/>
  <c r="AM145" i="6"/>
  <c r="AC145" i="6"/>
  <c r="N145" i="6"/>
  <c r="N143" i="19" s="1"/>
  <c r="D145" i="6"/>
  <c r="D143" i="19" s="1"/>
  <c r="BT142" i="6"/>
  <c r="BO142" i="6"/>
  <c r="BN142" i="6"/>
  <c r="BM142" i="6"/>
  <c r="BL142" i="6"/>
  <c r="BK142" i="6"/>
  <c r="BJ142" i="6"/>
  <c r="BI142" i="6"/>
  <c r="BH142" i="6"/>
  <c r="BG142" i="6"/>
  <c r="AX25" i="3" s="1"/>
  <c r="AX50" i="3" s="1"/>
  <c r="BF142" i="6"/>
  <c r="AU142" i="6"/>
  <c r="AP142" i="6"/>
  <c r="AO142" i="6"/>
  <c r="AN142" i="6"/>
  <c r="AM142" i="6"/>
  <c r="AL142" i="6"/>
  <c r="AK142" i="6"/>
  <c r="AJ142" i="6"/>
  <c r="AI142" i="6"/>
  <c r="AH142" i="6"/>
  <c r="AG142" i="6"/>
  <c r="V142" i="6"/>
  <c r="Q142" i="6"/>
  <c r="P142" i="6"/>
  <c r="O142" i="6"/>
  <c r="N142" i="6"/>
  <c r="M142" i="6"/>
  <c r="L142" i="6"/>
  <c r="K142" i="6"/>
  <c r="J142" i="6"/>
  <c r="I142" i="6"/>
  <c r="F55" i="3" s="1"/>
  <c r="H142" i="6"/>
  <c r="BR137" i="6"/>
  <c r="BD137" i="6"/>
  <c r="BC137" i="6"/>
  <c r="BB137" i="6"/>
  <c r="AS138" i="6"/>
  <c r="AE138" i="6"/>
  <c r="AD138" i="6"/>
  <c r="AC138" i="6"/>
  <c r="T141" i="6"/>
  <c r="T212" i="17" s="1"/>
  <c r="F141" i="6"/>
  <c r="F212" i="17" s="1"/>
  <c r="E141" i="6"/>
  <c r="E212" i="17" s="1"/>
  <c r="D141" i="6"/>
  <c r="D212" i="17" s="1"/>
  <c r="BR139" i="6"/>
  <c r="BD139" i="6"/>
  <c r="BC139" i="6"/>
  <c r="BB139" i="6"/>
  <c r="AS139" i="6"/>
  <c r="AE139" i="6"/>
  <c r="AD139" i="6"/>
  <c r="AC139" i="6"/>
  <c r="T138" i="6"/>
  <c r="T209" i="17" s="1"/>
  <c r="F138" i="6"/>
  <c r="F209" i="17" s="1"/>
  <c r="E138" i="6"/>
  <c r="E209" i="17" s="1"/>
  <c r="D138" i="6"/>
  <c r="D209" i="17" s="1"/>
  <c r="BR130" i="6"/>
  <c r="BD130" i="6"/>
  <c r="BC130" i="6"/>
  <c r="BB130" i="6"/>
  <c r="AS137" i="6"/>
  <c r="AE137" i="6"/>
  <c r="AD137" i="6"/>
  <c r="AC137" i="6"/>
  <c r="T139" i="6"/>
  <c r="T210" i="17" s="1"/>
  <c r="F139" i="6"/>
  <c r="F210" i="17" s="1"/>
  <c r="E139" i="6"/>
  <c r="E210" i="17" s="1"/>
  <c r="D139" i="6"/>
  <c r="D210" i="17" s="1"/>
  <c r="BR140" i="6"/>
  <c r="BD140" i="6"/>
  <c r="BC140" i="6"/>
  <c r="BB140" i="6"/>
  <c r="AS141" i="6"/>
  <c r="AE141" i="6"/>
  <c r="AD141" i="6"/>
  <c r="AC141" i="6"/>
  <c r="T140" i="6"/>
  <c r="T211" i="17" s="1"/>
  <c r="F140" i="6"/>
  <c r="F211" i="17" s="1"/>
  <c r="E140" i="6"/>
  <c r="E211" i="17" s="1"/>
  <c r="D140" i="6"/>
  <c r="D211" i="17" s="1"/>
  <c r="BR138" i="6"/>
  <c r="BD138" i="6"/>
  <c r="BC138" i="6"/>
  <c r="BB138" i="6"/>
  <c r="AS140" i="6"/>
  <c r="AE140" i="6"/>
  <c r="AD140" i="6"/>
  <c r="AC140" i="6"/>
  <c r="T137" i="6"/>
  <c r="T208" i="17" s="1"/>
  <c r="F137" i="6"/>
  <c r="F208" i="17" s="1"/>
  <c r="E137" i="6"/>
  <c r="E208" i="17" s="1"/>
  <c r="D137" i="6"/>
  <c r="D208" i="17" s="1"/>
  <c r="BR136" i="6"/>
  <c r="BD136" i="6"/>
  <c r="BC136" i="6"/>
  <c r="BB136" i="6"/>
  <c r="AS136" i="6"/>
  <c r="AE136" i="6"/>
  <c r="AD136" i="6"/>
  <c r="AC136" i="6"/>
  <c r="T128" i="6"/>
  <c r="T199" i="17" s="1"/>
  <c r="F128" i="6"/>
  <c r="F199" i="17" s="1"/>
  <c r="E128" i="6"/>
  <c r="D128" i="6"/>
  <c r="D199" i="17" s="1"/>
  <c r="BR135" i="6"/>
  <c r="BD135" i="6"/>
  <c r="BC135" i="6"/>
  <c r="BB135" i="6"/>
  <c r="AS132" i="6"/>
  <c r="AE132" i="6"/>
  <c r="AD132" i="6"/>
  <c r="AC132" i="6"/>
  <c r="T135" i="6"/>
  <c r="T206" i="17" s="1"/>
  <c r="F135" i="6"/>
  <c r="F206" i="17" s="1"/>
  <c r="E135" i="6"/>
  <c r="E206" i="17" s="1"/>
  <c r="D135" i="6"/>
  <c r="D206" i="17" s="1"/>
  <c r="BR131" i="6"/>
  <c r="BD131" i="6"/>
  <c r="BC131" i="6"/>
  <c r="BB131" i="6"/>
  <c r="AS131" i="6"/>
  <c r="AE131" i="6"/>
  <c r="AD131" i="6"/>
  <c r="AC131" i="6"/>
  <c r="T131" i="6"/>
  <c r="T202" i="17" s="1"/>
  <c r="F131" i="6"/>
  <c r="F202" i="17" s="1"/>
  <c r="E131" i="6"/>
  <c r="E202" i="17" s="1"/>
  <c r="D131" i="6"/>
  <c r="D202" i="17" s="1"/>
  <c r="BR133" i="6"/>
  <c r="BD133" i="6"/>
  <c r="BC133" i="6"/>
  <c r="BB133" i="6"/>
  <c r="AS128" i="6"/>
  <c r="AE128" i="6"/>
  <c r="AD128" i="6"/>
  <c r="AC128" i="6"/>
  <c r="T134" i="6"/>
  <c r="T205" i="17" s="1"/>
  <c r="F134" i="6"/>
  <c r="F205" i="17" s="1"/>
  <c r="E134" i="6"/>
  <c r="E205" i="17" s="1"/>
  <c r="D134" i="6"/>
  <c r="D205" i="17" s="1"/>
  <c r="BR141" i="6"/>
  <c r="BD141" i="6"/>
  <c r="BC141" i="6"/>
  <c r="BB141" i="6"/>
  <c r="AS130" i="6"/>
  <c r="AE130" i="6"/>
  <c r="AD130" i="6"/>
  <c r="AC130" i="6"/>
  <c r="T133" i="6"/>
  <c r="T204" i="17" s="1"/>
  <c r="F133" i="6"/>
  <c r="F204" i="17" s="1"/>
  <c r="E133" i="6"/>
  <c r="D133" i="6"/>
  <c r="D204" i="17" s="1"/>
  <c r="BR129" i="6"/>
  <c r="BD129" i="6"/>
  <c r="BC129" i="6"/>
  <c r="BB129" i="6"/>
  <c r="AS135" i="6"/>
  <c r="AE135" i="6"/>
  <c r="AD135" i="6"/>
  <c r="AC135" i="6"/>
  <c r="T130" i="6"/>
  <c r="T201" i="17" s="1"/>
  <c r="F130" i="6"/>
  <c r="F201" i="17" s="1"/>
  <c r="E130" i="6"/>
  <c r="E201" i="17" s="1"/>
  <c r="D130" i="6"/>
  <c r="D201" i="17" s="1"/>
  <c r="BR128" i="6"/>
  <c r="BD128" i="6"/>
  <c r="BC128" i="6"/>
  <c r="BB128" i="6"/>
  <c r="AS134" i="6"/>
  <c r="AE134" i="6"/>
  <c r="AD134" i="6"/>
  <c r="AC134" i="6"/>
  <c r="T132" i="6"/>
  <c r="T203" i="17" s="1"/>
  <c r="F132" i="6"/>
  <c r="F203" i="17" s="1"/>
  <c r="E132" i="6"/>
  <c r="E203" i="17" s="1"/>
  <c r="D132" i="6"/>
  <c r="D203" i="17" s="1"/>
  <c r="BR134" i="6"/>
  <c r="BD134" i="6"/>
  <c r="BC134" i="6"/>
  <c r="BB134" i="6"/>
  <c r="AS133" i="6"/>
  <c r="AE133" i="6"/>
  <c r="AD133" i="6"/>
  <c r="AC133" i="6"/>
  <c r="T129" i="6"/>
  <c r="T200" i="17" s="1"/>
  <c r="F129" i="6"/>
  <c r="F200" i="17" s="1"/>
  <c r="E129" i="6"/>
  <c r="E200" i="17" s="1"/>
  <c r="D129" i="6"/>
  <c r="D200" i="17" s="1"/>
  <c r="BR132" i="6"/>
  <c r="BD132" i="6"/>
  <c r="BC132" i="6"/>
  <c r="BB132" i="6"/>
  <c r="AS129" i="6"/>
  <c r="AE129" i="6"/>
  <c r="AD129" i="6"/>
  <c r="AC129" i="6"/>
  <c r="T136" i="6"/>
  <c r="T207" i="17" s="1"/>
  <c r="F136" i="6"/>
  <c r="E136" i="6"/>
  <c r="E207" i="17" s="1"/>
  <c r="D136" i="6"/>
  <c r="D207" i="17" s="1"/>
  <c r="BP124" i="6"/>
  <c r="BO124" i="6"/>
  <c r="BN124" i="6"/>
  <c r="BM124" i="6"/>
  <c r="BK124" i="6"/>
  <c r="BJ124" i="6"/>
  <c r="BI124" i="6"/>
  <c r="BH124" i="6"/>
  <c r="AY23" i="3" s="1"/>
  <c r="AY41" i="3" s="1"/>
  <c r="BG124" i="6"/>
  <c r="BF124" i="6"/>
  <c r="BD124" i="6"/>
  <c r="AV23" i="3" s="1"/>
  <c r="BC124" i="6"/>
  <c r="AU23" i="3" s="1"/>
  <c r="BF35" i="3" s="1"/>
  <c r="AQ124" i="6"/>
  <c r="AP124" i="6"/>
  <c r="AO124" i="6"/>
  <c r="AN124" i="6"/>
  <c r="AL124" i="6"/>
  <c r="AK124" i="6"/>
  <c r="AJ124" i="6"/>
  <c r="AI124" i="6"/>
  <c r="AH124" i="6"/>
  <c r="AG124" i="6"/>
  <c r="AE124" i="6"/>
  <c r="AD124" i="6"/>
  <c r="R124" i="6"/>
  <c r="Q124" i="6"/>
  <c r="P124" i="6"/>
  <c r="O124" i="6"/>
  <c r="M124" i="6"/>
  <c r="L124" i="6"/>
  <c r="K124" i="6"/>
  <c r="J124" i="6"/>
  <c r="G24" i="3" s="1"/>
  <c r="I124" i="6"/>
  <c r="H124" i="6"/>
  <c r="F124" i="6"/>
  <c r="D54" i="3" s="1"/>
  <c r="E124" i="6"/>
  <c r="C54" i="3" s="1"/>
  <c r="BL123" i="6"/>
  <c r="BB123" i="6"/>
  <c r="AM123" i="6"/>
  <c r="AC123" i="6"/>
  <c r="N123" i="6"/>
  <c r="N142" i="19" s="1"/>
  <c r="D123" i="6"/>
  <c r="D142" i="19" s="1"/>
  <c r="BL122" i="6"/>
  <c r="BB122" i="6"/>
  <c r="AM122" i="6"/>
  <c r="AC122" i="6"/>
  <c r="N122" i="6"/>
  <c r="N141" i="19" s="1"/>
  <c r="D122" i="6"/>
  <c r="D141" i="19" s="1"/>
  <c r="BL121" i="6"/>
  <c r="BB121" i="6"/>
  <c r="AM121" i="6"/>
  <c r="AC121" i="6"/>
  <c r="N121" i="6"/>
  <c r="N140" i="19" s="1"/>
  <c r="D121" i="6"/>
  <c r="D140" i="19" s="1"/>
  <c r="BL120" i="6"/>
  <c r="BB120" i="6"/>
  <c r="AM120" i="6"/>
  <c r="AC120" i="6"/>
  <c r="N118" i="6"/>
  <c r="N137" i="19" s="1"/>
  <c r="D118" i="6"/>
  <c r="D137" i="19" s="1"/>
  <c r="BL119" i="6"/>
  <c r="BB119" i="6"/>
  <c r="AM119" i="6"/>
  <c r="AC119" i="6"/>
  <c r="N119" i="6"/>
  <c r="N138" i="19" s="1"/>
  <c r="D119" i="6"/>
  <c r="D138" i="19" s="1"/>
  <c r="BL118" i="6"/>
  <c r="BB118" i="6"/>
  <c r="AM118" i="6"/>
  <c r="AC118" i="6"/>
  <c r="N120" i="6"/>
  <c r="N139" i="19" s="1"/>
  <c r="D120" i="6"/>
  <c r="D139" i="19" s="1"/>
  <c r="BL117" i="6"/>
  <c r="BB117" i="6"/>
  <c r="AM117" i="6"/>
  <c r="AC117" i="6"/>
  <c r="N117" i="6"/>
  <c r="N136" i="19" s="1"/>
  <c r="D117" i="6"/>
  <c r="D136" i="19" s="1"/>
  <c r="BL116" i="6"/>
  <c r="BB116" i="6"/>
  <c r="AM116" i="6"/>
  <c r="AC116" i="6"/>
  <c r="N116" i="6"/>
  <c r="N135" i="19" s="1"/>
  <c r="D116" i="6"/>
  <c r="D135" i="19" s="1"/>
  <c r="BL115" i="6"/>
  <c r="BB115" i="6"/>
  <c r="AM115" i="6"/>
  <c r="AC115" i="6"/>
  <c r="N115" i="6"/>
  <c r="N134" i="19" s="1"/>
  <c r="D115" i="6"/>
  <c r="D134" i="19" s="1"/>
  <c r="BL114" i="6"/>
  <c r="BB114" i="6"/>
  <c r="AM114" i="6"/>
  <c r="AC114" i="6"/>
  <c r="N114" i="6"/>
  <c r="N133" i="19" s="1"/>
  <c r="D114" i="6"/>
  <c r="D133" i="19" s="1"/>
  <c r="BT111" i="6"/>
  <c r="BO111" i="6"/>
  <c r="BN111" i="6"/>
  <c r="BM111" i="6"/>
  <c r="BL111" i="6"/>
  <c r="BK111" i="6"/>
  <c r="BJ111" i="6"/>
  <c r="BI111" i="6"/>
  <c r="BH111" i="6"/>
  <c r="BG111" i="6"/>
  <c r="AX23" i="3" s="1"/>
  <c r="AX41" i="3" s="1"/>
  <c r="BF111" i="6"/>
  <c r="AU111" i="6"/>
  <c r="AP111" i="6"/>
  <c r="AO111" i="6"/>
  <c r="AN111" i="6"/>
  <c r="AM111" i="6"/>
  <c r="AL111" i="6"/>
  <c r="AK111" i="6"/>
  <c r="AJ111" i="6"/>
  <c r="AI111" i="6"/>
  <c r="AH111" i="6"/>
  <c r="AG111" i="6"/>
  <c r="V111" i="6"/>
  <c r="Q111" i="6"/>
  <c r="P111" i="6"/>
  <c r="O111" i="6"/>
  <c r="N111" i="6"/>
  <c r="M111" i="6"/>
  <c r="L111" i="6"/>
  <c r="K111" i="6"/>
  <c r="J111" i="6"/>
  <c r="I111" i="6"/>
  <c r="F24" i="3" s="1"/>
  <c r="H111" i="6"/>
  <c r="BR110" i="6"/>
  <c r="BD110" i="6"/>
  <c r="BC110" i="6"/>
  <c r="BB110" i="6"/>
  <c r="AS109" i="6"/>
  <c r="AE109" i="6"/>
  <c r="AD109" i="6"/>
  <c r="AC109" i="6"/>
  <c r="T110" i="6"/>
  <c r="T198" i="17" s="1"/>
  <c r="F110" i="6"/>
  <c r="F198" i="17" s="1"/>
  <c r="E110" i="6"/>
  <c r="E198" i="17" s="1"/>
  <c r="D110" i="6"/>
  <c r="D198" i="17" s="1"/>
  <c r="BR108" i="6"/>
  <c r="BD108" i="6"/>
  <c r="BC108" i="6"/>
  <c r="BB108" i="6"/>
  <c r="AS106" i="6"/>
  <c r="AE106" i="6"/>
  <c r="AD106" i="6"/>
  <c r="AC106" i="6"/>
  <c r="T108" i="6"/>
  <c r="T195" i="17" s="1"/>
  <c r="F108" i="6"/>
  <c r="F195" i="17" s="1"/>
  <c r="E108" i="6"/>
  <c r="E195" i="17" s="1"/>
  <c r="D108" i="6"/>
  <c r="D195" i="17" s="1"/>
  <c r="BR107" i="6"/>
  <c r="BD107" i="6"/>
  <c r="BC107" i="6"/>
  <c r="BB107" i="6"/>
  <c r="AS110" i="6"/>
  <c r="AE110" i="6"/>
  <c r="AD110" i="6"/>
  <c r="AC110" i="6"/>
  <c r="T107" i="6"/>
  <c r="T194" i="17" s="1"/>
  <c r="F107" i="6"/>
  <c r="F194" i="17" s="1"/>
  <c r="E107" i="6"/>
  <c r="E194" i="17" s="1"/>
  <c r="D107" i="6"/>
  <c r="D194" i="17" s="1"/>
  <c r="BR106" i="6"/>
  <c r="BD106" i="6"/>
  <c r="BC106" i="6"/>
  <c r="BB106" i="6"/>
  <c r="AS108" i="6"/>
  <c r="AE108" i="6"/>
  <c r="AD108" i="6"/>
  <c r="AC108" i="6"/>
  <c r="T109" i="6"/>
  <c r="T197" i="17" s="1"/>
  <c r="F109" i="6"/>
  <c r="E109" i="6"/>
  <c r="E197" i="17" s="1"/>
  <c r="D109" i="6"/>
  <c r="D197" i="17" s="1"/>
  <c r="BR109" i="6"/>
  <c r="BD109" i="6"/>
  <c r="BC109" i="6"/>
  <c r="BB109" i="6"/>
  <c r="AS107" i="6"/>
  <c r="AE107" i="6"/>
  <c r="AD107" i="6"/>
  <c r="AC107" i="6"/>
  <c r="T106" i="6"/>
  <c r="T196" i="17" s="1"/>
  <c r="F106" i="6"/>
  <c r="F196" i="17" s="1"/>
  <c r="E106" i="6"/>
  <c r="E196" i="17" s="1"/>
  <c r="D106" i="6"/>
  <c r="D196" i="17" s="1"/>
  <c r="BR104" i="6"/>
  <c r="BD104" i="6"/>
  <c r="BC104" i="6"/>
  <c r="BB104" i="6"/>
  <c r="AS99" i="6"/>
  <c r="AE99" i="6"/>
  <c r="AD99" i="6"/>
  <c r="AC99" i="6"/>
  <c r="T101" i="6"/>
  <c r="T189" i="17" s="1"/>
  <c r="F101" i="6"/>
  <c r="F189" i="17" s="1"/>
  <c r="E101" i="6"/>
  <c r="E189" i="17" s="1"/>
  <c r="D101" i="6"/>
  <c r="D189" i="17" s="1"/>
  <c r="BR100" i="6"/>
  <c r="BD100" i="6"/>
  <c r="BC100" i="6"/>
  <c r="BB100" i="6"/>
  <c r="AS105" i="6"/>
  <c r="AE105" i="6"/>
  <c r="AD105" i="6"/>
  <c r="AC105" i="6"/>
  <c r="T100" i="6"/>
  <c r="T188" i="17" s="1"/>
  <c r="F100" i="6"/>
  <c r="F188" i="17" s="1"/>
  <c r="E100" i="6"/>
  <c r="E188" i="17" s="1"/>
  <c r="D100" i="6"/>
  <c r="D188" i="17" s="1"/>
  <c r="BR99" i="6"/>
  <c r="BD99" i="6"/>
  <c r="BC99" i="6"/>
  <c r="BB99" i="6"/>
  <c r="AS100" i="6"/>
  <c r="AE100" i="6"/>
  <c r="AD100" i="6"/>
  <c r="AC100" i="6"/>
  <c r="T98" i="6"/>
  <c r="T186" i="17" s="1"/>
  <c r="F98" i="6"/>
  <c r="F186" i="17" s="1"/>
  <c r="E98" i="6"/>
  <c r="E186" i="17" s="1"/>
  <c r="D98" i="6"/>
  <c r="D186" i="17" s="1"/>
  <c r="BR97" i="6"/>
  <c r="BD97" i="6"/>
  <c r="BC97" i="6"/>
  <c r="BB97" i="6"/>
  <c r="AS97" i="6"/>
  <c r="AE97" i="6"/>
  <c r="AD97" i="6"/>
  <c r="AC97" i="6"/>
  <c r="T104" i="6"/>
  <c r="T192" i="17" s="1"/>
  <c r="F104" i="6"/>
  <c r="F192" i="17" s="1"/>
  <c r="E104" i="6"/>
  <c r="E192" i="17" s="1"/>
  <c r="D104" i="6"/>
  <c r="D192" i="17" s="1"/>
  <c r="BR98" i="6"/>
  <c r="BD98" i="6"/>
  <c r="BC98" i="6"/>
  <c r="BB98" i="6"/>
  <c r="AS102" i="6"/>
  <c r="AE102" i="6"/>
  <c r="AD102" i="6"/>
  <c r="AC102" i="6"/>
  <c r="T99" i="6"/>
  <c r="T187" i="17" s="1"/>
  <c r="F99" i="6"/>
  <c r="F187" i="17" s="1"/>
  <c r="E99" i="6"/>
  <c r="D99" i="6"/>
  <c r="D187" i="17" s="1"/>
  <c r="BR105" i="6"/>
  <c r="BD105" i="6"/>
  <c r="BC105" i="6"/>
  <c r="BB105" i="6"/>
  <c r="AS101" i="6"/>
  <c r="AE101" i="6"/>
  <c r="AD101" i="6"/>
  <c r="AC101" i="6"/>
  <c r="T102" i="6"/>
  <c r="T190" i="17" s="1"/>
  <c r="F102" i="6"/>
  <c r="E102" i="6"/>
  <c r="E190" i="17" s="1"/>
  <c r="D102" i="6"/>
  <c r="D190" i="17" s="1"/>
  <c r="BR102" i="6"/>
  <c r="BD102" i="6"/>
  <c r="BC102" i="6"/>
  <c r="BB102" i="6"/>
  <c r="AS98" i="6"/>
  <c r="AE98" i="6"/>
  <c r="AD98" i="6"/>
  <c r="AC98" i="6"/>
  <c r="T97" i="6"/>
  <c r="F97" i="6"/>
  <c r="F185" i="17" s="1"/>
  <c r="E97" i="6"/>
  <c r="E185" i="17" s="1"/>
  <c r="D97" i="6"/>
  <c r="D185" i="17" s="1"/>
  <c r="BR101" i="6"/>
  <c r="BD101" i="6"/>
  <c r="BC101" i="6"/>
  <c r="BB101" i="6"/>
  <c r="AS103" i="6"/>
  <c r="AE103" i="6"/>
  <c r="AD103" i="6"/>
  <c r="AC103" i="6"/>
  <c r="T105" i="6"/>
  <c r="T193" i="17" s="1"/>
  <c r="F105" i="6"/>
  <c r="F193" i="17" s="1"/>
  <c r="E105" i="6"/>
  <c r="E193" i="17" s="1"/>
  <c r="D105" i="6"/>
  <c r="D193" i="17" s="1"/>
  <c r="BR103" i="6"/>
  <c r="BD103" i="6"/>
  <c r="BC103" i="6"/>
  <c r="BB103" i="6"/>
  <c r="AS104" i="6"/>
  <c r="AE104" i="6"/>
  <c r="AD104" i="6"/>
  <c r="AC104" i="6"/>
  <c r="T103" i="6"/>
  <c r="T191" i="17" s="1"/>
  <c r="F103" i="6"/>
  <c r="F191" i="17" s="1"/>
  <c r="E103" i="6"/>
  <c r="D103" i="6"/>
  <c r="D191" i="17" s="1"/>
  <c r="BP93" i="6"/>
  <c r="BO93" i="6"/>
  <c r="BN93" i="6"/>
  <c r="BM93" i="6"/>
  <c r="BK93" i="6"/>
  <c r="BJ93" i="6"/>
  <c r="BI93" i="6"/>
  <c r="BH93" i="6"/>
  <c r="AY26" i="3" s="1"/>
  <c r="AY59" i="3" s="1"/>
  <c r="BG93" i="6"/>
  <c r="BF93" i="6"/>
  <c r="BD93" i="6"/>
  <c r="BC93" i="6"/>
  <c r="AU26" i="3" s="1"/>
  <c r="AU59" i="3" s="1"/>
  <c r="AQ93" i="6"/>
  <c r="AP93" i="6"/>
  <c r="AO93" i="6"/>
  <c r="AN93" i="6"/>
  <c r="AL93" i="6"/>
  <c r="AK93" i="6"/>
  <c r="AJ93" i="6"/>
  <c r="AI93" i="6"/>
  <c r="AH93" i="6"/>
  <c r="AG93" i="6"/>
  <c r="AE93" i="6"/>
  <c r="AD93" i="6"/>
  <c r="R93" i="6"/>
  <c r="Q93" i="6"/>
  <c r="P93" i="6"/>
  <c r="O93" i="6"/>
  <c r="M93" i="6"/>
  <c r="L93" i="6"/>
  <c r="K93" i="6"/>
  <c r="J93" i="6"/>
  <c r="G26" i="3" s="1"/>
  <c r="I93" i="6"/>
  <c r="H93" i="6"/>
  <c r="F93" i="6"/>
  <c r="D56" i="3" s="1"/>
  <c r="E93" i="6"/>
  <c r="C26" i="3" s="1"/>
  <c r="BL92" i="6"/>
  <c r="BB92" i="6"/>
  <c r="AM92" i="6"/>
  <c r="AC92" i="6"/>
  <c r="N92" i="6"/>
  <c r="N132" i="19" s="1"/>
  <c r="D92" i="6"/>
  <c r="D132" i="19" s="1"/>
  <c r="BL91" i="6"/>
  <c r="BB91" i="6"/>
  <c r="AM87" i="6"/>
  <c r="AC87" i="6"/>
  <c r="N91" i="6"/>
  <c r="N131" i="19" s="1"/>
  <c r="D91" i="6"/>
  <c r="D131" i="19" s="1"/>
  <c r="BL90" i="6"/>
  <c r="BB90" i="6"/>
  <c r="AM88" i="6"/>
  <c r="AC88" i="6"/>
  <c r="N90" i="6"/>
  <c r="N130" i="19" s="1"/>
  <c r="D90" i="6"/>
  <c r="D130" i="19" s="1"/>
  <c r="BL89" i="6"/>
  <c r="BB89" i="6"/>
  <c r="AM90" i="6"/>
  <c r="AC90" i="6"/>
  <c r="N89" i="6"/>
  <c r="N129" i="19" s="1"/>
  <c r="D89" i="6"/>
  <c r="D129" i="19" s="1"/>
  <c r="BL88" i="6"/>
  <c r="BB88" i="6"/>
  <c r="AM91" i="6"/>
  <c r="AC91" i="6"/>
  <c r="N88" i="6"/>
  <c r="N128" i="19" s="1"/>
  <c r="D88" i="6"/>
  <c r="D128" i="19" s="1"/>
  <c r="BL87" i="6"/>
  <c r="BB87" i="6"/>
  <c r="AM89" i="6"/>
  <c r="AC89" i="6"/>
  <c r="N87" i="6"/>
  <c r="N127" i="19" s="1"/>
  <c r="D87" i="6"/>
  <c r="D127" i="19" s="1"/>
  <c r="BL85" i="6"/>
  <c r="BB85" i="6"/>
  <c r="AM86" i="6"/>
  <c r="AC86" i="6"/>
  <c r="N86" i="6"/>
  <c r="N126" i="19" s="1"/>
  <c r="D86" i="6"/>
  <c r="D126" i="19" s="1"/>
  <c r="BL86" i="6"/>
  <c r="BB86" i="6"/>
  <c r="AM85" i="6"/>
  <c r="AC85" i="6"/>
  <c r="N85" i="6"/>
  <c r="N125" i="19" s="1"/>
  <c r="D85" i="6"/>
  <c r="D125" i="19" s="1"/>
  <c r="BL84" i="6"/>
  <c r="BB84" i="6"/>
  <c r="AM84" i="6"/>
  <c r="AC84" i="6"/>
  <c r="N84" i="6"/>
  <c r="N124" i="19" s="1"/>
  <c r="D84" i="6"/>
  <c r="D124" i="19" s="1"/>
  <c r="BL83" i="6"/>
  <c r="BB83" i="6"/>
  <c r="AM83" i="6"/>
  <c r="AC83" i="6"/>
  <c r="N83" i="6"/>
  <c r="N123" i="19" s="1"/>
  <c r="D83" i="6"/>
  <c r="D123" i="19" s="1"/>
  <c r="BT80" i="6"/>
  <c r="BO80" i="6"/>
  <c r="BN80" i="6"/>
  <c r="BM80" i="6"/>
  <c r="BL80" i="6"/>
  <c r="BK80" i="6"/>
  <c r="BJ80" i="6"/>
  <c r="BI80" i="6"/>
  <c r="BH80" i="6"/>
  <c r="BG80" i="6"/>
  <c r="AX26" i="3" s="1"/>
  <c r="AX59" i="3" s="1"/>
  <c r="BF80" i="6"/>
  <c r="AU80" i="6"/>
  <c r="AP80" i="6"/>
  <c r="AO80" i="6"/>
  <c r="AN80" i="6"/>
  <c r="AM80" i="6"/>
  <c r="AL80" i="6"/>
  <c r="AK80" i="6"/>
  <c r="AJ80" i="6"/>
  <c r="AI80" i="6"/>
  <c r="AH80" i="6"/>
  <c r="AG80" i="6"/>
  <c r="V80" i="6"/>
  <c r="Q80" i="6"/>
  <c r="P80" i="6"/>
  <c r="O80" i="6"/>
  <c r="N80" i="6"/>
  <c r="M80" i="6"/>
  <c r="L80" i="6"/>
  <c r="K80" i="6"/>
  <c r="J80" i="6"/>
  <c r="I80" i="6"/>
  <c r="F26" i="3" s="1"/>
  <c r="H80" i="6"/>
  <c r="BR76" i="6"/>
  <c r="BD76" i="6"/>
  <c r="BC76" i="6"/>
  <c r="BB76" i="6"/>
  <c r="AS78" i="6"/>
  <c r="AE78" i="6"/>
  <c r="AD78" i="6"/>
  <c r="AC78" i="6"/>
  <c r="T78" i="6"/>
  <c r="T183" i="17" s="1"/>
  <c r="F78" i="6"/>
  <c r="E78" i="6"/>
  <c r="E183" i="17" s="1"/>
  <c r="D78" i="6"/>
  <c r="D183" i="17" s="1"/>
  <c r="BR78" i="6"/>
  <c r="BD78" i="6"/>
  <c r="BC78" i="6"/>
  <c r="BB78" i="6"/>
  <c r="AS79" i="6"/>
  <c r="AE79" i="6"/>
  <c r="AD79" i="6"/>
  <c r="AC79" i="6"/>
  <c r="T75" i="6"/>
  <c r="T180" i="17" s="1"/>
  <c r="F75" i="6"/>
  <c r="F180" i="17" s="1"/>
  <c r="E75" i="6"/>
  <c r="E180" i="17" s="1"/>
  <c r="D75" i="6"/>
  <c r="D180" i="17" s="1"/>
  <c r="BR79" i="6"/>
  <c r="BD79" i="6"/>
  <c r="BC79" i="6"/>
  <c r="BB79" i="6"/>
  <c r="AS77" i="6"/>
  <c r="AE77" i="6"/>
  <c r="AD77" i="6"/>
  <c r="AC77" i="6"/>
  <c r="T73" i="6"/>
  <c r="T178" i="17" s="1"/>
  <c r="F73" i="6"/>
  <c r="F178" i="17" s="1"/>
  <c r="E73" i="6"/>
  <c r="E178" i="17" s="1"/>
  <c r="D73" i="6"/>
  <c r="D178" i="17" s="1"/>
  <c r="BR69" i="6"/>
  <c r="BD69" i="6"/>
  <c r="BC69" i="6"/>
  <c r="BB69" i="6"/>
  <c r="AS75" i="6"/>
  <c r="AE75" i="6"/>
  <c r="AD75" i="6"/>
  <c r="AC75" i="6"/>
  <c r="T76" i="6"/>
  <c r="T181" i="17" s="1"/>
  <c r="F76" i="6"/>
  <c r="F181" i="17" s="1"/>
  <c r="E76" i="6"/>
  <c r="D76" i="6"/>
  <c r="D181" i="17" s="1"/>
  <c r="BR77" i="6"/>
  <c r="BD77" i="6"/>
  <c r="BC77" i="6"/>
  <c r="BB77" i="6"/>
  <c r="AS76" i="6"/>
  <c r="AE76" i="6"/>
  <c r="AD76" i="6"/>
  <c r="AC76" i="6"/>
  <c r="T79" i="6"/>
  <c r="T184" i="17" s="1"/>
  <c r="F79" i="6"/>
  <c r="F184" i="17" s="1"/>
  <c r="E79" i="6"/>
  <c r="E184" i="17" s="1"/>
  <c r="D79" i="6"/>
  <c r="D184" i="17" s="1"/>
  <c r="BR75" i="6"/>
  <c r="BD75" i="6"/>
  <c r="BC75" i="6"/>
  <c r="BB75" i="6"/>
  <c r="AS72" i="6"/>
  <c r="AE72" i="6"/>
  <c r="AD72" i="6"/>
  <c r="AC72" i="6"/>
  <c r="T77" i="6"/>
  <c r="T182" i="17" s="1"/>
  <c r="F77" i="6"/>
  <c r="F182" i="17" s="1"/>
  <c r="E77" i="6"/>
  <c r="E182" i="17" s="1"/>
  <c r="D77" i="6"/>
  <c r="D182" i="17" s="1"/>
  <c r="BR72" i="6"/>
  <c r="BD72" i="6"/>
  <c r="BC72" i="6"/>
  <c r="BB72" i="6"/>
  <c r="AS73" i="6"/>
  <c r="AE73" i="6"/>
  <c r="AD73" i="6"/>
  <c r="AC73" i="6"/>
  <c r="T70" i="6"/>
  <c r="T175" i="17" s="1"/>
  <c r="F70" i="6"/>
  <c r="F175" i="17" s="1"/>
  <c r="E70" i="6"/>
  <c r="E175" i="17" s="1"/>
  <c r="D70" i="6"/>
  <c r="D175" i="17" s="1"/>
  <c r="BR66" i="6"/>
  <c r="BD66" i="6"/>
  <c r="BC66" i="6"/>
  <c r="BB66" i="6"/>
  <c r="AS66" i="6"/>
  <c r="AE66" i="6"/>
  <c r="AD66" i="6"/>
  <c r="AC66" i="6"/>
  <c r="T69" i="6"/>
  <c r="T174" i="17" s="1"/>
  <c r="F69" i="6"/>
  <c r="F174" i="17" s="1"/>
  <c r="E69" i="6"/>
  <c r="E174" i="17" s="1"/>
  <c r="D69" i="6"/>
  <c r="D174" i="17" s="1"/>
  <c r="BR68" i="6"/>
  <c r="BD68" i="6"/>
  <c r="BC68" i="6"/>
  <c r="BB68" i="6"/>
  <c r="AS69" i="6"/>
  <c r="AE69" i="6"/>
  <c r="AD69" i="6"/>
  <c r="AC69" i="6"/>
  <c r="T71" i="6"/>
  <c r="T176" i="17" s="1"/>
  <c r="F71" i="6"/>
  <c r="F176" i="17" s="1"/>
  <c r="E71" i="6"/>
  <c r="E176" i="17" s="1"/>
  <c r="D71" i="6"/>
  <c r="D176" i="17" s="1"/>
  <c r="BR73" i="6"/>
  <c r="BD73" i="6"/>
  <c r="BC73" i="6"/>
  <c r="BB73" i="6"/>
  <c r="AS74" i="6"/>
  <c r="AE74" i="6"/>
  <c r="AD74" i="6"/>
  <c r="AC74" i="6"/>
  <c r="T74" i="6"/>
  <c r="T179" i="17" s="1"/>
  <c r="F74" i="6"/>
  <c r="F179" i="17" s="1"/>
  <c r="E74" i="6"/>
  <c r="E179" i="17" s="1"/>
  <c r="D74" i="6"/>
  <c r="D179" i="17" s="1"/>
  <c r="BR67" i="6"/>
  <c r="BD67" i="6"/>
  <c r="BC67" i="6"/>
  <c r="BB67" i="6"/>
  <c r="AS68" i="6"/>
  <c r="AE68" i="6"/>
  <c r="AD68" i="6"/>
  <c r="AC68" i="6"/>
  <c r="T66" i="6"/>
  <c r="T171" i="17" s="1"/>
  <c r="F66" i="6"/>
  <c r="F171" i="17" s="1"/>
  <c r="E66" i="6"/>
  <c r="E171" i="17" s="1"/>
  <c r="D66" i="6"/>
  <c r="D171" i="17" s="1"/>
  <c r="BR70" i="6"/>
  <c r="BD70" i="6"/>
  <c r="BC70" i="6"/>
  <c r="BB70" i="6"/>
  <c r="AS71" i="6"/>
  <c r="AE71" i="6"/>
  <c r="AD71" i="6"/>
  <c r="AC71" i="6"/>
  <c r="T67" i="6"/>
  <c r="T172" i="17" s="1"/>
  <c r="F67" i="6"/>
  <c r="F172" i="17" s="1"/>
  <c r="E67" i="6"/>
  <c r="E172" i="17" s="1"/>
  <c r="D67" i="6"/>
  <c r="D172" i="17" s="1"/>
  <c r="BR71" i="6"/>
  <c r="BD71" i="6"/>
  <c r="BC71" i="6"/>
  <c r="BB71" i="6"/>
  <c r="AS67" i="6"/>
  <c r="AE67" i="6"/>
  <c r="AD67" i="6"/>
  <c r="AC67" i="6"/>
  <c r="T72" i="6"/>
  <c r="T177" i="17" s="1"/>
  <c r="F72" i="6"/>
  <c r="F177" i="17" s="1"/>
  <c r="E72" i="6"/>
  <c r="E177" i="17" s="1"/>
  <c r="D72" i="6"/>
  <c r="D177" i="17" s="1"/>
  <c r="BR74" i="6"/>
  <c r="BD74" i="6"/>
  <c r="BC74" i="6"/>
  <c r="BB74" i="6"/>
  <c r="AS70" i="6"/>
  <c r="AE70" i="6"/>
  <c r="AD70" i="6"/>
  <c r="AC70" i="6"/>
  <c r="T68" i="6"/>
  <c r="T173" i="17" s="1"/>
  <c r="F68" i="6"/>
  <c r="F173" i="17" s="1"/>
  <c r="E68" i="6"/>
  <c r="D68" i="6"/>
  <c r="D173" i="17" s="1"/>
  <c r="BP62" i="6"/>
  <c r="BO62" i="6"/>
  <c r="BN62" i="6"/>
  <c r="BM62" i="6"/>
  <c r="BK62" i="6"/>
  <c r="BJ62" i="6"/>
  <c r="BI62" i="6"/>
  <c r="BH62" i="6"/>
  <c r="AY24" i="3" s="1"/>
  <c r="AY48" i="3" s="1"/>
  <c r="BG62" i="6"/>
  <c r="BF62" i="6"/>
  <c r="BD62" i="6"/>
  <c r="AV24" i="3" s="1"/>
  <c r="BG39" i="3" s="1"/>
  <c r="BC62" i="6"/>
  <c r="AU24" i="3" s="1"/>
  <c r="BF39" i="3" s="1"/>
  <c r="AQ62" i="6"/>
  <c r="AP62" i="6"/>
  <c r="AO62" i="6"/>
  <c r="AN62" i="6"/>
  <c r="AL62" i="6"/>
  <c r="AK62" i="6"/>
  <c r="AJ62" i="6"/>
  <c r="AI62" i="6"/>
  <c r="AH62" i="6"/>
  <c r="AG62" i="6"/>
  <c r="AE62" i="6"/>
  <c r="AD62" i="6"/>
  <c r="R62" i="6"/>
  <c r="Q62" i="6"/>
  <c r="P62" i="6"/>
  <c r="O62" i="6"/>
  <c r="M62" i="6"/>
  <c r="L62" i="6"/>
  <c r="K62" i="6"/>
  <c r="J62" i="6"/>
  <c r="G37" i="3" s="1"/>
  <c r="I62" i="6"/>
  <c r="H62" i="6"/>
  <c r="F62" i="6"/>
  <c r="D37" i="3" s="1"/>
  <c r="E62" i="6"/>
  <c r="C37" i="3" s="1"/>
  <c r="BL61" i="6"/>
  <c r="BB61" i="6"/>
  <c r="AM61" i="6"/>
  <c r="AC61" i="6"/>
  <c r="N61" i="6"/>
  <c r="N122" i="19" s="1"/>
  <c r="D61" i="6"/>
  <c r="D122" i="19" s="1"/>
  <c r="BL60" i="6"/>
  <c r="BB60" i="6"/>
  <c r="AM59" i="6"/>
  <c r="AC59" i="6"/>
  <c r="N60" i="6"/>
  <c r="N121" i="19" s="1"/>
  <c r="D60" i="6"/>
  <c r="D121" i="19" s="1"/>
  <c r="BL59" i="6"/>
  <c r="BB59" i="6"/>
  <c r="AM60" i="6"/>
  <c r="AC60" i="6"/>
  <c r="N59" i="6"/>
  <c r="N120" i="19" s="1"/>
  <c r="D59" i="6"/>
  <c r="D120" i="19" s="1"/>
  <c r="BL58" i="6"/>
  <c r="BB58" i="6"/>
  <c r="AM57" i="6"/>
  <c r="AC57" i="6"/>
  <c r="N58" i="6"/>
  <c r="N119" i="19" s="1"/>
  <c r="D58" i="6"/>
  <c r="D119" i="19" s="1"/>
  <c r="BL57" i="6"/>
  <c r="BB57" i="6"/>
  <c r="AM58" i="6"/>
  <c r="AC58" i="6"/>
  <c r="N57" i="6"/>
  <c r="N118" i="19" s="1"/>
  <c r="D57" i="6"/>
  <c r="D118" i="19" s="1"/>
  <c r="BL56" i="6"/>
  <c r="BB56" i="6"/>
  <c r="AM56" i="6"/>
  <c r="AC56" i="6"/>
  <c r="N56" i="6"/>
  <c r="N117" i="19" s="1"/>
  <c r="D56" i="6"/>
  <c r="D117" i="19" s="1"/>
  <c r="BL55" i="6"/>
  <c r="BB55" i="6"/>
  <c r="AM55" i="6"/>
  <c r="AC55" i="6"/>
  <c r="N55" i="6"/>
  <c r="N116" i="19" s="1"/>
  <c r="D55" i="6"/>
  <c r="D116" i="19" s="1"/>
  <c r="BL54" i="6"/>
  <c r="BB54" i="6"/>
  <c r="AM54" i="6"/>
  <c r="AC54" i="6"/>
  <c r="N54" i="6"/>
  <c r="N115" i="19" s="1"/>
  <c r="D54" i="6"/>
  <c r="D115" i="19" s="1"/>
  <c r="BL53" i="6"/>
  <c r="BB53" i="6"/>
  <c r="AM53" i="6"/>
  <c r="AC53" i="6"/>
  <c r="N53" i="6"/>
  <c r="N114" i="19" s="1"/>
  <c r="D53" i="6"/>
  <c r="D114" i="19" s="1"/>
  <c r="BL52" i="6"/>
  <c r="BB52" i="6"/>
  <c r="AM52" i="6"/>
  <c r="AC52" i="6"/>
  <c r="N52" i="6"/>
  <c r="N113" i="19" s="1"/>
  <c r="D52" i="6"/>
  <c r="D113" i="19" s="1"/>
  <c r="BT49" i="6"/>
  <c r="BO49" i="6"/>
  <c r="BN49" i="6"/>
  <c r="BM49" i="6"/>
  <c r="BL49" i="6"/>
  <c r="BK49" i="6"/>
  <c r="BJ49" i="6"/>
  <c r="BI49" i="6"/>
  <c r="BH49" i="6"/>
  <c r="BG49" i="6"/>
  <c r="AX24" i="3" s="1"/>
  <c r="AX48" i="3" s="1"/>
  <c r="BF49" i="6"/>
  <c r="AU49" i="6"/>
  <c r="AP49" i="6"/>
  <c r="AO49" i="6"/>
  <c r="AN49" i="6"/>
  <c r="AM49" i="6"/>
  <c r="AL49" i="6"/>
  <c r="AK49" i="6"/>
  <c r="AJ49" i="6"/>
  <c r="AI49" i="6"/>
  <c r="AH49" i="6"/>
  <c r="AG49" i="6"/>
  <c r="V49" i="6"/>
  <c r="Q49" i="6"/>
  <c r="P49" i="6"/>
  <c r="O49" i="6"/>
  <c r="N49" i="6"/>
  <c r="M49" i="6"/>
  <c r="L49" i="6"/>
  <c r="K49" i="6"/>
  <c r="J49" i="6"/>
  <c r="I49" i="6"/>
  <c r="F23" i="3" s="1"/>
  <c r="H49" i="6"/>
  <c r="BR45" i="6"/>
  <c r="BD45" i="6"/>
  <c r="BC45" i="6"/>
  <c r="BB45" i="6"/>
  <c r="AS48" i="6"/>
  <c r="AE48" i="6"/>
  <c r="AD48" i="6"/>
  <c r="AC48" i="6"/>
  <c r="T48" i="6"/>
  <c r="T170" i="17" s="1"/>
  <c r="F48" i="6"/>
  <c r="F170" i="17" s="1"/>
  <c r="E48" i="6"/>
  <c r="E170" i="17" s="1"/>
  <c r="D48" i="6"/>
  <c r="D170" i="17" s="1"/>
  <c r="BR47" i="6"/>
  <c r="BD47" i="6"/>
  <c r="BC47" i="6"/>
  <c r="BB47" i="6"/>
  <c r="AS46" i="6"/>
  <c r="AE46" i="6"/>
  <c r="AD46" i="6"/>
  <c r="AC46" i="6"/>
  <c r="T47" i="6"/>
  <c r="T169" i="17" s="1"/>
  <c r="F47" i="6"/>
  <c r="F169" i="17" s="1"/>
  <c r="E47" i="6"/>
  <c r="E169" i="17" s="1"/>
  <c r="D47" i="6"/>
  <c r="D169" i="17" s="1"/>
  <c r="BR46" i="6"/>
  <c r="BD46" i="6"/>
  <c r="BC46" i="6"/>
  <c r="BB46" i="6"/>
  <c r="AS47" i="6"/>
  <c r="AE47" i="6"/>
  <c r="AD47" i="6"/>
  <c r="AC47" i="6"/>
  <c r="T46" i="6"/>
  <c r="T168" i="17" s="1"/>
  <c r="F46" i="6"/>
  <c r="F168" i="17" s="1"/>
  <c r="E46" i="6"/>
  <c r="E168" i="17" s="1"/>
  <c r="D46" i="6"/>
  <c r="D168" i="17" s="1"/>
  <c r="BR44" i="6"/>
  <c r="BD44" i="6"/>
  <c r="BC44" i="6"/>
  <c r="BB44" i="6"/>
  <c r="AS44" i="6"/>
  <c r="AE44" i="6"/>
  <c r="AD44" i="6"/>
  <c r="AC44" i="6"/>
  <c r="T44" i="6"/>
  <c r="T166" i="17" s="1"/>
  <c r="F44" i="6"/>
  <c r="F166" i="17" s="1"/>
  <c r="E44" i="6"/>
  <c r="D44" i="6"/>
  <c r="D166" i="17" s="1"/>
  <c r="BR35" i="6"/>
  <c r="BD35" i="6"/>
  <c r="BC35" i="6"/>
  <c r="BB35" i="6"/>
  <c r="AS45" i="6"/>
  <c r="AE45" i="6"/>
  <c r="AD45" i="6"/>
  <c r="AC45" i="6"/>
  <c r="T45" i="6"/>
  <c r="T167" i="17" s="1"/>
  <c r="F45" i="6"/>
  <c r="F167" i="17" s="1"/>
  <c r="E45" i="6"/>
  <c r="E167" i="17" s="1"/>
  <c r="D45" i="6"/>
  <c r="D167" i="17" s="1"/>
  <c r="BR36" i="6"/>
  <c r="BD36" i="6"/>
  <c r="BC36" i="6"/>
  <c r="BB36" i="6"/>
  <c r="AS36" i="6"/>
  <c r="AE36" i="6"/>
  <c r="AD36" i="6"/>
  <c r="AC36" i="6"/>
  <c r="T35" i="6"/>
  <c r="T157" i="17" s="1"/>
  <c r="F35" i="6"/>
  <c r="F157" i="17" s="1"/>
  <c r="E35" i="6"/>
  <c r="E157" i="17" s="1"/>
  <c r="D35" i="6"/>
  <c r="D157" i="17" s="1"/>
  <c r="BR37" i="6"/>
  <c r="BD37" i="6"/>
  <c r="BC37" i="6"/>
  <c r="BB37" i="6"/>
  <c r="AS37" i="6"/>
  <c r="AE37" i="6"/>
  <c r="AD37" i="6"/>
  <c r="AC37" i="6"/>
  <c r="T37" i="6"/>
  <c r="T159" i="17" s="1"/>
  <c r="F37" i="6"/>
  <c r="F159" i="17" s="1"/>
  <c r="E37" i="6"/>
  <c r="E159" i="17" s="1"/>
  <c r="D37" i="6"/>
  <c r="D159" i="17" s="1"/>
  <c r="BR43" i="6"/>
  <c r="BD43" i="6"/>
  <c r="BC43" i="6"/>
  <c r="BB43" i="6"/>
  <c r="AS35" i="6"/>
  <c r="AE35" i="6"/>
  <c r="AD35" i="6"/>
  <c r="AC35" i="6"/>
  <c r="T36" i="6"/>
  <c r="T158" i="17" s="1"/>
  <c r="F36" i="6"/>
  <c r="F158" i="17" s="1"/>
  <c r="E36" i="6"/>
  <c r="D36" i="6"/>
  <c r="D158" i="17" s="1"/>
  <c r="BR48" i="6"/>
  <c r="BD48" i="6"/>
  <c r="BC48" i="6"/>
  <c r="BB48" i="6"/>
  <c r="AS39" i="6"/>
  <c r="AE39" i="6"/>
  <c r="AD39" i="6"/>
  <c r="AC39" i="6"/>
  <c r="T42" i="6"/>
  <c r="T164" i="17" s="1"/>
  <c r="F42" i="6"/>
  <c r="F164" i="17" s="1"/>
  <c r="E42" i="6"/>
  <c r="D42" i="6"/>
  <c r="D164" i="17" s="1"/>
  <c r="BR38" i="6"/>
  <c r="BD38" i="6"/>
  <c r="BC38" i="6"/>
  <c r="BB38" i="6"/>
  <c r="AS40" i="6"/>
  <c r="AE40" i="6"/>
  <c r="AD40" i="6"/>
  <c r="AC40" i="6"/>
  <c r="T40" i="6"/>
  <c r="T162" i="17" s="1"/>
  <c r="F40" i="6"/>
  <c r="F162" i="17" s="1"/>
  <c r="E40" i="6"/>
  <c r="E162" i="17" s="1"/>
  <c r="D40" i="6"/>
  <c r="D162" i="17" s="1"/>
  <c r="BR39" i="6"/>
  <c r="BD39" i="6"/>
  <c r="BC39" i="6"/>
  <c r="BB39" i="6"/>
  <c r="AS42" i="6"/>
  <c r="AE42" i="6"/>
  <c r="AD42" i="6"/>
  <c r="AC42" i="6"/>
  <c r="T41" i="6"/>
  <c r="T163" i="17" s="1"/>
  <c r="F41" i="6"/>
  <c r="F163" i="17" s="1"/>
  <c r="E41" i="6"/>
  <c r="E163" i="17" s="1"/>
  <c r="D41" i="6"/>
  <c r="D163" i="17" s="1"/>
  <c r="BR40" i="6"/>
  <c r="BD40" i="6"/>
  <c r="BC40" i="6"/>
  <c r="BB40" i="6"/>
  <c r="AS41" i="6"/>
  <c r="AE41" i="6"/>
  <c r="AD41" i="6"/>
  <c r="AC41" i="6"/>
  <c r="T43" i="6"/>
  <c r="T165" i="17" s="1"/>
  <c r="F43" i="6"/>
  <c r="F165" i="17" s="1"/>
  <c r="E43" i="6"/>
  <c r="E165" i="17" s="1"/>
  <c r="D43" i="6"/>
  <c r="D165" i="17" s="1"/>
  <c r="BR42" i="6"/>
  <c r="BD42" i="6"/>
  <c r="BC42" i="6"/>
  <c r="BB42" i="6"/>
  <c r="AS38" i="6"/>
  <c r="AE38" i="6"/>
  <c r="AD38" i="6"/>
  <c r="AC38" i="6"/>
  <c r="T39" i="6"/>
  <c r="F39" i="6"/>
  <c r="F161" i="17" s="1"/>
  <c r="E39" i="6"/>
  <c r="E161" i="17" s="1"/>
  <c r="D39" i="6"/>
  <c r="D161" i="17" s="1"/>
  <c r="BR41" i="6"/>
  <c r="BD41" i="6"/>
  <c r="BC41" i="6"/>
  <c r="BB41" i="6"/>
  <c r="AS43" i="6"/>
  <c r="AE43" i="6"/>
  <c r="AD43" i="6"/>
  <c r="AC43" i="6"/>
  <c r="T38" i="6"/>
  <c r="T160" i="17" s="1"/>
  <c r="F38" i="6"/>
  <c r="F160" i="17" s="1"/>
  <c r="E38" i="6"/>
  <c r="E160" i="17" s="1"/>
  <c r="D38" i="6"/>
  <c r="D160" i="17" s="1"/>
  <c r="BP31" i="6"/>
  <c r="BO31" i="6"/>
  <c r="BN31" i="6"/>
  <c r="BM31" i="6"/>
  <c r="BK31" i="6"/>
  <c r="BJ31" i="6"/>
  <c r="BI31" i="6"/>
  <c r="BH31" i="6"/>
  <c r="AY22" i="3" s="1"/>
  <c r="AY33" i="3" s="1"/>
  <c r="BG31" i="6"/>
  <c r="BF31" i="6"/>
  <c r="BD31" i="6"/>
  <c r="AV22" i="3" s="1"/>
  <c r="BG32" i="3" s="1"/>
  <c r="BC31" i="6"/>
  <c r="AU22" i="3" s="1"/>
  <c r="BF32" i="3" s="1"/>
  <c r="AQ31" i="6"/>
  <c r="AP31" i="6"/>
  <c r="AO31" i="6"/>
  <c r="AN31" i="6"/>
  <c r="AL31" i="6"/>
  <c r="AK31" i="6"/>
  <c r="AJ31" i="6"/>
  <c r="AI31" i="6"/>
  <c r="AH31" i="6"/>
  <c r="AG31" i="6"/>
  <c r="AE31" i="6"/>
  <c r="AD31" i="6"/>
  <c r="R31" i="6"/>
  <c r="Q31" i="6"/>
  <c r="P31" i="6"/>
  <c r="O31" i="6"/>
  <c r="M31" i="6"/>
  <c r="L31" i="6"/>
  <c r="K31" i="6"/>
  <c r="J31" i="6"/>
  <c r="G32" i="3" s="1"/>
  <c r="I31" i="6"/>
  <c r="H31" i="6"/>
  <c r="F31" i="6"/>
  <c r="O31" i="3" s="1"/>
  <c r="E31" i="6"/>
  <c r="N31" i="3" s="1"/>
  <c r="BL30" i="6"/>
  <c r="BB30" i="6"/>
  <c r="AM30" i="6"/>
  <c r="AC30" i="6"/>
  <c r="N30" i="6"/>
  <c r="N112" i="19" s="1"/>
  <c r="D30" i="6"/>
  <c r="D112" i="19" s="1"/>
  <c r="BL29" i="6"/>
  <c r="BB29" i="6"/>
  <c r="AM29" i="6"/>
  <c r="AC29" i="6"/>
  <c r="N29" i="6"/>
  <c r="N111" i="19" s="1"/>
  <c r="D29" i="6"/>
  <c r="D111" i="19" s="1"/>
  <c r="BL28" i="6"/>
  <c r="BB28" i="6"/>
  <c r="AM28" i="6"/>
  <c r="AC28" i="6"/>
  <c r="N28" i="6"/>
  <c r="N110" i="19" s="1"/>
  <c r="D28" i="6"/>
  <c r="D110" i="19" s="1"/>
  <c r="BL26" i="6"/>
  <c r="BB26" i="6"/>
  <c r="AM26" i="6"/>
  <c r="AC26" i="6"/>
  <c r="N25" i="6"/>
  <c r="N107" i="19" s="1"/>
  <c r="D25" i="6"/>
  <c r="D107" i="19" s="1"/>
  <c r="BL25" i="6"/>
  <c r="BB25" i="6"/>
  <c r="AM27" i="6"/>
  <c r="AC27" i="6"/>
  <c r="N27" i="6"/>
  <c r="N109" i="19" s="1"/>
  <c r="D27" i="6"/>
  <c r="D109" i="19" s="1"/>
  <c r="BL27" i="6"/>
  <c r="BB27" i="6"/>
  <c r="AM25" i="6"/>
  <c r="AC25" i="6"/>
  <c r="N26" i="6"/>
  <c r="N108" i="19" s="1"/>
  <c r="D26" i="6"/>
  <c r="D108" i="19" s="1"/>
  <c r="BL24" i="6"/>
  <c r="BB24" i="6"/>
  <c r="AM24" i="6"/>
  <c r="AC24" i="6"/>
  <c r="N24" i="6"/>
  <c r="N106" i="19" s="1"/>
  <c r="D24" i="6"/>
  <c r="D106" i="19" s="1"/>
  <c r="BL23" i="6"/>
  <c r="BB23" i="6"/>
  <c r="AM23" i="6"/>
  <c r="AC23" i="6"/>
  <c r="N23" i="6"/>
  <c r="N105" i="19" s="1"/>
  <c r="D23" i="6"/>
  <c r="D105" i="19" s="1"/>
  <c r="BL22" i="6"/>
  <c r="BB22" i="6"/>
  <c r="AM22" i="6"/>
  <c r="AC22" i="6"/>
  <c r="N22" i="6"/>
  <c r="N104" i="19" s="1"/>
  <c r="D22" i="6"/>
  <c r="D104" i="19" s="1"/>
  <c r="BL21" i="6"/>
  <c r="BB21" i="6"/>
  <c r="AM21" i="6"/>
  <c r="AC21" i="6"/>
  <c r="N21" i="6"/>
  <c r="N103" i="19" s="1"/>
  <c r="D21" i="6"/>
  <c r="D103" i="19" s="1"/>
  <c r="BT18" i="6"/>
  <c r="BO18" i="6"/>
  <c r="BN18" i="6"/>
  <c r="BM18" i="6"/>
  <c r="BL18" i="6"/>
  <c r="BK18" i="6"/>
  <c r="BJ18" i="6"/>
  <c r="BI18" i="6"/>
  <c r="BH18" i="6"/>
  <c r="BG18" i="6"/>
  <c r="AX22" i="3" s="1"/>
  <c r="AX33" i="3" s="1"/>
  <c r="BF18" i="6"/>
  <c r="AU18" i="6"/>
  <c r="AP18" i="6"/>
  <c r="AO18" i="6"/>
  <c r="AN18" i="6"/>
  <c r="AM18" i="6"/>
  <c r="AL18" i="6"/>
  <c r="AK18" i="6"/>
  <c r="AJ18" i="6"/>
  <c r="AI18" i="6"/>
  <c r="AH18" i="6"/>
  <c r="AG18" i="6"/>
  <c r="V18" i="6"/>
  <c r="Q18" i="6"/>
  <c r="P18" i="6"/>
  <c r="O18" i="6"/>
  <c r="N18" i="6"/>
  <c r="M18" i="6"/>
  <c r="L18" i="6"/>
  <c r="K18" i="6"/>
  <c r="J18" i="6"/>
  <c r="I18" i="6"/>
  <c r="F22" i="3" s="1"/>
  <c r="H18" i="6"/>
  <c r="BR14" i="6"/>
  <c r="BD14" i="6"/>
  <c r="BC14" i="6"/>
  <c r="BB14" i="6"/>
  <c r="AS17" i="6"/>
  <c r="AE17" i="6"/>
  <c r="AD17" i="6"/>
  <c r="AC17" i="6"/>
  <c r="T16" i="6"/>
  <c r="T155" i="17" s="1"/>
  <c r="F16" i="6"/>
  <c r="F155" i="17" s="1"/>
  <c r="E16" i="6"/>
  <c r="E155" i="17" s="1"/>
  <c r="D16" i="6"/>
  <c r="D155" i="17" s="1"/>
  <c r="BR16" i="6"/>
  <c r="BD16" i="6"/>
  <c r="BC16" i="6"/>
  <c r="BB16" i="6"/>
  <c r="AS14" i="6"/>
  <c r="AE14" i="6"/>
  <c r="AD14" i="6"/>
  <c r="AC14" i="6"/>
  <c r="T14" i="6"/>
  <c r="T153" i="17" s="1"/>
  <c r="F14" i="6"/>
  <c r="F153" i="17" s="1"/>
  <c r="E14" i="6"/>
  <c r="E153" i="17" s="1"/>
  <c r="D14" i="6"/>
  <c r="D153" i="17" s="1"/>
  <c r="BR17" i="6"/>
  <c r="BD17" i="6"/>
  <c r="BC17" i="6"/>
  <c r="BB17" i="6"/>
  <c r="AS15" i="6"/>
  <c r="AE15" i="6"/>
  <c r="AD15" i="6"/>
  <c r="AC15" i="6"/>
  <c r="T17" i="6"/>
  <c r="T156" i="17" s="1"/>
  <c r="F17" i="6"/>
  <c r="F156" i="17" s="1"/>
  <c r="E17" i="6"/>
  <c r="E156" i="17" s="1"/>
  <c r="D17" i="6"/>
  <c r="D156" i="17" s="1"/>
  <c r="BR15" i="6"/>
  <c r="BD15" i="6"/>
  <c r="BC15" i="6"/>
  <c r="BB15" i="6"/>
  <c r="AS16" i="6"/>
  <c r="AE16" i="6"/>
  <c r="AD16" i="6"/>
  <c r="AC16" i="6"/>
  <c r="T15" i="6"/>
  <c r="T154" i="17" s="1"/>
  <c r="F15" i="6"/>
  <c r="F154" i="17" s="1"/>
  <c r="E15" i="6"/>
  <c r="E154" i="17" s="1"/>
  <c r="D15" i="6"/>
  <c r="D154" i="17" s="1"/>
  <c r="BR13" i="6"/>
  <c r="BD13" i="6"/>
  <c r="BC13" i="6"/>
  <c r="BB13" i="6"/>
  <c r="AS13" i="6"/>
  <c r="AE13" i="6"/>
  <c r="AD13" i="6"/>
  <c r="AC13" i="6"/>
  <c r="T13" i="6"/>
  <c r="T152" i="17" s="1"/>
  <c r="F13" i="6"/>
  <c r="F152" i="17" s="1"/>
  <c r="E13" i="6"/>
  <c r="E152" i="17" s="1"/>
  <c r="D13" i="6"/>
  <c r="D152" i="17" s="1"/>
  <c r="BR4" i="6"/>
  <c r="BD4" i="6"/>
  <c r="BC4" i="6"/>
  <c r="BB4" i="6"/>
  <c r="AS4" i="6"/>
  <c r="AE4" i="6"/>
  <c r="AD4" i="6"/>
  <c r="AC4" i="6"/>
  <c r="T10" i="6"/>
  <c r="T149" i="17" s="1"/>
  <c r="F10" i="6"/>
  <c r="F149" i="17" s="1"/>
  <c r="E10" i="6"/>
  <c r="E149" i="17" s="1"/>
  <c r="D10" i="6"/>
  <c r="D149" i="17" s="1"/>
  <c r="BR5" i="6"/>
  <c r="BD5" i="6"/>
  <c r="BC5" i="6"/>
  <c r="BB5" i="6"/>
  <c r="AS6" i="6"/>
  <c r="AE6" i="6"/>
  <c r="AD6" i="6"/>
  <c r="AC6" i="6"/>
  <c r="T6" i="6"/>
  <c r="T145" i="17" s="1"/>
  <c r="F6" i="6"/>
  <c r="F145" i="17" s="1"/>
  <c r="E6" i="6"/>
  <c r="E145" i="17" s="1"/>
  <c r="D6" i="6"/>
  <c r="D145" i="17" s="1"/>
  <c r="BR9" i="6"/>
  <c r="BD9" i="6"/>
  <c r="BC9" i="6"/>
  <c r="BB9" i="6"/>
  <c r="AS11" i="6"/>
  <c r="AE11" i="6"/>
  <c r="AD11" i="6"/>
  <c r="AC11" i="6"/>
  <c r="T4" i="6"/>
  <c r="T143" i="17" s="1"/>
  <c r="F4" i="6"/>
  <c r="F143" i="17" s="1"/>
  <c r="E4" i="6"/>
  <c r="D4" i="6"/>
  <c r="D143" i="17" s="1"/>
  <c r="BR11" i="6"/>
  <c r="BD11" i="6"/>
  <c r="BC11" i="6"/>
  <c r="BB11" i="6"/>
  <c r="AS9" i="6"/>
  <c r="AE9" i="6"/>
  <c r="AD9" i="6"/>
  <c r="AC9" i="6"/>
  <c r="T5" i="6"/>
  <c r="T144" i="17" s="1"/>
  <c r="F5" i="6"/>
  <c r="F144" i="17" s="1"/>
  <c r="E5" i="6"/>
  <c r="E144" i="17" s="1"/>
  <c r="D5" i="6"/>
  <c r="D144" i="17" s="1"/>
  <c r="BR10" i="6"/>
  <c r="BD10" i="6"/>
  <c r="BC10" i="6"/>
  <c r="BB10" i="6"/>
  <c r="AS8" i="6"/>
  <c r="AE8" i="6"/>
  <c r="AD8" i="6"/>
  <c r="AC8" i="6"/>
  <c r="T12" i="6"/>
  <c r="T151" i="17" s="1"/>
  <c r="F12" i="6"/>
  <c r="F151" i="17" s="1"/>
  <c r="E12" i="6"/>
  <c r="E151" i="17" s="1"/>
  <c r="D12" i="6"/>
  <c r="D151" i="17" s="1"/>
  <c r="BR6" i="6"/>
  <c r="BD6" i="6"/>
  <c r="BC6" i="6"/>
  <c r="BB6" i="6"/>
  <c r="AS10" i="6"/>
  <c r="AE10" i="6"/>
  <c r="AD10" i="6"/>
  <c r="AC10" i="6"/>
  <c r="T11" i="6"/>
  <c r="T150" i="17" s="1"/>
  <c r="F11" i="6"/>
  <c r="F150" i="17" s="1"/>
  <c r="E11" i="6"/>
  <c r="E150" i="17" s="1"/>
  <c r="D11" i="6"/>
  <c r="D150" i="17" s="1"/>
  <c r="BR8" i="6"/>
  <c r="BD8" i="6"/>
  <c r="BC8" i="6"/>
  <c r="BB8" i="6"/>
  <c r="AS7" i="6"/>
  <c r="AE7" i="6"/>
  <c r="AD7" i="6"/>
  <c r="AC7" i="6"/>
  <c r="T7" i="6"/>
  <c r="T146" i="17" s="1"/>
  <c r="F7" i="6"/>
  <c r="F146" i="17" s="1"/>
  <c r="E7" i="6"/>
  <c r="D7" i="6"/>
  <c r="D146" i="17" s="1"/>
  <c r="BR12" i="6"/>
  <c r="BD12" i="6"/>
  <c r="BC12" i="6"/>
  <c r="BB12" i="6"/>
  <c r="AS12" i="6"/>
  <c r="AE12" i="6"/>
  <c r="AD12" i="6"/>
  <c r="AC12" i="6"/>
  <c r="T8" i="6"/>
  <c r="T147" i="17" s="1"/>
  <c r="F8" i="6"/>
  <c r="F147" i="17" s="1"/>
  <c r="E8" i="6"/>
  <c r="D8" i="6"/>
  <c r="D147" i="17" s="1"/>
  <c r="BR7" i="6"/>
  <c r="BD7" i="6"/>
  <c r="BC7" i="6"/>
  <c r="BB7" i="6"/>
  <c r="AS5" i="6"/>
  <c r="AE5" i="6"/>
  <c r="AD5" i="6"/>
  <c r="AC5" i="6"/>
  <c r="T9" i="6"/>
  <c r="F9" i="6"/>
  <c r="F148" i="17" s="1"/>
  <c r="E9" i="6"/>
  <c r="E148" i="17" s="1"/>
  <c r="D9" i="6"/>
  <c r="D148" i="17" s="1"/>
  <c r="BP218" i="5"/>
  <c r="BO218" i="5"/>
  <c r="BN218" i="5"/>
  <c r="BM218" i="5"/>
  <c r="BK218" i="5"/>
  <c r="BJ218" i="5"/>
  <c r="BI218" i="5"/>
  <c r="BH218" i="5"/>
  <c r="BG218" i="5"/>
  <c r="BF218" i="5"/>
  <c r="BD218" i="5"/>
  <c r="BC218" i="5"/>
  <c r="AQ218" i="5"/>
  <c r="AP218" i="5"/>
  <c r="AO218" i="5"/>
  <c r="AN218" i="5"/>
  <c r="AL218" i="5"/>
  <c r="AK218" i="5"/>
  <c r="AJ218" i="5"/>
  <c r="AI218" i="5"/>
  <c r="AH218" i="5"/>
  <c r="AG218" i="5"/>
  <c r="AE218" i="5"/>
  <c r="AD218" i="5"/>
  <c r="BL217" i="5"/>
  <c r="BB217" i="5"/>
  <c r="AM217" i="5"/>
  <c r="AC217" i="5"/>
  <c r="BL216" i="5"/>
  <c r="BB216" i="5"/>
  <c r="AM216" i="5"/>
  <c r="AC216" i="5"/>
  <c r="BL215" i="5"/>
  <c r="BB215" i="5"/>
  <c r="AM215" i="5"/>
  <c r="AC215" i="5"/>
  <c r="BL214" i="5"/>
  <c r="BB214" i="5"/>
  <c r="AM214" i="5"/>
  <c r="AC214" i="5"/>
  <c r="BL213" i="5"/>
  <c r="BB213" i="5"/>
  <c r="AM213" i="5"/>
  <c r="AC213" i="5"/>
  <c r="BL212" i="5"/>
  <c r="BB212" i="5"/>
  <c r="AM212" i="5"/>
  <c r="AC212" i="5"/>
  <c r="BL211" i="5"/>
  <c r="BB211" i="5"/>
  <c r="AM211" i="5"/>
  <c r="AC211" i="5"/>
  <c r="BL210" i="5"/>
  <c r="BB210" i="5"/>
  <c r="AM210" i="5"/>
  <c r="AC210" i="5"/>
  <c r="BL209" i="5"/>
  <c r="BB209" i="5"/>
  <c r="AM209" i="5"/>
  <c r="AC209" i="5"/>
  <c r="BL208" i="5"/>
  <c r="BB208" i="5"/>
  <c r="AM208" i="5"/>
  <c r="AC208" i="5"/>
  <c r="BT205" i="5"/>
  <c r="BO205" i="5"/>
  <c r="BN205" i="5"/>
  <c r="BM205" i="5"/>
  <c r="BL205" i="5"/>
  <c r="BK205" i="5"/>
  <c r="BJ205" i="5"/>
  <c r="BI205" i="5"/>
  <c r="BH205" i="5"/>
  <c r="BG205" i="5"/>
  <c r="BF205" i="5"/>
  <c r="AU205" i="5"/>
  <c r="AP205" i="5"/>
  <c r="AO205" i="5"/>
  <c r="AN205" i="5"/>
  <c r="AM205" i="5"/>
  <c r="AL205" i="5"/>
  <c r="AK205" i="5"/>
  <c r="AJ205" i="5"/>
  <c r="AI205" i="5"/>
  <c r="AH205" i="5"/>
  <c r="AG205" i="5"/>
  <c r="BR203" i="5"/>
  <c r="BD203" i="5"/>
  <c r="BC203" i="5"/>
  <c r="BB203" i="5"/>
  <c r="AS202" i="5"/>
  <c r="AE202" i="5"/>
  <c r="AD202" i="5"/>
  <c r="AC202" i="5"/>
  <c r="BR204" i="5"/>
  <c r="BD204" i="5"/>
  <c r="BC204" i="5"/>
  <c r="BB204" i="5"/>
  <c r="AS204" i="5"/>
  <c r="AE204" i="5"/>
  <c r="AD204" i="5"/>
  <c r="AC204" i="5"/>
  <c r="BR202" i="5"/>
  <c r="BD202" i="5"/>
  <c r="BC202" i="5"/>
  <c r="BB202" i="5"/>
  <c r="AS203" i="5"/>
  <c r="AE203" i="5"/>
  <c r="AD203" i="5"/>
  <c r="AC203" i="5"/>
  <c r="BR201" i="5"/>
  <c r="BD201" i="5"/>
  <c r="BC201" i="5"/>
  <c r="BB201" i="5"/>
  <c r="AS201" i="5"/>
  <c r="AE201" i="5"/>
  <c r="AD201" i="5"/>
  <c r="AC201" i="5"/>
  <c r="BR200" i="5"/>
  <c r="BD200" i="5"/>
  <c r="BC200" i="5"/>
  <c r="BB200" i="5"/>
  <c r="AS200" i="5"/>
  <c r="AE200" i="5"/>
  <c r="AD200" i="5"/>
  <c r="AC200" i="5"/>
  <c r="BR191" i="5"/>
  <c r="BD191" i="5"/>
  <c r="BC191" i="5"/>
  <c r="BB191" i="5"/>
  <c r="AS193" i="5"/>
  <c r="AE193" i="5"/>
  <c r="AD193" i="5"/>
  <c r="AC193" i="5"/>
  <c r="BR195" i="5"/>
  <c r="BD195" i="5"/>
  <c r="BC195" i="5"/>
  <c r="BB195" i="5"/>
  <c r="AS196" i="5"/>
  <c r="AE196" i="5"/>
  <c r="AD196" i="5"/>
  <c r="AC196" i="5"/>
  <c r="BR197" i="5"/>
  <c r="BD197" i="5"/>
  <c r="BC197" i="5"/>
  <c r="BB197" i="5"/>
  <c r="AS198" i="5"/>
  <c r="AE198" i="5"/>
  <c r="AD198" i="5"/>
  <c r="AC198" i="5"/>
  <c r="BR198" i="5"/>
  <c r="BD198" i="5"/>
  <c r="BC198" i="5"/>
  <c r="BB198" i="5"/>
  <c r="AS191" i="5"/>
  <c r="AE191" i="5"/>
  <c r="AD191" i="5"/>
  <c r="AC191" i="5"/>
  <c r="BR193" i="5"/>
  <c r="BD193" i="5"/>
  <c r="BC193" i="5"/>
  <c r="BB193" i="5"/>
  <c r="AS192" i="5"/>
  <c r="AE192" i="5"/>
  <c r="AD192" i="5"/>
  <c r="AC192" i="5"/>
  <c r="BR199" i="5"/>
  <c r="BD199" i="5"/>
  <c r="BC199" i="5"/>
  <c r="BB199" i="5"/>
  <c r="AS197" i="5"/>
  <c r="AE197" i="5"/>
  <c r="AD197" i="5"/>
  <c r="AC197" i="5"/>
  <c r="BR194" i="5"/>
  <c r="BD194" i="5"/>
  <c r="BC194" i="5"/>
  <c r="BB194" i="5"/>
  <c r="AS195" i="5"/>
  <c r="AE195" i="5"/>
  <c r="AD195" i="5"/>
  <c r="AC195" i="5"/>
  <c r="BR196" i="5"/>
  <c r="BD196" i="5"/>
  <c r="BC196" i="5"/>
  <c r="BB196" i="5"/>
  <c r="AS199" i="5"/>
  <c r="AE199" i="5"/>
  <c r="AD199" i="5"/>
  <c r="AC199" i="5"/>
  <c r="BR192" i="5"/>
  <c r="BD192" i="5"/>
  <c r="BC192" i="5"/>
  <c r="BB192" i="5"/>
  <c r="AS194" i="5"/>
  <c r="AE194" i="5"/>
  <c r="AD194" i="5"/>
  <c r="AC194" i="5"/>
  <c r="BP187" i="5"/>
  <c r="BO187" i="5"/>
  <c r="BN187" i="5"/>
  <c r="BM187" i="5"/>
  <c r="BK187" i="5"/>
  <c r="BJ187" i="5"/>
  <c r="BI187" i="5"/>
  <c r="BH187" i="5"/>
  <c r="BG187" i="5"/>
  <c r="BF187" i="5"/>
  <c r="BD187" i="5"/>
  <c r="BC187" i="5"/>
  <c r="AQ187" i="5"/>
  <c r="AP187" i="5"/>
  <c r="AO187" i="5"/>
  <c r="AN187" i="5"/>
  <c r="AL187" i="5"/>
  <c r="AK187" i="5"/>
  <c r="AJ187" i="5"/>
  <c r="AI187" i="5"/>
  <c r="AH187" i="5"/>
  <c r="AG187" i="5"/>
  <c r="AE187" i="5"/>
  <c r="AD187" i="5"/>
  <c r="R187" i="5"/>
  <c r="Q187" i="5"/>
  <c r="P187" i="5"/>
  <c r="O187" i="5"/>
  <c r="M187" i="5"/>
  <c r="L187" i="5"/>
  <c r="K187" i="5"/>
  <c r="J187" i="5"/>
  <c r="I187" i="5"/>
  <c r="H187" i="5"/>
  <c r="F187" i="5"/>
  <c r="E187" i="5"/>
  <c r="BL186" i="5"/>
  <c r="BB186" i="5"/>
  <c r="AM186" i="5"/>
  <c r="AC186" i="5"/>
  <c r="N186" i="5"/>
  <c r="D186" i="5"/>
  <c r="BL185" i="5"/>
  <c r="BB185" i="5"/>
  <c r="AM185" i="5"/>
  <c r="AC185" i="5"/>
  <c r="N185" i="5"/>
  <c r="D185" i="5"/>
  <c r="BL183" i="5"/>
  <c r="BB183" i="5"/>
  <c r="AM184" i="5"/>
  <c r="AC184" i="5"/>
  <c r="N184" i="5"/>
  <c r="D184" i="5"/>
  <c r="BL184" i="5"/>
  <c r="BB184" i="5"/>
  <c r="AM183" i="5"/>
  <c r="AC183" i="5"/>
  <c r="N183" i="5"/>
  <c r="D183" i="5"/>
  <c r="BL182" i="5"/>
  <c r="BB182" i="5"/>
  <c r="AM182" i="5"/>
  <c r="AC182" i="5"/>
  <c r="N182" i="5"/>
  <c r="D182" i="5"/>
  <c r="BL181" i="5"/>
  <c r="BB181" i="5"/>
  <c r="AM181" i="5"/>
  <c r="AC181" i="5"/>
  <c r="N181" i="5"/>
  <c r="D181" i="5"/>
  <c r="BL180" i="5"/>
  <c r="BB180" i="5"/>
  <c r="AM180" i="5"/>
  <c r="AC180" i="5"/>
  <c r="N180" i="5"/>
  <c r="D180" i="5"/>
  <c r="BL179" i="5"/>
  <c r="BB179" i="5"/>
  <c r="AM179" i="5"/>
  <c r="AC179" i="5"/>
  <c r="N179" i="5"/>
  <c r="D179" i="5"/>
  <c r="BL178" i="5"/>
  <c r="BB178" i="5"/>
  <c r="AM178" i="5"/>
  <c r="AC178" i="5"/>
  <c r="N178" i="5"/>
  <c r="D178" i="5"/>
  <c r="BL177" i="5"/>
  <c r="BB177" i="5"/>
  <c r="AM177" i="5"/>
  <c r="AC177" i="5"/>
  <c r="N177" i="5"/>
  <c r="D177" i="5"/>
  <c r="BT174" i="5"/>
  <c r="BO174" i="5"/>
  <c r="BN174" i="5"/>
  <c r="BM174" i="5"/>
  <c r="BL174" i="5"/>
  <c r="BK174" i="5"/>
  <c r="BJ174" i="5"/>
  <c r="BI174" i="5"/>
  <c r="BH174" i="5"/>
  <c r="BG174" i="5"/>
  <c r="BF174" i="5"/>
  <c r="AU174" i="5"/>
  <c r="AP174" i="5"/>
  <c r="AO174" i="5"/>
  <c r="AN174" i="5"/>
  <c r="AM174" i="5"/>
  <c r="AL174" i="5"/>
  <c r="AK174" i="5"/>
  <c r="AJ174" i="5"/>
  <c r="AI174" i="5"/>
  <c r="AH174" i="5"/>
  <c r="AG174" i="5"/>
  <c r="V174" i="5"/>
  <c r="Q174" i="5"/>
  <c r="P174" i="5"/>
  <c r="O174" i="5"/>
  <c r="N174" i="5"/>
  <c r="M174" i="5"/>
  <c r="L174" i="5"/>
  <c r="K174" i="5"/>
  <c r="J174" i="5"/>
  <c r="I174" i="5"/>
  <c r="H174" i="5"/>
  <c r="BR173" i="5"/>
  <c r="BD173" i="5"/>
  <c r="BC173" i="5"/>
  <c r="BB173" i="5"/>
  <c r="AS169" i="5"/>
  <c r="AE169" i="5"/>
  <c r="AD169" i="5"/>
  <c r="AC169" i="5"/>
  <c r="T171" i="5"/>
  <c r="F171" i="5"/>
  <c r="E171" i="5"/>
  <c r="D171" i="5"/>
  <c r="BR172" i="5"/>
  <c r="BD172" i="5"/>
  <c r="BC172" i="5"/>
  <c r="BB172" i="5"/>
  <c r="AS171" i="5"/>
  <c r="AE171" i="5"/>
  <c r="AD171" i="5"/>
  <c r="AC171" i="5"/>
  <c r="T169" i="5"/>
  <c r="F169" i="5"/>
  <c r="E169" i="5"/>
  <c r="D169" i="5"/>
  <c r="BR171" i="5"/>
  <c r="BD171" i="5"/>
  <c r="BC171" i="5"/>
  <c r="BB171" i="5"/>
  <c r="AS162" i="5"/>
  <c r="AE162" i="5"/>
  <c r="AD162" i="5"/>
  <c r="AC162" i="5"/>
  <c r="T173" i="5"/>
  <c r="F173" i="5"/>
  <c r="E173" i="5"/>
  <c r="D173" i="5"/>
  <c r="BR170" i="5"/>
  <c r="BD170" i="5"/>
  <c r="BC170" i="5"/>
  <c r="BB170" i="5"/>
  <c r="AS165" i="5"/>
  <c r="AE165" i="5"/>
  <c r="AD165" i="5"/>
  <c r="AC165" i="5"/>
  <c r="T172" i="5"/>
  <c r="F172" i="5"/>
  <c r="E172" i="5"/>
  <c r="D172" i="5"/>
  <c r="BR169" i="5"/>
  <c r="BD169" i="5"/>
  <c r="BC169" i="5"/>
  <c r="BB169" i="5"/>
  <c r="AS173" i="5"/>
  <c r="AE173" i="5"/>
  <c r="AD173" i="5"/>
  <c r="AC173" i="5"/>
  <c r="T170" i="5"/>
  <c r="F170" i="5"/>
  <c r="E170" i="5"/>
  <c r="D170" i="5"/>
  <c r="BR161" i="5"/>
  <c r="BD161" i="5"/>
  <c r="BC161" i="5"/>
  <c r="BB161" i="5"/>
  <c r="AS172" i="5"/>
  <c r="AE172" i="5"/>
  <c r="AD172" i="5"/>
  <c r="AC172" i="5"/>
  <c r="T160" i="5"/>
  <c r="F160" i="5"/>
  <c r="E160" i="5"/>
  <c r="D160" i="5"/>
  <c r="BR167" i="5"/>
  <c r="BD167" i="5"/>
  <c r="BC167" i="5"/>
  <c r="BB167" i="5"/>
  <c r="AS164" i="5"/>
  <c r="AE164" i="5"/>
  <c r="AD164" i="5"/>
  <c r="AC164" i="5"/>
  <c r="T162" i="5"/>
  <c r="F162" i="5"/>
  <c r="E162" i="5"/>
  <c r="D162" i="5"/>
  <c r="BR166" i="5"/>
  <c r="BD166" i="5"/>
  <c r="BC166" i="5"/>
  <c r="BB166" i="5"/>
  <c r="AS161" i="5"/>
  <c r="AE161" i="5"/>
  <c r="AD161" i="5"/>
  <c r="AC161" i="5"/>
  <c r="T168" i="5"/>
  <c r="F168" i="5"/>
  <c r="E168" i="5"/>
  <c r="D168" i="5"/>
  <c r="BR165" i="5"/>
  <c r="BD165" i="5"/>
  <c r="BC165" i="5"/>
  <c r="BB165" i="5"/>
  <c r="AS170" i="5"/>
  <c r="AE170" i="5"/>
  <c r="AD170" i="5"/>
  <c r="AC170" i="5"/>
  <c r="T166" i="5"/>
  <c r="F166" i="5"/>
  <c r="E166" i="5"/>
  <c r="D166" i="5"/>
  <c r="BR163" i="5"/>
  <c r="BD163" i="5"/>
  <c r="BC163" i="5"/>
  <c r="BB163" i="5"/>
  <c r="AS163" i="5"/>
  <c r="AE163" i="5"/>
  <c r="AD163" i="5"/>
  <c r="AC163" i="5"/>
  <c r="T164" i="5"/>
  <c r="F164" i="5"/>
  <c r="E164" i="5"/>
  <c r="D164" i="5"/>
  <c r="BR160" i="5"/>
  <c r="BD160" i="5"/>
  <c r="BC160" i="5"/>
  <c r="BB160" i="5"/>
  <c r="AS167" i="5"/>
  <c r="AE167" i="5"/>
  <c r="AD167" i="5"/>
  <c r="AC167" i="5"/>
  <c r="T163" i="5"/>
  <c r="F163" i="5"/>
  <c r="E163" i="5"/>
  <c r="D163" i="5"/>
  <c r="BR164" i="5"/>
  <c r="BD164" i="5"/>
  <c r="BC164" i="5"/>
  <c r="BB164" i="5"/>
  <c r="AS166" i="5"/>
  <c r="AE166" i="5"/>
  <c r="AD166" i="5"/>
  <c r="AC166" i="5"/>
  <c r="T167" i="5"/>
  <c r="F167" i="5"/>
  <c r="E167" i="5"/>
  <c r="D167" i="5"/>
  <c r="BR162" i="5"/>
  <c r="BD162" i="5"/>
  <c r="BC162" i="5"/>
  <c r="BB162" i="5"/>
  <c r="AS160" i="5"/>
  <c r="AE160" i="5"/>
  <c r="AD160" i="5"/>
  <c r="AC160" i="5"/>
  <c r="T165" i="5"/>
  <c r="F165" i="5"/>
  <c r="E165" i="5"/>
  <c r="D165" i="5"/>
  <c r="BR168" i="5"/>
  <c r="BD168" i="5"/>
  <c r="BC168" i="5"/>
  <c r="BB168" i="5"/>
  <c r="AS168" i="5"/>
  <c r="AE168" i="5"/>
  <c r="AD168" i="5"/>
  <c r="AC168" i="5"/>
  <c r="T161" i="5"/>
  <c r="F161" i="5"/>
  <c r="E161" i="5"/>
  <c r="D161" i="5"/>
  <c r="BP155" i="5"/>
  <c r="BO155" i="5"/>
  <c r="BN155" i="5"/>
  <c r="BM155" i="5"/>
  <c r="BK155" i="5"/>
  <c r="BJ155" i="5"/>
  <c r="BI155" i="5"/>
  <c r="BH155" i="5"/>
  <c r="AY14" i="3" s="1"/>
  <c r="AY37" i="3" s="1"/>
  <c r="BG155" i="5"/>
  <c r="BF155" i="5"/>
  <c r="BD155" i="5"/>
  <c r="AV14" i="3" s="1"/>
  <c r="AV37" i="3" s="1"/>
  <c r="BC155" i="5"/>
  <c r="AU14" i="3" s="1"/>
  <c r="AQ155" i="5"/>
  <c r="AP155" i="5"/>
  <c r="AO155" i="5"/>
  <c r="AN155" i="5"/>
  <c r="AL155" i="5"/>
  <c r="AK155" i="5"/>
  <c r="AJ155" i="5"/>
  <c r="AI155" i="5"/>
  <c r="AH155" i="5"/>
  <c r="AG155" i="5"/>
  <c r="AE155" i="5"/>
  <c r="AD155" i="5"/>
  <c r="R155" i="5"/>
  <c r="Q155" i="5"/>
  <c r="P155" i="5"/>
  <c r="O155" i="5"/>
  <c r="M155" i="5"/>
  <c r="L155" i="5"/>
  <c r="K155" i="5"/>
  <c r="J155" i="5"/>
  <c r="G46" i="3" s="1"/>
  <c r="I155" i="5"/>
  <c r="H155" i="5"/>
  <c r="F155" i="5"/>
  <c r="D46" i="3" s="1"/>
  <c r="E155" i="5"/>
  <c r="C46" i="3" s="1"/>
  <c r="BL154" i="5"/>
  <c r="BB154" i="5"/>
  <c r="AM154" i="5"/>
  <c r="AC154" i="5"/>
  <c r="N154" i="5"/>
  <c r="N102" i="19" s="1"/>
  <c r="D154" i="5"/>
  <c r="D102" i="19" s="1"/>
  <c r="BL151" i="5"/>
  <c r="BB151" i="5"/>
  <c r="AM151" i="5"/>
  <c r="AC151" i="5"/>
  <c r="N152" i="5"/>
  <c r="N100" i="19" s="1"/>
  <c r="D152" i="5"/>
  <c r="D100" i="19" s="1"/>
  <c r="BL153" i="5"/>
  <c r="BB153" i="5"/>
  <c r="AM153" i="5"/>
  <c r="AC153" i="5"/>
  <c r="N153" i="5"/>
  <c r="N101" i="19" s="1"/>
  <c r="D153" i="5"/>
  <c r="D101" i="19" s="1"/>
  <c r="BL152" i="5"/>
  <c r="BB152" i="5"/>
  <c r="AM152" i="5"/>
  <c r="AC152" i="5"/>
  <c r="N151" i="5"/>
  <c r="N99" i="19" s="1"/>
  <c r="D151" i="5"/>
  <c r="D99" i="19" s="1"/>
  <c r="BL150" i="5"/>
  <c r="BB150" i="5"/>
  <c r="AM150" i="5"/>
  <c r="AC150" i="5"/>
  <c r="N150" i="5"/>
  <c r="N98" i="19" s="1"/>
  <c r="D150" i="5"/>
  <c r="D98" i="19" s="1"/>
  <c r="BL149" i="5"/>
  <c r="BB149" i="5"/>
  <c r="AM149" i="5"/>
  <c r="AC149" i="5"/>
  <c r="N149" i="5"/>
  <c r="N97" i="19" s="1"/>
  <c r="D149" i="5"/>
  <c r="D97" i="19" s="1"/>
  <c r="BL148" i="5"/>
  <c r="BB148" i="5"/>
  <c r="AM148" i="5"/>
  <c r="AC148" i="5"/>
  <c r="N148" i="5"/>
  <c r="N96" i="19" s="1"/>
  <c r="D148" i="5"/>
  <c r="D96" i="19" s="1"/>
  <c r="BL147" i="5"/>
  <c r="BB147" i="5"/>
  <c r="AM147" i="5"/>
  <c r="AC147" i="5"/>
  <c r="N147" i="5"/>
  <c r="N95" i="19" s="1"/>
  <c r="D147" i="5"/>
  <c r="D95" i="19" s="1"/>
  <c r="BL146" i="5"/>
  <c r="BB146" i="5"/>
  <c r="AM146" i="5"/>
  <c r="AC146" i="5"/>
  <c r="N146" i="5"/>
  <c r="N94" i="19" s="1"/>
  <c r="D146" i="5"/>
  <c r="D94" i="19" s="1"/>
  <c r="BL145" i="5"/>
  <c r="BB145" i="5"/>
  <c r="AM145" i="5"/>
  <c r="AC145" i="5"/>
  <c r="N145" i="5"/>
  <c r="N93" i="19" s="1"/>
  <c r="D145" i="5"/>
  <c r="D93" i="19" s="1"/>
  <c r="BT142" i="5"/>
  <c r="BO142" i="5"/>
  <c r="BN142" i="5"/>
  <c r="BM142" i="5"/>
  <c r="BL142" i="5"/>
  <c r="BK142" i="5"/>
  <c r="BJ142" i="5"/>
  <c r="BI142" i="5"/>
  <c r="BH142" i="5"/>
  <c r="BG142" i="5"/>
  <c r="AX14" i="3" s="1"/>
  <c r="AX37" i="3" s="1"/>
  <c r="BF142" i="5"/>
  <c r="AU142" i="5"/>
  <c r="AP142" i="5"/>
  <c r="AO142" i="5"/>
  <c r="AN142" i="5"/>
  <c r="AM142" i="5"/>
  <c r="AL142" i="5"/>
  <c r="AK142" i="5"/>
  <c r="AJ142" i="5"/>
  <c r="AI142" i="5"/>
  <c r="AH142" i="5"/>
  <c r="AG142" i="5"/>
  <c r="V142" i="5"/>
  <c r="Q142" i="5"/>
  <c r="P142" i="5"/>
  <c r="O142" i="5"/>
  <c r="N142" i="5"/>
  <c r="M142" i="5"/>
  <c r="L142" i="5"/>
  <c r="K142" i="5"/>
  <c r="J142" i="5"/>
  <c r="I142" i="5"/>
  <c r="F16" i="3" s="1"/>
  <c r="H142" i="5"/>
  <c r="BR138" i="5"/>
  <c r="BD138" i="5"/>
  <c r="BC138" i="5"/>
  <c r="BB138" i="5"/>
  <c r="AS141" i="5"/>
  <c r="AE141" i="5"/>
  <c r="AD141" i="5"/>
  <c r="AC141" i="5"/>
  <c r="T140" i="5"/>
  <c r="T141" i="17" s="1"/>
  <c r="F140" i="5"/>
  <c r="F141" i="17" s="1"/>
  <c r="E140" i="5"/>
  <c r="E141" i="17" s="1"/>
  <c r="D140" i="5"/>
  <c r="D141" i="17" s="1"/>
  <c r="BR139" i="5"/>
  <c r="BD139" i="5"/>
  <c r="BC139" i="5"/>
  <c r="BB139" i="5"/>
  <c r="AS139" i="5"/>
  <c r="AE139" i="5"/>
  <c r="AD139" i="5"/>
  <c r="AC139" i="5"/>
  <c r="T138" i="5"/>
  <c r="T139" i="17" s="1"/>
  <c r="F138" i="5"/>
  <c r="F139" i="17" s="1"/>
  <c r="E138" i="5"/>
  <c r="E139" i="17" s="1"/>
  <c r="D138" i="5"/>
  <c r="D139" i="17" s="1"/>
  <c r="BR141" i="5"/>
  <c r="BD141" i="5"/>
  <c r="BC141" i="5"/>
  <c r="BB141" i="5"/>
  <c r="AS138" i="5"/>
  <c r="AE138" i="5"/>
  <c r="AD138" i="5"/>
  <c r="AC138" i="5"/>
  <c r="T137" i="5"/>
  <c r="T138" i="17" s="1"/>
  <c r="F137" i="5"/>
  <c r="F138" i="17" s="1"/>
  <c r="E137" i="5"/>
  <c r="E138" i="17" s="1"/>
  <c r="D137" i="5"/>
  <c r="D138" i="17" s="1"/>
  <c r="BR137" i="5"/>
  <c r="BD137" i="5"/>
  <c r="BC137" i="5"/>
  <c r="BB137" i="5"/>
  <c r="AS140" i="5"/>
  <c r="AE140" i="5"/>
  <c r="AD140" i="5"/>
  <c r="AC140" i="5"/>
  <c r="T141" i="5"/>
  <c r="T142" i="17" s="1"/>
  <c r="F141" i="5"/>
  <c r="F142" i="17" s="1"/>
  <c r="E141" i="5"/>
  <c r="E142" i="17" s="1"/>
  <c r="D141" i="5"/>
  <c r="D142" i="17" s="1"/>
  <c r="BR140" i="5"/>
  <c r="BD140" i="5"/>
  <c r="BC140" i="5"/>
  <c r="BB140" i="5"/>
  <c r="AS137" i="5"/>
  <c r="AE137" i="5"/>
  <c r="AD137" i="5"/>
  <c r="AC137" i="5"/>
  <c r="T139" i="5"/>
  <c r="T140" i="17" s="1"/>
  <c r="F139" i="5"/>
  <c r="F140" i="17" s="1"/>
  <c r="E139" i="5"/>
  <c r="D139" i="5"/>
  <c r="D140" i="17" s="1"/>
  <c r="BR135" i="5"/>
  <c r="BD135" i="5"/>
  <c r="BC135" i="5"/>
  <c r="BB135" i="5"/>
  <c r="AS135" i="5"/>
  <c r="AE135" i="5"/>
  <c r="AD135" i="5"/>
  <c r="AC135" i="5"/>
  <c r="T131" i="5"/>
  <c r="T132" i="17" s="1"/>
  <c r="F131" i="5"/>
  <c r="F132" i="17" s="1"/>
  <c r="E131" i="5"/>
  <c r="E132" i="17" s="1"/>
  <c r="D131" i="5"/>
  <c r="D132" i="17" s="1"/>
  <c r="BR128" i="5"/>
  <c r="BD128" i="5"/>
  <c r="BC128" i="5"/>
  <c r="BB128" i="5"/>
  <c r="AS129" i="5"/>
  <c r="AE129" i="5"/>
  <c r="AD129" i="5"/>
  <c r="AC129" i="5"/>
  <c r="T135" i="5"/>
  <c r="T136" i="17" s="1"/>
  <c r="F135" i="5"/>
  <c r="F136" i="17" s="1"/>
  <c r="E135" i="5"/>
  <c r="E136" i="17" s="1"/>
  <c r="D135" i="5"/>
  <c r="D136" i="17" s="1"/>
  <c r="BR129" i="5"/>
  <c r="BD129" i="5"/>
  <c r="BC129" i="5"/>
  <c r="BB129" i="5"/>
  <c r="AS128" i="5"/>
  <c r="AE128" i="5"/>
  <c r="AD128" i="5"/>
  <c r="AC128" i="5"/>
  <c r="T133" i="5"/>
  <c r="T134" i="17" s="1"/>
  <c r="F133" i="5"/>
  <c r="F134" i="17" s="1"/>
  <c r="E133" i="5"/>
  <c r="E134" i="17" s="1"/>
  <c r="D133" i="5"/>
  <c r="D134" i="17" s="1"/>
  <c r="BR133" i="5"/>
  <c r="BD133" i="5"/>
  <c r="BC133" i="5"/>
  <c r="BB133" i="5"/>
  <c r="AS132" i="5"/>
  <c r="AE132" i="5"/>
  <c r="AD132" i="5"/>
  <c r="AC132" i="5"/>
  <c r="T132" i="5"/>
  <c r="T133" i="17" s="1"/>
  <c r="F132" i="5"/>
  <c r="F133" i="17" s="1"/>
  <c r="E132" i="5"/>
  <c r="E133" i="17" s="1"/>
  <c r="D132" i="5"/>
  <c r="D133" i="17" s="1"/>
  <c r="BR130" i="5"/>
  <c r="BD130" i="5"/>
  <c r="BC130" i="5"/>
  <c r="BB130" i="5"/>
  <c r="AS131" i="5"/>
  <c r="AE131" i="5"/>
  <c r="AD131" i="5"/>
  <c r="AC131" i="5"/>
  <c r="T128" i="5"/>
  <c r="T129" i="17" s="1"/>
  <c r="F128" i="5"/>
  <c r="F129" i="17" s="1"/>
  <c r="E128" i="5"/>
  <c r="E129" i="17" s="1"/>
  <c r="D128" i="5"/>
  <c r="D129" i="17" s="1"/>
  <c r="BR131" i="5"/>
  <c r="BD131" i="5"/>
  <c r="BC131" i="5"/>
  <c r="BB131" i="5"/>
  <c r="AS136" i="5"/>
  <c r="AE136" i="5"/>
  <c r="AD136" i="5"/>
  <c r="AC136" i="5"/>
  <c r="T129" i="5"/>
  <c r="T130" i="17" s="1"/>
  <c r="F129" i="5"/>
  <c r="F130" i="17" s="1"/>
  <c r="E129" i="5"/>
  <c r="D129" i="5"/>
  <c r="D130" i="17" s="1"/>
  <c r="BR136" i="5"/>
  <c r="BD136" i="5"/>
  <c r="BC136" i="5"/>
  <c r="BB136" i="5"/>
  <c r="AS130" i="5"/>
  <c r="AE130" i="5"/>
  <c r="AD130" i="5"/>
  <c r="AC130" i="5"/>
  <c r="T130" i="5"/>
  <c r="T131" i="17" s="1"/>
  <c r="F130" i="5"/>
  <c r="F131" i="17" s="1"/>
  <c r="E130" i="5"/>
  <c r="E131" i="17" s="1"/>
  <c r="D130" i="5"/>
  <c r="D131" i="17" s="1"/>
  <c r="BR134" i="5"/>
  <c r="BD134" i="5"/>
  <c r="BC134" i="5"/>
  <c r="BB134" i="5"/>
  <c r="AS134" i="5"/>
  <c r="AE134" i="5"/>
  <c r="AD134" i="5"/>
  <c r="AC134" i="5"/>
  <c r="T134" i="5"/>
  <c r="T135" i="17" s="1"/>
  <c r="F134" i="5"/>
  <c r="F135" i="17" s="1"/>
  <c r="E134" i="5"/>
  <c r="E135" i="17" s="1"/>
  <c r="D134" i="5"/>
  <c r="D135" i="17" s="1"/>
  <c r="BR132" i="5"/>
  <c r="BD132" i="5"/>
  <c r="BC132" i="5"/>
  <c r="BB132" i="5"/>
  <c r="AS133" i="5"/>
  <c r="AE133" i="5"/>
  <c r="AD133" i="5"/>
  <c r="AC133" i="5"/>
  <c r="T136" i="5"/>
  <c r="F136" i="5"/>
  <c r="F137" i="17" s="1"/>
  <c r="E136" i="5"/>
  <c r="E137" i="17" s="1"/>
  <c r="D136" i="5"/>
  <c r="D137" i="17" s="1"/>
  <c r="BP124" i="5"/>
  <c r="BO124" i="5"/>
  <c r="BN124" i="5"/>
  <c r="BM124" i="5"/>
  <c r="BK124" i="5"/>
  <c r="BJ124" i="5"/>
  <c r="BI124" i="5"/>
  <c r="BH124" i="5"/>
  <c r="AY16" i="3" s="1"/>
  <c r="AY49" i="3" s="1"/>
  <c r="BG124" i="5"/>
  <c r="BF124" i="5"/>
  <c r="BD124" i="5"/>
  <c r="AV16" i="3" s="1"/>
  <c r="AV49" i="3" s="1"/>
  <c r="BC124" i="5"/>
  <c r="AU16" i="3" s="1"/>
  <c r="BF38" i="3" s="1"/>
  <c r="AQ124" i="5"/>
  <c r="AP124" i="5"/>
  <c r="AO124" i="5"/>
  <c r="AN124" i="5"/>
  <c r="AL124" i="5"/>
  <c r="AK124" i="5"/>
  <c r="AJ124" i="5"/>
  <c r="AI124" i="5"/>
  <c r="AH124" i="5"/>
  <c r="AG124" i="5"/>
  <c r="AE124" i="5"/>
  <c r="AD124" i="5"/>
  <c r="R124" i="5"/>
  <c r="Q124" i="5"/>
  <c r="P124" i="5"/>
  <c r="O124" i="5"/>
  <c r="M124" i="5"/>
  <c r="L124" i="5"/>
  <c r="K124" i="5"/>
  <c r="J124" i="5"/>
  <c r="I124" i="5"/>
  <c r="H124" i="5"/>
  <c r="F124" i="5"/>
  <c r="D42" i="3" s="1"/>
  <c r="E124" i="5"/>
  <c r="C42" i="3" s="1"/>
  <c r="BL123" i="5"/>
  <c r="BB123" i="5"/>
  <c r="AM123" i="5"/>
  <c r="AC123" i="5"/>
  <c r="N123" i="5"/>
  <c r="N92" i="19" s="1"/>
  <c r="D123" i="5"/>
  <c r="D92" i="19" s="1"/>
  <c r="BL120" i="5"/>
  <c r="BB120" i="5"/>
  <c r="AM122" i="5"/>
  <c r="AC122" i="5"/>
  <c r="N122" i="5"/>
  <c r="N91" i="19" s="1"/>
  <c r="D122" i="5"/>
  <c r="D91" i="19" s="1"/>
  <c r="BL122" i="5"/>
  <c r="BB122" i="5"/>
  <c r="AM119" i="5"/>
  <c r="AC119" i="5"/>
  <c r="N119" i="5"/>
  <c r="N88" i="19" s="1"/>
  <c r="D119" i="5"/>
  <c r="D88" i="19" s="1"/>
  <c r="BL121" i="5"/>
  <c r="BB121" i="5"/>
  <c r="AM120" i="5"/>
  <c r="AC120" i="5"/>
  <c r="N121" i="5"/>
  <c r="N90" i="19" s="1"/>
  <c r="D121" i="5"/>
  <c r="D90" i="19" s="1"/>
  <c r="BL119" i="5"/>
  <c r="BB119" i="5"/>
  <c r="AM121" i="5"/>
  <c r="AC121" i="5"/>
  <c r="N118" i="5"/>
  <c r="N87" i="19" s="1"/>
  <c r="D118" i="5"/>
  <c r="D87" i="19" s="1"/>
  <c r="BL118" i="5"/>
  <c r="BB118" i="5"/>
  <c r="AM118" i="5"/>
  <c r="AC118" i="5"/>
  <c r="N120" i="5"/>
  <c r="N89" i="19" s="1"/>
  <c r="D120" i="5"/>
  <c r="D89" i="19" s="1"/>
  <c r="BL117" i="5"/>
  <c r="BB117" i="5"/>
  <c r="AM117" i="5"/>
  <c r="AC117" i="5"/>
  <c r="N117" i="5"/>
  <c r="N86" i="19" s="1"/>
  <c r="D117" i="5"/>
  <c r="D86" i="19" s="1"/>
  <c r="BL116" i="5"/>
  <c r="BB116" i="5"/>
  <c r="AM116" i="5"/>
  <c r="AC116" i="5"/>
  <c r="N116" i="5"/>
  <c r="N85" i="19" s="1"/>
  <c r="D116" i="5"/>
  <c r="D85" i="19" s="1"/>
  <c r="BL115" i="5"/>
  <c r="BB115" i="5"/>
  <c r="AM115" i="5"/>
  <c r="AC115" i="5"/>
  <c r="N115" i="5"/>
  <c r="N84" i="19" s="1"/>
  <c r="D115" i="5"/>
  <c r="D84" i="19" s="1"/>
  <c r="BL114" i="5"/>
  <c r="BB114" i="5"/>
  <c r="AM114" i="5"/>
  <c r="AC114" i="5"/>
  <c r="N114" i="5"/>
  <c r="N83" i="19" s="1"/>
  <c r="D114" i="5"/>
  <c r="D83" i="19" s="1"/>
  <c r="BT111" i="5"/>
  <c r="BO111" i="5"/>
  <c r="BN111" i="5"/>
  <c r="BM111" i="5"/>
  <c r="BL111" i="5"/>
  <c r="BK111" i="5"/>
  <c r="BJ111" i="5"/>
  <c r="BI111" i="5"/>
  <c r="BH111" i="5"/>
  <c r="BG111" i="5"/>
  <c r="AX16" i="3" s="1"/>
  <c r="AX49" i="3" s="1"/>
  <c r="BF111" i="5"/>
  <c r="AU111" i="5"/>
  <c r="AP111" i="5"/>
  <c r="AO111" i="5"/>
  <c r="AN111" i="5"/>
  <c r="AM111" i="5"/>
  <c r="AL111" i="5"/>
  <c r="AK111" i="5"/>
  <c r="AJ111" i="5"/>
  <c r="AI111" i="5"/>
  <c r="AH111" i="5"/>
  <c r="AG111" i="5"/>
  <c r="V111" i="5"/>
  <c r="Q111" i="5"/>
  <c r="P111" i="5"/>
  <c r="O111" i="5"/>
  <c r="N111" i="5"/>
  <c r="M111" i="5"/>
  <c r="L111" i="5"/>
  <c r="K111" i="5"/>
  <c r="J111" i="5"/>
  <c r="I111" i="5"/>
  <c r="F42" i="3" s="1"/>
  <c r="H111" i="5"/>
  <c r="BR106" i="5"/>
  <c r="BD106" i="5"/>
  <c r="BC106" i="5"/>
  <c r="BB106" i="5"/>
  <c r="AS108" i="5"/>
  <c r="AE108" i="5"/>
  <c r="AD108" i="5"/>
  <c r="AC108" i="5"/>
  <c r="T110" i="5"/>
  <c r="T128" i="17" s="1"/>
  <c r="F110" i="5"/>
  <c r="F128" i="17" s="1"/>
  <c r="E110" i="5"/>
  <c r="D110" i="5"/>
  <c r="D128" i="17" s="1"/>
  <c r="BR110" i="5"/>
  <c r="BD110" i="5"/>
  <c r="BC110" i="5"/>
  <c r="BB110" i="5"/>
  <c r="AS110" i="5"/>
  <c r="AE110" i="5"/>
  <c r="AD110" i="5"/>
  <c r="AC110" i="5"/>
  <c r="T106" i="5"/>
  <c r="T124" i="17" s="1"/>
  <c r="F106" i="5"/>
  <c r="F124" i="17" s="1"/>
  <c r="E106" i="5"/>
  <c r="E124" i="17" s="1"/>
  <c r="D106" i="5"/>
  <c r="D124" i="17" s="1"/>
  <c r="BR109" i="5"/>
  <c r="BD109" i="5"/>
  <c r="BC109" i="5"/>
  <c r="BB109" i="5"/>
  <c r="AS109" i="5"/>
  <c r="AE109" i="5"/>
  <c r="AD109" i="5"/>
  <c r="AC109" i="5"/>
  <c r="T108" i="5"/>
  <c r="T126" i="17" s="1"/>
  <c r="F108" i="5"/>
  <c r="F126" i="17" s="1"/>
  <c r="E108" i="5"/>
  <c r="E126" i="17" s="1"/>
  <c r="D108" i="5"/>
  <c r="D126" i="17" s="1"/>
  <c r="BR108" i="5"/>
  <c r="BD108" i="5"/>
  <c r="BC108" i="5"/>
  <c r="BB108" i="5"/>
  <c r="AS106" i="5"/>
  <c r="AE106" i="5"/>
  <c r="AD106" i="5"/>
  <c r="AC106" i="5"/>
  <c r="T107" i="5"/>
  <c r="T125" i="17" s="1"/>
  <c r="F107" i="5"/>
  <c r="F125" i="17" s="1"/>
  <c r="E107" i="5"/>
  <c r="E125" i="17" s="1"/>
  <c r="D107" i="5"/>
  <c r="D125" i="17" s="1"/>
  <c r="BR107" i="5"/>
  <c r="BD107" i="5"/>
  <c r="BC107" i="5"/>
  <c r="BB107" i="5"/>
  <c r="AS107" i="5"/>
  <c r="AE107" i="5"/>
  <c r="AD107" i="5"/>
  <c r="AC107" i="5"/>
  <c r="T109" i="5"/>
  <c r="T127" i="17" s="1"/>
  <c r="F109" i="5"/>
  <c r="F127" i="17" s="1"/>
  <c r="E109" i="5"/>
  <c r="E127" i="17" s="1"/>
  <c r="D109" i="5"/>
  <c r="D127" i="17" s="1"/>
  <c r="BR101" i="5"/>
  <c r="BD101" i="5"/>
  <c r="BC101" i="5"/>
  <c r="BB101" i="5"/>
  <c r="AS101" i="5"/>
  <c r="AE101" i="5"/>
  <c r="AD101" i="5"/>
  <c r="AC101" i="5"/>
  <c r="T104" i="5"/>
  <c r="T122" i="17" s="1"/>
  <c r="F104" i="5"/>
  <c r="F122" i="17" s="1"/>
  <c r="E104" i="5"/>
  <c r="E122" i="17" s="1"/>
  <c r="D104" i="5"/>
  <c r="D122" i="17" s="1"/>
  <c r="BR103" i="5"/>
  <c r="BD103" i="5"/>
  <c r="BC103" i="5"/>
  <c r="BB103" i="5"/>
  <c r="AS100" i="5"/>
  <c r="AE100" i="5"/>
  <c r="AD100" i="5"/>
  <c r="AC100" i="5"/>
  <c r="T100" i="5"/>
  <c r="T118" i="17" s="1"/>
  <c r="F100" i="5"/>
  <c r="F118" i="17" s="1"/>
  <c r="E100" i="5"/>
  <c r="E118" i="17" s="1"/>
  <c r="D100" i="5"/>
  <c r="D118" i="17" s="1"/>
  <c r="BR105" i="5"/>
  <c r="BD105" i="5"/>
  <c r="BC105" i="5"/>
  <c r="BB105" i="5"/>
  <c r="AS103" i="5"/>
  <c r="AE103" i="5"/>
  <c r="AD103" i="5"/>
  <c r="AC103" i="5"/>
  <c r="T101" i="5"/>
  <c r="T119" i="17" s="1"/>
  <c r="F101" i="5"/>
  <c r="F119" i="17" s="1"/>
  <c r="E101" i="5"/>
  <c r="E119" i="17" s="1"/>
  <c r="D101" i="5"/>
  <c r="D119" i="17" s="1"/>
  <c r="BR102" i="5"/>
  <c r="BD102" i="5"/>
  <c r="BC102" i="5"/>
  <c r="BB102" i="5"/>
  <c r="AS105" i="5"/>
  <c r="AE105" i="5"/>
  <c r="AD105" i="5"/>
  <c r="AC105" i="5"/>
  <c r="T97" i="5"/>
  <c r="T115" i="17" s="1"/>
  <c r="F97" i="5"/>
  <c r="F115" i="17" s="1"/>
  <c r="E97" i="5"/>
  <c r="E115" i="17" s="1"/>
  <c r="D97" i="5"/>
  <c r="D115" i="17" s="1"/>
  <c r="BR104" i="5"/>
  <c r="BD104" i="5"/>
  <c r="BC104" i="5"/>
  <c r="BB104" i="5"/>
  <c r="AS102" i="5"/>
  <c r="AE102" i="5"/>
  <c r="AD102" i="5"/>
  <c r="AC102" i="5"/>
  <c r="T105" i="5"/>
  <c r="T123" i="17" s="1"/>
  <c r="F105" i="5"/>
  <c r="F123" i="17" s="1"/>
  <c r="E105" i="5"/>
  <c r="E123" i="17" s="1"/>
  <c r="D105" i="5"/>
  <c r="D123" i="17" s="1"/>
  <c r="BR99" i="5"/>
  <c r="BD99" i="5"/>
  <c r="BC99" i="5"/>
  <c r="BB99" i="5"/>
  <c r="AS98" i="5"/>
  <c r="AE98" i="5"/>
  <c r="AD98" i="5"/>
  <c r="AC98" i="5"/>
  <c r="T98" i="5"/>
  <c r="T116" i="17" s="1"/>
  <c r="F98" i="5"/>
  <c r="F116" i="17" s="1"/>
  <c r="E98" i="5"/>
  <c r="E116" i="17" s="1"/>
  <c r="D98" i="5"/>
  <c r="D116" i="17" s="1"/>
  <c r="BR100" i="5"/>
  <c r="BD100" i="5"/>
  <c r="BC100" i="5"/>
  <c r="BB100" i="5"/>
  <c r="AS104" i="5"/>
  <c r="AE104" i="5"/>
  <c r="AD104" i="5"/>
  <c r="AC104" i="5"/>
  <c r="T102" i="5"/>
  <c r="T120" i="17" s="1"/>
  <c r="F102" i="5"/>
  <c r="F120" i="17" s="1"/>
  <c r="E102" i="5"/>
  <c r="E120" i="17" s="1"/>
  <c r="D102" i="5"/>
  <c r="D120" i="17" s="1"/>
  <c r="BR98" i="5"/>
  <c r="BD98" i="5"/>
  <c r="BC98" i="5"/>
  <c r="BB98" i="5"/>
  <c r="AS99" i="5"/>
  <c r="AE99" i="5"/>
  <c r="AD99" i="5"/>
  <c r="AC99" i="5"/>
  <c r="T103" i="5"/>
  <c r="T121" i="17" s="1"/>
  <c r="F103" i="5"/>
  <c r="F121" i="17" s="1"/>
  <c r="E103" i="5"/>
  <c r="E121" i="17" s="1"/>
  <c r="D103" i="5"/>
  <c r="D121" i="17" s="1"/>
  <c r="BR97" i="5"/>
  <c r="BD97" i="5"/>
  <c r="BC97" i="5"/>
  <c r="BB97" i="5"/>
  <c r="AS97" i="5"/>
  <c r="AE97" i="5"/>
  <c r="AD97" i="5"/>
  <c r="AC97" i="5"/>
  <c r="T99" i="5"/>
  <c r="T117" i="17" s="1"/>
  <c r="F99" i="5"/>
  <c r="F117" i="17" s="1"/>
  <c r="E99" i="5"/>
  <c r="E117" i="17" s="1"/>
  <c r="D99" i="5"/>
  <c r="D117" i="17" s="1"/>
  <c r="BP93" i="5"/>
  <c r="BO93" i="5"/>
  <c r="BN93" i="5"/>
  <c r="BM93" i="5"/>
  <c r="BK93" i="5"/>
  <c r="BJ93" i="5"/>
  <c r="BI93" i="5"/>
  <c r="BH93" i="5"/>
  <c r="AY17" i="3" s="1"/>
  <c r="AY60" i="3" s="1"/>
  <c r="BG93" i="5"/>
  <c r="BF93" i="5"/>
  <c r="BD93" i="5"/>
  <c r="AV17" i="3" s="1"/>
  <c r="BG45" i="3" s="1"/>
  <c r="BC93" i="5"/>
  <c r="AU17" i="3" s="1"/>
  <c r="BF45" i="3" s="1"/>
  <c r="AQ93" i="5"/>
  <c r="AP93" i="5"/>
  <c r="AO93" i="5"/>
  <c r="AN93" i="5"/>
  <c r="AL93" i="5"/>
  <c r="AK93" i="5"/>
  <c r="AJ93" i="5"/>
  <c r="AI93" i="5"/>
  <c r="AH93" i="5"/>
  <c r="AG93" i="5"/>
  <c r="AE93" i="5"/>
  <c r="AD93" i="5"/>
  <c r="R93" i="5"/>
  <c r="Q93" i="5"/>
  <c r="P93" i="5"/>
  <c r="O93" i="5"/>
  <c r="M93" i="5"/>
  <c r="L93" i="5"/>
  <c r="K93" i="5"/>
  <c r="J93" i="5"/>
  <c r="G15" i="3" s="1"/>
  <c r="I93" i="5"/>
  <c r="H93" i="5"/>
  <c r="F93" i="5"/>
  <c r="D44" i="3" s="1"/>
  <c r="E93" i="5"/>
  <c r="C15" i="3" s="1"/>
  <c r="BL92" i="5"/>
  <c r="BB92" i="5"/>
  <c r="AM92" i="5"/>
  <c r="AC92" i="5"/>
  <c r="N92" i="5"/>
  <c r="N81" i="19" s="1"/>
  <c r="D92" i="5"/>
  <c r="D81" i="19" s="1"/>
  <c r="BL91" i="5"/>
  <c r="BB91" i="5"/>
  <c r="AM91" i="5"/>
  <c r="AC91" i="5"/>
  <c r="N91" i="5"/>
  <c r="N82" i="19" s="1"/>
  <c r="D91" i="5"/>
  <c r="D82" i="19" s="1"/>
  <c r="BL90" i="5"/>
  <c r="BB90" i="5"/>
  <c r="AM90" i="5"/>
  <c r="AC90" i="5"/>
  <c r="N90" i="5"/>
  <c r="N80" i="19" s="1"/>
  <c r="D90" i="5"/>
  <c r="D80" i="19" s="1"/>
  <c r="BL89" i="5"/>
  <c r="BB89" i="5"/>
  <c r="AM89" i="5"/>
  <c r="AC89" i="5"/>
  <c r="N89" i="5"/>
  <c r="N79" i="19" s="1"/>
  <c r="D89" i="5"/>
  <c r="D79" i="19" s="1"/>
  <c r="BL88" i="5"/>
  <c r="BB88" i="5"/>
  <c r="AM88" i="5"/>
  <c r="AC88" i="5"/>
  <c r="N88" i="5"/>
  <c r="N78" i="19" s="1"/>
  <c r="D88" i="5"/>
  <c r="D78" i="19" s="1"/>
  <c r="BL87" i="5"/>
  <c r="BB87" i="5"/>
  <c r="AM87" i="5"/>
  <c r="AC87" i="5"/>
  <c r="N87" i="5"/>
  <c r="N77" i="19" s="1"/>
  <c r="D87" i="5"/>
  <c r="D77" i="19" s="1"/>
  <c r="BL86" i="5"/>
  <c r="BB86" i="5"/>
  <c r="AM86" i="5"/>
  <c r="AC86" i="5"/>
  <c r="N86" i="5"/>
  <c r="N76" i="19" s="1"/>
  <c r="D86" i="5"/>
  <c r="D76" i="19" s="1"/>
  <c r="BL85" i="5"/>
  <c r="BB85" i="5"/>
  <c r="AM85" i="5"/>
  <c r="AC85" i="5"/>
  <c r="N85" i="5"/>
  <c r="N75" i="19" s="1"/>
  <c r="D85" i="5"/>
  <c r="D75" i="19" s="1"/>
  <c r="BL84" i="5"/>
  <c r="BB84" i="5"/>
  <c r="AM84" i="5"/>
  <c r="AC84" i="5"/>
  <c r="N84" i="5"/>
  <c r="N74" i="19" s="1"/>
  <c r="D84" i="5"/>
  <c r="D74" i="19" s="1"/>
  <c r="BL83" i="5"/>
  <c r="BB83" i="5"/>
  <c r="AM83" i="5"/>
  <c r="AC83" i="5"/>
  <c r="N83" i="5"/>
  <c r="N73" i="19" s="1"/>
  <c r="D83" i="5"/>
  <c r="D73" i="19" s="1"/>
  <c r="BT80" i="5"/>
  <c r="BO80" i="5"/>
  <c r="BN80" i="5"/>
  <c r="BM80" i="5"/>
  <c r="BL80" i="5"/>
  <c r="BK80" i="5"/>
  <c r="BJ80" i="5"/>
  <c r="BI80" i="5"/>
  <c r="BH80" i="5"/>
  <c r="BG80" i="5"/>
  <c r="AX17" i="3" s="1"/>
  <c r="AX60" i="3" s="1"/>
  <c r="BF80" i="5"/>
  <c r="AU80" i="5"/>
  <c r="AP80" i="5"/>
  <c r="AO80" i="5"/>
  <c r="AN80" i="5"/>
  <c r="AM80" i="5"/>
  <c r="AL80" i="5"/>
  <c r="AK80" i="5"/>
  <c r="AJ80" i="5"/>
  <c r="AI80" i="5"/>
  <c r="AH80" i="5"/>
  <c r="AG80" i="5"/>
  <c r="V80" i="5"/>
  <c r="Q80" i="5"/>
  <c r="P80" i="5"/>
  <c r="O80" i="5"/>
  <c r="N80" i="5"/>
  <c r="M80" i="5"/>
  <c r="L80" i="5"/>
  <c r="K80" i="5"/>
  <c r="J80" i="5"/>
  <c r="I80" i="5"/>
  <c r="F44" i="3" s="1"/>
  <c r="H80" i="5"/>
  <c r="BR75" i="5"/>
  <c r="BD75" i="5"/>
  <c r="BC75" i="5"/>
  <c r="BB75" i="5"/>
  <c r="AS76" i="5"/>
  <c r="AE76" i="5"/>
  <c r="AD76" i="5"/>
  <c r="AC76" i="5"/>
  <c r="T76" i="5"/>
  <c r="T111" i="17" s="1"/>
  <c r="F76" i="5"/>
  <c r="F111" i="17" s="1"/>
  <c r="E76" i="5"/>
  <c r="E111" i="17" s="1"/>
  <c r="D76" i="5"/>
  <c r="D111" i="17" s="1"/>
  <c r="BR79" i="5"/>
  <c r="BD79" i="5"/>
  <c r="BC79" i="5"/>
  <c r="BB79" i="5"/>
  <c r="AS77" i="5"/>
  <c r="AE77" i="5"/>
  <c r="AD77" i="5"/>
  <c r="AC77" i="5"/>
  <c r="T79" i="5"/>
  <c r="T114" i="17" s="1"/>
  <c r="F79" i="5"/>
  <c r="F114" i="17" s="1"/>
  <c r="E79" i="5"/>
  <c r="E114" i="17" s="1"/>
  <c r="D79" i="5"/>
  <c r="D114" i="17" s="1"/>
  <c r="BR77" i="5"/>
  <c r="BD77" i="5"/>
  <c r="BC77" i="5"/>
  <c r="BB77" i="5"/>
  <c r="AS79" i="5"/>
  <c r="AE79" i="5"/>
  <c r="AD79" i="5"/>
  <c r="AC79" i="5"/>
  <c r="T77" i="5"/>
  <c r="T112" i="17" s="1"/>
  <c r="F77" i="5"/>
  <c r="F112" i="17" s="1"/>
  <c r="E77" i="5"/>
  <c r="E112" i="17" s="1"/>
  <c r="D77" i="5"/>
  <c r="D112" i="17" s="1"/>
  <c r="BR78" i="5"/>
  <c r="BD78" i="5"/>
  <c r="BC78" i="5"/>
  <c r="BB78" i="5"/>
  <c r="AS78" i="5"/>
  <c r="AE78" i="5"/>
  <c r="AD78" i="5"/>
  <c r="AC78" i="5"/>
  <c r="T78" i="5"/>
  <c r="T113" i="17" s="1"/>
  <c r="F78" i="5"/>
  <c r="F113" i="17" s="1"/>
  <c r="E78" i="5"/>
  <c r="E113" i="17" s="1"/>
  <c r="D78" i="5"/>
  <c r="D113" i="17" s="1"/>
  <c r="BR68" i="5"/>
  <c r="BD68" i="5"/>
  <c r="BC68" i="5"/>
  <c r="BB68" i="5"/>
  <c r="AS75" i="5"/>
  <c r="AE75" i="5"/>
  <c r="AD75" i="5"/>
  <c r="AC75" i="5"/>
  <c r="T75" i="5"/>
  <c r="T110" i="17" s="1"/>
  <c r="F75" i="5"/>
  <c r="F110" i="17" s="1"/>
  <c r="E75" i="5"/>
  <c r="D75" i="5"/>
  <c r="D110" i="17" s="1"/>
  <c r="BR76" i="5"/>
  <c r="BD76" i="5"/>
  <c r="BC76" i="5"/>
  <c r="BB76" i="5"/>
  <c r="AS72" i="5"/>
  <c r="AE72" i="5"/>
  <c r="AD72" i="5"/>
  <c r="AC72" i="5"/>
  <c r="T68" i="5"/>
  <c r="T103" i="17" s="1"/>
  <c r="F68" i="5"/>
  <c r="F103" i="17" s="1"/>
  <c r="E68" i="5"/>
  <c r="E103" i="17" s="1"/>
  <c r="D68" i="5"/>
  <c r="D103" i="17" s="1"/>
  <c r="BR72" i="5"/>
  <c r="BD72" i="5"/>
  <c r="BC72" i="5"/>
  <c r="BB72" i="5"/>
  <c r="AS70" i="5"/>
  <c r="AE70" i="5"/>
  <c r="AD70" i="5"/>
  <c r="AC70" i="5"/>
  <c r="T67" i="5"/>
  <c r="T102" i="17" s="1"/>
  <c r="F67" i="5"/>
  <c r="F102" i="17" s="1"/>
  <c r="E67" i="5"/>
  <c r="E102" i="17" s="1"/>
  <c r="D67" i="5"/>
  <c r="D102" i="17" s="1"/>
  <c r="BR69" i="5"/>
  <c r="BD69" i="5"/>
  <c r="BC69" i="5"/>
  <c r="BB69" i="5"/>
  <c r="AS67" i="5"/>
  <c r="AE67" i="5"/>
  <c r="AD67" i="5"/>
  <c r="AC67" i="5"/>
  <c r="T73" i="5"/>
  <c r="T108" i="17" s="1"/>
  <c r="F73" i="5"/>
  <c r="F108" i="17" s="1"/>
  <c r="E73" i="5"/>
  <c r="E108" i="17" s="1"/>
  <c r="D73" i="5"/>
  <c r="D108" i="17" s="1"/>
  <c r="BR70" i="5"/>
  <c r="BD70" i="5"/>
  <c r="BC70" i="5"/>
  <c r="BB70" i="5"/>
  <c r="AS69" i="5"/>
  <c r="AE69" i="5"/>
  <c r="AD69" i="5"/>
  <c r="AC69" i="5"/>
  <c r="T72" i="5"/>
  <c r="T107" i="17" s="1"/>
  <c r="F72" i="5"/>
  <c r="F107" i="17" s="1"/>
  <c r="E72" i="5"/>
  <c r="E107" i="17" s="1"/>
  <c r="D72" i="5"/>
  <c r="D107" i="17" s="1"/>
  <c r="BR71" i="5"/>
  <c r="BD71" i="5"/>
  <c r="BC71" i="5"/>
  <c r="BB71" i="5"/>
  <c r="AS71" i="5"/>
  <c r="AE71" i="5"/>
  <c r="AD71" i="5"/>
  <c r="AC71" i="5"/>
  <c r="T66" i="5"/>
  <c r="T101" i="17" s="1"/>
  <c r="F66" i="5"/>
  <c r="F101" i="17" s="1"/>
  <c r="E66" i="5"/>
  <c r="E101" i="17" s="1"/>
  <c r="D66" i="5"/>
  <c r="D101" i="17" s="1"/>
  <c r="BR66" i="5"/>
  <c r="BD66" i="5"/>
  <c r="BC66" i="5"/>
  <c r="BB66" i="5"/>
  <c r="AS66" i="5"/>
  <c r="AE66" i="5"/>
  <c r="AD66" i="5"/>
  <c r="AC66" i="5"/>
  <c r="T69" i="5"/>
  <c r="T104" i="17" s="1"/>
  <c r="F69" i="5"/>
  <c r="F104" i="17" s="1"/>
  <c r="E69" i="5"/>
  <c r="E104" i="17" s="1"/>
  <c r="D69" i="5"/>
  <c r="D104" i="17" s="1"/>
  <c r="BR67" i="5"/>
  <c r="BD67" i="5"/>
  <c r="BC67" i="5"/>
  <c r="BB67" i="5"/>
  <c r="AS68" i="5"/>
  <c r="AE68" i="5"/>
  <c r="AD68" i="5"/>
  <c r="AC68" i="5"/>
  <c r="T74" i="5"/>
  <c r="T109" i="17" s="1"/>
  <c r="F74" i="5"/>
  <c r="F109" i="17" s="1"/>
  <c r="E74" i="5"/>
  <c r="E109" i="17" s="1"/>
  <c r="D74" i="5"/>
  <c r="D109" i="17" s="1"/>
  <c r="BR73" i="5"/>
  <c r="BD73" i="5"/>
  <c r="BC73" i="5"/>
  <c r="BB73" i="5"/>
  <c r="AS73" i="5"/>
  <c r="AE73" i="5"/>
  <c r="AD73" i="5"/>
  <c r="AC73" i="5"/>
  <c r="T70" i="5"/>
  <c r="T105" i="17" s="1"/>
  <c r="F70" i="5"/>
  <c r="F105" i="17" s="1"/>
  <c r="E70" i="5"/>
  <c r="E105" i="17" s="1"/>
  <c r="D70" i="5"/>
  <c r="D105" i="17" s="1"/>
  <c r="BR74" i="5"/>
  <c r="BD74" i="5"/>
  <c r="BC74" i="5"/>
  <c r="BB74" i="5"/>
  <c r="AS74" i="5"/>
  <c r="AE74" i="5"/>
  <c r="AD74" i="5"/>
  <c r="AC74" i="5"/>
  <c r="T71" i="5"/>
  <c r="F71" i="5"/>
  <c r="F106" i="17" s="1"/>
  <c r="E71" i="5"/>
  <c r="E106" i="17" s="1"/>
  <c r="D71" i="5"/>
  <c r="D106" i="17" s="1"/>
  <c r="BP62" i="5"/>
  <c r="BO62" i="5"/>
  <c r="BN62" i="5"/>
  <c r="BM62" i="5"/>
  <c r="BK62" i="5"/>
  <c r="BJ62" i="5"/>
  <c r="BI62" i="5"/>
  <c r="BH62" i="5"/>
  <c r="AY15" i="3" s="1"/>
  <c r="AY43" i="3" s="1"/>
  <c r="BG62" i="5"/>
  <c r="BF62" i="5"/>
  <c r="BD62" i="5"/>
  <c r="AV15" i="3" s="1"/>
  <c r="AV43" i="3" s="1"/>
  <c r="BC62" i="5"/>
  <c r="AU15" i="3" s="1"/>
  <c r="AU43" i="3" s="1"/>
  <c r="AQ62" i="5"/>
  <c r="AP62" i="5"/>
  <c r="AO62" i="5"/>
  <c r="AN62" i="5"/>
  <c r="AL62" i="5"/>
  <c r="AK62" i="5"/>
  <c r="AJ62" i="5"/>
  <c r="AI62" i="5"/>
  <c r="AH62" i="5"/>
  <c r="AG62" i="5"/>
  <c r="AE62" i="5"/>
  <c r="AD62" i="5"/>
  <c r="R62" i="5"/>
  <c r="Q62" i="5"/>
  <c r="P62" i="5"/>
  <c r="O62" i="5"/>
  <c r="M62" i="5"/>
  <c r="L62" i="5"/>
  <c r="K62" i="5"/>
  <c r="J62" i="5"/>
  <c r="G49" i="3" s="1"/>
  <c r="I62" i="5"/>
  <c r="H62" i="5"/>
  <c r="F62" i="5"/>
  <c r="D49" i="3" s="1"/>
  <c r="E62" i="5"/>
  <c r="C17" i="3" s="1"/>
  <c r="BL61" i="5"/>
  <c r="BB61" i="5"/>
  <c r="AM61" i="5"/>
  <c r="AC61" i="5"/>
  <c r="N61" i="5"/>
  <c r="N72" i="19" s="1"/>
  <c r="D61" i="5"/>
  <c r="D72" i="19" s="1"/>
  <c r="BL60" i="5"/>
  <c r="BB60" i="5"/>
  <c r="AM60" i="5"/>
  <c r="AC60" i="5"/>
  <c r="N59" i="5"/>
  <c r="N70" i="19" s="1"/>
  <c r="D59" i="5"/>
  <c r="D70" i="19" s="1"/>
  <c r="BL58" i="5"/>
  <c r="BB58" i="5"/>
  <c r="AM59" i="5"/>
  <c r="AC59" i="5"/>
  <c r="N60" i="5"/>
  <c r="N71" i="19" s="1"/>
  <c r="D60" i="5"/>
  <c r="D71" i="19" s="1"/>
  <c r="BL56" i="5"/>
  <c r="BB56" i="5"/>
  <c r="AM58" i="5"/>
  <c r="AC58" i="5"/>
  <c r="N58" i="5"/>
  <c r="N69" i="19" s="1"/>
  <c r="D58" i="5"/>
  <c r="D69" i="19" s="1"/>
  <c r="BL59" i="5"/>
  <c r="BB59" i="5"/>
  <c r="AM57" i="5"/>
  <c r="AC57" i="5"/>
  <c r="N57" i="5"/>
  <c r="N68" i="19" s="1"/>
  <c r="D57" i="5"/>
  <c r="D68" i="19" s="1"/>
  <c r="BL57" i="5"/>
  <c r="BB57" i="5"/>
  <c r="AM56" i="5"/>
  <c r="AC56" i="5"/>
  <c r="N56" i="5"/>
  <c r="N67" i="19" s="1"/>
  <c r="D56" i="5"/>
  <c r="D67" i="19" s="1"/>
  <c r="BL55" i="5"/>
  <c r="BB55" i="5"/>
  <c r="AM55" i="5"/>
  <c r="AC55" i="5"/>
  <c r="N55" i="5"/>
  <c r="N66" i="19" s="1"/>
  <c r="D55" i="5"/>
  <c r="D66" i="19" s="1"/>
  <c r="BL54" i="5"/>
  <c r="BB54" i="5"/>
  <c r="AM54" i="5"/>
  <c r="AC54" i="5"/>
  <c r="N54" i="5"/>
  <c r="N65" i="19" s="1"/>
  <c r="D54" i="5"/>
  <c r="D65" i="19" s="1"/>
  <c r="BL53" i="5"/>
  <c r="BB53" i="5"/>
  <c r="AM53" i="5"/>
  <c r="AC53" i="5"/>
  <c r="N53" i="5"/>
  <c r="N64" i="19" s="1"/>
  <c r="D53" i="5"/>
  <c r="D64" i="19" s="1"/>
  <c r="BL52" i="5"/>
  <c r="BB52" i="5"/>
  <c r="AM52" i="5"/>
  <c r="AC52" i="5"/>
  <c r="N52" i="5"/>
  <c r="N63" i="19" s="1"/>
  <c r="D52" i="5"/>
  <c r="D63" i="19" s="1"/>
  <c r="BT49" i="5"/>
  <c r="BO49" i="5"/>
  <c r="BN49" i="5"/>
  <c r="BM49" i="5"/>
  <c r="BL49" i="5"/>
  <c r="BK49" i="5"/>
  <c r="BJ49" i="5"/>
  <c r="BI49" i="5"/>
  <c r="BH49" i="5"/>
  <c r="BG49" i="5"/>
  <c r="AX15" i="3" s="1"/>
  <c r="AX43" i="3" s="1"/>
  <c r="BF49" i="5"/>
  <c r="AU49" i="5"/>
  <c r="AP49" i="5"/>
  <c r="AO49" i="5"/>
  <c r="AN49" i="5"/>
  <c r="AM49" i="5"/>
  <c r="AL49" i="5"/>
  <c r="AK49" i="5"/>
  <c r="AJ49" i="5"/>
  <c r="AI49" i="5"/>
  <c r="AH49" i="5"/>
  <c r="AG49" i="5"/>
  <c r="V49" i="5"/>
  <c r="Q49" i="5"/>
  <c r="P49" i="5"/>
  <c r="O49" i="5"/>
  <c r="N49" i="5"/>
  <c r="M49" i="5"/>
  <c r="L49" i="5"/>
  <c r="K49" i="5"/>
  <c r="J49" i="5"/>
  <c r="I49" i="5"/>
  <c r="F49" i="3" s="1"/>
  <c r="H49" i="5"/>
  <c r="BR46" i="5"/>
  <c r="BD46" i="5"/>
  <c r="BC46" i="5"/>
  <c r="BB46" i="5"/>
  <c r="AS48" i="5"/>
  <c r="AE48" i="5"/>
  <c r="AD48" i="5"/>
  <c r="AC48" i="5"/>
  <c r="T48" i="5"/>
  <c r="T100" i="17" s="1"/>
  <c r="F48" i="5"/>
  <c r="F100" i="17" s="1"/>
  <c r="E48" i="5"/>
  <c r="E100" i="17" s="1"/>
  <c r="D48" i="5"/>
  <c r="D100" i="17" s="1"/>
  <c r="BR45" i="5"/>
  <c r="BD45" i="5"/>
  <c r="BC45" i="5"/>
  <c r="BB45" i="5"/>
  <c r="AS46" i="5"/>
  <c r="AE46" i="5"/>
  <c r="AD46" i="5"/>
  <c r="AC46" i="5"/>
  <c r="T46" i="5"/>
  <c r="T97" i="17" s="1"/>
  <c r="F46" i="5"/>
  <c r="F97" i="17" s="1"/>
  <c r="E46" i="5"/>
  <c r="E97" i="17" s="1"/>
  <c r="D46" i="5"/>
  <c r="D97" i="17" s="1"/>
  <c r="BR40" i="5"/>
  <c r="BD40" i="5"/>
  <c r="BC40" i="5"/>
  <c r="BB40" i="5"/>
  <c r="AS47" i="5"/>
  <c r="AE47" i="5"/>
  <c r="AD47" i="5"/>
  <c r="AC47" i="5"/>
  <c r="T44" i="5"/>
  <c r="T96" i="17" s="1"/>
  <c r="F44" i="5"/>
  <c r="F96" i="17" s="1"/>
  <c r="E44" i="5"/>
  <c r="E96" i="17" s="1"/>
  <c r="D44" i="5"/>
  <c r="D96" i="17" s="1"/>
  <c r="BR48" i="5"/>
  <c r="BD48" i="5"/>
  <c r="BC48" i="5"/>
  <c r="BB48" i="5"/>
  <c r="AS45" i="5"/>
  <c r="AE45" i="5"/>
  <c r="AD45" i="5"/>
  <c r="AC45" i="5"/>
  <c r="T45" i="5"/>
  <c r="T98" i="17" s="1"/>
  <c r="F45" i="5"/>
  <c r="E45" i="5"/>
  <c r="E98" i="17" s="1"/>
  <c r="D45" i="5"/>
  <c r="D98" i="17" s="1"/>
  <c r="BR44" i="5"/>
  <c r="BD44" i="5"/>
  <c r="BC44" i="5"/>
  <c r="BB44" i="5"/>
  <c r="AS44" i="5"/>
  <c r="AE44" i="5"/>
  <c r="AD44" i="5"/>
  <c r="AC44" i="5"/>
  <c r="T47" i="5"/>
  <c r="T99" i="17" s="1"/>
  <c r="F47" i="5"/>
  <c r="E47" i="5"/>
  <c r="E99" i="17" s="1"/>
  <c r="D47" i="5"/>
  <c r="D99" i="17" s="1"/>
  <c r="BR39" i="5"/>
  <c r="BD39" i="5"/>
  <c r="BC39" i="5"/>
  <c r="BB39" i="5"/>
  <c r="AS39" i="5"/>
  <c r="AE39" i="5"/>
  <c r="AD39" i="5"/>
  <c r="AC39" i="5"/>
  <c r="T38" i="5"/>
  <c r="T90" i="17" s="1"/>
  <c r="F38" i="5"/>
  <c r="F90" i="17" s="1"/>
  <c r="E38" i="5"/>
  <c r="E90" i="17" s="1"/>
  <c r="D38" i="5"/>
  <c r="D90" i="17" s="1"/>
  <c r="BR47" i="5"/>
  <c r="BD47" i="5"/>
  <c r="BC47" i="5"/>
  <c r="BB47" i="5"/>
  <c r="AS36" i="5"/>
  <c r="AE36" i="5"/>
  <c r="AD36" i="5"/>
  <c r="AC36" i="5"/>
  <c r="T39" i="5"/>
  <c r="T91" i="17" s="1"/>
  <c r="F39" i="5"/>
  <c r="F91" i="17" s="1"/>
  <c r="E39" i="5"/>
  <c r="E91" i="17" s="1"/>
  <c r="D39" i="5"/>
  <c r="D91" i="17" s="1"/>
  <c r="BR38" i="5"/>
  <c r="BD38" i="5"/>
  <c r="BC38" i="5"/>
  <c r="BB38" i="5"/>
  <c r="AS38" i="5"/>
  <c r="AE38" i="5"/>
  <c r="AD38" i="5"/>
  <c r="AC38" i="5"/>
  <c r="T36" i="5"/>
  <c r="T88" i="17" s="1"/>
  <c r="F36" i="5"/>
  <c r="F88" i="17" s="1"/>
  <c r="E36" i="5"/>
  <c r="E88" i="17" s="1"/>
  <c r="D36" i="5"/>
  <c r="D88" i="17" s="1"/>
  <c r="BR41" i="5"/>
  <c r="BD41" i="5"/>
  <c r="BC41" i="5"/>
  <c r="BB41" i="5"/>
  <c r="AS35" i="5"/>
  <c r="AE35" i="5"/>
  <c r="AD35" i="5"/>
  <c r="AC35" i="5"/>
  <c r="T43" i="5"/>
  <c r="T95" i="17" s="1"/>
  <c r="F43" i="5"/>
  <c r="F95" i="17" s="1"/>
  <c r="E43" i="5"/>
  <c r="E95" i="17" s="1"/>
  <c r="D43" i="5"/>
  <c r="D95" i="17" s="1"/>
  <c r="BR43" i="5"/>
  <c r="BD43" i="5"/>
  <c r="BC43" i="5"/>
  <c r="BB43" i="5"/>
  <c r="AS37" i="5"/>
  <c r="AE37" i="5"/>
  <c r="AD37" i="5"/>
  <c r="AC37" i="5"/>
  <c r="T42" i="5"/>
  <c r="T94" i="17" s="1"/>
  <c r="F42" i="5"/>
  <c r="F94" i="17" s="1"/>
  <c r="E42" i="5"/>
  <c r="E94" i="17" s="1"/>
  <c r="D42" i="5"/>
  <c r="D94" i="17" s="1"/>
  <c r="BR35" i="5"/>
  <c r="BD35" i="5"/>
  <c r="BC35" i="5"/>
  <c r="BB35" i="5"/>
  <c r="AS43" i="5"/>
  <c r="AE43" i="5"/>
  <c r="AD43" i="5"/>
  <c r="AC43" i="5"/>
  <c r="T35" i="5"/>
  <c r="T87" i="17" s="1"/>
  <c r="F35" i="5"/>
  <c r="F87" i="17" s="1"/>
  <c r="E35" i="5"/>
  <c r="E87" i="17" s="1"/>
  <c r="D35" i="5"/>
  <c r="D87" i="17" s="1"/>
  <c r="BR37" i="5"/>
  <c r="BD37" i="5"/>
  <c r="BC37" i="5"/>
  <c r="BB37" i="5"/>
  <c r="AS41" i="5"/>
  <c r="AE41" i="5"/>
  <c r="AD41" i="5"/>
  <c r="AC41" i="5"/>
  <c r="T40" i="5"/>
  <c r="T92" i="17" s="1"/>
  <c r="F40" i="5"/>
  <c r="F92" i="17" s="1"/>
  <c r="E40" i="5"/>
  <c r="E92" i="17" s="1"/>
  <c r="D40" i="5"/>
  <c r="D92" i="17" s="1"/>
  <c r="BR36" i="5"/>
  <c r="BD36" i="5"/>
  <c r="BC36" i="5"/>
  <c r="BB36" i="5"/>
  <c r="AS40" i="5"/>
  <c r="AE40" i="5"/>
  <c r="AD40" i="5"/>
  <c r="AC40" i="5"/>
  <c r="T37" i="5"/>
  <c r="T89" i="17" s="1"/>
  <c r="F37" i="5"/>
  <c r="F89" i="17" s="1"/>
  <c r="E37" i="5"/>
  <c r="E89" i="17" s="1"/>
  <c r="D37" i="5"/>
  <c r="D89" i="17" s="1"/>
  <c r="BR42" i="5"/>
  <c r="BD42" i="5"/>
  <c r="BC42" i="5"/>
  <c r="BB42" i="5"/>
  <c r="AS42" i="5"/>
  <c r="AE42" i="5"/>
  <c r="AD42" i="5"/>
  <c r="AC42" i="5"/>
  <c r="T41" i="5"/>
  <c r="T93" i="17" s="1"/>
  <c r="F41" i="5"/>
  <c r="F93" i="17" s="1"/>
  <c r="E41" i="5"/>
  <c r="E93" i="17" s="1"/>
  <c r="D41" i="5"/>
  <c r="D93" i="17" s="1"/>
  <c r="BP31" i="5"/>
  <c r="BO31" i="5"/>
  <c r="BN31" i="5"/>
  <c r="BM31" i="5"/>
  <c r="BK31" i="5"/>
  <c r="BJ31" i="5"/>
  <c r="BI31" i="5"/>
  <c r="BH31" i="5"/>
  <c r="AY13" i="3" s="1"/>
  <c r="AY40" i="3" s="1"/>
  <c r="BG31" i="5"/>
  <c r="BF31" i="5"/>
  <c r="BD31" i="5"/>
  <c r="AV13" i="3" s="1"/>
  <c r="BG34" i="3" s="1"/>
  <c r="BC31" i="5"/>
  <c r="AU13" i="3" s="1"/>
  <c r="BF34" i="3" s="1"/>
  <c r="AQ31" i="5"/>
  <c r="AP31" i="5"/>
  <c r="AO31" i="5"/>
  <c r="AN31" i="5"/>
  <c r="AL31" i="5"/>
  <c r="AK31" i="5"/>
  <c r="AJ31" i="5"/>
  <c r="AI31" i="5"/>
  <c r="AH31" i="5"/>
  <c r="AG31" i="5"/>
  <c r="AE31" i="5"/>
  <c r="AD31" i="5"/>
  <c r="R31" i="5"/>
  <c r="Q31" i="5"/>
  <c r="P31" i="5"/>
  <c r="O31" i="5"/>
  <c r="M31" i="5"/>
  <c r="L31" i="5"/>
  <c r="K31" i="5"/>
  <c r="J31" i="5"/>
  <c r="G13" i="3" s="1"/>
  <c r="I31" i="5"/>
  <c r="H31" i="5"/>
  <c r="F31" i="5"/>
  <c r="O33" i="3" s="1"/>
  <c r="E31" i="5"/>
  <c r="C36" i="3" s="1"/>
  <c r="BL30" i="5"/>
  <c r="BB30" i="5"/>
  <c r="AM30" i="5"/>
  <c r="AC30" i="5"/>
  <c r="N30" i="5"/>
  <c r="N62" i="19" s="1"/>
  <c r="D30" i="5"/>
  <c r="D62" i="19" s="1"/>
  <c r="BL29" i="5"/>
  <c r="BB29" i="5"/>
  <c r="AM29" i="5"/>
  <c r="AC29" i="5"/>
  <c r="N29" i="5"/>
  <c r="N61" i="19" s="1"/>
  <c r="D29" i="5"/>
  <c r="D61" i="19" s="1"/>
  <c r="BL28" i="5"/>
  <c r="BB28" i="5"/>
  <c r="AM28" i="5"/>
  <c r="AC28" i="5"/>
  <c r="N28" i="5"/>
  <c r="N60" i="19" s="1"/>
  <c r="D28" i="5"/>
  <c r="D60" i="19" s="1"/>
  <c r="BL27" i="5"/>
  <c r="BB27" i="5"/>
  <c r="AM26" i="5"/>
  <c r="AC26" i="5"/>
  <c r="N27" i="5"/>
  <c r="N59" i="19" s="1"/>
  <c r="D27" i="5"/>
  <c r="D59" i="19" s="1"/>
  <c r="BL26" i="5"/>
  <c r="BB26" i="5"/>
  <c r="AM27" i="5"/>
  <c r="AC27" i="5"/>
  <c r="N26" i="5"/>
  <c r="N58" i="19" s="1"/>
  <c r="D26" i="5"/>
  <c r="D58" i="19" s="1"/>
  <c r="BL25" i="5"/>
  <c r="BB25" i="5"/>
  <c r="AM25" i="5"/>
  <c r="AC25" i="5"/>
  <c r="N25" i="5"/>
  <c r="N57" i="19" s="1"/>
  <c r="D25" i="5"/>
  <c r="D57" i="19" s="1"/>
  <c r="BL24" i="5"/>
  <c r="BB24" i="5"/>
  <c r="AM24" i="5"/>
  <c r="AC24" i="5"/>
  <c r="N24" i="5"/>
  <c r="N56" i="19" s="1"/>
  <c r="D24" i="5"/>
  <c r="D56" i="19" s="1"/>
  <c r="BL23" i="5"/>
  <c r="BB23" i="5"/>
  <c r="AM23" i="5"/>
  <c r="AC23" i="5"/>
  <c r="N23" i="5"/>
  <c r="N55" i="19" s="1"/>
  <c r="D23" i="5"/>
  <c r="D55" i="19" s="1"/>
  <c r="BL22" i="5"/>
  <c r="BB22" i="5"/>
  <c r="AM22" i="5"/>
  <c r="AC22" i="5"/>
  <c r="N22" i="5"/>
  <c r="N54" i="19" s="1"/>
  <c r="D22" i="5"/>
  <c r="D54" i="19" s="1"/>
  <c r="BL21" i="5"/>
  <c r="BB21" i="5"/>
  <c r="AM21" i="5"/>
  <c r="AC21" i="5"/>
  <c r="N21" i="5"/>
  <c r="N53" i="19" s="1"/>
  <c r="D21" i="5"/>
  <c r="D53" i="19" s="1"/>
  <c r="BT18" i="5"/>
  <c r="BO18" i="5"/>
  <c r="BN18" i="5"/>
  <c r="BM18" i="5"/>
  <c r="BL18" i="5"/>
  <c r="BK18" i="5"/>
  <c r="BJ18" i="5"/>
  <c r="BI18" i="5"/>
  <c r="BH18" i="5"/>
  <c r="BG18" i="5"/>
  <c r="AX13" i="3" s="1"/>
  <c r="AX40" i="3" s="1"/>
  <c r="BF18" i="5"/>
  <c r="AU18" i="5"/>
  <c r="AP18" i="5"/>
  <c r="AO18" i="5"/>
  <c r="AN18" i="5"/>
  <c r="AM18" i="5"/>
  <c r="AL18" i="5"/>
  <c r="AK18" i="5"/>
  <c r="AJ18" i="5"/>
  <c r="AI18" i="5"/>
  <c r="AH18" i="5"/>
  <c r="AG18" i="5"/>
  <c r="V18" i="5"/>
  <c r="Q18" i="5"/>
  <c r="P18" i="5"/>
  <c r="O18" i="5"/>
  <c r="N18" i="5"/>
  <c r="M18" i="5"/>
  <c r="L18" i="5"/>
  <c r="K18" i="5"/>
  <c r="J18" i="5"/>
  <c r="I18" i="5"/>
  <c r="F36" i="3" s="1"/>
  <c r="H18" i="5"/>
  <c r="BR16" i="5"/>
  <c r="BD16" i="5"/>
  <c r="BC16" i="5"/>
  <c r="BB16" i="5"/>
  <c r="AS13" i="5"/>
  <c r="AE13" i="5"/>
  <c r="AD13" i="5"/>
  <c r="AC13" i="5"/>
  <c r="T14" i="5"/>
  <c r="T83" i="17" s="1"/>
  <c r="F14" i="5"/>
  <c r="F83" i="17" s="1"/>
  <c r="E14" i="5"/>
  <c r="E83" i="17" s="1"/>
  <c r="D14" i="5"/>
  <c r="D83" i="17" s="1"/>
  <c r="BR15" i="5"/>
  <c r="BD15" i="5"/>
  <c r="BC15" i="5"/>
  <c r="BB15" i="5"/>
  <c r="AS15" i="5"/>
  <c r="AE15" i="5"/>
  <c r="AD15" i="5"/>
  <c r="AC15" i="5"/>
  <c r="T13" i="5"/>
  <c r="T82" i="17" s="1"/>
  <c r="F13" i="5"/>
  <c r="F82" i="17" s="1"/>
  <c r="E13" i="5"/>
  <c r="E82" i="17" s="1"/>
  <c r="D13" i="5"/>
  <c r="D82" i="17" s="1"/>
  <c r="BR17" i="5"/>
  <c r="BD17" i="5"/>
  <c r="BC17" i="5"/>
  <c r="BB17" i="5"/>
  <c r="AS14" i="5"/>
  <c r="AE14" i="5"/>
  <c r="AD14" i="5"/>
  <c r="AC14" i="5"/>
  <c r="T17" i="5"/>
  <c r="T85" i="17" s="1"/>
  <c r="F17" i="5"/>
  <c r="F85" i="17" s="1"/>
  <c r="E17" i="5"/>
  <c r="E85" i="17" s="1"/>
  <c r="D17" i="5"/>
  <c r="D85" i="17" s="1"/>
  <c r="BR13" i="5"/>
  <c r="BD13" i="5"/>
  <c r="BC13" i="5"/>
  <c r="BB13" i="5"/>
  <c r="AS16" i="5"/>
  <c r="AE16" i="5"/>
  <c r="AD16" i="5"/>
  <c r="AC16" i="5"/>
  <c r="T15" i="5"/>
  <c r="T84" i="17" s="1"/>
  <c r="F15" i="5"/>
  <c r="F84" i="17" s="1"/>
  <c r="E15" i="5"/>
  <c r="E84" i="17" s="1"/>
  <c r="D15" i="5"/>
  <c r="D84" i="17" s="1"/>
  <c r="BR14" i="5"/>
  <c r="BD14" i="5"/>
  <c r="BC14" i="5"/>
  <c r="BB14" i="5"/>
  <c r="AS17" i="5"/>
  <c r="AE17" i="5"/>
  <c r="AD17" i="5"/>
  <c r="AC17" i="5"/>
  <c r="T16" i="5"/>
  <c r="T86" i="17" s="1"/>
  <c r="F16" i="5"/>
  <c r="F86" i="17" s="1"/>
  <c r="E16" i="5"/>
  <c r="E86" i="17" s="1"/>
  <c r="D16" i="5"/>
  <c r="D86" i="17" s="1"/>
  <c r="BR6" i="5"/>
  <c r="BD6" i="5"/>
  <c r="BC6" i="5"/>
  <c r="BB6" i="5"/>
  <c r="AS10" i="5"/>
  <c r="AE10" i="5"/>
  <c r="AD10" i="5"/>
  <c r="AC10" i="5"/>
  <c r="T6" i="5"/>
  <c r="T75" i="17" s="1"/>
  <c r="F6" i="5"/>
  <c r="F75" i="17" s="1"/>
  <c r="E6" i="5"/>
  <c r="E75" i="17" s="1"/>
  <c r="D6" i="5"/>
  <c r="D75" i="17" s="1"/>
  <c r="BR4" i="5"/>
  <c r="BD4" i="5"/>
  <c r="BC4" i="5"/>
  <c r="BB4" i="5"/>
  <c r="AS6" i="5"/>
  <c r="AE6" i="5"/>
  <c r="AD6" i="5"/>
  <c r="AC6" i="5"/>
  <c r="T11" i="5"/>
  <c r="T80" i="17" s="1"/>
  <c r="F11" i="5"/>
  <c r="F80" i="17" s="1"/>
  <c r="E11" i="5"/>
  <c r="E80" i="17" s="1"/>
  <c r="D11" i="5"/>
  <c r="D80" i="17" s="1"/>
  <c r="BR7" i="5"/>
  <c r="BD7" i="5"/>
  <c r="BC7" i="5"/>
  <c r="BB7" i="5"/>
  <c r="AS4" i="5"/>
  <c r="AE4" i="5"/>
  <c r="AD4" i="5"/>
  <c r="AC4" i="5"/>
  <c r="T4" i="5"/>
  <c r="T73" i="17" s="1"/>
  <c r="F4" i="5"/>
  <c r="F73" i="17" s="1"/>
  <c r="E4" i="5"/>
  <c r="D4" i="5"/>
  <c r="D73" i="17" s="1"/>
  <c r="BR9" i="5"/>
  <c r="BD9" i="5"/>
  <c r="BC9" i="5"/>
  <c r="BB9" i="5"/>
  <c r="AS7" i="5"/>
  <c r="AE7" i="5"/>
  <c r="AD7" i="5"/>
  <c r="AC7" i="5"/>
  <c r="T7" i="5"/>
  <c r="T76" i="17" s="1"/>
  <c r="F7" i="5"/>
  <c r="F76" i="17" s="1"/>
  <c r="E7" i="5"/>
  <c r="E76" i="17" s="1"/>
  <c r="D7" i="5"/>
  <c r="D76" i="17" s="1"/>
  <c r="BR8" i="5"/>
  <c r="BD8" i="5"/>
  <c r="BC8" i="5"/>
  <c r="BB8" i="5"/>
  <c r="AS8" i="5"/>
  <c r="AE8" i="5"/>
  <c r="AD8" i="5"/>
  <c r="AC8" i="5"/>
  <c r="T8" i="5"/>
  <c r="T77" i="17" s="1"/>
  <c r="F8" i="5"/>
  <c r="F77" i="17" s="1"/>
  <c r="E8" i="5"/>
  <c r="E77" i="17" s="1"/>
  <c r="D8" i="5"/>
  <c r="D77" i="17" s="1"/>
  <c r="BR10" i="5"/>
  <c r="BD10" i="5"/>
  <c r="BC10" i="5"/>
  <c r="BB10" i="5"/>
  <c r="AS9" i="5"/>
  <c r="AE9" i="5"/>
  <c r="AD9" i="5"/>
  <c r="AC9" i="5"/>
  <c r="T5" i="5"/>
  <c r="T74" i="17" s="1"/>
  <c r="F5" i="5"/>
  <c r="F74" i="17" s="1"/>
  <c r="E5" i="5"/>
  <c r="E74" i="17" s="1"/>
  <c r="D5" i="5"/>
  <c r="D74" i="17" s="1"/>
  <c r="BR5" i="5"/>
  <c r="BD5" i="5"/>
  <c r="BC5" i="5"/>
  <c r="BB5" i="5"/>
  <c r="AS5" i="5"/>
  <c r="AE5" i="5"/>
  <c r="AD5" i="5"/>
  <c r="AC5" i="5"/>
  <c r="T9" i="5"/>
  <c r="T78" i="17" s="1"/>
  <c r="F9" i="5"/>
  <c r="F78" i="17" s="1"/>
  <c r="E9" i="5"/>
  <c r="E78" i="17" s="1"/>
  <c r="D9" i="5"/>
  <c r="D78" i="17" s="1"/>
  <c r="BR12" i="5"/>
  <c r="BD12" i="5"/>
  <c r="BC12" i="5"/>
  <c r="BB12" i="5"/>
  <c r="AS11" i="5"/>
  <c r="AE11" i="5"/>
  <c r="AD11" i="5"/>
  <c r="AC11" i="5"/>
  <c r="T10" i="5"/>
  <c r="T79" i="17" s="1"/>
  <c r="F10" i="5"/>
  <c r="F79" i="17" s="1"/>
  <c r="E10" i="5"/>
  <c r="E79" i="17" s="1"/>
  <c r="D10" i="5"/>
  <c r="D79" i="17" s="1"/>
  <c r="BR11" i="5"/>
  <c r="BD11" i="5"/>
  <c r="BC11" i="5"/>
  <c r="BB11" i="5"/>
  <c r="AS12" i="5"/>
  <c r="AE12" i="5"/>
  <c r="AD12" i="5"/>
  <c r="AC12" i="5"/>
  <c r="T12" i="5"/>
  <c r="T81" i="17" s="1"/>
  <c r="F12" i="5"/>
  <c r="F81" i="17" s="1"/>
  <c r="E12" i="5"/>
  <c r="D12" i="5"/>
  <c r="D81" i="17" s="1"/>
  <c r="AQ280" i="4"/>
  <c r="AP280" i="4"/>
  <c r="AO280" i="4"/>
  <c r="AN280" i="4"/>
  <c r="AL280" i="4"/>
  <c r="AK280" i="4"/>
  <c r="AJ280" i="4"/>
  <c r="AI280" i="4"/>
  <c r="AH280" i="4"/>
  <c r="AG280" i="4"/>
  <c r="AE280" i="4"/>
  <c r="AD280" i="4"/>
  <c r="R280" i="4"/>
  <c r="Q280" i="4"/>
  <c r="P280" i="4"/>
  <c r="O280" i="4"/>
  <c r="M280" i="4"/>
  <c r="L280" i="4"/>
  <c r="K280" i="4"/>
  <c r="J280" i="4"/>
  <c r="I280" i="4"/>
  <c r="H280" i="4"/>
  <c r="F280" i="4"/>
  <c r="E280" i="4"/>
  <c r="AM279" i="4"/>
  <c r="AC279" i="4"/>
  <c r="N279" i="4"/>
  <c r="D279" i="4"/>
  <c r="AM278" i="4"/>
  <c r="AC278" i="4"/>
  <c r="N278" i="4"/>
  <c r="D278" i="4"/>
  <c r="AM277" i="4"/>
  <c r="AC277" i="4"/>
  <c r="N277" i="4"/>
  <c r="D277" i="4"/>
  <c r="AM276" i="4"/>
  <c r="AC276" i="4"/>
  <c r="N276" i="4"/>
  <c r="D276" i="4"/>
  <c r="AM275" i="4"/>
  <c r="AC275" i="4"/>
  <c r="N274" i="4"/>
  <c r="D274" i="4"/>
  <c r="AM274" i="4"/>
  <c r="AC274" i="4"/>
  <c r="N275" i="4"/>
  <c r="D275" i="4"/>
  <c r="AM273" i="4"/>
  <c r="AC273" i="4"/>
  <c r="N273" i="4"/>
  <c r="D273" i="4"/>
  <c r="AM272" i="4"/>
  <c r="AC272" i="4"/>
  <c r="N272" i="4"/>
  <c r="D272" i="4"/>
  <c r="AM271" i="4"/>
  <c r="AC271" i="4"/>
  <c r="N271" i="4"/>
  <c r="D271" i="4"/>
  <c r="AM270" i="4"/>
  <c r="AC270" i="4"/>
  <c r="N270" i="4"/>
  <c r="D270" i="4"/>
  <c r="AU267" i="4"/>
  <c r="AP267" i="4"/>
  <c r="AO267" i="4"/>
  <c r="AN267" i="4"/>
  <c r="AM267" i="4"/>
  <c r="AL267" i="4"/>
  <c r="AK267" i="4"/>
  <c r="AJ267" i="4"/>
  <c r="AI267" i="4"/>
  <c r="AH267" i="4"/>
  <c r="AG267" i="4"/>
  <c r="V267" i="4"/>
  <c r="Q267" i="4"/>
  <c r="P267" i="4"/>
  <c r="O267" i="4"/>
  <c r="N267" i="4"/>
  <c r="M267" i="4"/>
  <c r="L267" i="4"/>
  <c r="K267" i="4"/>
  <c r="J267" i="4"/>
  <c r="I267" i="4"/>
  <c r="H267" i="4"/>
  <c r="AS264" i="4"/>
  <c r="AE264" i="4"/>
  <c r="AD264" i="4"/>
  <c r="AC264" i="4"/>
  <c r="T266" i="4"/>
  <c r="F266" i="4"/>
  <c r="E266" i="4"/>
  <c r="D266" i="4"/>
  <c r="AS263" i="4"/>
  <c r="AE263" i="4"/>
  <c r="AD263" i="4"/>
  <c r="AC263" i="4"/>
  <c r="T265" i="4"/>
  <c r="F265" i="4"/>
  <c r="E265" i="4"/>
  <c r="D265" i="4"/>
  <c r="AS266" i="4"/>
  <c r="AE266" i="4"/>
  <c r="AD266" i="4"/>
  <c r="AC266" i="4"/>
  <c r="T264" i="4"/>
  <c r="F264" i="4"/>
  <c r="E264" i="4"/>
  <c r="D264" i="4"/>
  <c r="AS262" i="4"/>
  <c r="AE262" i="4"/>
  <c r="AD262" i="4"/>
  <c r="AC262" i="4"/>
  <c r="T263" i="4"/>
  <c r="F263" i="4"/>
  <c r="E263" i="4"/>
  <c r="D263" i="4"/>
  <c r="AS258" i="4"/>
  <c r="AE258" i="4"/>
  <c r="AD258" i="4"/>
  <c r="AC258" i="4"/>
  <c r="T262" i="4"/>
  <c r="F262" i="4"/>
  <c r="E262" i="4"/>
  <c r="D262" i="4"/>
  <c r="AS257" i="4"/>
  <c r="AE257" i="4"/>
  <c r="AD257" i="4"/>
  <c r="AC257" i="4"/>
  <c r="T259" i="4"/>
  <c r="F259" i="4"/>
  <c r="E259" i="4"/>
  <c r="D259" i="4"/>
  <c r="AS261" i="4"/>
  <c r="AE261" i="4"/>
  <c r="AD261" i="4"/>
  <c r="AC261" i="4"/>
  <c r="T256" i="4"/>
  <c r="F256" i="4"/>
  <c r="E256" i="4"/>
  <c r="D256" i="4"/>
  <c r="AS253" i="4"/>
  <c r="AE253" i="4"/>
  <c r="AD253" i="4"/>
  <c r="AC253" i="4"/>
  <c r="T261" i="4"/>
  <c r="F261" i="4"/>
  <c r="E261" i="4"/>
  <c r="D261" i="4"/>
  <c r="AS259" i="4"/>
  <c r="AE259" i="4"/>
  <c r="AD259" i="4"/>
  <c r="AC259" i="4"/>
  <c r="T253" i="4"/>
  <c r="F253" i="4"/>
  <c r="E253" i="4"/>
  <c r="D253" i="4"/>
  <c r="AS265" i="4"/>
  <c r="AE265" i="4"/>
  <c r="AD265" i="4"/>
  <c r="AC265" i="4"/>
  <c r="T257" i="4"/>
  <c r="F257" i="4"/>
  <c r="E257" i="4"/>
  <c r="D257" i="4"/>
  <c r="AS254" i="4"/>
  <c r="AE254" i="4"/>
  <c r="AD254" i="4"/>
  <c r="AC254" i="4"/>
  <c r="T254" i="4"/>
  <c r="F254" i="4"/>
  <c r="E254" i="4"/>
  <c r="D254" i="4"/>
  <c r="AS256" i="4"/>
  <c r="AE256" i="4"/>
  <c r="AD256" i="4"/>
  <c r="AC256" i="4"/>
  <c r="T258" i="4"/>
  <c r="F258" i="4"/>
  <c r="E258" i="4"/>
  <c r="D258" i="4"/>
  <c r="AS260" i="4"/>
  <c r="AE260" i="4"/>
  <c r="AD260" i="4"/>
  <c r="AC260" i="4"/>
  <c r="T260" i="4"/>
  <c r="F260" i="4"/>
  <c r="E260" i="4"/>
  <c r="D260" i="4"/>
  <c r="AS255" i="4"/>
  <c r="AE255" i="4"/>
  <c r="AD255" i="4"/>
  <c r="AC255" i="4"/>
  <c r="T255" i="4"/>
  <c r="F255" i="4"/>
  <c r="E255" i="4"/>
  <c r="D255" i="4"/>
  <c r="AQ249" i="4"/>
  <c r="AP249" i="4"/>
  <c r="AO249" i="4"/>
  <c r="AN249" i="4"/>
  <c r="AL249" i="4"/>
  <c r="AK249" i="4"/>
  <c r="AJ249" i="4"/>
  <c r="AI249" i="4"/>
  <c r="AH249" i="4"/>
  <c r="AG249" i="4"/>
  <c r="AE249" i="4"/>
  <c r="AD249" i="4"/>
  <c r="R249" i="4"/>
  <c r="Q249" i="4"/>
  <c r="P249" i="4"/>
  <c r="O249" i="4"/>
  <c r="M249" i="4"/>
  <c r="L249" i="4"/>
  <c r="K249" i="4"/>
  <c r="J249" i="4"/>
  <c r="I249" i="4"/>
  <c r="H249" i="4"/>
  <c r="F249" i="4"/>
  <c r="E249" i="4"/>
  <c r="AM248" i="4"/>
  <c r="AC248" i="4"/>
  <c r="N248" i="4"/>
  <c r="D248" i="4"/>
  <c r="AM247" i="4"/>
  <c r="AC247" i="4"/>
  <c r="N247" i="4"/>
  <c r="D247" i="4"/>
  <c r="AM246" i="4"/>
  <c r="AC246" i="4"/>
  <c r="N246" i="4"/>
  <c r="D246" i="4"/>
  <c r="AM245" i="4"/>
  <c r="AC245" i="4"/>
  <c r="N245" i="4"/>
  <c r="D245" i="4"/>
  <c r="AM244" i="4"/>
  <c r="AC244" i="4"/>
  <c r="N244" i="4"/>
  <c r="D244" i="4"/>
  <c r="AM243" i="4"/>
  <c r="AC243" i="4"/>
  <c r="N243" i="4"/>
  <c r="D243" i="4"/>
  <c r="AM242" i="4"/>
  <c r="AC242" i="4"/>
  <c r="N242" i="4"/>
  <c r="D242" i="4"/>
  <c r="AM241" i="4"/>
  <c r="AC241" i="4"/>
  <c r="N241" i="4"/>
  <c r="D241" i="4"/>
  <c r="AM240" i="4"/>
  <c r="AC240" i="4"/>
  <c r="N240" i="4"/>
  <c r="D240" i="4"/>
  <c r="AM239" i="4"/>
  <c r="AC239" i="4"/>
  <c r="N239" i="4"/>
  <c r="D239" i="4"/>
  <c r="AU236" i="4"/>
  <c r="AP236" i="4"/>
  <c r="AO236" i="4"/>
  <c r="AN236" i="4"/>
  <c r="AM236" i="4"/>
  <c r="AL236" i="4"/>
  <c r="AK236" i="4"/>
  <c r="AJ236" i="4"/>
  <c r="AI236" i="4"/>
  <c r="AH236" i="4"/>
  <c r="AG236" i="4"/>
  <c r="V236" i="4"/>
  <c r="Q236" i="4"/>
  <c r="P236" i="4"/>
  <c r="O236" i="4"/>
  <c r="N236" i="4"/>
  <c r="M236" i="4"/>
  <c r="L236" i="4"/>
  <c r="K236" i="4"/>
  <c r="J236" i="4"/>
  <c r="I236" i="4"/>
  <c r="H236" i="4"/>
  <c r="AS235" i="4"/>
  <c r="AE235" i="4"/>
  <c r="AD235" i="4"/>
  <c r="AC235" i="4"/>
  <c r="T231" i="4"/>
  <c r="F231" i="4"/>
  <c r="E231" i="4"/>
  <c r="D231" i="4"/>
  <c r="AS232" i="4"/>
  <c r="AE232" i="4"/>
  <c r="AD232" i="4"/>
  <c r="AC232" i="4"/>
  <c r="T233" i="4"/>
  <c r="F233" i="4"/>
  <c r="E233" i="4"/>
  <c r="D233" i="4"/>
  <c r="AS233" i="4"/>
  <c r="AE233" i="4"/>
  <c r="AD233" i="4"/>
  <c r="AC233" i="4"/>
  <c r="T235" i="4"/>
  <c r="F235" i="4"/>
  <c r="E235" i="4"/>
  <c r="D235" i="4"/>
  <c r="AS234" i="4"/>
  <c r="AE234" i="4"/>
  <c r="AD234" i="4"/>
  <c r="AC234" i="4"/>
  <c r="T234" i="4"/>
  <c r="F234" i="4"/>
  <c r="E234" i="4"/>
  <c r="D234" i="4"/>
  <c r="AS231" i="4"/>
  <c r="AE231" i="4"/>
  <c r="AD231" i="4"/>
  <c r="AC231" i="4"/>
  <c r="T225" i="4"/>
  <c r="F225" i="4"/>
  <c r="E225" i="4"/>
  <c r="D225" i="4"/>
  <c r="AS228" i="4"/>
  <c r="AE228" i="4"/>
  <c r="AD228" i="4"/>
  <c r="AC228" i="4"/>
  <c r="T222" i="4"/>
  <c r="F222" i="4"/>
  <c r="E222" i="4"/>
  <c r="D222" i="4"/>
  <c r="AS224" i="4"/>
  <c r="AE224" i="4"/>
  <c r="AD224" i="4"/>
  <c r="AC224" i="4"/>
  <c r="T230" i="4"/>
  <c r="F230" i="4"/>
  <c r="E230" i="4"/>
  <c r="D230" i="4"/>
  <c r="AS225" i="4"/>
  <c r="AE225" i="4"/>
  <c r="AD225" i="4"/>
  <c r="AC225" i="4"/>
  <c r="T226" i="4"/>
  <c r="F226" i="4"/>
  <c r="E226" i="4"/>
  <c r="D226" i="4"/>
  <c r="AS229" i="4"/>
  <c r="AE229" i="4"/>
  <c r="AD229" i="4"/>
  <c r="AC229" i="4"/>
  <c r="T232" i="4"/>
  <c r="F232" i="4"/>
  <c r="E232" i="4"/>
  <c r="D232" i="4"/>
  <c r="AS230" i="4"/>
  <c r="AE230" i="4"/>
  <c r="AD230" i="4"/>
  <c r="AC230" i="4"/>
  <c r="T229" i="4"/>
  <c r="F229" i="4"/>
  <c r="E229" i="4"/>
  <c r="D229" i="4"/>
  <c r="AS222" i="4"/>
  <c r="AE222" i="4"/>
  <c r="AD222" i="4"/>
  <c r="AC222" i="4"/>
  <c r="T224" i="4"/>
  <c r="F224" i="4"/>
  <c r="E224" i="4"/>
  <c r="D224" i="4"/>
  <c r="AS227" i="4"/>
  <c r="AE227" i="4"/>
  <c r="AD227" i="4"/>
  <c r="AC227" i="4"/>
  <c r="T223" i="4"/>
  <c r="F223" i="4"/>
  <c r="E223" i="4"/>
  <c r="D223" i="4"/>
  <c r="AS223" i="4"/>
  <c r="AE223" i="4"/>
  <c r="AD223" i="4"/>
  <c r="AC223" i="4"/>
  <c r="T227" i="4"/>
  <c r="F227" i="4"/>
  <c r="E227" i="4"/>
  <c r="D227" i="4"/>
  <c r="AS226" i="4"/>
  <c r="AE226" i="4"/>
  <c r="AD226" i="4"/>
  <c r="AC226" i="4"/>
  <c r="T228" i="4"/>
  <c r="F228" i="4"/>
  <c r="E228" i="4"/>
  <c r="D228" i="4"/>
  <c r="BP218" i="4"/>
  <c r="BO218" i="4"/>
  <c r="BN218" i="4"/>
  <c r="BM218" i="4"/>
  <c r="BK218" i="4"/>
  <c r="BJ218" i="4"/>
  <c r="BI218" i="4"/>
  <c r="BH218" i="4"/>
  <c r="BG218" i="4"/>
  <c r="BF218" i="4"/>
  <c r="BD218" i="4"/>
  <c r="BC218" i="4"/>
  <c r="AQ218" i="4"/>
  <c r="AP218" i="4"/>
  <c r="AO218" i="4"/>
  <c r="AN218" i="4"/>
  <c r="AL218" i="4"/>
  <c r="AK218" i="4"/>
  <c r="AJ218" i="4"/>
  <c r="AI218" i="4"/>
  <c r="AH218" i="4"/>
  <c r="AG218" i="4"/>
  <c r="AE218" i="4"/>
  <c r="AD218" i="4"/>
  <c r="R218" i="4"/>
  <c r="Q218" i="4"/>
  <c r="P218" i="4"/>
  <c r="O218" i="4"/>
  <c r="M218" i="4"/>
  <c r="L218" i="4"/>
  <c r="K218" i="4"/>
  <c r="J218" i="4"/>
  <c r="I218" i="4"/>
  <c r="F218" i="4"/>
  <c r="E218" i="4"/>
  <c r="BL217" i="4"/>
  <c r="BB217" i="4"/>
  <c r="AM217" i="4"/>
  <c r="AC217" i="4"/>
  <c r="N217" i="4"/>
  <c r="D217" i="4"/>
  <c r="BL216" i="4"/>
  <c r="BB216" i="4"/>
  <c r="AM216" i="4"/>
  <c r="AC216" i="4"/>
  <c r="N216" i="4"/>
  <c r="D216" i="4"/>
  <c r="BL215" i="4"/>
  <c r="BB215" i="4"/>
  <c r="AM214" i="4"/>
  <c r="AC214" i="4"/>
  <c r="BL214" i="4"/>
  <c r="BB214" i="4"/>
  <c r="AM215" i="4"/>
  <c r="AC215" i="4"/>
  <c r="N214" i="4"/>
  <c r="D214" i="4"/>
  <c r="BL213" i="4"/>
  <c r="BB213" i="4"/>
  <c r="AM213" i="4"/>
  <c r="AC213" i="4"/>
  <c r="N213" i="4"/>
  <c r="D213" i="4"/>
  <c r="BL212" i="4"/>
  <c r="BB212" i="4"/>
  <c r="AM212" i="4"/>
  <c r="AC212" i="4"/>
  <c r="N212" i="4"/>
  <c r="D212" i="4"/>
  <c r="BL211" i="4"/>
  <c r="BB211" i="4"/>
  <c r="AM211" i="4"/>
  <c r="AC211" i="4"/>
  <c r="N211" i="4"/>
  <c r="D211" i="4"/>
  <c r="BL210" i="4"/>
  <c r="BB210" i="4"/>
  <c r="AM210" i="4"/>
  <c r="AC210" i="4"/>
  <c r="N210" i="4"/>
  <c r="D210" i="4"/>
  <c r="BL209" i="4"/>
  <c r="BB209" i="4"/>
  <c r="AM209" i="4"/>
  <c r="AC209" i="4"/>
  <c r="N209" i="4"/>
  <c r="D209" i="4"/>
  <c r="BL208" i="4"/>
  <c r="BB208" i="4"/>
  <c r="AM208" i="4"/>
  <c r="AC208" i="4"/>
  <c r="N208" i="4"/>
  <c r="D208" i="4"/>
  <c r="BT205" i="4"/>
  <c r="BO205" i="4"/>
  <c r="BN205" i="4"/>
  <c r="BM205" i="4"/>
  <c r="BL205" i="4"/>
  <c r="BK205" i="4"/>
  <c r="BJ205" i="4"/>
  <c r="BI205" i="4"/>
  <c r="BH205" i="4"/>
  <c r="BG205" i="4"/>
  <c r="BF205" i="4"/>
  <c r="AU205" i="4"/>
  <c r="AP205" i="4"/>
  <c r="AO205" i="4"/>
  <c r="AN205" i="4"/>
  <c r="AM205" i="4"/>
  <c r="AL205" i="4"/>
  <c r="AK205" i="4"/>
  <c r="AJ205" i="4"/>
  <c r="AI205" i="4"/>
  <c r="AH205" i="4"/>
  <c r="AG205" i="4"/>
  <c r="V205" i="4"/>
  <c r="Q205" i="4"/>
  <c r="P205" i="4"/>
  <c r="O205" i="4"/>
  <c r="N205" i="4"/>
  <c r="M205" i="4"/>
  <c r="L205" i="4"/>
  <c r="K205" i="4"/>
  <c r="J205" i="4"/>
  <c r="I205" i="4"/>
  <c r="H205" i="4"/>
  <c r="BR203" i="4"/>
  <c r="BD203" i="4"/>
  <c r="BC203" i="4"/>
  <c r="BB203" i="4"/>
  <c r="AS203" i="4"/>
  <c r="AE203" i="4"/>
  <c r="AD203" i="4"/>
  <c r="AC203" i="4"/>
  <c r="T202" i="4"/>
  <c r="F202" i="4"/>
  <c r="E202" i="4"/>
  <c r="D202" i="4"/>
  <c r="BR204" i="4"/>
  <c r="BD204" i="4"/>
  <c r="BC204" i="4"/>
  <c r="BB204" i="4"/>
  <c r="AS202" i="4"/>
  <c r="AE202" i="4"/>
  <c r="AD202" i="4"/>
  <c r="AC202" i="4"/>
  <c r="T204" i="4"/>
  <c r="F204" i="4"/>
  <c r="E204" i="4"/>
  <c r="D204" i="4"/>
  <c r="BR202" i="4"/>
  <c r="BD202" i="4"/>
  <c r="BC202" i="4"/>
  <c r="BB202" i="4"/>
  <c r="AS200" i="4"/>
  <c r="AE200" i="4"/>
  <c r="AD200" i="4"/>
  <c r="AC200" i="4"/>
  <c r="T200" i="4"/>
  <c r="F200" i="4"/>
  <c r="E200" i="4"/>
  <c r="D200" i="4"/>
  <c r="BR201" i="4"/>
  <c r="BD201" i="4"/>
  <c r="BC201" i="4"/>
  <c r="BB201" i="4"/>
  <c r="AS204" i="4"/>
  <c r="AE204" i="4"/>
  <c r="AD204" i="4"/>
  <c r="AC204" i="4"/>
  <c r="T201" i="4"/>
  <c r="F201" i="4"/>
  <c r="E201" i="4"/>
  <c r="D201" i="4"/>
  <c r="BR200" i="4"/>
  <c r="BD200" i="4"/>
  <c r="BC200" i="4"/>
  <c r="BB200" i="4"/>
  <c r="AS201" i="4"/>
  <c r="AE201" i="4"/>
  <c r="AD201" i="4"/>
  <c r="AC201" i="4"/>
  <c r="T198" i="4"/>
  <c r="F198" i="4"/>
  <c r="E198" i="4"/>
  <c r="D198" i="4"/>
  <c r="BR198" i="4"/>
  <c r="BD198" i="4"/>
  <c r="BC198" i="4"/>
  <c r="BB198" i="4"/>
  <c r="AS194" i="4"/>
  <c r="AE194" i="4"/>
  <c r="AD194" i="4"/>
  <c r="AC194" i="4"/>
  <c r="T191" i="4"/>
  <c r="F191" i="4"/>
  <c r="E191" i="4"/>
  <c r="D191" i="4"/>
  <c r="BR191" i="4"/>
  <c r="BD191" i="4"/>
  <c r="BC191" i="4"/>
  <c r="BB191" i="4"/>
  <c r="AS198" i="4"/>
  <c r="AE198" i="4"/>
  <c r="AD198" i="4"/>
  <c r="AC198" i="4"/>
  <c r="T197" i="4"/>
  <c r="F197" i="4"/>
  <c r="E197" i="4"/>
  <c r="D197" i="4"/>
  <c r="BR199" i="4"/>
  <c r="BD199" i="4"/>
  <c r="BC199" i="4"/>
  <c r="BB199" i="4"/>
  <c r="AS195" i="4"/>
  <c r="AE195" i="4"/>
  <c r="AD195" i="4"/>
  <c r="AC195" i="4"/>
  <c r="T203" i="4"/>
  <c r="F203" i="4"/>
  <c r="E203" i="4"/>
  <c r="D203" i="4"/>
  <c r="BR197" i="4"/>
  <c r="BD197" i="4"/>
  <c r="BC197" i="4"/>
  <c r="BB197" i="4"/>
  <c r="AS191" i="4"/>
  <c r="AE191" i="4"/>
  <c r="AD191" i="4"/>
  <c r="AC191" i="4"/>
  <c r="T192" i="4"/>
  <c r="F192" i="4"/>
  <c r="E192" i="4"/>
  <c r="D192" i="4"/>
  <c r="BR194" i="4"/>
  <c r="BD194" i="4"/>
  <c r="BC194" i="4"/>
  <c r="BB194" i="4"/>
  <c r="AS197" i="4"/>
  <c r="AE197" i="4"/>
  <c r="AD197" i="4"/>
  <c r="AC197" i="4"/>
  <c r="T194" i="4"/>
  <c r="F194" i="4"/>
  <c r="E194" i="4"/>
  <c r="D194" i="4"/>
  <c r="BR192" i="4"/>
  <c r="BD192" i="4"/>
  <c r="BC192" i="4"/>
  <c r="BB192" i="4"/>
  <c r="AS193" i="4"/>
  <c r="AE193" i="4"/>
  <c r="AD193" i="4"/>
  <c r="AC193" i="4"/>
  <c r="T193" i="4"/>
  <c r="F193" i="4"/>
  <c r="E193" i="4"/>
  <c r="D193" i="4"/>
  <c r="BR196" i="4"/>
  <c r="BD196" i="4"/>
  <c r="BC196" i="4"/>
  <c r="BB196" i="4"/>
  <c r="AS199" i="4"/>
  <c r="AE199" i="4"/>
  <c r="AD199" i="4"/>
  <c r="AC199" i="4"/>
  <c r="T199" i="4"/>
  <c r="F199" i="4"/>
  <c r="E199" i="4"/>
  <c r="D199" i="4"/>
  <c r="BR195" i="4"/>
  <c r="BD195" i="4"/>
  <c r="BC195" i="4"/>
  <c r="BB195" i="4"/>
  <c r="AS192" i="4"/>
  <c r="AE192" i="4"/>
  <c r="AD192" i="4"/>
  <c r="AC192" i="4"/>
  <c r="T196" i="4"/>
  <c r="F196" i="4"/>
  <c r="E196" i="4"/>
  <c r="D196" i="4"/>
  <c r="BR193" i="4"/>
  <c r="BD193" i="4"/>
  <c r="BC193" i="4"/>
  <c r="BB193" i="4"/>
  <c r="AS196" i="4"/>
  <c r="AE196" i="4"/>
  <c r="AD196" i="4"/>
  <c r="AC196" i="4"/>
  <c r="T195" i="4"/>
  <c r="F195" i="4"/>
  <c r="E195" i="4"/>
  <c r="D195" i="4"/>
  <c r="BP187" i="4"/>
  <c r="BO187" i="4"/>
  <c r="BN187" i="4"/>
  <c r="BM187" i="4"/>
  <c r="BK187" i="4"/>
  <c r="BJ187" i="4"/>
  <c r="BI187" i="4"/>
  <c r="BH187" i="4"/>
  <c r="BG187" i="4"/>
  <c r="BF187" i="4"/>
  <c r="BD187" i="4"/>
  <c r="BC187" i="4"/>
  <c r="AQ187" i="4"/>
  <c r="AP187" i="4"/>
  <c r="AO187" i="4"/>
  <c r="AN187" i="4"/>
  <c r="AL187" i="4"/>
  <c r="AK187" i="4"/>
  <c r="AJ187" i="4"/>
  <c r="AI187" i="4"/>
  <c r="AH187" i="4"/>
  <c r="AG187" i="4"/>
  <c r="AE187" i="4"/>
  <c r="AD187" i="4"/>
  <c r="R187" i="4"/>
  <c r="Q187" i="4"/>
  <c r="P187" i="4"/>
  <c r="O187" i="4"/>
  <c r="M187" i="4"/>
  <c r="L187" i="4"/>
  <c r="K187" i="4"/>
  <c r="J187" i="4"/>
  <c r="I187" i="4"/>
  <c r="H187" i="4"/>
  <c r="F187" i="4"/>
  <c r="E187" i="4"/>
  <c r="BL186" i="4"/>
  <c r="BB186" i="4"/>
  <c r="AM186" i="4"/>
  <c r="AC186" i="4"/>
  <c r="N186" i="4"/>
  <c r="D186" i="4"/>
  <c r="BL185" i="4"/>
  <c r="BB185" i="4"/>
  <c r="AM185" i="4"/>
  <c r="AC185" i="4"/>
  <c r="N185" i="4"/>
  <c r="D185" i="4"/>
  <c r="BL184" i="4"/>
  <c r="BB184" i="4"/>
  <c r="AM184" i="4"/>
  <c r="AC184" i="4"/>
  <c r="N184" i="4"/>
  <c r="D184" i="4"/>
  <c r="BL182" i="4"/>
  <c r="BB182" i="4"/>
  <c r="AM183" i="4"/>
  <c r="AC183" i="4"/>
  <c r="N183" i="4"/>
  <c r="D183" i="4"/>
  <c r="BL183" i="4"/>
  <c r="BB183" i="4"/>
  <c r="AM182" i="4"/>
  <c r="AC182" i="4"/>
  <c r="N181" i="4"/>
  <c r="D181" i="4"/>
  <c r="BL181" i="4"/>
  <c r="BB181" i="4"/>
  <c r="AM181" i="4"/>
  <c r="AC181" i="4"/>
  <c r="N182" i="4"/>
  <c r="D182" i="4"/>
  <c r="BL180" i="4"/>
  <c r="BB180" i="4"/>
  <c r="AM180" i="4"/>
  <c r="AC180" i="4"/>
  <c r="N180" i="4"/>
  <c r="D180" i="4"/>
  <c r="BL179" i="4"/>
  <c r="BB179" i="4"/>
  <c r="AM179" i="4"/>
  <c r="AC179" i="4"/>
  <c r="N179" i="4"/>
  <c r="D179" i="4"/>
  <c r="BL178" i="4"/>
  <c r="BB178" i="4"/>
  <c r="AM178" i="4"/>
  <c r="AC178" i="4"/>
  <c r="N178" i="4"/>
  <c r="D178" i="4"/>
  <c r="BL177" i="4"/>
  <c r="BB177" i="4"/>
  <c r="AM177" i="4"/>
  <c r="AC177" i="4"/>
  <c r="N177" i="4"/>
  <c r="D177" i="4"/>
  <c r="BT174" i="4"/>
  <c r="BO174" i="4"/>
  <c r="BN174" i="4"/>
  <c r="BM174" i="4"/>
  <c r="BL174" i="4"/>
  <c r="BK174" i="4"/>
  <c r="BJ174" i="4"/>
  <c r="BI174" i="4"/>
  <c r="BH174" i="4"/>
  <c r="BG174" i="4"/>
  <c r="BF174" i="4"/>
  <c r="AU174" i="4"/>
  <c r="AP174" i="4"/>
  <c r="AO174" i="4"/>
  <c r="AN174" i="4"/>
  <c r="AM174" i="4"/>
  <c r="AL174" i="4"/>
  <c r="AK174" i="4"/>
  <c r="AJ174" i="4"/>
  <c r="AI174" i="4"/>
  <c r="AH174" i="4"/>
  <c r="AG174" i="4"/>
  <c r="V174" i="4"/>
  <c r="Q174" i="4"/>
  <c r="P174" i="4"/>
  <c r="O174" i="4"/>
  <c r="N174" i="4"/>
  <c r="M174" i="4"/>
  <c r="L174" i="4"/>
  <c r="K174" i="4"/>
  <c r="J174" i="4"/>
  <c r="I174" i="4"/>
  <c r="H174" i="4"/>
  <c r="BR173" i="4"/>
  <c r="BD173" i="4"/>
  <c r="BC173" i="4"/>
  <c r="BB173" i="4"/>
  <c r="AS171" i="4"/>
  <c r="AE171" i="4"/>
  <c r="AD171" i="4"/>
  <c r="AC171" i="4"/>
  <c r="T173" i="4"/>
  <c r="F173" i="4"/>
  <c r="E173" i="4"/>
  <c r="D173" i="4"/>
  <c r="BR172" i="4"/>
  <c r="BD172" i="4"/>
  <c r="BC172" i="4"/>
  <c r="BB172" i="4"/>
  <c r="AS170" i="4"/>
  <c r="AE170" i="4"/>
  <c r="AD170" i="4"/>
  <c r="AC170" i="4"/>
  <c r="T172" i="4"/>
  <c r="F172" i="4"/>
  <c r="E172" i="4"/>
  <c r="D172" i="4"/>
  <c r="BR171" i="4"/>
  <c r="BD171" i="4"/>
  <c r="BC171" i="4"/>
  <c r="BB171" i="4"/>
  <c r="AS173" i="4"/>
  <c r="AE173" i="4"/>
  <c r="AD173" i="4"/>
  <c r="AC173" i="4"/>
  <c r="T171" i="4"/>
  <c r="F171" i="4"/>
  <c r="E171" i="4"/>
  <c r="D171" i="4"/>
  <c r="BR170" i="4"/>
  <c r="BD170" i="4"/>
  <c r="BC170" i="4"/>
  <c r="BB170" i="4"/>
  <c r="AS169" i="4"/>
  <c r="AE169" i="4"/>
  <c r="AD169" i="4"/>
  <c r="AC169" i="4"/>
  <c r="T170" i="4"/>
  <c r="F170" i="4"/>
  <c r="E170" i="4"/>
  <c r="D170" i="4"/>
  <c r="BR169" i="4"/>
  <c r="BD169" i="4"/>
  <c r="BC169" i="4"/>
  <c r="BB169" i="4"/>
  <c r="AS172" i="4"/>
  <c r="AE172" i="4"/>
  <c r="AD172" i="4"/>
  <c r="AC172" i="4"/>
  <c r="T169" i="4"/>
  <c r="F169" i="4"/>
  <c r="E169" i="4"/>
  <c r="D169" i="4"/>
  <c r="BR166" i="4"/>
  <c r="BD166" i="4"/>
  <c r="BC166" i="4"/>
  <c r="BB166" i="4"/>
  <c r="AS160" i="4"/>
  <c r="AE160" i="4"/>
  <c r="AD160" i="4"/>
  <c r="AC160" i="4"/>
  <c r="T168" i="4"/>
  <c r="F168" i="4"/>
  <c r="E168" i="4"/>
  <c r="D168" i="4"/>
  <c r="BR161" i="4"/>
  <c r="BD161" i="4"/>
  <c r="BC161" i="4"/>
  <c r="BB161" i="4"/>
  <c r="AS161" i="4"/>
  <c r="AE161" i="4"/>
  <c r="AD161" i="4"/>
  <c r="AC161" i="4"/>
  <c r="T163" i="4"/>
  <c r="F163" i="4"/>
  <c r="E163" i="4"/>
  <c r="D163" i="4"/>
  <c r="BR167" i="4"/>
  <c r="BD167" i="4"/>
  <c r="BC167" i="4"/>
  <c r="BB167" i="4"/>
  <c r="AS165" i="4"/>
  <c r="AE165" i="4"/>
  <c r="AD165" i="4"/>
  <c r="AC165" i="4"/>
  <c r="T166" i="4"/>
  <c r="F166" i="4"/>
  <c r="E166" i="4"/>
  <c r="D166" i="4"/>
  <c r="BR162" i="4"/>
  <c r="BD162" i="4"/>
  <c r="BC162" i="4"/>
  <c r="BB162" i="4"/>
  <c r="AS164" i="4"/>
  <c r="AE164" i="4"/>
  <c r="AD164" i="4"/>
  <c r="AC164" i="4"/>
  <c r="T161" i="4"/>
  <c r="F161" i="4"/>
  <c r="E161" i="4"/>
  <c r="D161" i="4"/>
  <c r="BR168" i="4"/>
  <c r="BD168" i="4"/>
  <c r="BC168" i="4"/>
  <c r="BB168" i="4"/>
  <c r="AS166" i="4"/>
  <c r="AE166" i="4"/>
  <c r="AD166" i="4"/>
  <c r="AC166" i="4"/>
  <c r="T164" i="4"/>
  <c r="F164" i="4"/>
  <c r="E164" i="4"/>
  <c r="D164" i="4"/>
  <c r="BR165" i="4"/>
  <c r="BD165" i="4"/>
  <c r="BC165" i="4"/>
  <c r="BB165" i="4"/>
  <c r="AS163" i="4"/>
  <c r="AE163" i="4"/>
  <c r="AD163" i="4"/>
  <c r="AC163" i="4"/>
  <c r="T160" i="4"/>
  <c r="F160" i="4"/>
  <c r="E160" i="4"/>
  <c r="D160" i="4"/>
  <c r="BR163" i="4"/>
  <c r="BD163" i="4"/>
  <c r="BC163" i="4"/>
  <c r="BB163" i="4"/>
  <c r="AS168" i="4"/>
  <c r="AE168" i="4"/>
  <c r="AD168" i="4"/>
  <c r="AC168" i="4"/>
  <c r="T165" i="4"/>
  <c r="F165" i="4"/>
  <c r="E165" i="4"/>
  <c r="D165" i="4"/>
  <c r="BR160" i="4"/>
  <c r="BD160" i="4"/>
  <c r="BC160" i="4"/>
  <c r="BB160" i="4"/>
  <c r="AS167" i="4"/>
  <c r="AE167" i="4"/>
  <c r="AD167" i="4"/>
  <c r="AC167" i="4"/>
  <c r="T162" i="4"/>
  <c r="F162" i="4"/>
  <c r="E162" i="4"/>
  <c r="D162" i="4"/>
  <c r="BR164" i="4"/>
  <c r="BD164" i="4"/>
  <c r="BC164" i="4"/>
  <c r="BB164" i="4"/>
  <c r="AS162" i="4"/>
  <c r="AE162" i="4"/>
  <c r="AD162" i="4"/>
  <c r="AC162" i="4"/>
  <c r="T167" i="4"/>
  <c r="F167" i="4"/>
  <c r="E167" i="4"/>
  <c r="D167" i="4"/>
  <c r="BP155" i="4"/>
  <c r="BO155" i="4"/>
  <c r="BN155" i="4"/>
  <c r="BM155" i="4"/>
  <c r="BK155" i="4"/>
  <c r="BJ155" i="4"/>
  <c r="BI155" i="4"/>
  <c r="BH155" i="4"/>
  <c r="AY7" i="3" s="1"/>
  <c r="AY54" i="3" s="1"/>
  <c r="BG155" i="4"/>
  <c r="BF155" i="4"/>
  <c r="BD155" i="4"/>
  <c r="AV7" i="3" s="1"/>
  <c r="BC155" i="4"/>
  <c r="AU7" i="3" s="1"/>
  <c r="AU54" i="3" s="1"/>
  <c r="AQ155" i="4"/>
  <c r="AP155" i="4"/>
  <c r="AO155" i="4"/>
  <c r="AN155" i="4"/>
  <c r="AL155" i="4"/>
  <c r="AK155" i="4"/>
  <c r="AJ155" i="4"/>
  <c r="AI155" i="4"/>
  <c r="AH155" i="4"/>
  <c r="AG155" i="4"/>
  <c r="AE155" i="4"/>
  <c r="AD155" i="4"/>
  <c r="R155" i="4"/>
  <c r="Q155" i="4"/>
  <c r="P155" i="4"/>
  <c r="O155" i="4"/>
  <c r="M155" i="4"/>
  <c r="L155" i="4"/>
  <c r="K155" i="4"/>
  <c r="J155" i="4"/>
  <c r="G57" i="3" s="1"/>
  <c r="I155" i="4"/>
  <c r="H155" i="4"/>
  <c r="F155" i="4"/>
  <c r="O44" i="3" s="1"/>
  <c r="E155" i="4"/>
  <c r="C8" i="3" s="1"/>
  <c r="BL154" i="4"/>
  <c r="BB154" i="4"/>
  <c r="AM154" i="4"/>
  <c r="AC154" i="4"/>
  <c r="N154" i="4"/>
  <c r="N52" i="19" s="1"/>
  <c r="D154" i="4"/>
  <c r="D52" i="19" s="1"/>
  <c r="BL153" i="4"/>
  <c r="BB153" i="4"/>
  <c r="AM153" i="4"/>
  <c r="AC153" i="4"/>
  <c r="N153" i="4"/>
  <c r="N51" i="19" s="1"/>
  <c r="D153" i="4"/>
  <c r="D51" i="19" s="1"/>
  <c r="BL151" i="4"/>
  <c r="BB151" i="4"/>
  <c r="AM152" i="4"/>
  <c r="AC152" i="4"/>
  <c r="N152" i="4"/>
  <c r="N50" i="19" s="1"/>
  <c r="D152" i="4"/>
  <c r="D50" i="19" s="1"/>
  <c r="BL152" i="4"/>
  <c r="BB152" i="4"/>
  <c r="AM151" i="4"/>
  <c r="AC151" i="4"/>
  <c r="N150" i="4"/>
  <c r="N48" i="19" s="1"/>
  <c r="D150" i="4"/>
  <c r="D48" i="19" s="1"/>
  <c r="BL150" i="4"/>
  <c r="BB150" i="4"/>
  <c r="AM150" i="4"/>
  <c r="AC150" i="4"/>
  <c r="N151" i="4"/>
  <c r="N49" i="19" s="1"/>
  <c r="D151" i="4"/>
  <c r="D49" i="19" s="1"/>
  <c r="BL149" i="4"/>
  <c r="BB149" i="4"/>
  <c r="AM149" i="4"/>
  <c r="AC149" i="4"/>
  <c r="N149" i="4"/>
  <c r="N47" i="19" s="1"/>
  <c r="D149" i="4"/>
  <c r="D47" i="19" s="1"/>
  <c r="BL148" i="4"/>
  <c r="BB148" i="4"/>
  <c r="AM148" i="4"/>
  <c r="AC148" i="4"/>
  <c r="N148" i="4"/>
  <c r="N45" i="19" s="1"/>
  <c r="D148" i="4"/>
  <c r="D45" i="19" s="1"/>
  <c r="BL147" i="4"/>
  <c r="BB147" i="4"/>
  <c r="AM147" i="4"/>
  <c r="AC147" i="4"/>
  <c r="N147" i="4"/>
  <c r="N46" i="19" s="1"/>
  <c r="D147" i="4"/>
  <c r="D46" i="19" s="1"/>
  <c r="BL146" i="4"/>
  <c r="BB146" i="4"/>
  <c r="AM146" i="4"/>
  <c r="AC146" i="4"/>
  <c r="N146" i="4"/>
  <c r="N44" i="19" s="1"/>
  <c r="D146" i="4"/>
  <c r="D44" i="19" s="1"/>
  <c r="BL145" i="4"/>
  <c r="BB145" i="4"/>
  <c r="AM145" i="4"/>
  <c r="AC145" i="4"/>
  <c r="N145" i="4"/>
  <c r="N43" i="19" s="1"/>
  <c r="D145" i="4"/>
  <c r="D43" i="19" s="1"/>
  <c r="BT142" i="4"/>
  <c r="BO142" i="4"/>
  <c r="BN142" i="4"/>
  <c r="BM142" i="4"/>
  <c r="BL142" i="4"/>
  <c r="BK142" i="4"/>
  <c r="BJ142" i="4"/>
  <c r="BI142" i="4"/>
  <c r="BH142" i="4"/>
  <c r="BG142" i="4"/>
  <c r="AX7" i="3" s="1"/>
  <c r="AX54" i="3" s="1"/>
  <c r="BF142" i="4"/>
  <c r="AU142" i="4"/>
  <c r="AP142" i="4"/>
  <c r="AO142" i="4"/>
  <c r="AN142" i="4"/>
  <c r="AM142" i="4"/>
  <c r="AL142" i="4"/>
  <c r="AK142" i="4"/>
  <c r="AJ142" i="4"/>
  <c r="AI142" i="4"/>
  <c r="AH142" i="4"/>
  <c r="AG142" i="4"/>
  <c r="V142" i="4"/>
  <c r="Q142" i="4"/>
  <c r="P142" i="4"/>
  <c r="O142" i="4"/>
  <c r="N142" i="4"/>
  <c r="M142" i="4"/>
  <c r="L142" i="4"/>
  <c r="K142" i="4"/>
  <c r="J142" i="4"/>
  <c r="I142" i="4"/>
  <c r="F8" i="3" s="1"/>
  <c r="H142" i="4"/>
  <c r="BR137" i="4"/>
  <c r="BD137" i="4"/>
  <c r="BC137" i="4"/>
  <c r="BB137" i="4"/>
  <c r="AS141" i="4"/>
  <c r="AE141" i="4"/>
  <c r="AD141" i="4"/>
  <c r="AC141" i="4"/>
  <c r="T141" i="4"/>
  <c r="T71" i="17" s="1"/>
  <c r="F141" i="4"/>
  <c r="F71" i="17" s="1"/>
  <c r="E141" i="4"/>
  <c r="E71" i="17" s="1"/>
  <c r="D141" i="4"/>
  <c r="D71" i="17" s="1"/>
  <c r="BR140" i="4"/>
  <c r="BD140" i="4"/>
  <c r="BC140" i="4"/>
  <c r="BB140" i="4"/>
  <c r="AS139" i="4"/>
  <c r="AE139" i="4"/>
  <c r="AD139" i="4"/>
  <c r="AC139" i="4"/>
  <c r="T140" i="4"/>
  <c r="T72" i="17" s="1"/>
  <c r="F140" i="4"/>
  <c r="F72" i="17" s="1"/>
  <c r="E140" i="4"/>
  <c r="D140" i="4"/>
  <c r="D72" i="17" s="1"/>
  <c r="BR139" i="4"/>
  <c r="BD139" i="4"/>
  <c r="BC139" i="4"/>
  <c r="BB139" i="4"/>
  <c r="AS137" i="4"/>
  <c r="AE137" i="4"/>
  <c r="AD137" i="4"/>
  <c r="AC137" i="4"/>
  <c r="T139" i="4"/>
  <c r="T70" i="17" s="1"/>
  <c r="F139" i="4"/>
  <c r="F70" i="17" s="1"/>
  <c r="E139" i="4"/>
  <c r="E70" i="17" s="1"/>
  <c r="D139" i="4"/>
  <c r="D70" i="17" s="1"/>
  <c r="BR138" i="4"/>
  <c r="BD138" i="4"/>
  <c r="BC138" i="4"/>
  <c r="BB138" i="4"/>
  <c r="AS138" i="4"/>
  <c r="AE138" i="4"/>
  <c r="AD138" i="4"/>
  <c r="AC138" i="4"/>
  <c r="T138" i="4"/>
  <c r="T69" i="17" s="1"/>
  <c r="F138" i="4"/>
  <c r="F69" i="17" s="1"/>
  <c r="E138" i="4"/>
  <c r="E69" i="17" s="1"/>
  <c r="D138" i="4"/>
  <c r="D69" i="17" s="1"/>
  <c r="BR129" i="4"/>
  <c r="BD129" i="4"/>
  <c r="BC129" i="4"/>
  <c r="BB129" i="4"/>
  <c r="AS140" i="4"/>
  <c r="AE140" i="4"/>
  <c r="AD140" i="4"/>
  <c r="AC140" i="4"/>
  <c r="T137" i="4"/>
  <c r="T68" i="17" s="1"/>
  <c r="F137" i="4"/>
  <c r="F68" i="17" s="1"/>
  <c r="E137" i="4"/>
  <c r="E68" i="17" s="1"/>
  <c r="D137" i="4"/>
  <c r="D68" i="17" s="1"/>
  <c r="BR141" i="4"/>
  <c r="BD141" i="4"/>
  <c r="BC141" i="4"/>
  <c r="BB141" i="4"/>
  <c r="AS130" i="4"/>
  <c r="AE130" i="4"/>
  <c r="AD130" i="4"/>
  <c r="AC130" i="4"/>
  <c r="T130" i="4"/>
  <c r="T61" i="17" s="1"/>
  <c r="F130" i="4"/>
  <c r="F61" i="17" s="1"/>
  <c r="E130" i="4"/>
  <c r="E61" i="17" s="1"/>
  <c r="D130" i="4"/>
  <c r="D61" i="17" s="1"/>
  <c r="BR134" i="4"/>
  <c r="BD134" i="4"/>
  <c r="BC134" i="4"/>
  <c r="BB134" i="4"/>
  <c r="AS128" i="4"/>
  <c r="AE128" i="4"/>
  <c r="AD128" i="4"/>
  <c r="AC128" i="4"/>
  <c r="T129" i="4"/>
  <c r="T60" i="17" s="1"/>
  <c r="F129" i="4"/>
  <c r="F60" i="17" s="1"/>
  <c r="E129" i="4"/>
  <c r="E60" i="17" s="1"/>
  <c r="D129" i="4"/>
  <c r="D60" i="17" s="1"/>
  <c r="BR131" i="4"/>
  <c r="BD131" i="4"/>
  <c r="BC131" i="4"/>
  <c r="BB131" i="4"/>
  <c r="AS129" i="4"/>
  <c r="AE129" i="4"/>
  <c r="AD129" i="4"/>
  <c r="AC129" i="4"/>
  <c r="T132" i="4"/>
  <c r="T63" i="17" s="1"/>
  <c r="F132" i="4"/>
  <c r="F63" i="17" s="1"/>
  <c r="E132" i="4"/>
  <c r="E63" i="17" s="1"/>
  <c r="D132" i="4"/>
  <c r="D63" i="17" s="1"/>
  <c r="BR132" i="4"/>
  <c r="BD132" i="4"/>
  <c r="BC132" i="4"/>
  <c r="BB132" i="4"/>
  <c r="AS134" i="4"/>
  <c r="AE134" i="4"/>
  <c r="AD134" i="4"/>
  <c r="AC134" i="4"/>
  <c r="T136" i="4"/>
  <c r="T67" i="17" s="1"/>
  <c r="F136" i="4"/>
  <c r="F67" i="17" s="1"/>
  <c r="E136" i="4"/>
  <c r="E67" i="17" s="1"/>
  <c r="D136" i="4"/>
  <c r="D67" i="17" s="1"/>
  <c r="BR128" i="4"/>
  <c r="BD128" i="4"/>
  <c r="BC128" i="4"/>
  <c r="BB128" i="4"/>
  <c r="AS135" i="4"/>
  <c r="AE135" i="4"/>
  <c r="AD135" i="4"/>
  <c r="AC135" i="4"/>
  <c r="T134" i="4"/>
  <c r="T65" i="17" s="1"/>
  <c r="F134" i="4"/>
  <c r="F65" i="17" s="1"/>
  <c r="E134" i="4"/>
  <c r="E65" i="17" s="1"/>
  <c r="D134" i="4"/>
  <c r="D65" i="17" s="1"/>
  <c r="BR135" i="4"/>
  <c r="BD135" i="4"/>
  <c r="BC135" i="4"/>
  <c r="BB135" i="4"/>
  <c r="AS136" i="4"/>
  <c r="AE136" i="4"/>
  <c r="AD136" i="4"/>
  <c r="AC136" i="4"/>
  <c r="T128" i="4"/>
  <c r="T59" i="17" s="1"/>
  <c r="F128" i="4"/>
  <c r="F59" i="17" s="1"/>
  <c r="E128" i="4"/>
  <c r="D128" i="4"/>
  <c r="D59" i="17" s="1"/>
  <c r="BR130" i="4"/>
  <c r="BD130" i="4"/>
  <c r="BC130" i="4"/>
  <c r="BB130" i="4"/>
  <c r="AS132" i="4"/>
  <c r="AE132" i="4"/>
  <c r="AD132" i="4"/>
  <c r="AC132" i="4"/>
  <c r="T131" i="4"/>
  <c r="T62" i="17" s="1"/>
  <c r="F131" i="4"/>
  <c r="E131" i="4"/>
  <c r="E62" i="17" s="1"/>
  <c r="D131" i="4"/>
  <c r="D62" i="17" s="1"/>
  <c r="BR133" i="4"/>
  <c r="BD133" i="4"/>
  <c r="BC133" i="4"/>
  <c r="BB133" i="4"/>
  <c r="AS131" i="4"/>
  <c r="AE131" i="4"/>
  <c r="AD131" i="4"/>
  <c r="AC131" i="4"/>
  <c r="T135" i="4"/>
  <c r="T66" i="17" s="1"/>
  <c r="F135" i="4"/>
  <c r="F66" i="17" s="1"/>
  <c r="E135" i="4"/>
  <c r="E66" i="17" s="1"/>
  <c r="D135" i="4"/>
  <c r="D66" i="17" s="1"/>
  <c r="BR136" i="4"/>
  <c r="BD136" i="4"/>
  <c r="BC136" i="4"/>
  <c r="BB136" i="4"/>
  <c r="AS133" i="4"/>
  <c r="AE133" i="4"/>
  <c r="AD133" i="4"/>
  <c r="AC133" i="4"/>
  <c r="T133" i="4"/>
  <c r="T64" i="17" s="1"/>
  <c r="F133" i="4"/>
  <c r="F64" i="17" s="1"/>
  <c r="E133" i="4"/>
  <c r="D133" i="4"/>
  <c r="D64" i="17" s="1"/>
  <c r="BP124" i="4"/>
  <c r="BO124" i="4"/>
  <c r="BN124" i="4"/>
  <c r="BM124" i="4"/>
  <c r="BK124" i="4"/>
  <c r="BJ124" i="4"/>
  <c r="BI124" i="4"/>
  <c r="BH124" i="4"/>
  <c r="AY8" i="3" s="1"/>
  <c r="AY57" i="3" s="1"/>
  <c r="BG124" i="4"/>
  <c r="BF124" i="4"/>
  <c r="BD124" i="4"/>
  <c r="AV8" i="3" s="1"/>
  <c r="BG43" i="3" s="1"/>
  <c r="BC124" i="4"/>
  <c r="AU8" i="3" s="1"/>
  <c r="AU57" i="3" s="1"/>
  <c r="AQ124" i="4"/>
  <c r="AP124" i="4"/>
  <c r="AO124" i="4"/>
  <c r="AN124" i="4"/>
  <c r="AL124" i="4"/>
  <c r="AK124" i="4"/>
  <c r="AJ124" i="4"/>
  <c r="AI124" i="4"/>
  <c r="AH124" i="4"/>
  <c r="AG124" i="4"/>
  <c r="AE124" i="4"/>
  <c r="AD124" i="4"/>
  <c r="R124" i="4"/>
  <c r="Q124" i="4"/>
  <c r="P124" i="4"/>
  <c r="O124" i="4"/>
  <c r="M124" i="4"/>
  <c r="L124" i="4"/>
  <c r="K124" i="4"/>
  <c r="J124" i="4"/>
  <c r="G6" i="3" s="1"/>
  <c r="I124" i="4"/>
  <c r="H124" i="4"/>
  <c r="F124" i="4"/>
  <c r="D6" i="3" s="1"/>
  <c r="E124" i="4"/>
  <c r="C39" i="3" s="1"/>
  <c r="BL123" i="4"/>
  <c r="BB123" i="4"/>
  <c r="AM123" i="4"/>
  <c r="AC123" i="4"/>
  <c r="N123" i="4"/>
  <c r="N42" i="19" s="1"/>
  <c r="D123" i="4"/>
  <c r="D42" i="19" s="1"/>
  <c r="BL120" i="4"/>
  <c r="BB120" i="4"/>
  <c r="AM122" i="4"/>
  <c r="AC122" i="4"/>
  <c r="N122" i="4"/>
  <c r="N41" i="19" s="1"/>
  <c r="D122" i="4"/>
  <c r="D41" i="19" s="1"/>
  <c r="BL121" i="4"/>
  <c r="BB121" i="4"/>
  <c r="AM119" i="4"/>
  <c r="AC119" i="4"/>
  <c r="N121" i="4"/>
  <c r="N40" i="19" s="1"/>
  <c r="D121" i="4"/>
  <c r="D40" i="19" s="1"/>
  <c r="BL122" i="4"/>
  <c r="BB122" i="4"/>
  <c r="AM121" i="4"/>
  <c r="AC121" i="4"/>
  <c r="N120" i="4"/>
  <c r="N39" i="19" s="1"/>
  <c r="D120" i="4"/>
  <c r="D39" i="19" s="1"/>
  <c r="BL119" i="4"/>
  <c r="BB119" i="4"/>
  <c r="AM120" i="4"/>
  <c r="AC120" i="4"/>
  <c r="N119" i="4"/>
  <c r="N38" i="19" s="1"/>
  <c r="D119" i="4"/>
  <c r="D38" i="19" s="1"/>
  <c r="BL118" i="4"/>
  <c r="BB118" i="4"/>
  <c r="AM118" i="4"/>
  <c r="AC118" i="4"/>
  <c r="N118" i="4"/>
  <c r="N37" i="19" s="1"/>
  <c r="D118" i="4"/>
  <c r="D37" i="19" s="1"/>
  <c r="BL117" i="4"/>
  <c r="BB117" i="4"/>
  <c r="AM117" i="4"/>
  <c r="AC117" i="4"/>
  <c r="N117" i="4"/>
  <c r="N36" i="19" s="1"/>
  <c r="D117" i="4"/>
  <c r="D36" i="19" s="1"/>
  <c r="BL116" i="4"/>
  <c r="BB116" i="4"/>
  <c r="AM116" i="4"/>
  <c r="AC116" i="4"/>
  <c r="N116" i="4"/>
  <c r="N35" i="19" s="1"/>
  <c r="D116" i="4"/>
  <c r="D35" i="19" s="1"/>
  <c r="BL115" i="4"/>
  <c r="BB115" i="4"/>
  <c r="AM115" i="4"/>
  <c r="AC115" i="4"/>
  <c r="N115" i="4"/>
  <c r="N34" i="19" s="1"/>
  <c r="D115" i="4"/>
  <c r="D34" i="19" s="1"/>
  <c r="BL114" i="4"/>
  <c r="BB114" i="4"/>
  <c r="AM114" i="4"/>
  <c r="AC114" i="4"/>
  <c r="N114" i="4"/>
  <c r="N33" i="19" s="1"/>
  <c r="D114" i="4"/>
  <c r="D33" i="19" s="1"/>
  <c r="BT111" i="4"/>
  <c r="BO111" i="4"/>
  <c r="BN111" i="4"/>
  <c r="BM111" i="4"/>
  <c r="BL111" i="4"/>
  <c r="BK111" i="4"/>
  <c r="BI111" i="4"/>
  <c r="BH111" i="4"/>
  <c r="BG111" i="4"/>
  <c r="AX8" i="3" s="1"/>
  <c r="AX57" i="3" s="1"/>
  <c r="BF111" i="4"/>
  <c r="AU111" i="4"/>
  <c r="AP111" i="4"/>
  <c r="AO111" i="4"/>
  <c r="AN111" i="4"/>
  <c r="AM111" i="4"/>
  <c r="AL111" i="4"/>
  <c r="AK111" i="4"/>
  <c r="AJ111" i="4"/>
  <c r="AI111" i="4"/>
  <c r="AH111" i="4"/>
  <c r="AG111" i="4"/>
  <c r="V111" i="4"/>
  <c r="Q111" i="4"/>
  <c r="P111" i="4"/>
  <c r="O111" i="4"/>
  <c r="N111" i="4"/>
  <c r="M111" i="4"/>
  <c r="L111" i="4"/>
  <c r="K111" i="4"/>
  <c r="J111" i="4"/>
  <c r="I111" i="4"/>
  <c r="F6" i="3" s="1"/>
  <c r="H111" i="4"/>
  <c r="BR110" i="4"/>
  <c r="BD110" i="4"/>
  <c r="BC110" i="4"/>
  <c r="BB110" i="4"/>
  <c r="AS110" i="4"/>
  <c r="AE110" i="4"/>
  <c r="AD110" i="4"/>
  <c r="AC110" i="4"/>
  <c r="T106" i="4"/>
  <c r="T54" i="17" s="1"/>
  <c r="F106" i="4"/>
  <c r="F54" i="17" s="1"/>
  <c r="E106" i="4"/>
  <c r="D106" i="4"/>
  <c r="D54" i="17" s="1"/>
  <c r="BR107" i="4"/>
  <c r="BD107" i="4"/>
  <c r="BC107" i="4"/>
  <c r="BB107" i="4"/>
  <c r="AS109" i="4"/>
  <c r="AE109" i="4"/>
  <c r="AD109" i="4"/>
  <c r="AC109" i="4"/>
  <c r="T108" i="4"/>
  <c r="T56" i="17" s="1"/>
  <c r="F108" i="4"/>
  <c r="E108" i="4"/>
  <c r="E56" i="17" s="1"/>
  <c r="D108" i="4"/>
  <c r="D56" i="17" s="1"/>
  <c r="BJ100" i="4"/>
  <c r="BR100" i="4" s="1"/>
  <c r="BC100" i="4"/>
  <c r="BB100" i="4"/>
  <c r="AS107" i="4"/>
  <c r="AE107" i="4"/>
  <c r="AD107" i="4"/>
  <c r="AC107" i="4"/>
  <c r="T110" i="4"/>
  <c r="T58" i="17" s="1"/>
  <c r="F110" i="4"/>
  <c r="F58" i="17" s="1"/>
  <c r="E110" i="4"/>
  <c r="E58" i="17" s="1"/>
  <c r="D110" i="4"/>
  <c r="D58" i="17" s="1"/>
  <c r="BR109" i="4"/>
  <c r="BD109" i="4"/>
  <c r="BC109" i="4"/>
  <c r="BB109" i="4"/>
  <c r="AS106" i="4"/>
  <c r="AE106" i="4"/>
  <c r="AD106" i="4"/>
  <c r="AC106" i="4"/>
  <c r="T107" i="4"/>
  <c r="T55" i="17" s="1"/>
  <c r="F107" i="4"/>
  <c r="F55" i="17" s="1"/>
  <c r="E107" i="4"/>
  <c r="E55" i="17" s="1"/>
  <c r="D107" i="4"/>
  <c r="D55" i="17" s="1"/>
  <c r="BJ106" i="4"/>
  <c r="BC106" i="4"/>
  <c r="BB106" i="4"/>
  <c r="AS108" i="4"/>
  <c r="AE108" i="4"/>
  <c r="AD108" i="4"/>
  <c r="AC108" i="4"/>
  <c r="T109" i="4"/>
  <c r="T57" i="17" s="1"/>
  <c r="F109" i="4"/>
  <c r="F57" i="17" s="1"/>
  <c r="E109" i="4"/>
  <c r="D109" i="4"/>
  <c r="D57" i="17" s="1"/>
  <c r="BJ98" i="4"/>
  <c r="BD98" i="4" s="1"/>
  <c r="BC98" i="4"/>
  <c r="BB98" i="4"/>
  <c r="AS100" i="4"/>
  <c r="AE100" i="4"/>
  <c r="AD100" i="4"/>
  <c r="AC100" i="4"/>
  <c r="T105" i="4"/>
  <c r="T53" i="17" s="1"/>
  <c r="F105" i="4"/>
  <c r="F53" i="17" s="1"/>
  <c r="E105" i="4"/>
  <c r="E53" i="17" s="1"/>
  <c r="D105" i="4"/>
  <c r="D53" i="17" s="1"/>
  <c r="BR102" i="4"/>
  <c r="BD102" i="4"/>
  <c r="BC102" i="4"/>
  <c r="BB102" i="4"/>
  <c r="AS103" i="4"/>
  <c r="AE103" i="4"/>
  <c r="AD103" i="4"/>
  <c r="AC103" i="4"/>
  <c r="T100" i="4"/>
  <c r="T48" i="17" s="1"/>
  <c r="F100" i="4"/>
  <c r="F48" i="17" s="1"/>
  <c r="E100" i="4"/>
  <c r="E48" i="17" s="1"/>
  <c r="D100" i="4"/>
  <c r="D48" i="17" s="1"/>
  <c r="BJ108" i="4"/>
  <c r="BR108" i="4" s="1"/>
  <c r="BC108" i="4"/>
  <c r="BB108" i="4"/>
  <c r="AS97" i="4"/>
  <c r="AE97" i="4"/>
  <c r="AD97" i="4"/>
  <c r="AC97" i="4"/>
  <c r="T103" i="4"/>
  <c r="T51" i="17" s="1"/>
  <c r="F103" i="4"/>
  <c r="F51" i="17" s="1"/>
  <c r="E103" i="4"/>
  <c r="E51" i="17" s="1"/>
  <c r="D103" i="4"/>
  <c r="D51" i="17" s="1"/>
  <c r="BR99" i="4"/>
  <c r="BD99" i="4"/>
  <c r="BC99" i="4"/>
  <c r="BB99" i="4"/>
  <c r="AS98" i="4"/>
  <c r="AE98" i="4"/>
  <c r="AD98" i="4"/>
  <c r="AC98" i="4"/>
  <c r="T98" i="4"/>
  <c r="T46" i="17" s="1"/>
  <c r="F98" i="4"/>
  <c r="F46" i="17" s="1"/>
  <c r="E98" i="4"/>
  <c r="E46" i="17" s="1"/>
  <c r="D98" i="4"/>
  <c r="D46" i="17" s="1"/>
  <c r="BJ97" i="4"/>
  <c r="BD97" i="4" s="1"/>
  <c r="BC97" i="4"/>
  <c r="BB97" i="4"/>
  <c r="AS105" i="4"/>
  <c r="AE105" i="4"/>
  <c r="AD105" i="4"/>
  <c r="AC105" i="4"/>
  <c r="T97" i="4"/>
  <c r="T45" i="17" s="1"/>
  <c r="F97" i="4"/>
  <c r="F45" i="17" s="1"/>
  <c r="E97" i="4"/>
  <c r="D97" i="4"/>
  <c r="D45" i="17" s="1"/>
  <c r="BR101" i="4"/>
  <c r="BD101" i="4"/>
  <c r="BC101" i="4"/>
  <c r="BB101" i="4"/>
  <c r="AS102" i="4"/>
  <c r="AE102" i="4"/>
  <c r="AD102" i="4"/>
  <c r="AC102" i="4"/>
  <c r="T102" i="4"/>
  <c r="T50" i="17" s="1"/>
  <c r="F102" i="4"/>
  <c r="E102" i="4"/>
  <c r="E50" i="17" s="1"/>
  <c r="D102" i="4"/>
  <c r="D50" i="17" s="1"/>
  <c r="BR103" i="4"/>
  <c r="BD103" i="4"/>
  <c r="BC103" i="4"/>
  <c r="BB103" i="4"/>
  <c r="AS99" i="4"/>
  <c r="AE99" i="4"/>
  <c r="AD99" i="4"/>
  <c r="AC99" i="4"/>
  <c r="T99" i="4"/>
  <c r="T47" i="17" s="1"/>
  <c r="F99" i="4"/>
  <c r="F47" i="17" s="1"/>
  <c r="E99" i="4"/>
  <c r="E47" i="17" s="1"/>
  <c r="D99" i="4"/>
  <c r="D47" i="17" s="1"/>
  <c r="BR104" i="4"/>
  <c r="BD104" i="4"/>
  <c r="BC104" i="4"/>
  <c r="BB104" i="4"/>
  <c r="AS101" i="4"/>
  <c r="AE101" i="4"/>
  <c r="AD101" i="4"/>
  <c r="AC101" i="4"/>
  <c r="T104" i="4"/>
  <c r="T52" i="17" s="1"/>
  <c r="F104" i="4"/>
  <c r="F52" i="17" s="1"/>
  <c r="E104" i="4"/>
  <c r="E52" i="17" s="1"/>
  <c r="D104" i="4"/>
  <c r="D52" i="17" s="1"/>
  <c r="BR105" i="4"/>
  <c r="BD105" i="4"/>
  <c r="BC105" i="4"/>
  <c r="BB105" i="4"/>
  <c r="AS104" i="4"/>
  <c r="AE104" i="4"/>
  <c r="AD104" i="4"/>
  <c r="AC104" i="4"/>
  <c r="T101" i="4"/>
  <c r="T49" i="17" s="1"/>
  <c r="F101" i="4"/>
  <c r="F49" i="17" s="1"/>
  <c r="E101" i="4"/>
  <c r="E49" i="17" s="1"/>
  <c r="D101" i="4"/>
  <c r="D49" i="17" s="1"/>
  <c r="BP93" i="4"/>
  <c r="BO93" i="4"/>
  <c r="BN93" i="4"/>
  <c r="BM93" i="4"/>
  <c r="BK93" i="4"/>
  <c r="BJ93" i="4"/>
  <c r="BI93" i="4"/>
  <c r="BH93" i="4"/>
  <c r="AY6" i="3" s="1"/>
  <c r="AY51" i="3" s="1"/>
  <c r="BG93" i="4"/>
  <c r="BF93" i="4"/>
  <c r="BD93" i="4"/>
  <c r="AV6" i="3" s="1"/>
  <c r="AV51" i="3" s="1"/>
  <c r="BC93" i="4"/>
  <c r="AU6" i="3" s="1"/>
  <c r="AU51" i="3" s="1"/>
  <c r="AQ93" i="4"/>
  <c r="AP93" i="4"/>
  <c r="AO93" i="4"/>
  <c r="AN93" i="4"/>
  <c r="AL93" i="4"/>
  <c r="AK93" i="4"/>
  <c r="AJ93" i="4"/>
  <c r="AI93" i="4"/>
  <c r="AH93" i="4"/>
  <c r="AG93" i="4"/>
  <c r="AE93" i="4"/>
  <c r="AD93" i="4"/>
  <c r="R93" i="4"/>
  <c r="Q93" i="4"/>
  <c r="P93" i="4"/>
  <c r="O93" i="4"/>
  <c r="M93" i="4"/>
  <c r="L93" i="4"/>
  <c r="K93" i="4"/>
  <c r="J93" i="4"/>
  <c r="G53" i="3" s="1"/>
  <c r="I93" i="4"/>
  <c r="H93" i="4"/>
  <c r="F93" i="4"/>
  <c r="D7" i="3" s="1"/>
  <c r="E93" i="4"/>
  <c r="C53" i="3" s="1"/>
  <c r="BL92" i="4"/>
  <c r="BB92" i="4"/>
  <c r="AM92" i="4"/>
  <c r="AC92" i="4"/>
  <c r="N92" i="4"/>
  <c r="N32" i="19" s="1"/>
  <c r="D92" i="4"/>
  <c r="D32" i="19" s="1"/>
  <c r="BL89" i="4"/>
  <c r="BB89" i="4"/>
  <c r="AM91" i="4"/>
  <c r="AC91" i="4"/>
  <c r="N91" i="4"/>
  <c r="N31" i="19" s="1"/>
  <c r="D91" i="4"/>
  <c r="D31" i="19" s="1"/>
  <c r="BL91" i="4"/>
  <c r="BB91" i="4"/>
  <c r="AM90" i="4"/>
  <c r="AC90" i="4"/>
  <c r="N90" i="4"/>
  <c r="N30" i="19" s="1"/>
  <c r="D90" i="4"/>
  <c r="D30" i="19" s="1"/>
  <c r="BL90" i="4"/>
  <c r="BB90" i="4"/>
  <c r="AM89" i="4"/>
  <c r="AC89" i="4"/>
  <c r="N88" i="4"/>
  <c r="N28" i="19" s="1"/>
  <c r="D88" i="4"/>
  <c r="D28" i="19" s="1"/>
  <c r="BL88" i="4"/>
  <c r="BB88" i="4"/>
  <c r="AM88" i="4"/>
  <c r="AC88" i="4"/>
  <c r="N89" i="4"/>
  <c r="N29" i="19" s="1"/>
  <c r="D89" i="4"/>
  <c r="D29" i="19" s="1"/>
  <c r="BL87" i="4"/>
  <c r="BB87" i="4"/>
  <c r="AM87" i="4"/>
  <c r="AC87" i="4"/>
  <c r="N87" i="4"/>
  <c r="N27" i="19" s="1"/>
  <c r="D87" i="4"/>
  <c r="D27" i="19" s="1"/>
  <c r="BL86" i="4"/>
  <c r="BB86" i="4"/>
  <c r="AM86" i="4"/>
  <c r="AC86" i="4"/>
  <c r="N86" i="4"/>
  <c r="N26" i="19" s="1"/>
  <c r="D86" i="4"/>
  <c r="D26" i="19" s="1"/>
  <c r="BL85" i="4"/>
  <c r="BB85" i="4"/>
  <c r="AM85" i="4"/>
  <c r="AC85" i="4"/>
  <c r="N85" i="4"/>
  <c r="N25" i="19" s="1"/>
  <c r="D85" i="4"/>
  <c r="D25" i="19" s="1"/>
  <c r="BL84" i="4"/>
  <c r="BB84" i="4"/>
  <c r="AM84" i="4"/>
  <c r="AC84" i="4"/>
  <c r="N84" i="4"/>
  <c r="N24" i="19" s="1"/>
  <c r="D84" i="4"/>
  <c r="D24" i="19" s="1"/>
  <c r="BL83" i="4"/>
  <c r="BB83" i="4"/>
  <c r="AM83" i="4"/>
  <c r="AC83" i="4"/>
  <c r="N83" i="4"/>
  <c r="N23" i="19" s="1"/>
  <c r="D83" i="4"/>
  <c r="D23" i="19" s="1"/>
  <c r="BT80" i="4"/>
  <c r="BO80" i="4"/>
  <c r="BN80" i="4"/>
  <c r="BM80" i="4"/>
  <c r="BL80" i="4"/>
  <c r="BK80" i="4"/>
  <c r="BJ80" i="4"/>
  <c r="BI80" i="4"/>
  <c r="BH80" i="4"/>
  <c r="BG80" i="4"/>
  <c r="AX6" i="3" s="1"/>
  <c r="AX51" i="3" s="1"/>
  <c r="BF80" i="4"/>
  <c r="AU80" i="4"/>
  <c r="AP80" i="4"/>
  <c r="AO80" i="4"/>
  <c r="AN80" i="4"/>
  <c r="AM80" i="4"/>
  <c r="AL80" i="4"/>
  <c r="AK80" i="4"/>
  <c r="AJ80" i="4"/>
  <c r="AI80" i="4"/>
  <c r="AH80" i="4"/>
  <c r="AG80" i="4"/>
  <c r="V80" i="4"/>
  <c r="Q80" i="4"/>
  <c r="P80" i="4"/>
  <c r="O80" i="4"/>
  <c r="N80" i="4"/>
  <c r="M80" i="4"/>
  <c r="L80" i="4"/>
  <c r="K80" i="4"/>
  <c r="J80" i="4"/>
  <c r="I80" i="4"/>
  <c r="F53" i="3" s="1"/>
  <c r="H80" i="4"/>
  <c r="BR78" i="4"/>
  <c r="BD78" i="4"/>
  <c r="BC78" i="4"/>
  <c r="BB78" i="4"/>
  <c r="AS77" i="4"/>
  <c r="AE77" i="4"/>
  <c r="AD77" i="4"/>
  <c r="AC77" i="4"/>
  <c r="T77" i="4"/>
  <c r="T42" i="17" s="1"/>
  <c r="F77" i="4"/>
  <c r="F42" i="17" s="1"/>
  <c r="E77" i="4"/>
  <c r="E42" i="17" s="1"/>
  <c r="D77" i="4"/>
  <c r="D42" i="17" s="1"/>
  <c r="BR77" i="4"/>
  <c r="BD77" i="4"/>
  <c r="BC77" i="4"/>
  <c r="BB77" i="4"/>
  <c r="AS76" i="4"/>
  <c r="AE76" i="4"/>
  <c r="AD76" i="4"/>
  <c r="AC76" i="4"/>
  <c r="T75" i="4"/>
  <c r="T40" i="17" s="1"/>
  <c r="F75" i="4"/>
  <c r="F40" i="17" s="1"/>
  <c r="E75" i="4"/>
  <c r="E40" i="17" s="1"/>
  <c r="D75" i="4"/>
  <c r="D40" i="17" s="1"/>
  <c r="BR79" i="4"/>
  <c r="BD79" i="4"/>
  <c r="BC79" i="4"/>
  <c r="BB79" i="4"/>
  <c r="AS79" i="4"/>
  <c r="AE79" i="4"/>
  <c r="AD79" i="4"/>
  <c r="AC79" i="4"/>
  <c r="T76" i="4"/>
  <c r="T41" i="17" s="1"/>
  <c r="F76" i="4"/>
  <c r="F41" i="17" s="1"/>
  <c r="E76" i="4"/>
  <c r="E41" i="17" s="1"/>
  <c r="D76" i="4"/>
  <c r="D41" i="17" s="1"/>
  <c r="BR75" i="4"/>
  <c r="BD75" i="4"/>
  <c r="BC75" i="4"/>
  <c r="BB75" i="4"/>
  <c r="AS78" i="4"/>
  <c r="AE78" i="4"/>
  <c r="AD78" i="4"/>
  <c r="AC78" i="4"/>
  <c r="T79" i="4"/>
  <c r="T44" i="17" s="1"/>
  <c r="F79" i="4"/>
  <c r="F44" i="17" s="1"/>
  <c r="E79" i="4"/>
  <c r="E44" i="17" s="1"/>
  <c r="D79" i="4"/>
  <c r="D44" i="17" s="1"/>
  <c r="BR76" i="4"/>
  <c r="BD76" i="4"/>
  <c r="BC76" i="4"/>
  <c r="BB76" i="4"/>
  <c r="AS75" i="4"/>
  <c r="AE75" i="4"/>
  <c r="AD75" i="4"/>
  <c r="AC75" i="4"/>
  <c r="T78" i="4"/>
  <c r="T43" i="17" s="1"/>
  <c r="F78" i="4"/>
  <c r="F43" i="17" s="1"/>
  <c r="E78" i="4"/>
  <c r="E43" i="17" s="1"/>
  <c r="D78" i="4"/>
  <c r="D43" i="17" s="1"/>
  <c r="BR66" i="4"/>
  <c r="BD66" i="4"/>
  <c r="BC66" i="4"/>
  <c r="BB66" i="4"/>
  <c r="AS66" i="4"/>
  <c r="AE66" i="4"/>
  <c r="AD66" i="4"/>
  <c r="AC66" i="4"/>
  <c r="T72" i="4"/>
  <c r="T37" i="17" s="1"/>
  <c r="F72" i="4"/>
  <c r="F37" i="17" s="1"/>
  <c r="E72" i="4"/>
  <c r="E37" i="17" s="1"/>
  <c r="D72" i="4"/>
  <c r="D37" i="17" s="1"/>
  <c r="BR68" i="4"/>
  <c r="BD68" i="4"/>
  <c r="BC68" i="4"/>
  <c r="BB68" i="4"/>
  <c r="AS67" i="4"/>
  <c r="AE67" i="4"/>
  <c r="AD67" i="4"/>
  <c r="AC67" i="4"/>
  <c r="T67" i="4"/>
  <c r="T32" i="17" s="1"/>
  <c r="F67" i="4"/>
  <c r="F32" i="17" s="1"/>
  <c r="E67" i="4"/>
  <c r="D67" i="4"/>
  <c r="D32" i="17" s="1"/>
  <c r="BR74" i="4"/>
  <c r="BD74" i="4"/>
  <c r="BC74" i="4"/>
  <c r="BB74" i="4"/>
  <c r="AS70" i="4"/>
  <c r="AE70" i="4"/>
  <c r="AD70" i="4"/>
  <c r="AC70" i="4"/>
  <c r="T71" i="4"/>
  <c r="T36" i="17" s="1"/>
  <c r="F71" i="4"/>
  <c r="F36" i="17" s="1"/>
  <c r="E71" i="4"/>
  <c r="E36" i="17" s="1"/>
  <c r="D71" i="4"/>
  <c r="D36" i="17" s="1"/>
  <c r="BR72" i="4"/>
  <c r="BD72" i="4"/>
  <c r="BC72" i="4"/>
  <c r="BB72" i="4"/>
  <c r="AS71" i="4"/>
  <c r="AE71" i="4"/>
  <c r="AD71" i="4"/>
  <c r="AC71" i="4"/>
  <c r="T66" i="4"/>
  <c r="T31" i="17" s="1"/>
  <c r="F66" i="4"/>
  <c r="F31" i="17" s="1"/>
  <c r="E66" i="4"/>
  <c r="E31" i="17" s="1"/>
  <c r="D66" i="4"/>
  <c r="D31" i="17" s="1"/>
  <c r="BR73" i="4"/>
  <c r="BD73" i="4"/>
  <c r="BC73" i="4"/>
  <c r="BB73" i="4"/>
  <c r="AS74" i="4"/>
  <c r="AE74" i="4"/>
  <c r="AD74" i="4"/>
  <c r="AC74" i="4"/>
  <c r="T70" i="4"/>
  <c r="T35" i="17" s="1"/>
  <c r="F70" i="4"/>
  <c r="F35" i="17" s="1"/>
  <c r="E70" i="4"/>
  <c r="E35" i="17" s="1"/>
  <c r="D70" i="4"/>
  <c r="D35" i="17" s="1"/>
  <c r="BR67" i="4"/>
  <c r="BD67" i="4"/>
  <c r="BC67" i="4"/>
  <c r="BB67" i="4"/>
  <c r="AS73" i="4"/>
  <c r="AE73" i="4"/>
  <c r="AD73" i="4"/>
  <c r="AC73" i="4"/>
  <c r="T74" i="4"/>
  <c r="F74" i="4"/>
  <c r="F39" i="17" s="1"/>
  <c r="E74" i="4"/>
  <c r="E39" i="17" s="1"/>
  <c r="D74" i="4"/>
  <c r="D39" i="17" s="1"/>
  <c r="BR71" i="4"/>
  <c r="BD71" i="4"/>
  <c r="BC71" i="4"/>
  <c r="BB71" i="4"/>
  <c r="AS69" i="4"/>
  <c r="AE69" i="4"/>
  <c r="AD69" i="4"/>
  <c r="AC69" i="4"/>
  <c r="T68" i="4"/>
  <c r="T33" i="17" s="1"/>
  <c r="F68" i="4"/>
  <c r="F33" i="17" s="1"/>
  <c r="E68" i="4"/>
  <c r="E33" i="17" s="1"/>
  <c r="D68" i="4"/>
  <c r="D33" i="17" s="1"/>
  <c r="BR70" i="4"/>
  <c r="BD70" i="4"/>
  <c r="BC70" i="4"/>
  <c r="BB70" i="4"/>
  <c r="AS72" i="4"/>
  <c r="AE72" i="4"/>
  <c r="AD72" i="4"/>
  <c r="AC72" i="4"/>
  <c r="T73" i="4"/>
  <c r="T38" i="17" s="1"/>
  <c r="F73" i="4"/>
  <c r="F38" i="17" s="1"/>
  <c r="E73" i="4"/>
  <c r="E38" i="17" s="1"/>
  <c r="D73" i="4"/>
  <c r="D38" i="17" s="1"/>
  <c r="BR69" i="4"/>
  <c r="BD69" i="4"/>
  <c r="BC69" i="4"/>
  <c r="BB69" i="4"/>
  <c r="AS68" i="4"/>
  <c r="AE68" i="4"/>
  <c r="AD68" i="4"/>
  <c r="AC68" i="4"/>
  <c r="T69" i="4"/>
  <c r="T34" i="17" s="1"/>
  <c r="F69" i="4"/>
  <c r="F34" i="17" s="1"/>
  <c r="E69" i="4"/>
  <c r="D69" i="4"/>
  <c r="D34" i="17" s="1"/>
  <c r="BP62" i="4"/>
  <c r="BO62" i="4"/>
  <c r="BN62" i="4"/>
  <c r="BM62" i="4"/>
  <c r="BK62" i="4"/>
  <c r="BJ62" i="4"/>
  <c r="BI62" i="4"/>
  <c r="BH62" i="4"/>
  <c r="AY4" i="3" s="1"/>
  <c r="AY31" i="3" s="1"/>
  <c r="BG62" i="4"/>
  <c r="BF62" i="4"/>
  <c r="BD62" i="4"/>
  <c r="AV4" i="3" s="1"/>
  <c r="BG31" i="3" s="1"/>
  <c r="BC62" i="4"/>
  <c r="AU4" i="3" s="1"/>
  <c r="AQ62" i="4"/>
  <c r="AP62" i="4"/>
  <c r="AO62" i="4"/>
  <c r="AN62" i="4"/>
  <c r="AL62" i="4"/>
  <c r="AK62" i="4"/>
  <c r="AJ62" i="4"/>
  <c r="AI62" i="4"/>
  <c r="AH62" i="4"/>
  <c r="AG62" i="4"/>
  <c r="AE62" i="4"/>
  <c r="AD62" i="4"/>
  <c r="R62" i="4"/>
  <c r="Q62" i="4"/>
  <c r="P62" i="4"/>
  <c r="O62" i="4"/>
  <c r="M62" i="4"/>
  <c r="L62" i="4"/>
  <c r="K62" i="4"/>
  <c r="J62" i="4"/>
  <c r="G5" i="3" s="1"/>
  <c r="I62" i="4"/>
  <c r="H62" i="4"/>
  <c r="F62" i="4"/>
  <c r="D38" i="3" s="1"/>
  <c r="E62" i="4"/>
  <c r="N36" i="3" s="1"/>
  <c r="BL61" i="4"/>
  <c r="BB61" i="4"/>
  <c r="AM61" i="4"/>
  <c r="AC61" i="4"/>
  <c r="N61" i="4"/>
  <c r="N22" i="19" s="1"/>
  <c r="D61" i="4"/>
  <c r="D22" i="19" s="1"/>
  <c r="BL60" i="4"/>
  <c r="BB60" i="4"/>
  <c r="AM60" i="4"/>
  <c r="AC60" i="4"/>
  <c r="N60" i="4"/>
  <c r="N21" i="19" s="1"/>
  <c r="D60" i="4"/>
  <c r="D21" i="19" s="1"/>
  <c r="BL59" i="4"/>
  <c r="BB59" i="4"/>
  <c r="AM58" i="4"/>
  <c r="AC58" i="4"/>
  <c r="N59" i="4"/>
  <c r="N20" i="19" s="1"/>
  <c r="D59" i="4"/>
  <c r="D20" i="19" s="1"/>
  <c r="BL57" i="4"/>
  <c r="BB57" i="4"/>
  <c r="AM59" i="4"/>
  <c r="AC59" i="4"/>
  <c r="N58" i="4"/>
  <c r="N19" i="19" s="1"/>
  <c r="D58" i="4"/>
  <c r="D19" i="19" s="1"/>
  <c r="BL58" i="4"/>
  <c r="BB58" i="4"/>
  <c r="AM57" i="4"/>
  <c r="AC57" i="4"/>
  <c r="N57" i="4"/>
  <c r="N18" i="19" s="1"/>
  <c r="D57" i="4"/>
  <c r="D18" i="19" s="1"/>
  <c r="BL56" i="4"/>
  <c r="BB56" i="4"/>
  <c r="AM56" i="4"/>
  <c r="AC56" i="4"/>
  <c r="N56" i="4"/>
  <c r="N17" i="19" s="1"/>
  <c r="D56" i="4"/>
  <c r="D17" i="19" s="1"/>
  <c r="BL55" i="4"/>
  <c r="BB55" i="4"/>
  <c r="AM54" i="4"/>
  <c r="AC54" i="4"/>
  <c r="N55" i="4"/>
  <c r="N16" i="19" s="1"/>
  <c r="D55" i="4"/>
  <c r="D16" i="19" s="1"/>
  <c r="BL54" i="4"/>
  <c r="BB54" i="4"/>
  <c r="AM55" i="4"/>
  <c r="AC55" i="4"/>
  <c r="N54" i="4"/>
  <c r="N15" i="19" s="1"/>
  <c r="D54" i="4"/>
  <c r="D15" i="19" s="1"/>
  <c r="BL53" i="4"/>
  <c r="BB53" i="4"/>
  <c r="AM53" i="4"/>
  <c r="AC53" i="4"/>
  <c r="N53" i="4"/>
  <c r="N14" i="19" s="1"/>
  <c r="D53" i="4"/>
  <c r="D14" i="19" s="1"/>
  <c r="BL52" i="4"/>
  <c r="BB52" i="4"/>
  <c r="AM52" i="4"/>
  <c r="AC52" i="4"/>
  <c r="N52" i="4"/>
  <c r="N13" i="19" s="1"/>
  <c r="D52" i="4"/>
  <c r="D13" i="19" s="1"/>
  <c r="BT49" i="4"/>
  <c r="BO49" i="4"/>
  <c r="BN49" i="4"/>
  <c r="BM49" i="4"/>
  <c r="BH49" i="4"/>
  <c r="BG49" i="4"/>
  <c r="AX4" i="3" s="1"/>
  <c r="AX31" i="3" s="1"/>
  <c r="BF49" i="4"/>
  <c r="AU49" i="4"/>
  <c r="AP49" i="4"/>
  <c r="AO49" i="4"/>
  <c r="AN49" i="4"/>
  <c r="AM49" i="4"/>
  <c r="AL49" i="4"/>
  <c r="AK49" i="4"/>
  <c r="AJ49" i="4"/>
  <c r="AI49" i="4"/>
  <c r="AH49" i="4"/>
  <c r="AG49" i="4"/>
  <c r="V49" i="4"/>
  <c r="Q49" i="4"/>
  <c r="P49" i="4"/>
  <c r="O49" i="4"/>
  <c r="N49" i="4"/>
  <c r="M49" i="4"/>
  <c r="L49" i="4"/>
  <c r="K49" i="4"/>
  <c r="J49" i="4"/>
  <c r="I49" i="4"/>
  <c r="H49" i="4"/>
  <c r="BL44" i="4"/>
  <c r="BL49" i="4" s="1"/>
  <c r="BK44" i="4"/>
  <c r="BK49" i="4" s="1"/>
  <c r="BJ44" i="4"/>
  <c r="BI44" i="4"/>
  <c r="BC44" i="4"/>
  <c r="BB44" i="4"/>
  <c r="AS45" i="4"/>
  <c r="AE45" i="4"/>
  <c r="AD45" i="4"/>
  <c r="AC45" i="4"/>
  <c r="T46" i="4"/>
  <c r="T28" i="17" s="1"/>
  <c r="F46" i="4"/>
  <c r="F28" i="17" s="1"/>
  <c r="E46" i="4"/>
  <c r="D46" i="4"/>
  <c r="D28" i="17" s="1"/>
  <c r="BR47" i="4"/>
  <c r="BD47" i="4"/>
  <c r="BC47" i="4"/>
  <c r="BB47" i="4"/>
  <c r="AS48" i="4"/>
  <c r="AE48" i="4"/>
  <c r="AD48" i="4"/>
  <c r="AC48" i="4"/>
  <c r="T48" i="4"/>
  <c r="T30" i="17" s="1"/>
  <c r="F48" i="4"/>
  <c r="F30" i="17" s="1"/>
  <c r="E48" i="4"/>
  <c r="E30" i="17" s="1"/>
  <c r="D48" i="4"/>
  <c r="D30" i="17" s="1"/>
  <c r="BR48" i="4"/>
  <c r="BD48" i="4"/>
  <c r="BC48" i="4"/>
  <c r="BB48" i="4"/>
  <c r="AS47" i="4"/>
  <c r="AE47" i="4"/>
  <c r="AD47" i="4"/>
  <c r="AC47" i="4"/>
  <c r="T44" i="4"/>
  <c r="T26" i="17" s="1"/>
  <c r="F44" i="4"/>
  <c r="F26" i="17" s="1"/>
  <c r="E44" i="4"/>
  <c r="E26" i="17" s="1"/>
  <c r="D44" i="4"/>
  <c r="D26" i="17" s="1"/>
  <c r="BR46" i="4"/>
  <c r="BD46" i="4"/>
  <c r="BC46" i="4"/>
  <c r="BB46" i="4"/>
  <c r="AS44" i="4"/>
  <c r="AE44" i="4"/>
  <c r="AD44" i="4"/>
  <c r="AC44" i="4"/>
  <c r="T45" i="4"/>
  <c r="T27" i="17" s="1"/>
  <c r="F45" i="4"/>
  <c r="F27" i="17" s="1"/>
  <c r="E45" i="4"/>
  <c r="E27" i="17" s="1"/>
  <c r="D45" i="4"/>
  <c r="D27" i="17" s="1"/>
  <c r="BR45" i="4"/>
  <c r="BD45" i="4"/>
  <c r="BC45" i="4"/>
  <c r="BB45" i="4"/>
  <c r="AS46" i="4"/>
  <c r="AE46" i="4"/>
  <c r="AD46" i="4"/>
  <c r="AC46" i="4"/>
  <c r="T47" i="4"/>
  <c r="T29" i="17" s="1"/>
  <c r="F47" i="4"/>
  <c r="F29" i="17" s="1"/>
  <c r="E47" i="4"/>
  <c r="E29" i="17" s="1"/>
  <c r="D47" i="4"/>
  <c r="D29" i="17" s="1"/>
  <c r="BJ41" i="4"/>
  <c r="BD41" i="4" s="1"/>
  <c r="BC41" i="4"/>
  <c r="BB41" i="4"/>
  <c r="AS35" i="4"/>
  <c r="AE35" i="4"/>
  <c r="AD35" i="4"/>
  <c r="AC35" i="4"/>
  <c r="T42" i="4"/>
  <c r="T24" i="17" s="1"/>
  <c r="F42" i="4"/>
  <c r="F24" i="17" s="1"/>
  <c r="E42" i="4"/>
  <c r="D42" i="4"/>
  <c r="D24" i="17" s="1"/>
  <c r="BJ35" i="4"/>
  <c r="BR35" i="4" s="1"/>
  <c r="BC35" i="4"/>
  <c r="BB35" i="4"/>
  <c r="AS39" i="4"/>
  <c r="AE39" i="4"/>
  <c r="AD39" i="4"/>
  <c r="AC39" i="4"/>
  <c r="T39" i="4"/>
  <c r="T21" i="17" s="1"/>
  <c r="F39" i="4"/>
  <c r="F21" i="17" s="1"/>
  <c r="E39" i="4"/>
  <c r="E21" i="17" s="1"/>
  <c r="D39" i="4"/>
  <c r="D21" i="17" s="1"/>
  <c r="BR39" i="4"/>
  <c r="BD39" i="4"/>
  <c r="BC39" i="4"/>
  <c r="BB39" i="4"/>
  <c r="AS38" i="4"/>
  <c r="AE38" i="4"/>
  <c r="AD38" i="4"/>
  <c r="AC38" i="4"/>
  <c r="T35" i="4"/>
  <c r="T17" i="17" s="1"/>
  <c r="F35" i="4"/>
  <c r="F17" i="17" s="1"/>
  <c r="E35" i="4"/>
  <c r="E17" i="17" s="1"/>
  <c r="D35" i="4"/>
  <c r="D17" i="17" s="1"/>
  <c r="BJ37" i="4"/>
  <c r="BD37" i="4" s="1"/>
  <c r="BC37" i="4"/>
  <c r="BB37" i="4"/>
  <c r="AS37" i="4"/>
  <c r="AE37" i="4"/>
  <c r="AD37" i="4"/>
  <c r="AC37" i="4"/>
  <c r="T37" i="4"/>
  <c r="T19" i="17" s="1"/>
  <c r="F37" i="4"/>
  <c r="F19" i="17" s="1"/>
  <c r="E37" i="4"/>
  <c r="E19" i="17" s="1"/>
  <c r="D37" i="4"/>
  <c r="D19" i="17" s="1"/>
  <c r="BJ40" i="4"/>
  <c r="BD40" i="4" s="1"/>
  <c r="BC40" i="4"/>
  <c r="BB40" i="4"/>
  <c r="AS36" i="4"/>
  <c r="AE36" i="4"/>
  <c r="AD36" i="4"/>
  <c r="AC36" i="4"/>
  <c r="T38" i="4"/>
  <c r="T20" i="17" s="1"/>
  <c r="F38" i="4"/>
  <c r="F20" i="17" s="1"/>
  <c r="E38" i="4"/>
  <c r="E20" i="17" s="1"/>
  <c r="D38" i="4"/>
  <c r="D20" i="17" s="1"/>
  <c r="BR36" i="4"/>
  <c r="BD36" i="4"/>
  <c r="BC36" i="4"/>
  <c r="BB36" i="4"/>
  <c r="AS40" i="4"/>
  <c r="AE40" i="4"/>
  <c r="AD40" i="4"/>
  <c r="AC40" i="4"/>
  <c r="T36" i="4"/>
  <c r="T18" i="17" s="1"/>
  <c r="F36" i="4"/>
  <c r="F18" i="17" s="1"/>
  <c r="E36" i="4"/>
  <c r="D36" i="4"/>
  <c r="D18" i="17" s="1"/>
  <c r="BR38" i="4"/>
  <c r="BD38" i="4"/>
  <c r="BC38" i="4"/>
  <c r="BB38" i="4"/>
  <c r="AS41" i="4"/>
  <c r="AE41" i="4"/>
  <c r="AD41" i="4"/>
  <c r="AC41" i="4"/>
  <c r="T43" i="4"/>
  <c r="T25" i="17" s="1"/>
  <c r="F43" i="4"/>
  <c r="F25" i="17" s="1"/>
  <c r="E43" i="4"/>
  <c r="E25" i="17" s="1"/>
  <c r="D43" i="4"/>
  <c r="D25" i="17" s="1"/>
  <c r="BJ43" i="4"/>
  <c r="BR43" i="4" s="1"/>
  <c r="BC43" i="4"/>
  <c r="BB43" i="4"/>
  <c r="AS43" i="4"/>
  <c r="AE43" i="4"/>
  <c r="AD43" i="4"/>
  <c r="AC43" i="4"/>
  <c r="T40" i="4"/>
  <c r="F40" i="4"/>
  <c r="F22" i="17" s="1"/>
  <c r="E40" i="4"/>
  <c r="E22" i="17" s="1"/>
  <c r="D40" i="4"/>
  <c r="D22" i="17" s="1"/>
  <c r="BJ42" i="4"/>
  <c r="BD42" i="4" s="1"/>
  <c r="BC42" i="4"/>
  <c r="BB42" i="4"/>
  <c r="AS42" i="4"/>
  <c r="AE42" i="4"/>
  <c r="AD42" i="4"/>
  <c r="AC42" i="4"/>
  <c r="T41" i="4"/>
  <c r="T23" i="17" s="1"/>
  <c r="F41" i="4"/>
  <c r="F23" i="17" s="1"/>
  <c r="E41" i="4"/>
  <c r="E23" i="17" s="1"/>
  <c r="D41" i="4"/>
  <c r="D23" i="17" s="1"/>
  <c r="BP31" i="4"/>
  <c r="BO31" i="4"/>
  <c r="BN31" i="4"/>
  <c r="BM31" i="4"/>
  <c r="BK31" i="4"/>
  <c r="BJ31" i="4"/>
  <c r="BI31" i="4"/>
  <c r="BH31" i="4"/>
  <c r="BG31" i="4"/>
  <c r="BF31" i="4"/>
  <c r="BD31" i="4"/>
  <c r="AV5" i="3" s="1"/>
  <c r="BG33" i="3" s="1"/>
  <c r="BC31" i="4"/>
  <c r="AU35" i="3" s="1"/>
  <c r="AQ31" i="4"/>
  <c r="AP31" i="4"/>
  <c r="AO31" i="4"/>
  <c r="AN31" i="4"/>
  <c r="AL31" i="4"/>
  <c r="AK31" i="4"/>
  <c r="AJ31" i="4"/>
  <c r="AI31" i="4"/>
  <c r="AH31" i="4"/>
  <c r="AG31" i="4"/>
  <c r="AE31" i="4"/>
  <c r="AD31" i="4"/>
  <c r="R31" i="4"/>
  <c r="Q31" i="4"/>
  <c r="P31" i="4"/>
  <c r="O31" i="4"/>
  <c r="M31" i="4"/>
  <c r="L31" i="4"/>
  <c r="K31" i="4"/>
  <c r="J31" i="4"/>
  <c r="G35" i="3" s="1"/>
  <c r="I31" i="4"/>
  <c r="H31" i="4"/>
  <c r="F31" i="4"/>
  <c r="O32" i="3" s="1"/>
  <c r="E31" i="4"/>
  <c r="C35" i="3" s="1"/>
  <c r="BL30" i="4"/>
  <c r="BB30" i="4"/>
  <c r="AM30" i="4"/>
  <c r="AC30" i="4"/>
  <c r="N30" i="4"/>
  <c r="N12" i="19" s="1"/>
  <c r="D30" i="4"/>
  <c r="D12" i="19" s="1"/>
  <c r="BL29" i="4"/>
  <c r="BB29" i="4"/>
  <c r="AM29" i="4"/>
  <c r="AC29" i="4"/>
  <c r="N29" i="4"/>
  <c r="N11" i="19" s="1"/>
  <c r="D29" i="4"/>
  <c r="D11" i="19" s="1"/>
  <c r="BL28" i="4"/>
  <c r="BB28" i="4"/>
  <c r="AM28" i="4"/>
  <c r="AC28" i="4"/>
  <c r="N28" i="4"/>
  <c r="N10" i="19" s="1"/>
  <c r="D28" i="4"/>
  <c r="D10" i="19" s="1"/>
  <c r="BL27" i="4"/>
  <c r="BB27" i="4"/>
  <c r="AM27" i="4"/>
  <c r="AC27" i="4"/>
  <c r="N27" i="4"/>
  <c r="N9" i="19" s="1"/>
  <c r="D27" i="4"/>
  <c r="D9" i="19" s="1"/>
  <c r="BL26" i="4"/>
  <c r="BB26" i="4"/>
  <c r="AM26" i="4"/>
  <c r="AC26" i="4"/>
  <c r="N25" i="4"/>
  <c r="N7" i="19" s="1"/>
  <c r="D25" i="4"/>
  <c r="D7" i="19" s="1"/>
  <c r="BL25" i="4"/>
  <c r="BB25" i="4"/>
  <c r="AM25" i="4"/>
  <c r="AC25" i="4"/>
  <c r="N26" i="4"/>
  <c r="N8" i="19" s="1"/>
  <c r="D26" i="4"/>
  <c r="D8" i="19" s="1"/>
  <c r="BL24" i="4"/>
  <c r="BB24" i="4"/>
  <c r="AM24" i="4"/>
  <c r="AC24" i="4"/>
  <c r="N24" i="4"/>
  <c r="N6" i="19" s="1"/>
  <c r="D24" i="4"/>
  <c r="D6" i="19" s="1"/>
  <c r="BL23" i="4"/>
  <c r="BB23" i="4"/>
  <c r="AM23" i="4"/>
  <c r="AC23" i="4"/>
  <c r="N23" i="4"/>
  <c r="N5" i="19" s="1"/>
  <c r="D23" i="4"/>
  <c r="D5" i="19" s="1"/>
  <c r="BL22" i="4"/>
  <c r="BB22" i="4"/>
  <c r="AM22" i="4"/>
  <c r="AC22" i="4"/>
  <c r="N22" i="4"/>
  <c r="N4" i="19" s="1"/>
  <c r="D22" i="4"/>
  <c r="D4" i="19" s="1"/>
  <c r="BL21" i="4"/>
  <c r="BB21" i="4"/>
  <c r="AM21" i="4"/>
  <c r="AC21" i="4"/>
  <c r="N21" i="4"/>
  <c r="N3" i="19" s="1"/>
  <c r="D21" i="4"/>
  <c r="D3" i="19" s="1"/>
  <c r="BT18" i="4"/>
  <c r="BO18" i="4"/>
  <c r="BN18" i="4"/>
  <c r="BM18" i="4"/>
  <c r="BL18" i="4"/>
  <c r="BK18" i="4"/>
  <c r="BI18" i="4"/>
  <c r="BH18" i="4"/>
  <c r="BG18" i="4"/>
  <c r="AX5" i="3" s="1"/>
  <c r="BF18" i="4"/>
  <c r="AU18" i="4"/>
  <c r="AP18" i="4"/>
  <c r="AO18" i="4"/>
  <c r="AN18" i="4"/>
  <c r="AM18" i="4"/>
  <c r="AL18" i="4"/>
  <c r="AK18" i="4"/>
  <c r="AJ18" i="4"/>
  <c r="AI18" i="4"/>
  <c r="AH18" i="4"/>
  <c r="AG18" i="4"/>
  <c r="V18" i="4"/>
  <c r="Q18" i="4"/>
  <c r="P18" i="4"/>
  <c r="O18" i="4"/>
  <c r="N18" i="4"/>
  <c r="M18" i="4"/>
  <c r="L18" i="4"/>
  <c r="K18" i="4"/>
  <c r="J18" i="4"/>
  <c r="I18" i="4"/>
  <c r="H18" i="4"/>
  <c r="BR15" i="4"/>
  <c r="BD15" i="4"/>
  <c r="BC15" i="4"/>
  <c r="BB15" i="4"/>
  <c r="AS15" i="4"/>
  <c r="AE15" i="4"/>
  <c r="AD15" i="4"/>
  <c r="AC15" i="4"/>
  <c r="T15" i="4"/>
  <c r="T14" i="17" s="1"/>
  <c r="F15" i="4"/>
  <c r="F14" i="17" s="1"/>
  <c r="E15" i="4"/>
  <c r="E14" i="17" s="1"/>
  <c r="D15" i="4"/>
  <c r="D14" i="17" s="1"/>
  <c r="BR14" i="4"/>
  <c r="BD14" i="4"/>
  <c r="BC14" i="4"/>
  <c r="BB14" i="4"/>
  <c r="AS14" i="4"/>
  <c r="AE14" i="4"/>
  <c r="AD14" i="4"/>
  <c r="AC14" i="4"/>
  <c r="T13" i="4"/>
  <c r="T12" i="17" s="1"/>
  <c r="F13" i="4"/>
  <c r="F12" i="17" s="1"/>
  <c r="E13" i="4"/>
  <c r="E12" i="17" s="1"/>
  <c r="D13" i="4"/>
  <c r="D12" i="17" s="1"/>
  <c r="BJ16" i="4"/>
  <c r="BR16" i="4" s="1"/>
  <c r="BC16" i="4"/>
  <c r="BB16" i="4"/>
  <c r="AS13" i="4"/>
  <c r="AE13" i="4"/>
  <c r="AD13" i="4"/>
  <c r="AC13" i="4"/>
  <c r="T17" i="4"/>
  <c r="T16" i="17" s="1"/>
  <c r="F17" i="4"/>
  <c r="F16" i="17" s="1"/>
  <c r="E17" i="4"/>
  <c r="E16" i="17" s="1"/>
  <c r="D17" i="4"/>
  <c r="D16" i="17" s="1"/>
  <c r="BJ13" i="4"/>
  <c r="BR13" i="4" s="1"/>
  <c r="BC13" i="4"/>
  <c r="BB13" i="4"/>
  <c r="AS16" i="4"/>
  <c r="AE16" i="4"/>
  <c r="AD16" i="4"/>
  <c r="AC16" i="4"/>
  <c r="T14" i="4"/>
  <c r="T13" i="17" s="1"/>
  <c r="F14" i="4"/>
  <c r="F13" i="17" s="1"/>
  <c r="E14" i="4"/>
  <c r="E13" i="17" s="1"/>
  <c r="D14" i="4"/>
  <c r="D13" i="17" s="1"/>
  <c r="BR17" i="4"/>
  <c r="BD17" i="4"/>
  <c r="BC17" i="4"/>
  <c r="BB17" i="4"/>
  <c r="AS17" i="4"/>
  <c r="AE17" i="4"/>
  <c r="AD17" i="4"/>
  <c r="AC17" i="4"/>
  <c r="T16" i="4"/>
  <c r="T15" i="17" s="1"/>
  <c r="F16" i="4"/>
  <c r="F15" i="17" s="1"/>
  <c r="E16" i="4"/>
  <c r="E15" i="17" s="1"/>
  <c r="D16" i="4"/>
  <c r="D15" i="17" s="1"/>
  <c r="BJ4" i="4"/>
  <c r="BR4" i="4" s="1"/>
  <c r="BC4" i="4"/>
  <c r="BB4" i="4"/>
  <c r="AS10" i="4"/>
  <c r="AE10" i="4"/>
  <c r="AD10" i="4"/>
  <c r="AC10" i="4"/>
  <c r="T10" i="4"/>
  <c r="T9" i="17" s="1"/>
  <c r="F10" i="4"/>
  <c r="F9" i="17" s="1"/>
  <c r="E10" i="4"/>
  <c r="E9" i="17" s="1"/>
  <c r="D10" i="4"/>
  <c r="D9" i="17" s="1"/>
  <c r="BJ10" i="4"/>
  <c r="BD10" i="4" s="1"/>
  <c r="BC10" i="4"/>
  <c r="BB10" i="4"/>
  <c r="AS4" i="4"/>
  <c r="AE4" i="4"/>
  <c r="AD4" i="4"/>
  <c r="AC4" i="4"/>
  <c r="T7" i="4"/>
  <c r="T6" i="17" s="1"/>
  <c r="F7" i="4"/>
  <c r="F6" i="17" s="1"/>
  <c r="E7" i="4"/>
  <c r="D7" i="4"/>
  <c r="D6" i="17" s="1"/>
  <c r="BJ9" i="4"/>
  <c r="BD9" i="4" s="1"/>
  <c r="BC9" i="4"/>
  <c r="BB9" i="4"/>
  <c r="AS12" i="4"/>
  <c r="AE12" i="4"/>
  <c r="AD12" i="4"/>
  <c r="AC12" i="4"/>
  <c r="T4" i="4"/>
  <c r="T3" i="17" s="1"/>
  <c r="F4" i="4"/>
  <c r="F3" i="17" s="1"/>
  <c r="E4" i="4"/>
  <c r="D4" i="4"/>
  <c r="D3" i="17" s="1"/>
  <c r="BJ8" i="4"/>
  <c r="BR8" i="4" s="1"/>
  <c r="BC8" i="4"/>
  <c r="BB8" i="4"/>
  <c r="AS9" i="4"/>
  <c r="AE9" i="4"/>
  <c r="AD9" i="4"/>
  <c r="AC9" i="4"/>
  <c r="T6" i="4"/>
  <c r="T5" i="17" s="1"/>
  <c r="F6" i="4"/>
  <c r="F5" i="17" s="1"/>
  <c r="E6" i="4"/>
  <c r="E5" i="17" s="1"/>
  <c r="D6" i="4"/>
  <c r="D5" i="17" s="1"/>
  <c r="BR7" i="4"/>
  <c r="BD7" i="4"/>
  <c r="BC7" i="4"/>
  <c r="BB7" i="4"/>
  <c r="AS8" i="4"/>
  <c r="AE8" i="4"/>
  <c r="AD8" i="4"/>
  <c r="AC8" i="4"/>
  <c r="T8" i="4"/>
  <c r="T7" i="17" s="1"/>
  <c r="F8" i="4"/>
  <c r="F7" i="17" s="1"/>
  <c r="E8" i="4"/>
  <c r="E7" i="17" s="1"/>
  <c r="D8" i="4"/>
  <c r="D7" i="17" s="1"/>
  <c r="BJ11" i="4"/>
  <c r="BR11" i="4" s="1"/>
  <c r="BC11" i="4"/>
  <c r="BB11" i="4"/>
  <c r="AS6" i="4"/>
  <c r="AE6" i="4"/>
  <c r="AD6" i="4"/>
  <c r="AC6" i="4"/>
  <c r="T5" i="4"/>
  <c r="T4" i="17" s="1"/>
  <c r="F5" i="4"/>
  <c r="F4" i="17" s="1"/>
  <c r="E5" i="4"/>
  <c r="E4" i="17" s="1"/>
  <c r="D5" i="4"/>
  <c r="D4" i="17" s="1"/>
  <c r="BJ5" i="4"/>
  <c r="BR5" i="4" s="1"/>
  <c r="BC5" i="4"/>
  <c r="BB5" i="4"/>
  <c r="AS5" i="4"/>
  <c r="AE5" i="4"/>
  <c r="AD5" i="4"/>
  <c r="AC5" i="4"/>
  <c r="T9" i="4"/>
  <c r="T11" i="17" s="1"/>
  <c r="F9" i="4"/>
  <c r="F11" i="17" s="1"/>
  <c r="E9" i="4"/>
  <c r="E11" i="17" s="1"/>
  <c r="D9" i="4"/>
  <c r="D11" i="17" s="1"/>
  <c r="BR6" i="4"/>
  <c r="BD6" i="4"/>
  <c r="BC6" i="4"/>
  <c r="BB6" i="4"/>
  <c r="AS7" i="4"/>
  <c r="AE7" i="4"/>
  <c r="AD7" i="4"/>
  <c r="AC7" i="4"/>
  <c r="T12" i="4"/>
  <c r="T8" i="17" s="1"/>
  <c r="F12" i="4"/>
  <c r="F8" i="17" s="1"/>
  <c r="E12" i="4"/>
  <c r="E8" i="17" s="1"/>
  <c r="D12" i="4"/>
  <c r="D8" i="17" s="1"/>
  <c r="BJ12" i="4"/>
  <c r="BR12" i="4" s="1"/>
  <c r="BC12" i="4"/>
  <c r="BB12" i="4"/>
  <c r="AS11" i="4"/>
  <c r="AE11" i="4"/>
  <c r="AD11" i="4"/>
  <c r="AC11" i="4"/>
  <c r="T11" i="4"/>
  <c r="F11" i="4"/>
  <c r="F10" i="17" s="1"/>
  <c r="E11" i="4"/>
  <c r="E10" i="17" s="1"/>
  <c r="D11" i="4"/>
  <c r="D10" i="17" s="1"/>
  <c r="O62" i="3"/>
  <c r="N62" i="3"/>
  <c r="O61" i="3"/>
  <c r="N61" i="3"/>
  <c r="N60" i="3"/>
  <c r="G60" i="3"/>
  <c r="D60" i="3"/>
  <c r="C60" i="3"/>
  <c r="AY58" i="3"/>
  <c r="AU58" i="3"/>
  <c r="O58" i="3"/>
  <c r="N58" i="3"/>
  <c r="G58" i="3"/>
  <c r="F58" i="3"/>
  <c r="O57" i="3"/>
  <c r="AY56" i="3"/>
  <c r="AX56" i="3"/>
  <c r="O56" i="3"/>
  <c r="N56" i="3"/>
  <c r="AY55" i="3"/>
  <c r="AX55" i="3"/>
  <c r="AV55" i="3"/>
  <c r="AU55" i="3"/>
  <c r="O55" i="3"/>
  <c r="N55" i="3"/>
  <c r="O54" i="3"/>
  <c r="N54" i="3"/>
  <c r="AX53" i="3"/>
  <c r="AV53" i="3"/>
  <c r="O53" i="3"/>
  <c r="N53" i="3"/>
  <c r="AY52" i="3"/>
  <c r="AV52" i="3"/>
  <c r="AU52" i="3"/>
  <c r="N52" i="3"/>
  <c r="G52" i="3"/>
  <c r="O51" i="3"/>
  <c r="N51" i="3"/>
  <c r="D51" i="3"/>
  <c r="C51" i="3"/>
  <c r="G50" i="3"/>
  <c r="D50" i="3"/>
  <c r="C50" i="3"/>
  <c r="O49" i="3"/>
  <c r="N49" i="3"/>
  <c r="O48" i="3"/>
  <c r="G48" i="3"/>
  <c r="D48" i="3"/>
  <c r="C48" i="3"/>
  <c r="AV47" i="3"/>
  <c r="G47" i="3"/>
  <c r="F47" i="3"/>
  <c r="D47" i="3"/>
  <c r="C47" i="3"/>
  <c r="AY46" i="3"/>
  <c r="AY45" i="3"/>
  <c r="AX45" i="3"/>
  <c r="AV45" i="3"/>
  <c r="AU45" i="3"/>
  <c r="F45" i="3"/>
  <c r="D45" i="3"/>
  <c r="C45" i="3"/>
  <c r="G43" i="3"/>
  <c r="F43" i="3"/>
  <c r="D43" i="3"/>
  <c r="C43" i="3"/>
  <c r="AY42" i="3"/>
  <c r="AV42" i="3"/>
  <c r="O42" i="3"/>
  <c r="C41" i="3"/>
  <c r="G40" i="3"/>
  <c r="F40" i="3"/>
  <c r="D40" i="3"/>
  <c r="C40" i="3"/>
  <c r="AX39" i="3"/>
  <c r="AU39" i="3"/>
  <c r="AV38" i="3"/>
  <c r="AY36" i="3"/>
  <c r="AX36" i="3"/>
  <c r="AU36" i="3"/>
  <c r="AY34" i="3"/>
  <c r="AX34" i="3"/>
  <c r="AV34" i="3"/>
  <c r="AU34" i="3"/>
  <c r="N34" i="3"/>
  <c r="G34" i="3"/>
  <c r="F34" i="3"/>
  <c r="G33" i="3"/>
  <c r="D33" i="3"/>
  <c r="C33" i="3"/>
  <c r="AY32" i="3"/>
  <c r="AU32" i="3"/>
  <c r="G31" i="3"/>
  <c r="C31" i="3"/>
  <c r="AV26" i="3"/>
  <c r="BG44" i="3" s="1"/>
  <c r="R26" i="3"/>
  <c r="Q26" i="3"/>
  <c r="O26" i="3"/>
  <c r="N26" i="3"/>
  <c r="D26" i="3"/>
  <c r="R25" i="3"/>
  <c r="N25" i="3"/>
  <c r="R24" i="3"/>
  <c r="O24" i="3"/>
  <c r="N24" i="3"/>
  <c r="R23" i="3"/>
  <c r="Q23" i="3"/>
  <c r="O23" i="3"/>
  <c r="N23" i="3"/>
  <c r="R22" i="3"/>
  <c r="O22" i="3"/>
  <c r="N22" i="3"/>
  <c r="Q17" i="3"/>
  <c r="O16" i="3"/>
  <c r="N16" i="3"/>
  <c r="R15" i="3"/>
  <c r="O15" i="3"/>
  <c r="N15" i="3"/>
  <c r="R14" i="3"/>
  <c r="O14" i="3"/>
  <c r="N14" i="3"/>
  <c r="O13" i="3"/>
  <c r="O8" i="3"/>
  <c r="O7" i="3"/>
  <c r="R5" i="3"/>
  <c r="Q5" i="3"/>
  <c r="R4" i="3"/>
  <c r="O4" i="3"/>
  <c r="N4" i="3"/>
  <c r="D22" i="3" l="1"/>
  <c r="D24" i="3"/>
  <c r="O5" i="3"/>
  <c r="D34" i="3"/>
  <c r="O6" i="3"/>
  <c r="Q16" i="3"/>
  <c r="C24" i="3"/>
  <c r="F48" i="3"/>
  <c r="O52" i="3"/>
  <c r="N8" i="3"/>
  <c r="O17" i="3"/>
  <c r="Q8" i="3"/>
  <c r="C22" i="3"/>
  <c r="D58" i="3"/>
  <c r="C25" i="3"/>
  <c r="N43" i="3"/>
  <c r="D32" i="3"/>
  <c r="Q6" i="3"/>
  <c r="R16" i="3"/>
  <c r="G41" i="3"/>
  <c r="N17" i="3"/>
  <c r="N42" i="3"/>
  <c r="G25" i="3"/>
  <c r="G23" i="3"/>
  <c r="F25" i="3"/>
  <c r="C56" i="3"/>
  <c r="N45" i="3"/>
  <c r="O39" i="3"/>
  <c r="O59" i="3"/>
  <c r="F32" i="3"/>
  <c r="C16" i="3"/>
  <c r="D25" i="3"/>
  <c r="C32" i="3"/>
  <c r="G54" i="3"/>
  <c r="C49" i="3"/>
  <c r="F56" i="3"/>
  <c r="O40" i="3"/>
  <c r="F14" i="3"/>
  <c r="O43" i="3"/>
  <c r="G56" i="3"/>
  <c r="G36" i="3"/>
  <c r="D14" i="3"/>
  <c r="O45" i="3"/>
  <c r="O34" i="3"/>
  <c r="N38" i="3"/>
  <c r="C44" i="3"/>
  <c r="N39" i="3"/>
  <c r="D16" i="3"/>
  <c r="O37" i="3"/>
  <c r="C14" i="3"/>
  <c r="N37" i="3"/>
  <c r="O41" i="3"/>
  <c r="N40" i="3"/>
  <c r="F17" i="3"/>
  <c r="C23" i="3"/>
  <c r="D23" i="3"/>
  <c r="U166" i="5"/>
  <c r="AT164" i="5"/>
  <c r="G8" i="3"/>
  <c r="AT70" i="8"/>
  <c r="AT106" i="9"/>
  <c r="AT42" i="8"/>
  <c r="AT109" i="9"/>
  <c r="U165" i="9"/>
  <c r="AT167" i="9"/>
  <c r="AT137" i="7"/>
  <c r="AC31" i="7"/>
  <c r="AT107" i="4"/>
  <c r="BS130" i="5"/>
  <c r="O38" i="3"/>
  <c r="AC174" i="4"/>
  <c r="D187" i="4"/>
  <c r="D49" i="5"/>
  <c r="AC18" i="6"/>
  <c r="D31" i="6"/>
  <c r="BS48" i="5"/>
  <c r="F13" i="3"/>
  <c r="AT165" i="9"/>
  <c r="N41" i="3"/>
  <c r="BS133" i="4"/>
  <c r="BS141" i="4"/>
  <c r="AT98" i="8"/>
  <c r="BS97" i="8"/>
  <c r="AT76" i="5"/>
  <c r="C57" i="3"/>
  <c r="D17" i="3"/>
  <c r="D36" i="3"/>
  <c r="D57" i="3"/>
  <c r="AT36" i="7"/>
  <c r="BS77" i="7"/>
  <c r="AT108" i="7"/>
  <c r="U261" i="4"/>
  <c r="U266" i="4"/>
  <c r="AT66" i="5"/>
  <c r="AT78" i="5"/>
  <c r="BS79" i="5"/>
  <c r="AT109" i="7"/>
  <c r="D8" i="3"/>
  <c r="N44" i="3"/>
  <c r="BB155" i="6"/>
  <c r="AC62" i="4"/>
  <c r="D13" i="3"/>
  <c r="BD5" i="4"/>
  <c r="G7" i="3"/>
  <c r="D15" i="3"/>
  <c r="AT7" i="4"/>
  <c r="AT44" i="4"/>
  <c r="U203" i="7"/>
  <c r="AT16" i="9"/>
  <c r="BD4" i="4"/>
  <c r="BS140" i="4"/>
  <c r="U194" i="4"/>
  <c r="AT195" i="4"/>
  <c r="U200" i="4"/>
  <c r="N218" i="7"/>
  <c r="BS67" i="8"/>
  <c r="U166" i="9"/>
  <c r="AT170" i="9"/>
  <c r="BS169" i="9"/>
  <c r="D93" i="5"/>
  <c r="BC111" i="5"/>
  <c r="N187" i="4"/>
  <c r="D249" i="4"/>
  <c r="AT16" i="4"/>
  <c r="D93" i="9"/>
  <c r="BD12" i="4"/>
  <c r="BS12" i="4" s="1"/>
  <c r="AT8" i="4"/>
  <c r="AT42" i="5"/>
  <c r="BS162" i="5"/>
  <c r="U164" i="5"/>
  <c r="BS6" i="7"/>
  <c r="AT15" i="7"/>
  <c r="AT46" i="9"/>
  <c r="AT105" i="9"/>
  <c r="AT167" i="4"/>
  <c r="BS165" i="4"/>
  <c r="AT160" i="4"/>
  <c r="BS170" i="4"/>
  <c r="AT73" i="5"/>
  <c r="BS66" i="5"/>
  <c r="BS66" i="6"/>
  <c r="BS76" i="6"/>
  <c r="BS109" i="5"/>
  <c r="BS167" i="5"/>
  <c r="C13" i="3"/>
  <c r="BB62" i="5"/>
  <c r="D187" i="5"/>
  <c r="AC218" i="5"/>
  <c r="U137" i="4"/>
  <c r="U68" i="17" s="1"/>
  <c r="U204" i="7"/>
  <c r="G38" i="3"/>
  <c r="AC49" i="5"/>
  <c r="BS137" i="5"/>
  <c r="U130" i="7"/>
  <c r="U61" i="18" s="1"/>
  <c r="AC174" i="8"/>
  <c r="D187" i="8"/>
  <c r="AC218" i="8"/>
  <c r="BS100" i="9"/>
  <c r="BS14" i="4"/>
  <c r="N62" i="7"/>
  <c r="BS170" i="5"/>
  <c r="AT40" i="5"/>
  <c r="BB142" i="5"/>
  <c r="AM249" i="9"/>
  <c r="O36" i="3"/>
  <c r="AU33" i="3"/>
  <c r="AM280" i="4"/>
  <c r="BS12" i="5"/>
  <c r="AT136" i="6"/>
  <c r="U202" i="6"/>
  <c r="BC80" i="7"/>
  <c r="BD13" i="4"/>
  <c r="D62" i="4"/>
  <c r="E49" i="6"/>
  <c r="BS72" i="9"/>
  <c r="AT97" i="4"/>
  <c r="N124" i="4"/>
  <c r="U253" i="4"/>
  <c r="U265" i="4"/>
  <c r="AM31" i="7"/>
  <c r="BL124" i="6"/>
  <c r="BS16" i="7"/>
  <c r="BS8" i="9"/>
  <c r="N124" i="9"/>
  <c r="D155" i="9"/>
  <c r="AT136" i="4"/>
  <c r="U229" i="4"/>
  <c r="AT263" i="4"/>
  <c r="D267" i="4"/>
  <c r="N31" i="5"/>
  <c r="BS41" i="4"/>
  <c r="BR97" i="4"/>
  <c r="AT128" i="4"/>
  <c r="U167" i="4"/>
  <c r="BS168" i="4"/>
  <c r="U163" i="4"/>
  <c r="AT172" i="4"/>
  <c r="N93" i="5"/>
  <c r="U168" i="5"/>
  <c r="N31" i="6"/>
  <c r="AT135" i="6"/>
  <c r="BS132" i="9"/>
  <c r="AT265" i="4"/>
  <c r="N218" i="6"/>
  <c r="AT67" i="9"/>
  <c r="AT78" i="9"/>
  <c r="AT97" i="9"/>
  <c r="BB218" i="9"/>
  <c r="AT109" i="5"/>
  <c r="D218" i="6"/>
  <c r="BS11" i="7"/>
  <c r="AC124" i="7"/>
  <c r="AT128" i="7"/>
  <c r="BS128" i="7"/>
  <c r="AT139" i="7"/>
  <c r="BS37" i="8"/>
  <c r="AT169" i="8"/>
  <c r="BS198" i="8"/>
  <c r="BS193" i="8"/>
  <c r="U162" i="9"/>
  <c r="AT160" i="9"/>
  <c r="BS166" i="9"/>
  <c r="U168" i="9"/>
  <c r="BB31" i="4"/>
  <c r="D124" i="5"/>
  <c r="D62" i="6"/>
  <c r="BS11" i="8"/>
  <c r="U235" i="9"/>
  <c r="D39" i="3"/>
  <c r="D124" i="4"/>
  <c r="AM31" i="8"/>
  <c r="U109" i="9"/>
  <c r="U197" i="18" s="1"/>
  <c r="BS107" i="4"/>
  <c r="BS160" i="4"/>
  <c r="U164" i="4"/>
  <c r="AT165" i="4"/>
  <c r="U171" i="4"/>
  <c r="AT171" i="4"/>
  <c r="F236" i="4"/>
  <c r="AT14" i="5"/>
  <c r="BS39" i="5"/>
  <c r="AT48" i="5"/>
  <c r="BS168" i="5"/>
  <c r="AT41" i="6"/>
  <c r="BS192" i="7"/>
  <c r="AD205" i="7"/>
  <c r="U226" i="7"/>
  <c r="AT14" i="8"/>
  <c r="AT40" i="9"/>
  <c r="AM93" i="9"/>
  <c r="BS99" i="9"/>
  <c r="BS102" i="9"/>
  <c r="D249" i="9"/>
  <c r="AT103" i="4"/>
  <c r="C6" i="3"/>
  <c r="U225" i="4"/>
  <c r="AT136" i="5"/>
  <c r="BS133" i="5"/>
  <c r="AC142" i="5"/>
  <c r="BS68" i="6"/>
  <c r="BL31" i="7"/>
  <c r="AT100" i="7"/>
  <c r="AT224" i="9"/>
  <c r="AB81" i="25"/>
  <c r="C7" i="3"/>
  <c r="N35" i="3"/>
  <c r="BS108" i="5"/>
  <c r="BS166" i="5"/>
  <c r="AM124" i="6"/>
  <c r="D155" i="7"/>
  <c r="D62" i="8"/>
  <c r="AC236" i="9"/>
  <c r="F7" i="3"/>
  <c r="O35" i="3"/>
  <c r="D53" i="3"/>
  <c r="BS97" i="6"/>
  <c r="AT48" i="7"/>
  <c r="BL62" i="7"/>
  <c r="U164" i="7"/>
  <c r="AT164" i="7"/>
  <c r="U172" i="7"/>
  <c r="BS16" i="8"/>
  <c r="AC80" i="8"/>
  <c r="D93" i="8"/>
  <c r="AT48" i="9"/>
  <c r="BS46" i="9"/>
  <c r="AT103" i="9"/>
  <c r="BS105" i="9"/>
  <c r="BB155" i="9"/>
  <c r="AC218" i="4"/>
  <c r="U226" i="4"/>
  <c r="U257" i="4"/>
  <c r="D174" i="5"/>
  <c r="AT9" i="6"/>
  <c r="BS5" i="6"/>
  <c r="AT14" i="6"/>
  <c r="BB31" i="6"/>
  <c r="BS8" i="7"/>
  <c r="BS14" i="7"/>
  <c r="BS104" i="8"/>
  <c r="BS140" i="8"/>
  <c r="BS192" i="8"/>
  <c r="BS201" i="8"/>
  <c r="AT5" i="9"/>
  <c r="D124" i="9"/>
  <c r="BB187" i="9"/>
  <c r="U225" i="9"/>
  <c r="C5" i="3"/>
  <c r="N33" i="3"/>
  <c r="C38" i="3"/>
  <c r="D5" i="3"/>
  <c r="G44" i="3"/>
  <c r="BD8" i="4"/>
  <c r="BS8" i="4" s="1"/>
  <c r="AT99" i="4"/>
  <c r="AT131" i="4"/>
  <c r="U168" i="4"/>
  <c r="U227" i="4"/>
  <c r="BS42" i="6"/>
  <c r="D155" i="6"/>
  <c r="BS198" i="6"/>
  <c r="U197" i="6"/>
  <c r="BS195" i="6"/>
  <c r="AT167" i="7"/>
  <c r="U228" i="7"/>
  <c r="BS8" i="8"/>
  <c r="AT134" i="9"/>
  <c r="BS131" i="9"/>
  <c r="AT137" i="9"/>
  <c r="BS139" i="9"/>
  <c r="AT195" i="9"/>
  <c r="U196" i="9"/>
  <c r="AT194" i="9"/>
  <c r="BS200" i="9"/>
  <c r="U201" i="9"/>
  <c r="N249" i="4"/>
  <c r="AT70" i="6"/>
  <c r="BS161" i="6"/>
  <c r="AT171" i="6"/>
  <c r="AC187" i="6"/>
  <c r="AM218" i="8"/>
  <c r="BS10" i="9"/>
  <c r="BS7" i="9"/>
  <c r="AC31" i="4"/>
  <c r="BD35" i="4"/>
  <c r="BS35" i="4" s="1"/>
  <c r="U201" i="4"/>
  <c r="AT202" i="4"/>
  <c r="BB218" i="4"/>
  <c r="AT224" i="4"/>
  <c r="U235" i="4"/>
  <c r="D31" i="5"/>
  <c r="BS42" i="5"/>
  <c r="AT35" i="5"/>
  <c r="BS47" i="5"/>
  <c r="BB49" i="5"/>
  <c r="AT74" i="5"/>
  <c r="AT70" i="5"/>
  <c r="BS129" i="5"/>
  <c r="U173" i="5"/>
  <c r="AT169" i="5"/>
  <c r="BS102" i="6"/>
  <c r="N155" i="6"/>
  <c r="U169" i="6"/>
  <c r="BS76" i="7"/>
  <c r="AT76" i="7"/>
  <c r="AT101" i="7"/>
  <c r="AT110" i="7"/>
  <c r="AT138" i="7"/>
  <c r="U193" i="7"/>
  <c r="BS17" i="8"/>
  <c r="BC18" i="8"/>
  <c r="AM62" i="8"/>
  <c r="BS73" i="8"/>
  <c r="AT68" i="8"/>
  <c r="BS99" i="8"/>
  <c r="U173" i="8"/>
  <c r="BS194" i="9"/>
  <c r="U222" i="9"/>
  <c r="U233" i="9"/>
  <c r="N62" i="6"/>
  <c r="BS69" i="4"/>
  <c r="BS68" i="4"/>
  <c r="D93" i="4"/>
  <c r="AT140" i="5"/>
  <c r="BS139" i="5"/>
  <c r="AT170" i="5"/>
  <c r="U172" i="5"/>
  <c r="BS104" i="6"/>
  <c r="AT109" i="6"/>
  <c r="BS194" i="6"/>
  <c r="BS38" i="7"/>
  <c r="BS47" i="7"/>
  <c r="U132" i="7"/>
  <c r="U63" i="18" s="1"/>
  <c r="AT135" i="7"/>
  <c r="BS136" i="7"/>
  <c r="AT130" i="7"/>
  <c r="BS140" i="7"/>
  <c r="BS195" i="7"/>
  <c r="U191" i="7"/>
  <c r="N62" i="8"/>
  <c r="BS102" i="8"/>
  <c r="BS107" i="8"/>
  <c r="BS203" i="8"/>
  <c r="AT131" i="9"/>
  <c r="BS128" i="9"/>
  <c r="BS193" i="9"/>
  <c r="U202" i="9"/>
  <c r="BS202" i="9"/>
  <c r="AC218" i="9"/>
  <c r="AU5" i="3"/>
  <c r="BF33" i="3" s="1"/>
  <c r="AC18" i="4"/>
  <c r="N62" i="4"/>
  <c r="BS138" i="4"/>
  <c r="D218" i="4"/>
  <c r="AM249" i="4"/>
  <c r="AT5" i="5"/>
  <c r="AC62" i="5"/>
  <c r="T205" i="6"/>
  <c r="AD174" i="7"/>
  <c r="D187" i="7"/>
  <c r="BB205" i="7"/>
  <c r="BL218" i="7"/>
  <c r="AE49" i="8"/>
  <c r="U168" i="8"/>
  <c r="AC49" i="9"/>
  <c r="BR9" i="4"/>
  <c r="AT40" i="4"/>
  <c r="AT74" i="4"/>
  <c r="BS74" i="4"/>
  <c r="BS78" i="4"/>
  <c r="BS98" i="4"/>
  <c r="AT110" i="4"/>
  <c r="U196" i="4"/>
  <c r="U191" i="4"/>
  <c r="BD205" i="4"/>
  <c r="AC249" i="4"/>
  <c r="AT11" i="5"/>
  <c r="BS13" i="5"/>
  <c r="AM62" i="5"/>
  <c r="BL93" i="5"/>
  <c r="AT100" i="5"/>
  <c r="AM187" i="5"/>
  <c r="BL187" i="5"/>
  <c r="AT45" i="6"/>
  <c r="BS46" i="6"/>
  <c r="N93" i="6"/>
  <c r="BB124" i="6"/>
  <c r="AT129" i="6"/>
  <c r="AT70" i="7"/>
  <c r="AT75" i="7"/>
  <c r="BS78" i="7"/>
  <c r="AM93" i="7"/>
  <c r="BL124" i="7"/>
  <c r="BS198" i="7"/>
  <c r="U161" i="8"/>
  <c r="BB187" i="8"/>
  <c r="AT202" i="8"/>
  <c r="AT74" i="9"/>
  <c r="AT76" i="9"/>
  <c r="BS134" i="9"/>
  <c r="BS140" i="9"/>
  <c r="AT168" i="9"/>
  <c r="D174" i="9"/>
  <c r="BS195" i="9"/>
  <c r="U195" i="9"/>
  <c r="BS203" i="9"/>
  <c r="D218" i="9"/>
  <c r="U230" i="9"/>
  <c r="BB93" i="5"/>
  <c r="AT9" i="4"/>
  <c r="BF44" i="3"/>
  <c r="BS7" i="4"/>
  <c r="BS72" i="4"/>
  <c r="AT78" i="4"/>
  <c r="BS77" i="4"/>
  <c r="BS102" i="4"/>
  <c r="BR98" i="4"/>
  <c r="U110" i="4"/>
  <c r="U58" i="17" s="1"/>
  <c r="AT109" i="4"/>
  <c r="AD174" i="4"/>
  <c r="BS194" i="4"/>
  <c r="AT201" i="4"/>
  <c r="BS5" i="5"/>
  <c r="AT41" i="5"/>
  <c r="BS43" i="5"/>
  <c r="AT44" i="5"/>
  <c r="AM93" i="5"/>
  <c r="BS98" i="5"/>
  <c r="AT103" i="5"/>
  <c r="AT108" i="5"/>
  <c r="AT134" i="5"/>
  <c r="BS165" i="5"/>
  <c r="U160" i="5"/>
  <c r="AT165" i="5"/>
  <c r="AM218" i="5"/>
  <c r="BS12" i="6"/>
  <c r="AT11" i="6"/>
  <c r="BS4" i="6"/>
  <c r="AT17" i="6"/>
  <c r="U162" i="6"/>
  <c r="U173" i="6"/>
  <c r="D205" i="6"/>
  <c r="AT38" i="7"/>
  <c r="AT134" i="7"/>
  <c r="BS138" i="7"/>
  <c r="AT198" i="7"/>
  <c r="BS194" i="7"/>
  <c r="U197" i="7"/>
  <c r="AT202" i="7"/>
  <c r="BS203" i="7"/>
  <c r="AT39" i="8"/>
  <c r="BS44" i="8"/>
  <c r="BC80" i="8"/>
  <c r="BS103" i="8"/>
  <c r="U170" i="8"/>
  <c r="BS39" i="9"/>
  <c r="E49" i="9"/>
  <c r="AT75" i="9"/>
  <c r="BS106" i="9"/>
  <c r="BS130" i="9"/>
  <c r="BS137" i="9"/>
  <c r="AT164" i="9"/>
  <c r="U234" i="9"/>
  <c r="AT235" i="9"/>
  <c r="AT98" i="4"/>
  <c r="BS136" i="4"/>
  <c r="U172" i="4"/>
  <c r="U259" i="4"/>
  <c r="AC280" i="4"/>
  <c r="U78" i="5"/>
  <c r="U113" i="17" s="1"/>
  <c r="AT79" i="5"/>
  <c r="AD80" i="5"/>
  <c r="AC93" i="5"/>
  <c r="BS35" i="6"/>
  <c r="BS73" i="6"/>
  <c r="BS79" i="6"/>
  <c r="U134" i="6"/>
  <c r="U205" i="17" s="1"/>
  <c r="BS199" i="6"/>
  <c r="BS161" i="7"/>
  <c r="BS171" i="7"/>
  <c r="U173" i="7"/>
  <c r="AT43" i="8"/>
  <c r="BS38" i="8"/>
  <c r="BL31" i="9"/>
  <c r="AT98" i="9"/>
  <c r="BR40" i="4"/>
  <c r="BL31" i="5"/>
  <c r="BS97" i="5"/>
  <c r="BS103" i="5"/>
  <c r="BS4" i="7"/>
  <c r="U107" i="7"/>
  <c r="U55" i="18" s="1"/>
  <c r="AT200" i="7"/>
  <c r="BB62" i="8"/>
  <c r="U132" i="8"/>
  <c r="U133" i="18" s="1"/>
  <c r="AC31" i="9"/>
  <c r="AC155" i="9"/>
  <c r="G39" i="3"/>
  <c r="AT72" i="4"/>
  <c r="BS75" i="4"/>
  <c r="U192" i="4"/>
  <c r="U230" i="4"/>
  <c r="E142" i="5"/>
  <c r="BB205" i="5"/>
  <c r="BB187" i="6"/>
  <c r="AT74" i="7"/>
  <c r="BS66" i="7"/>
  <c r="AT194" i="7"/>
  <c r="BS201" i="7"/>
  <c r="U202" i="7"/>
  <c r="AC31" i="8"/>
  <c r="BS204" i="8"/>
  <c r="BB18" i="9"/>
  <c r="BS77" i="9"/>
  <c r="BL155" i="7"/>
  <c r="BS172" i="9"/>
  <c r="BS97" i="4"/>
  <c r="BS132" i="7"/>
  <c r="AC155" i="7"/>
  <c r="BS4" i="8"/>
  <c r="AT37" i="8"/>
  <c r="BL62" i="8"/>
  <c r="BS163" i="8"/>
  <c r="BS170" i="8"/>
  <c r="U169" i="8"/>
  <c r="BS13" i="9"/>
  <c r="AM31" i="9"/>
  <c r="AT38" i="9"/>
  <c r="BS47" i="9"/>
  <c r="BS78" i="9"/>
  <c r="AT79" i="9"/>
  <c r="BC142" i="9"/>
  <c r="AM187" i="9"/>
  <c r="U197" i="9"/>
  <c r="AT197" i="9"/>
  <c r="BS199" i="9"/>
  <c r="U200" i="9"/>
  <c r="AT204" i="9"/>
  <c r="AT222" i="9"/>
  <c r="F236" i="9"/>
  <c r="AV60" i="3"/>
  <c r="AT14" i="4"/>
  <c r="BR41" i="4"/>
  <c r="BS76" i="4"/>
  <c r="BS109" i="4"/>
  <c r="AC187" i="4"/>
  <c r="BL218" i="4"/>
  <c r="U255" i="4"/>
  <c r="AT254" i="4"/>
  <c r="U256" i="4"/>
  <c r="AM31" i="5"/>
  <c r="BS110" i="5"/>
  <c r="BS199" i="5"/>
  <c r="AC205" i="5"/>
  <c r="AT141" i="6"/>
  <c r="U199" i="6"/>
  <c r="U204" i="6"/>
  <c r="AM62" i="7"/>
  <c r="N31" i="8"/>
  <c r="AT48" i="8"/>
  <c r="AC62" i="8"/>
  <c r="BL93" i="8"/>
  <c r="BS108" i="8"/>
  <c r="AT109" i="8"/>
  <c r="AT139" i="8"/>
  <c r="E142" i="8"/>
  <c r="BB155" i="8"/>
  <c r="BS195" i="8"/>
  <c r="AT195" i="8"/>
  <c r="U35" i="9"/>
  <c r="U157" i="18" s="1"/>
  <c r="BS40" i="9"/>
  <c r="BS109" i="9"/>
  <c r="U110" i="9"/>
  <c r="U198" i="18" s="1"/>
  <c r="U164" i="9"/>
  <c r="AC174" i="9"/>
  <c r="D187" i="9"/>
  <c r="AT102" i="4"/>
  <c r="BD108" i="4"/>
  <c r="BS108" i="4" s="1"/>
  <c r="AT106" i="4"/>
  <c r="AM155" i="4"/>
  <c r="AT162" i="4"/>
  <c r="AT161" i="4"/>
  <c r="BS169" i="4"/>
  <c r="E81" i="17"/>
  <c r="U12" i="5"/>
  <c r="U81" i="17" s="1"/>
  <c r="AV59" i="3"/>
  <c r="AT6" i="4"/>
  <c r="BS9" i="4"/>
  <c r="BS15" i="4"/>
  <c r="BD43" i="4"/>
  <c r="BS43" i="4" s="1"/>
  <c r="BB62" i="4"/>
  <c r="BS99" i="4"/>
  <c r="U234" i="4"/>
  <c r="AT37" i="4"/>
  <c r="AT68" i="4"/>
  <c r="BS71" i="4"/>
  <c r="BS73" i="5"/>
  <c r="AT164" i="4"/>
  <c r="U170" i="4"/>
  <c r="AU49" i="3"/>
  <c r="D62" i="5"/>
  <c r="G17" i="3"/>
  <c r="AV33" i="3"/>
  <c r="AV35" i="3"/>
  <c r="AU41" i="3"/>
  <c r="F4" i="3"/>
  <c r="F35" i="3"/>
  <c r="AT100" i="4"/>
  <c r="E64" i="17"/>
  <c r="U133" i="4"/>
  <c r="U64" i="17" s="1"/>
  <c r="BB218" i="5"/>
  <c r="BD11" i="4"/>
  <c r="BS11" i="4" s="1"/>
  <c r="AT10" i="4"/>
  <c r="BD16" i="4"/>
  <c r="BS16" i="4" s="1"/>
  <c r="AT76" i="4"/>
  <c r="AT4" i="5"/>
  <c r="BS6" i="5"/>
  <c r="AT71" i="5"/>
  <c r="BS69" i="5"/>
  <c r="BD80" i="5"/>
  <c r="AT71" i="4"/>
  <c r="BR10" i="4"/>
  <c r="AU60" i="3"/>
  <c r="BS6" i="4"/>
  <c r="AT4" i="4"/>
  <c r="BS17" i="4"/>
  <c r="BR37" i="4"/>
  <c r="AM93" i="4"/>
  <c r="BS104" i="4"/>
  <c r="U263" i="4"/>
  <c r="BG35" i="3"/>
  <c r="AV41" i="3"/>
  <c r="AC93" i="4"/>
  <c r="AM218" i="4"/>
  <c r="AE80" i="5"/>
  <c r="U41" i="4"/>
  <c r="U23" i="17" s="1"/>
  <c r="F38" i="3"/>
  <c r="F5" i="3"/>
  <c r="BC174" i="4"/>
  <c r="T174" i="4"/>
  <c r="BS38" i="4"/>
  <c r="BS73" i="4"/>
  <c r="BS79" i="4"/>
  <c r="BL155" i="4"/>
  <c r="U173" i="4"/>
  <c r="U231" i="4"/>
  <c r="AT9" i="5"/>
  <c r="AT16" i="5"/>
  <c r="E236" i="4"/>
  <c r="AT17" i="4"/>
  <c r="BJ49" i="4"/>
  <c r="AT47" i="4"/>
  <c r="BL62" i="4"/>
  <c r="BS70" i="4"/>
  <c r="AT70" i="4"/>
  <c r="BS66" i="4"/>
  <c r="AT77" i="4"/>
  <c r="BB142" i="4"/>
  <c r="U195" i="4"/>
  <c r="U197" i="4"/>
  <c r="BB31" i="5"/>
  <c r="AT39" i="5"/>
  <c r="AT69" i="5"/>
  <c r="BS72" i="5"/>
  <c r="AT98" i="5"/>
  <c r="BS102" i="5"/>
  <c r="AT106" i="5"/>
  <c r="BD111" i="5"/>
  <c r="AC124" i="5"/>
  <c r="BS134" i="5"/>
  <c r="BS140" i="5"/>
  <c r="U165" i="5"/>
  <c r="AT167" i="5"/>
  <c r="AT171" i="5"/>
  <c r="BS192" i="5"/>
  <c r="BS195" i="5"/>
  <c r="AT7" i="6"/>
  <c r="BS10" i="6"/>
  <c r="AT13" i="6"/>
  <c r="BS17" i="6"/>
  <c r="BS71" i="6"/>
  <c r="BS75" i="6"/>
  <c r="BC111" i="6"/>
  <c r="AT128" i="6"/>
  <c r="BS165" i="6"/>
  <c r="U164" i="6"/>
  <c r="U172" i="6"/>
  <c r="BS225" i="6"/>
  <c r="BS233" i="6"/>
  <c r="AT133" i="7"/>
  <c r="AT141" i="7"/>
  <c r="BS160" i="7"/>
  <c r="U162" i="7"/>
  <c r="AT162" i="7"/>
  <c r="BS169" i="7"/>
  <c r="U194" i="7"/>
  <c r="AT199" i="7"/>
  <c r="BS197" i="7"/>
  <c r="BS224" i="7"/>
  <c r="BB249" i="7"/>
  <c r="AT6" i="8"/>
  <c r="AT40" i="8"/>
  <c r="AT44" i="8"/>
  <c r="BS76" i="8"/>
  <c r="BS100" i="8"/>
  <c r="BS132" i="8"/>
  <c r="BC142" i="8"/>
  <c r="BL187" i="8"/>
  <c r="AD205" i="8"/>
  <c r="BS16" i="9"/>
  <c r="BB62" i="9"/>
  <c r="BB93" i="9"/>
  <c r="AE142" i="9"/>
  <c r="BL155" i="9"/>
  <c r="BB49" i="4"/>
  <c r="BS101" i="4"/>
  <c r="BS137" i="4"/>
  <c r="N155" i="4"/>
  <c r="AC155" i="4"/>
  <c r="AT192" i="4"/>
  <c r="U203" i="4"/>
  <c r="F205" i="4"/>
  <c r="U224" i="4"/>
  <c r="U258" i="4"/>
  <c r="BS16" i="5"/>
  <c r="BS37" i="5"/>
  <c r="AT36" i="5"/>
  <c r="U69" i="5"/>
  <c r="U104" i="17" s="1"/>
  <c r="AT77" i="5"/>
  <c r="AM124" i="5"/>
  <c r="U161" i="5"/>
  <c r="U170" i="5"/>
  <c r="AT162" i="5"/>
  <c r="AC187" i="5"/>
  <c r="E111" i="6"/>
  <c r="AT130" i="6"/>
  <c r="AC155" i="6"/>
  <c r="BS196" i="6"/>
  <c r="BS203" i="6"/>
  <c r="BB31" i="7"/>
  <c r="BS48" i="7"/>
  <c r="BS69" i="7"/>
  <c r="AT78" i="7"/>
  <c r="AC80" i="7"/>
  <c r="BL93" i="7"/>
  <c r="AT103" i="7"/>
  <c r="BB155" i="7"/>
  <c r="BS202" i="7"/>
  <c r="D218" i="7"/>
  <c r="U222" i="7"/>
  <c r="BL249" i="7"/>
  <c r="BS5" i="8"/>
  <c r="BS46" i="8"/>
  <c r="BS66" i="8"/>
  <c r="BS172" i="8"/>
  <c r="BS14" i="9"/>
  <c r="AT37" i="9"/>
  <c r="BB49" i="9"/>
  <c r="BS67" i="9"/>
  <c r="AT66" i="9"/>
  <c r="BL93" i="9"/>
  <c r="BS97" i="9"/>
  <c r="AM218" i="9"/>
  <c r="U228" i="9"/>
  <c r="BS132" i="5"/>
  <c r="AT132" i="5"/>
  <c r="AT141" i="5"/>
  <c r="AT166" i="5"/>
  <c r="BS173" i="5"/>
  <c r="BS200" i="5"/>
  <c r="BS48" i="6"/>
  <c r="AT44" i="6"/>
  <c r="BS47" i="6"/>
  <c r="BS106" i="6"/>
  <c r="BS137" i="6"/>
  <c r="BS166" i="6"/>
  <c r="AT160" i="6"/>
  <c r="BS228" i="6"/>
  <c r="BS222" i="6"/>
  <c r="BS37" i="7"/>
  <c r="AT106" i="7"/>
  <c r="BS139" i="7"/>
  <c r="U166" i="7"/>
  <c r="U195" i="7"/>
  <c r="AT45" i="8"/>
  <c r="BS77" i="8"/>
  <c r="AT133" i="8"/>
  <c r="AT131" i="8"/>
  <c r="U162" i="8"/>
  <c r="BS196" i="8"/>
  <c r="BS202" i="8"/>
  <c r="BS70" i="9"/>
  <c r="AC93" i="9"/>
  <c r="AT102" i="9"/>
  <c r="BS138" i="9"/>
  <c r="N155" i="9"/>
  <c r="BS165" i="9"/>
  <c r="BS160" i="9"/>
  <c r="BS168" i="9"/>
  <c r="U161" i="9"/>
  <c r="BS163" i="9"/>
  <c r="AT196" i="9"/>
  <c r="U199" i="9"/>
  <c r="N218" i="9"/>
  <c r="U229" i="9"/>
  <c r="AT132" i="4"/>
  <c r="BS128" i="4"/>
  <c r="U165" i="4"/>
  <c r="BS167" i="4"/>
  <c r="AT173" i="4"/>
  <c r="U204" i="4"/>
  <c r="U232" i="4"/>
  <c r="AT255" i="4"/>
  <c r="AT261" i="4"/>
  <c r="U264" i="4"/>
  <c r="AT17" i="5"/>
  <c r="AT139" i="5"/>
  <c r="AT160" i="5"/>
  <c r="U162" i="5"/>
  <c r="N187" i="5"/>
  <c r="AT193" i="5"/>
  <c r="BL218" i="5"/>
  <c r="BS13" i="6"/>
  <c r="AM93" i="6"/>
  <c r="BL93" i="6"/>
  <c r="BS13" i="7"/>
  <c r="N31" i="7"/>
  <c r="BS43" i="7"/>
  <c r="D93" i="7"/>
  <c r="BB124" i="7"/>
  <c r="BS137" i="7"/>
  <c r="AM155" i="7"/>
  <c r="BS191" i="7"/>
  <c r="U199" i="7"/>
  <c r="U71" i="8"/>
  <c r="U106" i="18" s="1"/>
  <c r="BS71" i="8"/>
  <c r="AT75" i="8"/>
  <c r="BB93" i="8"/>
  <c r="BS98" i="8"/>
  <c r="AT132" i="8"/>
  <c r="BS128" i="8"/>
  <c r="U167" i="8"/>
  <c r="BS171" i="8"/>
  <c r="E174" i="8"/>
  <c r="N187" i="8"/>
  <c r="AT196" i="8"/>
  <c r="AT201" i="8"/>
  <c r="BB205" i="8"/>
  <c r="BS9" i="9"/>
  <c r="AE49" i="9"/>
  <c r="AT100" i="9"/>
  <c r="AT129" i="9"/>
  <c r="AT130" i="9"/>
  <c r="BS129" i="9"/>
  <c r="U163" i="9"/>
  <c r="BS167" i="9"/>
  <c r="AT173" i="9"/>
  <c r="T205" i="9"/>
  <c r="BS192" i="9"/>
  <c r="U193" i="9"/>
  <c r="AT193" i="9"/>
  <c r="U204" i="9"/>
  <c r="AC249" i="9"/>
  <c r="AC174" i="5"/>
  <c r="U171" i="6"/>
  <c r="D31" i="7"/>
  <c r="E49" i="7"/>
  <c r="AT66" i="7"/>
  <c r="AT71" i="7"/>
  <c r="BS75" i="7"/>
  <c r="N93" i="7"/>
  <c r="AT104" i="7"/>
  <c r="AT140" i="7"/>
  <c r="AT171" i="7"/>
  <c r="BB187" i="7"/>
  <c r="BS200" i="7"/>
  <c r="U201" i="7"/>
  <c r="BB236" i="7"/>
  <c r="AT167" i="8"/>
  <c r="BS11" i="9"/>
  <c r="U39" i="9"/>
  <c r="U161" i="18" s="1"/>
  <c r="N93" i="9"/>
  <c r="E174" i="9"/>
  <c r="BS139" i="4"/>
  <c r="F142" i="4"/>
  <c r="F174" i="5"/>
  <c r="AE49" i="6"/>
  <c r="D93" i="6"/>
  <c r="BS141" i="6"/>
  <c r="U5" i="7"/>
  <c r="U4" i="18" s="1"/>
  <c r="BS41" i="7"/>
  <c r="AT44" i="7"/>
  <c r="F80" i="7"/>
  <c r="N155" i="7"/>
  <c r="BL187" i="7"/>
  <c r="AD49" i="8"/>
  <c r="AT49" i="8" s="1"/>
  <c r="U101" i="9"/>
  <c r="U189" i="18" s="1"/>
  <c r="AT15" i="4"/>
  <c r="D80" i="4"/>
  <c r="BS105" i="4"/>
  <c r="AM187" i="4"/>
  <c r="BS193" i="4"/>
  <c r="U193" i="4"/>
  <c r="BS191" i="4"/>
  <c r="U223" i="4"/>
  <c r="U260" i="4"/>
  <c r="AT258" i="4"/>
  <c r="AT10" i="5"/>
  <c r="AT47" i="5"/>
  <c r="BS77" i="5"/>
  <c r="AT97" i="5"/>
  <c r="AS174" i="5"/>
  <c r="BS164" i="5"/>
  <c r="BS203" i="5"/>
  <c r="AT133" i="6"/>
  <c r="BS129" i="6"/>
  <c r="AM187" i="6"/>
  <c r="U195" i="6"/>
  <c r="U191" i="6"/>
  <c r="BB218" i="6"/>
  <c r="BS5" i="7"/>
  <c r="AT4" i="7"/>
  <c r="BS15" i="7"/>
  <c r="U36" i="7"/>
  <c r="U18" i="18" s="1"/>
  <c r="BS36" i="7"/>
  <c r="AM124" i="7"/>
  <c r="AT136" i="7"/>
  <c r="BS141" i="7"/>
  <c r="AT172" i="7"/>
  <c r="AC187" i="7"/>
  <c r="BS196" i="7"/>
  <c r="U13" i="8"/>
  <c r="U82" i="18" s="1"/>
  <c r="AM124" i="8"/>
  <c r="BB142" i="8"/>
  <c r="BS167" i="8"/>
  <c r="AE205" i="8"/>
  <c r="AT42" i="9"/>
  <c r="AT43" i="9"/>
  <c r="AT72" i="9"/>
  <c r="BS75" i="9"/>
  <c r="AT107" i="9"/>
  <c r="BB124" i="9"/>
  <c r="BS135" i="9"/>
  <c r="BC80" i="6"/>
  <c r="U160" i="6"/>
  <c r="AT168" i="6"/>
  <c r="U161" i="6"/>
  <c r="AT170" i="6"/>
  <c r="U42" i="7"/>
  <c r="U24" i="18" s="1"/>
  <c r="AD80" i="7"/>
  <c r="D124" i="7"/>
  <c r="BS13" i="8"/>
  <c r="BS74" i="8"/>
  <c r="AT78" i="8"/>
  <c r="BS79" i="8"/>
  <c r="BL124" i="9"/>
  <c r="BB174" i="9"/>
  <c r="U199" i="4"/>
  <c r="U254" i="4"/>
  <c r="AT266" i="4"/>
  <c r="AT43" i="5"/>
  <c r="BS41" i="5"/>
  <c r="AT45" i="5"/>
  <c r="BS45" i="5"/>
  <c r="BB111" i="5"/>
  <c r="F142" i="5"/>
  <c r="AE142" i="5"/>
  <c r="BS102" i="7"/>
  <c r="N124" i="7"/>
  <c r="BS131" i="7"/>
  <c r="BS172" i="7"/>
  <c r="BS234" i="7"/>
  <c r="BD18" i="8"/>
  <c r="N93" i="8"/>
  <c r="N124" i="8"/>
  <c r="AT138" i="8"/>
  <c r="AT4" i="9"/>
  <c r="BS5" i="9"/>
  <c r="AT15" i="9"/>
  <c r="BS15" i="9"/>
  <c r="BS38" i="9"/>
  <c r="AT73" i="9"/>
  <c r="AT110" i="9"/>
  <c r="BS110" i="9"/>
  <c r="AC124" i="9"/>
  <c r="U170" i="9"/>
  <c r="AT172" i="9"/>
  <c r="AD236" i="9"/>
  <c r="AL81" i="25"/>
  <c r="AT105" i="5"/>
  <c r="AT110" i="5"/>
  <c r="U136" i="5"/>
  <c r="U137" i="17" s="1"/>
  <c r="BS131" i="5"/>
  <c r="BS141" i="5"/>
  <c r="BS169" i="5"/>
  <c r="AC31" i="6"/>
  <c r="BS36" i="6"/>
  <c r="BS99" i="6"/>
  <c r="BS110" i="6"/>
  <c r="AC124" i="6"/>
  <c r="AT172" i="6"/>
  <c r="BS230" i="6"/>
  <c r="AC62" i="7"/>
  <c r="BC111" i="7"/>
  <c r="BD205" i="7"/>
  <c r="BS41" i="8"/>
  <c r="BS72" i="8"/>
  <c r="AT77" i="8"/>
  <c r="BS75" i="8"/>
  <c r="BS105" i="8"/>
  <c r="AT130" i="8"/>
  <c r="AT140" i="8"/>
  <c r="D155" i="8"/>
  <c r="AT164" i="8"/>
  <c r="U172" i="8"/>
  <c r="N31" i="9"/>
  <c r="AM124" i="9"/>
  <c r="BS68" i="5"/>
  <c r="U17" i="7"/>
  <c r="U16" i="18" s="1"/>
  <c r="D62" i="7"/>
  <c r="BS72" i="7"/>
  <c r="AT73" i="7"/>
  <c r="AT77" i="7"/>
  <c r="AT98" i="7"/>
  <c r="AT99" i="7"/>
  <c r="BS129" i="7"/>
  <c r="AT201" i="7"/>
  <c r="BS204" i="7"/>
  <c r="BB218" i="7"/>
  <c r="U224" i="7"/>
  <c r="U235" i="7"/>
  <c r="BS9" i="8"/>
  <c r="AT46" i="8"/>
  <c r="BS70" i="8"/>
  <c r="BC205" i="8"/>
  <c r="U5" i="9"/>
  <c r="U144" i="18" s="1"/>
  <c r="BS4" i="9"/>
  <c r="AT13" i="9"/>
  <c r="U37" i="9"/>
  <c r="U159" i="18" s="1"/>
  <c r="BS69" i="9"/>
  <c r="AT101" i="9"/>
  <c r="BS107" i="9"/>
  <c r="AC111" i="9"/>
  <c r="D236" i="9"/>
  <c r="AT7" i="5"/>
  <c r="AT15" i="5"/>
  <c r="BS74" i="5"/>
  <c r="AT67" i="5"/>
  <c r="BS76" i="5"/>
  <c r="AT102" i="5"/>
  <c r="BS161" i="5"/>
  <c r="AT195" i="5"/>
  <c r="BS198" i="5"/>
  <c r="AT200" i="5"/>
  <c r="BS204" i="5"/>
  <c r="AT10" i="6"/>
  <c r="BS16" i="6"/>
  <c r="U40" i="6"/>
  <c r="U162" i="17" s="1"/>
  <c r="BS37" i="6"/>
  <c r="BL62" i="6"/>
  <c r="AT73" i="6"/>
  <c r="AT131" i="6"/>
  <c r="BS161" i="8"/>
  <c r="BS199" i="8"/>
  <c r="AT197" i="8"/>
  <c r="E174" i="5"/>
  <c r="BB62" i="6"/>
  <c r="BS70" i="6"/>
  <c r="U105" i="6"/>
  <c r="U193" i="17" s="1"/>
  <c r="N124" i="6"/>
  <c r="AT164" i="6"/>
  <c r="BS167" i="6"/>
  <c r="BS171" i="6"/>
  <c r="AT161" i="7"/>
  <c r="AT68" i="9"/>
  <c r="AT69" i="9"/>
  <c r="AT99" i="9"/>
  <c r="BS103" i="9"/>
  <c r="AT108" i="9"/>
  <c r="AC187" i="9"/>
  <c r="AT171" i="9"/>
  <c r="N187" i="9"/>
  <c r="D187" i="6"/>
  <c r="N187" i="6"/>
  <c r="AC111" i="6"/>
  <c r="AT101" i="6"/>
  <c r="BB93" i="4"/>
  <c r="AD142" i="8"/>
  <c r="AT134" i="8"/>
  <c r="AT129" i="8"/>
  <c r="BS138" i="8"/>
  <c r="BS141" i="8"/>
  <c r="BS129" i="8"/>
  <c r="BL187" i="9"/>
  <c r="BS162" i="9"/>
  <c r="BS170" i="9"/>
  <c r="BS173" i="9"/>
  <c r="BC174" i="9"/>
  <c r="BS197" i="4"/>
  <c r="BS204" i="4"/>
  <c r="BS196" i="4"/>
  <c r="BS201" i="4"/>
  <c r="BS195" i="4"/>
  <c r="BS199" i="4"/>
  <c r="BS135" i="4"/>
  <c r="BC142" i="4"/>
  <c r="BS129" i="4"/>
  <c r="BS134" i="4"/>
  <c r="AT135" i="4"/>
  <c r="AT140" i="4"/>
  <c r="AE142" i="4"/>
  <c r="AD142" i="4"/>
  <c r="AT134" i="4"/>
  <c r="AT79" i="4"/>
  <c r="AT73" i="4"/>
  <c r="BS201" i="5"/>
  <c r="BS197" i="5"/>
  <c r="AE205" i="5"/>
  <c r="AT192" i="5"/>
  <c r="AT196" i="5"/>
  <c r="E111" i="5"/>
  <c r="U100" i="5"/>
  <c r="U118" i="17" s="1"/>
  <c r="F111" i="5"/>
  <c r="U101" i="5"/>
  <c r="U119" i="17" s="1"/>
  <c r="U165" i="6"/>
  <c r="AC93" i="6"/>
  <c r="BB93" i="6"/>
  <c r="BL218" i="9"/>
  <c r="BS74" i="9"/>
  <c r="BB80" i="9"/>
  <c r="BC80" i="9"/>
  <c r="AT15" i="8"/>
  <c r="AT12" i="8"/>
  <c r="AT17" i="8"/>
  <c r="AT4" i="8"/>
  <c r="AT13" i="8"/>
  <c r="AD18" i="8"/>
  <c r="AT5" i="8"/>
  <c r="AT10" i="8"/>
  <c r="AT8" i="8"/>
  <c r="BS204" i="9"/>
  <c r="BS201" i="9"/>
  <c r="BS198" i="9"/>
  <c r="BS196" i="9"/>
  <c r="AT200" i="9"/>
  <c r="AT199" i="9"/>
  <c r="AT202" i="9"/>
  <c r="AT201" i="9"/>
  <c r="AT192" i="9"/>
  <c r="AT203" i="9"/>
  <c r="AT232" i="9"/>
  <c r="AT228" i="9"/>
  <c r="AT225" i="9"/>
  <c r="AT223" i="9"/>
  <c r="AM155" i="9"/>
  <c r="U133" i="9"/>
  <c r="U204" i="18" s="1"/>
  <c r="U132" i="9"/>
  <c r="U203" i="18" s="1"/>
  <c r="D142" i="9"/>
  <c r="AT141" i="9"/>
  <c r="AT140" i="9"/>
  <c r="AT136" i="9"/>
  <c r="AD142" i="9"/>
  <c r="AT133" i="9"/>
  <c r="U74" i="9"/>
  <c r="U76" i="9"/>
  <c r="AT77" i="9"/>
  <c r="N62" i="9"/>
  <c r="D62" i="9"/>
  <c r="AC62" i="9"/>
  <c r="AM62" i="9"/>
  <c r="BL62" i="9"/>
  <c r="AT47" i="9"/>
  <c r="BS48" i="9"/>
  <c r="BR49" i="9"/>
  <c r="BS45" i="9"/>
  <c r="BD49" i="9"/>
  <c r="BS36" i="9"/>
  <c r="BS35" i="9"/>
  <c r="D31" i="9"/>
  <c r="BS160" i="8"/>
  <c r="BS165" i="8"/>
  <c r="BD174" i="8"/>
  <c r="BS173" i="8"/>
  <c r="BS194" i="8"/>
  <c r="BS200" i="8"/>
  <c r="BB218" i="8"/>
  <c r="BL218" i="8"/>
  <c r="AC187" i="8"/>
  <c r="AM187" i="8"/>
  <c r="AT204" i="8"/>
  <c r="AT193" i="8"/>
  <c r="AT161" i="8"/>
  <c r="AT160" i="8"/>
  <c r="AT163" i="8"/>
  <c r="AT166" i="8"/>
  <c r="AT172" i="8"/>
  <c r="AT162" i="8"/>
  <c r="AT170" i="8"/>
  <c r="AT168" i="8"/>
  <c r="BB31" i="9"/>
  <c r="AT9" i="9"/>
  <c r="AT8" i="9"/>
  <c r="AT14" i="9"/>
  <c r="AT7" i="9"/>
  <c r="AT10" i="9"/>
  <c r="AC155" i="8"/>
  <c r="D111" i="8"/>
  <c r="U108" i="8"/>
  <c r="U126" i="18" s="1"/>
  <c r="U107" i="8"/>
  <c r="U125" i="18" s="1"/>
  <c r="E111" i="8"/>
  <c r="AT103" i="8"/>
  <c r="AC111" i="8"/>
  <c r="AT102" i="8"/>
  <c r="AT104" i="8"/>
  <c r="AE111" i="8"/>
  <c r="AT99" i="8"/>
  <c r="AT97" i="8"/>
  <c r="AC93" i="8"/>
  <c r="U67" i="8"/>
  <c r="U102" i="18" s="1"/>
  <c r="U66" i="8"/>
  <c r="U101" i="18" s="1"/>
  <c r="AT73" i="8"/>
  <c r="AT76" i="8"/>
  <c r="AT71" i="8"/>
  <c r="BS47" i="8"/>
  <c r="BS42" i="8"/>
  <c r="BS43" i="8"/>
  <c r="BS36" i="8"/>
  <c r="BL31" i="8"/>
  <c r="BS223" i="6"/>
  <c r="BS234" i="6"/>
  <c r="BS224" i="6"/>
  <c r="BS232" i="6"/>
  <c r="BS227" i="6"/>
  <c r="BB249" i="6"/>
  <c r="BL218" i="6"/>
  <c r="BL187" i="6"/>
  <c r="BS168" i="6"/>
  <c r="BS172" i="6"/>
  <c r="BS162" i="6"/>
  <c r="BS170" i="6"/>
  <c r="BS169" i="6"/>
  <c r="BS173" i="6"/>
  <c r="BS191" i="6"/>
  <c r="BS204" i="6"/>
  <c r="BS197" i="6"/>
  <c r="BS193" i="6"/>
  <c r="BS200" i="6"/>
  <c r="BS192" i="6"/>
  <c r="BS202" i="6"/>
  <c r="BS201" i="6"/>
  <c r="AT162" i="6"/>
  <c r="AT163" i="6"/>
  <c r="AD174" i="6"/>
  <c r="AT161" i="6"/>
  <c r="AC174" i="6"/>
  <c r="AU50" i="3"/>
  <c r="BF40" i="3"/>
  <c r="U137" i="6"/>
  <c r="U208" i="17" s="1"/>
  <c r="BS138" i="6"/>
  <c r="BS135" i="6"/>
  <c r="BS128" i="6"/>
  <c r="BS136" i="6"/>
  <c r="BS133" i="6"/>
  <c r="BS139" i="6"/>
  <c r="BC142" i="6"/>
  <c r="BS134" i="6"/>
  <c r="D124" i="6"/>
  <c r="BS101" i="6"/>
  <c r="BS109" i="6"/>
  <c r="BS100" i="6"/>
  <c r="BS108" i="6"/>
  <c r="BS98" i="6"/>
  <c r="AT108" i="6"/>
  <c r="U104" i="6"/>
  <c r="U192" i="17" s="1"/>
  <c r="F54" i="3"/>
  <c r="U97" i="6"/>
  <c r="U185" i="17" s="1"/>
  <c r="BS78" i="6"/>
  <c r="BS77" i="6"/>
  <c r="AT66" i="6"/>
  <c r="AT78" i="6"/>
  <c r="AT74" i="6"/>
  <c r="AT77" i="6"/>
  <c r="E80" i="6"/>
  <c r="AM62" i="6"/>
  <c r="AC62" i="6"/>
  <c r="AT46" i="6"/>
  <c r="AT42" i="6"/>
  <c r="BS41" i="6"/>
  <c r="BS45" i="6"/>
  <c r="BS43" i="6"/>
  <c r="BD49" i="6"/>
  <c r="BS38" i="6"/>
  <c r="BS39" i="6"/>
  <c r="AT37" i="6"/>
  <c r="AT35" i="6"/>
  <c r="G22" i="3"/>
  <c r="E18" i="6"/>
  <c r="AD18" i="6"/>
  <c r="AE18" i="6"/>
  <c r="AS18" i="6"/>
  <c r="AT5" i="6"/>
  <c r="AT6" i="6"/>
  <c r="BS11" i="6"/>
  <c r="BR18" i="6"/>
  <c r="BS6" i="6"/>
  <c r="BS15" i="6"/>
  <c r="BC18" i="6"/>
  <c r="BS7" i="6"/>
  <c r="BB18" i="6"/>
  <c r="BS14" i="6"/>
  <c r="D18" i="6"/>
  <c r="BB187" i="5"/>
  <c r="G16" i="3"/>
  <c r="D155" i="5"/>
  <c r="N155" i="5"/>
  <c r="AC155" i="5"/>
  <c r="AM155" i="5"/>
  <c r="AU37" i="3"/>
  <c r="BF36" i="3"/>
  <c r="BB155" i="5"/>
  <c r="BL155" i="5"/>
  <c r="N124" i="5"/>
  <c r="G14" i="3"/>
  <c r="G42" i="3"/>
  <c r="BG38" i="3"/>
  <c r="BB124" i="5"/>
  <c r="BL124" i="5"/>
  <c r="N62" i="5"/>
  <c r="BL62" i="5"/>
  <c r="BF37" i="3"/>
  <c r="BG37" i="3"/>
  <c r="BS8" i="5"/>
  <c r="BS11" i="5"/>
  <c r="BS4" i="5"/>
  <c r="BS7" i="5"/>
  <c r="BS9" i="5"/>
  <c r="BS15" i="5"/>
  <c r="U6" i="5"/>
  <c r="U75" i="17" s="1"/>
  <c r="F18" i="5"/>
  <c r="U5" i="5"/>
  <c r="U74" i="17" s="1"/>
  <c r="U9" i="5"/>
  <c r="U78" i="17" s="1"/>
  <c r="AC31" i="5"/>
  <c r="BG41" i="3"/>
  <c r="BG42" i="3"/>
  <c r="BB155" i="4"/>
  <c r="BF42" i="3"/>
  <c r="AC124" i="4"/>
  <c r="AV57" i="3"/>
  <c r="BF43" i="3"/>
  <c r="BB124" i="4"/>
  <c r="AM124" i="4"/>
  <c r="N93" i="4"/>
  <c r="BL93" i="4"/>
  <c r="AT191" i="4"/>
  <c r="AT193" i="4"/>
  <c r="AT200" i="4"/>
  <c r="AT198" i="4"/>
  <c r="BS171" i="4"/>
  <c r="BS163" i="4"/>
  <c r="BS166" i="4"/>
  <c r="BS164" i="4"/>
  <c r="BD174" i="4"/>
  <c r="BS172" i="4"/>
  <c r="BS5" i="4"/>
  <c r="BC18" i="4"/>
  <c r="BS36" i="4"/>
  <c r="BS46" i="4"/>
  <c r="BS45" i="4"/>
  <c r="AD49" i="4"/>
  <c r="AT48" i="4"/>
  <c r="AT197" i="4"/>
  <c r="AT204" i="4"/>
  <c r="AT43" i="4"/>
  <c r="AT36" i="4"/>
  <c r="AC49" i="4"/>
  <c r="AT41" i="4"/>
  <c r="AT46" i="4"/>
  <c r="BB187" i="4"/>
  <c r="BL187" i="4"/>
  <c r="AM62" i="4"/>
  <c r="AV31" i="3"/>
  <c r="D280" i="4"/>
  <c r="N280" i="4"/>
  <c r="G4" i="3"/>
  <c r="D31" i="4"/>
  <c r="BS173" i="7"/>
  <c r="BS165" i="7"/>
  <c r="BS164" i="7"/>
  <c r="BS163" i="7"/>
  <c r="BS162" i="7"/>
  <c r="BD174" i="7"/>
  <c r="BS229" i="7"/>
  <c r="BS222" i="7"/>
  <c r="BS231" i="7"/>
  <c r="BS226" i="7"/>
  <c r="BS233" i="7"/>
  <c r="AM187" i="7"/>
  <c r="AT165" i="7"/>
  <c r="AT163" i="7"/>
  <c r="AT160" i="7"/>
  <c r="AT170" i="7"/>
  <c r="AC174" i="7"/>
  <c r="AT193" i="7"/>
  <c r="AT191" i="7"/>
  <c r="AE205" i="7"/>
  <c r="AT197" i="7"/>
  <c r="AT195" i="7"/>
  <c r="AC218" i="7"/>
  <c r="AM218" i="7"/>
  <c r="D249" i="7"/>
  <c r="N249" i="7"/>
  <c r="U223" i="7"/>
  <c r="U232" i="7"/>
  <c r="U233" i="7"/>
  <c r="U227" i="7"/>
  <c r="N187" i="7"/>
  <c r="D174" i="7"/>
  <c r="U161" i="7"/>
  <c r="U170" i="7"/>
  <c r="U171" i="7"/>
  <c r="N59" i="3"/>
  <c r="N7" i="3"/>
  <c r="AY53" i="3"/>
  <c r="BS134" i="7"/>
  <c r="G59" i="3"/>
  <c r="R8" i="3"/>
  <c r="BS106" i="7"/>
  <c r="BS109" i="7"/>
  <c r="BS103" i="7"/>
  <c r="AT105" i="7"/>
  <c r="AT97" i="7"/>
  <c r="BS98" i="7"/>
  <c r="BS110" i="7"/>
  <c r="BS107" i="7"/>
  <c r="BS97" i="7"/>
  <c r="BS105" i="7"/>
  <c r="BD111" i="7"/>
  <c r="BS100" i="7"/>
  <c r="BS108" i="7"/>
  <c r="AT79" i="7"/>
  <c r="AT72" i="7"/>
  <c r="AT67" i="7"/>
  <c r="BS68" i="7"/>
  <c r="BS70" i="7"/>
  <c r="BS73" i="7"/>
  <c r="BB93" i="7"/>
  <c r="AC93" i="7"/>
  <c r="C34" i="3"/>
  <c r="N50" i="3"/>
  <c r="BB62" i="7"/>
  <c r="BS40" i="7"/>
  <c r="BS45" i="7"/>
  <c r="AT46" i="7"/>
  <c r="AT35" i="7"/>
  <c r="AT43" i="7"/>
  <c r="AT41" i="7"/>
  <c r="AT42" i="7"/>
  <c r="AT45" i="7"/>
  <c r="AT37" i="7"/>
  <c r="AE49" i="7"/>
  <c r="AT5" i="7"/>
  <c r="AT16" i="7"/>
  <c r="AD18" i="7"/>
  <c r="AT8" i="7"/>
  <c r="E18" i="7"/>
  <c r="AT7" i="7"/>
  <c r="AT6" i="7"/>
  <c r="AT9" i="7"/>
  <c r="AT12" i="7"/>
  <c r="BS40" i="5"/>
  <c r="BS46" i="5"/>
  <c r="BS191" i="9"/>
  <c r="BR174" i="9"/>
  <c r="BD174" i="9"/>
  <c r="BS164" i="9"/>
  <c r="BS161" i="9"/>
  <c r="BS171" i="9"/>
  <c r="BR142" i="9"/>
  <c r="BD142" i="9"/>
  <c r="BS133" i="9"/>
  <c r="BS136" i="9"/>
  <c r="BS141" i="9"/>
  <c r="BS104" i="9"/>
  <c r="BR111" i="9"/>
  <c r="BD111" i="9"/>
  <c r="BS101" i="9"/>
  <c r="BS108" i="9"/>
  <c r="BC111" i="9"/>
  <c r="BS98" i="9"/>
  <c r="BS66" i="9"/>
  <c r="BS73" i="9"/>
  <c r="BD80" i="9"/>
  <c r="BS68" i="9"/>
  <c r="BR80" i="9"/>
  <c r="BS71" i="9"/>
  <c r="BS41" i="9"/>
  <c r="BS43" i="9"/>
  <c r="BS44" i="9"/>
  <c r="BS42" i="9"/>
  <c r="BC49" i="9"/>
  <c r="BS37" i="9"/>
  <c r="BS6" i="9"/>
  <c r="BR18" i="9"/>
  <c r="BS12" i="9"/>
  <c r="BS17" i="9"/>
  <c r="AT231" i="9"/>
  <c r="AT233" i="9"/>
  <c r="AE236" i="9"/>
  <c r="AT227" i="9"/>
  <c r="AT229" i="9"/>
  <c r="AC205" i="9"/>
  <c r="AE205" i="9"/>
  <c r="AT191" i="9"/>
  <c r="AT198" i="9"/>
  <c r="AT162" i="9"/>
  <c r="AT163" i="9"/>
  <c r="AE174" i="9"/>
  <c r="AT161" i="9"/>
  <c r="AT166" i="9"/>
  <c r="AD174" i="9"/>
  <c r="AS174" i="9"/>
  <c r="AT169" i="9"/>
  <c r="AT128" i="9"/>
  <c r="AT135" i="9"/>
  <c r="AT132" i="9"/>
  <c r="AT139" i="9"/>
  <c r="AS142" i="9"/>
  <c r="AT138" i="9"/>
  <c r="AD111" i="9"/>
  <c r="AT104" i="9"/>
  <c r="AS111" i="9"/>
  <c r="AD80" i="9"/>
  <c r="AS80" i="9"/>
  <c r="AT70" i="9"/>
  <c r="AE80" i="9"/>
  <c r="AC80" i="9"/>
  <c r="AT71" i="9"/>
  <c r="AT35" i="9"/>
  <c r="AT44" i="9"/>
  <c r="AT41" i="9"/>
  <c r="AT45" i="9"/>
  <c r="AT39" i="9"/>
  <c r="AS49" i="9"/>
  <c r="AD49" i="9"/>
  <c r="AT36" i="9"/>
  <c r="AT11" i="9"/>
  <c r="AT12" i="9"/>
  <c r="AS18" i="9"/>
  <c r="AD18" i="9"/>
  <c r="AT17" i="9"/>
  <c r="AT6" i="9"/>
  <c r="AE18" i="9"/>
  <c r="U226" i="9"/>
  <c r="U231" i="9"/>
  <c r="U232" i="9"/>
  <c r="T236" i="9"/>
  <c r="E236" i="9"/>
  <c r="U227" i="9"/>
  <c r="U224" i="9"/>
  <c r="U223" i="9"/>
  <c r="U198" i="9"/>
  <c r="U194" i="9"/>
  <c r="U192" i="9"/>
  <c r="F205" i="9"/>
  <c r="U203" i="9"/>
  <c r="U191" i="9"/>
  <c r="T174" i="9"/>
  <c r="U160" i="9"/>
  <c r="U167" i="9"/>
  <c r="U173" i="9"/>
  <c r="U172" i="9"/>
  <c r="U171" i="9"/>
  <c r="U169" i="9"/>
  <c r="F174" i="9"/>
  <c r="U135" i="9"/>
  <c r="U206" i="18" s="1"/>
  <c r="F142" i="9"/>
  <c r="E142" i="9"/>
  <c r="U140" i="9"/>
  <c r="U211" i="18" s="1"/>
  <c r="U136" i="9"/>
  <c r="U207" i="18" s="1"/>
  <c r="E111" i="9"/>
  <c r="F111" i="9"/>
  <c r="U105" i="9"/>
  <c r="U193" i="18" s="1"/>
  <c r="U104" i="9"/>
  <c r="U192" i="18" s="1"/>
  <c r="U70" i="9"/>
  <c r="U72" i="9"/>
  <c r="U73" i="9"/>
  <c r="F80" i="9"/>
  <c r="U79" i="9"/>
  <c r="F49" i="9"/>
  <c r="U43" i="9"/>
  <c r="U165" i="18" s="1"/>
  <c r="F33" i="3"/>
  <c r="D49" i="9"/>
  <c r="U6" i="9"/>
  <c r="U145" i="18" s="1"/>
  <c r="U16" i="9"/>
  <c r="U155" i="18" s="1"/>
  <c r="U13" i="9"/>
  <c r="U152" i="18" s="1"/>
  <c r="U4" i="9"/>
  <c r="U143" i="18" s="1"/>
  <c r="F18" i="9"/>
  <c r="BD205" i="8"/>
  <c r="BR205" i="8"/>
  <c r="BS197" i="8"/>
  <c r="BS191" i="8"/>
  <c r="BS164" i="8"/>
  <c r="BR174" i="8"/>
  <c r="BS169" i="8"/>
  <c r="BS168" i="8"/>
  <c r="BS166" i="8"/>
  <c r="BS162" i="8"/>
  <c r="BS130" i="8"/>
  <c r="BR142" i="8"/>
  <c r="BS135" i="8"/>
  <c r="BS139" i="8"/>
  <c r="BD142" i="8"/>
  <c r="BS134" i="8"/>
  <c r="BS137" i="8"/>
  <c r="BS133" i="8"/>
  <c r="BS136" i="8"/>
  <c r="BS131" i="8"/>
  <c r="BS101" i="8"/>
  <c r="BR80" i="8"/>
  <c r="BS78" i="8"/>
  <c r="BS40" i="8"/>
  <c r="BC49" i="8"/>
  <c r="BS48" i="8"/>
  <c r="BS39" i="8"/>
  <c r="BR49" i="8"/>
  <c r="BR18" i="8"/>
  <c r="BB18" i="8"/>
  <c r="BS14" i="8"/>
  <c r="BS12" i="8"/>
  <c r="AT192" i="8"/>
  <c r="AS205" i="8"/>
  <c r="AT198" i="8"/>
  <c r="AT199" i="8"/>
  <c r="AC205" i="8"/>
  <c r="AT194" i="8"/>
  <c r="AT203" i="8"/>
  <c r="AT191" i="8"/>
  <c r="AT200" i="8"/>
  <c r="AT165" i="8"/>
  <c r="AT173" i="8"/>
  <c r="AS174" i="8"/>
  <c r="AT171" i="8"/>
  <c r="AT136" i="8"/>
  <c r="AT135" i="8"/>
  <c r="AT137" i="8"/>
  <c r="AS142" i="8"/>
  <c r="AT141" i="8"/>
  <c r="AT128" i="8"/>
  <c r="AE142" i="8"/>
  <c r="AT101" i="8"/>
  <c r="AT107" i="8"/>
  <c r="AS111" i="8"/>
  <c r="AT106" i="8"/>
  <c r="AT100" i="8"/>
  <c r="AT108" i="8"/>
  <c r="AT110" i="8"/>
  <c r="AD111" i="8"/>
  <c r="AT66" i="8"/>
  <c r="AT69" i="8"/>
  <c r="AT72" i="8"/>
  <c r="AT79" i="8"/>
  <c r="AS80" i="8"/>
  <c r="AE80" i="8"/>
  <c r="AT67" i="8"/>
  <c r="AS49" i="8"/>
  <c r="AT35" i="8"/>
  <c r="AT36" i="8"/>
  <c r="AT41" i="8"/>
  <c r="AT47" i="8"/>
  <c r="AT7" i="8"/>
  <c r="AT9" i="8"/>
  <c r="AT16" i="8"/>
  <c r="AT11" i="8"/>
  <c r="AS18" i="8"/>
  <c r="AC18" i="8"/>
  <c r="U164" i="8"/>
  <c r="U163" i="8"/>
  <c r="T174" i="8"/>
  <c r="F174" i="8"/>
  <c r="U171" i="8"/>
  <c r="U160" i="8"/>
  <c r="U166" i="8"/>
  <c r="U165" i="8"/>
  <c r="U128" i="8"/>
  <c r="U129" i="18" s="1"/>
  <c r="U140" i="8"/>
  <c r="U141" i="18" s="1"/>
  <c r="F142" i="8"/>
  <c r="U141" i="8"/>
  <c r="U142" i="18" s="1"/>
  <c r="U101" i="8"/>
  <c r="U119" i="18" s="1"/>
  <c r="U97" i="8"/>
  <c r="U115" i="18" s="1"/>
  <c r="U105" i="8"/>
  <c r="U123" i="18" s="1"/>
  <c r="F111" i="8"/>
  <c r="U72" i="8"/>
  <c r="U107" i="18" s="1"/>
  <c r="U68" i="8"/>
  <c r="U103" i="18" s="1"/>
  <c r="Q15" i="3"/>
  <c r="U47" i="8"/>
  <c r="U99" i="18" s="1"/>
  <c r="E49" i="8"/>
  <c r="U9" i="8"/>
  <c r="U78" i="18" s="1"/>
  <c r="U10" i="8"/>
  <c r="U79" i="18" s="1"/>
  <c r="U7" i="8"/>
  <c r="U76" i="18" s="1"/>
  <c r="U4" i="8"/>
  <c r="U73" i="18" s="1"/>
  <c r="E18" i="8"/>
  <c r="D18" i="8"/>
  <c r="F18" i="8"/>
  <c r="U17" i="8"/>
  <c r="U86" i="18" s="1"/>
  <c r="BD236" i="7"/>
  <c r="BR236" i="7"/>
  <c r="BS230" i="7"/>
  <c r="BS225" i="7"/>
  <c r="BC236" i="7"/>
  <c r="BS232" i="7"/>
  <c r="BS223" i="7"/>
  <c r="BS227" i="7"/>
  <c r="BS228" i="7"/>
  <c r="BS235" i="7"/>
  <c r="BR205" i="7"/>
  <c r="BS199" i="7"/>
  <c r="BS193" i="7"/>
  <c r="BR174" i="7"/>
  <c r="BS168" i="7"/>
  <c r="BS167" i="7"/>
  <c r="BS170" i="7"/>
  <c r="BS166" i="7"/>
  <c r="BC174" i="7"/>
  <c r="BS135" i="7"/>
  <c r="BS133" i="7"/>
  <c r="BD142" i="7"/>
  <c r="BS130" i="7"/>
  <c r="BR142" i="7"/>
  <c r="BS104" i="7"/>
  <c r="BS101" i="7"/>
  <c r="BS99" i="7"/>
  <c r="BR111" i="7"/>
  <c r="BS74" i="7"/>
  <c r="BD80" i="7"/>
  <c r="BS80" i="7" s="1"/>
  <c r="BS67" i="7"/>
  <c r="BS71" i="7"/>
  <c r="BR80" i="7"/>
  <c r="BS79" i="7"/>
  <c r="BS35" i="7"/>
  <c r="BC49" i="7"/>
  <c r="BS39" i="7"/>
  <c r="BS44" i="7"/>
  <c r="BD49" i="7"/>
  <c r="BS42" i="7"/>
  <c r="BR49" i="7"/>
  <c r="BS46" i="7"/>
  <c r="BS9" i="7"/>
  <c r="BS7" i="7"/>
  <c r="BB18" i="7"/>
  <c r="BR18" i="7"/>
  <c r="BD18" i="7"/>
  <c r="BS10" i="7"/>
  <c r="BS12" i="7"/>
  <c r="BS17" i="7"/>
  <c r="BC18" i="7"/>
  <c r="AC205" i="7"/>
  <c r="AT192" i="7"/>
  <c r="AS205" i="7"/>
  <c r="AT204" i="7"/>
  <c r="AT196" i="7"/>
  <c r="AT203" i="7"/>
  <c r="AD142" i="7"/>
  <c r="AE142" i="7"/>
  <c r="AT129" i="7"/>
  <c r="AT132" i="7"/>
  <c r="AT131" i="7"/>
  <c r="AS142" i="7"/>
  <c r="AT102" i="7"/>
  <c r="AS111" i="7"/>
  <c r="AT107" i="7"/>
  <c r="AC111" i="7"/>
  <c r="AE111" i="7"/>
  <c r="AS80" i="7"/>
  <c r="AE80" i="7"/>
  <c r="AT69" i="7"/>
  <c r="AT68" i="7"/>
  <c r="AT39" i="7"/>
  <c r="AT47" i="7"/>
  <c r="AT40" i="7"/>
  <c r="AS49" i="7"/>
  <c r="AS18" i="7"/>
  <c r="AT10" i="7"/>
  <c r="AE18" i="7"/>
  <c r="AT11" i="7"/>
  <c r="AT14" i="7"/>
  <c r="AT13" i="7"/>
  <c r="U229" i="7"/>
  <c r="F236" i="7"/>
  <c r="U225" i="7"/>
  <c r="U230" i="7"/>
  <c r="T236" i="7"/>
  <c r="U231" i="7"/>
  <c r="U234" i="7"/>
  <c r="U196" i="7"/>
  <c r="U192" i="7"/>
  <c r="D205" i="7"/>
  <c r="F205" i="7"/>
  <c r="T205" i="7"/>
  <c r="U200" i="7"/>
  <c r="U198" i="7"/>
  <c r="U168" i="7"/>
  <c r="U160" i="7"/>
  <c r="T174" i="7"/>
  <c r="U167" i="7"/>
  <c r="U163" i="7"/>
  <c r="F174" i="7"/>
  <c r="U165" i="7"/>
  <c r="U169" i="7"/>
  <c r="U131" i="7"/>
  <c r="U62" i="18" s="1"/>
  <c r="BS226" i="6"/>
  <c r="BD236" i="6"/>
  <c r="BS229" i="6"/>
  <c r="BS231" i="6"/>
  <c r="BR205" i="6"/>
  <c r="BD205" i="6"/>
  <c r="BS164" i="6"/>
  <c r="BS160" i="6"/>
  <c r="BS163" i="6"/>
  <c r="BS132" i="6"/>
  <c r="BS140" i="6"/>
  <c r="BS131" i="6"/>
  <c r="BS103" i="6"/>
  <c r="BS69" i="6"/>
  <c r="BS67" i="6"/>
  <c r="BB49" i="6"/>
  <c r="BR49" i="6"/>
  <c r="BS40" i="6"/>
  <c r="BC49" i="6"/>
  <c r="BS8" i="6"/>
  <c r="AT167" i="6"/>
  <c r="AT173" i="6"/>
  <c r="AT169" i="6"/>
  <c r="AT165" i="6"/>
  <c r="AE174" i="6"/>
  <c r="AC142" i="6"/>
  <c r="AT110" i="6"/>
  <c r="AT104" i="6"/>
  <c r="AT100" i="6"/>
  <c r="AT75" i="6"/>
  <c r="AC80" i="6"/>
  <c r="F205" i="6"/>
  <c r="U198" i="6"/>
  <c r="U193" i="6"/>
  <c r="U192" i="6"/>
  <c r="U203" i="6"/>
  <c r="U200" i="6"/>
  <c r="U196" i="6"/>
  <c r="U194" i="6"/>
  <c r="U201" i="6"/>
  <c r="E205" i="6"/>
  <c r="U170" i="6"/>
  <c r="E174" i="6"/>
  <c r="U168" i="6"/>
  <c r="U167" i="6"/>
  <c r="U163" i="6"/>
  <c r="D174" i="6"/>
  <c r="F174" i="6"/>
  <c r="U131" i="6"/>
  <c r="U202" i="17" s="1"/>
  <c r="F142" i="6"/>
  <c r="U141" i="6"/>
  <c r="U212" i="17" s="1"/>
  <c r="U132" i="6"/>
  <c r="U203" i="17" s="1"/>
  <c r="U106" i="6"/>
  <c r="U196" i="17" s="1"/>
  <c r="U101" i="6"/>
  <c r="U189" i="17" s="1"/>
  <c r="U71" i="6"/>
  <c r="U176" i="17" s="1"/>
  <c r="U69" i="6"/>
  <c r="U174" i="17" s="1"/>
  <c r="U70" i="6"/>
  <c r="U175" i="17" s="1"/>
  <c r="U77" i="6"/>
  <c r="U182" i="17" s="1"/>
  <c r="U74" i="6"/>
  <c r="U179" i="17" s="1"/>
  <c r="U72" i="6"/>
  <c r="U177" i="17" s="1"/>
  <c r="U75" i="6"/>
  <c r="U180" i="17" s="1"/>
  <c r="U73" i="6"/>
  <c r="U178" i="17" s="1"/>
  <c r="U41" i="6"/>
  <c r="U163" i="17" s="1"/>
  <c r="U39" i="6"/>
  <c r="U161" i="17" s="1"/>
  <c r="U43" i="6"/>
  <c r="U165" i="17" s="1"/>
  <c r="F37" i="3"/>
  <c r="U35" i="6"/>
  <c r="U157" i="17" s="1"/>
  <c r="U10" i="6"/>
  <c r="U149" i="17" s="1"/>
  <c r="U12" i="6"/>
  <c r="U151" i="17" s="1"/>
  <c r="U5" i="6"/>
  <c r="U144" i="17" s="1"/>
  <c r="U16" i="6"/>
  <c r="U155" i="17" s="1"/>
  <c r="U17" i="6"/>
  <c r="U156" i="17" s="1"/>
  <c r="U14" i="6"/>
  <c r="U153" i="17" s="1"/>
  <c r="F18" i="6"/>
  <c r="BD205" i="5"/>
  <c r="BS196" i="5"/>
  <c r="BS191" i="5"/>
  <c r="BS163" i="5"/>
  <c r="BS160" i="5"/>
  <c r="BS172" i="5"/>
  <c r="BD174" i="5"/>
  <c r="BC174" i="5"/>
  <c r="BS171" i="5"/>
  <c r="BD142" i="5"/>
  <c r="BS136" i="5"/>
  <c r="BR142" i="5"/>
  <c r="BC142" i="5"/>
  <c r="BS135" i="5"/>
  <c r="BS105" i="5"/>
  <c r="BS104" i="5"/>
  <c r="BS106" i="5"/>
  <c r="BS101" i="5"/>
  <c r="BS100" i="5"/>
  <c r="BS67" i="5"/>
  <c r="BR80" i="5"/>
  <c r="BS78" i="5"/>
  <c r="BB80" i="5"/>
  <c r="BS70" i="5"/>
  <c r="BC80" i="5"/>
  <c r="BS71" i="5"/>
  <c r="BS75" i="5"/>
  <c r="BS36" i="5"/>
  <c r="BC49" i="5"/>
  <c r="BR49" i="5"/>
  <c r="BS38" i="5"/>
  <c r="BS35" i="5"/>
  <c r="BD49" i="5"/>
  <c r="BS10" i="5"/>
  <c r="BS17" i="5"/>
  <c r="BC18" i="5"/>
  <c r="AT199" i="5"/>
  <c r="AT203" i="5"/>
  <c r="AT201" i="5"/>
  <c r="AT194" i="5"/>
  <c r="AT161" i="5"/>
  <c r="AT163" i="5"/>
  <c r="AT168" i="5"/>
  <c r="AS142" i="5"/>
  <c r="AT128" i="5"/>
  <c r="AT129" i="5"/>
  <c r="AT130" i="5"/>
  <c r="AT138" i="5"/>
  <c r="AT137" i="5"/>
  <c r="AT133" i="5"/>
  <c r="AT135" i="5"/>
  <c r="AD142" i="5"/>
  <c r="AT104" i="5"/>
  <c r="AE111" i="5"/>
  <c r="AS111" i="5"/>
  <c r="AT99" i="5"/>
  <c r="AT107" i="5"/>
  <c r="AS80" i="5"/>
  <c r="AT75" i="5"/>
  <c r="AT72" i="5"/>
  <c r="AC80" i="5"/>
  <c r="AT68" i="5"/>
  <c r="AT38" i="5"/>
  <c r="AE49" i="5"/>
  <c r="AT37" i="5"/>
  <c r="AD49" i="5"/>
  <c r="AT46" i="5"/>
  <c r="AT8" i="5"/>
  <c r="AT13" i="5"/>
  <c r="AS18" i="5"/>
  <c r="AT6" i="5"/>
  <c r="U169" i="5"/>
  <c r="U163" i="5"/>
  <c r="T174" i="5"/>
  <c r="U167" i="5"/>
  <c r="F46" i="3"/>
  <c r="U130" i="5"/>
  <c r="U131" i="17" s="1"/>
  <c r="U141" i="5"/>
  <c r="U142" i="17" s="1"/>
  <c r="U137" i="5"/>
  <c r="U138" i="17" s="1"/>
  <c r="D111" i="5"/>
  <c r="U97" i="5"/>
  <c r="U115" i="17" s="1"/>
  <c r="U105" i="5"/>
  <c r="U123" i="17" s="1"/>
  <c r="U98" i="5"/>
  <c r="U116" i="17" s="1"/>
  <c r="F15" i="3"/>
  <c r="U74" i="5"/>
  <c r="U109" i="17" s="1"/>
  <c r="F80" i="5"/>
  <c r="U76" i="5"/>
  <c r="U111" i="17" s="1"/>
  <c r="U79" i="5"/>
  <c r="U114" i="17" s="1"/>
  <c r="U77" i="5"/>
  <c r="U112" i="17" s="1"/>
  <c r="U39" i="5"/>
  <c r="U91" i="17" s="1"/>
  <c r="U36" i="5"/>
  <c r="U88" i="17" s="1"/>
  <c r="U43" i="5"/>
  <c r="U95" i="17" s="1"/>
  <c r="U42" i="5"/>
  <c r="U94" i="17" s="1"/>
  <c r="F49" i="5"/>
  <c r="U35" i="5"/>
  <c r="U87" i="17" s="1"/>
  <c r="E49" i="5"/>
  <c r="U10" i="5"/>
  <c r="U79" i="17" s="1"/>
  <c r="BS198" i="4"/>
  <c r="BC205" i="4"/>
  <c r="BS192" i="4"/>
  <c r="BB205" i="4"/>
  <c r="BS202" i="4"/>
  <c r="BS203" i="4"/>
  <c r="BR174" i="4"/>
  <c r="BS161" i="4"/>
  <c r="BS162" i="4"/>
  <c r="BS173" i="4"/>
  <c r="BS110" i="4"/>
  <c r="BC111" i="4"/>
  <c r="BS67" i="4"/>
  <c r="BS42" i="4"/>
  <c r="BS40" i="4"/>
  <c r="BS47" i="4"/>
  <c r="BS13" i="4"/>
  <c r="BS4" i="4"/>
  <c r="AX35" i="3"/>
  <c r="BS10" i="4"/>
  <c r="AT105" i="4"/>
  <c r="AT101" i="4"/>
  <c r="AT104" i="4"/>
  <c r="AT108" i="4"/>
  <c r="AE111" i="4"/>
  <c r="AS80" i="4"/>
  <c r="AT75" i="4"/>
  <c r="AT38" i="4"/>
  <c r="AE49" i="4"/>
  <c r="AT45" i="4"/>
  <c r="AT39" i="4"/>
  <c r="AT35" i="4"/>
  <c r="AE18" i="4"/>
  <c r="AT12" i="4"/>
  <c r="AD18" i="4"/>
  <c r="AT5" i="4"/>
  <c r="AT11" i="4"/>
  <c r="AS18" i="4"/>
  <c r="AT166" i="7"/>
  <c r="AT173" i="7"/>
  <c r="AT169" i="7"/>
  <c r="AE174" i="7"/>
  <c r="AS174" i="7"/>
  <c r="AT168" i="7"/>
  <c r="F142" i="7"/>
  <c r="U133" i="7"/>
  <c r="U64" i="18" s="1"/>
  <c r="U140" i="7"/>
  <c r="U71" i="18" s="1"/>
  <c r="F52" i="3"/>
  <c r="U105" i="7"/>
  <c r="U53" i="18" s="1"/>
  <c r="F111" i="7"/>
  <c r="U98" i="7"/>
  <c r="U46" i="18" s="1"/>
  <c r="U106" i="7"/>
  <c r="U54" i="18" s="1"/>
  <c r="U69" i="7"/>
  <c r="U34" i="18" s="1"/>
  <c r="U75" i="7"/>
  <c r="U40" i="18" s="1"/>
  <c r="U66" i="7"/>
  <c r="U31" i="18" s="1"/>
  <c r="U74" i="7"/>
  <c r="U39" i="18" s="1"/>
  <c r="U73" i="7"/>
  <c r="U38" i="18" s="1"/>
  <c r="U68" i="7"/>
  <c r="U33" i="18" s="1"/>
  <c r="U72" i="7"/>
  <c r="U37" i="18" s="1"/>
  <c r="E80" i="7"/>
  <c r="U39" i="7"/>
  <c r="U21" i="18" s="1"/>
  <c r="F49" i="7"/>
  <c r="U44" i="7"/>
  <c r="U26" i="18" s="1"/>
  <c r="Q4" i="3"/>
  <c r="U41" i="7"/>
  <c r="U23" i="18" s="1"/>
  <c r="U6" i="7"/>
  <c r="U5" i="18" s="1"/>
  <c r="U14" i="7"/>
  <c r="U13" i="18" s="1"/>
  <c r="U7" i="7"/>
  <c r="U6" i="18" s="1"/>
  <c r="D18" i="7"/>
  <c r="F18" i="7"/>
  <c r="AT132" i="6"/>
  <c r="AT137" i="6"/>
  <c r="AT140" i="6"/>
  <c r="AT138" i="6"/>
  <c r="AT103" i="6"/>
  <c r="AT98" i="6"/>
  <c r="AT106" i="6"/>
  <c r="AT97" i="6"/>
  <c r="AT102" i="6"/>
  <c r="AT107" i="6"/>
  <c r="AT105" i="6"/>
  <c r="AS111" i="6"/>
  <c r="AT99" i="6"/>
  <c r="AE111" i="6"/>
  <c r="AT67" i="6"/>
  <c r="AE80" i="6"/>
  <c r="AT76" i="6"/>
  <c r="AS80" i="6"/>
  <c r="AT72" i="6"/>
  <c r="AT71" i="6"/>
  <c r="AT68" i="6"/>
  <c r="AT43" i="6"/>
  <c r="AT40" i="6"/>
  <c r="AS49" i="6"/>
  <c r="AT48" i="6"/>
  <c r="AT47" i="6"/>
  <c r="AT16" i="6"/>
  <c r="AT4" i="6"/>
  <c r="BS131" i="4"/>
  <c r="BR142" i="4"/>
  <c r="BS132" i="4"/>
  <c r="BS130" i="4"/>
  <c r="BD142" i="4"/>
  <c r="AT141" i="4"/>
  <c r="AT139" i="4"/>
  <c r="AT133" i="4"/>
  <c r="AT130" i="4"/>
  <c r="AT138" i="4"/>
  <c r="AC142" i="4"/>
  <c r="AS205" i="5"/>
  <c r="AT191" i="5"/>
  <c r="AT197" i="5"/>
  <c r="AD205" i="5"/>
  <c r="AE174" i="4"/>
  <c r="AT174" i="4" s="1"/>
  <c r="AT163" i="4"/>
  <c r="AT166" i="4"/>
  <c r="AS174" i="4"/>
  <c r="AT168" i="4"/>
  <c r="AT170" i="4"/>
  <c r="AT194" i="4"/>
  <c r="AT203" i="4"/>
  <c r="AT199" i="4"/>
  <c r="AT229" i="4"/>
  <c r="AT226" i="4"/>
  <c r="AT222" i="4"/>
  <c r="AT232" i="4"/>
  <c r="AT227" i="4"/>
  <c r="AT223" i="4"/>
  <c r="AC236" i="4"/>
  <c r="AT234" i="4"/>
  <c r="AT231" i="4"/>
  <c r="AT235" i="4"/>
  <c r="AT230" i="4"/>
  <c r="AT228" i="4"/>
  <c r="AS236" i="4"/>
  <c r="AT233" i="4"/>
  <c r="AE236" i="4"/>
  <c r="AT253" i="4"/>
  <c r="AT257" i="4"/>
  <c r="AE267" i="4"/>
  <c r="AT259" i="4"/>
  <c r="AT256" i="4"/>
  <c r="AS267" i="4"/>
  <c r="AT260" i="4"/>
  <c r="AT264" i="4"/>
  <c r="U262" i="4"/>
  <c r="F267" i="4"/>
  <c r="U233" i="4"/>
  <c r="D236" i="4"/>
  <c r="U228" i="4"/>
  <c r="U222" i="4"/>
  <c r="U202" i="4"/>
  <c r="U198" i="4"/>
  <c r="U169" i="4"/>
  <c r="U166" i="4"/>
  <c r="F174" i="4"/>
  <c r="U160" i="4"/>
  <c r="U161" i="4"/>
  <c r="E174" i="4"/>
  <c r="U129" i="4"/>
  <c r="U60" i="17" s="1"/>
  <c r="U132" i="4"/>
  <c r="U63" i="17" s="1"/>
  <c r="U136" i="4"/>
  <c r="U67" i="17" s="1"/>
  <c r="U135" i="4"/>
  <c r="U66" i="17" s="1"/>
  <c r="E142" i="4"/>
  <c r="U130" i="4"/>
  <c r="U61" i="17" s="1"/>
  <c r="F111" i="4"/>
  <c r="U105" i="4"/>
  <c r="U53" i="17" s="1"/>
  <c r="U100" i="4"/>
  <c r="U48" i="17" s="1"/>
  <c r="U98" i="4"/>
  <c r="U46" i="17" s="1"/>
  <c r="U103" i="4"/>
  <c r="U51" i="17" s="1"/>
  <c r="F39" i="3"/>
  <c r="U104" i="4"/>
  <c r="U52" i="17" s="1"/>
  <c r="D111" i="4"/>
  <c r="U74" i="4"/>
  <c r="U39" i="17" s="1"/>
  <c r="U68" i="4"/>
  <c r="U33" i="17" s="1"/>
  <c r="E80" i="4"/>
  <c r="U37" i="4"/>
  <c r="U19" i="17" s="1"/>
  <c r="F49" i="4"/>
  <c r="D18" i="4"/>
  <c r="F18" i="4"/>
  <c r="U9" i="4"/>
  <c r="U11" i="17" s="1"/>
  <c r="U11" i="4"/>
  <c r="U10" i="17" s="1"/>
  <c r="U12" i="4"/>
  <c r="U8" i="17" s="1"/>
  <c r="E18" i="4"/>
  <c r="BF31" i="3"/>
  <c r="AU31" i="3"/>
  <c r="AV50" i="3"/>
  <c r="D4" i="3"/>
  <c r="AV40" i="3"/>
  <c r="AU48" i="3"/>
  <c r="D35" i="3"/>
  <c r="AY5" i="3"/>
  <c r="AV54" i="3"/>
  <c r="BS48" i="4"/>
  <c r="AT69" i="4"/>
  <c r="F50" i="17"/>
  <c r="U102" i="4"/>
  <c r="U50" i="17" s="1"/>
  <c r="AT129" i="4"/>
  <c r="BS14" i="5"/>
  <c r="BR44" i="4"/>
  <c r="BD44" i="4"/>
  <c r="BS44" i="4" s="1"/>
  <c r="AY35" i="3"/>
  <c r="BG36" i="3"/>
  <c r="E3" i="17"/>
  <c r="U4" i="4"/>
  <c r="U3" i="17" s="1"/>
  <c r="AS142" i="4"/>
  <c r="E72" i="17"/>
  <c r="U140" i="4"/>
  <c r="U72" i="17" s="1"/>
  <c r="AE205" i="4"/>
  <c r="AD205" i="4"/>
  <c r="AC205" i="4"/>
  <c r="E18" i="17"/>
  <c r="U36" i="4"/>
  <c r="U18" i="17" s="1"/>
  <c r="BJ18" i="4"/>
  <c r="BR18" i="4" s="1"/>
  <c r="T22" i="17"/>
  <c r="T49" i="4"/>
  <c r="BL31" i="4"/>
  <c r="E28" i="17"/>
  <c r="U46" i="4"/>
  <c r="U28" i="17" s="1"/>
  <c r="BC49" i="4"/>
  <c r="BD80" i="4"/>
  <c r="BB80" i="4"/>
  <c r="BR80" i="4"/>
  <c r="BL124" i="4"/>
  <c r="U8" i="4"/>
  <c r="U7" i="17" s="1"/>
  <c r="U6" i="4"/>
  <c r="U5" i="17" s="1"/>
  <c r="BF41" i="3"/>
  <c r="AM31" i="4"/>
  <c r="AS49" i="4"/>
  <c r="U35" i="4"/>
  <c r="U17" i="17" s="1"/>
  <c r="U39" i="4"/>
  <c r="U21" i="17" s="1"/>
  <c r="AS111" i="4"/>
  <c r="BB111" i="4"/>
  <c r="D155" i="4"/>
  <c r="AT169" i="4"/>
  <c r="BS200" i="4"/>
  <c r="AT12" i="5"/>
  <c r="U40" i="4"/>
  <c r="U22" i="17" s="1"/>
  <c r="C4" i="3"/>
  <c r="N32" i="3"/>
  <c r="AU40" i="3"/>
  <c r="U5" i="4"/>
  <c r="U4" i="17" s="1"/>
  <c r="U10" i="4"/>
  <c r="U9" i="17" s="1"/>
  <c r="N31" i="4"/>
  <c r="U47" i="4"/>
  <c r="U29" i="17" s="1"/>
  <c r="U45" i="4"/>
  <c r="U27" i="17" s="1"/>
  <c r="U44" i="4"/>
  <c r="U26" i="17" s="1"/>
  <c r="U48" i="4"/>
  <c r="U30" i="17" s="1"/>
  <c r="AE80" i="4"/>
  <c r="AD80" i="4"/>
  <c r="AC80" i="4"/>
  <c r="BD100" i="4"/>
  <c r="BS100" i="4" s="1"/>
  <c r="T205" i="4"/>
  <c r="BD106" i="4"/>
  <c r="BS106" i="4" s="1"/>
  <c r="BJ111" i="4"/>
  <c r="BD111" i="4" s="1"/>
  <c r="BR106" i="4"/>
  <c r="E34" i="17"/>
  <c r="U69" i="4"/>
  <c r="U34" i="17" s="1"/>
  <c r="E32" i="17"/>
  <c r="U67" i="4"/>
  <c r="U32" i="17" s="1"/>
  <c r="BS103" i="4"/>
  <c r="E54" i="17"/>
  <c r="U106" i="4"/>
  <c r="U54" i="17" s="1"/>
  <c r="AT137" i="4"/>
  <c r="T236" i="4"/>
  <c r="E73" i="17"/>
  <c r="U4" i="5"/>
  <c r="U73" i="17" s="1"/>
  <c r="BB18" i="5"/>
  <c r="E6" i="17"/>
  <c r="U7" i="4"/>
  <c r="U6" i="17" s="1"/>
  <c r="U43" i="4"/>
  <c r="U25" i="17" s="1"/>
  <c r="AT42" i="4"/>
  <c r="U38" i="4"/>
  <c r="U20" i="17" s="1"/>
  <c r="E24" i="17"/>
  <c r="U42" i="4"/>
  <c r="U24" i="17" s="1"/>
  <c r="U16" i="4"/>
  <c r="U15" i="17" s="1"/>
  <c r="BB18" i="4"/>
  <c r="BI49" i="4"/>
  <c r="BD49" i="4" s="1"/>
  <c r="T39" i="17"/>
  <c r="T80" i="4"/>
  <c r="BC80" i="4"/>
  <c r="U162" i="4"/>
  <c r="AT196" i="4"/>
  <c r="AT262" i="4"/>
  <c r="F57" i="3"/>
  <c r="U17" i="4"/>
  <c r="U16" i="17" s="1"/>
  <c r="U72" i="4"/>
  <c r="U37" i="17" s="1"/>
  <c r="U78" i="4"/>
  <c r="U43" i="17" s="1"/>
  <c r="U79" i="4"/>
  <c r="U44" i="17" s="1"/>
  <c r="U76" i="4"/>
  <c r="U41" i="17" s="1"/>
  <c r="F80" i="4"/>
  <c r="F56" i="17"/>
  <c r="U108" i="4"/>
  <c r="U56" i="17" s="1"/>
  <c r="E59" i="17"/>
  <c r="U128" i="4"/>
  <c r="U59" i="17" s="1"/>
  <c r="AS205" i="4"/>
  <c r="F98" i="17"/>
  <c r="U45" i="5"/>
  <c r="U98" i="17" s="1"/>
  <c r="E49" i="4"/>
  <c r="D49" i="4"/>
  <c r="AV48" i="3"/>
  <c r="U13" i="4"/>
  <c r="U12" i="17" s="1"/>
  <c r="U15" i="4"/>
  <c r="U14" i="17" s="1"/>
  <c r="BR42" i="4"/>
  <c r="U70" i="4"/>
  <c r="U35" i="17" s="1"/>
  <c r="U66" i="4"/>
  <c r="U31" i="17" s="1"/>
  <c r="U71" i="4"/>
  <c r="U36" i="17" s="1"/>
  <c r="AT13" i="4"/>
  <c r="BS37" i="4"/>
  <c r="E45" i="17"/>
  <c r="U97" i="4"/>
  <c r="U45" i="17" s="1"/>
  <c r="T142" i="4"/>
  <c r="AE18" i="5"/>
  <c r="AD18" i="5"/>
  <c r="AC18" i="5"/>
  <c r="BD18" i="5"/>
  <c r="AS49" i="5"/>
  <c r="U14" i="4"/>
  <c r="U13" i="17" s="1"/>
  <c r="T10" i="17"/>
  <c r="T18" i="4"/>
  <c r="BS39" i="4"/>
  <c r="AT67" i="4"/>
  <c r="AT66" i="4"/>
  <c r="E57" i="17"/>
  <c r="U109" i="4"/>
  <c r="U57" i="17" s="1"/>
  <c r="F62" i="17"/>
  <c r="U131" i="4"/>
  <c r="U62" i="17" s="1"/>
  <c r="D174" i="4"/>
  <c r="AT225" i="4"/>
  <c r="T267" i="4"/>
  <c r="F99" i="17"/>
  <c r="U47" i="5"/>
  <c r="U99" i="17" s="1"/>
  <c r="E130" i="17"/>
  <c r="U129" i="5"/>
  <c r="U130" i="17" s="1"/>
  <c r="T111" i="5"/>
  <c r="U134" i="5"/>
  <c r="U135" i="17" s="1"/>
  <c r="BS138" i="5"/>
  <c r="AT69" i="6"/>
  <c r="AT79" i="6"/>
  <c r="BR111" i="6"/>
  <c r="E187" i="17"/>
  <c r="U99" i="6"/>
  <c r="U187" i="17" s="1"/>
  <c r="E204" i="17"/>
  <c r="U133" i="6"/>
  <c r="U204" i="17" s="1"/>
  <c r="BD174" i="6"/>
  <c r="BB174" i="6"/>
  <c r="BR174" i="6"/>
  <c r="U138" i="4"/>
  <c r="U69" i="17" s="1"/>
  <c r="D142" i="4"/>
  <c r="BB174" i="4"/>
  <c r="U8" i="5"/>
  <c r="U77" i="17" s="1"/>
  <c r="U38" i="5"/>
  <c r="U90" i="17" s="1"/>
  <c r="T49" i="5"/>
  <c r="T106" i="17"/>
  <c r="T80" i="5"/>
  <c r="U104" i="5"/>
  <c r="U122" i="17" s="1"/>
  <c r="U109" i="5"/>
  <c r="U127" i="17" s="1"/>
  <c r="U107" i="5"/>
  <c r="U125" i="17" s="1"/>
  <c r="E128" i="17"/>
  <c r="U110" i="5"/>
  <c r="U128" i="17" s="1"/>
  <c r="U128" i="5"/>
  <c r="U129" i="17" s="1"/>
  <c r="U132" i="5"/>
  <c r="U133" i="17" s="1"/>
  <c r="E140" i="17"/>
  <c r="U139" i="5"/>
  <c r="U140" i="17" s="1"/>
  <c r="E146" i="17"/>
  <c r="U7" i="6"/>
  <c r="U146" i="17" s="1"/>
  <c r="AD49" i="6"/>
  <c r="AC49" i="6"/>
  <c r="F190" i="17"/>
  <c r="U102" i="6"/>
  <c r="U190" i="17" s="1"/>
  <c r="T142" i="6"/>
  <c r="T4" i="18"/>
  <c r="T18" i="7"/>
  <c r="U139" i="4"/>
  <c r="U70" i="17" s="1"/>
  <c r="U7" i="5"/>
  <c r="U76" i="17" s="1"/>
  <c r="U71" i="5"/>
  <c r="U106" i="17" s="1"/>
  <c r="U108" i="5"/>
  <c r="U126" i="17" s="1"/>
  <c r="AC111" i="5"/>
  <c r="U133" i="5"/>
  <c r="U134" i="17" s="1"/>
  <c r="D142" i="5"/>
  <c r="BC205" i="5"/>
  <c r="E147" i="17"/>
  <c r="U8" i="6"/>
  <c r="U147" i="17" s="1"/>
  <c r="E143" i="17"/>
  <c r="U4" i="6"/>
  <c r="U143" i="17" s="1"/>
  <c r="E158" i="17"/>
  <c r="U36" i="6"/>
  <c r="U158" i="17" s="1"/>
  <c r="E166" i="17"/>
  <c r="U44" i="6"/>
  <c r="U166" i="17" s="1"/>
  <c r="E191" i="17"/>
  <c r="U103" i="6"/>
  <c r="U191" i="17" s="1"/>
  <c r="F207" i="17"/>
  <c r="U136" i="6"/>
  <c r="U207" i="17" s="1"/>
  <c r="BS130" i="6"/>
  <c r="U44" i="5"/>
  <c r="U96" i="17" s="1"/>
  <c r="U70" i="5"/>
  <c r="U105" i="17" s="1"/>
  <c r="AT101" i="5"/>
  <c r="U106" i="5"/>
  <c r="U124" i="17" s="1"/>
  <c r="AT131" i="5"/>
  <c r="U135" i="5"/>
  <c r="U136" i="17" s="1"/>
  <c r="U131" i="5"/>
  <c r="U132" i="17" s="1"/>
  <c r="T148" i="17"/>
  <c r="T18" i="6"/>
  <c r="E164" i="17"/>
  <c r="U42" i="6"/>
  <c r="U164" i="17" s="1"/>
  <c r="F49" i="6"/>
  <c r="U49" i="6" s="1"/>
  <c r="T185" i="17"/>
  <c r="T111" i="6"/>
  <c r="U129" i="6"/>
  <c r="U200" i="17" s="1"/>
  <c r="U101" i="4"/>
  <c r="U49" i="17" s="1"/>
  <c r="U107" i="4"/>
  <c r="U55" i="17" s="1"/>
  <c r="T111" i="4"/>
  <c r="U141" i="4"/>
  <c r="U71" i="17" s="1"/>
  <c r="U11" i="5"/>
  <c r="U80" i="17" s="1"/>
  <c r="U46" i="5"/>
  <c r="U97" i="17" s="1"/>
  <c r="U171" i="5"/>
  <c r="U9" i="6"/>
  <c r="U148" i="17" s="1"/>
  <c r="U11" i="6"/>
  <c r="U150" i="17" s="1"/>
  <c r="U6" i="6"/>
  <c r="U145" i="17" s="1"/>
  <c r="T161" i="17"/>
  <c r="T49" i="6"/>
  <c r="U46" i="6"/>
  <c r="U168" i="17" s="1"/>
  <c r="BS107" i="6"/>
  <c r="BD111" i="6"/>
  <c r="BS111" i="6" s="1"/>
  <c r="BB111" i="6"/>
  <c r="T174" i="6"/>
  <c r="AT166" i="6"/>
  <c r="U48" i="5"/>
  <c r="U100" i="17" s="1"/>
  <c r="BS99" i="5"/>
  <c r="U37" i="6"/>
  <c r="U159" i="17" s="1"/>
  <c r="U45" i="6"/>
  <c r="U167" i="17" s="1"/>
  <c r="BS74" i="6"/>
  <c r="BS72" i="6"/>
  <c r="BD80" i="6"/>
  <c r="AD111" i="6"/>
  <c r="AT134" i="6"/>
  <c r="BD142" i="6"/>
  <c r="BB142" i="6"/>
  <c r="BR142" i="6"/>
  <c r="BC174" i="6"/>
  <c r="BL249" i="6"/>
  <c r="U75" i="4"/>
  <c r="U40" i="17" s="1"/>
  <c r="U99" i="4"/>
  <c r="U47" i="17" s="1"/>
  <c r="E111" i="4"/>
  <c r="AD236" i="4"/>
  <c r="E267" i="4"/>
  <c r="U16" i="5"/>
  <c r="U86" i="17" s="1"/>
  <c r="T18" i="5"/>
  <c r="U66" i="5"/>
  <c r="U101" i="17" s="1"/>
  <c r="U72" i="5"/>
  <c r="U107" i="17" s="1"/>
  <c r="AD111" i="5"/>
  <c r="U138" i="5"/>
  <c r="U139" i="17" s="1"/>
  <c r="U140" i="5"/>
  <c r="U141" i="17" s="1"/>
  <c r="BS194" i="5"/>
  <c r="AT202" i="5"/>
  <c r="BR205" i="5"/>
  <c r="AT12" i="6"/>
  <c r="U15" i="6"/>
  <c r="U154" i="17" s="1"/>
  <c r="U38" i="6"/>
  <c r="U160" i="17" s="1"/>
  <c r="U77" i="4"/>
  <c r="U42" i="17" s="1"/>
  <c r="AC111" i="4"/>
  <c r="D205" i="4"/>
  <c r="AC267" i="4"/>
  <c r="U15" i="5"/>
  <c r="U84" i="17" s="1"/>
  <c r="D18" i="5"/>
  <c r="U41" i="5"/>
  <c r="U93" i="17" s="1"/>
  <c r="U73" i="5"/>
  <c r="U108" i="17" s="1"/>
  <c r="E110" i="17"/>
  <c r="U75" i="5"/>
  <c r="U110" i="17" s="1"/>
  <c r="AT172" i="5"/>
  <c r="AT173" i="5"/>
  <c r="BS202" i="5"/>
  <c r="AT8" i="6"/>
  <c r="AT15" i="6"/>
  <c r="BD18" i="6"/>
  <c r="AT38" i="6"/>
  <c r="AT39" i="6"/>
  <c r="AT36" i="6"/>
  <c r="AS142" i="6"/>
  <c r="E142" i="6"/>
  <c r="D142" i="6"/>
  <c r="AD111" i="4"/>
  <c r="E205" i="4"/>
  <c r="AD267" i="4"/>
  <c r="U17" i="5"/>
  <c r="U85" i="17" s="1"/>
  <c r="E18" i="5"/>
  <c r="U37" i="5"/>
  <c r="U89" i="17" s="1"/>
  <c r="U67" i="5"/>
  <c r="U102" i="17" s="1"/>
  <c r="U99" i="5"/>
  <c r="U117" i="17" s="1"/>
  <c r="BR111" i="5"/>
  <c r="AE174" i="5"/>
  <c r="AD174" i="5"/>
  <c r="E181" i="17"/>
  <c r="U76" i="6"/>
  <c r="U181" i="17" s="1"/>
  <c r="F111" i="6"/>
  <c r="D111" i="6"/>
  <c r="AE142" i="6"/>
  <c r="AS174" i="6"/>
  <c r="BS235" i="6"/>
  <c r="AT17" i="7"/>
  <c r="U73" i="4"/>
  <c r="U38" i="17" s="1"/>
  <c r="U134" i="4"/>
  <c r="U65" i="17" s="1"/>
  <c r="U13" i="5"/>
  <c r="U82" i="17" s="1"/>
  <c r="U40" i="5"/>
  <c r="U92" i="17" s="1"/>
  <c r="BS44" i="5"/>
  <c r="U68" i="5"/>
  <c r="U103" i="17" s="1"/>
  <c r="D80" i="5"/>
  <c r="U103" i="5"/>
  <c r="U121" i="17" s="1"/>
  <c r="BS107" i="5"/>
  <c r="BB174" i="5"/>
  <c r="AM31" i="6"/>
  <c r="BL31" i="6"/>
  <c r="F183" i="17"/>
  <c r="U78" i="6"/>
  <c r="U183" i="17" s="1"/>
  <c r="F80" i="6"/>
  <c r="D80" i="6"/>
  <c r="BS105" i="6"/>
  <c r="U138" i="6"/>
  <c r="U209" i="17" s="1"/>
  <c r="U166" i="6"/>
  <c r="BR205" i="4"/>
  <c r="U14" i="5"/>
  <c r="U83" i="17" s="1"/>
  <c r="BR18" i="5"/>
  <c r="E80" i="5"/>
  <c r="U102" i="5"/>
  <c r="U120" i="17" s="1"/>
  <c r="BS128" i="5"/>
  <c r="BR174" i="5"/>
  <c r="AT198" i="5"/>
  <c r="E173" i="17"/>
  <c r="U68" i="6"/>
  <c r="U173" i="17" s="1"/>
  <c r="F197" i="17"/>
  <c r="U109" i="6"/>
  <c r="U197" i="17" s="1"/>
  <c r="E199" i="17"/>
  <c r="U128" i="6"/>
  <c r="U199" i="17" s="1"/>
  <c r="BL155" i="6"/>
  <c r="T137" i="17"/>
  <c r="T142" i="5"/>
  <c r="BS193" i="5"/>
  <c r="AT204" i="5"/>
  <c r="BS9" i="6"/>
  <c r="BS44" i="6"/>
  <c r="AD80" i="6"/>
  <c r="U107" i="6"/>
  <c r="U194" i="17" s="1"/>
  <c r="AT139" i="6"/>
  <c r="AD142" i="6"/>
  <c r="AM155" i="6"/>
  <c r="E10" i="18"/>
  <c r="U11" i="7"/>
  <c r="U10" i="18" s="1"/>
  <c r="U79" i="6"/>
  <c r="U184" i="17" s="1"/>
  <c r="T80" i="6"/>
  <c r="U110" i="6"/>
  <c r="U198" i="17" s="1"/>
  <c r="U130" i="6"/>
  <c r="U201" i="17" s="1"/>
  <c r="BR236" i="6"/>
  <c r="U8" i="7"/>
  <c r="U7" i="18" s="1"/>
  <c r="U38" i="7"/>
  <c r="U20" i="18" s="1"/>
  <c r="U76" i="7"/>
  <c r="U41" i="18" s="1"/>
  <c r="T80" i="7"/>
  <c r="U109" i="7"/>
  <c r="U57" i="18" s="1"/>
  <c r="AD111" i="7"/>
  <c r="U135" i="7"/>
  <c r="U66" i="18" s="1"/>
  <c r="E205" i="7"/>
  <c r="U5" i="8"/>
  <c r="U74" i="18" s="1"/>
  <c r="E77" i="18"/>
  <c r="U8" i="8"/>
  <c r="U77" i="18" s="1"/>
  <c r="BD49" i="8"/>
  <c r="E110" i="18"/>
  <c r="U75" i="8"/>
  <c r="U110" i="18" s="1"/>
  <c r="AD80" i="8"/>
  <c r="BB205" i="6"/>
  <c r="BB236" i="6"/>
  <c r="U35" i="7"/>
  <c r="U17" i="18" s="1"/>
  <c r="U79" i="7"/>
  <c r="U44" i="18" s="1"/>
  <c r="D80" i="7"/>
  <c r="U99" i="7"/>
  <c r="U47" i="18" s="1"/>
  <c r="BB111" i="7"/>
  <c r="U129" i="7"/>
  <c r="U60" i="18" s="1"/>
  <c r="U11" i="8"/>
  <c r="U80" i="18" s="1"/>
  <c r="F80" i="8"/>
  <c r="E80" i="8"/>
  <c r="BC205" i="6"/>
  <c r="BC236" i="6"/>
  <c r="AC49" i="8"/>
  <c r="BS68" i="8"/>
  <c r="E113" i="18"/>
  <c r="U79" i="8"/>
  <c r="U113" i="18" s="1"/>
  <c r="E118" i="18"/>
  <c r="U100" i="8"/>
  <c r="U118" i="18" s="1"/>
  <c r="U4" i="7"/>
  <c r="U3" i="18" s="1"/>
  <c r="U40" i="7"/>
  <c r="U22" i="18" s="1"/>
  <c r="U77" i="7"/>
  <c r="U43" i="18" s="1"/>
  <c r="U101" i="7"/>
  <c r="U49" i="18" s="1"/>
  <c r="U134" i="7"/>
  <c r="U65" i="18" s="1"/>
  <c r="E97" i="18"/>
  <c r="U45" i="8"/>
  <c r="U97" i="18" s="1"/>
  <c r="D49" i="8"/>
  <c r="F49" i="8"/>
  <c r="E114" i="18"/>
  <c r="U74" i="8"/>
  <c r="U114" i="18" s="1"/>
  <c r="U106" i="8"/>
  <c r="U124" i="18" s="1"/>
  <c r="BR80" i="6"/>
  <c r="U135" i="6"/>
  <c r="U206" i="17" s="1"/>
  <c r="U10" i="7"/>
  <c r="U9" i="18" s="1"/>
  <c r="U47" i="7"/>
  <c r="U29" i="18" s="1"/>
  <c r="T49" i="7"/>
  <c r="U78" i="7"/>
  <c r="U42" i="18" s="1"/>
  <c r="U104" i="7"/>
  <c r="U52" i="18" s="1"/>
  <c r="U128" i="7"/>
  <c r="U59" i="18" s="1"/>
  <c r="E174" i="7"/>
  <c r="BC205" i="7"/>
  <c r="U6" i="8"/>
  <c r="U75" i="18" s="1"/>
  <c r="U14" i="8"/>
  <c r="U83" i="18" s="1"/>
  <c r="U15" i="8"/>
  <c r="U84" i="18" s="1"/>
  <c r="E89" i="18"/>
  <c r="U37" i="8"/>
  <c r="U89" i="18" s="1"/>
  <c r="E109" i="18"/>
  <c r="U78" i="8"/>
  <c r="U109" i="18" s="1"/>
  <c r="U77" i="8"/>
  <c r="U104" i="18" s="1"/>
  <c r="AM93" i="8"/>
  <c r="F134" i="18"/>
  <c r="U133" i="8"/>
  <c r="U134" i="18" s="1"/>
  <c r="D49" i="6"/>
  <c r="BB80" i="6"/>
  <c r="U9" i="7"/>
  <c r="U8" i="18" s="1"/>
  <c r="U48" i="7"/>
  <c r="U30" i="18" s="1"/>
  <c r="D49" i="7"/>
  <c r="U67" i="7"/>
  <c r="U32" i="18" s="1"/>
  <c r="BB80" i="7"/>
  <c r="U102" i="7"/>
  <c r="U50" i="18" s="1"/>
  <c r="U136" i="7"/>
  <c r="U67" i="18" s="1"/>
  <c r="U16" i="8"/>
  <c r="U85" i="18" s="1"/>
  <c r="E95" i="18"/>
  <c r="U43" i="8"/>
  <c r="U95" i="18" s="1"/>
  <c r="U48" i="8"/>
  <c r="U100" i="18" s="1"/>
  <c r="U69" i="8"/>
  <c r="U111" i="18" s="1"/>
  <c r="F116" i="18"/>
  <c r="U98" i="8"/>
  <c r="U116" i="18" s="1"/>
  <c r="T142" i="7"/>
  <c r="F88" i="18"/>
  <c r="U36" i="8"/>
  <c r="U88" i="18" s="1"/>
  <c r="T133" i="18"/>
  <c r="T142" i="8"/>
  <c r="U47" i="6"/>
  <c r="U169" i="17" s="1"/>
  <c r="U67" i="6"/>
  <c r="U172" i="17" s="1"/>
  <c r="U98" i="6"/>
  <c r="U186" i="17" s="1"/>
  <c r="U140" i="6"/>
  <c r="U211" i="17" s="1"/>
  <c r="U12" i="7"/>
  <c r="U11" i="18" s="1"/>
  <c r="U45" i="7"/>
  <c r="U27" i="18" s="1"/>
  <c r="AC49" i="7"/>
  <c r="U97" i="7"/>
  <c r="U45" i="18" s="1"/>
  <c r="U138" i="7"/>
  <c r="U69" i="18" s="1"/>
  <c r="D142" i="7"/>
  <c r="BB174" i="7"/>
  <c r="T91" i="18"/>
  <c r="T49" i="8"/>
  <c r="U41" i="8"/>
  <c r="U93" i="18" s="1"/>
  <c r="U35" i="8"/>
  <c r="U87" i="18" s="1"/>
  <c r="BR111" i="8"/>
  <c r="T111" i="8"/>
  <c r="U13" i="6"/>
  <c r="U152" i="17" s="1"/>
  <c r="U48" i="6"/>
  <c r="U170" i="17" s="1"/>
  <c r="U66" i="6"/>
  <c r="U171" i="17" s="1"/>
  <c r="U100" i="6"/>
  <c r="U188" i="17" s="1"/>
  <c r="U139" i="6"/>
  <c r="U210" i="17" s="1"/>
  <c r="U16" i="7"/>
  <c r="U15" i="18" s="1"/>
  <c r="U46" i="7"/>
  <c r="U28" i="18" s="1"/>
  <c r="AD49" i="7"/>
  <c r="U70" i="7"/>
  <c r="U35" i="18" s="1"/>
  <c r="U100" i="7"/>
  <c r="U48" i="18" s="1"/>
  <c r="U137" i="7"/>
  <c r="U68" i="18" s="1"/>
  <c r="E142" i="7"/>
  <c r="D236" i="7"/>
  <c r="AE18" i="8"/>
  <c r="U39" i="8"/>
  <c r="U91" i="18" s="1"/>
  <c r="U40" i="8"/>
  <c r="U92" i="18" s="1"/>
  <c r="U38" i="8"/>
  <c r="U90" i="18" s="1"/>
  <c r="U70" i="8"/>
  <c r="U105" i="18" s="1"/>
  <c r="U15" i="7"/>
  <c r="U14" i="18" s="1"/>
  <c r="U37" i="7"/>
  <c r="U19" i="18" s="1"/>
  <c r="BB49" i="7"/>
  <c r="U71" i="7"/>
  <c r="U36" i="18" s="1"/>
  <c r="U103" i="7"/>
  <c r="U51" i="18" s="1"/>
  <c r="U139" i="7"/>
  <c r="U70" i="18" s="1"/>
  <c r="AC142" i="7"/>
  <c r="E236" i="7"/>
  <c r="BS7" i="8"/>
  <c r="BB31" i="8"/>
  <c r="U42" i="8"/>
  <c r="U94" i="18" s="1"/>
  <c r="AT74" i="8"/>
  <c r="T80" i="8"/>
  <c r="E121" i="18"/>
  <c r="U103" i="8"/>
  <c r="U121" i="18" s="1"/>
  <c r="BS106" i="8"/>
  <c r="BB124" i="8"/>
  <c r="T111" i="7"/>
  <c r="U141" i="7"/>
  <c r="U72" i="18" s="1"/>
  <c r="BD111" i="8"/>
  <c r="BC111" i="8"/>
  <c r="BB111" i="8"/>
  <c r="BL124" i="8"/>
  <c r="U13" i="7"/>
  <c r="U12" i="18" s="1"/>
  <c r="AC18" i="7"/>
  <c r="U43" i="7"/>
  <c r="U25" i="18" s="1"/>
  <c r="U110" i="7"/>
  <c r="U58" i="18" s="1"/>
  <c r="D111" i="7"/>
  <c r="BB142" i="7"/>
  <c r="E81" i="18"/>
  <c r="U12" i="8"/>
  <c r="U81" i="18" s="1"/>
  <c r="BS6" i="8"/>
  <c r="BS10" i="8"/>
  <c r="BS15" i="8"/>
  <c r="D31" i="8"/>
  <c r="AT38" i="8"/>
  <c r="AC124" i="8"/>
  <c r="E111" i="7"/>
  <c r="BC142" i="7"/>
  <c r="BB49" i="8"/>
  <c r="D80" i="8"/>
  <c r="BB80" i="8"/>
  <c r="BD80" i="8"/>
  <c r="F128" i="18"/>
  <c r="U110" i="8"/>
  <c r="U128" i="18" s="1"/>
  <c r="U108" i="6"/>
  <c r="U195" i="17" s="1"/>
  <c r="U108" i="7"/>
  <c r="U56" i="18" s="1"/>
  <c r="T18" i="8"/>
  <c r="BS35" i="8"/>
  <c r="BS45" i="8"/>
  <c r="BS69" i="8"/>
  <c r="AT105" i="8"/>
  <c r="E127" i="18"/>
  <c r="U109" i="8"/>
  <c r="U127" i="18" s="1"/>
  <c r="D124" i="8"/>
  <c r="AD174" i="8"/>
  <c r="BC18" i="9"/>
  <c r="T80" i="9"/>
  <c r="U46" i="8"/>
  <c r="U98" i="18" s="1"/>
  <c r="U73" i="8"/>
  <c r="U108" i="18" s="1"/>
  <c r="U104" i="8"/>
  <c r="U122" i="18" s="1"/>
  <c r="U137" i="8"/>
  <c r="U138" i="18" s="1"/>
  <c r="D142" i="8"/>
  <c r="AE174" i="8"/>
  <c r="BB174" i="8"/>
  <c r="U10" i="9"/>
  <c r="U149" i="18" s="1"/>
  <c r="BD18" i="9"/>
  <c r="U41" i="9"/>
  <c r="U163" i="18" s="1"/>
  <c r="U78" i="9"/>
  <c r="D80" i="9"/>
  <c r="U103" i="9"/>
  <c r="U191" i="18" s="1"/>
  <c r="AE111" i="9"/>
  <c r="BB111" i="9"/>
  <c r="U138" i="8"/>
  <c r="U140" i="18" s="1"/>
  <c r="BC174" i="8"/>
  <c r="U8" i="9"/>
  <c r="U147" i="18" s="1"/>
  <c r="U40" i="9"/>
  <c r="U162" i="18" s="1"/>
  <c r="U75" i="9"/>
  <c r="E80" i="9"/>
  <c r="U102" i="9"/>
  <c r="U190" i="18" s="1"/>
  <c r="U134" i="9"/>
  <c r="U205" i="18" s="1"/>
  <c r="BS197" i="9"/>
  <c r="BD205" i="9"/>
  <c r="U139" i="8"/>
  <c r="U139" i="18" s="1"/>
  <c r="AC142" i="8"/>
  <c r="U11" i="9"/>
  <c r="U150" i="18" s="1"/>
  <c r="U45" i="9"/>
  <c r="U167" i="18" s="1"/>
  <c r="U77" i="9"/>
  <c r="U100" i="9"/>
  <c r="U188" i="18" s="1"/>
  <c r="U130" i="9"/>
  <c r="U201" i="18" s="1"/>
  <c r="T49" i="9"/>
  <c r="AT226" i="9"/>
  <c r="U12" i="9"/>
  <c r="U151" i="18" s="1"/>
  <c r="U47" i="9"/>
  <c r="U169" i="18" s="1"/>
  <c r="U99" i="9"/>
  <c r="U187" i="18" s="1"/>
  <c r="U128" i="9"/>
  <c r="U199" i="18" s="1"/>
  <c r="N155" i="8"/>
  <c r="AM155" i="8"/>
  <c r="BL155" i="8"/>
  <c r="U7" i="9"/>
  <c r="U146" i="18" s="1"/>
  <c r="U44" i="9"/>
  <c r="U166" i="18" s="1"/>
  <c r="T142" i="9"/>
  <c r="U135" i="8"/>
  <c r="U136" i="18" s="1"/>
  <c r="U9" i="9"/>
  <c r="U148" i="18" s="1"/>
  <c r="U46" i="9"/>
  <c r="U168" i="18" s="1"/>
  <c r="U68" i="9"/>
  <c r="U98" i="9"/>
  <c r="U186" i="18" s="1"/>
  <c r="U138" i="9"/>
  <c r="U209" i="18" s="1"/>
  <c r="AS205" i="9"/>
  <c r="AD205" i="9"/>
  <c r="AT230" i="9"/>
  <c r="U130" i="8"/>
  <c r="U131" i="18" s="1"/>
  <c r="T18" i="9"/>
  <c r="U48" i="9"/>
  <c r="U170" i="18" s="1"/>
  <c r="U71" i="9"/>
  <c r="U97" i="9"/>
  <c r="U185" i="18" s="1"/>
  <c r="U137" i="9"/>
  <c r="U208" i="18" s="1"/>
  <c r="U129" i="8"/>
  <c r="U130" i="18" s="1"/>
  <c r="D18" i="9"/>
  <c r="U141" i="9"/>
  <c r="U212" i="18" s="1"/>
  <c r="AC142" i="9"/>
  <c r="U76" i="8"/>
  <c r="U112" i="18" s="1"/>
  <c r="U102" i="8"/>
  <c r="U120" i="18" s="1"/>
  <c r="U134" i="8"/>
  <c r="U135" i="18" s="1"/>
  <c r="U15" i="9"/>
  <c r="U154" i="18" s="1"/>
  <c r="E18" i="9"/>
  <c r="U36" i="9"/>
  <c r="U158" i="18" s="1"/>
  <c r="U67" i="9"/>
  <c r="U107" i="9"/>
  <c r="U195" i="18" s="1"/>
  <c r="T111" i="9"/>
  <c r="U139" i="9"/>
  <c r="U210" i="18" s="1"/>
  <c r="D205" i="9"/>
  <c r="AS236" i="9"/>
  <c r="N249" i="9"/>
  <c r="U131" i="8"/>
  <c r="U132" i="18" s="1"/>
  <c r="D174" i="8"/>
  <c r="U17" i="9"/>
  <c r="U156" i="18" s="1"/>
  <c r="AC18" i="9"/>
  <c r="U42" i="9"/>
  <c r="U164" i="18" s="1"/>
  <c r="U69" i="9"/>
  <c r="U108" i="9"/>
  <c r="U196" i="18" s="1"/>
  <c r="D111" i="9"/>
  <c r="U129" i="9"/>
  <c r="U200" i="18" s="1"/>
  <c r="BB142" i="9"/>
  <c r="E205" i="9"/>
  <c r="U99" i="8"/>
  <c r="U117" i="18" s="1"/>
  <c r="U136" i="8"/>
  <c r="U137" i="18" s="1"/>
  <c r="U14" i="9"/>
  <c r="U153" i="18" s="1"/>
  <c r="U38" i="9"/>
  <c r="U160" i="18" s="1"/>
  <c r="U66" i="9"/>
  <c r="U106" i="9"/>
  <c r="U194" i="18" s="1"/>
  <c r="U131" i="9"/>
  <c r="U202" i="18" s="1"/>
  <c r="BR205" i="9"/>
  <c r="BB205" i="9"/>
  <c r="AT234" i="9"/>
  <c r="U44" i="8"/>
  <c r="U96" i="18" s="1"/>
  <c r="BC205" i="9"/>
  <c r="BS111" i="5" l="1"/>
  <c r="AT174" i="7"/>
  <c r="U49" i="9"/>
  <c r="U205" i="4"/>
  <c r="AT18" i="8"/>
  <c r="BS80" i="8"/>
  <c r="AT205" i="7"/>
  <c r="BS142" i="8"/>
  <c r="BS174" i="8"/>
  <c r="BS205" i="4"/>
  <c r="U18" i="9"/>
  <c r="BS142" i="9"/>
  <c r="U80" i="9"/>
  <c r="U236" i="4"/>
  <c r="AT205" i="5"/>
  <c r="AT80" i="7"/>
  <c r="U80" i="6"/>
  <c r="BS111" i="9"/>
  <c r="BS174" i="9"/>
  <c r="AT80" i="5"/>
  <c r="U49" i="8"/>
  <c r="AT49" i="7"/>
  <c r="BS80" i="6"/>
  <c r="BS205" i="7"/>
  <c r="U80" i="7"/>
  <c r="U205" i="9"/>
  <c r="U142" i="8"/>
  <c r="BS80" i="5"/>
  <c r="U142" i="4"/>
  <c r="U236" i="9"/>
  <c r="U111" i="9"/>
  <c r="AT142" i="5"/>
  <c r="U142" i="7"/>
  <c r="U174" i="7"/>
  <c r="AT49" i="6"/>
  <c r="BS18" i="6"/>
  <c r="BS49" i="9"/>
  <c r="BS49" i="8"/>
  <c r="AT142" i="8"/>
  <c r="BS111" i="7"/>
  <c r="AT142" i="4"/>
  <c r="AT111" i="5"/>
  <c r="BS142" i="6"/>
  <c r="U142" i="5"/>
  <c r="AT111" i="9"/>
  <c r="U49" i="7"/>
  <c r="U111" i="5"/>
  <c r="AT80" i="6"/>
  <c r="U174" i="9"/>
  <c r="AT49" i="9"/>
  <c r="U236" i="7"/>
  <c r="U174" i="6"/>
  <c r="BS18" i="8"/>
  <c r="U111" i="6"/>
  <c r="BS174" i="7"/>
  <c r="AT142" i="9"/>
  <c r="AT205" i="9"/>
  <c r="U80" i="5"/>
  <c r="AT49" i="5"/>
  <c r="U205" i="7"/>
  <c r="BS174" i="5"/>
  <c r="BS236" i="7"/>
  <c r="U174" i="8"/>
  <c r="AT80" i="8"/>
  <c r="AT267" i="4"/>
  <c r="U18" i="4"/>
  <c r="BS49" i="6"/>
  <c r="BD18" i="4"/>
  <c r="BS18" i="4" s="1"/>
  <c r="U111" i="7"/>
  <c r="AT18" i="4"/>
  <c r="AT236" i="4"/>
  <c r="U174" i="5"/>
  <c r="U174" i="4"/>
  <c r="AT18" i="9"/>
  <c r="BR49" i="4"/>
  <c r="AT111" i="8"/>
  <c r="AT174" i="5"/>
  <c r="AT18" i="5"/>
  <c r="BS142" i="5"/>
  <c r="U267" i="4"/>
  <c r="U205" i="6"/>
  <c r="BS205" i="8"/>
  <c r="BS236" i="6"/>
  <c r="U18" i="5"/>
  <c r="BS111" i="4"/>
  <c r="BS174" i="4"/>
  <c r="U49" i="5"/>
  <c r="U18" i="6"/>
  <c r="AT18" i="7"/>
  <c r="BS80" i="9"/>
  <c r="AT174" i="6"/>
  <c r="BS49" i="5"/>
  <c r="U18" i="7"/>
  <c r="U111" i="4"/>
  <c r="AT236" i="9"/>
  <c r="U18" i="8"/>
  <c r="AT18" i="6"/>
  <c r="BS18" i="7"/>
  <c r="AT205" i="8"/>
  <c r="U80" i="4"/>
  <c r="BS142" i="4"/>
  <c r="AT111" i="7"/>
  <c r="AT205" i="4"/>
  <c r="U49" i="4"/>
  <c r="AT80" i="4"/>
  <c r="AT49" i="4"/>
  <c r="AT111" i="6"/>
  <c r="BS205" i="5"/>
  <c r="U142" i="9"/>
  <c r="U111" i="8"/>
  <c r="BS205" i="6"/>
  <c r="BS18" i="5"/>
  <c r="BS142" i="7"/>
  <c r="AT174" i="9"/>
  <c r="AT80" i="9"/>
  <c r="U80" i="8"/>
  <c r="BS49" i="7"/>
  <c r="AT142" i="7"/>
  <c r="U142" i="6"/>
  <c r="BR111" i="4"/>
  <c r="BS80" i="4"/>
  <c r="AT111" i="4"/>
  <c r="AT142" i="6"/>
  <c r="BS18" i="9"/>
  <c r="BS174" i="6"/>
  <c r="AT174" i="8"/>
  <c r="BS49" i="4"/>
  <c r="BS205" i="9"/>
  <c r="BS111" i="8"/>
</calcChain>
</file>

<file path=xl/sharedStrings.xml><?xml version="1.0" encoding="utf-8"?>
<sst xmlns="http://schemas.openxmlformats.org/spreadsheetml/2006/main" count="47904" uniqueCount="2188">
  <si>
    <t>AMERICAN LEAGUE  2024</t>
  </si>
  <si>
    <t>NATIONAL LEAGUE  2024</t>
  </si>
  <si>
    <t>AMERICAN LEAGUE  2023</t>
  </si>
  <si>
    <t>NATIONAL LEAGUE  2023</t>
  </si>
  <si>
    <t>AMERICAN LEAGUE  2022</t>
  </si>
  <si>
    <t>NATIONAL LEAGUE  2022</t>
  </si>
  <si>
    <t>AMERICAN LEAGUE EAST</t>
  </si>
  <si>
    <t>NATIONAL LEAGUE EAST</t>
  </si>
  <si>
    <t>TEAM</t>
  </si>
  <si>
    <t>WIN</t>
  </si>
  <si>
    <t>LOSS</t>
  </si>
  <si>
    <t>GB</t>
  </si>
  <si>
    <t>R+</t>
  </si>
  <si>
    <t>R-</t>
  </si>
  <si>
    <t>L10</t>
  </si>
  <si>
    <t>WS</t>
  </si>
  <si>
    <t>LS</t>
  </si>
  <si>
    <t>NEW YORK YANKEES</t>
  </si>
  <si>
    <t>-</t>
  </si>
  <si>
    <t>7-3</t>
  </si>
  <si>
    <t>L1</t>
  </si>
  <si>
    <t>W6</t>
  </si>
  <si>
    <t>NEW YORK METS</t>
  </si>
  <si>
    <t>W8</t>
  </si>
  <si>
    <t>TORONTO BLUE JAYS</t>
  </si>
  <si>
    <t>6-4</t>
  </si>
  <si>
    <t>W1</t>
  </si>
  <si>
    <t>W9</t>
  </si>
  <si>
    <t>ATLANTA BRAVES</t>
  </si>
  <si>
    <t>W2</t>
  </si>
  <si>
    <t>BOSTON RED SOX</t>
  </si>
  <si>
    <t>--</t>
  </si>
  <si>
    <t>W4</t>
  </si>
  <si>
    <t>PHILADELPHIA PHILLIES</t>
  </si>
  <si>
    <t>9-1</t>
  </si>
  <si>
    <t>1</t>
  </si>
  <si>
    <t>6</t>
  </si>
  <si>
    <t>L2</t>
  </si>
  <si>
    <t>4</t>
  </si>
  <si>
    <t>W11</t>
  </si>
  <si>
    <t>2</t>
  </si>
  <si>
    <t>5-5</t>
  </si>
  <si>
    <t>W5</t>
  </si>
  <si>
    <t>BALTIMORE ORIOLES</t>
  </si>
  <si>
    <t>W3</t>
  </si>
  <si>
    <t>7</t>
  </si>
  <si>
    <t>L4</t>
  </si>
  <si>
    <t>5</t>
  </si>
  <si>
    <t>8</t>
  </si>
  <si>
    <t>3-7</t>
  </si>
  <si>
    <t>1-9</t>
  </si>
  <si>
    <t>L9</t>
  </si>
  <si>
    <t>MIAMI MARLINS</t>
  </si>
  <si>
    <t>13</t>
  </si>
  <si>
    <t>4-6</t>
  </si>
  <si>
    <t>L5</t>
  </si>
  <si>
    <t>WASHINGTON NATIONALS</t>
  </si>
  <si>
    <t>TAMPA BAY RAYS</t>
  </si>
  <si>
    <t>10</t>
  </si>
  <si>
    <t>L6</t>
  </si>
  <si>
    <t>3</t>
  </si>
  <si>
    <t>L3</t>
  </si>
  <si>
    <t>9</t>
  </si>
  <si>
    <t>17</t>
  </si>
  <si>
    <t>0-10</t>
  </si>
  <si>
    <t>L12</t>
  </si>
  <si>
    <t>AMERICAN LEAGUE CENTRAL</t>
  </si>
  <si>
    <t>NATIONAL LEAGUE CENTRAL</t>
  </si>
  <si>
    <t>CLEVELAND GUARDIANS</t>
  </si>
  <si>
    <t>W7</t>
  </si>
  <si>
    <t>ST. LOUIS CARDINALS</t>
  </si>
  <si>
    <t>CHICAGO CUBS</t>
  </si>
  <si>
    <t>MILWAUKEE BREWERS</t>
  </si>
  <si>
    <t>KANSAS CITY ROYALS</t>
  </si>
  <si>
    <t>MINNESOTA TWINS</t>
  </si>
  <si>
    <t>CINCINNATI REDS</t>
  </si>
  <si>
    <t>CHICAGO WHITE SOX</t>
  </si>
  <si>
    <t>DETROIT TIGERS</t>
  </si>
  <si>
    <t>8-2</t>
  </si>
  <si>
    <t>PITTSBURGH PIRATES</t>
  </si>
  <si>
    <t>L8</t>
  </si>
  <si>
    <t>AMERICAN LEAGUE WEST</t>
  </si>
  <si>
    <t>NATIONAL LEAGUE WEST</t>
  </si>
  <si>
    <t>HOUSTON ASTROS</t>
  </si>
  <si>
    <t>LOS ANGELES DODGERS</t>
  </si>
  <si>
    <t>SEATTLE MARINERS</t>
  </si>
  <si>
    <t>SAN FRANCISCO GIANTS</t>
  </si>
  <si>
    <t>W10</t>
  </si>
  <si>
    <t>SAN DIEGO PADRES</t>
  </si>
  <si>
    <t>LOS ANGELES ANGELS</t>
  </si>
  <si>
    <t>ARIZONA DIAMONDBACKS</t>
  </si>
  <si>
    <t>OAKLAND ATHLETICS</t>
  </si>
  <si>
    <t>TEXAS RANGERS</t>
  </si>
  <si>
    <t>L7</t>
  </si>
  <si>
    <t>COLORADO ROCKIES</t>
  </si>
  <si>
    <t>2-8</t>
  </si>
  <si>
    <t>12</t>
  </si>
  <si>
    <t>15</t>
  </si>
  <si>
    <t>POWER RANKINGS  2024</t>
  </si>
  <si>
    <t>PLAYOFFS  2024</t>
  </si>
  <si>
    <t>POWER RANKINGS  2023</t>
  </si>
  <si>
    <t>PLAYOFFS  2023</t>
  </si>
  <si>
    <t>POWER RANKINGS  2022</t>
  </si>
  <si>
    <t>PLAYOFFS  2022</t>
  </si>
  <si>
    <t>WC</t>
  </si>
  <si>
    <t>DS</t>
  </si>
  <si>
    <t>CS</t>
  </si>
  <si>
    <t>$</t>
  </si>
  <si>
    <t>BYE</t>
  </si>
  <si>
    <t>LOSE</t>
  </si>
  <si>
    <t>+2</t>
  </si>
  <si>
    <t>#1 DIV</t>
  </si>
  <si>
    <t>*WIN*</t>
  </si>
  <si>
    <t>+8</t>
  </si>
  <si>
    <t>+5</t>
  </si>
  <si>
    <t>+1</t>
  </si>
  <si>
    <t>#2 DIV</t>
  </si>
  <si>
    <t>+4</t>
  </si>
  <si>
    <t>#4 WC</t>
  </si>
  <si>
    <t>+3</t>
  </si>
  <si>
    <t>#3 DIV</t>
  </si>
  <si>
    <t>#5 WC</t>
  </si>
  <si>
    <t>#6 WC</t>
  </si>
  <si>
    <t>-1</t>
  </si>
  <si>
    <t>E</t>
  </si>
  <si>
    <t>0</t>
  </si>
  <si>
    <t>-2</t>
  </si>
  <si>
    <t>-3</t>
  </si>
  <si>
    <t>-5</t>
  </si>
  <si>
    <t>-7</t>
  </si>
  <si>
    <t>-6</t>
  </si>
  <si>
    <t>-8</t>
  </si>
  <si>
    <t>-9</t>
  </si>
  <si>
    <t>-10</t>
  </si>
  <si>
    <t>+7</t>
  </si>
  <si>
    <t>-4</t>
  </si>
  <si>
    <t>-12</t>
  </si>
  <si>
    <t>AMERICAN LEAGUE EAST  2024</t>
  </si>
  <si>
    <t>AMERICAN LEAGUE EAST  2023</t>
  </si>
  <si>
    <t>AMERICAN LEAGUE EAST  2022</t>
  </si>
  <si>
    <t>NEW YORK YANKEES  24-16  *1st*</t>
  </si>
  <si>
    <t>NEW YORK YANKEES  21-19  5th</t>
  </si>
  <si>
    <t>NEW YORK YANKEES  23-17  2nd</t>
  </si>
  <si>
    <t>TM</t>
  </si>
  <si>
    <t>@</t>
  </si>
  <si>
    <t>NAME</t>
  </si>
  <si>
    <t>BA</t>
  </si>
  <si>
    <t>OBP</t>
  </si>
  <si>
    <t>SLG</t>
  </si>
  <si>
    <t>G</t>
  </si>
  <si>
    <t>AB</t>
  </si>
  <si>
    <t>R</t>
  </si>
  <si>
    <t>H</t>
  </si>
  <si>
    <t>2B</t>
  </si>
  <si>
    <t>3B</t>
  </si>
  <si>
    <t>HR</t>
  </si>
  <si>
    <t>RBI</t>
  </si>
  <si>
    <t>BB</t>
  </si>
  <si>
    <t>K</t>
  </si>
  <si>
    <t>SB</t>
  </si>
  <si>
    <t>HS</t>
  </si>
  <si>
    <t>TB</t>
  </si>
  <si>
    <t>OPS</t>
  </si>
  <si>
    <t>*</t>
  </si>
  <si>
    <t>#</t>
  </si>
  <si>
    <t>NYY</t>
  </si>
  <si>
    <t>RF</t>
  </si>
  <si>
    <t>A. Judge</t>
  </si>
  <si>
    <t>DH</t>
  </si>
  <si>
    <t>G. Stanton</t>
  </si>
  <si>
    <t>H. Matsui</t>
  </si>
  <si>
    <t>G. Torres</t>
  </si>
  <si>
    <t>SS</t>
  </si>
  <si>
    <t>D. Jeter</t>
  </si>
  <si>
    <t>LF</t>
  </si>
  <si>
    <t>D. LeMahieu</t>
  </si>
  <si>
    <t>A. Rodriguez</t>
  </si>
  <si>
    <t>1B</t>
  </si>
  <si>
    <t>D. Mattingly</t>
  </si>
  <si>
    <t>C</t>
  </si>
  <si>
    <t>J. Posada</t>
  </si>
  <si>
    <t>CF</t>
  </si>
  <si>
    <t>A. Hicks</t>
  </si>
  <si>
    <t>B. Gardner</t>
  </si>
  <si>
    <t>OF®</t>
  </si>
  <si>
    <t>J. Dominguez</t>
  </si>
  <si>
    <t>OF</t>
  </si>
  <si>
    <t>INF</t>
  </si>
  <si>
    <t>A. Volpe</t>
  </si>
  <si>
    <t>H. Bader</t>
  </si>
  <si>
    <t>G. Sanchez</t>
  </si>
  <si>
    <t>C. Frazier</t>
  </si>
  <si>
    <t>INF®</t>
  </si>
  <si>
    <t>O. Cabrera</t>
  </si>
  <si>
    <t>L. Voit</t>
  </si>
  <si>
    <t>TOTALS</t>
  </si>
  <si>
    <t>ERA</t>
  </si>
  <si>
    <t>W</t>
  </si>
  <si>
    <t>L</t>
  </si>
  <si>
    <t>IP</t>
  </si>
  <si>
    <t>SV</t>
  </si>
  <si>
    <t>WH</t>
  </si>
  <si>
    <t>QS</t>
  </si>
  <si>
    <t>UQ</t>
  </si>
  <si>
    <t>CG</t>
  </si>
  <si>
    <t>SH</t>
  </si>
  <si>
    <t>SP</t>
  </si>
  <si>
    <t>G. Cole</t>
  </si>
  <si>
    <t>N. Cortes</t>
  </si>
  <si>
    <t>L. Severino</t>
  </si>
  <si>
    <t>J. Montgomery</t>
  </si>
  <si>
    <t>M. Tanaka</t>
  </si>
  <si>
    <t>RP</t>
  </si>
  <si>
    <t>C. Schmidt</t>
  </si>
  <si>
    <t>D. German</t>
  </si>
  <si>
    <t>RP®</t>
  </si>
  <si>
    <t>G. Weissert</t>
  </si>
  <si>
    <t>L. Gil</t>
  </si>
  <si>
    <t>M. King</t>
  </si>
  <si>
    <t>C. Holmes</t>
  </si>
  <si>
    <t>A. Miller</t>
  </si>
  <si>
    <t>D. Betances</t>
  </si>
  <si>
    <t>A. Chapman</t>
  </si>
  <si>
    <t>BOSTON RED SOX  23-17  3rd</t>
  </si>
  <si>
    <t>BOSTON RED SOX  25-15  2nd</t>
  </si>
  <si>
    <t>BOSTON RED SOX  27-13  *1st*</t>
  </si>
  <si>
    <t>BOS</t>
  </si>
  <si>
    <t>J. Duran</t>
  </si>
  <si>
    <t>J. Martinez</t>
  </si>
  <si>
    <t>M. Yoshida</t>
  </si>
  <si>
    <t>D. Ortiz</t>
  </si>
  <si>
    <t>A. Verdugo</t>
  </si>
  <si>
    <t>D. Pedroia</t>
  </si>
  <si>
    <t>W. Boggs</t>
  </si>
  <si>
    <t>LF®</t>
  </si>
  <si>
    <t>SS®</t>
  </si>
  <si>
    <t>C. Rafaela</t>
  </si>
  <si>
    <t>X. Bogaerts</t>
  </si>
  <si>
    <t>J. Varitek</t>
  </si>
  <si>
    <t>R. Devers</t>
  </si>
  <si>
    <t>RF®</t>
  </si>
  <si>
    <t>W. Abreu</t>
  </si>
  <si>
    <t>J. Bradley</t>
  </si>
  <si>
    <t>M. Chavis</t>
  </si>
  <si>
    <t>B. Dalbec</t>
  </si>
  <si>
    <t>T. Casas</t>
  </si>
  <si>
    <t>C. Vazquez</t>
  </si>
  <si>
    <t>B. Holt</t>
  </si>
  <si>
    <t>K. Campbell</t>
  </si>
  <si>
    <t>C. Sale</t>
  </si>
  <si>
    <t>D. Price</t>
  </si>
  <si>
    <t>N. Eovaldi</t>
  </si>
  <si>
    <t>T. Houck</t>
  </si>
  <si>
    <t>E. Rodriguez</t>
  </si>
  <si>
    <t>N. Pivetta</t>
  </si>
  <si>
    <t>K. Crawford</t>
  </si>
  <si>
    <t>C. Seabold</t>
  </si>
  <si>
    <t>H. Owens</t>
  </si>
  <si>
    <t>J. Slaten</t>
  </si>
  <si>
    <t>D. Pomeranz</t>
  </si>
  <si>
    <t>J. Schreiber</t>
  </si>
  <si>
    <t>M. Barnes</t>
  </si>
  <si>
    <t>G. Whitlock</t>
  </si>
  <si>
    <t>TORONTO BLUE JAYS  16-24  4th</t>
  </si>
  <si>
    <t>TORONTO BLUE JAYS  29-11  *1st*</t>
  </si>
  <si>
    <t>TORONTO BLUE JAYS  19-21  3rd</t>
  </si>
  <si>
    <t>TOR</t>
  </si>
  <si>
    <t>R. Alomar</t>
  </si>
  <si>
    <t>B. Bichette</t>
  </si>
  <si>
    <t>G. Springer</t>
  </si>
  <si>
    <t>V. Guerrero Jr</t>
  </si>
  <si>
    <t>L. Gurriel</t>
  </si>
  <si>
    <t>J. Bautista</t>
  </si>
  <si>
    <t>T. Hernandez</t>
  </si>
  <si>
    <t>M. Semien</t>
  </si>
  <si>
    <t>A. Kirk</t>
  </si>
  <si>
    <t>D. Varsho</t>
  </si>
  <si>
    <t>M. Chapman</t>
  </si>
  <si>
    <t>D. Jansen</t>
  </si>
  <si>
    <t>R. Grichuk</t>
  </si>
  <si>
    <t>J. Olerud</t>
  </si>
  <si>
    <t>K. Pillar</t>
  </si>
  <si>
    <t>C. Biggio</t>
  </si>
  <si>
    <t>O. Lopez</t>
  </si>
  <si>
    <t>A. Manoah</t>
  </si>
  <si>
    <t>H. Ryu</t>
  </si>
  <si>
    <t>K. Gausman</t>
  </si>
  <si>
    <t>Aa. Sanchez</t>
  </si>
  <si>
    <t>J. Happ</t>
  </si>
  <si>
    <t>J. Berrios</t>
  </si>
  <si>
    <t>J. Merryweather</t>
  </si>
  <si>
    <t>N. Pearson</t>
  </si>
  <si>
    <t>A. Cimber</t>
  </si>
  <si>
    <t>A. Kay</t>
  </si>
  <si>
    <t>Y. Garcia</t>
  </si>
  <si>
    <t>E. Swanson</t>
  </si>
  <si>
    <t>J. Romano</t>
  </si>
  <si>
    <t>BALTIMORE ORIOLES  23-17  2nd</t>
  </si>
  <si>
    <t>BALTIMORE ORIOLES  23-17  3rd</t>
  </si>
  <si>
    <t>BALTIMORE ORIOLES  14-26  5th</t>
  </si>
  <si>
    <t>BAL</t>
  </si>
  <si>
    <t>E. Murray</t>
  </si>
  <si>
    <t>A. Santander</t>
  </si>
  <si>
    <t>T. Mancini</t>
  </si>
  <si>
    <t>Ad. Jones</t>
  </si>
  <si>
    <t>G. Henderson</t>
  </si>
  <si>
    <t>C. Mullins</t>
  </si>
  <si>
    <t>A. Rutschman</t>
  </si>
  <si>
    <t>C®</t>
  </si>
  <si>
    <t>C. Ripken Jr</t>
  </si>
  <si>
    <t>A. Hays</t>
  </si>
  <si>
    <t>2B®</t>
  </si>
  <si>
    <t>J. Westburg</t>
  </si>
  <si>
    <t>R. Mountcastle</t>
  </si>
  <si>
    <t>J. Schoop</t>
  </si>
  <si>
    <t>R. Urias</t>
  </si>
  <si>
    <t>C. Davis</t>
  </si>
  <si>
    <t>C. Cowser</t>
  </si>
  <si>
    <t>J. Holliday</t>
  </si>
  <si>
    <t>J. Jones</t>
  </si>
  <si>
    <t>C. Sisco</t>
  </si>
  <si>
    <t>K. Stowers</t>
  </si>
  <si>
    <t>K. Bradish</t>
  </si>
  <si>
    <t>J. Means</t>
  </si>
  <si>
    <t>G. Rodriguez</t>
  </si>
  <si>
    <t>J. Lyles</t>
  </si>
  <si>
    <t>T. Wells</t>
  </si>
  <si>
    <t>K. Akin</t>
  </si>
  <si>
    <t>D. Kremer</t>
  </si>
  <si>
    <t>C. Povich</t>
  </si>
  <si>
    <t>C. Irvin</t>
  </si>
  <si>
    <t>D. Hall</t>
  </si>
  <si>
    <t>H. Harvey</t>
  </si>
  <si>
    <t>F. Bautista</t>
  </si>
  <si>
    <t>C. Sulser</t>
  </si>
  <si>
    <t>Z. Britton</t>
  </si>
  <si>
    <t>TAMPA BAY RAYS  15-25  5th</t>
  </si>
  <si>
    <t>TAMPA BAY RAYS  21-19  4th</t>
  </si>
  <si>
    <t>TAMPA BAY RAYS  17-23  4th</t>
  </si>
  <si>
    <t>TBR</t>
  </si>
  <si>
    <t>R. Arozarena</t>
  </si>
  <si>
    <t>H. Renfroe</t>
  </si>
  <si>
    <t>J. Lowe</t>
  </si>
  <si>
    <t>B. Lowe</t>
  </si>
  <si>
    <t>A. Meadows</t>
  </si>
  <si>
    <t>W. Franco</t>
  </si>
  <si>
    <t>M. Zunino</t>
  </si>
  <si>
    <t>K. Kiermaier</t>
  </si>
  <si>
    <t>Yd. Diaz</t>
  </si>
  <si>
    <t>3B®</t>
  </si>
  <si>
    <t>J. Caminero</t>
  </si>
  <si>
    <t>T. Walls</t>
  </si>
  <si>
    <t>J. Wendle</t>
  </si>
  <si>
    <t>M. Margot</t>
  </si>
  <si>
    <t>N. Fortes</t>
  </si>
  <si>
    <t>C. Mead</t>
  </si>
  <si>
    <t>J. Aranda</t>
  </si>
  <si>
    <t>R. Pinto</t>
  </si>
  <si>
    <t>J. DeLuca</t>
  </si>
  <si>
    <t>J. Mangum</t>
  </si>
  <si>
    <t>T. Glasnow</t>
  </si>
  <si>
    <t>S. McClanahan</t>
  </si>
  <si>
    <t>D. Rasmussen</t>
  </si>
  <si>
    <t>S. Baz</t>
  </si>
  <si>
    <t>J. Springs</t>
  </si>
  <si>
    <t>SP®</t>
  </si>
  <si>
    <t>T. Bradley</t>
  </si>
  <si>
    <t>R. Yarbrough</t>
  </si>
  <si>
    <t>L. Patino</t>
  </si>
  <si>
    <t>A. Banda</t>
  </si>
  <si>
    <t>G. Cleavinger</t>
  </si>
  <si>
    <t>J. Fleming</t>
  </si>
  <si>
    <t>A. Colome</t>
  </si>
  <si>
    <t>J. Adam</t>
  </si>
  <si>
    <t>A. Kittredge</t>
  </si>
  <si>
    <t>P. Fairbanks</t>
  </si>
  <si>
    <t>AMERICAN LEAGUE PLAYOFFS</t>
  </si>
  <si>
    <r>
      <t>NEW YORK YANKEES  9-9</t>
    </r>
    <r>
      <rPr>
        <sz val="14"/>
        <color theme="1"/>
        <rFont val="Times New Roman"/>
        <family val="1"/>
      </rPr>
      <t xml:space="preserve">  /  Bye  /  Win ALDS  /  Win *ALCS*  /  Lose **WS**</t>
    </r>
  </si>
  <si>
    <r>
      <t>TORONTO BLUE JAYS  11-4</t>
    </r>
    <r>
      <rPr>
        <b/>
        <sz val="14"/>
        <color theme="1"/>
        <rFont val="Times New Roman"/>
        <family val="1"/>
      </rPr>
      <t xml:space="preserve">  /  Bye  /  Win ALDS  /  *Win ALCS*  /  **Win WS**</t>
    </r>
  </si>
  <si>
    <r>
      <t xml:space="preserve">BOSTON RED SOX  2-3  </t>
    </r>
    <r>
      <rPr>
        <sz val="14"/>
        <color theme="1"/>
        <rFont val="Times New Roman"/>
        <family val="1"/>
      </rPr>
      <t>/  Bye  /  Lose ALDS</t>
    </r>
  </si>
  <si>
    <r>
      <t>BOSTON RED SOX  0-2</t>
    </r>
    <r>
      <rPr>
        <sz val="14"/>
        <color theme="1"/>
        <rFont val="Times New Roman"/>
        <family val="1"/>
      </rPr>
      <t xml:space="preserve">  /  Lose ALWC</t>
    </r>
  </si>
  <si>
    <r>
      <t>BOSTON RED SOX  6-5</t>
    </r>
    <r>
      <rPr>
        <sz val="14"/>
        <color theme="1"/>
        <rFont val="Times New Roman"/>
        <family val="1"/>
      </rPr>
      <t xml:space="preserve">  /  Win ALWC  /  Win ALDS  /  Lose ALCS</t>
    </r>
  </si>
  <si>
    <r>
      <t xml:space="preserve">NEW YORK YANKEES  1-2  </t>
    </r>
    <r>
      <rPr>
        <sz val="14"/>
        <color theme="1"/>
        <rFont val="Times New Roman"/>
        <family val="1"/>
      </rPr>
      <t>/  Lose ALWC</t>
    </r>
  </si>
  <si>
    <t>CF®</t>
  </si>
  <si>
    <r>
      <t>BALTIMORE ORIOLES  4-3</t>
    </r>
    <r>
      <rPr>
        <sz val="14"/>
        <color theme="1"/>
        <rFont val="Times New Roman"/>
        <family val="1"/>
      </rPr>
      <t xml:space="preserve">  /  Win ALWC  /  Lose ALDS</t>
    </r>
  </si>
  <si>
    <r>
      <t>BALTIMORE ORIOLES  1-2</t>
    </r>
    <r>
      <rPr>
        <sz val="14"/>
        <color theme="1"/>
        <rFont val="Times New Roman"/>
        <family val="1"/>
      </rPr>
      <t xml:space="preserve">  /  Lose ALWC</t>
    </r>
  </si>
  <si>
    <r>
      <t>NEW YORK YANKEES  2-4</t>
    </r>
    <r>
      <rPr>
        <sz val="14"/>
        <color theme="1"/>
        <rFont val="Times New Roman"/>
        <family val="1"/>
      </rPr>
      <t xml:space="preserve">  /  Lose World Series</t>
    </r>
  </si>
  <si>
    <r>
      <t xml:space="preserve">TORONTO BLUE JAYS  4-1  </t>
    </r>
    <r>
      <rPr>
        <b/>
        <sz val="14"/>
        <color theme="1"/>
        <rFont val="Times New Roman"/>
        <family val="1"/>
      </rPr>
      <t>*WIN WORLD SERIES*</t>
    </r>
  </si>
  <si>
    <t>AMERICAN LEAGUE CENTRAL  2024</t>
  </si>
  <si>
    <t>AMERICAN LEAGUE CENTRAL  2023</t>
  </si>
  <si>
    <t>AMERICAN LEAGUE CENTRAL  2022</t>
  </si>
  <si>
    <t>CLEVELAND GUARDIANS  24-16  *1st*</t>
  </si>
  <si>
    <t>CLEVELAND GUARDIANS  23-17  *1st*</t>
  </si>
  <si>
    <t>CLEVELAND GUARDIANS  22-18  *1st*</t>
  </si>
  <si>
    <t>CLE</t>
  </si>
  <si>
    <t>J. Thome</t>
  </si>
  <si>
    <t>F. Reyes</t>
  </si>
  <si>
    <t>S. Kwan</t>
  </si>
  <si>
    <t>M. Brantley</t>
  </si>
  <si>
    <t>J. Ramirez</t>
  </si>
  <si>
    <t>T. Naquin</t>
  </si>
  <si>
    <t>C. Santana</t>
  </si>
  <si>
    <t>A. Gimenez</t>
  </si>
  <si>
    <t>J. Naylor</t>
  </si>
  <si>
    <t>Y. Gomes</t>
  </si>
  <si>
    <t>J. Kipnis</t>
  </si>
  <si>
    <t>O. Vizquel</t>
  </si>
  <si>
    <t>G. Arias</t>
  </si>
  <si>
    <t>O. Gonzalez</t>
  </si>
  <si>
    <t>A. Rosario</t>
  </si>
  <si>
    <t>R. Perez</t>
  </si>
  <si>
    <t>B. Naylor</t>
  </si>
  <si>
    <t>K. Manzardo</t>
  </si>
  <si>
    <t>W. Benson</t>
  </si>
  <si>
    <t>S. Bieber</t>
  </si>
  <si>
    <t>C. Kluber</t>
  </si>
  <si>
    <t>T. McKenzie</t>
  </si>
  <si>
    <t>C. Carrasco</t>
  </si>
  <si>
    <t>Z. Plesac</t>
  </si>
  <si>
    <t>T. Bibee</t>
  </si>
  <si>
    <t>A. Civale</t>
  </si>
  <si>
    <t>G. Williams</t>
  </si>
  <si>
    <t>C. Quantrill</t>
  </si>
  <si>
    <t>S. Hentges</t>
  </si>
  <si>
    <t>J. Karinchak</t>
  </si>
  <si>
    <t>E. Clase</t>
  </si>
  <si>
    <t>MINNESOTA TWINS  18-22  5th</t>
  </si>
  <si>
    <t>MINNESOTA TWINS  21-19  2nd</t>
  </si>
  <si>
    <t>MINNESOTA TWINS  21-19  3rd</t>
  </si>
  <si>
    <t>MIN</t>
  </si>
  <si>
    <t>T. Hunter</t>
  </si>
  <si>
    <t>B. Buxton</t>
  </si>
  <si>
    <t>C. Correa</t>
  </si>
  <si>
    <t>K. Puckett</t>
  </si>
  <si>
    <t>J. Donaldson</t>
  </si>
  <si>
    <t>J. Polanco</t>
  </si>
  <si>
    <t>J. Mauer</t>
  </si>
  <si>
    <t>N. Cruz</t>
  </si>
  <si>
    <t>L. Arraez</t>
  </si>
  <si>
    <t>M. Sano</t>
  </si>
  <si>
    <t>M. Kepler</t>
  </si>
  <si>
    <t>M. Wallner</t>
  </si>
  <si>
    <t>M. Garver</t>
  </si>
  <si>
    <t>R. Lewis</t>
  </si>
  <si>
    <t>N. Gordon</t>
  </si>
  <si>
    <t>A. Kirilloff</t>
  </si>
  <si>
    <t>E. Rosario</t>
  </si>
  <si>
    <t>B. Lee</t>
  </si>
  <si>
    <t>S. Gray</t>
  </si>
  <si>
    <t>P. Lopez</t>
  </si>
  <si>
    <t>K. Maeda</t>
  </si>
  <si>
    <t>J. Ryan</t>
  </si>
  <si>
    <t>K. Gibson</t>
  </si>
  <si>
    <t>J. Odorizzi</t>
  </si>
  <si>
    <t>B. Ober</t>
  </si>
  <si>
    <t>E. Santana</t>
  </si>
  <si>
    <t>G. Jax</t>
  </si>
  <si>
    <t>J. Alcala</t>
  </si>
  <si>
    <t>T. May</t>
  </si>
  <si>
    <t>Ta. Rogers</t>
  </si>
  <si>
    <t>DETROIT TIGERS  21-19  3rd</t>
  </si>
  <si>
    <t>DETROIT TIGERS  14-26  5th</t>
  </si>
  <si>
    <t>DETROIT TIGERS  12-28  5th</t>
  </si>
  <si>
    <t>DET</t>
  </si>
  <si>
    <t>K. Carpenter</t>
  </si>
  <si>
    <t>M. Cabrera</t>
  </si>
  <si>
    <t>M. Tettleton</t>
  </si>
  <si>
    <t>V. Reyes</t>
  </si>
  <si>
    <t>C. Fielder</t>
  </si>
  <si>
    <t>J. Baez</t>
  </si>
  <si>
    <t>J. Candelario</t>
  </si>
  <si>
    <t>I. Kinsler</t>
  </si>
  <si>
    <t>V. Martinez</t>
  </si>
  <si>
    <t>A. Baddoo</t>
  </si>
  <si>
    <t>R. Grossman</t>
  </si>
  <si>
    <t>R. Greene</t>
  </si>
  <si>
    <t>1B®</t>
  </si>
  <si>
    <t>S. Torkelson</t>
  </si>
  <si>
    <t>I. Paredes</t>
  </si>
  <si>
    <t>N. Goodrum</t>
  </si>
  <si>
    <t>W. Castro</t>
  </si>
  <si>
    <t>Ja. Jung</t>
  </si>
  <si>
    <t>P. Meadows</t>
  </si>
  <si>
    <t>C. Keith</t>
  </si>
  <si>
    <t>D. Cameron</t>
  </si>
  <si>
    <t>J. Rogers</t>
  </si>
  <si>
    <t>T. Skubal</t>
  </si>
  <si>
    <t>M. Boyd</t>
  </si>
  <si>
    <t>C. Mize</t>
  </si>
  <si>
    <t>An. Sanchez</t>
  </si>
  <si>
    <t>M. Manning</t>
  </si>
  <si>
    <t>A. Faedo</t>
  </si>
  <si>
    <t>T. Alexander</t>
  </si>
  <si>
    <t>B. Farmer</t>
  </si>
  <si>
    <t>J. Cisnero</t>
  </si>
  <si>
    <t>J. Foley</t>
  </si>
  <si>
    <t>M. Fulmer</t>
  </si>
  <si>
    <t>A. Lange</t>
  </si>
  <si>
    <t>G. Soto</t>
  </si>
  <si>
    <t>KANSAS CITY ROYALS  22-18  2nd</t>
  </si>
  <si>
    <t>KANSAS CITY ROYALS  18-22  3rd</t>
  </si>
  <si>
    <t>KANSAS CITY ROYALS  20-20  4th</t>
  </si>
  <si>
    <t>KCR</t>
  </si>
  <si>
    <t>B. Witt Jr</t>
  </si>
  <si>
    <t>S. Perez</t>
  </si>
  <si>
    <t>B. Jackson</t>
  </si>
  <si>
    <t>G. Brett</t>
  </si>
  <si>
    <t>A. Gordon</t>
  </si>
  <si>
    <t>A. Benintendi</t>
  </si>
  <si>
    <t>W. Merrifield</t>
  </si>
  <si>
    <t>J. Soler</t>
  </si>
  <si>
    <t>V. Pasquantino</t>
  </si>
  <si>
    <t>H. Dozier</t>
  </si>
  <si>
    <t>J. Caglianone</t>
  </si>
  <si>
    <t>A. Mondesi</t>
  </si>
  <si>
    <t>C. Gallagher</t>
  </si>
  <si>
    <t>N. Lopez</t>
  </si>
  <si>
    <t>M. Melendez</t>
  </si>
  <si>
    <t>K. Isbel</t>
  </si>
  <si>
    <t>R. Ibanez</t>
  </si>
  <si>
    <t>D. Waters</t>
  </si>
  <si>
    <t>Z. Greinke</t>
  </si>
  <si>
    <t>B. Keller</t>
  </si>
  <si>
    <t>Y. Ventura</t>
  </si>
  <si>
    <t>B. Singer</t>
  </si>
  <si>
    <t>C. Ragans</t>
  </si>
  <si>
    <t>K. Bubic</t>
  </si>
  <si>
    <t>J. Staumont</t>
  </si>
  <si>
    <t>C. Hernandez</t>
  </si>
  <si>
    <t>B. Finnegan</t>
  </si>
  <si>
    <t>D. Lynch</t>
  </si>
  <si>
    <t>M. Strahm</t>
  </si>
  <si>
    <t>W. Davis</t>
  </si>
  <si>
    <t>L. Erceg</t>
  </si>
  <si>
    <t>S. Barlow</t>
  </si>
  <si>
    <t>G. Holland</t>
  </si>
  <si>
    <t>CHICAGO WHITE SOX  20-20  4th</t>
  </si>
  <si>
    <t>CHICAGO WHITE SOX  16-24  4th</t>
  </si>
  <si>
    <t>CHICAGO WHITE SOX  22-18  2nd</t>
  </si>
  <si>
    <t>CHW</t>
  </si>
  <si>
    <t>F. Thomas</t>
  </si>
  <si>
    <t>E. Jimenez</t>
  </si>
  <si>
    <t>J. Abreu</t>
  </si>
  <si>
    <t>L. Robert</t>
  </si>
  <si>
    <t>T. Anderson</t>
  </si>
  <si>
    <t>J. Burger</t>
  </si>
  <si>
    <t>N. Madrigal</t>
  </si>
  <si>
    <t>Y. Grandal</t>
  </si>
  <si>
    <t>Y. Moncada</t>
  </si>
  <si>
    <t>A. Vaughn</t>
  </si>
  <si>
    <t>A. Eaton</t>
  </si>
  <si>
    <t>G. Sheets</t>
  </si>
  <si>
    <t>O. Colas</t>
  </si>
  <si>
    <t>Z. Collins</t>
  </si>
  <si>
    <t>E. Quero</t>
  </si>
  <si>
    <t>R. Gonzalez</t>
  </si>
  <si>
    <t>G. Crochet</t>
  </si>
  <si>
    <t>D. Cease</t>
  </si>
  <si>
    <t>L. Giolito</t>
  </si>
  <si>
    <t>C. Rodon</t>
  </si>
  <si>
    <t>L. Lynn</t>
  </si>
  <si>
    <t>M. Kopech</t>
  </si>
  <si>
    <t>D. Keuchel</t>
  </si>
  <si>
    <t>J. Cannon</t>
  </si>
  <si>
    <t>J. Lambert</t>
  </si>
  <si>
    <t>D. Martin</t>
  </si>
  <si>
    <t>J. Ruiz</t>
  </si>
  <si>
    <t>R. Lopez</t>
  </si>
  <si>
    <t>A. Bummer</t>
  </si>
  <si>
    <t>L. Hendriks</t>
  </si>
  <si>
    <r>
      <t>CLEVELAND GUARDIANS  4-3</t>
    </r>
    <r>
      <rPr>
        <sz val="14"/>
        <color theme="1"/>
        <rFont val="Times New Roman"/>
        <family val="1"/>
      </rPr>
      <t xml:space="preserve">  /  Win ALWC  /  Lose ALDS</t>
    </r>
  </si>
  <si>
    <r>
      <t>CLEVELAND GUARDIANS  0-3</t>
    </r>
    <r>
      <rPr>
        <sz val="14"/>
        <color theme="1"/>
        <rFont val="Times New Roman"/>
        <family val="1"/>
      </rPr>
      <t xml:space="preserve">  /  Bye  /  Lose ALDS</t>
    </r>
  </si>
  <si>
    <r>
      <t xml:space="preserve">CHICAGO WHITE SOX  4-4  </t>
    </r>
    <r>
      <rPr>
        <sz val="14"/>
        <color theme="1"/>
        <rFont val="Times New Roman"/>
        <family val="1"/>
      </rPr>
      <t>/  Win ALWC  /  Lose ALDS</t>
    </r>
  </si>
  <si>
    <r>
      <t>MINNESOTA TWINS  4-4</t>
    </r>
    <r>
      <rPr>
        <sz val="14"/>
        <color theme="1"/>
        <rFont val="Times New Roman"/>
        <family val="1"/>
      </rPr>
      <t xml:space="preserve">  /  Bye  /  Win ALWC  /  Lose ALDS</t>
    </r>
  </si>
  <si>
    <r>
      <t xml:space="preserve">CLEVELAND GUARDIANS  1-2  </t>
    </r>
    <r>
      <rPr>
        <sz val="14"/>
        <color theme="1"/>
        <rFont val="Times New Roman"/>
        <family val="1"/>
      </rPr>
      <t>/  Lose ALWC</t>
    </r>
  </si>
  <si>
    <t>AMERICAN LEAGUE WEST  2024</t>
  </si>
  <si>
    <t>AMERICAN LEAGUE WEST  2023</t>
  </si>
  <si>
    <t>AMERICAN LEAGUE WEST  2022</t>
  </si>
  <si>
    <t>HOUSTON ASTROS  25-15  *1st*</t>
  </si>
  <si>
    <t>HOUSTON ASTROS  20-20  2nd</t>
  </si>
  <si>
    <t>HOU</t>
  </si>
  <si>
    <t>Y. Alvarez</t>
  </si>
  <si>
    <t>A. Bregman</t>
  </si>
  <si>
    <t>J. Altuve</t>
  </si>
  <si>
    <t>J. Bagwell</t>
  </si>
  <si>
    <t>Y. Gurriel</t>
  </si>
  <si>
    <t>K. Tucker</t>
  </si>
  <si>
    <t>Yr. Diaz</t>
  </si>
  <si>
    <t>J. Pena</t>
  </si>
  <si>
    <t>J. Meyers</t>
  </si>
  <si>
    <t>G. Stubbs</t>
  </si>
  <si>
    <t>M. Maldonado</t>
  </si>
  <si>
    <t>M. Gonzalez</t>
  </si>
  <si>
    <t>C. McCormick</t>
  </si>
  <si>
    <t>J. Siri</t>
  </si>
  <si>
    <t>C. Smith</t>
  </si>
  <si>
    <t>D. Hensley</t>
  </si>
  <si>
    <t>J. Verlander</t>
  </si>
  <si>
    <t>F. Valdez</t>
  </si>
  <si>
    <t>J. Musgrove</t>
  </si>
  <si>
    <t>L. McCullers</t>
  </si>
  <si>
    <t>R. Blanco</t>
  </si>
  <si>
    <t>C. Javier</t>
  </si>
  <si>
    <t>L. Garcia</t>
  </si>
  <si>
    <t>J. Urquidy</t>
  </si>
  <si>
    <t>C. McHugh</t>
  </si>
  <si>
    <t>K. Giles</t>
  </si>
  <si>
    <t>R. Pressly</t>
  </si>
  <si>
    <t>SEATTLE MARINERS  24-16  2nd</t>
  </si>
  <si>
    <t>SEATTLE MARINERS  22-18  *1st*</t>
  </si>
  <si>
    <t>SEATTLE MARINERS  20-20  3rd</t>
  </si>
  <si>
    <t>SEA</t>
  </si>
  <si>
    <t>R. Cano</t>
  </si>
  <si>
    <t>E. Martinez</t>
  </si>
  <si>
    <t>K. Griffey Jr</t>
  </si>
  <si>
    <t>E. Encarnacion</t>
  </si>
  <si>
    <t>J. Rodriguez</t>
  </si>
  <si>
    <t>M. Haniger</t>
  </si>
  <si>
    <t>T. France</t>
  </si>
  <si>
    <t>K. Lewis</t>
  </si>
  <si>
    <t>E. Suarez</t>
  </si>
  <si>
    <t>C. Raleigh</t>
  </si>
  <si>
    <t>Jp. Crawford</t>
  </si>
  <si>
    <t>K. Seager</t>
  </si>
  <si>
    <t>A. Nola</t>
  </si>
  <si>
    <t>D. Moore</t>
  </si>
  <si>
    <t>J. Kelenic</t>
  </si>
  <si>
    <t>J. Clase</t>
  </si>
  <si>
    <t>S. Haggerty</t>
  </si>
  <si>
    <t>A. Frazier</t>
  </si>
  <si>
    <t>F. Hernandez</t>
  </si>
  <si>
    <t>L. Gilbert</t>
  </si>
  <si>
    <t>R. Ray</t>
  </si>
  <si>
    <t>M. Gonzales</t>
  </si>
  <si>
    <t>G. Kirby</t>
  </si>
  <si>
    <t>Y. Kikuchi</t>
  </si>
  <si>
    <t>C. Flexen</t>
  </si>
  <si>
    <t>B. Miller</t>
  </si>
  <si>
    <t>J. Dunn</t>
  </si>
  <si>
    <t>J. Sheffield</t>
  </si>
  <si>
    <t>B. Woo</t>
  </si>
  <si>
    <t>M. Brash</t>
  </si>
  <si>
    <t>H. Iwakuma</t>
  </si>
  <si>
    <t>D. Castillo</t>
  </si>
  <si>
    <t>A. Diaz</t>
  </si>
  <si>
    <t>P. Sewald</t>
  </si>
  <si>
    <t>F. Rodney</t>
  </si>
  <si>
    <t>TEXAS RANGERS  15-25  5th</t>
  </si>
  <si>
    <t>TEXAS RANGERS  15-25  4th</t>
  </si>
  <si>
    <t>TEXAS RANGERS  13-27  5th</t>
  </si>
  <si>
    <t>TEX</t>
  </si>
  <si>
    <t>C. Seager</t>
  </si>
  <si>
    <t>N. Lowe</t>
  </si>
  <si>
    <t>J. Gonzalez</t>
  </si>
  <si>
    <t>A. Garcia</t>
  </si>
  <si>
    <t>A. Beltre</t>
  </si>
  <si>
    <t>J. Hamilton</t>
  </si>
  <si>
    <t>I. Rodriguez</t>
  </si>
  <si>
    <t>J. Gallo</t>
  </si>
  <si>
    <t>W. Langford</t>
  </si>
  <si>
    <t>I. Kiner-Falefa</t>
  </si>
  <si>
    <t>J. Heim</t>
  </si>
  <si>
    <t>R. Odor</t>
  </si>
  <si>
    <t>S. Huff</t>
  </si>
  <si>
    <t>L. Taveras</t>
  </si>
  <si>
    <t>Jo. Jung</t>
  </si>
  <si>
    <t>N. Solak</t>
  </si>
  <si>
    <t>N. Mazara</t>
  </si>
  <si>
    <t>A. Tejeda</t>
  </si>
  <si>
    <t>M. Minor</t>
  </si>
  <si>
    <t>M. Perez</t>
  </si>
  <si>
    <t>D. Dunning</t>
  </si>
  <si>
    <t>J. Leiter</t>
  </si>
  <si>
    <t>C. Bradford</t>
  </si>
  <si>
    <t>B. Burke</t>
  </si>
  <si>
    <t>K. Rocker</t>
  </si>
  <si>
    <t>L. Jackson</t>
  </si>
  <si>
    <t>J. LeClerc</t>
  </si>
  <si>
    <t>R. Garcia</t>
  </si>
  <si>
    <t>J. Hernandez</t>
  </si>
  <si>
    <t>J. Barlow</t>
  </si>
  <si>
    <t>J. Leclerc</t>
  </si>
  <si>
    <t>LOS ANGELES ANGELS  16-24  4th</t>
  </si>
  <si>
    <t>LOS ANGELES ANGELS  19-21  3rd</t>
  </si>
  <si>
    <t>LOS ANGELES ANGELS  22-18  2nd</t>
  </si>
  <si>
    <t>LAA</t>
  </si>
  <si>
    <t>M. Trout</t>
  </si>
  <si>
    <t>S. Ohtani</t>
  </si>
  <si>
    <t>A. Pujols</t>
  </si>
  <si>
    <t>L. O'Hoppe</t>
  </si>
  <si>
    <t>A. Rendon</t>
  </si>
  <si>
    <t>J. Upton</t>
  </si>
  <si>
    <t>T. Ward</t>
  </si>
  <si>
    <t>Z. Neto</t>
  </si>
  <si>
    <t>J. Adell</t>
  </si>
  <si>
    <t>M. Stassi</t>
  </si>
  <si>
    <t>D. Fletcher</t>
  </si>
  <si>
    <t>A. Simmons</t>
  </si>
  <si>
    <t>K. Paris</t>
  </si>
  <si>
    <t>C. Cron</t>
  </si>
  <si>
    <t>J. Walsh</t>
  </si>
  <si>
    <t>T. La Stella</t>
  </si>
  <si>
    <t>B. Marsh</t>
  </si>
  <si>
    <t>P. Sandoval</t>
  </si>
  <si>
    <t>A. Heaney</t>
  </si>
  <si>
    <t>G. Richards</t>
  </si>
  <si>
    <t>R. Detmers</t>
  </si>
  <si>
    <t>G. Canning</t>
  </si>
  <si>
    <t>C. Silseth</t>
  </si>
  <si>
    <t>J. Suarez</t>
  </si>
  <si>
    <t>D. Bundy</t>
  </si>
  <si>
    <t>J. Soriano</t>
  </si>
  <si>
    <t>M. Shoemaker</t>
  </si>
  <si>
    <t>C. Estevez</t>
  </si>
  <si>
    <t>OAKLAND ATHLETICS  16-24  3rd</t>
  </si>
  <si>
    <t>OAKLAND ATHLETICS  14-26  5th</t>
  </si>
  <si>
    <t>OAKLAND ATHLETICS  19-21  4th</t>
  </si>
  <si>
    <t>OAK</t>
  </si>
  <si>
    <t>K. Davis</t>
  </si>
  <si>
    <t>E. Chavez</t>
  </si>
  <si>
    <t>M. Olson</t>
  </si>
  <si>
    <t>D. Hernaiz</t>
  </si>
  <si>
    <t>R. Henderson</t>
  </si>
  <si>
    <t>S. Marte</t>
  </si>
  <si>
    <t>M. McGwire</t>
  </si>
  <si>
    <t>S. Murphy</t>
  </si>
  <si>
    <t>J. Wilson</t>
  </si>
  <si>
    <t>R. Laureano</t>
  </si>
  <si>
    <t>E. Andrus</t>
  </si>
  <si>
    <t>M. Canha</t>
  </si>
  <si>
    <t>L. Butler</t>
  </si>
  <si>
    <t>T. Kemp</t>
  </si>
  <si>
    <t>S. Brown</t>
  </si>
  <si>
    <t>T. Soderstrom</t>
  </si>
  <si>
    <t>S. Langeliers</t>
  </si>
  <si>
    <t>A. Dunn</t>
  </si>
  <si>
    <t>C. Pinder</t>
  </si>
  <si>
    <t>N. Kurtz</t>
  </si>
  <si>
    <t>N. Allen</t>
  </si>
  <si>
    <t>J. Bleday</t>
  </si>
  <si>
    <t>Z. Gelof</t>
  </si>
  <si>
    <t>S. Vogt</t>
  </si>
  <si>
    <t>J. Sears</t>
  </si>
  <si>
    <t>C. Bassitt</t>
  </si>
  <si>
    <t>J. Kaprielian</t>
  </si>
  <si>
    <t>F. Montas</t>
  </si>
  <si>
    <t>L. Morales</t>
  </si>
  <si>
    <t>S. Fujinami</t>
  </si>
  <si>
    <t>S. Manaea</t>
  </si>
  <si>
    <t>K. Waldichuk</t>
  </si>
  <si>
    <t>O. Bido</t>
  </si>
  <si>
    <t>J. Ginn</t>
  </si>
  <si>
    <t>P. Blackburn</t>
  </si>
  <si>
    <t>K. Graveman</t>
  </si>
  <si>
    <t>A. Puk</t>
  </si>
  <si>
    <t>S. Doolittle</t>
  </si>
  <si>
    <t>M. Miller</t>
  </si>
  <si>
    <t>J. Diekman</t>
  </si>
  <si>
    <r>
      <t>HOUSTON ASTROS  6-6</t>
    </r>
    <r>
      <rPr>
        <sz val="14"/>
        <color theme="1"/>
        <rFont val="Times New Roman"/>
        <family val="1"/>
      </rPr>
      <t xml:space="preserve">  /  Bye  /  Win ALDS  /  Lose *ALCS*</t>
    </r>
    <r>
      <rPr>
        <sz val="18"/>
        <color theme="1"/>
        <rFont val="Times New Roman"/>
        <family val="1"/>
      </rPr>
      <t/>
    </r>
  </si>
  <si>
    <r>
      <t>SEATTLE MARINERS  1-2</t>
    </r>
    <r>
      <rPr>
        <sz val="14"/>
        <color theme="1"/>
        <rFont val="Times New Roman"/>
        <family val="1"/>
      </rPr>
      <t xml:space="preserve">  /  Lose ALWC</t>
    </r>
  </si>
  <si>
    <r>
      <t>HOUSTON ASTROS  8-6</t>
    </r>
    <r>
      <rPr>
        <sz val="14"/>
        <color theme="1"/>
        <rFont val="Times New Roman"/>
        <family val="1"/>
      </rPr>
      <t xml:space="preserve">  /  Bye  /  Win ALDS  /  *Win ALCS*  /  Lose WS</t>
    </r>
  </si>
  <si>
    <r>
      <t>SEATTLE MARINERS  0-2</t>
    </r>
    <r>
      <rPr>
        <sz val="14"/>
        <color theme="1"/>
        <rFont val="Times New Roman"/>
        <family val="1"/>
      </rPr>
      <t xml:space="preserve">  /  Lose ALWC</t>
    </r>
  </si>
  <si>
    <r>
      <t xml:space="preserve">LOS ANGELES ANGELS  5-7  </t>
    </r>
    <r>
      <rPr>
        <sz val="14"/>
        <color theme="1"/>
        <rFont val="Times New Roman"/>
        <family val="1"/>
      </rPr>
      <t>/  Win ALWC  /  Win ALDS  /  Lose ALCS</t>
    </r>
  </si>
  <si>
    <r>
      <t>HOUSTON ASTROS  1-4</t>
    </r>
    <r>
      <rPr>
        <sz val="14"/>
        <color theme="1"/>
        <rFont val="Times New Roman"/>
        <family val="1"/>
      </rPr>
      <t xml:space="preserve">  /  Lose World Series</t>
    </r>
  </si>
  <si>
    <t>NATIONAL LEAGUE EAST  2024</t>
  </si>
  <si>
    <t>NATIONAL LEAGUE EAST  2023</t>
  </si>
  <si>
    <t>NATIONAL LEAGUE EAST  2022</t>
  </si>
  <si>
    <t>PHILADELPHIA PHILLIES  23-17  3rd</t>
  </si>
  <si>
    <t>PHILADELPHIA PHILLIES  20-20  3rd</t>
  </si>
  <si>
    <t>PHILADELPHIA PHILLIES  23-17  *1st*</t>
  </si>
  <si>
    <t>PHI</t>
  </si>
  <si>
    <t>S. Rolen</t>
  </si>
  <si>
    <t>B. Harper</t>
  </si>
  <si>
    <t>R. Howard</t>
  </si>
  <si>
    <t>K. Schwarber</t>
  </si>
  <si>
    <t>M. Schmidt</t>
  </si>
  <si>
    <t>L. Dykstra</t>
  </si>
  <si>
    <t>C. Utley</t>
  </si>
  <si>
    <t>B. Stott</t>
  </si>
  <si>
    <t>J. Realmuto</t>
  </si>
  <si>
    <t>J. Segura</t>
  </si>
  <si>
    <t>R. Hoskins</t>
  </si>
  <si>
    <t>J. Kruk</t>
  </si>
  <si>
    <t>A. McCutchen</t>
  </si>
  <si>
    <t>M. Vierling</t>
  </si>
  <si>
    <t>N. Maton</t>
  </si>
  <si>
    <t>A. Bohm</t>
  </si>
  <si>
    <t>C. Ruiz</t>
  </si>
  <si>
    <t>Ju. Crawford</t>
  </si>
  <si>
    <t>M. Franco</t>
  </si>
  <si>
    <t>Z. Wheeler</t>
  </si>
  <si>
    <t>C. Hamels</t>
  </si>
  <si>
    <t>Ra. Suarez</t>
  </si>
  <si>
    <t>Z. Eflin</t>
  </si>
  <si>
    <t>O. Kerkering</t>
  </si>
  <si>
    <t>S. Dominguez</t>
  </si>
  <si>
    <t>J. Hoffman</t>
  </si>
  <si>
    <t>C. Brogdon</t>
  </si>
  <si>
    <t>P. Neshek</t>
  </si>
  <si>
    <t>C. Knebel</t>
  </si>
  <si>
    <t>J. Papelbon</t>
  </si>
  <si>
    <t>NEW YORK METS  30-10  *1st*</t>
  </si>
  <si>
    <t>NEW YORK METS  23-17  2nd</t>
  </si>
  <si>
    <t>NEW YORK METS  22-18  2nd</t>
  </si>
  <si>
    <t>NYM</t>
  </si>
  <si>
    <t>F. Lindor</t>
  </si>
  <si>
    <t>P. Alonso</t>
  </si>
  <si>
    <t>M. Piazza</t>
  </si>
  <si>
    <t>D. Wright</t>
  </si>
  <si>
    <t>D. Strawberry</t>
  </si>
  <si>
    <t>B. Nimmo</t>
  </si>
  <si>
    <t>J. McNeil</t>
  </si>
  <si>
    <t>M. Conforto</t>
  </si>
  <si>
    <t>G. Carter</t>
  </si>
  <si>
    <t>D. Smith</t>
  </si>
  <si>
    <t>J. Davis</t>
  </si>
  <si>
    <t>C. Granderson</t>
  </si>
  <si>
    <t>B. Baty</t>
  </si>
  <si>
    <t>F. Alvarez</t>
  </si>
  <si>
    <t>M. Vientos</t>
  </si>
  <si>
    <t>J. DeGrom</t>
  </si>
  <si>
    <t>M. Scherzer</t>
  </si>
  <si>
    <t>N. Syndergaard</t>
  </si>
  <si>
    <t>K. Senga</t>
  </si>
  <si>
    <t>M. Stroman</t>
  </si>
  <si>
    <t>T. Walker</t>
  </si>
  <si>
    <t>S. Matz</t>
  </si>
  <si>
    <t>T. Megill</t>
  </si>
  <si>
    <t>R. Montero</t>
  </si>
  <si>
    <t>S. Lugo</t>
  </si>
  <si>
    <t>J. Familia</t>
  </si>
  <si>
    <t>E. Diaz</t>
  </si>
  <si>
    <t>ATLANTA BRAVES  24-16  2nd</t>
  </si>
  <si>
    <t>ATLANTA BRAVES  25-15  *1st*</t>
  </si>
  <si>
    <t>ATLANTA BRAVES  21-19  3rd</t>
  </si>
  <si>
    <t>ATL</t>
  </si>
  <si>
    <t>C. Jones</t>
  </si>
  <si>
    <t>A. Riley</t>
  </si>
  <si>
    <t>F. Freeman</t>
  </si>
  <si>
    <t>O. Albies</t>
  </si>
  <si>
    <t>R. Acuna</t>
  </si>
  <si>
    <t>M. Harris</t>
  </si>
  <si>
    <t>Wm. Contreras</t>
  </si>
  <si>
    <t>M. Ozuna</t>
  </si>
  <si>
    <t>F. McGriff</t>
  </si>
  <si>
    <t>N. Markakis</t>
  </si>
  <si>
    <t>T. D’Arnaud</t>
  </si>
  <si>
    <t>D. Swanson</t>
  </si>
  <si>
    <t>R. Gant</t>
  </si>
  <si>
    <t>D. Sanders</t>
  </si>
  <si>
    <t>N. Alvarez</t>
  </si>
  <si>
    <t>V. Grissom</t>
  </si>
  <si>
    <t>C. Pache</t>
  </si>
  <si>
    <t>S. Strider</t>
  </si>
  <si>
    <t>C. Morton</t>
  </si>
  <si>
    <t>M. Fried</t>
  </si>
  <si>
    <t>I. Anderson</t>
  </si>
  <si>
    <t>K. Wright</t>
  </si>
  <si>
    <t>M. Soroka</t>
  </si>
  <si>
    <t>K. Muller</t>
  </si>
  <si>
    <t>A. Smith-Shawver</t>
  </si>
  <si>
    <t>J. Teheran</t>
  </si>
  <si>
    <t>D. Lee</t>
  </si>
  <si>
    <t>A. Minter</t>
  </si>
  <si>
    <t>W. Smith</t>
  </si>
  <si>
    <t>C. Kimbrel</t>
  </si>
  <si>
    <t>WASHINGTON NATIONALS  13-27  5th</t>
  </si>
  <si>
    <t>WASHINGTON NATIONALS  18-22  4th</t>
  </si>
  <si>
    <t>WASHINGTON NATIONALS  20-20  4th</t>
  </si>
  <si>
    <t>WSH</t>
  </si>
  <si>
    <t>C. Abrams</t>
  </si>
  <si>
    <t>R. Zimmerman</t>
  </si>
  <si>
    <t>T. Turner</t>
  </si>
  <si>
    <t>S. Castro</t>
  </si>
  <si>
    <t>K. Ruiz</t>
  </si>
  <si>
    <t>J. Bell</t>
  </si>
  <si>
    <t>J. Soto</t>
  </si>
  <si>
    <t>J. Wood</t>
  </si>
  <si>
    <t>J. Werth</t>
  </si>
  <si>
    <t>M. Taylor</t>
  </si>
  <si>
    <t>H. Kendrick</t>
  </si>
  <si>
    <t>L. Thomas</t>
  </si>
  <si>
    <t>D. Crews</t>
  </si>
  <si>
    <t>D. Murphy</t>
  </si>
  <si>
    <t>I. Desmond</t>
  </si>
  <si>
    <t>V. Robles</t>
  </si>
  <si>
    <t>R. Adams</t>
  </si>
  <si>
    <t>C. Kieboom</t>
  </si>
  <si>
    <t>A. Stevenson</t>
  </si>
  <si>
    <t>S. Strasburg</t>
  </si>
  <si>
    <t>G. Gonzalez</t>
  </si>
  <si>
    <t>Js. Gray</t>
  </si>
  <si>
    <t>J. Zimmermann</t>
  </si>
  <si>
    <t>E. Fedde</t>
  </si>
  <si>
    <t>P. Corbin</t>
  </si>
  <si>
    <t>C. Cavalli</t>
  </si>
  <si>
    <t>J. Irvin</t>
  </si>
  <si>
    <t>D. Fister</t>
  </si>
  <si>
    <t>T. Roark</t>
  </si>
  <si>
    <t>B. Hand</t>
  </si>
  <si>
    <t>K. Finnegan</t>
  </si>
  <si>
    <t>MIAMI MARLINS  17-23  4th</t>
  </si>
  <si>
    <t>MIAMI MARLINS  17-23  5th</t>
  </si>
  <si>
    <t>MIA</t>
  </si>
  <si>
    <t>X. Edwards</t>
  </si>
  <si>
    <t>J. Chisholm</t>
  </si>
  <si>
    <t>M. Rojas</t>
  </si>
  <si>
    <t>J. Berti</t>
  </si>
  <si>
    <t>J. Aguilar</t>
  </si>
  <si>
    <t>C. Norby</t>
  </si>
  <si>
    <t>G. Sheffield</t>
  </si>
  <si>
    <t>G. Cooper</t>
  </si>
  <si>
    <t>G. Conine</t>
  </si>
  <si>
    <t>B. Anderson</t>
  </si>
  <si>
    <t>J. Sanchez</t>
  </si>
  <si>
    <t>J. Stallings</t>
  </si>
  <si>
    <t>L. Hicks</t>
  </si>
  <si>
    <t>B. De La Cruz</t>
  </si>
  <si>
    <t>J. Villar</t>
  </si>
  <si>
    <t>A. Ramirez</t>
  </si>
  <si>
    <t>L. Brinson</t>
  </si>
  <si>
    <t>J. Marsee</t>
  </si>
  <si>
    <t>I. Diaz</t>
  </si>
  <si>
    <t>J. Fernandez</t>
  </si>
  <si>
    <t>S. Alcantara</t>
  </si>
  <si>
    <t>L. Hernandez</t>
  </si>
  <si>
    <t>Tr. Rogers</t>
  </si>
  <si>
    <t>J. Luzardo</t>
  </si>
  <si>
    <t>E. Perez</t>
  </si>
  <si>
    <t>E. Cabrera</t>
  </si>
  <si>
    <t>E. Hernandez</t>
  </si>
  <si>
    <t>B. Garrett</t>
  </si>
  <si>
    <t>M. Meyer</t>
  </si>
  <si>
    <t>D. Willis</t>
  </si>
  <si>
    <t>C. Faucher</t>
  </si>
  <si>
    <t>D. Floro</t>
  </si>
  <si>
    <t>A. Ramos</t>
  </si>
  <si>
    <t>NATIONAL LEAGUE PLAYOFFS</t>
  </si>
  <si>
    <r>
      <t>PHILADELPHIA PHILLIES  4-4</t>
    </r>
    <r>
      <rPr>
        <sz val="14"/>
        <color theme="1"/>
        <rFont val="Times New Roman"/>
        <family val="1"/>
      </rPr>
      <t xml:space="preserve">  /  Win NLWC  /  Lose NLDS</t>
    </r>
  </si>
  <si>
    <r>
      <t>ATLANTA BRAVES  1-3</t>
    </r>
    <r>
      <rPr>
        <sz val="14"/>
        <color theme="1"/>
        <rFont val="Times New Roman"/>
        <family val="1"/>
      </rPr>
      <t xml:space="preserve">  /  Bye  /  Lose NLDS</t>
    </r>
  </si>
  <si>
    <r>
      <t xml:space="preserve">PHILADELPHIA PHILLIES  11-3 </t>
    </r>
    <r>
      <rPr>
        <b/>
        <sz val="14"/>
        <color theme="1"/>
        <rFont val="Times New Roman"/>
        <family val="1"/>
      </rPr>
      <t>/  Bye  /  Win NLDS  /  *Win NLCS*  /  **Win WS**</t>
    </r>
  </si>
  <si>
    <r>
      <t>NEW YORK METS  1-3</t>
    </r>
    <r>
      <rPr>
        <sz val="14"/>
        <color theme="1"/>
        <rFont val="Times New Roman"/>
        <family val="1"/>
      </rPr>
      <t xml:space="preserve">  /  Bye  /  Lose NLDS</t>
    </r>
  </si>
  <si>
    <r>
      <t>NEW YORK METS  1-2</t>
    </r>
    <r>
      <rPr>
        <sz val="14"/>
        <color theme="1"/>
        <rFont val="Times New Roman"/>
        <family val="1"/>
      </rPr>
      <t xml:space="preserve">  /  Lose NLWC</t>
    </r>
  </si>
  <si>
    <r>
      <t xml:space="preserve">NEW YORK METS  1-2  </t>
    </r>
    <r>
      <rPr>
        <sz val="14"/>
        <color theme="1"/>
        <rFont val="Times New Roman"/>
        <family val="1"/>
      </rPr>
      <t>/  Lose NLWC</t>
    </r>
  </si>
  <si>
    <r>
      <t>ATLANTA BRAVES  7-6</t>
    </r>
    <r>
      <rPr>
        <sz val="14"/>
        <color theme="1"/>
        <rFont val="Times New Roman"/>
        <family val="1"/>
      </rPr>
      <t xml:space="preserve">  /  Win NLWC  /  Win NLDS  /  Lose *NLCS*</t>
    </r>
  </si>
  <si>
    <r>
      <t xml:space="preserve">PHILADELPHIA PHILLIES 4-1  </t>
    </r>
    <r>
      <rPr>
        <b/>
        <sz val="14"/>
        <color theme="1"/>
        <rFont val="Times New Roman"/>
        <family val="1"/>
      </rPr>
      <t>*WIN WORLD SERIES*</t>
    </r>
  </si>
  <si>
    <t>NATIONAL LEAGUE CENTRAL  2024</t>
  </si>
  <si>
    <t>NATIONAL LEAGUE CENTRAL  2023</t>
  </si>
  <si>
    <t>NATIONAL LEAGUE CENTRAL  2022</t>
  </si>
  <si>
    <t>ST. LOUIS CARDINALS  19-21  *1st*</t>
  </si>
  <si>
    <t>ST. LOUIS CARDINALS  20-20  3rd</t>
  </si>
  <si>
    <t>ST. LOUIS CARDINALS  22-18  2nd</t>
  </si>
  <si>
    <t>STL</t>
  </si>
  <si>
    <t>L. Nootbaar</t>
  </si>
  <si>
    <t>N. Arenado</t>
  </si>
  <si>
    <t>T. O’Neill</t>
  </si>
  <si>
    <t>M. Carpenter</t>
  </si>
  <si>
    <t>P. Goldschmidt</t>
  </si>
  <si>
    <t>Y. Molina</t>
  </si>
  <si>
    <t>K. Wong</t>
  </si>
  <si>
    <t>D. Carlson</t>
  </si>
  <si>
    <t>B. Donovan</t>
  </si>
  <si>
    <t>T. Edman</t>
  </si>
  <si>
    <t>O. Smith</t>
  </si>
  <si>
    <t>M. Winn</t>
  </si>
  <si>
    <t>P. DeJong</t>
  </si>
  <si>
    <t>I. Herrera</t>
  </si>
  <si>
    <t>J. Walker</t>
  </si>
  <si>
    <t>A. Knizner</t>
  </si>
  <si>
    <t>V. Scott</t>
  </si>
  <si>
    <t>A. Burleson</t>
  </si>
  <si>
    <t>T. Pendleton</t>
  </si>
  <si>
    <t>A. Wainwright</t>
  </si>
  <si>
    <t>J. Flaherty</t>
  </si>
  <si>
    <t>M. Mikolas</t>
  </si>
  <si>
    <t>K. Kim</t>
  </si>
  <si>
    <t>M. Wacha</t>
  </si>
  <si>
    <t>D. Hudson</t>
  </si>
  <si>
    <t>L. Weaver</t>
  </si>
  <si>
    <t>M. Liberatore</t>
  </si>
  <si>
    <t>A. Pallante</t>
  </si>
  <si>
    <t>J. Oviedo</t>
  </si>
  <si>
    <t>J. Hicks</t>
  </si>
  <si>
    <t>T. Rosenthal</t>
  </si>
  <si>
    <t>G. Gallegos</t>
  </si>
  <si>
    <t>A. Reyes</t>
  </si>
  <si>
    <t>R. Helsley</t>
  </si>
  <si>
    <t>CHICAGO CUBS  18-22  3rd</t>
  </si>
  <si>
    <t>CHICAGO CUBS  25-15  *1st*</t>
  </si>
  <si>
    <t>CHICAGO CUBS  17-23  4th</t>
  </si>
  <si>
    <t>CHC</t>
  </si>
  <si>
    <t>A. Rizzo</t>
  </si>
  <si>
    <t>S. Sosa</t>
  </si>
  <si>
    <t>I. Happ</t>
  </si>
  <si>
    <t>J. Heyward</t>
  </si>
  <si>
    <t>R. Sandberg</t>
  </si>
  <si>
    <t>S. Suzuki</t>
  </si>
  <si>
    <t>K. Bryant</t>
  </si>
  <si>
    <t>C. Bellinger</t>
  </si>
  <si>
    <t>N. Hoerner</t>
  </si>
  <si>
    <t>Wl. Contreras</t>
  </si>
  <si>
    <t>M. Shaw</t>
  </si>
  <si>
    <t>C. Morel</t>
  </si>
  <si>
    <t>P. Wisdom</t>
  </si>
  <si>
    <t>V. Caratini</t>
  </si>
  <si>
    <t>P. Crow-Armstrong</t>
  </si>
  <si>
    <t>K. Alcantara</t>
  </si>
  <si>
    <t>M. Busch</t>
  </si>
  <si>
    <t>K. Hendricks</t>
  </si>
  <si>
    <t>J. Arrieta</t>
  </si>
  <si>
    <t>W. Miley</t>
  </si>
  <si>
    <t>J. Lester</t>
  </si>
  <si>
    <t>S. Imanaga</t>
  </si>
  <si>
    <t>J. Steele</t>
  </si>
  <si>
    <t>A. Alzolay</t>
  </si>
  <si>
    <t>H. Wesneski</t>
  </si>
  <si>
    <t>C. Horton</t>
  </si>
  <si>
    <t>J. Quintana</t>
  </si>
  <si>
    <t>B. Hughes</t>
  </si>
  <si>
    <t>P. Hodge</t>
  </si>
  <si>
    <t>H. Rondon</t>
  </si>
  <si>
    <t>R. Wick</t>
  </si>
  <si>
    <t>CINCINNATI REDS  14-26  5th</t>
  </si>
  <si>
    <t>CINCINNATI REDS  22-18  2nd</t>
  </si>
  <si>
    <t>CINCINNATI REDS  20-20  3rd</t>
  </si>
  <si>
    <t>CIN</t>
  </si>
  <si>
    <t>E. De La Cruz</t>
  </si>
  <si>
    <t>J. Votto</t>
  </si>
  <si>
    <t>N. Castellanos</t>
  </si>
  <si>
    <t>E. Davis</t>
  </si>
  <si>
    <t>B. Larkin</t>
  </si>
  <si>
    <t>T. Stephenson</t>
  </si>
  <si>
    <t>C. Sabo</t>
  </si>
  <si>
    <t>S. Steer</t>
  </si>
  <si>
    <t>A. Duvall</t>
  </si>
  <si>
    <t>T. Frazier</t>
  </si>
  <si>
    <t>J. Winker</t>
  </si>
  <si>
    <t>M. Moustakas</t>
  </si>
  <si>
    <t>A. Aquino</t>
  </si>
  <si>
    <t>J. India</t>
  </si>
  <si>
    <t>M. McLain</t>
  </si>
  <si>
    <t>C. Encarnacion-Strand</t>
  </si>
  <si>
    <t>N. Senzel</t>
  </si>
  <si>
    <t>T. Friedl</t>
  </si>
  <si>
    <t>D. Mesoraco</t>
  </si>
  <si>
    <t>L. Castillo</t>
  </si>
  <si>
    <t>H. Greene</t>
  </si>
  <si>
    <t>J. Cueto</t>
  </si>
  <si>
    <t>N. Lodolo</t>
  </si>
  <si>
    <t>T. Mahle</t>
  </si>
  <si>
    <t>A. DeSclafani</t>
  </si>
  <si>
    <t>A. Abbott</t>
  </si>
  <si>
    <t>V. Gutierrez</t>
  </si>
  <si>
    <t>G. Ashcraft</t>
  </si>
  <si>
    <t>C. Phillips</t>
  </si>
  <si>
    <t>T. Cingrani</t>
  </si>
  <si>
    <t>T. Antone</t>
  </si>
  <si>
    <t>L. Sims</t>
  </si>
  <si>
    <t>R. Iglesias</t>
  </si>
  <si>
    <t>MILWAUKEE BREWERS  19-21  2nd</t>
  </si>
  <si>
    <t>MILWAUKEE BREWERS  18-22  4th</t>
  </si>
  <si>
    <t>MILWAUKEE BREWERS  22-18  *1st*</t>
  </si>
  <si>
    <t>MIL</t>
  </si>
  <si>
    <t>R. Braun</t>
  </si>
  <si>
    <t>C. Yelich</t>
  </si>
  <si>
    <t>R. Tellez</t>
  </si>
  <si>
    <t>J. Chourio</t>
  </si>
  <si>
    <t>R. Yount</t>
  </si>
  <si>
    <t>J. Lucroy</t>
  </si>
  <si>
    <t>P. Molitor</t>
  </si>
  <si>
    <t>W. Adames</t>
  </si>
  <si>
    <t>S. Frelick</t>
  </si>
  <si>
    <t>L. Urias</t>
  </si>
  <si>
    <t>L. Cain</t>
  </si>
  <si>
    <t>DH®</t>
  </si>
  <si>
    <t>T. Taylor</t>
  </si>
  <si>
    <t>B. Turang</t>
  </si>
  <si>
    <t>C. Gomez</t>
  </si>
  <si>
    <t>K. Hiura</t>
  </si>
  <si>
    <t>M. Feliciano</t>
  </si>
  <si>
    <t>G. Mitchell</t>
  </si>
  <si>
    <t>J. Peterson</t>
  </si>
  <si>
    <t>C. Burnes</t>
  </si>
  <si>
    <t>B. Woodruff</t>
  </si>
  <si>
    <t>F. Peralta</t>
  </si>
  <si>
    <t>C. Patrick</t>
  </si>
  <si>
    <t>E. Lauer</t>
  </si>
  <si>
    <t>A. Houser</t>
  </si>
  <si>
    <t>Z. Davies</t>
  </si>
  <si>
    <t>A. Ashby</t>
  </si>
  <si>
    <t>J. Cousins</t>
  </si>
  <si>
    <t>D. Williams</t>
  </si>
  <si>
    <t>J. Hader</t>
  </si>
  <si>
    <t>PITTSBURGH PIRATES  18-22  4th</t>
  </si>
  <si>
    <t>PITTSBURGH PIRATES  12-28  5th</t>
  </si>
  <si>
    <t>PITTSBURGH PIRATES  14-26  5th</t>
  </si>
  <si>
    <t>PIT</t>
  </si>
  <si>
    <t>W. Stargell</t>
  </si>
  <si>
    <t>B. Reynolds</t>
  </si>
  <si>
    <t>A. Van Slyke</t>
  </si>
  <si>
    <t>R. Clemente</t>
  </si>
  <si>
    <t>O. Cruz</t>
  </si>
  <si>
    <t>K. Hayes</t>
  </si>
  <si>
    <t>N. Gonzales</t>
  </si>
  <si>
    <t>J. Harrison</t>
  </si>
  <si>
    <t>G. Polanco</t>
  </si>
  <si>
    <t>K. Newman</t>
  </si>
  <si>
    <t>J. Suwinski</t>
  </si>
  <si>
    <t>F. Cervelli</t>
  </si>
  <si>
    <t>W. Craig</t>
  </si>
  <si>
    <t>P. Alvarez</t>
  </si>
  <si>
    <t>S. Horwitz</t>
  </si>
  <si>
    <t>R. Castro</t>
  </si>
  <si>
    <t>P. Skenes</t>
  </si>
  <si>
    <t>J. Taillon</t>
  </si>
  <si>
    <t>C. Archer</t>
  </si>
  <si>
    <t>M. Keller</t>
  </si>
  <si>
    <t>J. Brubaker</t>
  </si>
  <si>
    <t>R. Contreras</t>
  </si>
  <si>
    <t>J. Garcia</t>
  </si>
  <si>
    <t>L. Ortiz</t>
  </si>
  <si>
    <t>W. Crowe</t>
  </si>
  <si>
    <t>C. Stratton</t>
  </si>
  <si>
    <t>F. Liriano</t>
  </si>
  <si>
    <t>B. Chandler</t>
  </si>
  <si>
    <t>B. Ashcraft</t>
  </si>
  <si>
    <t>D. Bednar</t>
  </si>
  <si>
    <t>M. Melancon</t>
  </si>
  <si>
    <r>
      <t>ST. LOUIS CARDINALS  1-2</t>
    </r>
    <r>
      <rPr>
        <sz val="14"/>
        <color theme="1"/>
        <rFont val="Times New Roman"/>
        <family val="1"/>
      </rPr>
      <t xml:space="preserve">  /  Lose NLWC</t>
    </r>
  </si>
  <si>
    <r>
      <t>CINCINNATI REDS  4-3</t>
    </r>
    <r>
      <rPr>
        <sz val="14"/>
        <color theme="1"/>
        <rFont val="Times New Roman"/>
        <family val="1"/>
      </rPr>
      <t xml:space="preserve">  /  Win NLWC  /  Lose NLDS</t>
    </r>
  </si>
  <si>
    <r>
      <t xml:space="preserve">MILWAUKEE BREWERS  2-4  </t>
    </r>
    <r>
      <rPr>
        <sz val="14"/>
        <color theme="1"/>
        <rFont val="Times New Roman"/>
        <family val="1"/>
      </rPr>
      <t>/  Win NLWC  /  Lose NLDS</t>
    </r>
  </si>
  <si>
    <r>
      <t>CHICAGO CUBS  0-2</t>
    </r>
    <r>
      <rPr>
        <sz val="14"/>
        <color theme="1"/>
        <rFont val="Times New Roman"/>
        <family val="1"/>
      </rPr>
      <t xml:space="preserve">  /  Lose NLWC</t>
    </r>
  </si>
  <si>
    <r>
      <t xml:space="preserve">ST. LOUIS CARDINALS  3-4  </t>
    </r>
    <r>
      <rPr>
        <sz val="14"/>
        <color theme="1"/>
        <rFont val="Times New Roman"/>
        <family val="1"/>
      </rPr>
      <t>/  Win NLWC  /  Lose NLDS</t>
    </r>
  </si>
  <si>
    <t>NATIONAL LEAGUE WEST  2024</t>
  </si>
  <si>
    <t>NATIONAL LEAGUE WEST  2023</t>
  </si>
  <si>
    <t>NATIONAL LEAGUE WEST  2022</t>
  </si>
  <si>
    <t>SAN FRANCISCO GIANTS  21-19  3rd</t>
  </si>
  <si>
    <t>SAN FRANCISCO GIANTS  26-14  *1st*</t>
  </si>
  <si>
    <t>SAN FRANCISCO GIANTS  27-13  *1st*</t>
  </si>
  <si>
    <t>SFG</t>
  </si>
  <si>
    <t>B. Crawford</t>
  </si>
  <si>
    <t>E. Longoria</t>
  </si>
  <si>
    <t>B. Bonds</t>
  </si>
  <si>
    <t>M. Yastrzemski</t>
  </si>
  <si>
    <t>J. Lee</t>
  </si>
  <si>
    <t>W. Clark</t>
  </si>
  <si>
    <t>B. Belt</t>
  </si>
  <si>
    <t>B. Posey</t>
  </si>
  <si>
    <t>W. Flores</t>
  </si>
  <si>
    <t>L. Wade</t>
  </si>
  <si>
    <t>J. Panik</t>
  </si>
  <si>
    <t>C. Schmitt</t>
  </si>
  <si>
    <t>J. Bart</t>
  </si>
  <si>
    <t>T. Estrada</t>
  </si>
  <si>
    <t>D. Ruf</t>
  </si>
  <si>
    <t>A. Slater</t>
  </si>
  <si>
    <t>L. Matos</t>
  </si>
  <si>
    <t>B. Eldridge</t>
  </si>
  <si>
    <t>M. Bumgarner</t>
  </si>
  <si>
    <t>L. Webb</t>
  </si>
  <si>
    <t>J. Samardzija</t>
  </si>
  <si>
    <t>K. Harrison</t>
  </si>
  <si>
    <t>Y. Petit</t>
  </si>
  <si>
    <t>Jv. Lopez</t>
  </si>
  <si>
    <t>E. Miller</t>
  </si>
  <si>
    <t>S. Casilla</t>
  </si>
  <si>
    <t>Z. Littell</t>
  </si>
  <si>
    <t>C. Doval</t>
  </si>
  <si>
    <t>LOS ANGELES DODGERS  25-15  *1st*</t>
  </si>
  <si>
    <t>LOS ANGELES DODGERS  24-16  2nd</t>
  </si>
  <si>
    <t>LOS ANGELES DODGERS  21-19  3rd</t>
  </si>
  <si>
    <t>LAD</t>
  </si>
  <si>
    <t>M. Betts</t>
  </si>
  <si>
    <t>J. Turner</t>
  </si>
  <si>
    <t>M. Muncy</t>
  </si>
  <si>
    <t>J. Pederson</t>
  </si>
  <si>
    <t>A. Gonzalez</t>
  </si>
  <si>
    <t>C. Taylor</t>
  </si>
  <si>
    <t>G. Lux</t>
  </si>
  <si>
    <t>A. Pollock</t>
  </si>
  <si>
    <t>A. Pages</t>
  </si>
  <si>
    <t>A. Barnes</t>
  </si>
  <si>
    <t>J. Outman</t>
  </si>
  <si>
    <t>M. Vargas</t>
  </si>
  <si>
    <t>C. Kershaw</t>
  </si>
  <si>
    <t>W. Buehler</t>
  </si>
  <si>
    <t>Y.Yamamoto</t>
  </si>
  <si>
    <t>J. Urias</t>
  </si>
  <si>
    <t>D. May</t>
  </si>
  <si>
    <t>R. Pepiot</t>
  </si>
  <si>
    <t>A. Wood</t>
  </si>
  <si>
    <t>E. Sheehan</t>
  </si>
  <si>
    <t>M. White</t>
  </si>
  <si>
    <t>A. Vesia</t>
  </si>
  <si>
    <t>B. Graterol</t>
  </si>
  <si>
    <t>E. Phillips</t>
  </si>
  <si>
    <t>K. Jansen</t>
  </si>
  <si>
    <t>SAN DIEGO PADRES  23-17  2nd</t>
  </si>
  <si>
    <t>SAN DIEGO PADRES  21-19  3rd</t>
  </si>
  <si>
    <t>SAN DIEGO PADRES  25-15  2nd</t>
  </si>
  <si>
    <t>SDP</t>
  </si>
  <si>
    <t>J. Merrill</t>
  </si>
  <si>
    <t>M. Machado</t>
  </si>
  <si>
    <t>T. Gwynn</t>
  </si>
  <si>
    <t>T. Grisham</t>
  </si>
  <si>
    <t>J. Cronenworth</t>
  </si>
  <si>
    <t>E. Hosmer</t>
  </si>
  <si>
    <t>D. Winfield</t>
  </si>
  <si>
    <t>F. Mejia</t>
  </si>
  <si>
    <t>W. Myers</t>
  </si>
  <si>
    <t>L. Campusano</t>
  </si>
  <si>
    <t>T. Pham</t>
  </si>
  <si>
    <t>H. Kim</t>
  </si>
  <si>
    <t>J. Profar</t>
  </si>
  <si>
    <t>T. Ornelas</t>
  </si>
  <si>
    <t>Y. Darvish</t>
  </si>
  <si>
    <t>B. Snell</t>
  </si>
  <si>
    <t>M. Clevinger</t>
  </si>
  <si>
    <t>D. Lamet</t>
  </si>
  <si>
    <t>M. Gore</t>
  </si>
  <si>
    <t>R. Weathers</t>
  </si>
  <si>
    <t>A. Morejon</t>
  </si>
  <si>
    <t>Ro. Suarez</t>
  </si>
  <si>
    <t>C. Paddack</t>
  </si>
  <si>
    <t>K. Yates</t>
  </si>
  <si>
    <t>A. Munoz</t>
  </si>
  <si>
    <t>COLORADO ROCKIES  13-27  5th</t>
  </si>
  <si>
    <t>COLORADO ROCKIES  16-24  4th</t>
  </si>
  <si>
    <t>COLORADO ROCKIES  18-22  4th</t>
  </si>
  <si>
    <t>COL</t>
  </si>
  <si>
    <t>C. Gonzalez</t>
  </si>
  <si>
    <t>T. Story</t>
  </si>
  <si>
    <t>T. Helton</t>
  </si>
  <si>
    <t>A. Galarraga</t>
  </si>
  <si>
    <t>L. Walker</t>
  </si>
  <si>
    <t>B. Rodgers</t>
  </si>
  <si>
    <t>T. Tulowitzki</t>
  </si>
  <si>
    <t>C. Blackmon</t>
  </si>
  <si>
    <t>J. Morneau</t>
  </si>
  <si>
    <t>R. McMahon</t>
  </si>
  <si>
    <t>W. Rosario</t>
  </si>
  <si>
    <t>T. Murphy</t>
  </si>
  <si>
    <t>R. Tapia</t>
  </si>
  <si>
    <t>M. Cuddyer</t>
  </si>
  <si>
    <t>D. Dahl</t>
  </si>
  <si>
    <t>C. Dickerson</t>
  </si>
  <si>
    <t>E. Tovar</t>
  </si>
  <si>
    <t>C. Joe</t>
  </si>
  <si>
    <t>D. Nunez</t>
  </si>
  <si>
    <t>M. Toglia</t>
  </si>
  <si>
    <t>S. Hilliard</t>
  </si>
  <si>
    <t>G. Marquez</t>
  </si>
  <si>
    <t>K. Freeland</t>
  </si>
  <si>
    <t>Jn. Gray</t>
  </si>
  <si>
    <t>A. Senzatela</t>
  </si>
  <si>
    <t>A. Gomber</t>
  </si>
  <si>
    <t>J. Urena</t>
  </si>
  <si>
    <t>P. Lambert</t>
  </si>
  <si>
    <t>R.Rolison</t>
  </si>
  <si>
    <t>R. Rolison</t>
  </si>
  <si>
    <t>J. De La Rosa</t>
  </si>
  <si>
    <t>J. Lawrence</t>
  </si>
  <si>
    <t>ARIZONA DIAMONDBACKS  21-19  4th</t>
  </si>
  <si>
    <t>ARIZONA DIAMONDBACKS  12-28  5th</t>
  </si>
  <si>
    <t>ARIZONA DIAMONDBACKS  15-25  5th</t>
  </si>
  <si>
    <t>ARI</t>
  </si>
  <si>
    <t>K. Marte</t>
  </si>
  <si>
    <t>G. Perdomo</t>
  </si>
  <si>
    <t>M. Williams</t>
  </si>
  <si>
    <t>C. Carroll</t>
  </si>
  <si>
    <t>C. Walker</t>
  </si>
  <si>
    <t>C. Kelly</t>
  </si>
  <si>
    <t>L. Gonzalez</t>
  </si>
  <si>
    <t>D. Peralta</t>
  </si>
  <si>
    <t>J. McCarthy</t>
  </si>
  <si>
    <t>J. Rojas</t>
  </si>
  <si>
    <t>B. Drury</t>
  </si>
  <si>
    <t>G. Moreno</t>
  </si>
  <si>
    <t>P. Smith</t>
  </si>
  <si>
    <t>K. Calhoun</t>
  </si>
  <si>
    <t>J. Lawlar</t>
  </si>
  <si>
    <t>J. Lamb</t>
  </si>
  <si>
    <t>E. Escobar</t>
  </si>
  <si>
    <t>N. Ahmed</t>
  </si>
  <si>
    <t>A. Thomas</t>
  </si>
  <si>
    <t>Z. Gallen</t>
  </si>
  <si>
    <t>M. Kelly</t>
  </si>
  <si>
    <t>B. Pfaadt</t>
  </si>
  <si>
    <t>R. Nelson</t>
  </si>
  <si>
    <t>D. Jameson</t>
  </si>
  <si>
    <t>M. Castro</t>
  </si>
  <si>
    <t>J. Mantiply</t>
  </si>
  <si>
    <t>S. Miller</t>
  </si>
  <si>
    <t>K. Ginkel</t>
  </si>
  <si>
    <t>B. Ziegler</t>
  </si>
  <si>
    <t>A. Bradley</t>
  </si>
  <si>
    <t>NATIONAL LEAGUE PLAYOFFS  2024</t>
  </si>
  <si>
    <t>NATIONAL LEAGUE PLAYOFFS  2023</t>
  </si>
  <si>
    <t>NATIONAL LEAGUE PLAYOFFS  2022</t>
  </si>
  <si>
    <r>
      <t>LOS ANGELES DODGERS  11-6</t>
    </r>
    <r>
      <rPr>
        <b/>
        <sz val="14"/>
        <color theme="1"/>
        <rFont val="Times New Roman"/>
        <family val="1"/>
      </rPr>
      <t xml:space="preserve">  /  Bye  /  Win NLDS  /  Win *NLCS*  /  Win **WS**</t>
    </r>
  </si>
  <si>
    <r>
      <t>SAN FRANCISCO GIANTS  8-7</t>
    </r>
    <r>
      <rPr>
        <i/>
        <sz val="14"/>
        <color theme="1"/>
        <rFont val="Times New Roman"/>
        <family val="1"/>
      </rPr>
      <t xml:space="preserve">  /  Bye  /  Win NLDS  /  *Win NLCS*  /  Lose WS</t>
    </r>
  </si>
  <si>
    <r>
      <t>SAN FRANCISCO GIANTS  5-5</t>
    </r>
    <r>
      <rPr>
        <sz val="14"/>
        <color theme="1"/>
        <rFont val="Times New Roman"/>
        <family val="1"/>
      </rPr>
      <t xml:space="preserve">  /  Bye  /  Win NLDS  /  Lose NLCS</t>
    </r>
  </si>
  <si>
    <r>
      <t>SAN DIEGO PADRES  1-2</t>
    </r>
    <r>
      <rPr>
        <sz val="14"/>
        <color rgb="FF000000"/>
        <rFont val="Times New Roman"/>
        <family val="1"/>
      </rPr>
      <t xml:space="preserve">  /  Lose NLWC</t>
    </r>
    <r>
      <rPr>
        <sz val="18"/>
        <color rgb="FF000000"/>
        <rFont val="Times New Roman"/>
        <family val="1"/>
      </rPr>
      <t/>
    </r>
  </si>
  <si>
    <r>
      <t>LOS ANGELES DODGERS  6-6</t>
    </r>
    <r>
      <rPr>
        <sz val="14"/>
        <color theme="1"/>
        <rFont val="Times New Roman"/>
        <family val="1"/>
      </rPr>
      <t xml:space="preserve">  /  Win NLWC  /  Win NLDS  /  Lose NLCS</t>
    </r>
  </si>
  <si>
    <r>
      <t xml:space="preserve">SAN DIEGO PADRES  1-2  </t>
    </r>
    <r>
      <rPr>
        <sz val="14"/>
        <color rgb="FF000000"/>
        <rFont val="Times New Roman"/>
        <family val="1"/>
      </rPr>
      <t>/  Lose NLWC</t>
    </r>
  </si>
  <si>
    <r>
      <t>LOS ANGELES DODGERS  4-2</t>
    </r>
    <r>
      <rPr>
        <b/>
        <sz val="14"/>
        <color theme="1"/>
        <rFont val="Times New Roman"/>
        <family val="1"/>
      </rPr>
      <t xml:space="preserve">  /  *WIN WORLD SERIES*</t>
    </r>
  </si>
  <si>
    <r>
      <t>SAN FRANCISCO GIANTS  1-4</t>
    </r>
    <r>
      <rPr>
        <i/>
        <sz val="14"/>
        <color theme="1"/>
        <rFont val="Times New Roman"/>
        <family val="1"/>
      </rPr>
      <t xml:space="preserve">  /  Lose World Series</t>
    </r>
  </si>
  <si>
    <t>MAJOR LEAGUE AWARDS  -  2024</t>
  </si>
  <si>
    <t>MAJOR LEAGUE AWARDS  -  2023</t>
  </si>
  <si>
    <t>MAJOR LEAGUE AWARDS  -  2022</t>
  </si>
  <si>
    <t>AL MVP</t>
  </si>
  <si>
    <t>NL MVP</t>
  </si>
  <si>
    <t>AL CY YOUNG</t>
  </si>
  <si>
    <t>NL CY YOUNG</t>
  </si>
  <si>
    <t>PLAYER</t>
  </si>
  <si>
    <t>E. MURRAY</t>
  </si>
  <si>
    <t>A. PUJOLS</t>
  </si>
  <si>
    <t>G. COLE</t>
  </si>
  <si>
    <t>S. STRIDER</t>
  </si>
  <si>
    <t>B. BUXTON</t>
  </si>
  <si>
    <t>E. LONGORIA</t>
  </si>
  <si>
    <t>J. MARTINEZ</t>
  </si>
  <si>
    <t>B.BONDS</t>
  </si>
  <si>
    <t>T. GLASNOW</t>
  </si>
  <si>
    <t>M. SCHERZER</t>
  </si>
  <si>
    <t>Y. ALVAREZ</t>
  </si>
  <si>
    <t>E. CHAVEZ</t>
  </si>
  <si>
    <t>J. VERLANDER</t>
  </si>
  <si>
    <t>C. KERSHAW</t>
  </si>
  <si>
    <t>S. PEREZ</t>
  </si>
  <si>
    <t>S. SOSA</t>
  </si>
  <si>
    <t>Y. DARVISH</t>
  </si>
  <si>
    <t>R. HOWARD</t>
  </si>
  <si>
    <t>Z. WHEELER</t>
  </si>
  <si>
    <t>R. CANO</t>
  </si>
  <si>
    <t>K. MARTE</t>
  </si>
  <si>
    <t>G. KIRBY</t>
  </si>
  <si>
    <t>J. DEGROM</t>
  </si>
  <si>
    <t>D. ORTIZ</t>
  </si>
  <si>
    <t>P. ALONSO</t>
  </si>
  <si>
    <t>S. OHTANI</t>
  </si>
  <si>
    <t>G. STANTON</t>
  </si>
  <si>
    <t>M. MCGWIRE</t>
  </si>
  <si>
    <t>S. STRASBURG</t>
  </si>
  <si>
    <t>M. TROUT</t>
  </si>
  <si>
    <t>S. ROLEN</t>
  </si>
  <si>
    <t>L. GILBERT</t>
  </si>
  <si>
    <t>J. FERNANDEZ</t>
  </si>
  <si>
    <t>A. BREGMAN</t>
  </si>
  <si>
    <t>L. NOOTBAAR</t>
  </si>
  <si>
    <t>A. MANOAH</t>
  </si>
  <si>
    <t>L. CASTILLO</t>
  </si>
  <si>
    <t>J. DONALDSON</t>
  </si>
  <si>
    <t>C. SALE</t>
  </si>
  <si>
    <t>A. JUDGE</t>
  </si>
  <si>
    <t>F. FREEMAN</t>
  </si>
  <si>
    <t>B. WOODRUFF</t>
  </si>
  <si>
    <t>E. JIMENEZ</t>
  </si>
  <si>
    <t>A. RIZZO</t>
  </si>
  <si>
    <t>C. KLUBER</t>
  </si>
  <si>
    <t>H. RENFROE</t>
  </si>
  <si>
    <t>N. CASTELLANOS</t>
  </si>
  <si>
    <t>F. HERNANDEZ</t>
  </si>
  <si>
    <t>AL RELIEF PITCHER</t>
  </si>
  <si>
    <t>NL RELIEF PITCHER</t>
  </si>
  <si>
    <t>AL ROOKIE OF THE YEAR</t>
  </si>
  <si>
    <t>NL ROOKIE OF THE YEAR</t>
  </si>
  <si>
    <t>OPS/ERA</t>
  </si>
  <si>
    <t>M. MILLER</t>
  </si>
  <si>
    <t>E. DIAZ</t>
  </si>
  <si>
    <t>M. MILLER®</t>
  </si>
  <si>
    <t>S. IMANAGA®</t>
  </si>
  <si>
    <t>E. CLASE</t>
  </si>
  <si>
    <t>R. IGLESIAS</t>
  </si>
  <si>
    <t>M. YOSHIDA</t>
  </si>
  <si>
    <t>J. PAPELBON</t>
  </si>
  <si>
    <t>B. WITT JR</t>
  </si>
  <si>
    <t>C. DOVAL</t>
  </si>
  <si>
    <t>K. JANSEN</t>
  </si>
  <si>
    <t>F. BAUTISTA®</t>
  </si>
  <si>
    <t>Y.YAMAMOTO®</t>
  </si>
  <si>
    <t>G. WHITLOCK</t>
  </si>
  <si>
    <t>R. HELSLEY</t>
  </si>
  <si>
    <t>J. DURAN</t>
  </si>
  <si>
    <t>G. HOLLAND</t>
  </si>
  <si>
    <t>J. RODRIGUEZ</t>
  </si>
  <si>
    <t>O. CRUZ</t>
  </si>
  <si>
    <t>R. PRESSLY</t>
  </si>
  <si>
    <t>H. RONDON</t>
  </si>
  <si>
    <t>J. WILSON®</t>
  </si>
  <si>
    <t>P. SKENES®</t>
  </si>
  <si>
    <t>A. MUNOZ</t>
  </si>
  <si>
    <t>G. HENDERSON</t>
  </si>
  <si>
    <t>C. KIMBREL</t>
  </si>
  <si>
    <t>J. RYAN</t>
  </si>
  <si>
    <t>A. ALZOLAY</t>
  </si>
  <si>
    <t>A. DIAZ</t>
  </si>
  <si>
    <t>YR. DIAZ®</t>
  </si>
  <si>
    <t>X. EDWARDS®</t>
  </si>
  <si>
    <t>Z. BRITTON</t>
  </si>
  <si>
    <t>S. KWAN</t>
  </si>
  <si>
    <t>M. HARRIS</t>
  </si>
  <si>
    <t>J. DIEKMAN</t>
  </si>
  <si>
    <t>B. HAND</t>
  </si>
  <si>
    <t>T. HOUCK</t>
  </si>
  <si>
    <t>G. PERDOMO</t>
  </si>
  <si>
    <t>L. HENDRIKS</t>
  </si>
  <si>
    <t>J. HADER</t>
  </si>
  <si>
    <t>Z. NETO®</t>
  </si>
  <si>
    <t>J. MERRILL®</t>
  </si>
  <si>
    <t>J. ROMANO</t>
  </si>
  <si>
    <t>K. SENGA</t>
  </si>
  <si>
    <t>G. GALLEGOS</t>
  </si>
  <si>
    <t>A. RUTSCHMAN</t>
  </si>
  <si>
    <t>D. VARSHO</t>
  </si>
  <si>
    <t>AL CATCHER</t>
  </si>
  <si>
    <t>NL CATCHER</t>
  </si>
  <si>
    <t>AL FIRST BASEMAN</t>
  </si>
  <si>
    <t>NL FIRST BASEMAN</t>
  </si>
  <si>
    <t>L. O'HOPPE</t>
  </si>
  <si>
    <t>W. SMITH</t>
  </si>
  <si>
    <t>Wm. CONTRERAS</t>
  </si>
  <si>
    <t>N. LOWE</t>
  </si>
  <si>
    <t>J. MAUER</t>
  </si>
  <si>
    <t>T. STEPHENSON</t>
  </si>
  <si>
    <t>M. OLSON</t>
  </si>
  <si>
    <t>A. GALARRAGA</t>
  </si>
  <si>
    <t>V. MARTINEZ</t>
  </si>
  <si>
    <t>T. D’ARNAUD</t>
  </si>
  <si>
    <t>J. BAGWELL</t>
  </si>
  <si>
    <t>Y. GOMES</t>
  </si>
  <si>
    <t>B. POSEY</t>
  </si>
  <si>
    <t>A. MEADOWS</t>
  </si>
  <si>
    <t>K. RUIZ</t>
  </si>
  <si>
    <t>W. BOGGS</t>
  </si>
  <si>
    <t>P. GOLDSCHMIDT</t>
  </si>
  <si>
    <t>Y. GRANDAL</t>
  </si>
  <si>
    <t>G. CARTER</t>
  </si>
  <si>
    <t>Y. MOLINA</t>
  </si>
  <si>
    <t>R. ZIMMERMAN</t>
  </si>
  <si>
    <t>S. MURPHY</t>
  </si>
  <si>
    <t>C. KELLY</t>
  </si>
  <si>
    <t>YR. DIAZ</t>
  </si>
  <si>
    <t>J. REALMUTO</t>
  </si>
  <si>
    <t>E. ENCARNACION</t>
  </si>
  <si>
    <t>W. STARGELL</t>
  </si>
  <si>
    <t>J. ABREU</t>
  </si>
  <si>
    <t>B. BELT</t>
  </si>
  <si>
    <t>M. CABRERA</t>
  </si>
  <si>
    <t>L. ARRAEZ</t>
  </si>
  <si>
    <t>C. RALEIGH</t>
  </si>
  <si>
    <t>J. LUCROY</t>
  </si>
  <si>
    <t>C. SANTANA</t>
  </si>
  <si>
    <t>J. VARITEK</t>
  </si>
  <si>
    <t>F. MEJIA</t>
  </si>
  <si>
    <t>AL SECOND BASEMAN</t>
  </si>
  <si>
    <t>NL SECOND BASEMAN</t>
  </si>
  <si>
    <t>AL SHORTSTOP</t>
  </si>
  <si>
    <t>NL SHORTSTOP</t>
  </si>
  <si>
    <t>F. LINDOR</t>
  </si>
  <si>
    <t>B. LOWE</t>
  </si>
  <si>
    <t>R. SANDBERG</t>
  </si>
  <si>
    <t>B. BICHETTE</t>
  </si>
  <si>
    <t>D. PEDROIA</t>
  </si>
  <si>
    <t>K. WONG</t>
  </si>
  <si>
    <t>J. POLANCO</t>
  </si>
  <si>
    <t>R. ALOMAR</t>
  </si>
  <si>
    <t>M. MUNCY</t>
  </si>
  <si>
    <t>J. ALTUVE</t>
  </si>
  <si>
    <t>F. TATIS JR</t>
  </si>
  <si>
    <t>J. CHISHOLM</t>
  </si>
  <si>
    <t>D. JETER</t>
  </si>
  <si>
    <t>T. STORY</t>
  </si>
  <si>
    <t>O. ALBIES</t>
  </si>
  <si>
    <t>C. ABRAMS</t>
  </si>
  <si>
    <t>G. TORRES</t>
  </si>
  <si>
    <t>C. CORREA</t>
  </si>
  <si>
    <t>J. MCNEIL</t>
  </si>
  <si>
    <t>B. WITT</t>
  </si>
  <si>
    <t>R. YOUNT</t>
  </si>
  <si>
    <t>I. KINSLER</t>
  </si>
  <si>
    <t>C. UTLEY</t>
  </si>
  <si>
    <t>X. BOGAERTS</t>
  </si>
  <si>
    <t>B. LARKIN</t>
  </si>
  <si>
    <t>W. MERRIFIELD</t>
  </si>
  <si>
    <t>J. CRONENWORTH</t>
  </si>
  <si>
    <t>T. TURNER</t>
  </si>
  <si>
    <t>C. SEAGER</t>
  </si>
  <si>
    <t>T. TULOWITZKI</t>
  </si>
  <si>
    <t>T. ANDERSON</t>
  </si>
  <si>
    <t>N. MADRIGAL</t>
  </si>
  <si>
    <t>AL THIRD BASEMAN</t>
  </si>
  <si>
    <t>NL THIRD BASEMAN</t>
  </si>
  <si>
    <t>AL LEFT FIELDER</t>
  </si>
  <si>
    <t>NL LEFT FIELDER</t>
  </si>
  <si>
    <t>J. BURGER</t>
  </si>
  <si>
    <t>K. BRYANT</t>
  </si>
  <si>
    <t>R. BRAUN</t>
  </si>
  <si>
    <t>N. ARENADO</t>
  </si>
  <si>
    <t>B. BONDS</t>
  </si>
  <si>
    <t>H. MATSUI</t>
  </si>
  <si>
    <t>C. YELICH</t>
  </si>
  <si>
    <t>D. WRIGHT</t>
  </si>
  <si>
    <t>R. AROZARENA</t>
  </si>
  <si>
    <t>G. BRETT</t>
  </si>
  <si>
    <t>M. MACHADO</t>
  </si>
  <si>
    <t>D. LEMAHIEU</t>
  </si>
  <si>
    <t>J. TURNER</t>
  </si>
  <si>
    <t>B. REYNOLDS</t>
  </si>
  <si>
    <t>J. RAMIREZ</t>
  </si>
  <si>
    <t>C. JONES</t>
  </si>
  <si>
    <t>K. PUCKETT</t>
  </si>
  <si>
    <t>J. UPTON</t>
  </si>
  <si>
    <t>K. CARPENTER</t>
  </si>
  <si>
    <t>T. GWYNN</t>
  </si>
  <si>
    <t>M. SEMIEN</t>
  </si>
  <si>
    <t>P. MOLITOR</t>
  </si>
  <si>
    <t>R. HENDERSON</t>
  </si>
  <si>
    <t>T. O'NEILL</t>
  </si>
  <si>
    <t>D. HERNAIZ®</t>
  </si>
  <si>
    <t>R. MCMAHON</t>
  </si>
  <si>
    <t>M. BRANTLEY</t>
  </si>
  <si>
    <t>I. HAPP</t>
  </si>
  <si>
    <t>E. SUAREZ</t>
  </si>
  <si>
    <t>J. HAMILTON</t>
  </si>
  <si>
    <t>J. PEDERSON</t>
  </si>
  <si>
    <t>A. RENDON</t>
  </si>
  <si>
    <t>M. SCHMIDT</t>
  </si>
  <si>
    <t>L. GURRIEL</t>
  </si>
  <si>
    <t>J. BERTI</t>
  </si>
  <si>
    <t>AL CENTER FIELDER</t>
  </si>
  <si>
    <t>NL CENTER FIELDER</t>
  </si>
  <si>
    <t>AL RIGHT FIELDER</t>
  </si>
  <si>
    <t>NL RIGHT FIELDER</t>
  </si>
  <si>
    <t>C. GONZALEZ</t>
  </si>
  <si>
    <t>C. CARROLL</t>
  </si>
  <si>
    <t>L. ROBERT</t>
  </si>
  <si>
    <t>C. BELLINGER</t>
  </si>
  <si>
    <t>A. VAN SLYKE</t>
  </si>
  <si>
    <t>T. HUNTER</t>
  </si>
  <si>
    <t>A. SANTANDER</t>
  </si>
  <si>
    <t>G. SPRINGER</t>
  </si>
  <si>
    <t>B. HARPER</t>
  </si>
  <si>
    <t>M. BETTS</t>
  </si>
  <si>
    <t>T. NAQUIN</t>
  </si>
  <si>
    <t>L. DYKSTRA</t>
  </si>
  <si>
    <t>F. REYES</t>
  </si>
  <si>
    <t>K. TUCKER</t>
  </si>
  <si>
    <t>E. DAVIS</t>
  </si>
  <si>
    <t>D. STRAWBERRY</t>
  </si>
  <si>
    <t>A. VERDUGO</t>
  </si>
  <si>
    <t>K. GRIFFEY JR</t>
  </si>
  <si>
    <t>J. LOWE</t>
  </si>
  <si>
    <t>R. CLEMENTE</t>
  </si>
  <si>
    <t>A. BENINTENDI</t>
  </si>
  <si>
    <t>R. ACUNA</t>
  </si>
  <si>
    <t>J. SOTO</t>
  </si>
  <si>
    <t>M. TETTLETON</t>
  </si>
  <si>
    <t>J. CHOURIO</t>
  </si>
  <si>
    <t>L. WALKER</t>
  </si>
  <si>
    <t>T. HERNANDEZ</t>
  </si>
  <si>
    <t>AL DESIGNATED HITTER</t>
  </si>
  <si>
    <t>NL DESIGNATED HITTER</t>
  </si>
  <si>
    <t>F. THOMAS</t>
  </si>
  <si>
    <t>J. THOME</t>
  </si>
  <si>
    <t>M. PIAZZA</t>
  </si>
  <si>
    <t>A. RILEY</t>
  </si>
  <si>
    <t>E. MARTINEZ</t>
  </si>
  <si>
    <t>W. CLARK</t>
  </si>
  <si>
    <t>S. STEER®</t>
  </si>
  <si>
    <t>Y. GURRIEL</t>
  </si>
  <si>
    <t>J. WERTH</t>
  </si>
  <si>
    <t>PLAYOFF AWARDS  -  2024</t>
  </si>
  <si>
    <t>PLAYOFF AWARDS  -  2023</t>
  </si>
  <si>
    <t>PLAYOFF AWARDS  -  2022</t>
  </si>
  <si>
    <t>PLAYOFF MVP</t>
  </si>
  <si>
    <t>CATCHER</t>
  </si>
  <si>
    <t>1ST BASE</t>
  </si>
  <si>
    <t>2ND BASE</t>
  </si>
  <si>
    <t>W. BUEHLER</t>
  </si>
  <si>
    <t>J. POSADA</t>
  </si>
  <si>
    <t>J. WALSH</t>
  </si>
  <si>
    <t>R. HOSKINS</t>
  </si>
  <si>
    <t>D. MATTINGLY</t>
  </si>
  <si>
    <t>J. BAUTISTA</t>
  </si>
  <si>
    <t>W. ADAMES</t>
  </si>
  <si>
    <t>SHORTSTOP</t>
  </si>
  <si>
    <t>3RD BASE</t>
  </si>
  <si>
    <t>LEFT FIELD</t>
  </si>
  <si>
    <t>CENTER FIELD</t>
  </si>
  <si>
    <t>M. OZUNA</t>
  </si>
  <si>
    <t>C. MULLINS</t>
  </si>
  <si>
    <t>R. DEVERS</t>
  </si>
  <si>
    <t>B. GARDNER</t>
  </si>
  <si>
    <t>B. STOTT</t>
  </si>
  <si>
    <t>RIGHT FIELD</t>
  </si>
  <si>
    <t>DESIGNATED HITTER</t>
  </si>
  <si>
    <t>STARTING PITCHER</t>
  </si>
  <si>
    <t>RELIEF PITCHER</t>
  </si>
  <si>
    <t>K. SCHWARBER</t>
  </si>
  <si>
    <t>L. WEBB</t>
  </si>
  <si>
    <t>A. NOLA</t>
  </si>
  <si>
    <t>A. GONZALEZ</t>
  </si>
  <si>
    <t>L. GIOLITO</t>
  </si>
  <si>
    <t>WS MVP</t>
  </si>
  <si>
    <t>BA.</t>
  </si>
  <si>
    <t>T. HELTON</t>
  </si>
  <si>
    <t>J. VOTTO</t>
  </si>
  <si>
    <t>C. SABO</t>
  </si>
  <si>
    <t>E. HOSMER</t>
  </si>
  <si>
    <t>2 players</t>
  </si>
  <si>
    <t>RUNS</t>
  </si>
  <si>
    <t>HITS</t>
  </si>
  <si>
    <t>6 players</t>
  </si>
  <si>
    <t>3 players</t>
  </si>
  <si>
    <t>5 players</t>
  </si>
  <si>
    <t>K. KIERMAIER</t>
  </si>
  <si>
    <t>T. MANCINI</t>
  </si>
  <si>
    <t>J. LEE</t>
  </si>
  <si>
    <t>K. HAYES</t>
  </si>
  <si>
    <t>V. REYES</t>
  </si>
  <si>
    <t>V. GUERRERO JR</t>
  </si>
  <si>
    <t>YD. DIAZ</t>
  </si>
  <si>
    <t>D. CARLSON</t>
  </si>
  <si>
    <t>D. PERALTA</t>
  </si>
  <si>
    <t>19 players</t>
  </si>
  <si>
    <t>J. SOLER</t>
  </si>
  <si>
    <t>4 players</t>
  </si>
  <si>
    <t>K. NEWMAN</t>
  </si>
  <si>
    <t>9 players</t>
  </si>
  <si>
    <t>2 Players</t>
  </si>
  <si>
    <t>SO</t>
  </si>
  <si>
    <t>R. GREENE</t>
  </si>
  <si>
    <t>M. ZUNINO</t>
  </si>
  <si>
    <t>B. JACKSON</t>
  </si>
  <si>
    <t>J. CAMINERO</t>
  </si>
  <si>
    <t>AD. JONES</t>
  </si>
  <si>
    <t>R.HENDERSON</t>
  </si>
  <si>
    <t>M. CHAPMAN</t>
  </si>
  <si>
    <t>8 players</t>
  </si>
  <si>
    <t>J. BAEZ</t>
  </si>
  <si>
    <t>N. CRUZ</t>
  </si>
  <si>
    <t>S. MARTE</t>
  </si>
  <si>
    <t>Y. MONCADA</t>
  </si>
  <si>
    <t>CHI</t>
  </si>
  <si>
    <t>B. CRAWFORD</t>
  </si>
  <si>
    <t>J. NAYLOR</t>
  </si>
  <si>
    <t>M. YASTRZEMSKI</t>
  </si>
  <si>
    <t>12 players</t>
  </si>
  <si>
    <t>C. TAYLOR</t>
  </si>
  <si>
    <t>G. LUX</t>
  </si>
  <si>
    <t>D. SWANSON</t>
  </si>
  <si>
    <t>13 players</t>
  </si>
  <si>
    <t>J. PANIK</t>
  </si>
  <si>
    <t>M. VIERLING</t>
  </si>
  <si>
    <t>MAJOR LEAGUE  -  PITCHING LEADERS  -  2024</t>
  </si>
  <si>
    <t>MAJOR LEAGUE  -  PITCHING LEADERS  -  2023</t>
  </si>
  <si>
    <t>MAJOR LEAGUE  -  PITCHING LEADERS  -  2022</t>
  </si>
  <si>
    <t>WINS</t>
  </si>
  <si>
    <t>WHIP</t>
  </si>
  <si>
    <t>STRIKEOUTS</t>
  </si>
  <si>
    <t>M. FRIED</t>
  </si>
  <si>
    <t>J. BERRIOS</t>
  </si>
  <si>
    <t>N. SYNDERGAARD</t>
  </si>
  <si>
    <t>S. IMANAGA</t>
  </si>
  <si>
    <t>J. CUETO</t>
  </si>
  <si>
    <t>C. RODON</t>
  </si>
  <si>
    <t>L. SEVERINO</t>
  </si>
  <si>
    <t>D. MAY</t>
  </si>
  <si>
    <t>A. WAINWRIGHT</t>
  </si>
  <si>
    <t>C. HAMELS</t>
  </si>
  <si>
    <t>M. CLEVINGER</t>
  </si>
  <si>
    <t>J. FLAHERTY</t>
  </si>
  <si>
    <t>G. RODRIGUEZ</t>
  </si>
  <si>
    <t>G. RICHARDS</t>
  </si>
  <si>
    <t>C. FLEXEN</t>
  </si>
  <si>
    <t>F. PERALTA</t>
  </si>
  <si>
    <t>T. SKUBAL</t>
  </si>
  <si>
    <t>J. URIAS</t>
  </si>
  <si>
    <t>K. GAUSMAN</t>
  </si>
  <si>
    <t>N. EOVALDI</t>
  </si>
  <si>
    <t>C. ARCHER</t>
  </si>
  <si>
    <t>S. BIEBER</t>
  </si>
  <si>
    <t>C. BURNES</t>
  </si>
  <si>
    <t>Z. GREINKE</t>
  </si>
  <si>
    <t>11 players</t>
  </si>
  <si>
    <t>INNINGS PITCHED</t>
  </si>
  <si>
    <t>QUALITY STARTS</t>
  </si>
  <si>
    <t>ULTRA  QUALITY STARTS</t>
  </si>
  <si>
    <t>SHUTOUTS</t>
  </si>
  <si>
    <t>D. PRICE</t>
  </si>
  <si>
    <t>S. MANAEA</t>
  </si>
  <si>
    <t>P. SKENES</t>
  </si>
  <si>
    <t>M. KELLY</t>
  </si>
  <si>
    <t>RA. SUAREZ</t>
  </si>
  <si>
    <t>S. ALCANTARA</t>
  </si>
  <si>
    <t>M. BUMGARNER</t>
  </si>
  <si>
    <t>Z. GALLEN</t>
  </si>
  <si>
    <t>J. ARRIETA</t>
  </si>
  <si>
    <t>WALKS</t>
  </si>
  <si>
    <t>GAMES</t>
  </si>
  <si>
    <t>K. FREELAND</t>
  </si>
  <si>
    <t>K. BRADISH</t>
  </si>
  <si>
    <t>A. SENZATELA</t>
  </si>
  <si>
    <t>K. BUBIC</t>
  </si>
  <si>
    <t>J. BRUBAKER</t>
  </si>
  <si>
    <t>S. MCCLANAHAN</t>
  </si>
  <si>
    <t>M. MANNING</t>
  </si>
  <si>
    <t>K. YATES</t>
  </si>
  <si>
    <t>S. GRAY</t>
  </si>
  <si>
    <t>G. GONZALEZ</t>
  </si>
  <si>
    <t>J. SEARS</t>
  </si>
  <si>
    <t>G. MARQUEZ</t>
  </si>
  <si>
    <t>M. KELLER</t>
  </si>
  <si>
    <t>D. BETANCES</t>
  </si>
  <si>
    <t>H. RYU</t>
  </si>
  <si>
    <t>J. KAPRIELIAN</t>
  </si>
  <si>
    <t>W. DAVIS</t>
  </si>
  <si>
    <t>J. LUZARDO</t>
  </si>
  <si>
    <t>K. ALLARD</t>
  </si>
  <si>
    <t>P. SANDOVAL</t>
  </si>
  <si>
    <t>L. MCCULLERS</t>
  </si>
  <si>
    <t>A. HEANEY</t>
  </si>
  <si>
    <t>B. SNELL</t>
  </si>
  <si>
    <t>M. BOYD</t>
  </si>
  <si>
    <t>C. MORTON</t>
  </si>
  <si>
    <t>Z. PLESAC</t>
  </si>
  <si>
    <t>D. WILLIAMS</t>
  </si>
  <si>
    <t>N. LODOLO</t>
  </si>
  <si>
    <t>D. DUNNING</t>
  </si>
  <si>
    <t>S. FUJINAMI</t>
  </si>
  <si>
    <t>P. LOPEZ</t>
  </si>
  <si>
    <t>D. KREMER</t>
  </si>
  <si>
    <t>L. SIMS</t>
  </si>
  <si>
    <t>Y. VENTURA</t>
  </si>
  <si>
    <t>C. CARRASCO</t>
  </si>
  <si>
    <t>K. HENDRICKS</t>
  </si>
  <si>
    <t>R. RAY</t>
  </si>
  <si>
    <t>A. RAMOS</t>
  </si>
  <si>
    <t>J. MEANS</t>
  </si>
  <si>
    <t>L. LYNN</t>
  </si>
  <si>
    <t>K. WRIGHT</t>
  </si>
  <si>
    <t>H. GREENE</t>
  </si>
  <si>
    <t>A. MINTER</t>
  </si>
  <si>
    <t>J. ZIMMERMANN</t>
  </si>
  <si>
    <t>R. YARBROUGH</t>
  </si>
  <si>
    <t>J. FAMILIA</t>
  </si>
  <si>
    <t>JS. GRAY</t>
  </si>
  <si>
    <t>K. FINNEGAN</t>
  </si>
  <si>
    <t>F. VALDEZ</t>
  </si>
  <si>
    <t>M. STROMAN</t>
  </si>
  <si>
    <t>K. WALDICHUK</t>
  </si>
  <si>
    <t>S. BAZ</t>
  </si>
  <si>
    <t>T. ANTONE</t>
  </si>
  <si>
    <t>J. LESTER</t>
  </si>
  <si>
    <t>J. ODORIZZI</t>
  </si>
  <si>
    <t>K. GIBSON</t>
  </si>
  <si>
    <t>G. SOTO</t>
  </si>
  <si>
    <t>SAVES</t>
  </si>
  <si>
    <t>RELIEF ERA</t>
  </si>
  <si>
    <t>RELIEF WHIP</t>
  </si>
  <si>
    <t>RELIEF STRIKEOUTS</t>
  </si>
  <si>
    <t>Y. GARCIA</t>
  </si>
  <si>
    <t>C. PADDACK</t>
  </si>
  <si>
    <t>B. ZIEGLER</t>
  </si>
  <si>
    <t>P. FAIRBANKS</t>
  </si>
  <si>
    <t>M. BRASH</t>
  </si>
  <si>
    <t>B. FINNEGAN</t>
  </si>
  <si>
    <t>T. WELLS</t>
  </si>
  <si>
    <t>R. MONTERO</t>
  </si>
  <si>
    <t>J. BARLOW</t>
  </si>
  <si>
    <t>A. DIAZ®</t>
  </si>
  <si>
    <t>P. NESHEK</t>
  </si>
  <si>
    <t>A. CHAPMAN</t>
  </si>
  <si>
    <t>A. PUK</t>
  </si>
  <si>
    <t>M. BARNES</t>
  </si>
  <si>
    <t>J. KARINCHAK</t>
  </si>
  <si>
    <t>G. WILLIAMS®</t>
  </si>
  <si>
    <t>D. BEDNAR</t>
  </si>
  <si>
    <t>A. MILLER</t>
  </si>
  <si>
    <t>J. SAMARDZIJA</t>
  </si>
  <si>
    <t>J. DE LA ROSA</t>
  </si>
  <si>
    <t>S. DOOLITTLE</t>
  </si>
  <si>
    <t>PLAYOFFS  -  PITCHING LEADERS  -  2024</t>
  </si>
  <si>
    <t>PLAYOFFS  -  PITCHING LEADERS  -  2023</t>
  </si>
  <si>
    <t>PLAYOFFS  -  PITCHING LEADERS  -  2022</t>
  </si>
  <si>
    <t>ERA (2 starts)</t>
  </si>
  <si>
    <t>WHIP (2 starts)</t>
  </si>
  <si>
    <t>J. MUSGROVE</t>
  </si>
  <si>
    <t>K. GILES</t>
  </si>
  <si>
    <t>N. CORTES</t>
  </si>
  <si>
    <t>7 players</t>
  </si>
  <si>
    <t>RELIEF ERA (5 ip)</t>
  </si>
  <si>
    <t>RELIEF WHIP (5 ip)</t>
  </si>
  <si>
    <t>C. BROGDON</t>
  </si>
  <si>
    <t>F. BAUTISTA</t>
  </si>
  <si>
    <t>E. SWANSON</t>
  </si>
  <si>
    <t>20</t>
  </si>
  <si>
    <r>
      <t xml:space="preserve">AMERICAN LEAGUE  -  BATTING LEADERS  -  2024  </t>
    </r>
    <r>
      <rPr>
        <sz val="14"/>
        <color theme="1"/>
        <rFont val="Calibri (Body)"/>
      </rPr>
      <t>(min 112 pa)</t>
    </r>
  </si>
  <si>
    <r>
      <t xml:space="preserve">AMERICAN LEAGUE  -  BATTING LEADERS  -  2023  </t>
    </r>
    <r>
      <rPr>
        <sz val="14"/>
        <color theme="1"/>
        <rFont val="Calibri (Body)"/>
      </rPr>
      <t>(min 112 pa)</t>
    </r>
  </si>
  <si>
    <r>
      <t xml:space="preserve">AMERICAN LEAGUE  -  BATTING LEADERS  -  2022  </t>
    </r>
    <r>
      <rPr>
        <sz val="14"/>
        <color theme="1"/>
        <rFont val="Calibri (Body)"/>
      </rPr>
      <t>(min 112 pa)</t>
    </r>
  </si>
  <si>
    <t>C. RIPKEN JR</t>
  </si>
  <si>
    <t>10 players</t>
  </si>
  <si>
    <t>T. WARD</t>
  </si>
  <si>
    <t>K. DAVIS</t>
  </si>
  <si>
    <t>17 PLAYERS</t>
  </si>
  <si>
    <t>R. GROSSMAN</t>
  </si>
  <si>
    <t>14 players</t>
  </si>
  <si>
    <t>M. HANIGER</t>
  </si>
  <si>
    <t>STAR OF THE GAME</t>
  </si>
  <si>
    <r>
      <t xml:space="preserve">NATIONAL LEAGUE  -  BATTING LEADERS  -  2024  </t>
    </r>
    <r>
      <rPr>
        <sz val="14"/>
        <color theme="1"/>
        <rFont val="Calibri (Body)"/>
      </rPr>
      <t>(min 112 pa)</t>
    </r>
  </si>
  <si>
    <r>
      <t xml:space="preserve">NATIONAL LEAGUE  -  BATTING LEADERS  -  2023  </t>
    </r>
    <r>
      <rPr>
        <sz val="14"/>
        <color theme="1"/>
        <rFont val="Calibri (Body)"/>
      </rPr>
      <t>(min 112 pa)</t>
    </r>
  </si>
  <si>
    <r>
      <t xml:space="preserve">NATIONAL LEAGUE  -  BATTING LEADERS  -  2022  </t>
    </r>
    <r>
      <rPr>
        <sz val="14"/>
        <color theme="1"/>
        <rFont val="Calibri (Body)"/>
      </rPr>
      <t>(min 112 pa)</t>
    </r>
  </si>
  <si>
    <t>M. CONFORTO</t>
  </si>
  <si>
    <t>R. TELLEZ</t>
  </si>
  <si>
    <t>C. BLACKMON</t>
  </si>
  <si>
    <t>D. SANDERS</t>
  </si>
  <si>
    <t>B. RODGERS</t>
  </si>
  <si>
    <t>J. BELL</t>
  </si>
  <si>
    <t>M. ROJAS</t>
  </si>
  <si>
    <t>J. MCCARTHY</t>
  </si>
  <si>
    <t>G. CONINE®</t>
  </si>
  <si>
    <t>G. SHEFFIELD</t>
  </si>
  <si>
    <t>15 players</t>
  </si>
  <si>
    <t>M. TAYLOR</t>
  </si>
  <si>
    <t>E. DE LA CRUZ</t>
  </si>
  <si>
    <t>J. SANCHEZ</t>
  </si>
  <si>
    <t>S. SUZUKI</t>
  </si>
  <si>
    <t>B. NIMMO</t>
  </si>
  <si>
    <t>A. DUVALL</t>
  </si>
  <si>
    <t>C. NORBY</t>
  </si>
  <si>
    <t>R. TAPIA</t>
  </si>
  <si>
    <t>AMERICAN LEAGUE  -  PITCHING LEADERS  -  2024</t>
  </si>
  <si>
    <t>AMERICAN LEAGUE  -  PITCHING LEADERS  -  2023</t>
  </si>
  <si>
    <t>AMERICAN LEAGUE  -  PITCHING LEADERS  -  2022</t>
  </si>
  <si>
    <t>G. CROCHET</t>
  </si>
  <si>
    <t>D. POMERANZ</t>
  </si>
  <si>
    <t>AN. SANCHEZ</t>
  </si>
  <si>
    <t>G.COLE</t>
  </si>
  <si>
    <t>D. CEASE</t>
  </si>
  <si>
    <t>M. TANAKA</t>
  </si>
  <si>
    <t>J. SPRINGS</t>
  </si>
  <si>
    <t>J. MONTGOMERY</t>
  </si>
  <si>
    <t>E. RODRIGUEZ</t>
  </si>
  <si>
    <t>M. GONZALES</t>
  </si>
  <si>
    <t>D. RASMUSSEN</t>
  </si>
  <si>
    <t>J. HERNANDEZ</t>
  </si>
  <si>
    <t>J. LYLES</t>
  </si>
  <si>
    <t>L. JACKSON</t>
  </si>
  <si>
    <t>C. BASSITT</t>
  </si>
  <si>
    <t>C. IRVIN</t>
  </si>
  <si>
    <t>AA. SANCHEZ</t>
  </si>
  <si>
    <t>B. KELLER</t>
  </si>
  <si>
    <t>R. DETMERS</t>
  </si>
  <si>
    <t>M. FULMER</t>
  </si>
  <si>
    <t>T. MCKENZIE</t>
  </si>
  <si>
    <t>M. PEREZ</t>
  </si>
  <si>
    <t>T. MAY</t>
  </si>
  <si>
    <t>K. GRAVEMAN</t>
  </si>
  <si>
    <t>A. COLOME</t>
  </si>
  <si>
    <t>P. SEWALD</t>
  </si>
  <si>
    <t>L. GARCIA</t>
  </si>
  <si>
    <t>O. BIDO®</t>
  </si>
  <si>
    <t>M. STRAHM</t>
  </si>
  <si>
    <t>M. SHOEMAKER</t>
  </si>
  <si>
    <t>T. ALEXANDER</t>
  </si>
  <si>
    <t>A. LANGE</t>
  </si>
  <si>
    <t>J. FOLEY</t>
  </si>
  <si>
    <t>C. SCHMIDT</t>
  </si>
  <si>
    <t>R. LOPEZ</t>
  </si>
  <si>
    <t>H. HARVEY</t>
  </si>
  <si>
    <t>C. ESTEVEZ</t>
  </si>
  <si>
    <t>L. ERCEG®</t>
  </si>
  <si>
    <t>LOSSES</t>
  </si>
  <si>
    <t>T. BRADLEY</t>
  </si>
  <si>
    <t>NATIONAL LEAGUE  -  PITCHING LEADERS  -  2024</t>
  </si>
  <si>
    <t>NATIONAL LEAGUE  -  PITCHING LEADERS  -  2023</t>
  </si>
  <si>
    <t>NATIONAL LEAGUE  -  PITCHING LEADERS  -  2022</t>
  </si>
  <si>
    <t>Y.YAMAMOTO</t>
  </si>
  <si>
    <t>K. KIM</t>
  </si>
  <si>
    <t>B. PFAADT</t>
  </si>
  <si>
    <t>W. MILEY</t>
  </si>
  <si>
    <t>21 players</t>
  </si>
  <si>
    <t>I. ANDERSON</t>
  </si>
  <si>
    <t>17 players</t>
  </si>
  <si>
    <t>T. MAHLE</t>
  </si>
  <si>
    <t>C. LEE</t>
  </si>
  <si>
    <t>J. TAILLON</t>
  </si>
  <si>
    <t>C. PATRICK</t>
  </si>
  <si>
    <t>A. BRADLEY</t>
  </si>
  <si>
    <t>JV. LOPEZ</t>
  </si>
  <si>
    <t>C. STRATTON</t>
  </si>
  <si>
    <t>Z. EFLIN</t>
  </si>
  <si>
    <t>J. QUINTANA</t>
  </si>
  <si>
    <t>T. ROSENTHAL</t>
  </si>
  <si>
    <t>S. CASILLA</t>
  </si>
  <si>
    <t>S. DOMINGUEZ</t>
  </si>
  <si>
    <t>C. KNEBEL</t>
  </si>
  <si>
    <t>M. MELANCON</t>
  </si>
  <si>
    <t>R. WICK</t>
  </si>
  <si>
    <t>M. MIKOLAS</t>
  </si>
  <si>
    <t>TR. ROGERS</t>
  </si>
  <si>
    <t>A. HOUSER</t>
  </si>
  <si>
    <t>R. NELSON</t>
  </si>
  <si>
    <t>TEAM HITTING STATISTICS 2024</t>
  </si>
  <si>
    <t>TEAM PITCHING STATISTICS 2024</t>
  </si>
  <si>
    <t>TEAM HITTING STATISTICS 2023</t>
  </si>
  <si>
    <t>TEAM PITCHING STATISTICS 2023</t>
  </si>
  <si>
    <t>TEAM HITTING STATISTICS 2022</t>
  </si>
  <si>
    <t>TEAM PITCHING STATISTICS 2022</t>
  </si>
  <si>
    <t>AMERICAN LEAGUE</t>
  </si>
  <si>
    <t>NATIONAL LEAGUE</t>
  </si>
  <si>
    <t>AMERICAN LEAGUE  -  ALL-STARS 2024</t>
  </si>
  <si>
    <t>AMERICAN LEAGUE  -  ALL-STARS 2023</t>
  </si>
  <si>
    <t>AMERICAN LEAGUE  -  ALL-STARS 2022</t>
  </si>
  <si>
    <t>bC</t>
  </si>
  <si>
    <t>b1B</t>
  </si>
  <si>
    <t>b2B</t>
  </si>
  <si>
    <t>bSS</t>
  </si>
  <si>
    <t>b3B</t>
  </si>
  <si>
    <t>bLF</t>
  </si>
  <si>
    <t>bCF</t>
  </si>
  <si>
    <t>bRF</t>
  </si>
  <si>
    <t>bDH</t>
  </si>
  <si>
    <t>NATIONAL LEAGUE  -  ALL-STARS 2024</t>
  </si>
  <si>
    <t>NATIONAL LEAGUE  -  ALL-STARS 2023</t>
  </si>
  <si>
    <t>NATIONAL LEAGUE  -  ALL-STARS 2022</t>
  </si>
  <si>
    <t>AMERICAN LEAGUE  0-2  ALL-STAR GAME 2024</t>
  </si>
  <si>
    <t>AMERICAN LEAGUE  1-1  ALL-STAR GAME 2023</t>
  </si>
  <si>
    <t>AMERICAN LEAGUE  2-0  ALL-STAR GAME 2022</t>
  </si>
  <si>
    <t>NATIONAL LEAGUE  2-0  ALL-STAR GAME 2024</t>
  </si>
  <si>
    <t>NATIONAL LEAGUE  1-1  ALL-STAR GAME 2023</t>
  </si>
  <si>
    <t>NATIONAL LEAGUE  0-2  ALL-STAR GAME 2022</t>
  </si>
  <si>
    <t>SEASON RECORDS 2022-2024</t>
  </si>
  <si>
    <t>TOP PERFORMANCES - SINGLE GAME</t>
  </si>
  <si>
    <t>TOP PERFORMANCES - 2 GAME SERIES</t>
  </si>
  <si>
    <t>TEAM PERFORMANCES - 1 GAME</t>
  </si>
  <si>
    <t>TEAM PERFORMANCES FOR - 2 GAME SERIES</t>
  </si>
  <si>
    <t>TEAM PERFORMANCES AGAINST - 2 GAME SERIES</t>
  </si>
  <si>
    <t>T. BASES</t>
  </si>
  <si>
    <t>GRAND SLAMS</t>
  </si>
  <si>
    <t>WALK OFF HITS</t>
  </si>
  <si>
    <t>CG SHUTOUT</t>
  </si>
  <si>
    <t>CYCLE</t>
  </si>
  <si>
    <t>K's</t>
  </si>
  <si>
    <t>team</t>
  </si>
  <si>
    <t>player</t>
  </si>
  <si>
    <t>game</t>
  </si>
  <si>
    <t>opp</t>
  </si>
  <si>
    <t>year</t>
  </si>
  <si>
    <t>outcome</t>
  </si>
  <si>
    <t>tb</t>
  </si>
  <si>
    <t>#22</t>
  </si>
  <si>
    <t>6-6</t>
  </si>
  <si>
    <t>2023</t>
  </si>
  <si>
    <t>#30</t>
  </si>
  <si>
    <t>#8</t>
  </si>
  <si>
    <t>#16</t>
  </si>
  <si>
    <t>#1</t>
  </si>
  <si>
    <t>#2</t>
  </si>
  <si>
    <t>#5</t>
  </si>
  <si>
    <t>4 RBI HR</t>
  </si>
  <si>
    <t>#7-8</t>
  </si>
  <si>
    <t>10-10</t>
  </si>
  <si>
    <t>18</t>
  </si>
  <si>
    <t>#31-32</t>
  </si>
  <si>
    <t>#19-20</t>
  </si>
  <si>
    <t>#20</t>
  </si>
  <si>
    <t>#6</t>
  </si>
  <si>
    <t>#27</t>
  </si>
  <si>
    <t>#4</t>
  </si>
  <si>
    <t>#27-28</t>
  </si>
  <si>
    <t>#13-14</t>
  </si>
  <si>
    <t>#1-2</t>
  </si>
  <si>
    <t>2024</t>
  </si>
  <si>
    <t>#29</t>
  </si>
  <si>
    <t>#31</t>
  </si>
  <si>
    <t>#34</t>
  </si>
  <si>
    <t>#17</t>
  </si>
  <si>
    <t>T. D'ARNAUD</t>
  </si>
  <si>
    <t>#15</t>
  </si>
  <si>
    <t>#10</t>
  </si>
  <si>
    <t>J. WINKER</t>
  </si>
  <si>
    <t>8-9</t>
  </si>
  <si>
    <t>#15-16</t>
  </si>
  <si>
    <t>#38</t>
  </si>
  <si>
    <t>#11</t>
  </si>
  <si>
    <t>#12</t>
  </si>
  <si>
    <t>#35-36</t>
  </si>
  <si>
    <t>#39-40</t>
  </si>
  <si>
    <t>#21-22</t>
  </si>
  <si>
    <t>#5-6</t>
  </si>
  <si>
    <t>#7</t>
  </si>
  <si>
    <t>#37</t>
  </si>
  <si>
    <t>#45</t>
  </si>
  <si>
    <t>#33</t>
  </si>
  <si>
    <t>8-10</t>
  </si>
  <si>
    <t>#24</t>
  </si>
  <si>
    <t>#46-47</t>
  </si>
  <si>
    <t>#23-24</t>
  </si>
  <si>
    <t>#17-18</t>
  </si>
  <si>
    <t>#29-30</t>
  </si>
  <si>
    <t>M. STASSI</t>
  </si>
  <si>
    <t>#26</t>
  </si>
  <si>
    <t>#14</t>
  </si>
  <si>
    <t>#32</t>
  </si>
  <si>
    <t>#19</t>
  </si>
  <si>
    <t>SF</t>
  </si>
  <si>
    <t>3 RBI HR</t>
  </si>
  <si>
    <t>PERFECT GAME</t>
  </si>
  <si>
    <t>#33-34</t>
  </si>
  <si>
    <t>#9-10</t>
  </si>
  <si>
    <t>#3-4</t>
  </si>
  <si>
    <t>#25-26</t>
  </si>
  <si>
    <t>KC</t>
  </si>
  <si>
    <t>#35</t>
  </si>
  <si>
    <t>M. SANO</t>
  </si>
  <si>
    <t>#36</t>
  </si>
  <si>
    <t>#9</t>
  </si>
  <si>
    <t>#42-43</t>
  </si>
  <si>
    <t>#11-12</t>
  </si>
  <si>
    <t>#43</t>
  </si>
  <si>
    <t>F. MCGRIFF</t>
  </si>
  <si>
    <t>8-12</t>
  </si>
  <si>
    <t>#13</t>
  </si>
  <si>
    <t>7-9</t>
  </si>
  <si>
    <t>J. KIPNIS</t>
  </si>
  <si>
    <t>#40</t>
  </si>
  <si>
    <t>#55-56</t>
  </si>
  <si>
    <t>#21</t>
  </si>
  <si>
    <t>NO HITTER</t>
  </si>
  <si>
    <t>L. WADE</t>
  </si>
  <si>
    <t>#25</t>
  </si>
  <si>
    <t>#37-38</t>
  </si>
  <si>
    <t>C. MOREL</t>
  </si>
  <si>
    <t>TRB</t>
  </si>
  <si>
    <t>T. GRISHAM</t>
  </si>
  <si>
    <t>#28</t>
  </si>
  <si>
    <t>#44</t>
  </si>
  <si>
    <t>A. GORDON</t>
  </si>
  <si>
    <t>A. MONDESI</t>
  </si>
  <si>
    <t>#51</t>
  </si>
  <si>
    <t>J. GALLO</t>
  </si>
  <si>
    <t>#39</t>
  </si>
  <si>
    <t>7-10</t>
  </si>
  <si>
    <t>C. WALKER</t>
  </si>
  <si>
    <t>J. SEGURA</t>
  </si>
  <si>
    <t>#3</t>
  </si>
  <si>
    <t>#18</t>
  </si>
  <si>
    <t>C. CRON</t>
  </si>
  <si>
    <t>R. ODOR</t>
  </si>
  <si>
    <t>1-HITTER</t>
  </si>
  <si>
    <t>2 RBI HR</t>
  </si>
  <si>
    <t>7-11</t>
  </si>
  <si>
    <t>#42</t>
  </si>
  <si>
    <t>5-6</t>
  </si>
  <si>
    <t>A. AQUINO</t>
  </si>
  <si>
    <t>O. SMITH</t>
  </si>
  <si>
    <t>6-7</t>
  </si>
  <si>
    <t>V. GUERRERO</t>
  </si>
  <si>
    <t>#23</t>
  </si>
  <si>
    <t>L. CAIN</t>
  </si>
  <si>
    <t>4-4</t>
  </si>
  <si>
    <t>B. DE LA CRUZ</t>
  </si>
  <si>
    <t>X. EDWARDS</t>
  </si>
  <si>
    <t>#47</t>
  </si>
  <si>
    <t>T. EDMAN</t>
  </si>
  <si>
    <t>JN. GRAY</t>
  </si>
  <si>
    <t>W. MYERS</t>
  </si>
  <si>
    <t>#56-57</t>
  </si>
  <si>
    <t>#44-45</t>
  </si>
  <si>
    <t>6-8</t>
  </si>
  <si>
    <t>T. WALLS</t>
  </si>
  <si>
    <t>J. GONZALEZ</t>
  </si>
  <si>
    <t>M. WACHA</t>
  </si>
  <si>
    <t>2-HITTER</t>
  </si>
  <si>
    <t>V. CARATINI</t>
  </si>
  <si>
    <t>L. BUTLER</t>
  </si>
  <si>
    <t>A. KIRK</t>
  </si>
  <si>
    <t>Wl. CONTRERAS</t>
  </si>
  <si>
    <t>A. RODRIGUEZ</t>
  </si>
  <si>
    <t>#41</t>
  </si>
  <si>
    <t>J. MORNEAU</t>
  </si>
  <si>
    <t>C. DICKERSON</t>
  </si>
  <si>
    <t>N. MARKAKIS</t>
  </si>
  <si>
    <t>M. MARGOT</t>
  </si>
  <si>
    <t>A. BELTRE</t>
  </si>
  <si>
    <t>J. HEYWARD</t>
  </si>
  <si>
    <t>2 RBI 3B</t>
  </si>
  <si>
    <t>6-9</t>
  </si>
  <si>
    <t>B. ANDERSON</t>
  </si>
  <si>
    <t>2 RBI 2B</t>
  </si>
  <si>
    <t>S. CASTRO</t>
  </si>
  <si>
    <t>J. OLERUD</t>
  </si>
  <si>
    <t>K. LEWIS</t>
  </si>
  <si>
    <t>#52</t>
  </si>
  <si>
    <t>H. KENDRICK</t>
  </si>
  <si>
    <t>S. KWAN®</t>
  </si>
  <si>
    <t>A. POLLOCK</t>
  </si>
  <si>
    <t>M. CARPENTER</t>
  </si>
  <si>
    <t>#46</t>
  </si>
  <si>
    <t>M. WILLIAMS</t>
  </si>
  <si>
    <t>2 RBI 1B</t>
  </si>
  <si>
    <t>1 RBI HR</t>
  </si>
  <si>
    <t>T. MURPHY</t>
  </si>
  <si>
    <t>M. KING</t>
  </si>
  <si>
    <t>SPD</t>
  </si>
  <si>
    <t>H. BADER</t>
  </si>
  <si>
    <t>C. HAYES</t>
  </si>
  <si>
    <t>LONGEST GAME</t>
  </si>
  <si>
    <t>length</t>
  </si>
  <si>
    <t>20 innings</t>
  </si>
  <si>
    <t>19 innings</t>
  </si>
  <si>
    <t>18 innings</t>
  </si>
  <si>
    <t>17 innings</t>
  </si>
  <si>
    <t>B. DONOVAN</t>
  </si>
  <si>
    <t>C. GALLAGHER</t>
  </si>
  <si>
    <t>16 innings</t>
  </si>
  <si>
    <t>6-10</t>
  </si>
  <si>
    <t>4 HOME RUNS</t>
  </si>
  <si>
    <t>WM. CONTRERAS</t>
  </si>
  <si>
    <t>A. VAUGHN</t>
  </si>
  <si>
    <t>W. FLORES</t>
  </si>
  <si>
    <t>#48</t>
  </si>
  <si>
    <t>K. HENDRIX</t>
  </si>
  <si>
    <t>BIGGEST INNING</t>
  </si>
  <si>
    <t>#55</t>
  </si>
  <si>
    <t>#54</t>
  </si>
  <si>
    <t>12 RUNS</t>
  </si>
  <si>
    <t>T. WALKER</t>
  </si>
  <si>
    <t>10 RUNS</t>
  </si>
  <si>
    <t>N. HOERNER</t>
  </si>
  <si>
    <t>I. PAREDES</t>
  </si>
  <si>
    <t>C. RIPKEN</t>
  </si>
  <si>
    <t>JP CRAWFORD</t>
  </si>
  <si>
    <t>R. LAUREANO</t>
  </si>
  <si>
    <t>1 RBI 3B</t>
  </si>
  <si>
    <t>M. WALLNER</t>
  </si>
  <si>
    <t>O. VIZQUEL</t>
  </si>
  <si>
    <t>6-11</t>
  </si>
  <si>
    <t>C. FIELDER</t>
  </si>
  <si>
    <t>V. ROBLES</t>
  </si>
  <si>
    <t>1 RBI 2B</t>
  </si>
  <si>
    <t>Ra. SUAREZ</t>
  </si>
  <si>
    <t>W. ABREU</t>
  </si>
  <si>
    <t>E. TOVAR</t>
  </si>
  <si>
    <t>R. GANT</t>
  </si>
  <si>
    <t>A. RAMIREZ®</t>
  </si>
  <si>
    <t>T. FRANCE</t>
  </si>
  <si>
    <t>#58</t>
  </si>
  <si>
    <t>1 RBI 1B</t>
  </si>
  <si>
    <t>F. MONTAS</t>
  </si>
  <si>
    <t>#50</t>
  </si>
  <si>
    <t>L.. GILBERT</t>
  </si>
  <si>
    <t>T. FRAZIER</t>
  </si>
  <si>
    <t>G. STUBBS</t>
  </si>
  <si>
    <t>J. KRUK</t>
  </si>
  <si>
    <t>1 RBI BB</t>
  </si>
  <si>
    <t>C. MIZE</t>
  </si>
  <si>
    <t>1 RBI SAC</t>
  </si>
  <si>
    <t>J. HEIM</t>
  </si>
  <si>
    <t>FG</t>
  </si>
  <si>
    <t>PLAYOFFS  2024  -  HITTERS</t>
  </si>
  <si>
    <t>PLAYOFFS  2023  -  HITTERS</t>
  </si>
  <si>
    <t>PLAYOFFS 2022  -  HITTERS</t>
  </si>
  <si>
    <t>PLAYOFFS  2024  -  PITCHERS</t>
  </si>
  <si>
    <t>PLAYOFFS  2023  -  PITCHERS</t>
  </si>
  <si>
    <t>PLAYOFFS  2022  -  PITCHERS</t>
  </si>
  <si>
    <t xml:space="preserve">2B </t>
  </si>
  <si>
    <t xml:space="preserve">INF </t>
  </si>
  <si>
    <t>A. Burlson</t>
  </si>
  <si>
    <t xml:space="preserve">DH </t>
  </si>
  <si>
    <t>I. Suzuki</t>
  </si>
  <si>
    <t>H. Alvarez</t>
  </si>
  <si>
    <t xml:space="preserve">OF </t>
  </si>
  <si>
    <t>INNINGS</t>
  </si>
  <si>
    <r>
      <t xml:space="preserve">MAJOR LEAGUE  -  BATTING LEADERS  -  2022 </t>
    </r>
    <r>
      <rPr>
        <sz val="14"/>
        <color rgb="FF000000"/>
        <rFont val="Calibri"/>
        <family val="2"/>
      </rPr>
      <t>(min 112 pa)</t>
    </r>
  </si>
  <si>
    <r>
      <t xml:space="preserve">MAJOR LEAGUE  -  BATTING LEADERS  -  2023 </t>
    </r>
    <r>
      <rPr>
        <sz val="14"/>
        <color rgb="FF000000"/>
        <rFont val="Calibri"/>
        <family val="2"/>
      </rPr>
      <t>(min 112 pa)</t>
    </r>
  </si>
  <si>
    <r>
      <t xml:space="preserve">MAJOR LEAGUE  -  BATTING LEADERS  -  2024 </t>
    </r>
    <r>
      <rPr>
        <sz val="14"/>
        <color rgb="FF000000"/>
        <rFont val="Calibri"/>
        <family val="2"/>
      </rPr>
      <t>(min 112 pa)</t>
    </r>
  </si>
  <si>
    <r>
      <t xml:space="preserve">PLAYOFFS  -  BATTING LEADERS  -  2024  </t>
    </r>
    <r>
      <rPr>
        <sz val="14"/>
        <color rgb="FF000000"/>
        <rFont val="Calibri"/>
        <family val="2"/>
      </rPr>
      <t>(min 15 pa)</t>
    </r>
  </si>
  <si>
    <r>
      <t xml:space="preserve">PLAYOFFS  -  BATTING LEADERS  -  2022  </t>
    </r>
    <r>
      <rPr>
        <sz val="14"/>
        <color rgb="FF000000"/>
        <rFont val="Calibri"/>
        <family val="2"/>
      </rPr>
      <t>(min 15 pa)</t>
    </r>
  </si>
  <si>
    <r>
      <t xml:space="preserve">PLAYOFFS  -  BATTING LEADERS  -  2023  </t>
    </r>
    <r>
      <rPr>
        <sz val="14"/>
        <color rgb="FF000000"/>
        <rFont val="Calibri"/>
        <family val="2"/>
      </rPr>
      <t>(min 15 pa)</t>
    </r>
  </si>
  <si>
    <t>TA. ROGERS</t>
  </si>
  <si>
    <t>I. SUZUKI</t>
  </si>
  <si>
    <t>B. GARRETT</t>
  </si>
  <si>
    <t>F. Tatis Jr</t>
  </si>
  <si>
    <t>WL. CONTRERAS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</si>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</sst>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00"/>
    <numFmt numFmtId="165" formatCode="0.0"/>
    <numFmt numFmtId="166" formatCode="00"/>
  </numFmts>
  <fonts count="69">
    <font>
      <sz val="12"/>
      <color theme="1"/>
      <name val="Aptos Narrow"/>
    </font>
    <font>
      <b/>
      <sz val="12"/>
      <color theme="1"/>
      <name val="Aptos Narrow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24"/>
      <color theme="1"/>
      <name val="Times New Roman"/>
      <family val="1"/>
    </font>
    <font>
      <sz val="14"/>
      <color theme="1"/>
      <name val="Times New Roman"/>
      <family val="1"/>
    </font>
    <font>
      <sz val="20"/>
      <color theme="1"/>
      <name val="Times New Roman"/>
      <family val="1"/>
    </font>
    <font>
      <sz val="2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29"/>
      <name val="Times New Roman"/>
      <family val="1"/>
    </font>
    <font>
      <b/>
      <sz val="10"/>
      <color theme="0"/>
      <name val="Times New Roman"/>
      <family val="1"/>
    </font>
    <font>
      <sz val="10"/>
      <color theme="1"/>
      <name val="Aptos Narrow"/>
    </font>
    <font>
      <sz val="12"/>
      <color rgb="FF000000"/>
      <name val="Times New Roman"/>
      <family val="1"/>
    </font>
    <font>
      <sz val="18"/>
      <color rgb="FF000000"/>
      <name val="Times New Roman"/>
      <family val="1"/>
    </font>
    <font>
      <sz val="10"/>
      <color theme="0"/>
      <name val="Times New Roman"/>
      <family val="1"/>
    </font>
    <font>
      <sz val="12"/>
      <color rgb="FFFF0029"/>
      <name val="Aptos Narrow"/>
    </font>
    <font>
      <sz val="20"/>
      <color theme="1"/>
      <name val="Aptos Narrow"/>
    </font>
    <font>
      <sz val="14"/>
      <color theme="1"/>
      <name val="Aptos Narrow"/>
    </font>
    <font>
      <b/>
      <sz val="14"/>
      <color theme="1"/>
      <name val="Aptos Narrow"/>
    </font>
    <font>
      <sz val="12"/>
      <color rgb="FF000000"/>
      <name val="Aptos Narrow"/>
    </font>
    <font>
      <sz val="14"/>
      <color theme="1"/>
      <name val="Calibri (Body)"/>
    </font>
    <font>
      <sz val="12"/>
      <color rgb="FFFF0000"/>
      <name val="Aptos Narrow"/>
    </font>
    <font>
      <b/>
      <sz val="12"/>
      <color theme="0"/>
      <name val="Times New Roman"/>
      <family val="1"/>
    </font>
    <font>
      <sz val="16"/>
      <color rgb="FFFF0000"/>
      <name val="Aptos Narrow"/>
    </font>
    <font>
      <sz val="18"/>
      <color theme="1"/>
      <name val="Aptos Narrow"/>
    </font>
    <font>
      <sz val="18"/>
      <color rgb="FFFF0000"/>
      <name val="Aptos Narrow"/>
    </font>
    <font>
      <sz val="14"/>
      <color theme="9" tint="-0.249977111117893"/>
      <name val="Aptos Narrow"/>
    </font>
    <font>
      <sz val="4"/>
      <color theme="1"/>
      <name val="Aptos Narrow"/>
    </font>
    <font>
      <sz val="8"/>
      <color theme="1"/>
      <name val="Aptos Narrow"/>
    </font>
    <font>
      <sz val="8"/>
      <color theme="1"/>
      <name val="Calibri"/>
      <family val="2"/>
    </font>
    <font>
      <i/>
      <sz val="10"/>
      <color theme="1"/>
      <name val="Aptos Narrow"/>
    </font>
    <font>
      <sz val="10"/>
      <color rgb="FF000000"/>
      <name val="Aptos Narrow"/>
    </font>
    <font>
      <b/>
      <i/>
      <sz val="10"/>
      <color theme="1"/>
      <name val="Aptos Narrow"/>
    </font>
    <font>
      <sz val="14"/>
      <color rgb="FFFF0000"/>
      <name val="Aptos Narrow"/>
    </font>
    <font>
      <sz val="8"/>
      <color rgb="FFFF0000"/>
      <name val="Aptos Narrow"/>
    </font>
    <font>
      <sz val="16"/>
      <color theme="1"/>
      <name val="Aptos Narrow"/>
    </font>
    <font>
      <sz val="12"/>
      <color theme="10"/>
      <name val="Aptos Narrow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2"/>
      <color theme="1"/>
      <name val="Aptos Narrow"/>
    </font>
    <font>
      <b/>
      <sz val="12"/>
      <color theme="1"/>
      <name val="Aptos Narrow"/>
    </font>
    <font>
      <b/>
      <sz val="10"/>
      <color theme="1"/>
      <name val="Aptos Narrow"/>
    </font>
    <font>
      <sz val="10"/>
      <color theme="1"/>
      <name val="Aptos Narrow"/>
    </font>
    <font>
      <b/>
      <i/>
      <sz val="10"/>
      <color theme="1"/>
      <name val="Aptos Narrow"/>
    </font>
    <font>
      <sz val="14"/>
      <color theme="1"/>
      <name val="Aptos Narrow"/>
    </font>
    <font>
      <b/>
      <sz val="14"/>
      <color theme="1"/>
      <name val="Aptos Narrow"/>
    </font>
    <font>
      <b/>
      <i/>
      <sz val="14"/>
      <color theme="1"/>
      <name val="Aptos Narrow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i/>
      <sz val="10"/>
      <color theme="1"/>
      <name val="Aptos Narrow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rgb="FFFF0029"/>
      <name val="Times New Roman"/>
      <family val="1"/>
    </font>
    <font>
      <b/>
      <i/>
      <sz val="12"/>
      <color rgb="FFFF0029"/>
      <name val="Times New Roman"/>
      <family val="1"/>
    </font>
    <font>
      <sz val="20"/>
      <color rgb="FF000000"/>
      <name val="Aptos Narrow"/>
    </font>
    <font>
      <sz val="12"/>
      <color theme="1"/>
      <name val="Aptos Narrow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9" tint="0.79992065187536243"/>
        <bgColor indexed="65"/>
      </patternFill>
    </fill>
    <fill>
      <patternFill patternType="solid">
        <fgColor theme="5"/>
      </patternFill>
    </fill>
    <fill>
      <patternFill patternType="solid">
        <fgColor rgb="FFFFC000"/>
      </patternFill>
    </fill>
    <fill>
      <patternFill patternType="solid">
        <fgColor theme="5" tint="0.79992065187536243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3" tint="0.74993133335367901"/>
        <bgColor indexed="65"/>
      </patternFill>
    </fill>
    <fill>
      <patternFill patternType="solid">
        <fgColor rgb="FFF2C3C8"/>
      </patternFill>
    </fill>
    <fill>
      <patternFill patternType="solid">
        <fgColor rgb="FFFFF6BF"/>
      </patternFill>
    </fill>
    <fill>
      <patternFill patternType="solid">
        <fgColor theme="9" tint="0.59993285927915285"/>
        <bgColor indexed="65"/>
      </patternFill>
    </fill>
    <fill>
      <patternFill patternType="solid">
        <fgColor rgb="FFFFD96E"/>
      </patternFill>
    </fill>
    <fill>
      <patternFill patternType="solid">
        <fgColor rgb="FFADDA9A"/>
      </patternFill>
    </fill>
    <fill>
      <patternFill patternType="solid">
        <fgColor rgb="FFBCD5FA"/>
      </patternFill>
    </fill>
    <fill>
      <patternFill patternType="solid">
        <fgColor theme="1"/>
      </patternFill>
    </fill>
    <fill>
      <patternFill patternType="solid">
        <fgColor rgb="FFFCE4D6"/>
      </patternFill>
    </fill>
    <fill>
      <patternFill patternType="solid">
        <fgColor theme="9" tint="0.79992065187536243"/>
        <bgColor indexed="65"/>
      </patternFill>
    </fill>
    <fill>
      <patternFill patternType="solid">
        <fgColor rgb="FF61CBF3"/>
      </patternFill>
    </fill>
    <fill>
      <patternFill patternType="solid">
        <fgColor rgb="FFFFC000"/>
        <bgColor rgb="FF000000"/>
      </patternFill>
    </fill>
    <fill>
      <patternFill patternType="solid">
        <fgColor theme="0" tint="-4.9989318521683403E-2"/>
        <bgColor indexed="64"/>
      </patternFill>
    </fill>
  </fills>
  <borders count="1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8EA9DB"/>
      </top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4B084"/>
      </top>
      <bottom style="thin">
        <color rgb="FFF4B084"/>
      </bottom>
      <diagonal/>
    </border>
    <border>
      <left/>
      <right/>
      <top style="thin">
        <color rgb="FFF1A983"/>
      </top>
      <bottom style="thin">
        <color rgb="FFF1A983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theme="9" tint="0.39997558519241921"/>
      </bottom>
      <diagonal/>
    </border>
    <border>
      <left/>
      <right style="thin">
        <color indexed="64"/>
      </right>
      <top style="medium">
        <color rgb="FF000000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44B3E1"/>
      </bottom>
      <diagonal/>
    </border>
    <border>
      <left/>
      <right/>
      <top style="medium">
        <color rgb="FF000000"/>
      </top>
      <bottom style="thin">
        <color rgb="FF44B3E1"/>
      </bottom>
      <diagonal/>
    </border>
    <border>
      <left style="thin">
        <color indexed="64"/>
      </left>
      <right/>
      <top style="medium">
        <color rgb="FF000000"/>
      </top>
      <bottom style="thin">
        <color rgb="FF44B3E1"/>
      </bottom>
      <diagonal/>
    </border>
    <border>
      <left/>
      <right style="thin">
        <color indexed="64"/>
      </right>
      <top style="thin">
        <color rgb="FF44B3E1"/>
      </top>
      <bottom style="medium">
        <color rgb="FF000000"/>
      </bottom>
      <diagonal/>
    </border>
    <border>
      <left/>
      <right/>
      <top style="thin">
        <color rgb="FF44B3E1"/>
      </top>
      <bottom style="medium">
        <color rgb="FF000000"/>
      </bottom>
      <diagonal/>
    </border>
    <border>
      <left style="thin">
        <color indexed="64"/>
      </left>
      <right/>
      <top style="thin">
        <color rgb="FF44B3E1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1A983"/>
      </top>
      <bottom style="thin">
        <color rgb="FFF1A983"/>
      </bottom>
      <diagonal/>
    </border>
    <border>
      <left style="thin">
        <color indexed="64"/>
      </left>
      <right style="thin">
        <color indexed="64"/>
      </right>
      <top style="thin">
        <color rgb="FF8ED973"/>
      </top>
      <bottom style="thin">
        <color rgb="FF8ED973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113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49" fontId="2" fillId="0" borderId="3" xfId="0" applyNumberFormat="1" applyFont="1" applyBorder="1"/>
    <xf numFmtId="0" fontId="3" fillId="0" borderId="1" xfId="0" applyFont="1" applyBorder="1" applyAlignment="1">
      <alignment horizontal="center"/>
    </xf>
    <xf numFmtId="49" fontId="2" fillId="0" borderId="6" xfId="0" applyNumberFormat="1" applyFont="1" applyBorder="1"/>
    <xf numFmtId="0" fontId="3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2" xfId="0" applyFont="1" applyBorder="1"/>
    <xf numFmtId="0" fontId="2" fillId="0" borderId="11" xfId="0" applyFont="1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2" fillId="0" borderId="10" xfId="0" applyFont="1" applyBorder="1" applyAlignment="1">
      <alignment horizontal="left"/>
    </xf>
    <xf numFmtId="0" fontId="2" fillId="0" borderId="13" xfId="0" applyFont="1" applyBorder="1"/>
    <xf numFmtId="0" fontId="3" fillId="0" borderId="11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17" xfId="0" applyFont="1" applyBorder="1"/>
    <xf numFmtId="0" fontId="3" fillId="0" borderId="3" xfId="0" applyFont="1" applyBorder="1"/>
    <xf numFmtId="0" fontId="5" fillId="0" borderId="0" xfId="0" applyFont="1"/>
    <xf numFmtId="49" fontId="3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6" xfId="0" applyFont="1" applyBorder="1"/>
    <xf numFmtId="0" fontId="3" fillId="0" borderId="12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21" xfId="0" applyFont="1" applyBorder="1"/>
    <xf numFmtId="0" fontId="3" fillId="0" borderId="9" xfId="0" applyFont="1" applyBorder="1"/>
    <xf numFmtId="0" fontId="5" fillId="0" borderId="0" xfId="0" applyFont="1" applyAlignment="1">
      <alignment horizontal="center"/>
    </xf>
    <xf numFmtId="49" fontId="5" fillId="0" borderId="0" xfId="0" applyNumberFormat="1" applyFont="1"/>
    <xf numFmtId="1" fontId="5" fillId="0" borderId="0" xfId="0" applyNumberFormat="1" applyFont="1"/>
    <xf numFmtId="1" fontId="3" fillId="0" borderId="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9" fillId="0" borderId="0" xfId="0" applyFont="1"/>
    <xf numFmtId="0" fontId="2" fillId="0" borderId="22" xfId="0" applyFont="1" applyBorder="1"/>
    <xf numFmtId="164" fontId="2" fillId="0" borderId="12" xfId="0" applyNumberFormat="1" applyFont="1" applyBorder="1"/>
    <xf numFmtId="164" fontId="2" fillId="0" borderId="21" xfId="0" applyNumberFormat="1" applyFont="1" applyBorder="1"/>
    <xf numFmtId="0" fontId="2" fillId="0" borderId="12" xfId="0" applyFont="1" applyBorder="1"/>
    <xf numFmtId="0" fontId="2" fillId="0" borderId="21" xfId="0" applyFont="1" applyBorder="1"/>
    <xf numFmtId="0" fontId="2" fillId="0" borderId="23" xfId="0" applyFont="1" applyBorder="1"/>
    <xf numFmtId="0" fontId="2" fillId="0" borderId="24" xfId="0" applyFont="1" applyBorder="1"/>
    <xf numFmtId="164" fontId="2" fillId="0" borderId="0" xfId="0" applyNumberFormat="1" applyFont="1"/>
    <xf numFmtId="164" fontId="2" fillId="0" borderId="19" xfId="0" applyNumberFormat="1" applyFont="1" applyBorder="1"/>
    <xf numFmtId="0" fontId="2" fillId="0" borderId="19" xfId="0" applyFont="1" applyBorder="1"/>
    <xf numFmtId="0" fontId="2" fillId="0" borderId="25" xfId="0" applyFont="1" applyBorder="1"/>
    <xf numFmtId="0" fontId="10" fillId="0" borderId="0" xfId="0" applyFont="1"/>
    <xf numFmtId="0" fontId="2" fillId="0" borderId="18" xfId="0" applyFont="1" applyBorder="1"/>
    <xf numFmtId="0" fontId="2" fillId="0" borderId="26" xfId="0" applyFont="1" applyBorder="1"/>
    <xf numFmtId="164" fontId="2" fillId="0" borderId="11" xfId="0" applyNumberFormat="1" applyFont="1" applyBorder="1"/>
    <xf numFmtId="164" fontId="2" fillId="0" borderId="17" xfId="0" applyNumberFormat="1" applyFont="1" applyBorder="1"/>
    <xf numFmtId="0" fontId="2" fillId="0" borderId="17" xfId="0" applyFont="1" applyBorder="1"/>
    <xf numFmtId="0" fontId="2" fillId="0" borderId="27" xfId="0" applyFont="1" applyBorder="1"/>
    <xf numFmtId="2" fontId="2" fillId="0" borderId="22" xfId="0" applyNumberFormat="1" applyFont="1" applyBorder="1"/>
    <xf numFmtId="165" fontId="2" fillId="0" borderId="12" xfId="0" applyNumberFormat="1" applyFont="1" applyBorder="1"/>
    <xf numFmtId="2" fontId="2" fillId="0" borderId="21" xfId="0" applyNumberFormat="1" applyFont="1" applyBorder="1"/>
    <xf numFmtId="1" fontId="2" fillId="0" borderId="12" xfId="0" applyNumberFormat="1" applyFont="1" applyBorder="1"/>
    <xf numFmtId="0" fontId="2" fillId="0" borderId="19" xfId="0" applyFont="1" applyBorder="1" applyAlignment="1">
      <alignment horizontal="left"/>
    </xf>
    <xf numFmtId="2" fontId="2" fillId="0" borderId="24" xfId="0" applyNumberFormat="1" applyFont="1" applyBorder="1"/>
    <xf numFmtId="2" fontId="2" fillId="0" borderId="19" xfId="0" applyNumberFormat="1" applyFont="1" applyBorder="1"/>
    <xf numFmtId="1" fontId="2" fillId="0" borderId="0" xfId="0" applyNumberFormat="1" applyFont="1"/>
    <xf numFmtId="2" fontId="2" fillId="0" borderId="26" xfId="0" applyNumberFormat="1" applyFont="1" applyBorder="1"/>
    <xf numFmtId="165" fontId="2" fillId="0" borderId="11" xfId="0" applyNumberFormat="1" applyFont="1" applyBorder="1"/>
    <xf numFmtId="2" fontId="2" fillId="0" borderId="17" xfId="0" applyNumberFormat="1" applyFont="1" applyBorder="1"/>
    <xf numFmtId="1" fontId="2" fillId="0" borderId="11" xfId="0" applyNumberFormat="1" applyFont="1" applyBorder="1"/>
    <xf numFmtId="1" fontId="2" fillId="0" borderId="19" xfId="0" applyNumberFormat="1" applyFont="1" applyBorder="1"/>
    <xf numFmtId="1" fontId="10" fillId="0" borderId="19" xfId="0" applyNumberFormat="1" applyFont="1" applyBorder="1"/>
    <xf numFmtId="0" fontId="2" fillId="0" borderId="9" xfId="0" applyFont="1" applyBorder="1"/>
    <xf numFmtId="2" fontId="10" fillId="0" borderId="22" xfId="0" applyNumberFormat="1" applyFont="1" applyBorder="1"/>
    <xf numFmtId="0" fontId="2" fillId="0" borderId="20" xfId="0" applyFont="1" applyBorder="1"/>
    <xf numFmtId="0" fontId="10" fillId="0" borderId="12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16" xfId="0" applyFont="1" applyBorder="1"/>
    <xf numFmtId="0" fontId="10" fillId="0" borderId="19" xfId="0" applyFont="1" applyBorder="1"/>
    <xf numFmtId="2" fontId="2" fillId="0" borderId="12" xfId="0" applyNumberFormat="1" applyFont="1" applyBorder="1"/>
    <xf numFmtId="2" fontId="2" fillId="0" borderId="0" xfId="0" applyNumberFormat="1" applyFont="1"/>
    <xf numFmtId="2" fontId="2" fillId="0" borderId="11" xfId="0" applyNumberFormat="1" applyFont="1" applyBorder="1"/>
    <xf numFmtId="0" fontId="14" fillId="0" borderId="0" xfId="0" applyFont="1"/>
    <xf numFmtId="2" fontId="10" fillId="0" borderId="12" xfId="0" applyNumberFormat="1" applyFont="1" applyBorder="1"/>
    <xf numFmtId="0" fontId="10" fillId="0" borderId="20" xfId="0" applyFont="1" applyBorder="1"/>
    <xf numFmtId="165" fontId="10" fillId="0" borderId="12" xfId="0" applyNumberFormat="1" applyFont="1" applyBorder="1"/>
    <xf numFmtId="0" fontId="15" fillId="0" borderId="22" xfId="0" applyFont="1" applyBorder="1"/>
    <xf numFmtId="0" fontId="2" fillId="0" borderId="8" xfId="0" applyFont="1" applyBorder="1"/>
    <xf numFmtId="0" fontId="15" fillId="0" borderId="19" xfId="0" applyFont="1" applyBorder="1"/>
    <xf numFmtId="0" fontId="15" fillId="0" borderId="24" xfId="0" applyFont="1" applyBorder="1"/>
    <xf numFmtId="0" fontId="2" fillId="0" borderId="24" xfId="0" applyFont="1" applyBorder="1" applyAlignment="1">
      <alignment horizontal="left"/>
    </xf>
    <xf numFmtId="0" fontId="15" fillId="0" borderId="26" xfId="0" applyFont="1" applyBorder="1"/>
    <xf numFmtId="0" fontId="20" fillId="0" borderId="0" xfId="0" applyFont="1"/>
    <xf numFmtId="0" fontId="21" fillId="0" borderId="0" xfId="0" applyFont="1"/>
    <xf numFmtId="164" fontId="21" fillId="0" borderId="0" xfId="0" applyNumberFormat="1" applyFont="1"/>
    <xf numFmtId="2" fontId="21" fillId="0" borderId="0" xfId="0" applyNumberFormat="1" applyFont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1" fontId="21" fillId="0" borderId="0" xfId="0" applyNumberFormat="1" applyFont="1"/>
    <xf numFmtId="1" fontId="0" fillId="0" borderId="0" xfId="0" applyNumberFormat="1"/>
    <xf numFmtId="165" fontId="21" fillId="0" borderId="0" xfId="0" applyNumberFormat="1" applyFont="1"/>
    <xf numFmtId="165" fontId="0" fillId="0" borderId="0" xfId="0" applyNumberFormat="1"/>
    <xf numFmtId="164" fontId="2" fillId="0" borderId="20" xfId="0" applyNumberFormat="1" applyFont="1" applyBorder="1"/>
    <xf numFmtId="164" fontId="2" fillId="0" borderId="18" xfId="0" applyNumberFormat="1" applyFont="1" applyBorder="1"/>
    <xf numFmtId="164" fontId="2" fillId="0" borderId="16" xfId="0" applyNumberFormat="1" applyFont="1" applyBorder="1"/>
    <xf numFmtId="0" fontId="2" fillId="0" borderId="18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2" fontId="2" fillId="0" borderId="20" xfId="0" applyNumberFormat="1" applyFont="1" applyBorder="1"/>
    <xf numFmtId="2" fontId="2" fillId="0" borderId="18" xfId="0" applyNumberFormat="1" applyFont="1" applyBorder="1"/>
    <xf numFmtId="0" fontId="15" fillId="0" borderId="6" xfId="0" applyFont="1" applyBorder="1"/>
    <xf numFmtId="0" fontId="15" fillId="0" borderId="18" xfId="0" applyFont="1" applyBorder="1"/>
    <xf numFmtId="0" fontId="15" fillId="0" borderId="3" xfId="0" applyFont="1" applyBorder="1"/>
    <xf numFmtId="0" fontId="15" fillId="0" borderId="33" xfId="0" applyFont="1" applyBorder="1"/>
    <xf numFmtId="0" fontId="2" fillId="0" borderId="12" xfId="0" applyFont="1" applyBorder="1" applyAlignment="1">
      <alignment horizontal="right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28" fillId="0" borderId="0" xfId="0" applyFont="1"/>
    <xf numFmtId="0" fontId="27" fillId="0" borderId="0" xfId="0" applyFont="1"/>
    <xf numFmtId="0" fontId="20" fillId="0" borderId="0" xfId="0" applyFont="1" applyAlignment="1">
      <alignment horizontal="left"/>
    </xf>
    <xf numFmtId="0" fontId="29" fillId="0" borderId="0" xfId="0" applyFont="1"/>
    <xf numFmtId="0" fontId="0" fillId="0" borderId="0" xfId="0" applyAlignment="1">
      <alignment horizontal="left"/>
    </xf>
    <xf numFmtId="0" fontId="30" fillId="0" borderId="0" xfId="0" applyFont="1"/>
    <xf numFmtId="0" fontId="31" fillId="0" borderId="31" xfId="0" applyFont="1" applyBorder="1" applyAlignment="1">
      <alignment horizontal="center"/>
    </xf>
    <xf numFmtId="0" fontId="31" fillId="0" borderId="3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8" xfId="0" applyFont="1" applyBorder="1" applyAlignment="1">
      <alignment horizontal="left"/>
    </xf>
    <xf numFmtId="49" fontId="14" fillId="0" borderId="18" xfId="0" applyNumberFormat="1" applyFont="1" applyBorder="1" applyAlignment="1">
      <alignment horizontal="left"/>
    </xf>
    <xf numFmtId="0" fontId="14" fillId="0" borderId="36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14" fillId="0" borderId="37" xfId="0" applyFont="1" applyBorder="1" applyAlignment="1">
      <alignment horizontal="left"/>
    </xf>
    <xf numFmtId="0" fontId="33" fillId="0" borderId="24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33" fillId="0" borderId="18" xfId="0" applyFont="1" applyBorder="1" applyAlignment="1">
      <alignment horizontal="left"/>
    </xf>
    <xf numFmtId="0" fontId="14" fillId="0" borderId="18" xfId="0" applyFont="1" applyBorder="1"/>
    <xf numFmtId="0" fontId="34" fillId="0" borderId="18" xfId="0" applyFont="1" applyBorder="1" applyAlignment="1">
      <alignment horizontal="left"/>
    </xf>
    <xf numFmtId="49" fontId="34" fillId="0" borderId="18" xfId="0" applyNumberFormat="1" applyFont="1" applyBorder="1" applyAlignment="1">
      <alignment horizontal="left"/>
    </xf>
    <xf numFmtId="0" fontId="34" fillId="0" borderId="24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5" fillId="0" borderId="24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35" fillId="0" borderId="18" xfId="0" applyFont="1" applyBorder="1" applyAlignment="1">
      <alignment horizontal="left"/>
    </xf>
    <xf numFmtId="49" fontId="33" fillId="0" borderId="18" xfId="0" applyNumberFormat="1" applyFont="1" applyBorder="1" applyAlignment="1">
      <alignment horizontal="left"/>
    </xf>
    <xf numFmtId="0" fontId="31" fillId="0" borderId="34" xfId="0" applyFont="1" applyBorder="1" applyAlignment="1">
      <alignment horizontal="center"/>
    </xf>
    <xf numFmtId="49" fontId="14" fillId="0" borderId="0" xfId="0" applyNumberFormat="1" applyFont="1" applyAlignment="1">
      <alignment horizontal="left"/>
    </xf>
    <xf numFmtId="0" fontId="2" fillId="0" borderId="15" xfId="0" applyFont="1" applyBorder="1"/>
    <xf numFmtId="1" fontId="2" fillId="0" borderId="15" xfId="0" applyNumberFormat="1" applyFont="1" applyBorder="1"/>
    <xf numFmtId="0" fontId="2" fillId="0" borderId="14" xfId="0" applyFont="1" applyBorder="1"/>
    <xf numFmtId="2" fontId="2" fillId="0" borderId="16" xfId="0" applyNumberFormat="1" applyFont="1" applyBorder="1"/>
    <xf numFmtId="49" fontId="31" fillId="0" borderId="31" xfId="0" applyNumberFormat="1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32" xfId="0" applyFont="1" applyBorder="1" applyAlignment="1">
      <alignment horizontal="center"/>
    </xf>
    <xf numFmtId="0" fontId="31" fillId="0" borderId="30" xfId="0" applyFont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31" fillId="0" borderId="35" xfId="0" applyFont="1" applyBorder="1" applyAlignment="1">
      <alignment horizontal="center"/>
    </xf>
    <xf numFmtId="0" fontId="31" fillId="0" borderId="24" xfId="0" applyFont="1" applyBorder="1" applyAlignment="1">
      <alignment horizontal="center"/>
    </xf>
    <xf numFmtId="0" fontId="0" fillId="0" borderId="0" xfId="0" applyAlignment="1">
      <alignment horizontal="right"/>
    </xf>
    <xf numFmtId="0" fontId="36" fillId="0" borderId="12" xfId="0" applyFont="1" applyBorder="1"/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31" fillId="2" borderId="6" xfId="0" applyFont="1" applyFill="1" applyBorder="1" applyAlignment="1">
      <alignment horizontal="right"/>
    </xf>
    <xf numFmtId="0" fontId="0" fillId="2" borderId="21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31" fillId="12" borderId="9" xfId="0" applyFont="1" applyFill="1" applyBorder="1" applyAlignment="1">
      <alignment horizontal="right"/>
    </xf>
    <xf numFmtId="0" fontId="0" fillId="12" borderId="21" xfId="0" applyFill="1" applyBorder="1" applyAlignment="1">
      <alignment horizontal="center"/>
    </xf>
    <xf numFmtId="0" fontId="1" fillId="12" borderId="34" xfId="0" applyFont="1" applyFill="1" applyBorder="1" applyAlignment="1">
      <alignment horizontal="center"/>
    </xf>
    <xf numFmtId="0" fontId="0" fillId="12" borderId="40" xfId="0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31" fillId="2" borderId="42" xfId="0" applyFont="1" applyFill="1" applyBorder="1" applyAlignment="1">
      <alignment horizontal="right"/>
    </xf>
    <xf numFmtId="0" fontId="0" fillId="2" borderId="28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31" fillId="8" borderId="42" xfId="0" applyFont="1" applyFill="1" applyBorder="1" applyAlignment="1">
      <alignment horizontal="right"/>
    </xf>
    <xf numFmtId="0" fontId="0" fillId="8" borderId="28" xfId="0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31" fillId="12" borderId="42" xfId="0" applyFont="1" applyFill="1" applyBorder="1" applyAlignment="1">
      <alignment horizontal="right"/>
    </xf>
    <xf numFmtId="0" fontId="0" fillId="12" borderId="28" xfId="0" applyFill="1" applyBorder="1" applyAlignment="1">
      <alignment horizontal="center"/>
    </xf>
    <xf numFmtId="0" fontId="0" fillId="12" borderId="43" xfId="0" applyFill="1" applyBorder="1" applyAlignment="1">
      <alignment horizontal="center"/>
    </xf>
    <xf numFmtId="0" fontId="1" fillId="12" borderId="44" xfId="0" applyFont="1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1" fillId="8" borderId="45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1" fillId="8" borderId="44" xfId="0" applyFont="1" applyFill="1" applyBorder="1" applyAlignment="1">
      <alignment horizontal="center"/>
    </xf>
    <xf numFmtId="0" fontId="31" fillId="2" borderId="48" xfId="0" applyFont="1" applyFill="1" applyBorder="1" applyAlignment="1">
      <alignment horizontal="right"/>
    </xf>
    <xf numFmtId="0" fontId="0" fillId="2" borderId="39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31" fillId="8" borderId="48" xfId="0" applyFont="1" applyFill="1" applyBorder="1" applyAlignment="1">
      <alignment horizontal="right"/>
    </xf>
    <xf numFmtId="0" fontId="0" fillId="8" borderId="39" xfId="0" applyFill="1" applyBorder="1" applyAlignment="1">
      <alignment horizontal="center"/>
    </xf>
    <xf numFmtId="0" fontId="1" fillId="8" borderId="43" xfId="0" applyFont="1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1" fillId="8" borderId="47" xfId="0" applyFont="1" applyFill="1" applyBorder="1" applyAlignment="1">
      <alignment horizontal="center"/>
    </xf>
    <xf numFmtId="0" fontId="31" fillId="12" borderId="48" xfId="0" applyFont="1" applyFill="1" applyBorder="1" applyAlignment="1">
      <alignment horizontal="right"/>
    </xf>
    <xf numFmtId="0" fontId="0" fillId="12" borderId="39" xfId="0" applyFill="1" applyBorder="1" applyAlignment="1">
      <alignment horizontal="center"/>
    </xf>
    <xf numFmtId="0" fontId="1" fillId="12" borderId="43" xfId="0" applyFont="1" applyFill="1" applyBorder="1" applyAlignment="1">
      <alignment horizontal="center"/>
    </xf>
    <xf numFmtId="0" fontId="0" fillId="12" borderId="45" xfId="0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0" fillId="12" borderId="29" xfId="0" applyFill="1" applyBorder="1" applyAlignment="1">
      <alignment horizontal="center"/>
    </xf>
    <xf numFmtId="0" fontId="1" fillId="12" borderId="45" xfId="0" applyFont="1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12" borderId="44" xfId="0" applyFill="1" applyBorder="1" applyAlignment="1">
      <alignment horizontal="center"/>
    </xf>
    <xf numFmtId="0" fontId="0" fillId="8" borderId="45" xfId="0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12" borderId="47" xfId="0" applyFont="1" applyFill="1" applyBorder="1" applyAlignment="1">
      <alignment horizontal="center"/>
    </xf>
    <xf numFmtId="0" fontId="1" fillId="12" borderId="29" xfId="0" applyFont="1" applyFill="1" applyBorder="1" applyAlignment="1">
      <alignment horizontal="center"/>
    </xf>
    <xf numFmtId="0" fontId="0" fillId="12" borderId="47" xfId="0" applyFill="1" applyBorder="1" applyAlignment="1">
      <alignment horizontal="center"/>
    </xf>
    <xf numFmtId="0" fontId="37" fillId="12" borderId="48" xfId="0" applyFont="1" applyFill="1" applyBorder="1" applyAlignment="1">
      <alignment horizontal="right"/>
    </xf>
    <xf numFmtId="0" fontId="0" fillId="8" borderId="46" xfId="0" applyFill="1" applyBorder="1" applyAlignment="1">
      <alignment horizontal="center"/>
    </xf>
    <xf numFmtId="0" fontId="37" fillId="12" borderId="42" xfId="0" applyFont="1" applyFill="1" applyBorder="1" applyAlignment="1">
      <alignment horizontal="right"/>
    </xf>
    <xf numFmtId="0" fontId="0" fillId="12" borderId="46" xfId="0" applyFill="1" applyBorder="1" applyAlignment="1">
      <alignment horizontal="center"/>
    </xf>
    <xf numFmtId="0" fontId="1" fillId="12" borderId="46" xfId="0" applyFont="1" applyFill="1" applyBorder="1" applyAlignment="1">
      <alignment horizontal="center"/>
    </xf>
    <xf numFmtId="0" fontId="1" fillId="8" borderId="46" xfId="0" applyFont="1" applyFill="1" applyBorder="1" applyAlignment="1">
      <alignment horizontal="center"/>
    </xf>
    <xf numFmtId="0" fontId="24" fillId="0" borderId="0" xfId="0" applyFont="1" applyAlignment="1">
      <alignment horizontal="left"/>
    </xf>
    <xf numFmtId="0" fontId="0" fillId="2" borderId="19" xfId="0" applyFill="1" applyBorder="1" applyAlignment="1">
      <alignment horizontal="center"/>
    </xf>
    <xf numFmtId="0" fontId="31" fillId="8" borderId="6" xfId="0" applyFont="1" applyFill="1" applyBorder="1" applyAlignment="1">
      <alignment horizontal="right"/>
    </xf>
    <xf numFmtId="0" fontId="0" fillId="8" borderId="19" xfId="0" applyFill="1" applyBorder="1" applyAlignment="1">
      <alignment horizontal="center"/>
    </xf>
    <xf numFmtId="0" fontId="31" fillId="12" borderId="6" xfId="0" applyFont="1" applyFill="1" applyBorder="1" applyAlignment="1">
      <alignment horizontal="right"/>
    </xf>
    <xf numFmtId="0" fontId="0" fillId="12" borderId="19" xfId="0" applyFill="1" applyBorder="1" applyAlignment="1">
      <alignment horizontal="center"/>
    </xf>
    <xf numFmtId="0" fontId="31" fillId="2" borderId="3" xfId="0" applyFont="1" applyFill="1" applyBorder="1" applyAlignment="1">
      <alignment horizontal="right"/>
    </xf>
    <xf numFmtId="0" fontId="0" fillId="2" borderId="17" xfId="0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1" fillId="8" borderId="3" xfId="0" applyFont="1" applyFill="1" applyBorder="1" applyAlignment="1">
      <alignment horizontal="right"/>
    </xf>
    <xf numFmtId="0" fontId="0" fillId="8" borderId="17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31" fillId="12" borderId="3" xfId="0" applyFont="1" applyFill="1" applyBorder="1" applyAlignment="1">
      <alignment horizontal="right"/>
    </xf>
    <xf numFmtId="0" fontId="0" fillId="12" borderId="17" xfId="0" applyFill="1" applyBorder="1" applyAlignment="1">
      <alignment horizontal="center"/>
    </xf>
    <xf numFmtId="0" fontId="0" fillId="12" borderId="49" xfId="0" applyFill="1" applyBorder="1" applyAlignment="1">
      <alignment horizontal="center"/>
    </xf>
    <xf numFmtId="0" fontId="1" fillId="12" borderId="50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5" xfId="0" applyBorder="1" applyAlignment="1">
      <alignment horizontal="center"/>
    </xf>
    <xf numFmtId="0" fontId="38" fillId="0" borderId="0" xfId="0" applyFont="1"/>
    <xf numFmtId="0" fontId="38" fillId="0" borderId="3" xfId="0" applyFont="1" applyBorder="1"/>
    <xf numFmtId="0" fontId="0" fillId="0" borderId="52" xfId="0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0" fillId="12" borderId="34" xfId="0" applyFill="1" applyBorder="1" applyAlignment="1">
      <alignment horizontal="center"/>
    </xf>
    <xf numFmtId="0" fontId="1" fillId="12" borderId="40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12" borderId="49" xfId="0" applyFont="1" applyFill="1" applyBorder="1" applyAlignment="1">
      <alignment horizontal="center"/>
    </xf>
    <xf numFmtId="0" fontId="0" fillId="12" borderId="50" xfId="0" applyFill="1" applyBorder="1" applyAlignment="1">
      <alignment horizontal="center"/>
    </xf>
    <xf numFmtId="0" fontId="31" fillId="13" borderId="48" xfId="0" applyFont="1" applyFill="1" applyBorder="1" applyAlignment="1">
      <alignment horizontal="right"/>
    </xf>
    <xf numFmtId="0" fontId="0" fillId="13" borderId="39" xfId="0" applyFill="1" applyBorder="1" applyAlignment="1">
      <alignment horizontal="center"/>
    </xf>
    <xf numFmtId="0" fontId="0" fillId="13" borderId="43" xfId="0" applyFill="1" applyBorder="1" applyAlignment="1">
      <alignment horizontal="center"/>
    </xf>
    <xf numFmtId="0" fontId="1" fillId="13" borderId="44" xfId="0" applyFont="1" applyFill="1" applyBorder="1" applyAlignment="1">
      <alignment horizontal="center"/>
    </xf>
    <xf numFmtId="0" fontId="31" fillId="13" borderId="42" xfId="0" applyFont="1" applyFill="1" applyBorder="1" applyAlignment="1">
      <alignment horizontal="right"/>
    </xf>
    <xf numFmtId="0" fontId="0" fillId="13" borderId="28" xfId="0" applyFill="1" applyBorder="1" applyAlignment="1">
      <alignment horizontal="center"/>
    </xf>
    <xf numFmtId="0" fontId="1" fillId="13" borderId="43" xfId="0" applyFont="1" applyFill="1" applyBorder="1" applyAlignment="1">
      <alignment horizontal="center"/>
    </xf>
    <xf numFmtId="0" fontId="0" fillId="13" borderId="44" xfId="0" applyFill="1" applyBorder="1" applyAlignment="1">
      <alignment horizontal="center"/>
    </xf>
    <xf numFmtId="0" fontId="0" fillId="13" borderId="45" xfId="0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0" fillId="13" borderId="46" xfId="0" applyFill="1" applyBorder="1" applyAlignment="1">
      <alignment horizontal="center"/>
    </xf>
    <xf numFmtId="0" fontId="1" fillId="13" borderId="45" xfId="0" applyFont="1" applyFill="1" applyBorder="1" applyAlignment="1">
      <alignment horizontal="center"/>
    </xf>
    <xf numFmtId="0" fontId="0" fillId="13" borderId="47" xfId="0" applyFill="1" applyBorder="1" applyAlignment="1">
      <alignment horizontal="center"/>
    </xf>
    <xf numFmtId="0" fontId="0" fillId="13" borderId="29" xfId="0" applyFill="1" applyBorder="1" applyAlignment="1">
      <alignment horizontal="center"/>
    </xf>
    <xf numFmtId="0" fontId="1" fillId="13" borderId="47" xfId="0" applyFont="1" applyFill="1" applyBorder="1" applyAlignment="1">
      <alignment horizontal="center"/>
    </xf>
    <xf numFmtId="0" fontId="1" fillId="13" borderId="46" xfId="0" applyFont="1" applyFill="1" applyBorder="1" applyAlignment="1">
      <alignment horizontal="center"/>
    </xf>
    <xf numFmtId="0" fontId="31" fillId="13" borderId="6" xfId="0" applyFont="1" applyFill="1" applyBorder="1" applyAlignment="1">
      <alignment horizontal="right"/>
    </xf>
    <xf numFmtId="0" fontId="0" fillId="13" borderId="19" xfId="0" applyFill="1" applyBorder="1" applyAlignment="1">
      <alignment horizontal="center"/>
    </xf>
    <xf numFmtId="0" fontId="31" fillId="13" borderId="3" xfId="0" applyFont="1" applyFill="1" applyBorder="1" applyAlignment="1">
      <alignment horizontal="right"/>
    </xf>
    <xf numFmtId="0" fontId="0" fillId="13" borderId="17" xfId="0" applyFill="1" applyBorder="1" applyAlignment="1">
      <alignment horizontal="center"/>
    </xf>
    <xf numFmtId="0" fontId="0" fillId="13" borderId="26" xfId="0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26" xfId="0" applyFont="1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31" fillId="13" borderId="9" xfId="0" applyFont="1" applyFill="1" applyBorder="1" applyAlignment="1">
      <alignment horizontal="right"/>
    </xf>
    <xf numFmtId="0" fontId="0" fillId="13" borderId="21" xfId="0" applyFill="1" applyBorder="1" applyAlignment="1">
      <alignment horizontal="center"/>
    </xf>
    <xf numFmtId="0" fontId="0" fillId="13" borderId="34" xfId="0" applyFill="1" applyBorder="1" applyAlignment="1">
      <alignment horizontal="center"/>
    </xf>
    <xf numFmtId="0" fontId="1" fillId="13" borderId="40" xfId="0" applyFont="1" applyFill="1" applyBorder="1" applyAlignment="1">
      <alignment horizontal="center"/>
    </xf>
    <xf numFmtId="0" fontId="1" fillId="13" borderId="34" xfId="0" applyFont="1" applyFill="1" applyBorder="1" applyAlignment="1">
      <alignment horizontal="center"/>
    </xf>
    <xf numFmtId="0" fontId="0" fillId="13" borderId="40" xfId="0" applyFill="1" applyBorder="1" applyAlignment="1">
      <alignment horizontal="center"/>
    </xf>
    <xf numFmtId="0" fontId="0" fillId="13" borderId="41" xfId="0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1" fillId="13" borderId="41" xfId="0" applyFont="1" applyFill="1" applyBorder="1" applyAlignment="1">
      <alignment horizontal="center"/>
    </xf>
    <xf numFmtId="0" fontId="10" fillId="0" borderId="24" xfId="0" applyFont="1" applyBorder="1"/>
    <xf numFmtId="164" fontId="10" fillId="0" borderId="19" xfId="0" applyNumberFormat="1" applyFont="1" applyBorder="1"/>
    <xf numFmtId="2" fontId="10" fillId="0" borderId="19" xfId="0" applyNumberFormat="1" applyFont="1" applyBorder="1"/>
    <xf numFmtId="0" fontId="10" fillId="0" borderId="26" xfId="0" applyFont="1" applyBorder="1"/>
    <xf numFmtId="2" fontId="10" fillId="0" borderId="24" xfId="0" applyNumberFormat="1" applyFont="1" applyBorder="1"/>
    <xf numFmtId="2" fontId="10" fillId="0" borderId="21" xfId="0" applyNumberFormat="1" applyFont="1" applyBorder="1"/>
    <xf numFmtId="0" fontId="10" fillId="0" borderId="22" xfId="0" applyFont="1" applyBorder="1"/>
    <xf numFmtId="0" fontId="10" fillId="0" borderId="18" xfId="0" applyFont="1" applyBorder="1"/>
    <xf numFmtId="164" fontId="2" fillId="0" borderId="19" xfId="0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44" fillId="0" borderId="19" xfId="0" applyFont="1" applyBorder="1"/>
    <xf numFmtId="0" fontId="44" fillId="0" borderId="24" xfId="0" applyFont="1" applyBorder="1"/>
    <xf numFmtId="0" fontId="10" fillId="0" borderId="24" xfId="0" applyFont="1" applyBorder="1" applyAlignment="1">
      <alignment horizontal="left"/>
    </xf>
    <xf numFmtId="0" fontId="0" fillId="0" borderId="32" xfId="0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8" fillId="0" borderId="12" xfId="0" applyFont="1" applyBorder="1" applyAlignment="1">
      <alignment horizontal="center"/>
    </xf>
    <xf numFmtId="1" fontId="2" fillId="0" borderId="20" xfId="0" applyNumberFormat="1" applyFont="1" applyBorder="1"/>
    <xf numFmtId="1" fontId="2" fillId="0" borderId="18" xfId="0" applyNumberFormat="1" applyFont="1" applyBorder="1"/>
    <xf numFmtId="0" fontId="10" fillId="0" borderId="6" xfId="0" applyFont="1" applyBorder="1"/>
    <xf numFmtId="0" fontId="40" fillId="0" borderId="6" xfId="0" applyFont="1" applyBorder="1"/>
    <xf numFmtId="0" fontId="25" fillId="18" borderId="13" xfId="0" applyFont="1" applyFill="1" applyBorder="1"/>
    <xf numFmtId="0" fontId="25" fillId="18" borderId="15" xfId="0" applyFont="1" applyFill="1" applyBorder="1"/>
    <xf numFmtId="0" fontId="25" fillId="18" borderId="14" xfId="0" applyFont="1" applyFill="1" applyBorder="1"/>
    <xf numFmtId="0" fontId="13" fillId="10" borderId="13" xfId="0" applyFont="1" applyFill="1" applyBorder="1"/>
    <xf numFmtId="0" fontId="13" fillId="10" borderId="15" xfId="0" applyFont="1" applyFill="1" applyBorder="1"/>
    <xf numFmtId="0" fontId="13" fillId="10" borderId="14" xfId="0" applyFont="1" applyFill="1" applyBorder="1"/>
    <xf numFmtId="0" fontId="25" fillId="10" borderId="13" xfId="0" applyFont="1" applyFill="1" applyBorder="1"/>
    <xf numFmtId="0" fontId="25" fillId="10" borderId="15" xfId="0" applyFont="1" applyFill="1" applyBorder="1"/>
    <xf numFmtId="0" fontId="25" fillId="10" borderId="14" xfId="0" applyFont="1" applyFill="1" applyBorder="1"/>
    <xf numFmtId="0" fontId="9" fillId="0" borderId="13" xfId="0" applyFont="1" applyBorder="1"/>
    <xf numFmtId="0" fontId="9" fillId="0" borderId="15" xfId="0" applyFont="1" applyBorder="1"/>
    <xf numFmtId="0" fontId="9" fillId="0" borderId="14" xfId="0" applyFont="1" applyBorder="1"/>
    <xf numFmtId="0" fontId="13" fillId="3" borderId="13" xfId="0" applyFont="1" applyFill="1" applyBorder="1"/>
    <xf numFmtId="0" fontId="13" fillId="3" borderId="15" xfId="0" applyFont="1" applyFill="1" applyBorder="1"/>
    <xf numFmtId="0" fontId="13" fillId="3" borderId="14" xfId="0" applyFont="1" applyFill="1" applyBorder="1"/>
    <xf numFmtId="0" fontId="15" fillId="19" borderId="53" xfId="0" applyFont="1" applyFill="1" applyBorder="1"/>
    <xf numFmtId="0" fontId="45" fillId="0" borderId="7" xfId="0" applyFont="1" applyBorder="1"/>
    <xf numFmtId="1" fontId="3" fillId="0" borderId="21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46" fillId="0" borderId="4" xfId="0" applyFont="1" applyBorder="1"/>
    <xf numFmtId="0" fontId="45" fillId="0" borderId="4" xfId="0" applyFont="1" applyBorder="1"/>
    <xf numFmtId="49" fontId="2" fillId="0" borderId="1" xfId="0" applyNumberFormat="1" applyFont="1" applyBorder="1" applyAlignment="1">
      <alignment horizontal="center"/>
    </xf>
    <xf numFmtId="0" fontId="47" fillId="2" borderId="40" xfId="0" applyFont="1" applyFill="1" applyBorder="1" applyAlignment="1">
      <alignment horizontal="center"/>
    </xf>
    <xf numFmtId="0" fontId="47" fillId="2" borderId="44" xfId="0" applyFont="1" applyFill="1" applyBorder="1" applyAlignment="1">
      <alignment horizontal="center"/>
    </xf>
    <xf numFmtId="0" fontId="48" fillId="2" borderId="34" xfId="0" applyFont="1" applyFill="1" applyBorder="1" applyAlignment="1">
      <alignment horizontal="center"/>
    </xf>
    <xf numFmtId="0" fontId="48" fillId="2" borderId="43" xfId="0" applyFont="1" applyFill="1" applyBorder="1" applyAlignment="1">
      <alignment horizontal="center"/>
    </xf>
    <xf numFmtId="0" fontId="47" fillId="8" borderId="34" xfId="0" applyFont="1" applyFill="1" applyBorder="1" applyAlignment="1">
      <alignment horizontal="center"/>
    </xf>
    <xf numFmtId="0" fontId="47" fillId="8" borderId="43" xfId="0" applyFont="1" applyFill="1" applyBorder="1" applyAlignment="1">
      <alignment horizontal="center"/>
    </xf>
    <xf numFmtId="0" fontId="48" fillId="8" borderId="40" xfId="0" applyFont="1" applyFill="1" applyBorder="1" applyAlignment="1">
      <alignment horizontal="center"/>
    </xf>
    <xf numFmtId="0" fontId="48" fillId="8" borderId="44" xfId="0" applyFont="1" applyFill="1" applyBorder="1" applyAlignment="1">
      <alignment horizontal="center"/>
    </xf>
    <xf numFmtId="0" fontId="48" fillId="8" borderId="41" xfId="0" applyFont="1" applyFill="1" applyBorder="1" applyAlignment="1">
      <alignment horizontal="center"/>
    </xf>
    <xf numFmtId="0" fontId="48" fillId="8" borderId="45" xfId="0" applyFont="1" applyFill="1" applyBorder="1" applyAlignment="1">
      <alignment horizontal="center"/>
    </xf>
    <xf numFmtId="0" fontId="47" fillId="8" borderId="40" xfId="0" applyFont="1" applyFill="1" applyBorder="1" applyAlignment="1">
      <alignment horizontal="center"/>
    </xf>
    <xf numFmtId="0" fontId="47" fillId="8" borderId="47" xfId="0" applyFont="1" applyFill="1" applyBorder="1" applyAlignment="1">
      <alignment horizontal="center"/>
    </xf>
    <xf numFmtId="0" fontId="48" fillId="8" borderId="34" xfId="0" applyFont="1" applyFill="1" applyBorder="1" applyAlignment="1">
      <alignment horizontal="center"/>
    </xf>
    <xf numFmtId="0" fontId="48" fillId="8" borderId="29" xfId="0" applyFont="1" applyFill="1" applyBorder="1" applyAlignment="1">
      <alignment horizontal="center"/>
    </xf>
    <xf numFmtId="0" fontId="47" fillId="8" borderId="41" xfId="0" applyFont="1" applyFill="1" applyBorder="1" applyAlignment="1">
      <alignment horizontal="center"/>
    </xf>
    <xf numFmtId="0" fontId="47" fillId="8" borderId="46" xfId="0" applyFont="1" applyFill="1" applyBorder="1" applyAlignment="1">
      <alignment horizontal="center"/>
    </xf>
    <xf numFmtId="0" fontId="48" fillId="2" borderId="40" xfId="0" applyFont="1" applyFill="1" applyBorder="1" applyAlignment="1">
      <alignment horizontal="center"/>
    </xf>
    <xf numFmtId="0" fontId="47" fillId="2" borderId="34" xfId="0" applyFont="1" applyFill="1" applyBorder="1" applyAlignment="1">
      <alignment horizontal="center"/>
    </xf>
    <xf numFmtId="49" fontId="38" fillId="0" borderId="26" xfId="0" applyNumberFormat="1" applyFont="1" applyBorder="1" applyAlignment="1">
      <alignment horizontal="center"/>
    </xf>
    <xf numFmtId="0" fontId="47" fillId="2" borderId="29" xfId="0" applyFont="1" applyFill="1" applyBorder="1" applyAlignment="1">
      <alignment horizontal="center"/>
    </xf>
    <xf numFmtId="0" fontId="48" fillId="2" borderId="47" xfId="0" applyFont="1" applyFill="1" applyBorder="1" applyAlignment="1">
      <alignment horizontal="center"/>
    </xf>
    <xf numFmtId="0" fontId="48" fillId="2" borderId="29" xfId="0" applyFont="1" applyFill="1" applyBorder="1" applyAlignment="1">
      <alignment horizontal="center"/>
    </xf>
    <xf numFmtId="0" fontId="47" fillId="2" borderId="47" xfId="0" applyFont="1" applyFill="1" applyBorder="1" applyAlignment="1">
      <alignment horizontal="center"/>
    </xf>
    <xf numFmtId="0" fontId="48" fillId="13" borderId="41" xfId="0" applyFont="1" applyFill="1" applyBorder="1" applyAlignment="1">
      <alignment horizontal="center"/>
    </xf>
    <xf numFmtId="0" fontId="47" fillId="13" borderId="34" xfId="0" applyFont="1" applyFill="1" applyBorder="1" applyAlignment="1">
      <alignment horizontal="center"/>
    </xf>
    <xf numFmtId="0" fontId="47" fillId="13" borderId="45" xfId="0" applyFont="1" applyFill="1" applyBorder="1" applyAlignment="1">
      <alignment horizontal="center"/>
    </xf>
    <xf numFmtId="0" fontId="48" fillId="13" borderId="29" xfId="0" applyFont="1" applyFill="1" applyBorder="1" applyAlignment="1">
      <alignment horizontal="center"/>
    </xf>
    <xf numFmtId="0" fontId="48" fillId="13" borderId="34" xfId="0" applyFont="1" applyFill="1" applyBorder="1" applyAlignment="1">
      <alignment horizontal="center"/>
    </xf>
    <xf numFmtId="0" fontId="47" fillId="13" borderId="40" xfId="0" applyFont="1" applyFill="1" applyBorder="1" applyAlignment="1">
      <alignment horizontal="center"/>
    </xf>
    <xf numFmtId="0" fontId="47" fillId="13" borderId="29" xfId="0" applyFont="1" applyFill="1" applyBorder="1" applyAlignment="1">
      <alignment horizontal="center"/>
    </xf>
    <xf numFmtId="0" fontId="48" fillId="13" borderId="47" xfId="0" applyFont="1" applyFill="1" applyBorder="1" applyAlignment="1">
      <alignment horizontal="center"/>
    </xf>
    <xf numFmtId="0" fontId="48" fillId="13" borderId="40" xfId="0" applyFont="1" applyFill="1" applyBorder="1" applyAlignment="1">
      <alignment horizontal="center"/>
    </xf>
    <xf numFmtId="0" fontId="47" fillId="13" borderId="44" xfId="0" applyFont="1" applyFill="1" applyBorder="1" applyAlignment="1">
      <alignment horizontal="center"/>
    </xf>
    <xf numFmtId="0" fontId="48" fillId="13" borderId="43" xfId="0" applyFont="1" applyFill="1" applyBorder="1" applyAlignment="1">
      <alignment horizontal="center"/>
    </xf>
    <xf numFmtId="0" fontId="47" fillId="12" borderId="34" xfId="0" applyFont="1" applyFill="1" applyBorder="1" applyAlignment="1">
      <alignment horizontal="center"/>
    </xf>
    <xf numFmtId="0" fontId="48" fillId="12" borderId="40" xfId="0" applyFont="1" applyFill="1" applyBorder="1" applyAlignment="1">
      <alignment horizontal="center"/>
    </xf>
    <xf numFmtId="0" fontId="47" fillId="12" borderId="44" xfId="0" applyFont="1" applyFill="1" applyBorder="1" applyAlignment="1">
      <alignment horizontal="center"/>
    </xf>
    <xf numFmtId="0" fontId="48" fillId="12" borderId="43" xfId="0" applyFont="1" applyFill="1" applyBorder="1" applyAlignment="1">
      <alignment horizontal="center"/>
    </xf>
    <xf numFmtId="0" fontId="48" fillId="12" borderId="34" xfId="0" applyFont="1" applyFill="1" applyBorder="1" applyAlignment="1">
      <alignment horizontal="center"/>
    </xf>
    <xf numFmtId="0" fontId="47" fillId="12" borderId="40" xfId="0" applyFont="1" applyFill="1" applyBorder="1" applyAlignment="1">
      <alignment horizontal="center"/>
    </xf>
    <xf numFmtId="0" fontId="48" fillId="12" borderId="44" xfId="0" applyFont="1" applyFill="1" applyBorder="1" applyAlignment="1">
      <alignment horizontal="center"/>
    </xf>
    <xf numFmtId="0" fontId="47" fillId="12" borderId="43" xfId="0" applyFont="1" applyFill="1" applyBorder="1" applyAlignment="1">
      <alignment horizontal="center"/>
    </xf>
    <xf numFmtId="0" fontId="47" fillId="13" borderId="41" xfId="0" applyFont="1" applyFill="1" applyBorder="1" applyAlignment="1">
      <alignment horizontal="center"/>
    </xf>
    <xf numFmtId="0" fontId="47" fillId="8" borderId="45" xfId="0" applyFont="1" applyFill="1" applyBorder="1" applyAlignment="1">
      <alignment horizontal="center"/>
    </xf>
    <xf numFmtId="0" fontId="48" fillId="8" borderId="43" xfId="0" applyFont="1" applyFill="1" applyBorder="1" applyAlignment="1">
      <alignment horizontal="center"/>
    </xf>
    <xf numFmtId="0" fontId="47" fillId="2" borderId="43" xfId="0" applyFont="1" applyFill="1" applyBorder="1" applyAlignment="1">
      <alignment horizontal="center"/>
    </xf>
    <xf numFmtId="0" fontId="48" fillId="2" borderId="44" xfId="0" applyFont="1" applyFill="1" applyBorder="1" applyAlignment="1">
      <alignment horizontal="center"/>
    </xf>
    <xf numFmtId="0" fontId="47" fillId="13" borderId="47" xfId="0" applyFont="1" applyFill="1" applyBorder="1" applyAlignment="1">
      <alignment horizontal="center"/>
    </xf>
    <xf numFmtId="0" fontId="47" fillId="13" borderId="43" xfId="0" applyFont="1" applyFill="1" applyBorder="1" applyAlignment="1">
      <alignment horizontal="center"/>
    </xf>
    <xf numFmtId="0" fontId="48" fillId="13" borderId="44" xfId="0" applyFont="1" applyFill="1" applyBorder="1" applyAlignment="1">
      <alignment horizontal="center"/>
    </xf>
    <xf numFmtId="49" fontId="14" fillId="0" borderId="24" xfId="0" applyNumberFormat="1" applyFont="1" applyBorder="1" applyAlignment="1">
      <alignment horizontal="left"/>
    </xf>
    <xf numFmtId="0" fontId="47" fillId="8" borderId="29" xfId="0" applyFont="1" applyFill="1" applyBorder="1" applyAlignment="1">
      <alignment horizontal="center"/>
    </xf>
    <xf numFmtId="0" fontId="48" fillId="8" borderId="47" xfId="0" applyFont="1" applyFill="1" applyBorder="1" applyAlignment="1">
      <alignment horizontal="center"/>
    </xf>
    <xf numFmtId="0" fontId="49" fillId="0" borderId="0" xfId="0" applyFont="1" applyAlignment="1">
      <alignment horizontal="left"/>
    </xf>
    <xf numFmtId="0" fontId="49" fillId="0" borderId="18" xfId="0" applyFont="1" applyBorder="1" applyAlignment="1">
      <alignment horizontal="left"/>
    </xf>
    <xf numFmtId="49" fontId="49" fillId="0" borderId="18" xfId="0" applyNumberFormat="1" applyFont="1" applyBorder="1" applyAlignment="1">
      <alignment horizontal="left"/>
    </xf>
    <xf numFmtId="0" fontId="49" fillId="0" borderId="36" xfId="0" applyFont="1" applyBorder="1" applyAlignment="1">
      <alignment horizontal="left"/>
    </xf>
    <xf numFmtId="49" fontId="49" fillId="0" borderId="36" xfId="0" applyNumberFormat="1" applyFont="1" applyBorder="1" applyAlignment="1">
      <alignment horizontal="left"/>
    </xf>
    <xf numFmtId="0" fontId="49" fillId="0" borderId="24" xfId="0" applyFont="1" applyBorder="1" applyAlignment="1">
      <alignment horizontal="left"/>
    </xf>
    <xf numFmtId="0" fontId="49" fillId="0" borderId="37" xfId="0" applyFont="1" applyBorder="1" applyAlignment="1">
      <alignment horizontal="left"/>
    </xf>
    <xf numFmtId="0" fontId="49" fillId="0" borderId="38" xfId="0" applyFont="1" applyBorder="1" applyAlignment="1">
      <alignment horizontal="left"/>
    </xf>
    <xf numFmtId="0" fontId="48" fillId="0" borderId="0" xfId="0" applyFont="1"/>
    <xf numFmtId="0" fontId="48" fillId="2" borderId="45" xfId="0" applyFont="1" applyFill="1" applyBorder="1" applyAlignment="1">
      <alignment horizontal="center"/>
    </xf>
    <xf numFmtId="0" fontId="47" fillId="13" borderId="28" xfId="0" applyFont="1" applyFill="1" applyBorder="1" applyAlignment="1">
      <alignment horizontal="center"/>
    </xf>
    <xf numFmtId="0" fontId="48" fillId="13" borderId="45" xfId="0" applyFont="1" applyFill="1" applyBorder="1" applyAlignment="1">
      <alignment horizontal="center"/>
    </xf>
    <xf numFmtId="0" fontId="2" fillId="0" borderId="55" xfId="0" applyFont="1" applyBorder="1"/>
    <xf numFmtId="49" fontId="49" fillId="0" borderId="24" xfId="0" applyNumberFormat="1" applyFont="1" applyBorder="1" applyAlignment="1">
      <alignment horizontal="left"/>
    </xf>
    <xf numFmtId="0" fontId="47" fillId="2" borderId="45" xfId="0" applyFont="1" applyFill="1" applyBorder="1" applyAlignment="1">
      <alignment horizontal="center"/>
    </xf>
    <xf numFmtId="49" fontId="50" fillId="0" borderId="18" xfId="0" applyNumberFormat="1" applyFont="1" applyBorder="1" applyAlignment="1">
      <alignment horizontal="left"/>
    </xf>
    <xf numFmtId="0" fontId="50" fillId="0" borderId="24" xfId="0" applyFont="1" applyBorder="1" applyAlignment="1">
      <alignment horizontal="left"/>
    </xf>
    <xf numFmtId="0" fontId="47" fillId="12" borderId="47" xfId="0" applyFont="1" applyFill="1" applyBorder="1" applyAlignment="1">
      <alignment horizontal="center"/>
    </xf>
    <xf numFmtId="0" fontId="48" fillId="12" borderId="29" xfId="0" applyFont="1" applyFill="1" applyBorder="1" applyAlignment="1">
      <alignment horizontal="center"/>
    </xf>
    <xf numFmtId="0" fontId="47" fillId="12" borderId="29" xfId="0" applyFont="1" applyFill="1" applyBorder="1" applyAlignment="1">
      <alignment horizontal="center"/>
    </xf>
    <xf numFmtId="0" fontId="48" fillId="12" borderId="47" xfId="0" applyFont="1" applyFill="1" applyBorder="1" applyAlignment="1">
      <alignment horizontal="center"/>
    </xf>
    <xf numFmtId="0" fontId="48" fillId="8" borderId="46" xfId="0" applyFont="1" applyFill="1" applyBorder="1" applyAlignment="1">
      <alignment horizontal="center"/>
    </xf>
    <xf numFmtId="0" fontId="47" fillId="8" borderId="44" xfId="0" applyFont="1" applyFill="1" applyBorder="1" applyAlignment="1">
      <alignment horizontal="center"/>
    </xf>
    <xf numFmtId="0" fontId="47" fillId="2" borderId="46" xfId="0" applyFont="1" applyFill="1" applyBorder="1" applyAlignment="1">
      <alignment horizontal="center"/>
    </xf>
    <xf numFmtId="0" fontId="15" fillId="0" borderId="55" xfId="0" applyFont="1" applyBorder="1"/>
    <xf numFmtId="0" fontId="48" fillId="13" borderId="46" xfId="0" applyFont="1" applyFill="1" applyBorder="1" applyAlignment="1">
      <alignment horizontal="center"/>
    </xf>
    <xf numFmtId="0" fontId="48" fillId="12" borderId="45" xfId="0" applyFont="1" applyFill="1" applyBorder="1" applyAlignment="1">
      <alignment horizontal="center"/>
    </xf>
    <xf numFmtId="0" fontId="47" fillId="12" borderId="45" xfId="0" applyFont="1" applyFill="1" applyBorder="1" applyAlignment="1">
      <alignment horizontal="center"/>
    </xf>
    <xf numFmtId="0" fontId="48" fillId="12" borderId="46" xfId="0" applyFont="1" applyFill="1" applyBorder="1" applyAlignment="1">
      <alignment horizontal="center"/>
    </xf>
    <xf numFmtId="0" fontId="47" fillId="12" borderId="46" xfId="0" applyFont="1" applyFill="1" applyBorder="1" applyAlignment="1">
      <alignment horizontal="center"/>
    </xf>
    <xf numFmtId="0" fontId="50" fillId="0" borderId="36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47" fillId="13" borderId="46" xfId="0" applyFont="1" applyFill="1" applyBorder="1" applyAlignment="1">
      <alignment horizontal="center"/>
    </xf>
    <xf numFmtId="0" fontId="14" fillId="0" borderId="25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18" xfId="0" applyFont="1" applyBorder="1" applyAlignment="1">
      <alignment horizontal="left"/>
    </xf>
    <xf numFmtId="164" fontId="15" fillId="0" borderId="54" xfId="0" applyNumberFormat="1" applyFont="1" applyBorder="1"/>
    <xf numFmtId="0" fontId="31" fillId="0" borderId="31" xfId="0" applyFont="1" applyBorder="1"/>
    <xf numFmtId="0" fontId="50" fillId="0" borderId="18" xfId="0" applyFont="1" applyBorder="1"/>
    <xf numFmtId="49" fontId="34" fillId="0" borderId="18" xfId="0" applyNumberFormat="1" applyFont="1" applyBorder="1"/>
    <xf numFmtId="0" fontId="33" fillId="0" borderId="18" xfId="0" applyFont="1" applyBorder="1"/>
    <xf numFmtId="0" fontId="35" fillId="0" borderId="18" xfId="0" applyFont="1" applyBorder="1"/>
    <xf numFmtId="0" fontId="14" fillId="0" borderId="24" xfId="0" applyFont="1" applyBorder="1"/>
    <xf numFmtId="49" fontId="3" fillId="0" borderId="0" xfId="0" applyNumberFormat="1" applyFont="1" applyAlignment="1">
      <alignment horizontal="center"/>
    </xf>
    <xf numFmtId="0" fontId="48" fillId="2" borderId="46" xfId="0" applyFont="1" applyFill="1" applyBorder="1" applyAlignment="1">
      <alignment horizontal="center"/>
    </xf>
    <xf numFmtId="0" fontId="47" fillId="8" borderId="17" xfId="0" applyFont="1" applyFill="1" applyBorder="1" applyAlignment="1">
      <alignment horizontal="center"/>
    </xf>
    <xf numFmtId="0" fontId="48" fillId="8" borderId="27" xfId="0" applyFont="1" applyFill="1" applyBorder="1" applyAlignment="1">
      <alignment horizontal="center"/>
    </xf>
    <xf numFmtId="0" fontId="47" fillId="8" borderId="27" xfId="0" applyFont="1" applyFill="1" applyBorder="1" applyAlignment="1">
      <alignment horizontal="center"/>
    </xf>
    <xf numFmtId="0" fontId="48" fillId="8" borderId="17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/>
    </xf>
    <xf numFmtId="0" fontId="48" fillId="2" borderId="26" xfId="0" applyFont="1" applyFill="1" applyBorder="1" applyAlignment="1">
      <alignment horizontal="center"/>
    </xf>
    <xf numFmtId="0" fontId="47" fillId="2" borderId="26" xfId="0" applyFont="1" applyFill="1" applyBorder="1" applyAlignment="1">
      <alignment horizontal="center"/>
    </xf>
    <xf numFmtId="0" fontId="48" fillId="2" borderId="2" xfId="0" applyFont="1" applyFill="1" applyBorder="1" applyAlignment="1">
      <alignment horizontal="center"/>
    </xf>
    <xf numFmtId="0" fontId="47" fillId="13" borderId="26" xfId="0" applyFont="1" applyFill="1" applyBorder="1" applyAlignment="1">
      <alignment horizontal="center"/>
    </xf>
    <xf numFmtId="0" fontId="48" fillId="13" borderId="2" xfId="0" applyFont="1" applyFill="1" applyBorder="1" applyAlignment="1">
      <alignment horizontal="center"/>
    </xf>
    <xf numFmtId="0" fontId="47" fillId="13" borderId="2" xfId="0" applyFont="1" applyFill="1" applyBorder="1" applyAlignment="1">
      <alignment horizontal="center"/>
    </xf>
    <xf numFmtId="0" fontId="48" fillId="13" borderId="26" xfId="0" applyFont="1" applyFill="1" applyBorder="1" applyAlignment="1">
      <alignment horizontal="center"/>
    </xf>
    <xf numFmtId="0" fontId="48" fillId="2" borderId="17" xfId="0" applyFont="1" applyFill="1" applyBorder="1" applyAlignment="1">
      <alignment horizontal="center"/>
    </xf>
    <xf numFmtId="0" fontId="47" fillId="8" borderId="26" xfId="0" applyFont="1" applyFill="1" applyBorder="1" applyAlignment="1">
      <alignment horizontal="center"/>
    </xf>
    <xf numFmtId="0" fontId="48" fillId="8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64" fontId="10" fillId="0" borderId="18" xfId="0" applyNumberFormat="1" applyFont="1" applyBorder="1"/>
    <xf numFmtId="0" fontId="52" fillId="0" borderId="0" xfId="0" applyFont="1"/>
    <xf numFmtId="0" fontId="47" fillId="0" borderId="0" xfId="0" applyFont="1"/>
    <xf numFmtId="0" fontId="53" fillId="0" borderId="0" xfId="0" applyFont="1"/>
    <xf numFmtId="2" fontId="47" fillId="0" borderId="0" xfId="0" applyNumberFormat="1" applyFont="1"/>
    <xf numFmtId="1" fontId="47" fillId="0" borderId="0" xfId="0" applyNumberFormat="1" applyFont="1"/>
    <xf numFmtId="165" fontId="47" fillId="0" borderId="0" xfId="0" applyNumberFormat="1" applyFont="1"/>
    <xf numFmtId="164" fontId="47" fillId="0" borderId="0" xfId="0" applyNumberFormat="1" applyFont="1"/>
    <xf numFmtId="0" fontId="54" fillId="0" borderId="0" xfId="0" applyFont="1"/>
    <xf numFmtId="164" fontId="54" fillId="0" borderId="0" xfId="0" applyNumberFormat="1" applyFont="1"/>
    <xf numFmtId="0" fontId="10" fillId="0" borderId="6" xfId="0" applyFont="1" applyBorder="1" applyAlignment="1">
      <alignment horizontal="center"/>
    </xf>
    <xf numFmtId="164" fontId="10" fillId="0" borderId="18" xfId="0" applyNumberFormat="1" applyFont="1" applyBorder="1" applyAlignment="1">
      <alignment horizontal="center"/>
    </xf>
    <xf numFmtId="164" fontId="10" fillId="0" borderId="24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164" fontId="55" fillId="0" borderId="24" xfId="0" applyNumberFormat="1" applyFont="1" applyBorder="1" applyAlignment="1">
      <alignment horizontal="center"/>
    </xf>
    <xf numFmtId="164" fontId="55" fillId="0" borderId="18" xfId="0" applyNumberFormat="1" applyFont="1" applyBorder="1" applyAlignment="1">
      <alignment horizontal="center"/>
    </xf>
    <xf numFmtId="165" fontId="10" fillId="0" borderId="18" xfId="0" applyNumberFormat="1" applyFont="1" applyBorder="1" applyAlignment="1">
      <alignment horizontal="center"/>
    </xf>
    <xf numFmtId="165" fontId="55" fillId="0" borderId="18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2" fontId="55" fillId="0" borderId="19" xfId="0" applyNumberFormat="1" applyFont="1" applyBorder="1" applyAlignment="1">
      <alignment horizontal="center"/>
    </xf>
    <xf numFmtId="0" fontId="10" fillId="0" borderId="18" xfId="0" applyFont="1" applyBorder="1" applyAlignment="1">
      <alignment horizontal="left"/>
    </xf>
    <xf numFmtId="2" fontId="10" fillId="0" borderId="18" xfId="0" applyNumberFormat="1" applyFont="1" applyBorder="1"/>
    <xf numFmtId="2" fontId="55" fillId="0" borderId="18" xfId="0" applyNumberFormat="1" applyFont="1" applyBorder="1"/>
    <xf numFmtId="2" fontId="53" fillId="0" borderId="0" xfId="0" applyNumberFormat="1" applyFont="1"/>
    <xf numFmtId="2" fontId="54" fillId="0" borderId="0" xfId="0" applyNumberFormat="1" applyFont="1"/>
    <xf numFmtId="2" fontId="55" fillId="0" borderId="24" xfId="0" applyNumberFormat="1" applyFont="1" applyBorder="1"/>
    <xf numFmtId="0" fontId="55" fillId="0" borderId="12" xfId="0" applyFont="1" applyBorder="1"/>
    <xf numFmtId="0" fontId="55" fillId="0" borderId="18" xfId="0" applyFont="1" applyBorder="1"/>
    <xf numFmtId="165" fontId="54" fillId="0" borderId="0" xfId="0" applyNumberFormat="1" applyFont="1"/>
    <xf numFmtId="1" fontId="54" fillId="0" borderId="0" xfId="0" applyNumberFormat="1" applyFont="1"/>
    <xf numFmtId="2" fontId="10" fillId="0" borderId="17" xfId="0" applyNumberFormat="1" applyFont="1" applyBorder="1"/>
    <xf numFmtId="2" fontId="55" fillId="0" borderId="19" xfId="0" applyNumberFormat="1" applyFont="1" applyBorder="1"/>
    <xf numFmtId="0" fontId="55" fillId="0" borderId="19" xfId="0" applyFont="1" applyBorder="1"/>
    <xf numFmtId="0" fontId="57" fillId="0" borderId="24" xfId="0" applyFont="1" applyBorder="1" applyAlignment="1">
      <alignment horizontal="left"/>
    </xf>
    <xf numFmtId="49" fontId="57" fillId="0" borderId="24" xfId="0" applyNumberFormat="1" applyFont="1" applyBorder="1" applyAlignment="1">
      <alignment horizontal="left"/>
    </xf>
    <xf numFmtId="0" fontId="45" fillId="0" borderId="9" xfId="0" applyFont="1" applyBorder="1" applyAlignment="1">
      <alignment horizontal="center"/>
    </xf>
    <xf numFmtId="0" fontId="45" fillId="0" borderId="8" xfId="0" applyFont="1" applyBorder="1" applyAlignment="1">
      <alignment horizontal="center"/>
    </xf>
    <xf numFmtId="0" fontId="45" fillId="0" borderId="7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5" fillId="0" borderId="6" xfId="0" applyFont="1" applyBorder="1" applyAlignment="1">
      <alignment horizontal="center"/>
    </xf>
    <xf numFmtId="0" fontId="45" fillId="0" borderId="5" xfId="0" applyFont="1" applyBorder="1" applyAlignment="1">
      <alignment horizontal="center"/>
    </xf>
    <xf numFmtId="0" fontId="45" fillId="0" borderId="4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51" fillId="0" borderId="24" xfId="0" applyFont="1" applyBorder="1" applyAlignment="1">
      <alignment horizontal="left"/>
    </xf>
    <xf numFmtId="0" fontId="46" fillId="0" borderId="6" xfId="0" applyFont="1" applyBorder="1" applyAlignment="1">
      <alignment horizontal="center"/>
    </xf>
    <xf numFmtId="0" fontId="46" fillId="0" borderId="5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49" fontId="40" fillId="0" borderId="4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45" fillId="0" borderId="4" xfId="0" applyNumberFormat="1" applyFont="1" applyBorder="1" applyAlignment="1">
      <alignment horizontal="center"/>
    </xf>
    <xf numFmtId="49" fontId="45" fillId="0" borderId="7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0" fillId="0" borderId="9" xfId="0" applyFont="1" applyBorder="1"/>
    <xf numFmtId="2" fontId="48" fillId="0" borderId="0" xfId="0" applyNumberFormat="1" applyFont="1"/>
    <xf numFmtId="2" fontId="1" fillId="0" borderId="0" xfId="0" applyNumberFormat="1" applyFont="1"/>
    <xf numFmtId="1" fontId="10" fillId="0" borderId="18" xfId="0" applyNumberFormat="1" applyFont="1" applyBorder="1"/>
    <xf numFmtId="1" fontId="55" fillId="0" borderId="19" xfId="0" applyNumberFormat="1" applyFont="1" applyBorder="1"/>
    <xf numFmtId="2" fontId="2" fillId="0" borderId="56" xfId="0" applyNumberFormat="1" applyFont="1" applyBorder="1"/>
    <xf numFmtId="2" fontId="2" fillId="20" borderId="56" xfId="0" applyNumberFormat="1" applyFont="1" applyFill="1" applyBorder="1"/>
    <xf numFmtId="2" fontId="2" fillId="20" borderId="19" xfId="0" applyNumberFormat="1" applyFont="1" applyFill="1" applyBorder="1"/>
    <xf numFmtId="0" fontId="2" fillId="0" borderId="56" xfId="0" applyFont="1" applyBorder="1"/>
    <xf numFmtId="0" fontId="2" fillId="20" borderId="56" xfId="0" applyFont="1" applyFill="1" applyBorder="1"/>
    <xf numFmtId="2" fontId="2" fillId="0" borderId="59" xfId="0" applyNumberFormat="1" applyFont="1" applyBorder="1"/>
    <xf numFmtId="2" fontId="2" fillId="0" borderId="57" xfId="0" applyNumberFormat="1" applyFont="1" applyBorder="1"/>
    <xf numFmtId="2" fontId="2" fillId="20" borderId="57" xfId="0" applyNumberFormat="1" applyFont="1" applyFill="1" applyBorder="1"/>
    <xf numFmtId="2" fontId="2" fillId="0" borderId="58" xfId="0" applyNumberFormat="1" applyFont="1" applyBorder="1"/>
    <xf numFmtId="0" fontId="24" fillId="0" borderId="0" xfId="0" applyFont="1"/>
    <xf numFmtId="0" fontId="10" fillId="0" borderId="9" xfId="0" applyFont="1" applyBorder="1"/>
    <xf numFmtId="0" fontId="64" fillId="13" borderId="44" xfId="0" applyFont="1" applyFill="1" applyBorder="1" applyAlignment="1">
      <alignment horizontal="center"/>
    </xf>
    <xf numFmtId="0" fontId="64" fillId="13" borderId="46" xfId="0" applyFont="1" applyFill="1" applyBorder="1" applyAlignment="1">
      <alignment horizontal="center"/>
    </xf>
    <xf numFmtId="0" fontId="64" fillId="2" borderId="43" xfId="0" applyFont="1" applyFill="1" applyBorder="1" applyAlignment="1">
      <alignment horizontal="center"/>
    </xf>
    <xf numFmtId="0" fontId="64" fillId="2" borderId="34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65" fontId="10" fillId="0" borderId="0" xfId="0" applyNumberFormat="1" applyFont="1"/>
    <xf numFmtId="2" fontId="10" fillId="0" borderId="0" xfId="0" applyNumberFormat="1" applyFont="1"/>
    <xf numFmtId="165" fontId="2" fillId="0" borderId="0" xfId="0" applyNumberFormat="1" applyFont="1"/>
    <xf numFmtId="165" fontId="55" fillId="0" borderId="0" xfId="0" applyNumberFormat="1" applyFont="1"/>
    <xf numFmtId="0" fontId="55" fillId="0" borderId="0" xfId="0" applyFont="1"/>
    <xf numFmtId="0" fontId="15" fillId="0" borderId="9" xfId="0" applyFont="1" applyBorder="1"/>
    <xf numFmtId="0" fontId="2" fillId="0" borderId="0" xfId="0" applyFont="1" applyAlignment="1">
      <alignment horizontal="right"/>
    </xf>
    <xf numFmtId="0" fontId="15" fillId="0" borderId="20" xfId="0" applyFont="1" applyBorder="1"/>
    <xf numFmtId="0" fontId="15" fillId="0" borderId="16" xfId="0" applyFont="1" applyBorder="1"/>
    <xf numFmtId="0" fontId="56" fillId="0" borderId="33" xfId="0" applyFont="1" applyBorder="1"/>
    <xf numFmtId="2" fontId="55" fillId="0" borderId="0" xfId="0" applyNumberFormat="1" applyFont="1"/>
    <xf numFmtId="0" fontId="55" fillId="0" borderId="0" xfId="0" applyFont="1" applyAlignment="1">
      <alignment horizontal="right"/>
    </xf>
    <xf numFmtId="164" fontId="10" fillId="0" borderId="0" xfId="0" applyNumberFormat="1" applyFont="1"/>
    <xf numFmtId="1" fontId="10" fillId="0" borderId="0" xfId="0" applyNumberFormat="1" applyFont="1"/>
    <xf numFmtId="0" fontId="10" fillId="0" borderId="71" xfId="0" applyFont="1" applyBorder="1"/>
    <xf numFmtId="0" fontId="2" fillId="0" borderId="71" xfId="0" applyFont="1" applyBorder="1"/>
    <xf numFmtId="164" fontId="2" fillId="0" borderId="65" xfId="0" applyNumberFormat="1" applyFont="1" applyBorder="1"/>
    <xf numFmtId="164" fontId="2" fillId="0" borderId="72" xfId="0" applyNumberFormat="1" applyFont="1" applyBorder="1"/>
    <xf numFmtId="0" fontId="2" fillId="0" borderId="65" xfId="0" applyFont="1" applyBorder="1"/>
    <xf numFmtId="1" fontId="2" fillId="0" borderId="65" xfId="0" applyNumberFormat="1" applyFont="1" applyBorder="1"/>
    <xf numFmtId="1" fontId="10" fillId="0" borderId="65" xfId="0" applyNumberFormat="1" applyFont="1" applyBorder="1"/>
    <xf numFmtId="1" fontId="2" fillId="0" borderId="72" xfId="0" applyNumberFormat="1" applyFont="1" applyBorder="1"/>
    <xf numFmtId="0" fontId="2" fillId="0" borderId="72" xfId="0" applyFont="1" applyBorder="1"/>
    <xf numFmtId="0" fontId="9" fillId="0" borderId="66" xfId="0" applyFont="1" applyBorder="1"/>
    <xf numFmtId="0" fontId="9" fillId="0" borderId="65" xfId="0" applyFont="1" applyBorder="1"/>
    <xf numFmtId="0" fontId="9" fillId="0" borderId="67" xfId="0" applyFont="1" applyBorder="1"/>
    <xf numFmtId="0" fontId="40" fillId="0" borderId="73" xfId="0" applyFont="1" applyBorder="1"/>
    <xf numFmtId="0" fontId="40" fillId="0" borderId="74" xfId="0" applyFont="1" applyBorder="1"/>
    <xf numFmtId="0" fontId="2" fillId="0" borderId="75" xfId="0" applyFont="1" applyBorder="1"/>
    <xf numFmtId="164" fontId="2" fillId="0" borderId="76" xfId="0" applyNumberFormat="1" applyFont="1" applyBorder="1"/>
    <xf numFmtId="0" fontId="2" fillId="0" borderId="76" xfId="0" applyFont="1" applyBorder="1"/>
    <xf numFmtId="0" fontId="2" fillId="0" borderId="77" xfId="0" applyFont="1" applyBorder="1"/>
    <xf numFmtId="0" fontId="2" fillId="0" borderId="78" xfId="0" applyFont="1" applyBorder="1"/>
    <xf numFmtId="0" fontId="2" fillId="0" borderId="79" xfId="0" applyFont="1" applyBorder="1"/>
    <xf numFmtId="0" fontId="2" fillId="0" borderId="80" xfId="0" applyFont="1" applyBorder="1"/>
    <xf numFmtId="0" fontId="2" fillId="6" borderId="61" xfId="0" applyFont="1" applyFill="1" applyBorder="1"/>
    <xf numFmtId="0" fontId="2" fillId="6" borderId="70" xfId="0" applyFont="1" applyFill="1" applyBorder="1"/>
    <xf numFmtId="0" fontId="2" fillId="6" borderId="81" xfId="0" applyFont="1" applyFill="1" applyBorder="1"/>
    <xf numFmtId="164" fontId="11" fillId="6" borderId="62" xfId="0" applyNumberFormat="1" applyFont="1" applyFill="1" applyBorder="1"/>
    <xf numFmtId="164" fontId="11" fillId="6" borderId="70" xfId="0" applyNumberFormat="1" applyFont="1" applyFill="1" applyBorder="1"/>
    <xf numFmtId="0" fontId="11" fillId="6" borderId="62" xfId="0" applyFont="1" applyFill="1" applyBorder="1"/>
    <xf numFmtId="1" fontId="11" fillId="6" borderId="62" xfId="0" applyNumberFormat="1" applyFont="1" applyFill="1" applyBorder="1"/>
    <xf numFmtId="1" fontId="11" fillId="6" borderId="70" xfId="0" applyNumberFormat="1" applyFont="1" applyFill="1" applyBorder="1"/>
    <xf numFmtId="0" fontId="11" fillId="6" borderId="70" xfId="0" applyFont="1" applyFill="1" applyBorder="1"/>
    <xf numFmtId="0" fontId="2" fillId="6" borderId="82" xfId="0" applyFont="1" applyFill="1" applyBorder="1"/>
    <xf numFmtId="0" fontId="10" fillId="0" borderId="65" xfId="0" applyFont="1" applyBorder="1"/>
    <xf numFmtId="2" fontId="10" fillId="0" borderId="71" xfId="0" applyNumberFormat="1" applyFont="1" applyBorder="1"/>
    <xf numFmtId="0" fontId="10" fillId="0" borderId="84" xfId="0" applyFont="1" applyBorder="1"/>
    <xf numFmtId="165" fontId="2" fillId="0" borderId="65" xfId="0" applyNumberFormat="1" applyFont="1" applyBorder="1"/>
    <xf numFmtId="2" fontId="2" fillId="0" borderId="72" xfId="0" applyNumberFormat="1" applyFont="1" applyBorder="1"/>
    <xf numFmtId="0" fontId="10" fillId="0" borderId="72" xfId="0" applyFont="1" applyBorder="1"/>
    <xf numFmtId="0" fontId="2" fillId="0" borderId="0" xfId="0" applyFont="1" applyAlignment="1">
      <alignment horizontal="left"/>
    </xf>
    <xf numFmtId="0" fontId="40" fillId="0" borderId="66" xfId="0" applyFont="1" applyBorder="1"/>
    <xf numFmtId="0" fontId="40" fillId="0" borderId="85" xfId="0" applyFont="1" applyBorder="1"/>
    <xf numFmtId="0" fontId="2" fillId="0" borderId="87" xfId="0" applyFont="1" applyBorder="1"/>
    <xf numFmtId="165" fontId="2" fillId="0" borderId="76" xfId="0" applyNumberFormat="1" applyFont="1" applyBorder="1"/>
    <xf numFmtId="2" fontId="2" fillId="0" borderId="77" xfId="0" applyNumberFormat="1" applyFont="1" applyBorder="1"/>
    <xf numFmtId="0" fontId="2" fillId="6" borderId="62" xfId="0" applyFont="1" applyFill="1" applyBorder="1"/>
    <xf numFmtId="2" fontId="58" fillId="6" borderId="81" xfId="0" applyNumberFormat="1" applyFont="1" applyFill="1" applyBorder="1"/>
    <xf numFmtId="0" fontId="11" fillId="6" borderId="88" xfId="0" applyFont="1" applyFill="1" applyBorder="1"/>
    <xf numFmtId="165" fontId="11" fillId="6" borderId="62" xfId="0" applyNumberFormat="1" applyFont="1" applyFill="1" applyBorder="1"/>
    <xf numFmtId="1" fontId="58" fillId="6" borderId="62" xfId="0" applyNumberFormat="1" applyFont="1" applyFill="1" applyBorder="1"/>
    <xf numFmtId="2" fontId="11" fillId="6" borderId="70" xfId="0" applyNumberFormat="1" applyFont="1" applyFill="1" applyBorder="1"/>
    <xf numFmtId="0" fontId="12" fillId="6" borderId="88" xfId="0" applyFont="1" applyFill="1" applyBorder="1"/>
    <xf numFmtId="1" fontId="12" fillId="6" borderId="62" xfId="0" applyNumberFormat="1" applyFont="1" applyFill="1" applyBorder="1"/>
    <xf numFmtId="0" fontId="12" fillId="6" borderId="62" xfId="0" applyFont="1" applyFill="1" applyBorder="1"/>
    <xf numFmtId="0" fontId="12" fillId="6" borderId="70" xfId="0" applyFont="1" applyFill="1" applyBorder="1"/>
    <xf numFmtId="0" fontId="2" fillId="6" borderId="64" xfId="0" applyFont="1" applyFill="1" applyBorder="1"/>
    <xf numFmtId="0" fontId="2" fillId="0" borderId="73" xfId="0" applyFont="1" applyBorder="1"/>
    <xf numFmtId="0" fontId="2" fillId="0" borderId="74" xfId="0" applyFont="1" applyBorder="1"/>
    <xf numFmtId="0" fontId="2" fillId="5" borderId="61" xfId="0" applyFont="1" applyFill="1" applyBorder="1"/>
    <xf numFmtId="0" fontId="2" fillId="5" borderId="70" xfId="0" applyFont="1" applyFill="1" applyBorder="1"/>
    <xf numFmtId="0" fontId="2" fillId="5" borderId="81" xfId="0" applyFont="1" applyFill="1" applyBorder="1"/>
    <xf numFmtId="164" fontId="60" fillId="5" borderId="62" xfId="0" applyNumberFormat="1" applyFont="1" applyFill="1" applyBorder="1"/>
    <xf numFmtId="164" fontId="11" fillId="5" borderId="62" xfId="0" applyNumberFormat="1" applyFont="1" applyFill="1" applyBorder="1"/>
    <xf numFmtId="164" fontId="11" fillId="5" borderId="70" xfId="0" applyNumberFormat="1" applyFont="1" applyFill="1" applyBorder="1"/>
    <xf numFmtId="0" fontId="11" fillId="5" borderId="62" xfId="0" applyFont="1" applyFill="1" applyBorder="1"/>
    <xf numFmtId="0" fontId="58" fillId="5" borderId="62" xfId="0" applyFont="1" applyFill="1" applyBorder="1"/>
    <xf numFmtId="0" fontId="11" fillId="5" borderId="70" xfId="0" applyFont="1" applyFill="1" applyBorder="1"/>
    <xf numFmtId="0" fontId="11" fillId="5" borderId="88" xfId="0" applyFont="1" applyFill="1" applyBorder="1"/>
    <xf numFmtId="0" fontId="2" fillId="5" borderId="64" xfId="0" applyFont="1" applyFill="1" applyBorder="1"/>
    <xf numFmtId="2" fontId="2" fillId="0" borderId="71" xfId="0" applyNumberFormat="1" applyFont="1" applyBorder="1"/>
    <xf numFmtId="0" fontId="2" fillId="5" borderId="62" xfId="0" applyFont="1" applyFill="1" applyBorder="1"/>
    <xf numFmtId="2" fontId="11" fillId="5" borderId="81" xfId="0" applyNumberFormat="1" applyFont="1" applyFill="1" applyBorder="1"/>
    <xf numFmtId="165" fontId="11" fillId="5" borderId="62" xfId="0" applyNumberFormat="1" applyFont="1" applyFill="1" applyBorder="1"/>
    <xf numFmtId="2" fontId="11" fillId="5" borderId="62" xfId="0" applyNumberFormat="1" applyFont="1" applyFill="1" applyBorder="1"/>
    <xf numFmtId="0" fontId="61" fillId="5" borderId="88" xfId="0" applyFont="1" applyFill="1" applyBorder="1"/>
    <xf numFmtId="1" fontId="12" fillId="5" borderId="62" xfId="0" applyNumberFormat="1" applyFont="1" applyFill="1" applyBorder="1"/>
    <xf numFmtId="0" fontId="12" fillId="5" borderId="62" xfId="0" applyFont="1" applyFill="1" applyBorder="1"/>
    <xf numFmtId="0" fontId="12" fillId="5" borderId="70" xfId="0" applyFont="1" applyFill="1" applyBorder="1"/>
    <xf numFmtId="164" fontId="10" fillId="0" borderId="65" xfId="0" applyNumberFormat="1" applyFont="1" applyBorder="1"/>
    <xf numFmtId="0" fontId="2" fillId="0" borderId="84" xfId="0" applyFont="1" applyBorder="1"/>
    <xf numFmtId="0" fontId="2" fillId="7" borderId="61" xfId="0" applyFont="1" applyFill="1" applyBorder="1"/>
    <xf numFmtId="0" fontId="2" fillId="7" borderId="62" xfId="0" applyFont="1" applyFill="1" applyBorder="1"/>
    <xf numFmtId="0" fontId="2" fillId="7" borderId="81" xfId="0" applyFont="1" applyFill="1" applyBorder="1"/>
    <xf numFmtId="164" fontId="11" fillId="7" borderId="62" xfId="0" applyNumberFormat="1" applyFont="1" applyFill="1" applyBorder="1"/>
    <xf numFmtId="0" fontId="11" fillId="7" borderId="88" xfId="0" applyFont="1" applyFill="1" applyBorder="1"/>
    <xf numFmtId="0" fontId="11" fillId="7" borderId="62" xfId="0" applyFont="1" applyFill="1" applyBorder="1"/>
    <xf numFmtId="0" fontId="11" fillId="7" borderId="70" xfId="0" applyFont="1" applyFill="1" applyBorder="1"/>
    <xf numFmtId="0" fontId="2" fillId="7" borderId="64" xfId="0" applyFont="1" applyFill="1" applyBorder="1"/>
    <xf numFmtId="0" fontId="2" fillId="0" borderId="72" xfId="0" applyFont="1" applyBorder="1" applyAlignment="1">
      <alignment horizontal="left"/>
    </xf>
    <xf numFmtId="2" fontId="11" fillId="7" borderId="81" xfId="0" applyNumberFormat="1" applyFont="1" applyFill="1" applyBorder="1"/>
    <xf numFmtId="165" fontId="11" fillId="7" borderId="62" xfId="0" applyNumberFormat="1" applyFont="1" applyFill="1" applyBorder="1"/>
    <xf numFmtId="2" fontId="11" fillId="7" borderId="70" xfId="0" applyNumberFormat="1" applyFont="1" applyFill="1" applyBorder="1"/>
    <xf numFmtId="0" fontId="12" fillId="7" borderId="62" xfId="0" applyFont="1" applyFill="1" applyBorder="1"/>
    <xf numFmtId="1" fontId="12" fillId="7" borderId="62" xfId="0" applyNumberFormat="1" applyFont="1" applyFill="1" applyBorder="1"/>
    <xf numFmtId="0" fontId="12" fillId="7" borderId="70" xfId="0" applyFont="1" applyFill="1" applyBorder="1"/>
    <xf numFmtId="2" fontId="11" fillId="5" borderId="70" xfId="0" applyNumberFormat="1" applyFont="1" applyFill="1" applyBorder="1"/>
    <xf numFmtId="0" fontId="12" fillId="5" borderId="88" xfId="0" applyFont="1" applyFill="1" applyBorder="1"/>
    <xf numFmtId="0" fontId="2" fillId="8" borderId="61" xfId="0" applyFont="1" applyFill="1" applyBorder="1"/>
    <xf numFmtId="0" fontId="2" fillId="8" borderId="70" xfId="0" applyFont="1" applyFill="1" applyBorder="1"/>
    <xf numFmtId="0" fontId="2" fillId="8" borderId="81" xfId="0" applyFont="1" applyFill="1" applyBorder="1"/>
    <xf numFmtId="164" fontId="11" fillId="8" borderId="62" xfId="0" applyNumberFormat="1" applyFont="1" applyFill="1" applyBorder="1"/>
    <xf numFmtId="164" fontId="11" fillId="8" borderId="70" xfId="0" applyNumberFormat="1" applyFont="1" applyFill="1" applyBorder="1"/>
    <xf numFmtId="0" fontId="11" fillId="8" borderId="62" xfId="0" applyFont="1" applyFill="1" applyBorder="1"/>
    <xf numFmtId="0" fontId="11" fillId="8" borderId="70" xfId="0" applyFont="1" applyFill="1" applyBorder="1"/>
    <xf numFmtId="0" fontId="2" fillId="8" borderId="64" xfId="0" applyFont="1" applyFill="1" applyBorder="1"/>
    <xf numFmtId="2" fontId="11" fillId="8" borderId="70" xfId="0" applyNumberFormat="1" applyFont="1" applyFill="1" applyBorder="1"/>
    <xf numFmtId="165" fontId="11" fillId="8" borderId="62" xfId="0" applyNumberFormat="1" applyFont="1" applyFill="1" applyBorder="1"/>
    <xf numFmtId="0" fontId="12" fillId="8" borderId="88" xfId="0" applyFont="1" applyFill="1" applyBorder="1"/>
    <xf numFmtId="1" fontId="12" fillId="8" borderId="62" xfId="0" applyNumberFormat="1" applyFont="1" applyFill="1" applyBorder="1"/>
    <xf numFmtId="0" fontId="12" fillId="8" borderId="62" xfId="0" applyFont="1" applyFill="1" applyBorder="1"/>
    <xf numFmtId="0" fontId="12" fillId="8" borderId="70" xfId="0" applyFont="1" applyFill="1" applyBorder="1"/>
    <xf numFmtId="1" fontId="55" fillId="0" borderId="0" xfId="0" applyNumberFormat="1" applyFont="1"/>
    <xf numFmtId="164" fontId="2" fillId="0" borderId="84" xfId="0" applyNumberFormat="1" applyFont="1" applyBorder="1"/>
    <xf numFmtId="1" fontId="55" fillId="0" borderId="65" xfId="0" applyNumberFormat="1" applyFont="1" applyBorder="1"/>
    <xf numFmtId="0" fontId="55" fillId="0" borderId="65" xfId="0" applyFont="1" applyBorder="1"/>
    <xf numFmtId="2" fontId="11" fillId="6" borderId="81" xfId="0" applyNumberFormat="1" applyFont="1" applyFill="1" applyBorder="1"/>
    <xf numFmtId="164" fontId="2" fillId="0" borderId="87" xfId="0" applyNumberFormat="1" applyFont="1" applyBorder="1"/>
    <xf numFmtId="0" fontId="2" fillId="0" borderId="66" xfId="0" applyFont="1" applyBorder="1"/>
    <xf numFmtId="0" fontId="2" fillId="0" borderId="85" xfId="0" applyFont="1" applyBorder="1"/>
    <xf numFmtId="0" fontId="2" fillId="0" borderId="83" xfId="0" applyFont="1" applyBorder="1"/>
    <xf numFmtId="0" fontId="2" fillId="0" borderId="86" xfId="0" applyFont="1" applyBorder="1"/>
    <xf numFmtId="0" fontId="61" fillId="6" borderId="70" xfId="0" applyFont="1" applyFill="1" applyBorder="1"/>
    <xf numFmtId="164" fontId="58" fillId="5" borderId="62" xfId="0" applyNumberFormat="1" applyFont="1" applyFill="1" applyBorder="1"/>
    <xf numFmtId="0" fontId="60" fillId="5" borderId="62" xfId="0" applyFont="1" applyFill="1" applyBorder="1"/>
    <xf numFmtId="0" fontId="58" fillId="5" borderId="88" xfId="0" applyFont="1" applyFill="1" applyBorder="1"/>
    <xf numFmtId="0" fontId="10" fillId="0" borderId="73" xfId="0" applyFont="1" applyBorder="1"/>
    <xf numFmtId="0" fontId="10" fillId="0" borderId="74" xfId="0" applyFont="1" applyBorder="1"/>
    <xf numFmtId="2" fontId="60" fillId="7" borderId="81" xfId="0" applyNumberFormat="1" applyFont="1" applyFill="1" applyBorder="1"/>
    <xf numFmtId="0" fontId="60" fillId="7" borderId="62" xfId="0" applyFont="1" applyFill="1" applyBorder="1"/>
    <xf numFmtId="0" fontId="62" fillId="7" borderId="62" xfId="0" applyFont="1" applyFill="1" applyBorder="1"/>
    <xf numFmtId="0" fontId="60" fillId="8" borderId="70" xfId="0" applyFont="1" applyFill="1" applyBorder="1"/>
    <xf numFmtId="1" fontId="61" fillId="8" borderId="62" xfId="0" applyNumberFormat="1" applyFont="1" applyFill="1" applyBorder="1"/>
    <xf numFmtId="0" fontId="62" fillId="8" borderId="62" xfId="0" applyFont="1" applyFill="1" applyBorder="1"/>
    <xf numFmtId="0" fontId="61" fillId="6" borderId="88" xfId="0" applyFont="1" applyFill="1" applyBorder="1"/>
    <xf numFmtId="164" fontId="55" fillId="0" borderId="0" xfId="0" applyNumberFormat="1" applyFont="1"/>
    <xf numFmtId="0" fontId="58" fillId="8" borderId="70" xfId="0" applyFont="1" applyFill="1" applyBorder="1"/>
    <xf numFmtId="2" fontId="10" fillId="0" borderId="72" xfId="0" applyNumberFormat="1" applyFont="1" applyBorder="1"/>
    <xf numFmtId="0" fontId="9" fillId="0" borderId="66" xfId="0" applyFont="1" applyBorder="1" applyAlignment="1">
      <alignment horizontal="left"/>
    </xf>
    <xf numFmtId="0" fontId="9" fillId="0" borderId="65" xfId="0" applyFont="1" applyBorder="1" applyAlignment="1">
      <alignment horizontal="left"/>
    </xf>
    <xf numFmtId="0" fontId="9" fillId="0" borderId="67" xfId="0" applyFont="1" applyBorder="1" applyAlignment="1">
      <alignment horizontal="left"/>
    </xf>
    <xf numFmtId="0" fontId="2" fillId="5" borderId="82" xfId="0" applyFont="1" applyFill="1" applyBorder="1"/>
    <xf numFmtId="0" fontId="11" fillId="5" borderId="61" xfId="0" applyFont="1" applyFill="1" applyBorder="1"/>
    <xf numFmtId="2" fontId="58" fillId="5" borderId="62" xfId="0" applyNumberFormat="1" applyFont="1" applyFill="1" applyBorder="1"/>
    <xf numFmtId="1" fontId="58" fillId="5" borderId="62" xfId="0" applyNumberFormat="1" applyFont="1" applyFill="1" applyBorder="1"/>
    <xf numFmtId="0" fontId="11" fillId="5" borderId="82" xfId="0" applyFont="1" applyFill="1" applyBorder="1"/>
    <xf numFmtId="164" fontId="11" fillId="7" borderId="70" xfId="0" applyNumberFormat="1" applyFont="1" applyFill="1" applyBorder="1"/>
    <xf numFmtId="0" fontId="2" fillId="7" borderId="70" xfId="0" applyFont="1" applyFill="1" applyBorder="1"/>
    <xf numFmtId="2" fontId="11" fillId="7" borderId="62" xfId="0" applyNumberFormat="1" applyFont="1" applyFill="1" applyBorder="1"/>
    <xf numFmtId="0" fontId="12" fillId="7" borderId="88" xfId="0" applyFont="1" applyFill="1" applyBorder="1"/>
    <xf numFmtId="0" fontId="58" fillId="5" borderId="70" xfId="0" applyFont="1" applyFill="1" applyBorder="1"/>
    <xf numFmtId="2" fontId="2" fillId="0" borderId="65" xfId="0" applyNumberFormat="1" applyFont="1" applyBorder="1"/>
    <xf numFmtId="2" fontId="11" fillId="8" borderId="81" xfId="0" applyNumberFormat="1" applyFont="1" applyFill="1" applyBorder="1"/>
    <xf numFmtId="2" fontId="11" fillId="8" borderId="62" xfId="0" applyNumberFormat="1" applyFont="1" applyFill="1" applyBorder="1"/>
    <xf numFmtId="0" fontId="2" fillId="8" borderId="82" xfId="0" applyFont="1" applyFill="1" applyBorder="1"/>
    <xf numFmtId="165" fontId="58" fillId="6" borderId="62" xfId="0" applyNumberFormat="1" applyFont="1" applyFill="1" applyBorder="1"/>
    <xf numFmtId="2" fontId="11" fillId="6" borderId="62" xfId="0" applyNumberFormat="1" applyFont="1" applyFill="1" applyBorder="1"/>
    <xf numFmtId="1" fontId="11" fillId="5" borderId="62" xfId="0" applyNumberFormat="1" applyFont="1" applyFill="1" applyBorder="1"/>
    <xf numFmtId="164" fontId="2" fillId="0" borderId="0" xfId="0" applyNumberFormat="1" applyFont="1" applyAlignment="1">
      <alignment horizontal="right"/>
    </xf>
    <xf numFmtId="0" fontId="2" fillId="0" borderId="71" xfId="0" applyFont="1" applyBorder="1" applyAlignment="1">
      <alignment horizontal="left"/>
    </xf>
    <xf numFmtId="164" fontId="2" fillId="0" borderId="65" xfId="0" applyNumberFormat="1" applyFont="1" applyBorder="1" applyAlignment="1">
      <alignment horizontal="right"/>
    </xf>
    <xf numFmtId="164" fontId="2" fillId="0" borderId="72" xfId="0" applyNumberFormat="1" applyFont="1" applyBorder="1" applyAlignment="1">
      <alignment horizontal="right"/>
    </xf>
    <xf numFmtId="0" fontId="2" fillId="0" borderId="65" xfId="0" applyFont="1" applyBorder="1" applyAlignment="1">
      <alignment horizontal="right"/>
    </xf>
    <xf numFmtId="0" fontId="2" fillId="0" borderId="72" xfId="0" applyFont="1" applyBorder="1" applyAlignment="1">
      <alignment horizontal="right"/>
    </xf>
    <xf numFmtId="0" fontId="2" fillId="0" borderId="73" xfId="0" applyFont="1" applyBorder="1" applyAlignment="1">
      <alignment horizontal="left"/>
    </xf>
    <xf numFmtId="0" fontId="2" fillId="0" borderId="74" xfId="0" applyFont="1" applyBorder="1" applyAlignment="1">
      <alignment horizontal="left"/>
    </xf>
    <xf numFmtId="0" fontId="2" fillId="0" borderId="78" xfId="0" applyFont="1" applyBorder="1" applyAlignment="1">
      <alignment horizontal="right"/>
    </xf>
    <xf numFmtId="0" fontId="2" fillId="0" borderId="79" xfId="0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0" fontId="2" fillId="5" borderId="61" xfId="0" applyFont="1" applyFill="1" applyBorder="1" applyAlignment="1">
      <alignment horizontal="left"/>
    </xf>
    <xf numFmtId="0" fontId="2" fillId="5" borderId="70" xfId="0" applyFont="1" applyFill="1" applyBorder="1" applyAlignment="1">
      <alignment horizontal="left"/>
    </xf>
    <xf numFmtId="0" fontId="2" fillId="5" borderId="81" xfId="0" applyFont="1" applyFill="1" applyBorder="1" applyAlignment="1">
      <alignment horizontal="left"/>
    </xf>
    <xf numFmtId="164" fontId="11" fillId="5" borderId="62" xfId="0" applyNumberFormat="1" applyFont="1" applyFill="1" applyBorder="1" applyAlignment="1">
      <alignment horizontal="right"/>
    </xf>
    <xf numFmtId="164" fontId="11" fillId="5" borderId="70" xfId="0" applyNumberFormat="1" applyFont="1" applyFill="1" applyBorder="1" applyAlignment="1">
      <alignment horizontal="right"/>
    </xf>
    <xf numFmtId="0" fontId="11" fillId="5" borderId="62" xfId="0" applyFont="1" applyFill="1" applyBorder="1" applyAlignment="1">
      <alignment horizontal="right"/>
    </xf>
    <xf numFmtId="0" fontId="11" fillId="5" borderId="70" xfId="0" applyFont="1" applyFill="1" applyBorder="1" applyAlignment="1">
      <alignment horizontal="right"/>
    </xf>
    <xf numFmtId="0" fontId="2" fillId="5" borderId="82" xfId="0" applyFont="1" applyFill="1" applyBorder="1" applyAlignment="1">
      <alignment horizontal="right"/>
    </xf>
    <xf numFmtId="164" fontId="55" fillId="0" borderId="19" xfId="0" applyNumberFormat="1" applyFont="1" applyBorder="1"/>
    <xf numFmtId="164" fontId="58" fillId="7" borderId="70" xfId="0" applyNumberFormat="1" applyFont="1" applyFill="1" applyBorder="1"/>
    <xf numFmtId="0" fontId="58" fillId="7" borderId="62" xfId="0" applyFont="1" applyFill="1" applyBorder="1"/>
    <xf numFmtId="0" fontId="2" fillId="8" borderId="62" xfId="0" applyFont="1" applyFill="1" applyBorder="1"/>
    <xf numFmtId="0" fontId="58" fillId="8" borderId="62" xfId="0" applyFont="1" applyFill="1" applyBorder="1"/>
    <xf numFmtId="0" fontId="60" fillId="8" borderId="62" xfId="0" applyFont="1" applyFill="1" applyBorder="1"/>
    <xf numFmtId="0" fontId="58" fillId="6" borderId="62" xfId="0" applyFont="1" applyFill="1" applyBorder="1"/>
    <xf numFmtId="164" fontId="60" fillId="7" borderId="70" xfId="0" applyNumberFormat="1" applyFont="1" applyFill="1" applyBorder="1"/>
    <xf numFmtId="164" fontId="58" fillId="7" borderId="62" xfId="0" applyNumberFormat="1" applyFont="1" applyFill="1" applyBorder="1"/>
    <xf numFmtId="0" fontId="2" fillId="0" borderId="67" xfId="0" applyFont="1" applyBorder="1"/>
    <xf numFmtId="0" fontId="2" fillId="0" borderId="89" xfId="0" applyFont="1" applyBorder="1"/>
    <xf numFmtId="2" fontId="11" fillId="5" borderId="69" xfId="0" applyNumberFormat="1" applyFont="1" applyFill="1" applyBorder="1"/>
    <xf numFmtId="0" fontId="11" fillId="5" borderId="81" xfId="0" applyFont="1" applyFill="1" applyBorder="1"/>
    <xf numFmtId="164" fontId="58" fillId="5" borderId="70" xfId="0" applyNumberFormat="1" applyFont="1" applyFill="1" applyBorder="1"/>
    <xf numFmtId="165" fontId="10" fillId="0" borderId="65" xfId="0" applyNumberFormat="1" applyFont="1" applyBorder="1"/>
    <xf numFmtId="2" fontId="10" fillId="0" borderId="65" xfId="0" applyNumberFormat="1" applyFont="1" applyBorder="1"/>
    <xf numFmtId="0" fontId="11" fillId="5" borderId="69" xfId="0" applyFont="1" applyFill="1" applyBorder="1"/>
    <xf numFmtId="0" fontId="11" fillId="5" borderId="70" xfId="0" applyFont="1" applyFill="1" applyBorder="1" applyAlignment="1">
      <alignment horizontal="left"/>
    </xf>
    <xf numFmtId="0" fontId="11" fillId="5" borderId="63" xfId="0" applyFont="1" applyFill="1" applyBorder="1"/>
    <xf numFmtId="0" fontId="0" fillId="2" borderId="61" xfId="0" applyFill="1" applyBorder="1"/>
    <xf numFmtId="0" fontId="0" fillId="2" borderId="70" xfId="0" applyFill="1" applyBorder="1"/>
    <xf numFmtId="0" fontId="2" fillId="2" borderId="81" xfId="0" applyFont="1" applyFill="1" applyBorder="1"/>
    <xf numFmtId="164" fontId="11" fillId="2" borderId="62" xfId="0" applyNumberFormat="1" applyFont="1" applyFill="1" applyBorder="1"/>
    <xf numFmtId="164" fontId="11" fillId="2" borderId="70" xfId="0" applyNumberFormat="1" applyFont="1" applyFill="1" applyBorder="1"/>
    <xf numFmtId="0" fontId="11" fillId="2" borderId="62" xfId="0" applyFont="1" applyFill="1" applyBorder="1"/>
    <xf numFmtId="0" fontId="58" fillId="2" borderId="62" xfId="0" applyFont="1" applyFill="1" applyBorder="1"/>
    <xf numFmtId="0" fontId="11" fillId="2" borderId="70" xfId="0" applyFont="1" applyFill="1" applyBorder="1"/>
    <xf numFmtId="0" fontId="2" fillId="2" borderId="64" xfId="0" applyFont="1" applyFill="1" applyBorder="1"/>
    <xf numFmtId="2" fontId="11" fillId="2" borderId="81" xfId="0" applyNumberFormat="1" applyFont="1" applyFill="1" applyBorder="1"/>
    <xf numFmtId="165" fontId="11" fillId="2" borderId="62" xfId="0" applyNumberFormat="1" applyFont="1" applyFill="1" applyBorder="1"/>
    <xf numFmtId="2" fontId="11" fillId="2" borderId="62" xfId="0" applyNumberFormat="1" applyFont="1" applyFill="1" applyBorder="1"/>
    <xf numFmtId="0" fontId="12" fillId="2" borderId="88" xfId="0" applyFont="1" applyFill="1" applyBorder="1"/>
    <xf numFmtId="1" fontId="12" fillId="2" borderId="62" xfId="0" applyNumberFormat="1" applyFont="1" applyFill="1" applyBorder="1"/>
    <xf numFmtId="0" fontId="61" fillId="2" borderId="62" xfId="0" applyFont="1" applyFill="1" applyBorder="1"/>
    <xf numFmtId="0" fontId="61" fillId="2" borderId="70" xfId="0" applyFont="1" applyFill="1" applyBorder="1"/>
    <xf numFmtId="0" fontId="0" fillId="7" borderId="61" xfId="0" applyFill="1" applyBorder="1"/>
    <xf numFmtId="0" fontId="0" fillId="7" borderId="70" xfId="0" applyFill="1" applyBorder="1"/>
    <xf numFmtId="0" fontId="2" fillId="7" borderId="82" xfId="0" applyFont="1" applyFill="1" applyBorder="1"/>
    <xf numFmtId="0" fontId="0" fillId="7" borderId="64" xfId="0" applyFill="1" applyBorder="1"/>
    <xf numFmtId="0" fontId="0" fillId="5" borderId="61" xfId="0" applyFill="1" applyBorder="1"/>
    <xf numFmtId="0" fontId="0" fillId="5" borderId="70" xfId="0" applyFill="1" applyBorder="1"/>
    <xf numFmtId="0" fontId="11" fillId="5" borderId="64" xfId="0" applyFont="1" applyFill="1" applyBorder="1"/>
    <xf numFmtId="2" fontId="11" fillId="2" borderId="70" xfId="0" applyNumberFormat="1" applyFont="1" applyFill="1" applyBorder="1"/>
    <xf numFmtId="0" fontId="12" fillId="2" borderId="62" xfId="0" applyFont="1" applyFill="1" applyBorder="1"/>
    <xf numFmtId="0" fontId="12" fillId="2" borderId="70" xfId="0" applyFont="1" applyFill="1" applyBorder="1"/>
    <xf numFmtId="0" fontId="55" fillId="0" borderId="84" xfId="0" applyFont="1" applyBorder="1"/>
    <xf numFmtId="165" fontId="55" fillId="0" borderId="65" xfId="0" applyNumberFormat="1" applyFont="1" applyBorder="1"/>
    <xf numFmtId="165" fontId="58" fillId="2" borderId="62" xfId="0" applyNumberFormat="1" applyFont="1" applyFill="1" applyBorder="1"/>
    <xf numFmtId="2" fontId="0" fillId="5" borderId="61" xfId="0" applyNumberFormat="1" applyFill="1" applyBorder="1"/>
    <xf numFmtId="2" fontId="58" fillId="2" borderId="81" xfId="0" applyNumberFormat="1" applyFont="1" applyFill="1" applyBorder="1"/>
    <xf numFmtId="2" fontId="58" fillId="2" borderId="62" xfId="0" applyNumberFormat="1" applyFont="1" applyFill="1" applyBorder="1"/>
    <xf numFmtId="1" fontId="61" fillId="2" borderId="62" xfId="0" applyNumberFormat="1" applyFont="1" applyFill="1" applyBorder="1"/>
    <xf numFmtId="0" fontId="62" fillId="2" borderId="62" xfId="0" applyFont="1" applyFill="1" applyBorder="1"/>
    <xf numFmtId="0" fontId="2" fillId="2" borderId="61" xfId="0" applyFont="1" applyFill="1" applyBorder="1"/>
    <xf numFmtId="0" fontId="2" fillId="2" borderId="70" xfId="0" applyFont="1" applyFill="1" applyBorder="1"/>
    <xf numFmtId="0" fontId="15" fillId="0" borderId="72" xfId="0" applyFont="1" applyBorder="1"/>
    <xf numFmtId="0" fontId="15" fillId="0" borderId="71" xfId="0" applyFont="1" applyBorder="1"/>
    <xf numFmtId="0" fontId="15" fillId="0" borderId="73" xfId="0" applyFont="1" applyBorder="1"/>
    <xf numFmtId="0" fontId="15" fillId="0" borderId="74" xfId="0" applyFont="1" applyBorder="1"/>
    <xf numFmtId="0" fontId="15" fillId="2" borderId="81" xfId="0" applyFont="1" applyFill="1" applyBorder="1"/>
    <xf numFmtId="0" fontId="55" fillId="0" borderId="72" xfId="0" applyFont="1" applyBorder="1"/>
    <xf numFmtId="0" fontId="61" fillId="7" borderId="62" xfId="0" applyFont="1" applyFill="1" applyBorder="1"/>
    <xf numFmtId="0" fontId="61" fillId="7" borderId="70" xfId="0" applyFont="1" applyFill="1" applyBorder="1"/>
    <xf numFmtId="0" fontId="58" fillId="2" borderId="70" xfId="0" applyFont="1" applyFill="1" applyBorder="1"/>
    <xf numFmtId="0" fontId="11" fillId="2" borderId="88" xfId="0" applyFont="1" applyFill="1" applyBorder="1"/>
    <xf numFmtId="1" fontId="11" fillId="2" borderId="62" xfId="0" applyNumberFormat="1" applyFont="1" applyFill="1" applyBorder="1"/>
    <xf numFmtId="0" fontId="11" fillId="2" borderId="64" xfId="0" applyFont="1" applyFill="1" applyBorder="1"/>
    <xf numFmtId="2" fontId="55" fillId="0" borderId="71" xfId="0" applyNumberFormat="1" applyFont="1" applyBorder="1"/>
    <xf numFmtId="2" fontId="55" fillId="0" borderId="72" xfId="0" applyNumberFormat="1" applyFont="1" applyBorder="1"/>
    <xf numFmtId="0" fontId="62" fillId="5" borderId="62" xfId="0" applyFont="1" applyFill="1" applyBorder="1"/>
    <xf numFmtId="0" fontId="10" fillId="0" borderId="71" xfId="0" applyFont="1" applyBorder="1" applyAlignment="1">
      <alignment horizontal="left"/>
    </xf>
    <xf numFmtId="0" fontId="60" fillId="2" borderId="62" xfId="0" applyFont="1" applyFill="1" applyBorder="1"/>
    <xf numFmtId="0" fontId="44" fillId="0" borderId="73" xfId="0" applyFont="1" applyBorder="1"/>
    <xf numFmtId="0" fontId="44" fillId="0" borderId="74" xfId="0" applyFont="1" applyBorder="1"/>
    <xf numFmtId="0" fontId="62" fillId="2" borderId="70" xfId="0" applyFont="1" applyFill="1" applyBorder="1"/>
    <xf numFmtId="165" fontId="58" fillId="5" borderId="62" xfId="0" applyNumberFormat="1" applyFont="1" applyFill="1" applyBorder="1"/>
    <xf numFmtId="1" fontId="61" fillId="5" borderId="62" xfId="0" applyNumberFormat="1" applyFont="1" applyFill="1" applyBorder="1"/>
    <xf numFmtId="0" fontId="17" fillId="0" borderId="66" xfId="0" applyFont="1" applyBorder="1"/>
    <xf numFmtId="0" fontId="17" fillId="0" borderId="65" xfId="0" applyFont="1" applyBorder="1"/>
    <xf numFmtId="0" fontId="17" fillId="0" borderId="67" xfId="0" applyFont="1" applyBorder="1"/>
    <xf numFmtId="0" fontId="61" fillId="5" borderId="62" xfId="0" applyFont="1" applyFill="1" applyBorder="1"/>
    <xf numFmtId="0" fontId="61" fillId="5" borderId="70" xfId="0" applyFont="1" applyFill="1" applyBorder="1"/>
    <xf numFmtId="0" fontId="11" fillId="8" borderId="64" xfId="0" applyFont="1" applyFill="1" applyBorder="1"/>
    <xf numFmtId="0" fontId="2" fillId="8" borderId="69" xfId="0" applyFont="1" applyFill="1" applyBorder="1"/>
    <xf numFmtId="0" fontId="15" fillId="8" borderId="81" xfId="0" applyFont="1" applyFill="1" applyBorder="1"/>
    <xf numFmtId="165" fontId="58" fillId="8" borderId="62" xfId="0" applyNumberFormat="1" applyFont="1" applyFill="1" applyBorder="1"/>
    <xf numFmtId="0" fontId="15" fillId="5" borderId="81" xfId="0" applyFont="1" applyFill="1" applyBorder="1"/>
    <xf numFmtId="0" fontId="59" fillId="0" borderId="66" xfId="0" applyFont="1" applyBorder="1"/>
    <xf numFmtId="0" fontId="0" fillId="8" borderId="61" xfId="0" applyFill="1" applyBorder="1"/>
    <xf numFmtId="0" fontId="0" fillId="8" borderId="70" xfId="0" applyFill="1" applyBorder="1"/>
    <xf numFmtId="2" fontId="58" fillId="8" borderId="81" xfId="0" applyNumberFormat="1" applyFont="1" applyFill="1" applyBorder="1"/>
    <xf numFmtId="2" fontId="58" fillId="8" borderId="62" xfId="0" applyNumberFormat="1" applyFont="1" applyFill="1" applyBorder="1"/>
    <xf numFmtId="0" fontId="61" fillId="8" borderId="88" xfId="0" applyFont="1" applyFill="1" applyBorder="1"/>
    <xf numFmtId="0" fontId="61" fillId="8" borderId="62" xfId="0" applyFont="1" applyFill="1" applyBorder="1"/>
    <xf numFmtId="0" fontId="18" fillId="5" borderId="62" xfId="0" applyFont="1" applyFill="1" applyBorder="1"/>
    <xf numFmtId="0" fontId="18" fillId="5" borderId="70" xfId="0" applyFont="1" applyFill="1" applyBorder="1"/>
    <xf numFmtId="0" fontId="0" fillId="5" borderId="64" xfId="0" applyFill="1" applyBorder="1"/>
    <xf numFmtId="0" fontId="0" fillId="6" borderId="61" xfId="0" applyFill="1" applyBorder="1"/>
    <xf numFmtId="0" fontId="0" fillId="6" borderId="70" xfId="0" applyFill="1" applyBorder="1"/>
    <xf numFmtId="0" fontId="15" fillId="6" borderId="81" xfId="0" applyFont="1" applyFill="1" applyBorder="1"/>
    <xf numFmtId="0" fontId="41" fillId="0" borderId="73" xfId="0" applyFont="1" applyBorder="1"/>
    <xf numFmtId="0" fontId="41" fillId="0" borderId="74" xfId="0" applyFont="1" applyBorder="1"/>
    <xf numFmtId="2" fontId="58" fillId="5" borderId="81" xfId="0" applyNumberFormat="1" applyFont="1" applyFill="1" applyBorder="1"/>
    <xf numFmtId="0" fontId="62" fillId="5" borderId="70" xfId="0" applyFont="1" applyFill="1" applyBorder="1"/>
    <xf numFmtId="2" fontId="60" fillId="8" borderId="62" xfId="0" applyNumberFormat="1" applyFont="1" applyFill="1" applyBorder="1"/>
    <xf numFmtId="0" fontId="62" fillId="8" borderId="88" xfId="0" applyFont="1" applyFill="1" applyBorder="1"/>
    <xf numFmtId="1" fontId="62" fillId="8" borderId="62" xfId="0" applyNumberFormat="1" applyFont="1" applyFill="1" applyBorder="1"/>
    <xf numFmtId="0" fontId="58" fillId="6" borderId="70" xfId="0" applyFont="1" applyFill="1" applyBorder="1"/>
    <xf numFmtId="164" fontId="55" fillId="0" borderId="65" xfId="0" applyNumberFormat="1" applyFont="1" applyBorder="1"/>
    <xf numFmtId="166" fontId="2" fillId="0" borderId="0" xfId="0" applyNumberFormat="1" applyFont="1"/>
    <xf numFmtId="0" fontId="15" fillId="0" borderId="78" xfId="0" applyFont="1" applyBorder="1"/>
    <xf numFmtId="0" fontId="15" fillId="0" borderId="79" xfId="0" applyFont="1" applyBorder="1"/>
    <xf numFmtId="2" fontId="10" fillId="0" borderId="11" xfId="0" applyNumberFormat="1" applyFont="1" applyBorder="1"/>
    <xf numFmtId="1" fontId="10" fillId="0" borderId="0" xfId="0" applyNumberFormat="1" applyFont="1" applyAlignment="1">
      <alignment horizontal="center"/>
    </xf>
    <xf numFmtId="164" fontId="2" fillId="0" borderId="84" xfId="0" applyNumberFormat="1" applyFont="1" applyBorder="1" applyAlignment="1">
      <alignment horizontal="center"/>
    </xf>
    <xf numFmtId="164" fontId="55" fillId="0" borderId="84" xfId="0" applyNumberFormat="1" applyFont="1" applyBorder="1" applyAlignment="1">
      <alignment horizontal="center"/>
    </xf>
    <xf numFmtId="164" fontId="10" fillId="0" borderId="71" xfId="0" applyNumberFormat="1" applyFont="1" applyBorder="1" applyAlignment="1">
      <alignment horizontal="center"/>
    </xf>
    <xf numFmtId="0" fontId="10" fillId="0" borderId="8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86" xfId="0" applyFont="1" applyBorder="1" applyAlignment="1">
      <alignment horizontal="center"/>
    </xf>
    <xf numFmtId="164" fontId="2" fillId="0" borderId="87" xfId="0" applyNumberFormat="1" applyFont="1" applyBorder="1" applyAlignment="1">
      <alignment horizontal="center"/>
    </xf>
    <xf numFmtId="164" fontId="2" fillId="0" borderId="75" xfId="0" applyNumberFormat="1" applyFont="1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164" fontId="55" fillId="0" borderId="67" xfId="0" applyNumberFormat="1" applyFont="1" applyBorder="1" applyAlignment="1">
      <alignment horizontal="center"/>
    </xf>
    <xf numFmtId="164" fontId="2" fillId="0" borderId="89" xfId="0" applyNumberFormat="1" applyFont="1" applyBorder="1" applyAlignment="1">
      <alignment horizontal="center"/>
    </xf>
    <xf numFmtId="164" fontId="2" fillId="0" borderId="90" xfId="0" applyNumberFormat="1" applyFont="1" applyBorder="1" applyAlignment="1">
      <alignment horizontal="center"/>
    </xf>
    <xf numFmtId="0" fontId="0" fillId="0" borderId="65" xfId="0" applyBorder="1"/>
    <xf numFmtId="0" fontId="0" fillId="0" borderId="66" xfId="0" applyBorder="1"/>
    <xf numFmtId="164" fontId="10" fillId="0" borderId="84" xfId="0" applyNumberFormat="1" applyFont="1" applyBorder="1" applyAlignment="1">
      <alignment horizontal="center"/>
    </xf>
    <xf numFmtId="0" fontId="0" fillId="0" borderId="67" xfId="0" applyBorder="1"/>
    <xf numFmtId="164" fontId="2" fillId="0" borderId="67" xfId="0" applyNumberFormat="1" applyFont="1" applyBorder="1" applyAlignment="1">
      <alignment horizontal="center"/>
    </xf>
    <xf numFmtId="164" fontId="10" fillId="0" borderId="89" xfId="0" applyNumberFormat="1" applyFont="1" applyBorder="1" applyAlignment="1">
      <alignment horizontal="center"/>
    </xf>
    <xf numFmtId="2" fontId="10" fillId="0" borderId="84" xfId="0" applyNumberFormat="1" applyFont="1" applyBorder="1" applyAlignment="1">
      <alignment horizontal="center"/>
    </xf>
    <xf numFmtId="165" fontId="2" fillId="0" borderId="84" xfId="0" applyNumberFormat="1" applyFont="1" applyBorder="1" applyAlignment="1">
      <alignment horizontal="center"/>
    </xf>
    <xf numFmtId="1" fontId="2" fillId="0" borderId="65" xfId="0" applyNumberFormat="1" applyFont="1" applyBorder="1" applyAlignment="1">
      <alignment horizontal="center"/>
    </xf>
    <xf numFmtId="1" fontId="10" fillId="0" borderId="65" xfId="0" applyNumberFormat="1" applyFont="1" applyBorder="1" applyAlignment="1">
      <alignment horizontal="center"/>
    </xf>
    <xf numFmtId="2" fontId="2" fillId="0" borderId="72" xfId="0" applyNumberFormat="1" applyFont="1" applyBorder="1" applyAlignment="1">
      <alignment horizontal="center"/>
    </xf>
    <xf numFmtId="2" fontId="2" fillId="0" borderId="87" xfId="0" applyNumberFormat="1" applyFont="1" applyBorder="1" applyAlignment="1">
      <alignment horizontal="center"/>
    </xf>
    <xf numFmtId="165" fontId="2" fillId="0" borderId="87" xfId="0" applyNumberFormat="1" applyFont="1" applyBorder="1" applyAlignment="1">
      <alignment horizontal="center"/>
    </xf>
    <xf numFmtId="2" fontId="2" fillId="0" borderId="77" xfId="0" applyNumberFormat="1" applyFont="1" applyBorder="1" applyAlignment="1">
      <alignment horizontal="center"/>
    </xf>
    <xf numFmtId="1" fontId="2" fillId="0" borderId="76" xfId="0" applyNumberFormat="1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10" fillId="0" borderId="89" xfId="0" applyFont="1" applyBorder="1" applyAlignment="1">
      <alignment horizontal="center"/>
    </xf>
    <xf numFmtId="0" fontId="2" fillId="0" borderId="90" xfId="0" applyFont="1" applyBorder="1" applyAlignment="1">
      <alignment horizontal="center"/>
    </xf>
    <xf numFmtId="165" fontId="10" fillId="0" borderId="84" xfId="0" applyNumberFormat="1" applyFont="1" applyBorder="1" applyAlignment="1">
      <alignment horizontal="center"/>
    </xf>
    <xf numFmtId="2" fontId="10" fillId="0" borderId="72" xfId="0" applyNumberFormat="1" applyFont="1" applyBorder="1" applyAlignment="1">
      <alignment horizontal="center"/>
    </xf>
    <xf numFmtId="0" fontId="55" fillId="0" borderId="0" xfId="0" applyFont="1" applyAlignment="1">
      <alignment horizontal="center"/>
    </xf>
    <xf numFmtId="164" fontId="2" fillId="0" borderId="71" xfId="0" applyNumberFormat="1" applyFont="1" applyBorder="1" applyAlignment="1">
      <alignment horizontal="center"/>
    </xf>
    <xf numFmtId="0" fontId="55" fillId="0" borderId="65" xfId="0" applyFont="1" applyBorder="1" applyAlignment="1">
      <alignment horizontal="center"/>
    </xf>
    <xf numFmtId="0" fontId="2" fillId="0" borderId="68" xfId="0" applyFont="1" applyBorder="1"/>
    <xf numFmtId="164" fontId="10" fillId="0" borderId="67" xfId="0" applyNumberFormat="1" applyFont="1" applyBorder="1" applyAlignment="1">
      <alignment horizontal="center"/>
    </xf>
    <xf numFmtId="2" fontId="55" fillId="0" borderId="84" xfId="0" applyNumberFormat="1" applyFont="1" applyBorder="1" applyAlignment="1">
      <alignment horizontal="center"/>
    </xf>
    <xf numFmtId="1" fontId="55" fillId="0" borderId="0" xfId="0" applyNumberFormat="1" applyFont="1" applyAlignment="1">
      <alignment horizontal="center"/>
    </xf>
    <xf numFmtId="0" fontId="55" fillId="0" borderId="67" xfId="0" applyFont="1" applyBorder="1" applyAlignment="1">
      <alignment horizontal="center"/>
    </xf>
    <xf numFmtId="0" fontId="55" fillId="0" borderId="84" xfId="0" applyFont="1" applyBorder="1" applyAlignment="1">
      <alignment horizontal="center"/>
    </xf>
    <xf numFmtId="0" fontId="55" fillId="0" borderId="87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10" fillId="0" borderId="76" xfId="0" applyFont="1" applyBorder="1" applyAlignment="1">
      <alignment horizontal="center"/>
    </xf>
    <xf numFmtId="2" fontId="2" fillId="0" borderId="84" xfId="0" applyNumberFormat="1" applyFont="1" applyBorder="1"/>
    <xf numFmtId="2" fontId="2" fillId="20" borderId="91" xfId="0" applyNumberFormat="1" applyFont="1" applyFill="1" applyBorder="1"/>
    <xf numFmtId="2" fontId="2" fillId="0" borderId="87" xfId="0" applyNumberFormat="1" applyFont="1" applyBorder="1"/>
    <xf numFmtId="2" fontId="2" fillId="0" borderId="93" xfId="0" applyNumberFormat="1" applyFont="1" applyBorder="1"/>
    <xf numFmtId="0" fontId="15" fillId="0" borderId="94" xfId="0" applyFont="1" applyBorder="1"/>
    <xf numFmtId="164" fontId="15" fillId="0" borderId="95" xfId="0" applyNumberFormat="1" applyFont="1" applyBorder="1"/>
    <xf numFmtId="0" fontId="15" fillId="0" borderId="96" xfId="0" applyFont="1" applyBorder="1"/>
    <xf numFmtId="0" fontId="15" fillId="0" borderId="95" xfId="0" applyFont="1" applyBorder="1"/>
    <xf numFmtId="0" fontId="15" fillId="0" borderId="97" xfId="0" applyFont="1" applyBorder="1"/>
    <xf numFmtId="164" fontId="15" fillId="0" borderId="98" xfId="0" applyNumberFormat="1" applyFont="1" applyBorder="1"/>
    <xf numFmtId="0" fontId="15" fillId="0" borderId="99" xfId="0" applyFont="1" applyBorder="1"/>
    <xf numFmtId="0" fontId="15" fillId="0" borderId="98" xfId="0" applyFont="1" applyBorder="1"/>
    <xf numFmtId="2" fontId="2" fillId="0" borderId="84" xfId="0" applyNumberFormat="1" applyFont="1" applyBorder="1" applyAlignment="1">
      <alignment horizontal="center"/>
    </xf>
    <xf numFmtId="2" fontId="2" fillId="20" borderId="72" xfId="0" applyNumberFormat="1" applyFont="1" applyFill="1" applyBorder="1"/>
    <xf numFmtId="0" fontId="2" fillId="20" borderId="91" xfId="0" applyFont="1" applyFill="1" applyBorder="1"/>
    <xf numFmtId="0" fontId="2" fillId="0" borderId="93" xfId="0" applyFont="1" applyBorder="1"/>
    <xf numFmtId="0" fontId="2" fillId="2" borderId="100" xfId="0" applyFont="1" applyFill="1" applyBorder="1"/>
    <xf numFmtId="0" fontId="2" fillId="2" borderId="101" xfId="0" applyFont="1" applyFill="1" applyBorder="1"/>
    <xf numFmtId="164" fontId="11" fillId="2" borderId="102" xfId="0" applyNumberFormat="1" applyFont="1" applyFill="1" applyBorder="1"/>
    <xf numFmtId="164" fontId="11" fillId="2" borderId="101" xfId="0" applyNumberFormat="1" applyFont="1" applyFill="1" applyBorder="1"/>
    <xf numFmtId="0" fontId="11" fillId="2" borderId="102" xfId="0" applyFont="1" applyFill="1" applyBorder="1"/>
    <xf numFmtId="0" fontId="11" fillId="2" borderId="101" xfId="0" applyFont="1" applyFill="1" applyBorder="1"/>
    <xf numFmtId="0" fontId="11" fillId="2" borderId="103" xfId="0" applyFont="1" applyFill="1" applyBorder="1"/>
    <xf numFmtId="0" fontId="2" fillId="2" borderId="104" xfId="0" applyFont="1" applyFill="1" applyBorder="1"/>
    <xf numFmtId="0" fontId="0" fillId="0" borderId="100" xfId="0" applyBorder="1"/>
    <xf numFmtId="2" fontId="11" fillId="2" borderId="102" xfId="0" applyNumberFormat="1" applyFont="1" applyFill="1" applyBorder="1" applyAlignment="1">
      <alignment horizontal="center"/>
    </xf>
    <xf numFmtId="0" fontId="11" fillId="2" borderId="102" xfId="0" applyFont="1" applyFill="1" applyBorder="1" applyAlignment="1">
      <alignment horizontal="center"/>
    </xf>
    <xf numFmtId="0" fontId="11" fillId="2" borderId="101" xfId="0" applyFont="1" applyFill="1" applyBorder="1" applyAlignment="1">
      <alignment horizontal="center"/>
    </xf>
    <xf numFmtId="165" fontId="11" fillId="2" borderId="101" xfId="0" applyNumberFormat="1" applyFont="1" applyFill="1" applyBorder="1"/>
    <xf numFmtId="2" fontId="11" fillId="2" borderId="101" xfId="0" applyNumberFormat="1" applyFont="1" applyFill="1" applyBorder="1"/>
    <xf numFmtId="1" fontId="11" fillId="2" borderId="101" xfId="0" applyNumberFormat="1" applyFont="1" applyFill="1" applyBorder="1"/>
    <xf numFmtId="0" fontId="2" fillId="2" borderId="105" xfId="0" applyFont="1" applyFill="1" applyBorder="1"/>
    <xf numFmtId="0" fontId="2" fillId="0" borderId="106" xfId="0" applyFont="1" applyBorder="1"/>
    <xf numFmtId="1" fontId="11" fillId="2" borderId="101" xfId="0" applyNumberFormat="1" applyFont="1" applyFill="1" applyBorder="1" applyAlignment="1">
      <alignment horizontal="right"/>
    </xf>
    <xf numFmtId="0" fontId="11" fillId="2" borderId="100" xfId="0" applyFont="1" applyFill="1" applyBorder="1"/>
    <xf numFmtId="2" fontId="11" fillId="2" borderId="102" xfId="0" applyNumberFormat="1" applyFont="1" applyFill="1" applyBorder="1"/>
    <xf numFmtId="2" fontId="11" fillId="2" borderId="103" xfId="0" applyNumberFormat="1" applyFont="1" applyFill="1" applyBorder="1"/>
    <xf numFmtId="0" fontId="11" fillId="2" borderId="105" xfId="0" applyFont="1" applyFill="1" applyBorder="1"/>
    <xf numFmtId="2" fontId="2" fillId="20" borderId="92" xfId="0" applyNumberFormat="1" applyFont="1" applyFill="1" applyBorder="1"/>
    <xf numFmtId="0" fontId="11" fillId="2" borderId="86" xfId="0" applyFont="1" applyFill="1" applyBorder="1"/>
    <xf numFmtId="0" fontId="11" fillId="2" borderId="76" xfId="0" applyFont="1" applyFill="1" applyBorder="1"/>
    <xf numFmtId="2" fontId="11" fillId="2" borderId="75" xfId="0" applyNumberFormat="1" applyFont="1" applyFill="1" applyBorder="1"/>
    <xf numFmtId="0" fontId="11" fillId="2" borderId="87" xfId="0" applyFont="1" applyFill="1" applyBorder="1"/>
    <xf numFmtId="165" fontId="11" fillId="2" borderId="76" xfId="0" applyNumberFormat="1" applyFont="1" applyFill="1" applyBorder="1"/>
    <xf numFmtId="2" fontId="11" fillId="2" borderId="77" xfId="0" applyNumberFormat="1" applyFont="1" applyFill="1" applyBorder="1"/>
    <xf numFmtId="0" fontId="11" fillId="2" borderId="77" xfId="0" applyFont="1" applyFill="1" applyBorder="1"/>
    <xf numFmtId="0" fontId="11" fillId="2" borderId="90" xfId="0" applyFont="1" applyFill="1" applyBorder="1"/>
    <xf numFmtId="0" fontId="15" fillId="0" borderId="107" xfId="0" applyFont="1" applyBorder="1"/>
    <xf numFmtId="0" fontId="15" fillId="0" borderId="108" xfId="0" applyFont="1" applyBorder="1"/>
    <xf numFmtId="0" fontId="2" fillId="0" borderId="108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2" fillId="0" borderId="109" xfId="0" applyFont="1" applyBorder="1"/>
    <xf numFmtId="0" fontId="15" fillId="0" borderId="0" xfId="0" applyFont="1"/>
    <xf numFmtId="0" fontId="2" fillId="0" borderId="11" xfId="0" applyFont="1" applyBorder="1" applyAlignment="1">
      <alignment horizontal="left"/>
    </xf>
    <xf numFmtId="0" fontId="41" fillId="0" borderId="6" xfId="0" applyFont="1" applyBorder="1"/>
    <xf numFmtId="1" fontId="2" fillId="0" borderId="16" xfId="0" applyNumberFormat="1" applyFont="1" applyBorder="1"/>
    <xf numFmtId="0" fontId="28" fillId="0" borderId="0" xfId="0" applyFont="1" applyAlignment="1">
      <alignment horizontal="center"/>
    </xf>
    <xf numFmtId="0" fontId="14" fillId="0" borderId="19" xfId="0" applyFont="1" applyBorder="1" applyAlignment="1">
      <alignment horizontal="left"/>
    </xf>
    <xf numFmtId="0" fontId="57" fillId="0" borderId="19" xfId="0" applyFont="1" applyBorder="1" applyAlignment="1">
      <alignment horizontal="left"/>
    </xf>
    <xf numFmtId="0" fontId="5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0" fillId="23" borderId="0" xfId="0" applyFont="1" applyFill="1" applyAlignment="1">
      <alignment horizontal="center"/>
    </xf>
    <xf numFmtId="164" fontId="2" fillId="0" borderId="109" xfId="0" applyNumberFormat="1" applyFont="1" applyBorder="1"/>
    <xf numFmtId="0" fontId="11" fillId="5" borderId="77" xfId="0" applyFont="1" applyFill="1" applyBorder="1"/>
    <xf numFmtId="0" fontId="2" fillId="0" borderId="110" xfId="0" applyFont="1" applyBorder="1"/>
    <xf numFmtId="0" fontId="11" fillId="5" borderId="76" xfId="0" applyFont="1" applyFill="1" applyBorder="1"/>
    <xf numFmtId="0" fontId="11" fillId="5" borderId="77" xfId="0" applyFont="1" applyFill="1" applyBorder="1" applyAlignment="1">
      <alignment horizontal="right"/>
    </xf>
    <xf numFmtId="0" fontId="2" fillId="0" borderId="110" xfId="0" applyFont="1" applyBorder="1" applyAlignment="1">
      <alignment horizontal="right"/>
    </xf>
    <xf numFmtId="0" fontId="2" fillId="0" borderId="76" xfId="0" applyFont="1" applyBorder="1" applyAlignment="1">
      <alignment horizontal="right"/>
    </xf>
    <xf numFmtId="0" fontId="11" fillId="5" borderId="76" xfId="0" applyFont="1" applyFill="1" applyBorder="1" applyAlignment="1">
      <alignment horizontal="right"/>
    </xf>
    <xf numFmtId="0" fontId="58" fillId="5" borderId="76" xfId="0" applyFont="1" applyFill="1" applyBorder="1"/>
    <xf numFmtId="0" fontId="2" fillId="5" borderId="77" xfId="0" applyFont="1" applyFill="1" applyBorder="1"/>
    <xf numFmtId="164" fontId="2" fillId="0" borderId="110" xfId="0" applyNumberFormat="1" applyFont="1" applyBorder="1"/>
    <xf numFmtId="164" fontId="11" fillId="5" borderId="76" xfId="0" applyNumberFormat="1" applyFont="1" applyFill="1" applyBorder="1"/>
    <xf numFmtId="0" fontId="14" fillId="0" borderId="109" xfId="0" applyFont="1" applyBorder="1" applyAlignment="1">
      <alignment horizontal="left"/>
    </xf>
    <xf numFmtId="0" fontId="14" fillId="0" borderId="111" xfId="0" applyFont="1" applyBorder="1" applyAlignment="1">
      <alignment horizontal="left"/>
    </xf>
    <xf numFmtId="2" fontId="2" fillId="0" borderId="24" xfId="0" applyNumberFormat="1" applyFont="1" applyBorder="1" applyAlignment="1">
      <alignment horizontal="right"/>
    </xf>
    <xf numFmtId="2" fontId="2" fillId="0" borderId="19" xfId="0" applyNumberFormat="1" applyFont="1" applyBorder="1" applyAlignment="1">
      <alignment horizontal="right"/>
    </xf>
    <xf numFmtId="0" fontId="8" fillId="5" borderId="66" xfId="0" applyFont="1" applyFill="1" applyBorder="1" applyAlignment="1">
      <alignment horizontal="center"/>
    </xf>
    <xf numFmtId="0" fontId="8" fillId="5" borderId="65" xfId="0" applyFont="1" applyFill="1" applyBorder="1" applyAlignment="1">
      <alignment horizontal="center"/>
    </xf>
    <xf numFmtId="0" fontId="8" fillId="5" borderId="67" xfId="0" applyFont="1" applyFill="1" applyBorder="1" applyAlignment="1">
      <alignment horizontal="center"/>
    </xf>
    <xf numFmtId="0" fontId="8" fillId="2" borderId="66" xfId="0" applyFont="1" applyFill="1" applyBorder="1" applyAlignment="1">
      <alignment horizontal="center"/>
    </xf>
    <xf numFmtId="0" fontId="8" fillId="2" borderId="65" xfId="0" applyFont="1" applyFill="1" applyBorder="1" applyAlignment="1">
      <alignment horizontal="center"/>
    </xf>
    <xf numFmtId="0" fontId="8" fillId="2" borderId="67" xfId="0" applyFont="1" applyFill="1" applyBorder="1" applyAlignment="1">
      <alignment horizontal="center"/>
    </xf>
    <xf numFmtId="0" fontId="7" fillId="4" borderId="66" xfId="0" applyFont="1" applyFill="1" applyBorder="1" applyAlignment="1">
      <alignment horizontal="center"/>
    </xf>
    <xf numFmtId="0" fontId="7" fillId="4" borderId="65" xfId="0" applyFont="1" applyFill="1" applyBorder="1" applyAlignment="1">
      <alignment horizontal="center"/>
    </xf>
    <xf numFmtId="0" fontId="7" fillId="4" borderId="67" xfId="0" applyFont="1" applyFill="1" applyBorder="1" applyAlignment="1">
      <alignment horizontal="center"/>
    </xf>
    <xf numFmtId="0" fontId="7" fillId="15" borderId="66" xfId="0" applyFont="1" applyFill="1" applyBorder="1" applyAlignment="1">
      <alignment horizontal="center"/>
    </xf>
    <xf numFmtId="0" fontId="7" fillId="15" borderId="65" xfId="0" applyFont="1" applyFill="1" applyBorder="1" applyAlignment="1">
      <alignment horizontal="center"/>
    </xf>
    <xf numFmtId="0" fontId="7" fillId="15" borderId="67" xfId="0" applyFont="1" applyFill="1" applyBorder="1" applyAlignment="1">
      <alignment horizontal="center"/>
    </xf>
    <xf numFmtId="0" fontId="8" fillId="7" borderId="66" xfId="0" applyFont="1" applyFill="1" applyBorder="1" applyAlignment="1">
      <alignment horizontal="center"/>
    </xf>
    <xf numFmtId="0" fontId="8" fillId="7" borderId="65" xfId="0" applyFont="1" applyFill="1" applyBorder="1" applyAlignment="1">
      <alignment horizontal="center"/>
    </xf>
    <xf numFmtId="0" fontId="8" fillId="7" borderId="67" xfId="0" applyFont="1" applyFill="1" applyBorder="1" applyAlignment="1">
      <alignment horizontal="center"/>
    </xf>
    <xf numFmtId="0" fontId="42" fillId="5" borderId="66" xfId="0" applyFont="1" applyFill="1" applyBorder="1" applyAlignment="1">
      <alignment horizontal="center"/>
    </xf>
    <xf numFmtId="0" fontId="42" fillId="5" borderId="65" xfId="0" applyFont="1" applyFill="1" applyBorder="1" applyAlignment="1">
      <alignment horizontal="center"/>
    </xf>
    <xf numFmtId="0" fontId="42" fillId="5" borderId="6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6" borderId="66" xfId="0" applyFont="1" applyFill="1" applyBorder="1" applyAlignment="1">
      <alignment horizontal="center"/>
    </xf>
    <xf numFmtId="0" fontId="8" fillId="6" borderId="65" xfId="0" applyFont="1" applyFill="1" applyBorder="1" applyAlignment="1">
      <alignment horizontal="center"/>
    </xf>
    <xf numFmtId="0" fontId="8" fillId="6" borderId="67" xfId="0" applyFont="1" applyFill="1" applyBorder="1" applyAlignment="1">
      <alignment horizontal="center"/>
    </xf>
    <xf numFmtId="0" fontId="7" fillId="17" borderId="66" xfId="0" applyFont="1" applyFill="1" applyBorder="1" applyAlignment="1">
      <alignment horizontal="center"/>
    </xf>
    <xf numFmtId="0" fontId="7" fillId="17" borderId="65" xfId="0" applyFont="1" applyFill="1" applyBorder="1" applyAlignment="1">
      <alignment horizontal="center"/>
    </xf>
    <xf numFmtId="0" fontId="7" fillId="17" borderId="67" xfId="0" applyFont="1" applyFill="1" applyBorder="1" applyAlignment="1">
      <alignment horizontal="center"/>
    </xf>
    <xf numFmtId="0" fontId="8" fillId="8" borderId="66" xfId="0" applyFont="1" applyFill="1" applyBorder="1" applyAlignment="1">
      <alignment horizontal="center"/>
    </xf>
    <xf numFmtId="0" fontId="8" fillId="8" borderId="65" xfId="0" applyFont="1" applyFill="1" applyBorder="1" applyAlignment="1">
      <alignment horizontal="center"/>
    </xf>
    <xf numFmtId="0" fontId="8" fillId="8" borderId="67" xfId="0" applyFont="1" applyFill="1" applyBorder="1" applyAlignment="1">
      <alignment horizontal="center"/>
    </xf>
    <xf numFmtId="0" fontId="43" fillId="7" borderId="66" xfId="0" applyFont="1" applyFill="1" applyBorder="1" applyAlignment="1">
      <alignment horizontal="center"/>
    </xf>
    <xf numFmtId="0" fontId="43" fillId="7" borderId="65" xfId="0" applyFont="1" applyFill="1" applyBorder="1" applyAlignment="1">
      <alignment horizontal="center"/>
    </xf>
    <xf numFmtId="0" fontId="43" fillId="7" borderId="67" xfId="0" applyFont="1" applyFill="1" applyBorder="1" applyAlignment="1">
      <alignment horizontal="center"/>
    </xf>
    <xf numFmtId="0" fontId="7" fillId="16" borderId="66" xfId="0" applyFont="1" applyFill="1" applyBorder="1" applyAlignment="1">
      <alignment horizontal="center"/>
    </xf>
    <xf numFmtId="0" fontId="7" fillId="16" borderId="65" xfId="0" applyFont="1" applyFill="1" applyBorder="1" applyAlignment="1">
      <alignment horizontal="center"/>
    </xf>
    <xf numFmtId="0" fontId="7" fillId="16" borderId="67" xfId="0" applyFont="1" applyFill="1" applyBorder="1" applyAlignment="1">
      <alignment horizontal="center"/>
    </xf>
    <xf numFmtId="0" fontId="7" fillId="14" borderId="66" xfId="0" applyFont="1" applyFill="1" applyBorder="1" applyAlignment="1">
      <alignment horizontal="center"/>
    </xf>
    <xf numFmtId="0" fontId="7" fillId="14" borderId="65" xfId="0" applyFont="1" applyFill="1" applyBorder="1" applyAlignment="1">
      <alignment horizontal="center"/>
    </xf>
    <xf numFmtId="0" fontId="7" fillId="14" borderId="67" xfId="0" applyFont="1" applyFill="1" applyBorder="1" applyAlignment="1">
      <alignment horizontal="center"/>
    </xf>
    <xf numFmtId="0" fontId="16" fillId="5" borderId="66" xfId="0" applyFont="1" applyFill="1" applyBorder="1" applyAlignment="1">
      <alignment horizontal="center"/>
    </xf>
    <xf numFmtId="0" fontId="16" fillId="5" borderId="65" xfId="0" applyFont="1" applyFill="1" applyBorder="1" applyAlignment="1">
      <alignment horizontal="center"/>
    </xf>
    <xf numFmtId="0" fontId="16" fillId="5" borderId="67" xfId="0" applyFont="1" applyFill="1" applyBorder="1" applyAlignment="1">
      <alignment horizontal="center"/>
    </xf>
    <xf numFmtId="0" fontId="43" fillId="2" borderId="66" xfId="0" applyFont="1" applyFill="1" applyBorder="1" applyAlignment="1">
      <alignment horizontal="center"/>
    </xf>
    <xf numFmtId="0" fontId="43" fillId="2" borderId="65" xfId="0" applyFont="1" applyFill="1" applyBorder="1" applyAlignment="1">
      <alignment horizontal="center"/>
    </xf>
    <xf numFmtId="0" fontId="43" fillId="2" borderId="67" xfId="0" applyFont="1" applyFill="1" applyBorder="1" applyAlignment="1">
      <alignment horizontal="center"/>
    </xf>
    <xf numFmtId="0" fontId="43" fillId="8" borderId="66" xfId="0" applyFont="1" applyFill="1" applyBorder="1" applyAlignment="1">
      <alignment horizontal="center"/>
    </xf>
    <xf numFmtId="0" fontId="43" fillId="8" borderId="65" xfId="0" applyFont="1" applyFill="1" applyBorder="1" applyAlignment="1">
      <alignment horizontal="center"/>
    </xf>
    <xf numFmtId="0" fontId="43" fillId="8" borderId="67" xfId="0" applyFont="1" applyFill="1" applyBorder="1" applyAlignment="1">
      <alignment horizontal="center"/>
    </xf>
    <xf numFmtId="0" fontId="16" fillId="6" borderId="66" xfId="0" applyFont="1" applyFill="1" applyBorder="1" applyAlignment="1">
      <alignment horizontal="center"/>
    </xf>
    <xf numFmtId="0" fontId="16" fillId="6" borderId="65" xfId="0" applyFont="1" applyFill="1" applyBorder="1" applyAlignment="1">
      <alignment horizontal="center"/>
    </xf>
    <xf numFmtId="0" fontId="16" fillId="6" borderId="67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5" xfId="0" applyFont="1" applyFill="1" applyBorder="1" applyAlignment="1">
      <alignment horizontal="center"/>
    </xf>
    <xf numFmtId="0" fontId="19" fillId="9" borderId="14" xfId="0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9" fillId="4" borderId="15" xfId="0" applyFont="1" applyFill="1" applyBorder="1" applyAlignment="1">
      <alignment horizontal="center"/>
    </xf>
    <xf numFmtId="0" fontId="19" fillId="4" borderId="14" xfId="0" applyFont="1" applyFill="1" applyBorder="1" applyAlignment="1">
      <alignment horizontal="center"/>
    </xf>
    <xf numFmtId="0" fontId="63" fillId="21" borderId="13" xfId="0" applyFont="1" applyFill="1" applyBorder="1" applyAlignment="1">
      <alignment horizontal="center"/>
    </xf>
    <xf numFmtId="0" fontId="63" fillId="21" borderId="15" xfId="0" applyFont="1" applyFill="1" applyBorder="1" applyAlignment="1">
      <alignment horizontal="center"/>
    </xf>
    <xf numFmtId="0" fontId="63" fillId="21" borderId="60" xfId="0" applyFont="1" applyFill="1" applyBorder="1" applyAlignment="1">
      <alignment horizontal="center"/>
    </xf>
    <xf numFmtId="0" fontId="63" fillId="22" borderId="13" xfId="0" applyFont="1" applyFill="1" applyBorder="1" applyAlignment="1">
      <alignment horizontal="center"/>
    </xf>
    <xf numFmtId="0" fontId="63" fillId="22" borderId="15" xfId="0" applyFont="1" applyFill="1" applyBorder="1" applyAlignment="1">
      <alignment horizontal="center"/>
    </xf>
    <xf numFmtId="0" fontId="63" fillId="22" borderId="60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0" borderId="13" xfId="0" applyFill="1" applyBorder="1" applyAlignment="1">
      <alignment horizontal="center"/>
    </xf>
    <xf numFmtId="0" fontId="0" fillId="20" borderId="15" xfId="0" applyFill="1" applyBorder="1" applyAlignment="1">
      <alignment horizontal="center"/>
    </xf>
    <xf numFmtId="0" fontId="0" fillId="20" borderId="14" xfId="0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5" borderId="66" xfId="0" applyFont="1" applyFill="1" applyBorder="1" applyAlignment="1">
      <alignment horizontal="center"/>
    </xf>
    <xf numFmtId="0" fontId="6" fillId="5" borderId="65" xfId="0" applyFont="1" applyFill="1" applyBorder="1" applyAlignment="1">
      <alignment horizontal="center"/>
    </xf>
    <xf numFmtId="0" fontId="6" fillId="5" borderId="67" xfId="0" applyFont="1" applyFill="1" applyBorder="1" applyAlignment="1">
      <alignment horizontal="center"/>
    </xf>
    <xf numFmtId="0" fontId="8" fillId="4" borderId="66" xfId="0" applyFont="1" applyFill="1" applyBorder="1" applyAlignment="1">
      <alignment horizontal="center"/>
    </xf>
    <xf numFmtId="0" fontId="8" fillId="4" borderId="65" xfId="0" applyFont="1" applyFill="1" applyBorder="1" applyAlignment="1">
      <alignment horizontal="center"/>
    </xf>
    <xf numFmtId="0" fontId="8" fillId="4" borderId="67" xfId="0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29" fillId="11" borderId="13" xfId="0" applyFont="1" applyFill="1" applyBorder="1" applyAlignment="1">
      <alignment horizontal="center"/>
    </xf>
    <xf numFmtId="0" fontId="29" fillId="11" borderId="15" xfId="0" applyFont="1" applyFill="1" applyBorder="1" applyAlignment="1">
      <alignment horizontal="center"/>
    </xf>
    <xf numFmtId="0" fontId="29" fillId="11" borderId="14" xfId="0" applyFont="1" applyFill="1" applyBorder="1" applyAlignment="1">
      <alignment horizontal="center"/>
    </xf>
    <xf numFmtId="0" fontId="29" fillId="11" borderId="3" xfId="0" applyFont="1" applyFill="1" applyBorder="1" applyAlignment="1">
      <alignment horizontal="center"/>
    </xf>
    <xf numFmtId="0" fontId="29" fillId="11" borderId="11" xfId="0" applyFont="1" applyFill="1" applyBorder="1" applyAlignment="1">
      <alignment horizontal="center"/>
    </xf>
    <xf numFmtId="0" fontId="26" fillId="4" borderId="13" xfId="0" applyFont="1" applyFill="1" applyBorder="1" applyAlignment="1">
      <alignment horizontal="center"/>
    </xf>
    <xf numFmtId="0" fontId="26" fillId="4" borderId="15" xfId="0" applyFont="1" applyFill="1" applyBorder="1" applyAlignment="1">
      <alignment horizontal="center"/>
    </xf>
    <xf numFmtId="0" fontId="26" fillId="4" borderId="14" xfId="0" applyFont="1" applyFill="1" applyBorder="1" applyAlignment="1">
      <alignment horizontal="center"/>
    </xf>
    <xf numFmtId="0" fontId="28" fillId="4" borderId="13" xfId="0" applyFont="1" applyFill="1" applyBorder="1" applyAlignment="1">
      <alignment horizontal="center"/>
    </xf>
    <xf numFmtId="0" fontId="28" fillId="4" borderId="15" xfId="0" applyFont="1" applyFill="1" applyBorder="1" applyAlignment="1">
      <alignment horizontal="center"/>
    </xf>
    <xf numFmtId="0" fontId="28" fillId="4" borderId="14" xfId="0" applyFont="1" applyFill="1" applyBorder="1" applyAlignment="1">
      <alignment horizontal="center"/>
    </xf>
    <xf numFmtId="0" fontId="4" fillId="4" borderId="66" xfId="0" applyFont="1" applyFill="1" applyBorder="1" applyAlignment="1">
      <alignment horizontal="center"/>
    </xf>
    <xf numFmtId="0" fontId="4" fillId="4" borderId="65" xfId="0" applyFont="1" applyFill="1" applyBorder="1" applyAlignment="1">
      <alignment horizontal="center"/>
    </xf>
    <xf numFmtId="0" fontId="4" fillId="4" borderId="67" xfId="0" applyFont="1" applyFill="1" applyBorder="1" applyAlignment="1">
      <alignment horizontal="center"/>
    </xf>
    <xf numFmtId="0" fontId="19" fillId="12" borderId="13" xfId="0" applyFont="1" applyFill="1" applyBorder="1" applyAlignment="1">
      <alignment horizontal="center" vertical="center"/>
    </xf>
    <xf numFmtId="0" fontId="19" fillId="12" borderId="15" xfId="0" applyFont="1" applyFill="1" applyBorder="1" applyAlignment="1">
      <alignment horizontal="center" vertical="center"/>
    </xf>
    <xf numFmtId="0" fontId="19" fillId="12" borderId="14" xfId="0" applyFont="1" applyFill="1" applyBorder="1" applyAlignment="1">
      <alignment horizontal="center" vertical="center"/>
    </xf>
    <xf numFmtId="0" fontId="19" fillId="12" borderId="13" xfId="0" applyFont="1" applyFill="1" applyBorder="1" applyAlignment="1">
      <alignment horizontal="center"/>
    </xf>
    <xf numFmtId="0" fontId="19" fillId="12" borderId="15" xfId="0" applyFont="1" applyFill="1" applyBorder="1" applyAlignment="1">
      <alignment horizontal="center"/>
    </xf>
    <xf numFmtId="0" fontId="19" fillId="12" borderId="14" xfId="0" applyFont="1" applyFill="1" applyBorder="1" applyAlignment="1">
      <alignment horizontal="center"/>
    </xf>
    <xf numFmtId="0" fontId="20" fillId="8" borderId="13" xfId="0" applyFont="1" applyFill="1" applyBorder="1" applyAlignment="1">
      <alignment horizontal="center" vertical="center"/>
    </xf>
    <xf numFmtId="0" fontId="20" fillId="8" borderId="15" xfId="0" applyFont="1" applyFill="1" applyBorder="1" applyAlignment="1">
      <alignment horizontal="center" vertical="center"/>
    </xf>
    <xf numFmtId="0" fontId="20" fillId="8" borderId="14" xfId="0" applyFont="1" applyFill="1" applyBorder="1" applyAlignment="1">
      <alignment horizontal="center" vertical="center"/>
    </xf>
    <xf numFmtId="0" fontId="20" fillId="13" borderId="13" xfId="0" applyFont="1" applyFill="1" applyBorder="1" applyAlignment="1">
      <alignment horizontal="center"/>
    </xf>
    <xf numFmtId="0" fontId="20" fillId="13" borderId="15" xfId="0" applyFont="1" applyFill="1" applyBorder="1" applyAlignment="1">
      <alignment horizontal="center"/>
    </xf>
    <xf numFmtId="0" fontId="20" fillId="13" borderId="14" xfId="0" applyFont="1" applyFill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9" fillId="11" borderId="13" xfId="0" applyFont="1" applyFill="1" applyBorder="1" applyAlignment="1">
      <alignment horizontal="center" vertical="center"/>
    </xf>
    <xf numFmtId="0" fontId="19" fillId="11" borderId="15" xfId="0" applyFont="1" applyFill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/>
    </xf>
  </cellXfs>
  <cellStyles count="2">
    <cellStyle name="Hyperlink" xfId="1" xr:uid="{00000000-0005-0000-0000-000000000000}"/>
    <cellStyle name="Normal" xfId="0" builtinId="0"/>
  </cellStyles>
  <dxfs count="7747"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 style="medium">
          <color indexed="64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  <horizontal/>
      </border>
    </dxf>
    <dxf>
      <font>
        <u val="none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</border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numFmt numFmtId="164" formatCode=".000"/>
    </dxf>
    <dxf>
      <font>
        <u val="none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name val="Times New Roman"/>
        <family val="1"/>
        <scheme val="none"/>
      </font>
      <border diagonalUp="0" diagonalDown="0">
        <left style="medium">
          <color indexed="64"/>
        </left>
        <right/>
        <top/>
        <bottom/>
      </border>
    </dxf>
    <dxf>
      <font>
        <u val="none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1" formatCode="0"/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165" formatCode="0.0"/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1" formatCode="0"/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165" formatCode="0.0"/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1" formatCode="0"/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165" formatCode="0.0"/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1" formatCode="0"/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165" formatCode="0.0"/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1" formatCode="0"/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165" formatCode="0.0"/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1" formatCode="0"/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165" formatCode="0.0"/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name val="Times New Roman"/>
        <family val="1"/>
        <scheme val="none"/>
      </font>
    </dxf>
    <dxf>
      <font>
        <u val="none"/>
        <sz val="12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rgb="FF000000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medium">
          <color indexed="64"/>
        </left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2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1" formatCode="0"/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1" formatCode="0"/>
      <border>
        <left style="medium">
          <color indexed="64"/>
        </left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1" formatCode="0"/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1" formatCode="0"/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</border>
    </dxf>
    <dxf>
      <font>
        <u val="none"/>
        <sz val="12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1" formatCode="0"/>
      <border>
        <left style="medium">
          <color indexed="64"/>
        </left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 style="thin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/>
        <right style="thin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30" formatCode="@"/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numFmt numFmtId="1" formatCode="0"/>
      <border>
        <left style="medium">
          <color indexed="64"/>
        </left>
        <top/>
        <bottom/>
      </border>
    </dxf>
    <dxf>
      <font>
        <u val="none"/>
        <sz val="16"/>
        <color theme="1"/>
        <name val="Times New Roman"/>
        <family val="1"/>
        <scheme val="none"/>
      </font>
      <numFmt numFmtId="30" formatCode="@"/>
      <border>
        <left/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/>
        <top/>
        <bottom/>
      </border>
    </dxf>
    <dxf>
      <font>
        <u val="none"/>
        <sz val="16"/>
        <color theme="1"/>
        <name val="Times New Roman"/>
        <family val="1"/>
        <scheme val="none"/>
      </font>
      <border>
        <left style="medium">
          <color indexed="64"/>
        </left>
        <right style="medium">
          <color indexed="64"/>
        </right>
        <top/>
        <bottom/>
      </border>
    </dxf>
    <dxf>
      <font>
        <u val="none"/>
        <sz val="16"/>
        <color theme="1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" formatCode="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5" formatCode="0.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medium">
          <color rgb="FF000000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top style="medium">
          <color rgb="FF000000"/>
        </top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 style="medium">
          <color rgb="FF000000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border>
        <top style="medium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i/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" formatCode="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5" formatCode="0.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medium">
          <color rgb="FF000000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top style="medium">
          <color rgb="FF000000"/>
        </top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 style="medium">
          <color rgb="FF000000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border>
        <top style="medium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medium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0" formatCode="General"/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</dxf>
    <dxf>
      <font>
        <u val="none"/>
        <sz val="12"/>
        <color theme="1"/>
        <name val="Times New Roman"/>
        <family val="1"/>
        <scheme val="none"/>
      </font>
      <numFmt numFmtId="164" formatCode=".000"/>
      <border diagonalUp="0" diagonalDown="0">
        <left/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numFmt numFmtId="164" formatCode=".000"/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medium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" formatCode="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5" formatCode="0.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medium">
          <color rgb="FF000000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u val="no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/>
        <bottom/>
        <horizontal/>
      </border>
    </dxf>
    <dxf>
      <border>
        <top style="medium">
          <color rgb="FF000000"/>
        </top>
      </border>
    </dxf>
    <dxf>
      <font>
        <u val="none"/>
        <sz val="12"/>
        <color theme="1"/>
        <name val="Times New Roman"/>
        <family val="1"/>
        <scheme val="none"/>
      </font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164" formatCode=".000"/>
      <fill>
        <patternFill patternType="solid">
          <fgColor indexed="64"/>
          <bgColor theme="5" tint="0.79992065187536243"/>
        </patternFill>
      </fill>
      <border diagonalUp="0" diagonalDown="0" outline="0">
        <left/>
        <right/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fill>
        <patternFill patternType="solid">
          <fgColor indexed="64"/>
          <bgColor theme="5" tint="0.79992065187536243"/>
        </patternFill>
      </fill>
      <border diagonalUp="0" diagonalDown="0"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scheme val="none"/>
      </font>
      <numFmt numFmtId="2" formatCode="0.00"/>
      <fill>
        <patternFill patternType="solid">
          <fgColor indexed="64"/>
          <bgColor theme="5" tint="0.79992065187536243"/>
        </patternFill>
      </fill>
      <border diagonalUp="0" diagonalDown="0" outline="0">
        <left style="medium">
          <color rgb="FF000000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border>
        <top style="medium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9525</xdr:rowOff>
    </xdr:from>
    <xdr:ext cx="323850" cy="180975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</xdr:row>
      <xdr:rowOff>9525</xdr:rowOff>
    </xdr:from>
    <xdr:ext cx="323850" cy="180975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4</xdr:row>
      <xdr:rowOff>9525</xdr:rowOff>
    </xdr:from>
    <xdr:ext cx="323850" cy="1809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5</xdr:row>
      <xdr:rowOff>9525</xdr:rowOff>
    </xdr:from>
    <xdr:ext cx="323850" cy="1809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6</xdr:row>
      <xdr:rowOff>9525</xdr:rowOff>
    </xdr:from>
    <xdr:ext cx="323850" cy="180975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7</xdr:row>
      <xdr:rowOff>9525</xdr:rowOff>
    </xdr:from>
    <xdr:ext cx="323850" cy="180975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8</xdr:row>
      <xdr:rowOff>9525</xdr:rowOff>
    </xdr:from>
    <xdr:ext cx="323850" cy="180975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9</xdr:row>
      <xdr:rowOff>9525</xdr:rowOff>
    </xdr:from>
    <xdr:ext cx="323850" cy="18097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10</xdr:row>
      <xdr:rowOff>9525</xdr:rowOff>
    </xdr:from>
    <xdr:ext cx="323850" cy="180975"/>
    <xdr:sp macro="" textlink="">
      <xdr:nvSpPr>
        <xdr:cNvPr id="10" name="Shap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11</xdr:row>
      <xdr:rowOff>9525</xdr:rowOff>
    </xdr:from>
    <xdr:ext cx="323850" cy="180975"/>
    <xdr:sp macro="" textlink="">
      <xdr:nvSpPr>
        <xdr:cNvPr id="11" name="Shap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12</xdr:row>
      <xdr:rowOff>9525</xdr:rowOff>
    </xdr:from>
    <xdr:ext cx="323850" cy="180975"/>
    <xdr:sp macro="" textlink="">
      <xdr:nvSpPr>
        <xdr:cNvPr id="12" name="Shap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13</xdr:row>
      <xdr:rowOff>9525</xdr:rowOff>
    </xdr:from>
    <xdr:ext cx="323850" cy="180975"/>
    <xdr:sp macro="" textlink="">
      <xdr:nvSpPr>
        <xdr:cNvPr id="13" name="Shape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14</xdr:row>
      <xdr:rowOff>9525</xdr:rowOff>
    </xdr:from>
    <xdr:ext cx="323850" cy="180975"/>
    <xdr:sp macro="" textlink="">
      <xdr:nvSpPr>
        <xdr:cNvPr id="14" name="Shap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15</xdr:row>
      <xdr:rowOff>9525</xdr:rowOff>
    </xdr:from>
    <xdr:ext cx="323850" cy="180975"/>
    <xdr:sp macro="" textlink="">
      <xdr:nvSpPr>
        <xdr:cNvPr id="15" name="Shap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16</xdr:row>
      <xdr:rowOff>9525</xdr:rowOff>
    </xdr:from>
    <xdr:ext cx="323850" cy="180975"/>
    <xdr:sp macro="" textlink="">
      <xdr:nvSpPr>
        <xdr:cNvPr id="16" name="Shape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17</xdr:row>
      <xdr:rowOff>9525</xdr:rowOff>
    </xdr:from>
    <xdr:ext cx="323850" cy="180975"/>
    <xdr:sp macro="" textlink="">
      <xdr:nvSpPr>
        <xdr:cNvPr id="17" name="Shape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18</xdr:row>
      <xdr:rowOff>9525</xdr:rowOff>
    </xdr:from>
    <xdr:ext cx="323850" cy="180975"/>
    <xdr:sp macro="" textlink="">
      <xdr:nvSpPr>
        <xdr:cNvPr id="18" name="Shape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19</xdr:row>
      <xdr:rowOff>9525</xdr:rowOff>
    </xdr:from>
    <xdr:ext cx="323850" cy="180975"/>
    <xdr:sp macro="" textlink="">
      <xdr:nvSpPr>
        <xdr:cNvPr id="19" name="Shape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20</xdr:row>
      <xdr:rowOff>9525</xdr:rowOff>
    </xdr:from>
    <xdr:ext cx="323850" cy="180975"/>
    <xdr:sp macro="" textlink="">
      <xdr:nvSpPr>
        <xdr:cNvPr id="20" name="Shape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21</xdr:row>
      <xdr:rowOff>9525</xdr:rowOff>
    </xdr:from>
    <xdr:ext cx="323850" cy="180975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22</xdr:row>
      <xdr:rowOff>9525</xdr:rowOff>
    </xdr:from>
    <xdr:ext cx="323850" cy="180975"/>
    <xdr:sp macro="" textlink="">
      <xdr:nvSpPr>
        <xdr:cNvPr id="22" name="Shape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23</xdr:row>
      <xdr:rowOff>9525</xdr:rowOff>
    </xdr:from>
    <xdr:ext cx="323850" cy="180975"/>
    <xdr:sp macro="" textlink="">
      <xdr:nvSpPr>
        <xdr:cNvPr id="23" name="Shape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24</xdr:row>
      <xdr:rowOff>9525</xdr:rowOff>
    </xdr:from>
    <xdr:ext cx="323850" cy="180975"/>
    <xdr:sp macro="" textlink="">
      <xdr:nvSpPr>
        <xdr:cNvPr id="24" name="Shape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25</xdr:row>
      <xdr:rowOff>9525</xdr:rowOff>
    </xdr:from>
    <xdr:ext cx="323850" cy="180975"/>
    <xdr:sp macro="" textlink="">
      <xdr:nvSpPr>
        <xdr:cNvPr id="25" name="Shape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26</xdr:row>
      <xdr:rowOff>9525</xdr:rowOff>
    </xdr:from>
    <xdr:ext cx="323850" cy="180975"/>
    <xdr:sp macro="" textlink="">
      <xdr:nvSpPr>
        <xdr:cNvPr id="26" name="Shape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27</xdr:row>
      <xdr:rowOff>9525</xdr:rowOff>
    </xdr:from>
    <xdr:ext cx="323850" cy="180975"/>
    <xdr:sp macro="" textlink="">
      <xdr:nvSpPr>
        <xdr:cNvPr id="27" name="Shape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28</xdr:row>
      <xdr:rowOff>9525</xdr:rowOff>
    </xdr:from>
    <xdr:ext cx="323850" cy="180975"/>
    <xdr:sp macro="" textlink="">
      <xdr:nvSpPr>
        <xdr:cNvPr id="28" name="Shape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29</xdr:row>
      <xdr:rowOff>9525</xdr:rowOff>
    </xdr:from>
    <xdr:ext cx="323850" cy="180975"/>
    <xdr:sp macro="" textlink="">
      <xdr:nvSpPr>
        <xdr:cNvPr id="29" name="Shape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30</xdr:row>
      <xdr:rowOff>9525</xdr:rowOff>
    </xdr:from>
    <xdr:ext cx="323850" cy="180975"/>
    <xdr:sp macro="" textlink="">
      <xdr:nvSpPr>
        <xdr:cNvPr id="30" name="Shape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31</xdr:row>
      <xdr:rowOff>9525</xdr:rowOff>
    </xdr:from>
    <xdr:ext cx="323850" cy="180975"/>
    <xdr:sp macro="" textlink="">
      <xdr:nvSpPr>
        <xdr:cNvPr id="31" name="Shape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32</xdr:row>
      <xdr:rowOff>9525</xdr:rowOff>
    </xdr:from>
    <xdr:ext cx="323850" cy="180975"/>
    <xdr:sp macro="" textlink="">
      <xdr:nvSpPr>
        <xdr:cNvPr id="32" name="Shape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33</xdr:row>
      <xdr:rowOff>9525</xdr:rowOff>
    </xdr:from>
    <xdr:ext cx="323850" cy="180975"/>
    <xdr:sp macro="" textlink="">
      <xdr:nvSpPr>
        <xdr:cNvPr id="33" name="Shape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34</xdr:row>
      <xdr:rowOff>9525</xdr:rowOff>
    </xdr:from>
    <xdr:ext cx="323850" cy="180975"/>
    <xdr:sp macro="" textlink="">
      <xdr:nvSpPr>
        <xdr:cNvPr id="34" name="Shape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35</xdr:row>
      <xdr:rowOff>9525</xdr:rowOff>
    </xdr:from>
    <xdr:ext cx="323850" cy="180975"/>
    <xdr:sp macro="" textlink="">
      <xdr:nvSpPr>
        <xdr:cNvPr id="35" name="Shape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36</xdr:row>
      <xdr:rowOff>9525</xdr:rowOff>
    </xdr:from>
    <xdr:ext cx="323850" cy="180975"/>
    <xdr:sp macro="" textlink="">
      <xdr:nvSpPr>
        <xdr:cNvPr id="36" name="Shape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37</xdr:row>
      <xdr:rowOff>9525</xdr:rowOff>
    </xdr:from>
    <xdr:ext cx="323850" cy="180975"/>
    <xdr:sp macro="" textlink="">
      <xdr:nvSpPr>
        <xdr:cNvPr id="37" name="Shape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38</xdr:row>
      <xdr:rowOff>9525</xdr:rowOff>
    </xdr:from>
    <xdr:ext cx="323850" cy="180975"/>
    <xdr:sp macro="" textlink="">
      <xdr:nvSpPr>
        <xdr:cNvPr id="38" name="Shape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39</xdr:row>
      <xdr:rowOff>9525</xdr:rowOff>
    </xdr:from>
    <xdr:ext cx="323850" cy="180975"/>
    <xdr:sp macro="" textlink="">
      <xdr:nvSpPr>
        <xdr:cNvPr id="39" name="Shape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40</xdr:row>
      <xdr:rowOff>9525</xdr:rowOff>
    </xdr:from>
    <xdr:ext cx="323850" cy="180975"/>
    <xdr:sp macro="" textlink="">
      <xdr:nvSpPr>
        <xdr:cNvPr id="40" name="Shape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41</xdr:row>
      <xdr:rowOff>9525</xdr:rowOff>
    </xdr:from>
    <xdr:ext cx="323850" cy="180975"/>
    <xdr:sp macro="" textlink="">
      <xdr:nvSpPr>
        <xdr:cNvPr id="41" name="Shape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</xdr:row>
      <xdr:rowOff>9525</xdr:rowOff>
    </xdr:from>
    <xdr:ext cx="323850" cy="180975"/>
    <xdr:sp macro="" textlink="">
      <xdr:nvSpPr>
        <xdr:cNvPr id="42" name="Shap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</xdr:row>
      <xdr:rowOff>9525</xdr:rowOff>
    </xdr:from>
    <xdr:ext cx="323850" cy="180975"/>
    <xdr:sp macro="" textlink="">
      <xdr:nvSpPr>
        <xdr:cNvPr id="43" name="Shape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4</xdr:row>
      <xdr:rowOff>9525</xdr:rowOff>
    </xdr:from>
    <xdr:ext cx="323850" cy="180975"/>
    <xdr:sp macro="" textlink="">
      <xdr:nvSpPr>
        <xdr:cNvPr id="44" name="Shape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5</xdr:row>
      <xdr:rowOff>9525</xdr:rowOff>
    </xdr:from>
    <xdr:ext cx="323850" cy="180975"/>
    <xdr:sp macro="" textlink="">
      <xdr:nvSpPr>
        <xdr:cNvPr id="45" name="Shape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6</xdr:row>
      <xdr:rowOff>9525</xdr:rowOff>
    </xdr:from>
    <xdr:ext cx="323850" cy="180975"/>
    <xdr:sp macro="" textlink="">
      <xdr:nvSpPr>
        <xdr:cNvPr id="46" name="Shape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7</xdr:row>
      <xdr:rowOff>9525</xdr:rowOff>
    </xdr:from>
    <xdr:ext cx="323850" cy="180975"/>
    <xdr:sp macro="" textlink="">
      <xdr:nvSpPr>
        <xdr:cNvPr id="47" name="Shape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8</xdr:row>
      <xdr:rowOff>9525</xdr:rowOff>
    </xdr:from>
    <xdr:ext cx="323850" cy="180975"/>
    <xdr:sp macro="" textlink="">
      <xdr:nvSpPr>
        <xdr:cNvPr id="48" name="Shape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9</xdr:row>
      <xdr:rowOff>9525</xdr:rowOff>
    </xdr:from>
    <xdr:ext cx="323850" cy="180975"/>
    <xdr:sp macro="" textlink="">
      <xdr:nvSpPr>
        <xdr:cNvPr id="49" name="Shape 48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10</xdr:row>
      <xdr:rowOff>9525</xdr:rowOff>
    </xdr:from>
    <xdr:ext cx="323850" cy="180975"/>
    <xdr:sp macro="" textlink="">
      <xdr:nvSpPr>
        <xdr:cNvPr id="50" name="Shape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11</xdr:row>
      <xdr:rowOff>9525</xdr:rowOff>
    </xdr:from>
    <xdr:ext cx="323850" cy="180975"/>
    <xdr:sp macro="" textlink="">
      <xdr:nvSpPr>
        <xdr:cNvPr id="51" name="Shape 50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12</xdr:row>
      <xdr:rowOff>9525</xdr:rowOff>
    </xdr:from>
    <xdr:ext cx="323850" cy="180975"/>
    <xdr:sp macro="" textlink="">
      <xdr:nvSpPr>
        <xdr:cNvPr id="52" name="Shape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13</xdr:row>
      <xdr:rowOff>9525</xdr:rowOff>
    </xdr:from>
    <xdr:ext cx="323850" cy="180975"/>
    <xdr:sp macro="" textlink="">
      <xdr:nvSpPr>
        <xdr:cNvPr id="53" name="Shape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14</xdr:row>
      <xdr:rowOff>9525</xdr:rowOff>
    </xdr:from>
    <xdr:ext cx="323850" cy="180975"/>
    <xdr:sp macro="" textlink="">
      <xdr:nvSpPr>
        <xdr:cNvPr id="54" name="Shape 53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15</xdr:row>
      <xdr:rowOff>9525</xdr:rowOff>
    </xdr:from>
    <xdr:ext cx="323850" cy="180975"/>
    <xdr:sp macro="" textlink="">
      <xdr:nvSpPr>
        <xdr:cNvPr id="55" name="Shape 54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16</xdr:row>
      <xdr:rowOff>9525</xdr:rowOff>
    </xdr:from>
    <xdr:ext cx="323850" cy="180975"/>
    <xdr:sp macro="" textlink="">
      <xdr:nvSpPr>
        <xdr:cNvPr id="56" name="Shape 55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17</xdr:row>
      <xdr:rowOff>9525</xdr:rowOff>
    </xdr:from>
    <xdr:ext cx="323850" cy="180975"/>
    <xdr:sp macro="" textlink="">
      <xdr:nvSpPr>
        <xdr:cNvPr id="57" name="Shape 56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18</xdr:row>
      <xdr:rowOff>9525</xdr:rowOff>
    </xdr:from>
    <xdr:ext cx="323850" cy="180975"/>
    <xdr:sp macro="" textlink="">
      <xdr:nvSpPr>
        <xdr:cNvPr id="58" name="Shape 57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19</xdr:row>
      <xdr:rowOff>9525</xdr:rowOff>
    </xdr:from>
    <xdr:ext cx="323850" cy="180975"/>
    <xdr:sp macro="" textlink="">
      <xdr:nvSpPr>
        <xdr:cNvPr id="59" name="Shape 58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20</xdr:row>
      <xdr:rowOff>9525</xdr:rowOff>
    </xdr:from>
    <xdr:ext cx="323850" cy="180975"/>
    <xdr:sp macro="" textlink="">
      <xdr:nvSpPr>
        <xdr:cNvPr id="60" name="Shape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21</xdr:row>
      <xdr:rowOff>9525</xdr:rowOff>
    </xdr:from>
    <xdr:ext cx="323850" cy="180975"/>
    <xdr:sp macro="" textlink="">
      <xdr:nvSpPr>
        <xdr:cNvPr id="61" name="Shape 6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22</xdr:row>
      <xdr:rowOff>9525</xdr:rowOff>
    </xdr:from>
    <xdr:ext cx="323850" cy="180975"/>
    <xdr:sp macro="" textlink="">
      <xdr:nvSpPr>
        <xdr:cNvPr id="62" name="Shape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23</xdr:row>
      <xdr:rowOff>9525</xdr:rowOff>
    </xdr:from>
    <xdr:ext cx="323850" cy="180975"/>
    <xdr:sp macro="" textlink="">
      <xdr:nvSpPr>
        <xdr:cNvPr id="63" name="Shape 6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24</xdr:row>
      <xdr:rowOff>9525</xdr:rowOff>
    </xdr:from>
    <xdr:ext cx="323850" cy="180975"/>
    <xdr:sp macro="" textlink="">
      <xdr:nvSpPr>
        <xdr:cNvPr id="64" name="Shape 6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25</xdr:row>
      <xdr:rowOff>9525</xdr:rowOff>
    </xdr:from>
    <xdr:ext cx="323850" cy="180975"/>
    <xdr:sp macro="" textlink="">
      <xdr:nvSpPr>
        <xdr:cNvPr id="65" name="Shape 6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26</xdr:row>
      <xdr:rowOff>9525</xdr:rowOff>
    </xdr:from>
    <xdr:ext cx="323850" cy="180975"/>
    <xdr:sp macro="" textlink="">
      <xdr:nvSpPr>
        <xdr:cNvPr id="66" name="Shape 6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27</xdr:row>
      <xdr:rowOff>9525</xdr:rowOff>
    </xdr:from>
    <xdr:ext cx="323850" cy="180975"/>
    <xdr:sp macro="" textlink="">
      <xdr:nvSpPr>
        <xdr:cNvPr id="67" name="Shape 6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28</xdr:row>
      <xdr:rowOff>9525</xdr:rowOff>
    </xdr:from>
    <xdr:ext cx="323850" cy="180975"/>
    <xdr:sp macro="" textlink="">
      <xdr:nvSpPr>
        <xdr:cNvPr id="68" name="Shape 67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29</xdr:row>
      <xdr:rowOff>9525</xdr:rowOff>
    </xdr:from>
    <xdr:ext cx="323850" cy="180975"/>
    <xdr:sp macro="" textlink="">
      <xdr:nvSpPr>
        <xdr:cNvPr id="69" name="Shape 68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30</xdr:row>
      <xdr:rowOff>9525</xdr:rowOff>
    </xdr:from>
    <xdr:ext cx="323850" cy="180975"/>
    <xdr:sp macro="" textlink="">
      <xdr:nvSpPr>
        <xdr:cNvPr id="70" name="Shape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31</xdr:row>
      <xdr:rowOff>9525</xdr:rowOff>
    </xdr:from>
    <xdr:ext cx="323850" cy="180975"/>
    <xdr:sp macro="" textlink="">
      <xdr:nvSpPr>
        <xdr:cNvPr id="71" name="Shape 70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32</xdr:row>
      <xdr:rowOff>9525</xdr:rowOff>
    </xdr:from>
    <xdr:ext cx="323850" cy="180975"/>
    <xdr:sp macro="" textlink="">
      <xdr:nvSpPr>
        <xdr:cNvPr id="72" name="Shape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33</xdr:row>
      <xdr:rowOff>9525</xdr:rowOff>
    </xdr:from>
    <xdr:ext cx="323850" cy="180975"/>
    <xdr:sp macro="" textlink="">
      <xdr:nvSpPr>
        <xdr:cNvPr id="73" name="Shape 72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34</xdr:row>
      <xdr:rowOff>9525</xdr:rowOff>
    </xdr:from>
    <xdr:ext cx="323850" cy="180975"/>
    <xdr:sp macro="" textlink="">
      <xdr:nvSpPr>
        <xdr:cNvPr id="74" name="Shape 73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35</xdr:row>
      <xdr:rowOff>9525</xdr:rowOff>
    </xdr:from>
    <xdr:ext cx="323850" cy="180975"/>
    <xdr:sp macro="" textlink="">
      <xdr:nvSpPr>
        <xdr:cNvPr id="75" name="Shape 74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36</xdr:row>
      <xdr:rowOff>9525</xdr:rowOff>
    </xdr:from>
    <xdr:ext cx="323850" cy="180975"/>
    <xdr:sp macro="" textlink="">
      <xdr:nvSpPr>
        <xdr:cNvPr id="76" name="Shape 75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37</xdr:row>
      <xdr:rowOff>9525</xdr:rowOff>
    </xdr:from>
    <xdr:ext cx="323850" cy="180975"/>
    <xdr:sp macro="" textlink="">
      <xdr:nvSpPr>
        <xdr:cNvPr id="77" name="Shape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38</xdr:row>
      <xdr:rowOff>9525</xdr:rowOff>
    </xdr:from>
    <xdr:ext cx="323850" cy="180975"/>
    <xdr:sp macro="" textlink="">
      <xdr:nvSpPr>
        <xdr:cNvPr id="78" name="Shape 77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39</xdr:row>
      <xdr:rowOff>9525</xdr:rowOff>
    </xdr:from>
    <xdr:ext cx="323850" cy="180975"/>
    <xdr:sp macro="" textlink="">
      <xdr:nvSpPr>
        <xdr:cNvPr id="79" name="Shape 78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40</xdr:row>
      <xdr:rowOff>9525</xdr:rowOff>
    </xdr:from>
    <xdr:ext cx="323850" cy="180975"/>
    <xdr:sp macro="" textlink="">
      <xdr:nvSpPr>
        <xdr:cNvPr id="80" name="Shape 79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41</xdr:row>
      <xdr:rowOff>9525</xdr:rowOff>
    </xdr:from>
    <xdr:ext cx="323850" cy="180975"/>
    <xdr:sp macro="" textlink="">
      <xdr:nvSpPr>
        <xdr:cNvPr id="81" name="Shape 80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</xdr:row>
      <xdr:rowOff>9525</xdr:rowOff>
    </xdr:from>
    <xdr:ext cx="323850" cy="180975"/>
    <xdr:sp macro="" textlink="">
      <xdr:nvSpPr>
        <xdr:cNvPr id="82" name="Shape 8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</xdr:row>
      <xdr:rowOff>9525</xdr:rowOff>
    </xdr:from>
    <xdr:ext cx="323850" cy="180975"/>
    <xdr:sp macro="" textlink="">
      <xdr:nvSpPr>
        <xdr:cNvPr id="83" name="Shape 8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4</xdr:row>
      <xdr:rowOff>9525</xdr:rowOff>
    </xdr:from>
    <xdr:ext cx="323850" cy="180975"/>
    <xdr:sp macro="" textlink="">
      <xdr:nvSpPr>
        <xdr:cNvPr id="84" name="Shape 8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5</xdr:row>
      <xdr:rowOff>9525</xdr:rowOff>
    </xdr:from>
    <xdr:ext cx="323850" cy="180975"/>
    <xdr:sp macro="" textlink="">
      <xdr:nvSpPr>
        <xdr:cNvPr id="85" name="Shape 8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6</xdr:row>
      <xdr:rowOff>9525</xdr:rowOff>
    </xdr:from>
    <xdr:ext cx="323850" cy="180975"/>
    <xdr:sp macro="" textlink="">
      <xdr:nvSpPr>
        <xdr:cNvPr id="86" name="Shape 8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7</xdr:row>
      <xdr:rowOff>9525</xdr:rowOff>
    </xdr:from>
    <xdr:ext cx="323850" cy="180975"/>
    <xdr:sp macro="" textlink="">
      <xdr:nvSpPr>
        <xdr:cNvPr id="87" name="Shape 8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8</xdr:row>
      <xdr:rowOff>9525</xdr:rowOff>
    </xdr:from>
    <xdr:ext cx="323850" cy="180975"/>
    <xdr:sp macro="" textlink="">
      <xdr:nvSpPr>
        <xdr:cNvPr id="88" name="Shape 87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9</xdr:row>
      <xdr:rowOff>9525</xdr:rowOff>
    </xdr:from>
    <xdr:ext cx="323850" cy="180975"/>
    <xdr:sp macro="" textlink="">
      <xdr:nvSpPr>
        <xdr:cNvPr id="89" name="Shape 88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10</xdr:row>
      <xdr:rowOff>9525</xdr:rowOff>
    </xdr:from>
    <xdr:ext cx="323850" cy="180975"/>
    <xdr:sp macro="" textlink="">
      <xdr:nvSpPr>
        <xdr:cNvPr id="90" name="Shape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11</xdr:row>
      <xdr:rowOff>9525</xdr:rowOff>
    </xdr:from>
    <xdr:ext cx="323850" cy="180975"/>
    <xdr:sp macro="" textlink="">
      <xdr:nvSpPr>
        <xdr:cNvPr id="91" name="Shape 90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12</xdr:row>
      <xdr:rowOff>9525</xdr:rowOff>
    </xdr:from>
    <xdr:ext cx="323850" cy="180975"/>
    <xdr:sp macro="" textlink="">
      <xdr:nvSpPr>
        <xdr:cNvPr id="92" name="Shape 9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13</xdr:row>
      <xdr:rowOff>9525</xdr:rowOff>
    </xdr:from>
    <xdr:ext cx="323850" cy="180975"/>
    <xdr:sp macro="" textlink="">
      <xdr:nvSpPr>
        <xdr:cNvPr id="93" name="Shape 92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14</xdr:row>
      <xdr:rowOff>9525</xdr:rowOff>
    </xdr:from>
    <xdr:ext cx="323850" cy="180975"/>
    <xdr:sp macro="" textlink="">
      <xdr:nvSpPr>
        <xdr:cNvPr id="94" name="Shape 93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15</xdr:row>
      <xdr:rowOff>9525</xdr:rowOff>
    </xdr:from>
    <xdr:ext cx="323850" cy="180975"/>
    <xdr:sp macro="" textlink="">
      <xdr:nvSpPr>
        <xdr:cNvPr id="95" name="Shape 94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16</xdr:row>
      <xdr:rowOff>9525</xdr:rowOff>
    </xdr:from>
    <xdr:ext cx="323850" cy="180975"/>
    <xdr:sp macro="" textlink="">
      <xdr:nvSpPr>
        <xdr:cNvPr id="96" name="Shape 95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17</xdr:row>
      <xdr:rowOff>9525</xdr:rowOff>
    </xdr:from>
    <xdr:ext cx="323850" cy="180975"/>
    <xdr:sp macro="" textlink="">
      <xdr:nvSpPr>
        <xdr:cNvPr id="97" name="Shape 96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18</xdr:row>
      <xdr:rowOff>9525</xdr:rowOff>
    </xdr:from>
    <xdr:ext cx="323850" cy="180975"/>
    <xdr:sp macro="" textlink="">
      <xdr:nvSpPr>
        <xdr:cNvPr id="98" name="Shape 97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19</xdr:row>
      <xdr:rowOff>9525</xdr:rowOff>
    </xdr:from>
    <xdr:ext cx="323850" cy="180975"/>
    <xdr:sp macro="" textlink="">
      <xdr:nvSpPr>
        <xdr:cNvPr id="99" name="Shape 98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20</xdr:row>
      <xdr:rowOff>9525</xdr:rowOff>
    </xdr:from>
    <xdr:ext cx="323850" cy="180975"/>
    <xdr:sp macro="" textlink="">
      <xdr:nvSpPr>
        <xdr:cNvPr id="100" name="Shape 99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21</xdr:row>
      <xdr:rowOff>9525</xdr:rowOff>
    </xdr:from>
    <xdr:ext cx="323850" cy="180975"/>
    <xdr:sp macro="" textlink="">
      <xdr:nvSpPr>
        <xdr:cNvPr id="101" name="Shape 100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22</xdr:row>
      <xdr:rowOff>9525</xdr:rowOff>
    </xdr:from>
    <xdr:ext cx="323850" cy="180975"/>
    <xdr:sp macro="" textlink="">
      <xdr:nvSpPr>
        <xdr:cNvPr id="102" name="Shape 10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23</xdr:row>
      <xdr:rowOff>9525</xdr:rowOff>
    </xdr:from>
    <xdr:ext cx="323850" cy="180975"/>
    <xdr:sp macro="" textlink="">
      <xdr:nvSpPr>
        <xdr:cNvPr id="103" name="Shape 10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24</xdr:row>
      <xdr:rowOff>9525</xdr:rowOff>
    </xdr:from>
    <xdr:ext cx="323850" cy="180975"/>
    <xdr:sp macro="" textlink="">
      <xdr:nvSpPr>
        <xdr:cNvPr id="104" name="Shape 10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25</xdr:row>
      <xdr:rowOff>9525</xdr:rowOff>
    </xdr:from>
    <xdr:ext cx="323850" cy="180975"/>
    <xdr:sp macro="" textlink="">
      <xdr:nvSpPr>
        <xdr:cNvPr id="105" name="Shape 10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26</xdr:row>
      <xdr:rowOff>9525</xdr:rowOff>
    </xdr:from>
    <xdr:ext cx="323850" cy="180975"/>
    <xdr:sp macro="" textlink="">
      <xdr:nvSpPr>
        <xdr:cNvPr id="106" name="Shape 10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27</xdr:row>
      <xdr:rowOff>9525</xdr:rowOff>
    </xdr:from>
    <xdr:ext cx="323850" cy="180975"/>
    <xdr:sp macro="" textlink="">
      <xdr:nvSpPr>
        <xdr:cNvPr id="107" name="Shape 10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28</xdr:row>
      <xdr:rowOff>9525</xdr:rowOff>
    </xdr:from>
    <xdr:ext cx="323850" cy="180975"/>
    <xdr:sp macro="" textlink="">
      <xdr:nvSpPr>
        <xdr:cNvPr id="108" name="Shape 107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29</xdr:row>
      <xdr:rowOff>9525</xdr:rowOff>
    </xdr:from>
    <xdr:ext cx="323850" cy="180975"/>
    <xdr:sp macro="" textlink="">
      <xdr:nvSpPr>
        <xdr:cNvPr id="109" name="Shape 108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30</xdr:row>
      <xdr:rowOff>9525</xdr:rowOff>
    </xdr:from>
    <xdr:ext cx="323850" cy="180975"/>
    <xdr:sp macro="" textlink="">
      <xdr:nvSpPr>
        <xdr:cNvPr id="110" name="Shape 109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31</xdr:row>
      <xdr:rowOff>9525</xdr:rowOff>
    </xdr:from>
    <xdr:ext cx="323850" cy="180975"/>
    <xdr:sp macro="" textlink="">
      <xdr:nvSpPr>
        <xdr:cNvPr id="111" name="Shape 110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32</xdr:row>
      <xdr:rowOff>9525</xdr:rowOff>
    </xdr:from>
    <xdr:ext cx="323850" cy="180975"/>
    <xdr:sp macro="" textlink="">
      <xdr:nvSpPr>
        <xdr:cNvPr id="112" name="Shape 11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33</xdr:row>
      <xdr:rowOff>9525</xdr:rowOff>
    </xdr:from>
    <xdr:ext cx="323850" cy="180975"/>
    <xdr:sp macro="" textlink="">
      <xdr:nvSpPr>
        <xdr:cNvPr id="113" name="Shape 112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34</xdr:row>
      <xdr:rowOff>9525</xdr:rowOff>
    </xdr:from>
    <xdr:ext cx="323850" cy="180975"/>
    <xdr:sp macro="" textlink="">
      <xdr:nvSpPr>
        <xdr:cNvPr id="114" name="Shape 113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35</xdr:row>
      <xdr:rowOff>9525</xdr:rowOff>
    </xdr:from>
    <xdr:ext cx="323850" cy="180975"/>
    <xdr:sp macro="" textlink="">
      <xdr:nvSpPr>
        <xdr:cNvPr id="115" name="Shape 114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36</xdr:row>
      <xdr:rowOff>9525</xdr:rowOff>
    </xdr:from>
    <xdr:ext cx="323850" cy="180975"/>
    <xdr:sp macro="" textlink="">
      <xdr:nvSpPr>
        <xdr:cNvPr id="116" name="Shape 115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37</xdr:row>
      <xdr:rowOff>9525</xdr:rowOff>
    </xdr:from>
    <xdr:ext cx="323850" cy="180975"/>
    <xdr:sp macro="" textlink="">
      <xdr:nvSpPr>
        <xdr:cNvPr id="117" name="Shape 116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38</xdr:row>
      <xdr:rowOff>9525</xdr:rowOff>
    </xdr:from>
    <xdr:ext cx="323850" cy="180975"/>
    <xdr:sp macro="" textlink="">
      <xdr:nvSpPr>
        <xdr:cNvPr id="118" name="Shape 117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39</xdr:row>
      <xdr:rowOff>9525</xdr:rowOff>
    </xdr:from>
    <xdr:ext cx="323850" cy="180975"/>
    <xdr:sp macro="" textlink="">
      <xdr:nvSpPr>
        <xdr:cNvPr id="119" name="Shape 118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40</xdr:row>
      <xdr:rowOff>9525</xdr:rowOff>
    </xdr:from>
    <xdr:ext cx="323850" cy="180975"/>
    <xdr:sp macro="" textlink="">
      <xdr:nvSpPr>
        <xdr:cNvPr id="120" name="Shape 119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41</xdr:row>
      <xdr:rowOff>9525</xdr:rowOff>
    </xdr:from>
    <xdr:ext cx="323850" cy="180975"/>
    <xdr:sp macro="" textlink="">
      <xdr:nvSpPr>
        <xdr:cNvPr id="121" name="Shape 120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</xdr:row>
      <xdr:rowOff>9525</xdr:rowOff>
    </xdr:from>
    <xdr:ext cx="323850" cy="180975"/>
    <xdr:sp macro="" textlink="">
      <xdr:nvSpPr>
        <xdr:cNvPr id="122" name="Shape 12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</xdr:row>
      <xdr:rowOff>9525</xdr:rowOff>
    </xdr:from>
    <xdr:ext cx="323850" cy="180975"/>
    <xdr:sp macro="" textlink="">
      <xdr:nvSpPr>
        <xdr:cNvPr id="123" name="Shape 12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4</xdr:row>
      <xdr:rowOff>9525</xdr:rowOff>
    </xdr:from>
    <xdr:ext cx="323850" cy="180975"/>
    <xdr:sp macro="" textlink="">
      <xdr:nvSpPr>
        <xdr:cNvPr id="124" name="Shape 12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5</xdr:row>
      <xdr:rowOff>9525</xdr:rowOff>
    </xdr:from>
    <xdr:ext cx="323850" cy="180975"/>
    <xdr:sp macro="" textlink="">
      <xdr:nvSpPr>
        <xdr:cNvPr id="125" name="Shape 12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6</xdr:row>
      <xdr:rowOff>9525</xdr:rowOff>
    </xdr:from>
    <xdr:ext cx="323850" cy="180975"/>
    <xdr:sp macro="" textlink="">
      <xdr:nvSpPr>
        <xdr:cNvPr id="126" name="Shape 12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7</xdr:row>
      <xdr:rowOff>9525</xdr:rowOff>
    </xdr:from>
    <xdr:ext cx="323850" cy="180975"/>
    <xdr:sp macro="" textlink="">
      <xdr:nvSpPr>
        <xdr:cNvPr id="127" name="Shape 12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8</xdr:row>
      <xdr:rowOff>9525</xdr:rowOff>
    </xdr:from>
    <xdr:ext cx="323850" cy="180975"/>
    <xdr:sp macro="" textlink="">
      <xdr:nvSpPr>
        <xdr:cNvPr id="128" name="Shape 127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9</xdr:row>
      <xdr:rowOff>9525</xdr:rowOff>
    </xdr:from>
    <xdr:ext cx="323850" cy="180975"/>
    <xdr:sp macro="" textlink="">
      <xdr:nvSpPr>
        <xdr:cNvPr id="129" name="Shape 128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10</xdr:row>
      <xdr:rowOff>9525</xdr:rowOff>
    </xdr:from>
    <xdr:ext cx="323850" cy="180975"/>
    <xdr:sp macro="" textlink="">
      <xdr:nvSpPr>
        <xdr:cNvPr id="130" name="Shape 129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11</xdr:row>
      <xdr:rowOff>9525</xdr:rowOff>
    </xdr:from>
    <xdr:ext cx="323850" cy="180975"/>
    <xdr:sp macro="" textlink="">
      <xdr:nvSpPr>
        <xdr:cNvPr id="131" name="Shape 130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12</xdr:row>
      <xdr:rowOff>9525</xdr:rowOff>
    </xdr:from>
    <xdr:ext cx="323850" cy="180975"/>
    <xdr:sp macro="" textlink="">
      <xdr:nvSpPr>
        <xdr:cNvPr id="132" name="Shape 13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13</xdr:row>
      <xdr:rowOff>9525</xdr:rowOff>
    </xdr:from>
    <xdr:ext cx="323850" cy="180975"/>
    <xdr:sp macro="" textlink="">
      <xdr:nvSpPr>
        <xdr:cNvPr id="133" name="Shape 132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14</xdr:row>
      <xdr:rowOff>9525</xdr:rowOff>
    </xdr:from>
    <xdr:ext cx="323850" cy="180975"/>
    <xdr:sp macro="" textlink="">
      <xdr:nvSpPr>
        <xdr:cNvPr id="134" name="Shape 133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15</xdr:row>
      <xdr:rowOff>9525</xdr:rowOff>
    </xdr:from>
    <xdr:ext cx="323850" cy="180975"/>
    <xdr:sp macro="" textlink="">
      <xdr:nvSpPr>
        <xdr:cNvPr id="135" name="Shape 134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16</xdr:row>
      <xdr:rowOff>9525</xdr:rowOff>
    </xdr:from>
    <xdr:ext cx="323850" cy="180975"/>
    <xdr:sp macro="" textlink="">
      <xdr:nvSpPr>
        <xdr:cNvPr id="136" name="Shape 135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17</xdr:row>
      <xdr:rowOff>9525</xdr:rowOff>
    </xdr:from>
    <xdr:ext cx="323850" cy="180975"/>
    <xdr:sp macro="" textlink="">
      <xdr:nvSpPr>
        <xdr:cNvPr id="137" name="Shape 136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18</xdr:row>
      <xdr:rowOff>9525</xdr:rowOff>
    </xdr:from>
    <xdr:ext cx="323850" cy="180975"/>
    <xdr:sp macro="" textlink="">
      <xdr:nvSpPr>
        <xdr:cNvPr id="138" name="Shape 137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19</xdr:row>
      <xdr:rowOff>9525</xdr:rowOff>
    </xdr:from>
    <xdr:ext cx="323850" cy="180975"/>
    <xdr:sp macro="" textlink="">
      <xdr:nvSpPr>
        <xdr:cNvPr id="139" name="Shape 138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20</xdr:row>
      <xdr:rowOff>9525</xdr:rowOff>
    </xdr:from>
    <xdr:ext cx="323850" cy="180975"/>
    <xdr:sp macro="" textlink="">
      <xdr:nvSpPr>
        <xdr:cNvPr id="140" name="Shape 139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21</xdr:row>
      <xdr:rowOff>9525</xdr:rowOff>
    </xdr:from>
    <xdr:ext cx="323850" cy="180975"/>
    <xdr:sp macro="" textlink="">
      <xdr:nvSpPr>
        <xdr:cNvPr id="141" name="Shape 140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22</xdr:row>
      <xdr:rowOff>9525</xdr:rowOff>
    </xdr:from>
    <xdr:ext cx="323850" cy="180975"/>
    <xdr:sp macro="" textlink="">
      <xdr:nvSpPr>
        <xdr:cNvPr id="142" name="Shape 14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23</xdr:row>
      <xdr:rowOff>9525</xdr:rowOff>
    </xdr:from>
    <xdr:ext cx="323850" cy="180975"/>
    <xdr:sp macro="" textlink="">
      <xdr:nvSpPr>
        <xdr:cNvPr id="143" name="Shape 142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24</xdr:row>
      <xdr:rowOff>9525</xdr:rowOff>
    </xdr:from>
    <xdr:ext cx="323850" cy="180975"/>
    <xdr:sp macro="" textlink="">
      <xdr:nvSpPr>
        <xdr:cNvPr id="144" name="Shape 143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25</xdr:row>
      <xdr:rowOff>9525</xdr:rowOff>
    </xdr:from>
    <xdr:ext cx="323850" cy="180975"/>
    <xdr:sp macro="" textlink="">
      <xdr:nvSpPr>
        <xdr:cNvPr id="145" name="Shape 144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26</xdr:row>
      <xdr:rowOff>9525</xdr:rowOff>
    </xdr:from>
    <xdr:ext cx="323850" cy="180975"/>
    <xdr:sp macro="" textlink="">
      <xdr:nvSpPr>
        <xdr:cNvPr id="146" name="Shape 145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27</xdr:row>
      <xdr:rowOff>9525</xdr:rowOff>
    </xdr:from>
    <xdr:ext cx="323850" cy="180975"/>
    <xdr:sp macro="" textlink="">
      <xdr:nvSpPr>
        <xdr:cNvPr id="147" name="Shape 146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28</xdr:row>
      <xdr:rowOff>9525</xdr:rowOff>
    </xdr:from>
    <xdr:ext cx="323850" cy="180975"/>
    <xdr:sp macro="" textlink="">
      <xdr:nvSpPr>
        <xdr:cNvPr id="148" name="Shape 147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29</xdr:row>
      <xdr:rowOff>9525</xdr:rowOff>
    </xdr:from>
    <xdr:ext cx="323850" cy="180975"/>
    <xdr:sp macro="" textlink="">
      <xdr:nvSpPr>
        <xdr:cNvPr id="149" name="Shape 148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30</xdr:row>
      <xdr:rowOff>9525</xdr:rowOff>
    </xdr:from>
    <xdr:ext cx="323850" cy="180975"/>
    <xdr:sp macro="" textlink="">
      <xdr:nvSpPr>
        <xdr:cNvPr id="150" name="Shape 149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31</xdr:row>
      <xdr:rowOff>9525</xdr:rowOff>
    </xdr:from>
    <xdr:ext cx="323850" cy="180975"/>
    <xdr:sp macro="" textlink="">
      <xdr:nvSpPr>
        <xdr:cNvPr id="151" name="Shape 150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32</xdr:row>
      <xdr:rowOff>9525</xdr:rowOff>
    </xdr:from>
    <xdr:ext cx="323850" cy="180975"/>
    <xdr:sp macro="" textlink="">
      <xdr:nvSpPr>
        <xdr:cNvPr id="152" name="Shape 15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33</xdr:row>
      <xdr:rowOff>9525</xdr:rowOff>
    </xdr:from>
    <xdr:ext cx="323850" cy="180975"/>
    <xdr:sp macro="" textlink="">
      <xdr:nvSpPr>
        <xdr:cNvPr id="153" name="Shape 152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34</xdr:row>
      <xdr:rowOff>9525</xdr:rowOff>
    </xdr:from>
    <xdr:ext cx="323850" cy="180975"/>
    <xdr:sp macro="" textlink="">
      <xdr:nvSpPr>
        <xdr:cNvPr id="154" name="Shape 153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35</xdr:row>
      <xdr:rowOff>9525</xdr:rowOff>
    </xdr:from>
    <xdr:ext cx="323850" cy="180975"/>
    <xdr:sp macro="" textlink="">
      <xdr:nvSpPr>
        <xdr:cNvPr id="155" name="Shape 154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36</xdr:row>
      <xdr:rowOff>9525</xdr:rowOff>
    </xdr:from>
    <xdr:ext cx="323850" cy="180975"/>
    <xdr:sp macro="" textlink="">
      <xdr:nvSpPr>
        <xdr:cNvPr id="156" name="Shape 155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37</xdr:row>
      <xdr:rowOff>9525</xdr:rowOff>
    </xdr:from>
    <xdr:ext cx="323850" cy="180975"/>
    <xdr:sp macro="" textlink="">
      <xdr:nvSpPr>
        <xdr:cNvPr id="157" name="Shape 156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38</xdr:row>
      <xdr:rowOff>9525</xdr:rowOff>
    </xdr:from>
    <xdr:ext cx="323850" cy="180975"/>
    <xdr:sp macro="" textlink="">
      <xdr:nvSpPr>
        <xdr:cNvPr id="158" name="Shape 157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39</xdr:row>
      <xdr:rowOff>9525</xdr:rowOff>
    </xdr:from>
    <xdr:ext cx="323850" cy="180975"/>
    <xdr:sp macro="" textlink="">
      <xdr:nvSpPr>
        <xdr:cNvPr id="159" name="Shape 158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40</xdr:row>
      <xdr:rowOff>9525</xdr:rowOff>
    </xdr:from>
    <xdr:ext cx="323850" cy="180975"/>
    <xdr:sp macro="" textlink="">
      <xdr:nvSpPr>
        <xdr:cNvPr id="160" name="Shape 159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41</xdr:row>
      <xdr:rowOff>9525</xdr:rowOff>
    </xdr:from>
    <xdr:ext cx="323850" cy="180975"/>
    <xdr:sp macro="" textlink="">
      <xdr:nvSpPr>
        <xdr:cNvPr id="161" name="Shape 160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</xdr:row>
      <xdr:rowOff>9525</xdr:rowOff>
    </xdr:from>
    <xdr:ext cx="323850" cy="180975"/>
    <xdr:sp macro="" textlink="">
      <xdr:nvSpPr>
        <xdr:cNvPr id="162" name="Shape 16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</xdr:row>
      <xdr:rowOff>9525</xdr:rowOff>
    </xdr:from>
    <xdr:ext cx="323850" cy="180975"/>
    <xdr:sp macro="" textlink="">
      <xdr:nvSpPr>
        <xdr:cNvPr id="163" name="Shape 162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4</xdr:row>
      <xdr:rowOff>9525</xdr:rowOff>
    </xdr:from>
    <xdr:ext cx="323850" cy="180975"/>
    <xdr:sp macro="" textlink="">
      <xdr:nvSpPr>
        <xdr:cNvPr id="164" name="Shape 163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5</xdr:row>
      <xdr:rowOff>9525</xdr:rowOff>
    </xdr:from>
    <xdr:ext cx="323850" cy="180975"/>
    <xdr:sp macro="" textlink="">
      <xdr:nvSpPr>
        <xdr:cNvPr id="165" name="Shape 164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6</xdr:row>
      <xdr:rowOff>9525</xdr:rowOff>
    </xdr:from>
    <xdr:ext cx="323850" cy="180975"/>
    <xdr:sp macro="" textlink="">
      <xdr:nvSpPr>
        <xdr:cNvPr id="166" name="Shape 165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7</xdr:row>
      <xdr:rowOff>9525</xdr:rowOff>
    </xdr:from>
    <xdr:ext cx="323850" cy="180975"/>
    <xdr:sp macro="" textlink="">
      <xdr:nvSpPr>
        <xdr:cNvPr id="167" name="Shape 166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8</xdr:row>
      <xdr:rowOff>9525</xdr:rowOff>
    </xdr:from>
    <xdr:ext cx="323850" cy="180975"/>
    <xdr:sp macro="" textlink="">
      <xdr:nvSpPr>
        <xdr:cNvPr id="168" name="Shape 167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9</xdr:row>
      <xdr:rowOff>9525</xdr:rowOff>
    </xdr:from>
    <xdr:ext cx="323850" cy="180975"/>
    <xdr:sp macro="" textlink="">
      <xdr:nvSpPr>
        <xdr:cNvPr id="169" name="Shape 168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10</xdr:row>
      <xdr:rowOff>9525</xdr:rowOff>
    </xdr:from>
    <xdr:ext cx="323850" cy="180975"/>
    <xdr:sp macro="" textlink="">
      <xdr:nvSpPr>
        <xdr:cNvPr id="170" name="Shape 169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11</xdr:row>
      <xdr:rowOff>9525</xdr:rowOff>
    </xdr:from>
    <xdr:ext cx="323850" cy="180975"/>
    <xdr:sp macro="" textlink="">
      <xdr:nvSpPr>
        <xdr:cNvPr id="171" name="Shape 170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12</xdr:row>
      <xdr:rowOff>9525</xdr:rowOff>
    </xdr:from>
    <xdr:ext cx="323850" cy="180975"/>
    <xdr:sp macro="" textlink="">
      <xdr:nvSpPr>
        <xdr:cNvPr id="172" name="Shape 17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13</xdr:row>
      <xdr:rowOff>9525</xdr:rowOff>
    </xdr:from>
    <xdr:ext cx="323850" cy="180975"/>
    <xdr:sp macro="" textlink="">
      <xdr:nvSpPr>
        <xdr:cNvPr id="173" name="Shape 172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14</xdr:row>
      <xdr:rowOff>9525</xdr:rowOff>
    </xdr:from>
    <xdr:ext cx="323850" cy="180975"/>
    <xdr:sp macro="" textlink="">
      <xdr:nvSpPr>
        <xdr:cNvPr id="174" name="Shape 173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15</xdr:row>
      <xdr:rowOff>9525</xdr:rowOff>
    </xdr:from>
    <xdr:ext cx="323850" cy="180975"/>
    <xdr:sp macro="" textlink="">
      <xdr:nvSpPr>
        <xdr:cNvPr id="175" name="Shape 174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16</xdr:row>
      <xdr:rowOff>9525</xdr:rowOff>
    </xdr:from>
    <xdr:ext cx="323850" cy="180975"/>
    <xdr:sp macro="" textlink="">
      <xdr:nvSpPr>
        <xdr:cNvPr id="176" name="Shape 175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17</xdr:row>
      <xdr:rowOff>9525</xdr:rowOff>
    </xdr:from>
    <xdr:ext cx="323850" cy="180975"/>
    <xdr:sp macro="" textlink="">
      <xdr:nvSpPr>
        <xdr:cNvPr id="177" name="Shape 176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18</xdr:row>
      <xdr:rowOff>9525</xdr:rowOff>
    </xdr:from>
    <xdr:ext cx="323850" cy="180975"/>
    <xdr:sp macro="" textlink="">
      <xdr:nvSpPr>
        <xdr:cNvPr id="178" name="Shape 177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19</xdr:row>
      <xdr:rowOff>9525</xdr:rowOff>
    </xdr:from>
    <xdr:ext cx="323850" cy="180975"/>
    <xdr:sp macro="" textlink="">
      <xdr:nvSpPr>
        <xdr:cNvPr id="179" name="Shape 178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20</xdr:row>
      <xdr:rowOff>9525</xdr:rowOff>
    </xdr:from>
    <xdr:ext cx="323850" cy="180975"/>
    <xdr:sp macro="" textlink="">
      <xdr:nvSpPr>
        <xdr:cNvPr id="180" name="Shape 179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21</xdr:row>
      <xdr:rowOff>9525</xdr:rowOff>
    </xdr:from>
    <xdr:ext cx="323850" cy="180975"/>
    <xdr:sp macro="" textlink="">
      <xdr:nvSpPr>
        <xdr:cNvPr id="181" name="Shape 180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22</xdr:row>
      <xdr:rowOff>9525</xdr:rowOff>
    </xdr:from>
    <xdr:ext cx="323850" cy="180975"/>
    <xdr:sp macro="" textlink="">
      <xdr:nvSpPr>
        <xdr:cNvPr id="182" name="Shape 18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23</xdr:row>
      <xdr:rowOff>9525</xdr:rowOff>
    </xdr:from>
    <xdr:ext cx="323850" cy="180975"/>
    <xdr:sp macro="" textlink="">
      <xdr:nvSpPr>
        <xdr:cNvPr id="183" name="Shape 182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24</xdr:row>
      <xdr:rowOff>9525</xdr:rowOff>
    </xdr:from>
    <xdr:ext cx="323850" cy="180975"/>
    <xdr:sp macro="" textlink="">
      <xdr:nvSpPr>
        <xdr:cNvPr id="184" name="Shape 183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25</xdr:row>
      <xdr:rowOff>9525</xdr:rowOff>
    </xdr:from>
    <xdr:ext cx="323850" cy="180975"/>
    <xdr:sp macro="" textlink="">
      <xdr:nvSpPr>
        <xdr:cNvPr id="185" name="Shape 184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26</xdr:row>
      <xdr:rowOff>9525</xdr:rowOff>
    </xdr:from>
    <xdr:ext cx="323850" cy="180975"/>
    <xdr:sp macro="" textlink="">
      <xdr:nvSpPr>
        <xdr:cNvPr id="186" name="Shape 185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27</xdr:row>
      <xdr:rowOff>9525</xdr:rowOff>
    </xdr:from>
    <xdr:ext cx="323850" cy="180975"/>
    <xdr:sp macro="" textlink="">
      <xdr:nvSpPr>
        <xdr:cNvPr id="187" name="Shape 186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28</xdr:row>
      <xdr:rowOff>9525</xdr:rowOff>
    </xdr:from>
    <xdr:ext cx="323850" cy="180975"/>
    <xdr:sp macro="" textlink="">
      <xdr:nvSpPr>
        <xdr:cNvPr id="188" name="Shape 187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29</xdr:row>
      <xdr:rowOff>9525</xdr:rowOff>
    </xdr:from>
    <xdr:ext cx="323850" cy="180975"/>
    <xdr:sp macro="" textlink="">
      <xdr:nvSpPr>
        <xdr:cNvPr id="189" name="Shape 188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30</xdr:row>
      <xdr:rowOff>9525</xdr:rowOff>
    </xdr:from>
    <xdr:ext cx="323850" cy="180975"/>
    <xdr:sp macro="" textlink="">
      <xdr:nvSpPr>
        <xdr:cNvPr id="190" name="Shape 189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31</xdr:row>
      <xdr:rowOff>9525</xdr:rowOff>
    </xdr:from>
    <xdr:ext cx="323850" cy="180975"/>
    <xdr:sp macro="" textlink="">
      <xdr:nvSpPr>
        <xdr:cNvPr id="191" name="Shape 190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32</xdr:row>
      <xdr:rowOff>9525</xdr:rowOff>
    </xdr:from>
    <xdr:ext cx="323850" cy="180975"/>
    <xdr:sp macro="" textlink="">
      <xdr:nvSpPr>
        <xdr:cNvPr id="192" name="Shape 19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33</xdr:row>
      <xdr:rowOff>9525</xdr:rowOff>
    </xdr:from>
    <xdr:ext cx="323850" cy="180975"/>
    <xdr:sp macro="" textlink="">
      <xdr:nvSpPr>
        <xdr:cNvPr id="193" name="Shape 192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34</xdr:row>
      <xdr:rowOff>9525</xdr:rowOff>
    </xdr:from>
    <xdr:ext cx="323850" cy="180975"/>
    <xdr:sp macro="" textlink="">
      <xdr:nvSpPr>
        <xdr:cNvPr id="194" name="Shape 193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35</xdr:row>
      <xdr:rowOff>9525</xdr:rowOff>
    </xdr:from>
    <xdr:ext cx="323850" cy="180975"/>
    <xdr:sp macro="" textlink="">
      <xdr:nvSpPr>
        <xdr:cNvPr id="195" name="Shape 194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36</xdr:row>
      <xdr:rowOff>9525</xdr:rowOff>
    </xdr:from>
    <xdr:ext cx="323850" cy="180975"/>
    <xdr:sp macro="" textlink="">
      <xdr:nvSpPr>
        <xdr:cNvPr id="196" name="Shape 195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37</xdr:row>
      <xdr:rowOff>9525</xdr:rowOff>
    </xdr:from>
    <xdr:ext cx="323850" cy="180975"/>
    <xdr:sp macro="" textlink="">
      <xdr:nvSpPr>
        <xdr:cNvPr id="197" name="Shape 196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38</xdr:row>
      <xdr:rowOff>9525</xdr:rowOff>
    </xdr:from>
    <xdr:ext cx="323850" cy="180975"/>
    <xdr:sp macro="" textlink="">
      <xdr:nvSpPr>
        <xdr:cNvPr id="198" name="Shape 197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39</xdr:row>
      <xdr:rowOff>9525</xdr:rowOff>
    </xdr:from>
    <xdr:ext cx="323850" cy="180975"/>
    <xdr:sp macro="" textlink="">
      <xdr:nvSpPr>
        <xdr:cNvPr id="199" name="Shape 198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40</xdr:row>
      <xdr:rowOff>9525</xdr:rowOff>
    </xdr:from>
    <xdr:ext cx="323850" cy="180975"/>
    <xdr:sp macro="" textlink="">
      <xdr:nvSpPr>
        <xdr:cNvPr id="200" name="Shape 199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41</xdr:row>
      <xdr:rowOff>9525</xdr:rowOff>
    </xdr:from>
    <xdr:ext cx="323850" cy="180975"/>
    <xdr:sp macro="" textlink="">
      <xdr:nvSpPr>
        <xdr:cNvPr id="201" name="Shape 200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</xdr:row>
      <xdr:rowOff>9525</xdr:rowOff>
    </xdr:from>
    <xdr:ext cx="323850" cy="180975"/>
    <xdr:sp macro="" textlink="">
      <xdr:nvSpPr>
        <xdr:cNvPr id="202" name="Shape 20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</xdr:row>
      <xdr:rowOff>9525</xdr:rowOff>
    </xdr:from>
    <xdr:ext cx="323850" cy="180975"/>
    <xdr:sp macro="" textlink="">
      <xdr:nvSpPr>
        <xdr:cNvPr id="203" name="Shape 202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4</xdr:row>
      <xdr:rowOff>9525</xdr:rowOff>
    </xdr:from>
    <xdr:ext cx="323850" cy="180975"/>
    <xdr:sp macro="" textlink="">
      <xdr:nvSpPr>
        <xdr:cNvPr id="204" name="Shape 203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5</xdr:row>
      <xdr:rowOff>9525</xdr:rowOff>
    </xdr:from>
    <xdr:ext cx="323850" cy="180975"/>
    <xdr:sp macro="" textlink="">
      <xdr:nvSpPr>
        <xdr:cNvPr id="205" name="Shape 204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6</xdr:row>
      <xdr:rowOff>9525</xdr:rowOff>
    </xdr:from>
    <xdr:ext cx="323850" cy="180975"/>
    <xdr:sp macro="" textlink="">
      <xdr:nvSpPr>
        <xdr:cNvPr id="206" name="Shape 205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7</xdr:row>
      <xdr:rowOff>9525</xdr:rowOff>
    </xdr:from>
    <xdr:ext cx="323850" cy="180975"/>
    <xdr:sp macro="" textlink="">
      <xdr:nvSpPr>
        <xdr:cNvPr id="207" name="Shape 206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8</xdr:row>
      <xdr:rowOff>9525</xdr:rowOff>
    </xdr:from>
    <xdr:ext cx="323850" cy="180975"/>
    <xdr:sp macro="" textlink="">
      <xdr:nvSpPr>
        <xdr:cNvPr id="208" name="Shape 207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9</xdr:row>
      <xdr:rowOff>9525</xdr:rowOff>
    </xdr:from>
    <xdr:ext cx="323850" cy="180975"/>
    <xdr:sp macro="" textlink="">
      <xdr:nvSpPr>
        <xdr:cNvPr id="209" name="Shape 208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10</xdr:row>
      <xdr:rowOff>9525</xdr:rowOff>
    </xdr:from>
    <xdr:ext cx="323850" cy="180975"/>
    <xdr:sp macro="" textlink="">
      <xdr:nvSpPr>
        <xdr:cNvPr id="210" name="Shape 209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11</xdr:row>
      <xdr:rowOff>9525</xdr:rowOff>
    </xdr:from>
    <xdr:ext cx="323850" cy="180975"/>
    <xdr:sp macro="" textlink="">
      <xdr:nvSpPr>
        <xdr:cNvPr id="211" name="Shape 210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12</xdr:row>
      <xdr:rowOff>9525</xdr:rowOff>
    </xdr:from>
    <xdr:ext cx="323850" cy="180975"/>
    <xdr:sp macro="" textlink="">
      <xdr:nvSpPr>
        <xdr:cNvPr id="212" name="Shape 21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13</xdr:row>
      <xdr:rowOff>9525</xdr:rowOff>
    </xdr:from>
    <xdr:ext cx="323850" cy="180975"/>
    <xdr:sp macro="" textlink="">
      <xdr:nvSpPr>
        <xdr:cNvPr id="213" name="Shape 212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14</xdr:row>
      <xdr:rowOff>9525</xdr:rowOff>
    </xdr:from>
    <xdr:ext cx="323850" cy="180975"/>
    <xdr:sp macro="" textlink="">
      <xdr:nvSpPr>
        <xdr:cNvPr id="214" name="Shape 213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15</xdr:row>
      <xdr:rowOff>9525</xdr:rowOff>
    </xdr:from>
    <xdr:ext cx="323850" cy="180975"/>
    <xdr:sp macro="" textlink="">
      <xdr:nvSpPr>
        <xdr:cNvPr id="215" name="Shape 214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16</xdr:row>
      <xdr:rowOff>9525</xdr:rowOff>
    </xdr:from>
    <xdr:ext cx="323850" cy="180975"/>
    <xdr:sp macro="" textlink="">
      <xdr:nvSpPr>
        <xdr:cNvPr id="216" name="Shape 215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17</xdr:row>
      <xdr:rowOff>9525</xdr:rowOff>
    </xdr:from>
    <xdr:ext cx="323850" cy="180975"/>
    <xdr:sp macro="" textlink="">
      <xdr:nvSpPr>
        <xdr:cNvPr id="217" name="Shape 216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18</xdr:row>
      <xdr:rowOff>9525</xdr:rowOff>
    </xdr:from>
    <xdr:ext cx="323850" cy="180975"/>
    <xdr:sp macro="" textlink="">
      <xdr:nvSpPr>
        <xdr:cNvPr id="218" name="Shape 217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19</xdr:row>
      <xdr:rowOff>9525</xdr:rowOff>
    </xdr:from>
    <xdr:ext cx="323850" cy="180975"/>
    <xdr:sp macro="" textlink="">
      <xdr:nvSpPr>
        <xdr:cNvPr id="219" name="Shape 218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20</xdr:row>
      <xdr:rowOff>9525</xdr:rowOff>
    </xdr:from>
    <xdr:ext cx="323850" cy="180975"/>
    <xdr:sp macro="" textlink="">
      <xdr:nvSpPr>
        <xdr:cNvPr id="220" name="Shape 219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21</xdr:row>
      <xdr:rowOff>9525</xdr:rowOff>
    </xdr:from>
    <xdr:ext cx="323850" cy="180975"/>
    <xdr:sp macro="" textlink="">
      <xdr:nvSpPr>
        <xdr:cNvPr id="221" name="Shape 220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22</xdr:row>
      <xdr:rowOff>9525</xdr:rowOff>
    </xdr:from>
    <xdr:ext cx="323850" cy="180975"/>
    <xdr:sp macro="" textlink="">
      <xdr:nvSpPr>
        <xdr:cNvPr id="222" name="Shape 22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23</xdr:row>
      <xdr:rowOff>9525</xdr:rowOff>
    </xdr:from>
    <xdr:ext cx="323850" cy="180975"/>
    <xdr:sp macro="" textlink="">
      <xdr:nvSpPr>
        <xdr:cNvPr id="223" name="Shape 222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24</xdr:row>
      <xdr:rowOff>9525</xdr:rowOff>
    </xdr:from>
    <xdr:ext cx="323850" cy="180975"/>
    <xdr:sp macro="" textlink="">
      <xdr:nvSpPr>
        <xdr:cNvPr id="224" name="Shape 223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25</xdr:row>
      <xdr:rowOff>9525</xdr:rowOff>
    </xdr:from>
    <xdr:ext cx="323850" cy="180975"/>
    <xdr:sp macro="" textlink="">
      <xdr:nvSpPr>
        <xdr:cNvPr id="225" name="Shape 224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26</xdr:row>
      <xdr:rowOff>9525</xdr:rowOff>
    </xdr:from>
    <xdr:ext cx="323850" cy="180975"/>
    <xdr:sp macro="" textlink="">
      <xdr:nvSpPr>
        <xdr:cNvPr id="226" name="Shape 225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27</xdr:row>
      <xdr:rowOff>9525</xdr:rowOff>
    </xdr:from>
    <xdr:ext cx="323850" cy="180975"/>
    <xdr:sp macro="" textlink="">
      <xdr:nvSpPr>
        <xdr:cNvPr id="227" name="Shape 226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28</xdr:row>
      <xdr:rowOff>9525</xdr:rowOff>
    </xdr:from>
    <xdr:ext cx="323850" cy="180975"/>
    <xdr:sp macro="" textlink="">
      <xdr:nvSpPr>
        <xdr:cNvPr id="228" name="Shape 227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29</xdr:row>
      <xdr:rowOff>9525</xdr:rowOff>
    </xdr:from>
    <xdr:ext cx="323850" cy="180975"/>
    <xdr:sp macro="" textlink="">
      <xdr:nvSpPr>
        <xdr:cNvPr id="229" name="Shape 228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30</xdr:row>
      <xdr:rowOff>9525</xdr:rowOff>
    </xdr:from>
    <xdr:ext cx="323850" cy="180975"/>
    <xdr:sp macro="" textlink="">
      <xdr:nvSpPr>
        <xdr:cNvPr id="230" name="Shape 229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31</xdr:row>
      <xdr:rowOff>9525</xdr:rowOff>
    </xdr:from>
    <xdr:ext cx="323850" cy="180975"/>
    <xdr:sp macro="" textlink="">
      <xdr:nvSpPr>
        <xdr:cNvPr id="231" name="Shape 230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32</xdr:row>
      <xdr:rowOff>9525</xdr:rowOff>
    </xdr:from>
    <xdr:ext cx="323850" cy="180975"/>
    <xdr:sp macro="" textlink="">
      <xdr:nvSpPr>
        <xdr:cNvPr id="232" name="Shape 23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33</xdr:row>
      <xdr:rowOff>9525</xdr:rowOff>
    </xdr:from>
    <xdr:ext cx="323850" cy="180975"/>
    <xdr:sp macro="" textlink="">
      <xdr:nvSpPr>
        <xdr:cNvPr id="233" name="Shape 232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34</xdr:row>
      <xdr:rowOff>9525</xdr:rowOff>
    </xdr:from>
    <xdr:ext cx="323850" cy="180975"/>
    <xdr:sp macro="" textlink="">
      <xdr:nvSpPr>
        <xdr:cNvPr id="234" name="Shape 233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35</xdr:row>
      <xdr:rowOff>9525</xdr:rowOff>
    </xdr:from>
    <xdr:ext cx="323850" cy="180975"/>
    <xdr:sp macro="" textlink="">
      <xdr:nvSpPr>
        <xdr:cNvPr id="235" name="Shape 234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36</xdr:row>
      <xdr:rowOff>9525</xdr:rowOff>
    </xdr:from>
    <xdr:ext cx="323850" cy="180975"/>
    <xdr:sp macro="" textlink="">
      <xdr:nvSpPr>
        <xdr:cNvPr id="236" name="Shape 235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37</xdr:row>
      <xdr:rowOff>9525</xdr:rowOff>
    </xdr:from>
    <xdr:ext cx="323850" cy="180975"/>
    <xdr:sp macro="" textlink="">
      <xdr:nvSpPr>
        <xdr:cNvPr id="237" name="Shape 236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38</xdr:row>
      <xdr:rowOff>9525</xdr:rowOff>
    </xdr:from>
    <xdr:ext cx="323850" cy="180975"/>
    <xdr:sp macro="" textlink="">
      <xdr:nvSpPr>
        <xdr:cNvPr id="238" name="Shape 237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39</xdr:row>
      <xdr:rowOff>9525</xdr:rowOff>
    </xdr:from>
    <xdr:ext cx="323850" cy="180975"/>
    <xdr:sp macro="" textlink="">
      <xdr:nvSpPr>
        <xdr:cNvPr id="239" name="Shape 238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40</xdr:row>
      <xdr:rowOff>9525</xdr:rowOff>
    </xdr:from>
    <xdr:ext cx="323850" cy="180975"/>
    <xdr:sp macro="" textlink="">
      <xdr:nvSpPr>
        <xdr:cNvPr id="240" name="Shape 239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41</xdr:row>
      <xdr:rowOff>9525</xdr:rowOff>
    </xdr:from>
    <xdr:ext cx="323850" cy="180975"/>
    <xdr:sp macro="" textlink="">
      <xdr:nvSpPr>
        <xdr:cNvPr id="241" name="Shape 240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</xdr:row>
      <xdr:rowOff>9525</xdr:rowOff>
    </xdr:from>
    <xdr:ext cx="323850" cy="180975"/>
    <xdr:sp macro="" textlink="">
      <xdr:nvSpPr>
        <xdr:cNvPr id="242" name="Shape 24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</xdr:row>
      <xdr:rowOff>9525</xdr:rowOff>
    </xdr:from>
    <xdr:ext cx="323850" cy="180975"/>
    <xdr:sp macro="" textlink="">
      <xdr:nvSpPr>
        <xdr:cNvPr id="243" name="Shape 242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4</xdr:row>
      <xdr:rowOff>9525</xdr:rowOff>
    </xdr:from>
    <xdr:ext cx="323850" cy="180975"/>
    <xdr:sp macro="" textlink="">
      <xdr:nvSpPr>
        <xdr:cNvPr id="244" name="Shape 243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5</xdr:row>
      <xdr:rowOff>9525</xdr:rowOff>
    </xdr:from>
    <xdr:ext cx="323850" cy="180975"/>
    <xdr:sp macro="" textlink="">
      <xdr:nvSpPr>
        <xdr:cNvPr id="245" name="Shape 244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6</xdr:row>
      <xdr:rowOff>9525</xdr:rowOff>
    </xdr:from>
    <xdr:ext cx="323850" cy="180975"/>
    <xdr:sp macro="" textlink="">
      <xdr:nvSpPr>
        <xdr:cNvPr id="246" name="Shape 245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7</xdr:row>
      <xdr:rowOff>9525</xdr:rowOff>
    </xdr:from>
    <xdr:ext cx="323850" cy="180975"/>
    <xdr:sp macro="" textlink="">
      <xdr:nvSpPr>
        <xdr:cNvPr id="247" name="Shape 246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8</xdr:row>
      <xdr:rowOff>9525</xdr:rowOff>
    </xdr:from>
    <xdr:ext cx="323850" cy="180975"/>
    <xdr:sp macro="" textlink="">
      <xdr:nvSpPr>
        <xdr:cNvPr id="248" name="Shape 247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9</xdr:row>
      <xdr:rowOff>9525</xdr:rowOff>
    </xdr:from>
    <xdr:ext cx="323850" cy="180975"/>
    <xdr:sp macro="" textlink="">
      <xdr:nvSpPr>
        <xdr:cNvPr id="249" name="Shape 248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10</xdr:row>
      <xdr:rowOff>9525</xdr:rowOff>
    </xdr:from>
    <xdr:ext cx="323850" cy="180975"/>
    <xdr:sp macro="" textlink="">
      <xdr:nvSpPr>
        <xdr:cNvPr id="250" name="Shape 249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11</xdr:row>
      <xdr:rowOff>9525</xdr:rowOff>
    </xdr:from>
    <xdr:ext cx="323850" cy="180975"/>
    <xdr:sp macro="" textlink="">
      <xdr:nvSpPr>
        <xdr:cNvPr id="251" name="Shape 250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12</xdr:row>
      <xdr:rowOff>9525</xdr:rowOff>
    </xdr:from>
    <xdr:ext cx="323850" cy="180975"/>
    <xdr:sp macro="" textlink="">
      <xdr:nvSpPr>
        <xdr:cNvPr id="252" name="Shape 25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13</xdr:row>
      <xdr:rowOff>9525</xdr:rowOff>
    </xdr:from>
    <xdr:ext cx="323850" cy="180975"/>
    <xdr:sp macro="" textlink="">
      <xdr:nvSpPr>
        <xdr:cNvPr id="253" name="Shape 252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14</xdr:row>
      <xdr:rowOff>9525</xdr:rowOff>
    </xdr:from>
    <xdr:ext cx="323850" cy="180975"/>
    <xdr:sp macro="" textlink="">
      <xdr:nvSpPr>
        <xdr:cNvPr id="254" name="Shape 253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15</xdr:row>
      <xdr:rowOff>9525</xdr:rowOff>
    </xdr:from>
    <xdr:ext cx="323850" cy="180975"/>
    <xdr:sp macro="" textlink="">
      <xdr:nvSpPr>
        <xdr:cNvPr id="255" name="Shape 254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16</xdr:row>
      <xdr:rowOff>9525</xdr:rowOff>
    </xdr:from>
    <xdr:ext cx="323850" cy="180975"/>
    <xdr:sp macro="" textlink="">
      <xdr:nvSpPr>
        <xdr:cNvPr id="256" name="Shape 255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17</xdr:row>
      <xdr:rowOff>9525</xdr:rowOff>
    </xdr:from>
    <xdr:ext cx="323850" cy="180975"/>
    <xdr:sp macro="" textlink="">
      <xdr:nvSpPr>
        <xdr:cNvPr id="257" name="Shape 256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18</xdr:row>
      <xdr:rowOff>9525</xdr:rowOff>
    </xdr:from>
    <xdr:ext cx="323850" cy="180975"/>
    <xdr:sp macro="" textlink="">
      <xdr:nvSpPr>
        <xdr:cNvPr id="258" name="Shape 257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19</xdr:row>
      <xdr:rowOff>9525</xdr:rowOff>
    </xdr:from>
    <xdr:ext cx="323850" cy="180975"/>
    <xdr:sp macro="" textlink="">
      <xdr:nvSpPr>
        <xdr:cNvPr id="259" name="Shape 258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20</xdr:row>
      <xdr:rowOff>9525</xdr:rowOff>
    </xdr:from>
    <xdr:ext cx="323850" cy="180975"/>
    <xdr:sp macro="" textlink="">
      <xdr:nvSpPr>
        <xdr:cNvPr id="260" name="Shape 259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21</xdr:row>
      <xdr:rowOff>9525</xdr:rowOff>
    </xdr:from>
    <xdr:ext cx="323850" cy="180975"/>
    <xdr:sp macro="" textlink="">
      <xdr:nvSpPr>
        <xdr:cNvPr id="261" name="Shape 260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22</xdr:row>
      <xdr:rowOff>9525</xdr:rowOff>
    </xdr:from>
    <xdr:ext cx="323850" cy="180975"/>
    <xdr:sp macro="" textlink="">
      <xdr:nvSpPr>
        <xdr:cNvPr id="262" name="Shape 26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23</xdr:row>
      <xdr:rowOff>9525</xdr:rowOff>
    </xdr:from>
    <xdr:ext cx="323850" cy="180975"/>
    <xdr:sp macro="" textlink="">
      <xdr:nvSpPr>
        <xdr:cNvPr id="263" name="Shape 262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24</xdr:row>
      <xdr:rowOff>9525</xdr:rowOff>
    </xdr:from>
    <xdr:ext cx="323850" cy="180975"/>
    <xdr:sp macro="" textlink="">
      <xdr:nvSpPr>
        <xdr:cNvPr id="264" name="Shape 263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25</xdr:row>
      <xdr:rowOff>9525</xdr:rowOff>
    </xdr:from>
    <xdr:ext cx="323850" cy="180975"/>
    <xdr:sp macro="" textlink="">
      <xdr:nvSpPr>
        <xdr:cNvPr id="265" name="Shape 264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26</xdr:row>
      <xdr:rowOff>9525</xdr:rowOff>
    </xdr:from>
    <xdr:ext cx="323850" cy="180975"/>
    <xdr:sp macro="" textlink="">
      <xdr:nvSpPr>
        <xdr:cNvPr id="266" name="Shape 265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27</xdr:row>
      <xdr:rowOff>9525</xdr:rowOff>
    </xdr:from>
    <xdr:ext cx="323850" cy="180975"/>
    <xdr:sp macro="" textlink="">
      <xdr:nvSpPr>
        <xdr:cNvPr id="267" name="Shape 266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28</xdr:row>
      <xdr:rowOff>9525</xdr:rowOff>
    </xdr:from>
    <xdr:ext cx="323850" cy="180975"/>
    <xdr:sp macro="" textlink="">
      <xdr:nvSpPr>
        <xdr:cNvPr id="268" name="Shape 267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29</xdr:row>
      <xdr:rowOff>9525</xdr:rowOff>
    </xdr:from>
    <xdr:ext cx="323850" cy="180975"/>
    <xdr:sp macro="" textlink="">
      <xdr:nvSpPr>
        <xdr:cNvPr id="269" name="Shape 268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30</xdr:row>
      <xdr:rowOff>9525</xdr:rowOff>
    </xdr:from>
    <xdr:ext cx="323850" cy="180975"/>
    <xdr:sp macro="" textlink="">
      <xdr:nvSpPr>
        <xdr:cNvPr id="270" name="Shape 269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31</xdr:row>
      <xdr:rowOff>9525</xdr:rowOff>
    </xdr:from>
    <xdr:ext cx="323850" cy="180975"/>
    <xdr:sp macro="" textlink="">
      <xdr:nvSpPr>
        <xdr:cNvPr id="271" name="Shape 270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32</xdr:row>
      <xdr:rowOff>9525</xdr:rowOff>
    </xdr:from>
    <xdr:ext cx="323850" cy="180975"/>
    <xdr:sp macro="" textlink="">
      <xdr:nvSpPr>
        <xdr:cNvPr id="272" name="Shape 27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33</xdr:row>
      <xdr:rowOff>9525</xdr:rowOff>
    </xdr:from>
    <xdr:ext cx="323850" cy="180975"/>
    <xdr:sp macro="" textlink="">
      <xdr:nvSpPr>
        <xdr:cNvPr id="273" name="Shape 272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34</xdr:row>
      <xdr:rowOff>9525</xdr:rowOff>
    </xdr:from>
    <xdr:ext cx="323850" cy="180975"/>
    <xdr:sp macro="" textlink="">
      <xdr:nvSpPr>
        <xdr:cNvPr id="274" name="Shape 273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35</xdr:row>
      <xdr:rowOff>9525</xdr:rowOff>
    </xdr:from>
    <xdr:ext cx="323850" cy="180975"/>
    <xdr:sp macro="" textlink="">
      <xdr:nvSpPr>
        <xdr:cNvPr id="275" name="Shape 274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36</xdr:row>
      <xdr:rowOff>9525</xdr:rowOff>
    </xdr:from>
    <xdr:ext cx="323850" cy="180975"/>
    <xdr:sp macro="" textlink="">
      <xdr:nvSpPr>
        <xdr:cNvPr id="276" name="Shape 275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37</xdr:row>
      <xdr:rowOff>9525</xdr:rowOff>
    </xdr:from>
    <xdr:ext cx="323850" cy="180975"/>
    <xdr:sp macro="" textlink="">
      <xdr:nvSpPr>
        <xdr:cNvPr id="277" name="Shape 276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38</xdr:row>
      <xdr:rowOff>9525</xdr:rowOff>
    </xdr:from>
    <xdr:ext cx="323850" cy="180975"/>
    <xdr:sp macro="" textlink="">
      <xdr:nvSpPr>
        <xdr:cNvPr id="278" name="Shape 277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39</xdr:row>
      <xdr:rowOff>9525</xdr:rowOff>
    </xdr:from>
    <xdr:ext cx="323850" cy="180975"/>
    <xdr:sp macro="" textlink="">
      <xdr:nvSpPr>
        <xdr:cNvPr id="279" name="Shape 278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40</xdr:row>
      <xdr:rowOff>9525</xdr:rowOff>
    </xdr:from>
    <xdr:ext cx="323850" cy="180975"/>
    <xdr:sp macro="" textlink="">
      <xdr:nvSpPr>
        <xdr:cNvPr id="280" name="Shape 279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41</xdr:row>
      <xdr:rowOff>9525</xdr:rowOff>
    </xdr:from>
    <xdr:ext cx="323850" cy="180975"/>
    <xdr:sp macro="" textlink="">
      <xdr:nvSpPr>
        <xdr:cNvPr id="281" name="Shape 280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</xdr:row>
      <xdr:rowOff>9525</xdr:rowOff>
    </xdr:from>
    <xdr:ext cx="323850" cy="180975"/>
    <xdr:sp macro="" textlink="">
      <xdr:nvSpPr>
        <xdr:cNvPr id="282" name="Shape 28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</xdr:row>
      <xdr:rowOff>9525</xdr:rowOff>
    </xdr:from>
    <xdr:ext cx="323850" cy="180975"/>
    <xdr:sp macro="" textlink="">
      <xdr:nvSpPr>
        <xdr:cNvPr id="283" name="Shape 282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4</xdr:row>
      <xdr:rowOff>9525</xdr:rowOff>
    </xdr:from>
    <xdr:ext cx="323850" cy="180975"/>
    <xdr:sp macro="" textlink="">
      <xdr:nvSpPr>
        <xdr:cNvPr id="284" name="Shape 283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5</xdr:row>
      <xdr:rowOff>9525</xdr:rowOff>
    </xdr:from>
    <xdr:ext cx="323850" cy="180975"/>
    <xdr:sp macro="" textlink="">
      <xdr:nvSpPr>
        <xdr:cNvPr id="285" name="Shape 284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6</xdr:row>
      <xdr:rowOff>9525</xdr:rowOff>
    </xdr:from>
    <xdr:ext cx="323850" cy="180975"/>
    <xdr:sp macro="" textlink="">
      <xdr:nvSpPr>
        <xdr:cNvPr id="286" name="Shape 285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7</xdr:row>
      <xdr:rowOff>9525</xdr:rowOff>
    </xdr:from>
    <xdr:ext cx="323850" cy="180975"/>
    <xdr:sp macro="" textlink="">
      <xdr:nvSpPr>
        <xdr:cNvPr id="287" name="Shape 286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8</xdr:row>
      <xdr:rowOff>9525</xdr:rowOff>
    </xdr:from>
    <xdr:ext cx="323850" cy="180975"/>
    <xdr:sp macro="" textlink="">
      <xdr:nvSpPr>
        <xdr:cNvPr id="288" name="Shape 287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9</xdr:row>
      <xdr:rowOff>9525</xdr:rowOff>
    </xdr:from>
    <xdr:ext cx="323850" cy="180975"/>
    <xdr:sp macro="" textlink="">
      <xdr:nvSpPr>
        <xdr:cNvPr id="289" name="Shape 288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10</xdr:row>
      <xdr:rowOff>9525</xdr:rowOff>
    </xdr:from>
    <xdr:ext cx="323850" cy="180975"/>
    <xdr:sp macro="" textlink="">
      <xdr:nvSpPr>
        <xdr:cNvPr id="290" name="Shape 289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11</xdr:row>
      <xdr:rowOff>9525</xdr:rowOff>
    </xdr:from>
    <xdr:ext cx="323850" cy="180975"/>
    <xdr:sp macro="" textlink="">
      <xdr:nvSpPr>
        <xdr:cNvPr id="291" name="Shape 290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12</xdr:row>
      <xdr:rowOff>9525</xdr:rowOff>
    </xdr:from>
    <xdr:ext cx="323850" cy="180975"/>
    <xdr:sp macro="" textlink="">
      <xdr:nvSpPr>
        <xdr:cNvPr id="292" name="Shape 29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13</xdr:row>
      <xdr:rowOff>9525</xdr:rowOff>
    </xdr:from>
    <xdr:ext cx="323850" cy="180975"/>
    <xdr:sp macro="" textlink="">
      <xdr:nvSpPr>
        <xdr:cNvPr id="293" name="Shape 292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14</xdr:row>
      <xdr:rowOff>9525</xdr:rowOff>
    </xdr:from>
    <xdr:ext cx="323850" cy="180975"/>
    <xdr:sp macro="" textlink="">
      <xdr:nvSpPr>
        <xdr:cNvPr id="294" name="Shape 293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15</xdr:row>
      <xdr:rowOff>9525</xdr:rowOff>
    </xdr:from>
    <xdr:ext cx="323850" cy="180975"/>
    <xdr:sp macro="" textlink="">
      <xdr:nvSpPr>
        <xdr:cNvPr id="295" name="Shape 294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16</xdr:row>
      <xdr:rowOff>9525</xdr:rowOff>
    </xdr:from>
    <xdr:ext cx="323850" cy="180975"/>
    <xdr:sp macro="" textlink="">
      <xdr:nvSpPr>
        <xdr:cNvPr id="296" name="Shape 295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17</xdr:row>
      <xdr:rowOff>9525</xdr:rowOff>
    </xdr:from>
    <xdr:ext cx="323850" cy="180975"/>
    <xdr:sp macro="" textlink="">
      <xdr:nvSpPr>
        <xdr:cNvPr id="297" name="Shape 296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18</xdr:row>
      <xdr:rowOff>9525</xdr:rowOff>
    </xdr:from>
    <xdr:ext cx="323850" cy="180975"/>
    <xdr:sp macro="" textlink="">
      <xdr:nvSpPr>
        <xdr:cNvPr id="298" name="Shape 297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19</xdr:row>
      <xdr:rowOff>9525</xdr:rowOff>
    </xdr:from>
    <xdr:ext cx="323850" cy="180975"/>
    <xdr:sp macro="" textlink="">
      <xdr:nvSpPr>
        <xdr:cNvPr id="299" name="Shape 298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20</xdr:row>
      <xdr:rowOff>9525</xdr:rowOff>
    </xdr:from>
    <xdr:ext cx="323850" cy="180975"/>
    <xdr:sp macro="" textlink="">
      <xdr:nvSpPr>
        <xdr:cNvPr id="300" name="Shape 299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21</xdr:row>
      <xdr:rowOff>9525</xdr:rowOff>
    </xdr:from>
    <xdr:ext cx="323850" cy="180975"/>
    <xdr:sp macro="" textlink="">
      <xdr:nvSpPr>
        <xdr:cNvPr id="301" name="Shape 300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22</xdr:row>
      <xdr:rowOff>9525</xdr:rowOff>
    </xdr:from>
    <xdr:ext cx="323850" cy="180975"/>
    <xdr:sp macro="" textlink="">
      <xdr:nvSpPr>
        <xdr:cNvPr id="302" name="Shape 30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23</xdr:row>
      <xdr:rowOff>9525</xdr:rowOff>
    </xdr:from>
    <xdr:ext cx="323850" cy="180975"/>
    <xdr:sp macro="" textlink="">
      <xdr:nvSpPr>
        <xdr:cNvPr id="303" name="Shape 302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24</xdr:row>
      <xdr:rowOff>9525</xdr:rowOff>
    </xdr:from>
    <xdr:ext cx="323850" cy="180975"/>
    <xdr:sp macro="" textlink="">
      <xdr:nvSpPr>
        <xdr:cNvPr id="304" name="Shape 303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25</xdr:row>
      <xdr:rowOff>9525</xdr:rowOff>
    </xdr:from>
    <xdr:ext cx="323850" cy="180975"/>
    <xdr:sp macro="" textlink="">
      <xdr:nvSpPr>
        <xdr:cNvPr id="305" name="Shape 304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26</xdr:row>
      <xdr:rowOff>9525</xdr:rowOff>
    </xdr:from>
    <xdr:ext cx="323850" cy="180975"/>
    <xdr:sp macro="" textlink="">
      <xdr:nvSpPr>
        <xdr:cNvPr id="306" name="Shape 305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27</xdr:row>
      <xdr:rowOff>9525</xdr:rowOff>
    </xdr:from>
    <xdr:ext cx="323850" cy="180975"/>
    <xdr:sp macro="" textlink="">
      <xdr:nvSpPr>
        <xdr:cNvPr id="307" name="Shape 306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28</xdr:row>
      <xdr:rowOff>9525</xdr:rowOff>
    </xdr:from>
    <xdr:ext cx="323850" cy="180975"/>
    <xdr:sp macro="" textlink="">
      <xdr:nvSpPr>
        <xdr:cNvPr id="308" name="Shape 307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29</xdr:row>
      <xdr:rowOff>9525</xdr:rowOff>
    </xdr:from>
    <xdr:ext cx="323850" cy="180975"/>
    <xdr:sp macro="" textlink="">
      <xdr:nvSpPr>
        <xdr:cNvPr id="309" name="Shape 308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30</xdr:row>
      <xdr:rowOff>9525</xdr:rowOff>
    </xdr:from>
    <xdr:ext cx="323850" cy="180975"/>
    <xdr:sp macro="" textlink="">
      <xdr:nvSpPr>
        <xdr:cNvPr id="310" name="Shape 309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31</xdr:row>
      <xdr:rowOff>9525</xdr:rowOff>
    </xdr:from>
    <xdr:ext cx="323850" cy="180975"/>
    <xdr:sp macro="" textlink="">
      <xdr:nvSpPr>
        <xdr:cNvPr id="311" name="Shape 310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32</xdr:row>
      <xdr:rowOff>9525</xdr:rowOff>
    </xdr:from>
    <xdr:ext cx="323850" cy="180975"/>
    <xdr:sp macro="" textlink="">
      <xdr:nvSpPr>
        <xdr:cNvPr id="312" name="Shape 31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33</xdr:row>
      <xdr:rowOff>9525</xdr:rowOff>
    </xdr:from>
    <xdr:ext cx="323850" cy="180975"/>
    <xdr:sp macro="" textlink="">
      <xdr:nvSpPr>
        <xdr:cNvPr id="313" name="Shape 312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34</xdr:row>
      <xdr:rowOff>9525</xdr:rowOff>
    </xdr:from>
    <xdr:ext cx="323850" cy="180975"/>
    <xdr:sp macro="" textlink="">
      <xdr:nvSpPr>
        <xdr:cNvPr id="314" name="Shape 313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35</xdr:row>
      <xdr:rowOff>9525</xdr:rowOff>
    </xdr:from>
    <xdr:ext cx="323850" cy="180975"/>
    <xdr:sp macro="" textlink="">
      <xdr:nvSpPr>
        <xdr:cNvPr id="315" name="Shape 314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36</xdr:row>
      <xdr:rowOff>9525</xdr:rowOff>
    </xdr:from>
    <xdr:ext cx="323850" cy="180975"/>
    <xdr:sp macro="" textlink="">
      <xdr:nvSpPr>
        <xdr:cNvPr id="316" name="Shape 315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37</xdr:row>
      <xdr:rowOff>9525</xdr:rowOff>
    </xdr:from>
    <xdr:ext cx="323850" cy="180975"/>
    <xdr:sp macro="" textlink="">
      <xdr:nvSpPr>
        <xdr:cNvPr id="317" name="Shape 316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38</xdr:row>
      <xdr:rowOff>9525</xdr:rowOff>
    </xdr:from>
    <xdr:ext cx="323850" cy="180975"/>
    <xdr:sp macro="" textlink="">
      <xdr:nvSpPr>
        <xdr:cNvPr id="318" name="Shape 317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39</xdr:row>
      <xdr:rowOff>9525</xdr:rowOff>
    </xdr:from>
    <xdr:ext cx="323850" cy="180975"/>
    <xdr:sp macro="" textlink="">
      <xdr:nvSpPr>
        <xdr:cNvPr id="319" name="Shape 318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40</xdr:row>
      <xdr:rowOff>9525</xdr:rowOff>
    </xdr:from>
    <xdr:ext cx="323850" cy="180975"/>
    <xdr:sp macro="" textlink="">
      <xdr:nvSpPr>
        <xdr:cNvPr id="320" name="Shape 319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41</xdr:row>
      <xdr:rowOff>9525</xdr:rowOff>
    </xdr:from>
    <xdr:ext cx="323850" cy="180975"/>
    <xdr:sp macro="" textlink="">
      <xdr:nvSpPr>
        <xdr:cNvPr id="321" name="Shape 320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</xdr:row>
      <xdr:rowOff>9525</xdr:rowOff>
    </xdr:from>
    <xdr:ext cx="323850" cy="180975"/>
    <xdr:sp macro="" textlink="">
      <xdr:nvSpPr>
        <xdr:cNvPr id="322" name="Shape 32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</xdr:row>
      <xdr:rowOff>9525</xdr:rowOff>
    </xdr:from>
    <xdr:ext cx="323850" cy="180975"/>
    <xdr:sp macro="" textlink="">
      <xdr:nvSpPr>
        <xdr:cNvPr id="323" name="Shape 322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4</xdr:row>
      <xdr:rowOff>9525</xdr:rowOff>
    </xdr:from>
    <xdr:ext cx="323850" cy="180975"/>
    <xdr:sp macro="" textlink="">
      <xdr:nvSpPr>
        <xdr:cNvPr id="324" name="Shape 323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5</xdr:row>
      <xdr:rowOff>9525</xdr:rowOff>
    </xdr:from>
    <xdr:ext cx="323850" cy="180975"/>
    <xdr:sp macro="" textlink="">
      <xdr:nvSpPr>
        <xdr:cNvPr id="325" name="Shape 324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6</xdr:row>
      <xdr:rowOff>9525</xdr:rowOff>
    </xdr:from>
    <xdr:ext cx="323850" cy="180975"/>
    <xdr:sp macro="" textlink="">
      <xdr:nvSpPr>
        <xdr:cNvPr id="326" name="Shape 325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7</xdr:row>
      <xdr:rowOff>9525</xdr:rowOff>
    </xdr:from>
    <xdr:ext cx="323850" cy="180975"/>
    <xdr:sp macro="" textlink="">
      <xdr:nvSpPr>
        <xdr:cNvPr id="327" name="Shape 326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8</xdr:row>
      <xdr:rowOff>9525</xdr:rowOff>
    </xdr:from>
    <xdr:ext cx="323850" cy="180975"/>
    <xdr:sp macro="" textlink="">
      <xdr:nvSpPr>
        <xdr:cNvPr id="328" name="Shape 327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9</xdr:row>
      <xdr:rowOff>9525</xdr:rowOff>
    </xdr:from>
    <xdr:ext cx="323850" cy="180975"/>
    <xdr:sp macro="" textlink="">
      <xdr:nvSpPr>
        <xdr:cNvPr id="329" name="Shape 328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10</xdr:row>
      <xdr:rowOff>9525</xdr:rowOff>
    </xdr:from>
    <xdr:ext cx="323850" cy="180975"/>
    <xdr:sp macro="" textlink="">
      <xdr:nvSpPr>
        <xdr:cNvPr id="330" name="Shape 329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11</xdr:row>
      <xdr:rowOff>9525</xdr:rowOff>
    </xdr:from>
    <xdr:ext cx="323850" cy="180975"/>
    <xdr:sp macro="" textlink="">
      <xdr:nvSpPr>
        <xdr:cNvPr id="331" name="Shape 330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12</xdr:row>
      <xdr:rowOff>9525</xdr:rowOff>
    </xdr:from>
    <xdr:ext cx="323850" cy="180975"/>
    <xdr:sp macro="" textlink="">
      <xdr:nvSpPr>
        <xdr:cNvPr id="332" name="Shape 33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13</xdr:row>
      <xdr:rowOff>9525</xdr:rowOff>
    </xdr:from>
    <xdr:ext cx="323850" cy="180975"/>
    <xdr:sp macro="" textlink="">
      <xdr:nvSpPr>
        <xdr:cNvPr id="333" name="Shape 332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14</xdr:row>
      <xdr:rowOff>9525</xdr:rowOff>
    </xdr:from>
    <xdr:ext cx="323850" cy="180975"/>
    <xdr:sp macro="" textlink="">
      <xdr:nvSpPr>
        <xdr:cNvPr id="334" name="Shape 333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15</xdr:row>
      <xdr:rowOff>9525</xdr:rowOff>
    </xdr:from>
    <xdr:ext cx="323850" cy="180975"/>
    <xdr:sp macro="" textlink="">
      <xdr:nvSpPr>
        <xdr:cNvPr id="335" name="Shape 334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16</xdr:row>
      <xdr:rowOff>9525</xdr:rowOff>
    </xdr:from>
    <xdr:ext cx="323850" cy="180975"/>
    <xdr:sp macro="" textlink="">
      <xdr:nvSpPr>
        <xdr:cNvPr id="336" name="Shape 335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17</xdr:row>
      <xdr:rowOff>9525</xdr:rowOff>
    </xdr:from>
    <xdr:ext cx="323850" cy="180975"/>
    <xdr:sp macro="" textlink="">
      <xdr:nvSpPr>
        <xdr:cNvPr id="337" name="Shape 336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18</xdr:row>
      <xdr:rowOff>9525</xdr:rowOff>
    </xdr:from>
    <xdr:ext cx="323850" cy="180975"/>
    <xdr:sp macro="" textlink="">
      <xdr:nvSpPr>
        <xdr:cNvPr id="338" name="Shape 337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19</xdr:row>
      <xdr:rowOff>9525</xdr:rowOff>
    </xdr:from>
    <xdr:ext cx="323850" cy="180975"/>
    <xdr:sp macro="" textlink="">
      <xdr:nvSpPr>
        <xdr:cNvPr id="339" name="Shape 338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20</xdr:row>
      <xdr:rowOff>9525</xdr:rowOff>
    </xdr:from>
    <xdr:ext cx="323850" cy="180975"/>
    <xdr:sp macro="" textlink="">
      <xdr:nvSpPr>
        <xdr:cNvPr id="340" name="Shape 339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21</xdr:row>
      <xdr:rowOff>9525</xdr:rowOff>
    </xdr:from>
    <xdr:ext cx="323850" cy="180975"/>
    <xdr:sp macro="" textlink="">
      <xdr:nvSpPr>
        <xdr:cNvPr id="341" name="Shape 340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22</xdr:row>
      <xdr:rowOff>9525</xdr:rowOff>
    </xdr:from>
    <xdr:ext cx="323850" cy="180975"/>
    <xdr:sp macro="" textlink="">
      <xdr:nvSpPr>
        <xdr:cNvPr id="342" name="Shape 34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23</xdr:row>
      <xdr:rowOff>9525</xdr:rowOff>
    </xdr:from>
    <xdr:ext cx="323850" cy="180975"/>
    <xdr:sp macro="" textlink="">
      <xdr:nvSpPr>
        <xdr:cNvPr id="343" name="Shape 342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24</xdr:row>
      <xdr:rowOff>9525</xdr:rowOff>
    </xdr:from>
    <xdr:ext cx="323850" cy="180975"/>
    <xdr:sp macro="" textlink="">
      <xdr:nvSpPr>
        <xdr:cNvPr id="344" name="Shape 343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25</xdr:row>
      <xdr:rowOff>9525</xdr:rowOff>
    </xdr:from>
    <xdr:ext cx="323850" cy="180975"/>
    <xdr:sp macro="" textlink="">
      <xdr:nvSpPr>
        <xdr:cNvPr id="345" name="Shape 344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26</xdr:row>
      <xdr:rowOff>9525</xdr:rowOff>
    </xdr:from>
    <xdr:ext cx="323850" cy="180975"/>
    <xdr:sp macro="" textlink="">
      <xdr:nvSpPr>
        <xdr:cNvPr id="346" name="Shape 345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27</xdr:row>
      <xdr:rowOff>9525</xdr:rowOff>
    </xdr:from>
    <xdr:ext cx="323850" cy="180975"/>
    <xdr:sp macro="" textlink="">
      <xdr:nvSpPr>
        <xdr:cNvPr id="347" name="Shape 346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28</xdr:row>
      <xdr:rowOff>9525</xdr:rowOff>
    </xdr:from>
    <xdr:ext cx="323850" cy="180975"/>
    <xdr:sp macro="" textlink="">
      <xdr:nvSpPr>
        <xdr:cNvPr id="348" name="Shape 347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29</xdr:row>
      <xdr:rowOff>9525</xdr:rowOff>
    </xdr:from>
    <xdr:ext cx="323850" cy="180975"/>
    <xdr:sp macro="" textlink="">
      <xdr:nvSpPr>
        <xdr:cNvPr id="349" name="Shape 348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30</xdr:row>
      <xdr:rowOff>9525</xdr:rowOff>
    </xdr:from>
    <xdr:ext cx="323850" cy="180975"/>
    <xdr:sp macro="" textlink="">
      <xdr:nvSpPr>
        <xdr:cNvPr id="350" name="Shape 349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31</xdr:row>
      <xdr:rowOff>9525</xdr:rowOff>
    </xdr:from>
    <xdr:ext cx="323850" cy="180975"/>
    <xdr:sp macro="" textlink="">
      <xdr:nvSpPr>
        <xdr:cNvPr id="351" name="Shape 350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32</xdr:row>
      <xdr:rowOff>9525</xdr:rowOff>
    </xdr:from>
    <xdr:ext cx="323850" cy="180975"/>
    <xdr:sp macro="" textlink="">
      <xdr:nvSpPr>
        <xdr:cNvPr id="352" name="Shape 35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33</xdr:row>
      <xdr:rowOff>9525</xdr:rowOff>
    </xdr:from>
    <xdr:ext cx="323850" cy="180975"/>
    <xdr:sp macro="" textlink="">
      <xdr:nvSpPr>
        <xdr:cNvPr id="353" name="Shape 352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34</xdr:row>
      <xdr:rowOff>9525</xdr:rowOff>
    </xdr:from>
    <xdr:ext cx="323850" cy="180975"/>
    <xdr:sp macro="" textlink="">
      <xdr:nvSpPr>
        <xdr:cNvPr id="354" name="Shape 353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35</xdr:row>
      <xdr:rowOff>9525</xdr:rowOff>
    </xdr:from>
    <xdr:ext cx="323850" cy="180975"/>
    <xdr:sp macro="" textlink="">
      <xdr:nvSpPr>
        <xdr:cNvPr id="355" name="Shape 354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36</xdr:row>
      <xdr:rowOff>9525</xdr:rowOff>
    </xdr:from>
    <xdr:ext cx="323850" cy="180975"/>
    <xdr:sp macro="" textlink="">
      <xdr:nvSpPr>
        <xdr:cNvPr id="356" name="Shape 355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37</xdr:row>
      <xdr:rowOff>9525</xdr:rowOff>
    </xdr:from>
    <xdr:ext cx="323850" cy="180975"/>
    <xdr:sp macro="" textlink="">
      <xdr:nvSpPr>
        <xdr:cNvPr id="357" name="Shape 356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38</xdr:row>
      <xdr:rowOff>9525</xdr:rowOff>
    </xdr:from>
    <xdr:ext cx="323850" cy="180975"/>
    <xdr:sp macro="" textlink="">
      <xdr:nvSpPr>
        <xdr:cNvPr id="358" name="Shape 357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39</xdr:row>
      <xdr:rowOff>9525</xdr:rowOff>
    </xdr:from>
    <xdr:ext cx="323850" cy="180975"/>
    <xdr:sp macro="" textlink="">
      <xdr:nvSpPr>
        <xdr:cNvPr id="359" name="Shape 358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40</xdr:row>
      <xdr:rowOff>9525</xdr:rowOff>
    </xdr:from>
    <xdr:ext cx="323850" cy="180975"/>
    <xdr:sp macro="" textlink="">
      <xdr:nvSpPr>
        <xdr:cNvPr id="360" name="Shape 359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41</xdr:row>
      <xdr:rowOff>9525</xdr:rowOff>
    </xdr:from>
    <xdr:ext cx="323850" cy="180975"/>
    <xdr:sp macro="" textlink="">
      <xdr:nvSpPr>
        <xdr:cNvPr id="361" name="Shape 360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</xdr:row>
      <xdr:rowOff>9525</xdr:rowOff>
    </xdr:from>
    <xdr:ext cx="323850" cy="180975"/>
    <xdr:sp macro="" textlink="">
      <xdr:nvSpPr>
        <xdr:cNvPr id="362" name="Shape 36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</xdr:row>
      <xdr:rowOff>9525</xdr:rowOff>
    </xdr:from>
    <xdr:ext cx="323850" cy="180975"/>
    <xdr:sp macro="" textlink="">
      <xdr:nvSpPr>
        <xdr:cNvPr id="363" name="Shape 362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4</xdr:row>
      <xdr:rowOff>9525</xdr:rowOff>
    </xdr:from>
    <xdr:ext cx="323850" cy="180975"/>
    <xdr:sp macro="" textlink="">
      <xdr:nvSpPr>
        <xdr:cNvPr id="364" name="Shape 363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5</xdr:row>
      <xdr:rowOff>9525</xdr:rowOff>
    </xdr:from>
    <xdr:ext cx="323850" cy="180975"/>
    <xdr:sp macro="" textlink="">
      <xdr:nvSpPr>
        <xdr:cNvPr id="365" name="Shape 364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6</xdr:row>
      <xdr:rowOff>9525</xdr:rowOff>
    </xdr:from>
    <xdr:ext cx="323850" cy="180975"/>
    <xdr:sp macro="" textlink="">
      <xdr:nvSpPr>
        <xdr:cNvPr id="366" name="Shape 365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7</xdr:row>
      <xdr:rowOff>9525</xdr:rowOff>
    </xdr:from>
    <xdr:ext cx="323850" cy="180975"/>
    <xdr:sp macro="" textlink="">
      <xdr:nvSpPr>
        <xdr:cNvPr id="367" name="Shape 366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8</xdr:row>
      <xdr:rowOff>9525</xdr:rowOff>
    </xdr:from>
    <xdr:ext cx="323850" cy="180975"/>
    <xdr:sp macro="" textlink="">
      <xdr:nvSpPr>
        <xdr:cNvPr id="368" name="Shape 367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9</xdr:row>
      <xdr:rowOff>9525</xdr:rowOff>
    </xdr:from>
    <xdr:ext cx="323850" cy="180975"/>
    <xdr:sp macro="" textlink="">
      <xdr:nvSpPr>
        <xdr:cNvPr id="369" name="Shape 368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10</xdr:row>
      <xdr:rowOff>9525</xdr:rowOff>
    </xdr:from>
    <xdr:ext cx="323850" cy="180975"/>
    <xdr:sp macro="" textlink="">
      <xdr:nvSpPr>
        <xdr:cNvPr id="370" name="Shape 369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11</xdr:row>
      <xdr:rowOff>9525</xdr:rowOff>
    </xdr:from>
    <xdr:ext cx="323850" cy="180975"/>
    <xdr:sp macro="" textlink="">
      <xdr:nvSpPr>
        <xdr:cNvPr id="371" name="Shape 370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12</xdr:row>
      <xdr:rowOff>9525</xdr:rowOff>
    </xdr:from>
    <xdr:ext cx="323850" cy="180975"/>
    <xdr:sp macro="" textlink="">
      <xdr:nvSpPr>
        <xdr:cNvPr id="372" name="Shape 37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13</xdr:row>
      <xdr:rowOff>9525</xdr:rowOff>
    </xdr:from>
    <xdr:ext cx="323850" cy="180975"/>
    <xdr:sp macro="" textlink="">
      <xdr:nvSpPr>
        <xdr:cNvPr id="373" name="Shape 372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14</xdr:row>
      <xdr:rowOff>9525</xdr:rowOff>
    </xdr:from>
    <xdr:ext cx="323850" cy="180975"/>
    <xdr:sp macro="" textlink="">
      <xdr:nvSpPr>
        <xdr:cNvPr id="374" name="Shape 373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15</xdr:row>
      <xdr:rowOff>9525</xdr:rowOff>
    </xdr:from>
    <xdr:ext cx="323850" cy="180975"/>
    <xdr:sp macro="" textlink="">
      <xdr:nvSpPr>
        <xdr:cNvPr id="375" name="Shape 374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16</xdr:row>
      <xdr:rowOff>9525</xdr:rowOff>
    </xdr:from>
    <xdr:ext cx="323850" cy="180975"/>
    <xdr:sp macro="" textlink="">
      <xdr:nvSpPr>
        <xdr:cNvPr id="376" name="Shape 375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17</xdr:row>
      <xdr:rowOff>9525</xdr:rowOff>
    </xdr:from>
    <xdr:ext cx="323850" cy="180975"/>
    <xdr:sp macro="" textlink="">
      <xdr:nvSpPr>
        <xdr:cNvPr id="377" name="Shape 376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18</xdr:row>
      <xdr:rowOff>9525</xdr:rowOff>
    </xdr:from>
    <xdr:ext cx="323850" cy="180975"/>
    <xdr:sp macro="" textlink="">
      <xdr:nvSpPr>
        <xdr:cNvPr id="378" name="Shape 377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19</xdr:row>
      <xdr:rowOff>9525</xdr:rowOff>
    </xdr:from>
    <xdr:ext cx="323850" cy="180975"/>
    <xdr:sp macro="" textlink="">
      <xdr:nvSpPr>
        <xdr:cNvPr id="379" name="Shape 378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20</xdr:row>
      <xdr:rowOff>9525</xdr:rowOff>
    </xdr:from>
    <xdr:ext cx="323850" cy="180975"/>
    <xdr:sp macro="" textlink="">
      <xdr:nvSpPr>
        <xdr:cNvPr id="380" name="Shape 379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21</xdr:row>
      <xdr:rowOff>9525</xdr:rowOff>
    </xdr:from>
    <xdr:ext cx="323850" cy="180975"/>
    <xdr:sp macro="" textlink="">
      <xdr:nvSpPr>
        <xdr:cNvPr id="381" name="Shape 380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22</xdr:row>
      <xdr:rowOff>9525</xdr:rowOff>
    </xdr:from>
    <xdr:ext cx="323850" cy="180975"/>
    <xdr:sp macro="" textlink="">
      <xdr:nvSpPr>
        <xdr:cNvPr id="382" name="Shape 38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23</xdr:row>
      <xdr:rowOff>9525</xdr:rowOff>
    </xdr:from>
    <xdr:ext cx="323850" cy="180975"/>
    <xdr:sp macro="" textlink="">
      <xdr:nvSpPr>
        <xdr:cNvPr id="383" name="Shape 382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24</xdr:row>
      <xdr:rowOff>9525</xdr:rowOff>
    </xdr:from>
    <xdr:ext cx="323850" cy="180975"/>
    <xdr:sp macro="" textlink="">
      <xdr:nvSpPr>
        <xdr:cNvPr id="384" name="Shape 383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25</xdr:row>
      <xdr:rowOff>9525</xdr:rowOff>
    </xdr:from>
    <xdr:ext cx="323850" cy="180975"/>
    <xdr:sp macro="" textlink="">
      <xdr:nvSpPr>
        <xdr:cNvPr id="385" name="Shape 384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26</xdr:row>
      <xdr:rowOff>9525</xdr:rowOff>
    </xdr:from>
    <xdr:ext cx="323850" cy="180975"/>
    <xdr:sp macro="" textlink="">
      <xdr:nvSpPr>
        <xdr:cNvPr id="386" name="Shape 385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27</xdr:row>
      <xdr:rowOff>9525</xdr:rowOff>
    </xdr:from>
    <xdr:ext cx="323850" cy="180975"/>
    <xdr:sp macro="" textlink="">
      <xdr:nvSpPr>
        <xdr:cNvPr id="387" name="Shape 386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28</xdr:row>
      <xdr:rowOff>9525</xdr:rowOff>
    </xdr:from>
    <xdr:ext cx="323850" cy="180975"/>
    <xdr:sp macro="" textlink="">
      <xdr:nvSpPr>
        <xdr:cNvPr id="388" name="Shape 387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29</xdr:row>
      <xdr:rowOff>9525</xdr:rowOff>
    </xdr:from>
    <xdr:ext cx="323850" cy="180975"/>
    <xdr:sp macro="" textlink="">
      <xdr:nvSpPr>
        <xdr:cNvPr id="389" name="Shape 388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30</xdr:row>
      <xdr:rowOff>9525</xdr:rowOff>
    </xdr:from>
    <xdr:ext cx="323850" cy="180975"/>
    <xdr:sp macro="" textlink="">
      <xdr:nvSpPr>
        <xdr:cNvPr id="390" name="Shape 389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31</xdr:row>
      <xdr:rowOff>9525</xdr:rowOff>
    </xdr:from>
    <xdr:ext cx="323850" cy="180975"/>
    <xdr:sp macro="" textlink="">
      <xdr:nvSpPr>
        <xdr:cNvPr id="391" name="Shape 390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32</xdr:row>
      <xdr:rowOff>9525</xdr:rowOff>
    </xdr:from>
    <xdr:ext cx="323850" cy="180975"/>
    <xdr:sp macro="" textlink="">
      <xdr:nvSpPr>
        <xdr:cNvPr id="392" name="Shape 39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33</xdr:row>
      <xdr:rowOff>9525</xdr:rowOff>
    </xdr:from>
    <xdr:ext cx="323850" cy="180975"/>
    <xdr:sp macro="" textlink="">
      <xdr:nvSpPr>
        <xdr:cNvPr id="393" name="Shape 392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34</xdr:row>
      <xdr:rowOff>9525</xdr:rowOff>
    </xdr:from>
    <xdr:ext cx="323850" cy="180975"/>
    <xdr:sp macro="" textlink="">
      <xdr:nvSpPr>
        <xdr:cNvPr id="394" name="Shape 393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35</xdr:row>
      <xdr:rowOff>9525</xdr:rowOff>
    </xdr:from>
    <xdr:ext cx="323850" cy="180975"/>
    <xdr:sp macro="" textlink="">
      <xdr:nvSpPr>
        <xdr:cNvPr id="395" name="Shape 394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36</xdr:row>
      <xdr:rowOff>9525</xdr:rowOff>
    </xdr:from>
    <xdr:ext cx="323850" cy="180975"/>
    <xdr:sp macro="" textlink="">
      <xdr:nvSpPr>
        <xdr:cNvPr id="396" name="Shape 395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37</xdr:row>
      <xdr:rowOff>9525</xdr:rowOff>
    </xdr:from>
    <xdr:ext cx="323850" cy="180975"/>
    <xdr:sp macro="" textlink="">
      <xdr:nvSpPr>
        <xdr:cNvPr id="397" name="Shape 396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38</xdr:row>
      <xdr:rowOff>9525</xdr:rowOff>
    </xdr:from>
    <xdr:ext cx="323850" cy="180975"/>
    <xdr:sp macro="" textlink="">
      <xdr:nvSpPr>
        <xdr:cNvPr id="398" name="Shape 397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39</xdr:row>
      <xdr:rowOff>9525</xdr:rowOff>
    </xdr:from>
    <xdr:ext cx="323850" cy="180975"/>
    <xdr:sp macro="" textlink="">
      <xdr:nvSpPr>
        <xdr:cNvPr id="399" name="Shape 398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40</xdr:row>
      <xdr:rowOff>9525</xdr:rowOff>
    </xdr:from>
    <xdr:ext cx="323850" cy="180975"/>
    <xdr:sp macro="" textlink="">
      <xdr:nvSpPr>
        <xdr:cNvPr id="400" name="Shape 399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41</xdr:row>
      <xdr:rowOff>9525</xdr:rowOff>
    </xdr:from>
    <xdr:ext cx="323850" cy="180975"/>
    <xdr:sp macro="" textlink="">
      <xdr:nvSpPr>
        <xdr:cNvPr id="401" name="Shape 400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</xdr:row>
      <xdr:rowOff>9525</xdr:rowOff>
    </xdr:from>
    <xdr:ext cx="323850" cy="180975"/>
    <xdr:sp macro="" textlink="">
      <xdr:nvSpPr>
        <xdr:cNvPr id="402" name="Shape 40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</xdr:row>
      <xdr:rowOff>9525</xdr:rowOff>
    </xdr:from>
    <xdr:ext cx="323850" cy="180975"/>
    <xdr:sp macro="" textlink="">
      <xdr:nvSpPr>
        <xdr:cNvPr id="403" name="Shape 402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4</xdr:row>
      <xdr:rowOff>9525</xdr:rowOff>
    </xdr:from>
    <xdr:ext cx="323850" cy="180975"/>
    <xdr:sp macro="" textlink="">
      <xdr:nvSpPr>
        <xdr:cNvPr id="404" name="Shape 403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5</xdr:row>
      <xdr:rowOff>9525</xdr:rowOff>
    </xdr:from>
    <xdr:ext cx="323850" cy="180975"/>
    <xdr:sp macro="" textlink="">
      <xdr:nvSpPr>
        <xdr:cNvPr id="405" name="Shape 404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6</xdr:row>
      <xdr:rowOff>9525</xdr:rowOff>
    </xdr:from>
    <xdr:ext cx="323850" cy="180975"/>
    <xdr:sp macro="" textlink="">
      <xdr:nvSpPr>
        <xdr:cNvPr id="406" name="Shape 405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7</xdr:row>
      <xdr:rowOff>9525</xdr:rowOff>
    </xdr:from>
    <xdr:ext cx="323850" cy="180975"/>
    <xdr:sp macro="" textlink="">
      <xdr:nvSpPr>
        <xdr:cNvPr id="407" name="Shape 406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8</xdr:row>
      <xdr:rowOff>9525</xdr:rowOff>
    </xdr:from>
    <xdr:ext cx="323850" cy="180975"/>
    <xdr:sp macro="" textlink="">
      <xdr:nvSpPr>
        <xdr:cNvPr id="408" name="Shape 407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9</xdr:row>
      <xdr:rowOff>9525</xdr:rowOff>
    </xdr:from>
    <xdr:ext cx="323850" cy="180975"/>
    <xdr:sp macro="" textlink="">
      <xdr:nvSpPr>
        <xdr:cNvPr id="409" name="Shape 408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10</xdr:row>
      <xdr:rowOff>9525</xdr:rowOff>
    </xdr:from>
    <xdr:ext cx="323850" cy="180975"/>
    <xdr:sp macro="" textlink="">
      <xdr:nvSpPr>
        <xdr:cNvPr id="410" name="Shape 409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11</xdr:row>
      <xdr:rowOff>9525</xdr:rowOff>
    </xdr:from>
    <xdr:ext cx="323850" cy="180975"/>
    <xdr:sp macro="" textlink="">
      <xdr:nvSpPr>
        <xdr:cNvPr id="411" name="Shape 410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12</xdr:row>
      <xdr:rowOff>9525</xdr:rowOff>
    </xdr:from>
    <xdr:ext cx="323850" cy="180975"/>
    <xdr:sp macro="" textlink="">
      <xdr:nvSpPr>
        <xdr:cNvPr id="412" name="Shape 41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13</xdr:row>
      <xdr:rowOff>9525</xdr:rowOff>
    </xdr:from>
    <xdr:ext cx="323850" cy="180975"/>
    <xdr:sp macro="" textlink="">
      <xdr:nvSpPr>
        <xdr:cNvPr id="413" name="Shape 412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14</xdr:row>
      <xdr:rowOff>9525</xdr:rowOff>
    </xdr:from>
    <xdr:ext cx="323850" cy="180975"/>
    <xdr:sp macro="" textlink="">
      <xdr:nvSpPr>
        <xdr:cNvPr id="414" name="Shape 413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15</xdr:row>
      <xdr:rowOff>9525</xdr:rowOff>
    </xdr:from>
    <xdr:ext cx="323850" cy="180975"/>
    <xdr:sp macro="" textlink="">
      <xdr:nvSpPr>
        <xdr:cNvPr id="415" name="Shape 414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16</xdr:row>
      <xdr:rowOff>9525</xdr:rowOff>
    </xdr:from>
    <xdr:ext cx="323850" cy="180975"/>
    <xdr:sp macro="" textlink="">
      <xdr:nvSpPr>
        <xdr:cNvPr id="416" name="Shape 415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17</xdr:row>
      <xdr:rowOff>9525</xdr:rowOff>
    </xdr:from>
    <xdr:ext cx="323850" cy="180975"/>
    <xdr:sp macro="" textlink="">
      <xdr:nvSpPr>
        <xdr:cNvPr id="417" name="Shape 416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18</xdr:row>
      <xdr:rowOff>9525</xdr:rowOff>
    </xdr:from>
    <xdr:ext cx="323850" cy="180975"/>
    <xdr:sp macro="" textlink="">
      <xdr:nvSpPr>
        <xdr:cNvPr id="418" name="Shape 417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19</xdr:row>
      <xdr:rowOff>9525</xdr:rowOff>
    </xdr:from>
    <xdr:ext cx="323850" cy="180975"/>
    <xdr:sp macro="" textlink="">
      <xdr:nvSpPr>
        <xdr:cNvPr id="419" name="Shape 418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20</xdr:row>
      <xdr:rowOff>9525</xdr:rowOff>
    </xdr:from>
    <xdr:ext cx="323850" cy="180975"/>
    <xdr:sp macro="" textlink="">
      <xdr:nvSpPr>
        <xdr:cNvPr id="420" name="Shape 419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21</xdr:row>
      <xdr:rowOff>9525</xdr:rowOff>
    </xdr:from>
    <xdr:ext cx="323850" cy="180975"/>
    <xdr:sp macro="" textlink="">
      <xdr:nvSpPr>
        <xdr:cNvPr id="421" name="Shape 420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22</xdr:row>
      <xdr:rowOff>9525</xdr:rowOff>
    </xdr:from>
    <xdr:ext cx="323850" cy="180975"/>
    <xdr:sp macro="" textlink="">
      <xdr:nvSpPr>
        <xdr:cNvPr id="422" name="Shape 42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23</xdr:row>
      <xdr:rowOff>9525</xdr:rowOff>
    </xdr:from>
    <xdr:ext cx="323850" cy="180975"/>
    <xdr:sp macro="" textlink="">
      <xdr:nvSpPr>
        <xdr:cNvPr id="423" name="Shape 422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24</xdr:row>
      <xdr:rowOff>9525</xdr:rowOff>
    </xdr:from>
    <xdr:ext cx="323850" cy="180975"/>
    <xdr:sp macro="" textlink="">
      <xdr:nvSpPr>
        <xdr:cNvPr id="424" name="Shape 423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25</xdr:row>
      <xdr:rowOff>9525</xdr:rowOff>
    </xdr:from>
    <xdr:ext cx="323850" cy="180975"/>
    <xdr:sp macro="" textlink="">
      <xdr:nvSpPr>
        <xdr:cNvPr id="425" name="Shape 424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26</xdr:row>
      <xdr:rowOff>9525</xdr:rowOff>
    </xdr:from>
    <xdr:ext cx="323850" cy="180975"/>
    <xdr:sp macro="" textlink="">
      <xdr:nvSpPr>
        <xdr:cNvPr id="426" name="Shape 425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27</xdr:row>
      <xdr:rowOff>9525</xdr:rowOff>
    </xdr:from>
    <xdr:ext cx="323850" cy="180975"/>
    <xdr:sp macro="" textlink="">
      <xdr:nvSpPr>
        <xdr:cNvPr id="427" name="Shape 426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28</xdr:row>
      <xdr:rowOff>9525</xdr:rowOff>
    </xdr:from>
    <xdr:ext cx="323850" cy="180975"/>
    <xdr:sp macro="" textlink="">
      <xdr:nvSpPr>
        <xdr:cNvPr id="428" name="Shape 427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29</xdr:row>
      <xdr:rowOff>9525</xdr:rowOff>
    </xdr:from>
    <xdr:ext cx="323850" cy="180975"/>
    <xdr:sp macro="" textlink="">
      <xdr:nvSpPr>
        <xdr:cNvPr id="429" name="Shape 428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30</xdr:row>
      <xdr:rowOff>9525</xdr:rowOff>
    </xdr:from>
    <xdr:ext cx="323850" cy="180975"/>
    <xdr:sp macro="" textlink="">
      <xdr:nvSpPr>
        <xdr:cNvPr id="430" name="Shape 429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31</xdr:row>
      <xdr:rowOff>9525</xdr:rowOff>
    </xdr:from>
    <xdr:ext cx="323850" cy="180975"/>
    <xdr:sp macro="" textlink="">
      <xdr:nvSpPr>
        <xdr:cNvPr id="431" name="Shape 430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32</xdr:row>
      <xdr:rowOff>9525</xdr:rowOff>
    </xdr:from>
    <xdr:ext cx="323850" cy="180975"/>
    <xdr:sp macro="" textlink="">
      <xdr:nvSpPr>
        <xdr:cNvPr id="432" name="Shape 43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33</xdr:row>
      <xdr:rowOff>9525</xdr:rowOff>
    </xdr:from>
    <xdr:ext cx="323850" cy="180975"/>
    <xdr:sp macro="" textlink="">
      <xdr:nvSpPr>
        <xdr:cNvPr id="433" name="Shape 432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34</xdr:row>
      <xdr:rowOff>9525</xdr:rowOff>
    </xdr:from>
    <xdr:ext cx="323850" cy="180975"/>
    <xdr:sp macro="" textlink="">
      <xdr:nvSpPr>
        <xdr:cNvPr id="434" name="Shape 433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35</xdr:row>
      <xdr:rowOff>9525</xdr:rowOff>
    </xdr:from>
    <xdr:ext cx="323850" cy="180975"/>
    <xdr:sp macro="" textlink="">
      <xdr:nvSpPr>
        <xdr:cNvPr id="435" name="Shape 434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36</xdr:row>
      <xdr:rowOff>9525</xdr:rowOff>
    </xdr:from>
    <xdr:ext cx="323850" cy="180975"/>
    <xdr:sp macro="" textlink="">
      <xdr:nvSpPr>
        <xdr:cNvPr id="436" name="Shape 435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37</xdr:row>
      <xdr:rowOff>9525</xdr:rowOff>
    </xdr:from>
    <xdr:ext cx="323850" cy="180975"/>
    <xdr:sp macro="" textlink="">
      <xdr:nvSpPr>
        <xdr:cNvPr id="437" name="Shape 436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38</xdr:row>
      <xdr:rowOff>9525</xdr:rowOff>
    </xdr:from>
    <xdr:ext cx="323850" cy="180975"/>
    <xdr:sp macro="" textlink="">
      <xdr:nvSpPr>
        <xdr:cNvPr id="438" name="Shape 437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39</xdr:row>
      <xdr:rowOff>9525</xdr:rowOff>
    </xdr:from>
    <xdr:ext cx="323850" cy="180975"/>
    <xdr:sp macro="" textlink="">
      <xdr:nvSpPr>
        <xdr:cNvPr id="439" name="Shape 438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40</xdr:row>
      <xdr:rowOff>9525</xdr:rowOff>
    </xdr:from>
    <xdr:ext cx="323850" cy="180975"/>
    <xdr:sp macro="" textlink="">
      <xdr:nvSpPr>
        <xdr:cNvPr id="440" name="Shape 439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41</xdr:row>
      <xdr:rowOff>9525</xdr:rowOff>
    </xdr:from>
    <xdr:ext cx="323850" cy="180975"/>
    <xdr:sp macro="" textlink="">
      <xdr:nvSpPr>
        <xdr:cNvPr id="441" name="Shape 440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</xdr:row>
      <xdr:rowOff>9525</xdr:rowOff>
    </xdr:from>
    <xdr:ext cx="323850" cy="180975"/>
    <xdr:sp macro="" textlink="">
      <xdr:nvSpPr>
        <xdr:cNvPr id="442" name="Shape 44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</xdr:row>
      <xdr:rowOff>9525</xdr:rowOff>
    </xdr:from>
    <xdr:ext cx="323850" cy="180975"/>
    <xdr:sp macro="" textlink="">
      <xdr:nvSpPr>
        <xdr:cNvPr id="443" name="Shape 442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4</xdr:row>
      <xdr:rowOff>9525</xdr:rowOff>
    </xdr:from>
    <xdr:ext cx="323850" cy="180975"/>
    <xdr:sp macro="" textlink="">
      <xdr:nvSpPr>
        <xdr:cNvPr id="444" name="Shape 443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5</xdr:row>
      <xdr:rowOff>9525</xdr:rowOff>
    </xdr:from>
    <xdr:ext cx="323850" cy="180975"/>
    <xdr:sp macro="" textlink="">
      <xdr:nvSpPr>
        <xdr:cNvPr id="445" name="Shape 444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6</xdr:row>
      <xdr:rowOff>9525</xdr:rowOff>
    </xdr:from>
    <xdr:ext cx="323850" cy="180975"/>
    <xdr:sp macro="" textlink="">
      <xdr:nvSpPr>
        <xdr:cNvPr id="446" name="Shape 445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7</xdr:row>
      <xdr:rowOff>9525</xdr:rowOff>
    </xdr:from>
    <xdr:ext cx="323850" cy="180975"/>
    <xdr:sp macro="" textlink="">
      <xdr:nvSpPr>
        <xdr:cNvPr id="447" name="Shape 446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8</xdr:row>
      <xdr:rowOff>9525</xdr:rowOff>
    </xdr:from>
    <xdr:ext cx="323850" cy="180975"/>
    <xdr:sp macro="" textlink="">
      <xdr:nvSpPr>
        <xdr:cNvPr id="448" name="Shape 447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9</xdr:row>
      <xdr:rowOff>9525</xdr:rowOff>
    </xdr:from>
    <xdr:ext cx="323850" cy="180975"/>
    <xdr:sp macro="" textlink="">
      <xdr:nvSpPr>
        <xdr:cNvPr id="449" name="Shape 448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10</xdr:row>
      <xdr:rowOff>9525</xdr:rowOff>
    </xdr:from>
    <xdr:ext cx="323850" cy="180975"/>
    <xdr:sp macro="" textlink="">
      <xdr:nvSpPr>
        <xdr:cNvPr id="450" name="Shape 449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11</xdr:row>
      <xdr:rowOff>9525</xdr:rowOff>
    </xdr:from>
    <xdr:ext cx="323850" cy="180975"/>
    <xdr:sp macro="" textlink="">
      <xdr:nvSpPr>
        <xdr:cNvPr id="451" name="Shape 450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12</xdr:row>
      <xdr:rowOff>9525</xdr:rowOff>
    </xdr:from>
    <xdr:ext cx="323850" cy="180975"/>
    <xdr:sp macro="" textlink="">
      <xdr:nvSpPr>
        <xdr:cNvPr id="452" name="Shape 45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13</xdr:row>
      <xdr:rowOff>9525</xdr:rowOff>
    </xdr:from>
    <xdr:ext cx="323850" cy="180975"/>
    <xdr:sp macro="" textlink="">
      <xdr:nvSpPr>
        <xdr:cNvPr id="453" name="Shape 452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14</xdr:row>
      <xdr:rowOff>9525</xdr:rowOff>
    </xdr:from>
    <xdr:ext cx="323850" cy="180975"/>
    <xdr:sp macro="" textlink="">
      <xdr:nvSpPr>
        <xdr:cNvPr id="454" name="Shape 453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15</xdr:row>
      <xdr:rowOff>9525</xdr:rowOff>
    </xdr:from>
    <xdr:ext cx="323850" cy="180975"/>
    <xdr:sp macro="" textlink="">
      <xdr:nvSpPr>
        <xdr:cNvPr id="455" name="Shape 454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16</xdr:row>
      <xdr:rowOff>9525</xdr:rowOff>
    </xdr:from>
    <xdr:ext cx="323850" cy="180975"/>
    <xdr:sp macro="" textlink="">
      <xdr:nvSpPr>
        <xdr:cNvPr id="456" name="Shape 455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17</xdr:row>
      <xdr:rowOff>9525</xdr:rowOff>
    </xdr:from>
    <xdr:ext cx="323850" cy="180975"/>
    <xdr:sp macro="" textlink="">
      <xdr:nvSpPr>
        <xdr:cNvPr id="457" name="Shape 456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18</xdr:row>
      <xdr:rowOff>9525</xdr:rowOff>
    </xdr:from>
    <xdr:ext cx="323850" cy="180975"/>
    <xdr:sp macro="" textlink="">
      <xdr:nvSpPr>
        <xdr:cNvPr id="458" name="Shape 457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19</xdr:row>
      <xdr:rowOff>9525</xdr:rowOff>
    </xdr:from>
    <xdr:ext cx="323850" cy="180975"/>
    <xdr:sp macro="" textlink="">
      <xdr:nvSpPr>
        <xdr:cNvPr id="459" name="Shape 458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20</xdr:row>
      <xdr:rowOff>9525</xdr:rowOff>
    </xdr:from>
    <xdr:ext cx="323850" cy="180975"/>
    <xdr:sp macro="" textlink="">
      <xdr:nvSpPr>
        <xdr:cNvPr id="460" name="Shape 459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21</xdr:row>
      <xdr:rowOff>9525</xdr:rowOff>
    </xdr:from>
    <xdr:ext cx="323850" cy="180975"/>
    <xdr:sp macro="" textlink="">
      <xdr:nvSpPr>
        <xdr:cNvPr id="461" name="Shape 460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22</xdr:row>
      <xdr:rowOff>9525</xdr:rowOff>
    </xdr:from>
    <xdr:ext cx="323850" cy="180975"/>
    <xdr:sp macro="" textlink="">
      <xdr:nvSpPr>
        <xdr:cNvPr id="462" name="Shape 46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23</xdr:row>
      <xdr:rowOff>9525</xdr:rowOff>
    </xdr:from>
    <xdr:ext cx="323850" cy="180975"/>
    <xdr:sp macro="" textlink="">
      <xdr:nvSpPr>
        <xdr:cNvPr id="463" name="Shape 462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24</xdr:row>
      <xdr:rowOff>9525</xdr:rowOff>
    </xdr:from>
    <xdr:ext cx="323850" cy="180975"/>
    <xdr:sp macro="" textlink="">
      <xdr:nvSpPr>
        <xdr:cNvPr id="464" name="Shape 463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25</xdr:row>
      <xdr:rowOff>9525</xdr:rowOff>
    </xdr:from>
    <xdr:ext cx="323850" cy="180975"/>
    <xdr:sp macro="" textlink="">
      <xdr:nvSpPr>
        <xdr:cNvPr id="465" name="Shape 464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26</xdr:row>
      <xdr:rowOff>9525</xdr:rowOff>
    </xdr:from>
    <xdr:ext cx="323850" cy="180975"/>
    <xdr:sp macro="" textlink="">
      <xdr:nvSpPr>
        <xdr:cNvPr id="466" name="Shape 465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27</xdr:row>
      <xdr:rowOff>9525</xdr:rowOff>
    </xdr:from>
    <xdr:ext cx="323850" cy="180975"/>
    <xdr:sp macro="" textlink="">
      <xdr:nvSpPr>
        <xdr:cNvPr id="467" name="Shape 466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28</xdr:row>
      <xdr:rowOff>9525</xdr:rowOff>
    </xdr:from>
    <xdr:ext cx="323850" cy="180975"/>
    <xdr:sp macro="" textlink="">
      <xdr:nvSpPr>
        <xdr:cNvPr id="468" name="Shape 467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29</xdr:row>
      <xdr:rowOff>9525</xdr:rowOff>
    </xdr:from>
    <xdr:ext cx="323850" cy="180975"/>
    <xdr:sp macro="" textlink="">
      <xdr:nvSpPr>
        <xdr:cNvPr id="469" name="Shape 468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30</xdr:row>
      <xdr:rowOff>9525</xdr:rowOff>
    </xdr:from>
    <xdr:ext cx="323850" cy="180975"/>
    <xdr:sp macro="" textlink="">
      <xdr:nvSpPr>
        <xdr:cNvPr id="470" name="Shape 469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31</xdr:row>
      <xdr:rowOff>9525</xdr:rowOff>
    </xdr:from>
    <xdr:ext cx="323850" cy="180975"/>
    <xdr:sp macro="" textlink="">
      <xdr:nvSpPr>
        <xdr:cNvPr id="471" name="Shape 470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32</xdr:row>
      <xdr:rowOff>9525</xdr:rowOff>
    </xdr:from>
    <xdr:ext cx="323850" cy="180975"/>
    <xdr:sp macro="" textlink="">
      <xdr:nvSpPr>
        <xdr:cNvPr id="472" name="Shape 47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33</xdr:row>
      <xdr:rowOff>9525</xdr:rowOff>
    </xdr:from>
    <xdr:ext cx="323850" cy="180975"/>
    <xdr:sp macro="" textlink="">
      <xdr:nvSpPr>
        <xdr:cNvPr id="473" name="Shape 472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34</xdr:row>
      <xdr:rowOff>9525</xdr:rowOff>
    </xdr:from>
    <xdr:ext cx="323850" cy="180975"/>
    <xdr:sp macro="" textlink="">
      <xdr:nvSpPr>
        <xdr:cNvPr id="474" name="Shape 473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35</xdr:row>
      <xdr:rowOff>9525</xdr:rowOff>
    </xdr:from>
    <xdr:ext cx="323850" cy="180975"/>
    <xdr:sp macro="" textlink="">
      <xdr:nvSpPr>
        <xdr:cNvPr id="475" name="Shape 474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36</xdr:row>
      <xdr:rowOff>9525</xdr:rowOff>
    </xdr:from>
    <xdr:ext cx="323850" cy="180975"/>
    <xdr:sp macro="" textlink="">
      <xdr:nvSpPr>
        <xdr:cNvPr id="476" name="Shape 475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37</xdr:row>
      <xdr:rowOff>9525</xdr:rowOff>
    </xdr:from>
    <xdr:ext cx="323850" cy="180975"/>
    <xdr:sp macro="" textlink="">
      <xdr:nvSpPr>
        <xdr:cNvPr id="477" name="Shape 476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38</xdr:row>
      <xdr:rowOff>9525</xdr:rowOff>
    </xdr:from>
    <xdr:ext cx="323850" cy="180975"/>
    <xdr:sp macro="" textlink="">
      <xdr:nvSpPr>
        <xdr:cNvPr id="478" name="Shape 477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39</xdr:row>
      <xdr:rowOff>9525</xdr:rowOff>
    </xdr:from>
    <xdr:ext cx="323850" cy="180975"/>
    <xdr:sp macro="" textlink="">
      <xdr:nvSpPr>
        <xdr:cNvPr id="479" name="Shape 478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40</xdr:row>
      <xdr:rowOff>9525</xdr:rowOff>
    </xdr:from>
    <xdr:ext cx="323850" cy="180975"/>
    <xdr:sp macro="" textlink="">
      <xdr:nvSpPr>
        <xdr:cNvPr id="480" name="Shape 479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41</xdr:row>
      <xdr:rowOff>9525</xdr:rowOff>
    </xdr:from>
    <xdr:ext cx="323850" cy="180975"/>
    <xdr:sp macro="" textlink="">
      <xdr:nvSpPr>
        <xdr:cNvPr id="481" name="Shape 480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</xdr:row>
      <xdr:rowOff>9525</xdr:rowOff>
    </xdr:from>
    <xdr:ext cx="323850" cy="180975"/>
    <xdr:sp macro="" textlink="">
      <xdr:nvSpPr>
        <xdr:cNvPr id="482" name="Shape 48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</xdr:row>
      <xdr:rowOff>9525</xdr:rowOff>
    </xdr:from>
    <xdr:ext cx="323850" cy="180975"/>
    <xdr:sp macro="" textlink="">
      <xdr:nvSpPr>
        <xdr:cNvPr id="483" name="Shape 482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4</xdr:row>
      <xdr:rowOff>9525</xdr:rowOff>
    </xdr:from>
    <xdr:ext cx="323850" cy="180975"/>
    <xdr:sp macro="" textlink="">
      <xdr:nvSpPr>
        <xdr:cNvPr id="484" name="Shape 483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5</xdr:row>
      <xdr:rowOff>9525</xdr:rowOff>
    </xdr:from>
    <xdr:ext cx="323850" cy="180975"/>
    <xdr:sp macro="" textlink="">
      <xdr:nvSpPr>
        <xdr:cNvPr id="485" name="Shape 484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6</xdr:row>
      <xdr:rowOff>9525</xdr:rowOff>
    </xdr:from>
    <xdr:ext cx="323850" cy="180975"/>
    <xdr:sp macro="" textlink="">
      <xdr:nvSpPr>
        <xdr:cNvPr id="486" name="Shape 485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7</xdr:row>
      <xdr:rowOff>9525</xdr:rowOff>
    </xdr:from>
    <xdr:ext cx="323850" cy="180975"/>
    <xdr:sp macro="" textlink="">
      <xdr:nvSpPr>
        <xdr:cNvPr id="487" name="Shape 486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8</xdr:row>
      <xdr:rowOff>9525</xdr:rowOff>
    </xdr:from>
    <xdr:ext cx="323850" cy="180975"/>
    <xdr:sp macro="" textlink="">
      <xdr:nvSpPr>
        <xdr:cNvPr id="488" name="Shape 487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9</xdr:row>
      <xdr:rowOff>9525</xdr:rowOff>
    </xdr:from>
    <xdr:ext cx="323850" cy="180975"/>
    <xdr:sp macro="" textlink="">
      <xdr:nvSpPr>
        <xdr:cNvPr id="489" name="Shape 488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10</xdr:row>
      <xdr:rowOff>9525</xdr:rowOff>
    </xdr:from>
    <xdr:ext cx="323850" cy="180975"/>
    <xdr:sp macro="" textlink="">
      <xdr:nvSpPr>
        <xdr:cNvPr id="490" name="Shape 489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11</xdr:row>
      <xdr:rowOff>9525</xdr:rowOff>
    </xdr:from>
    <xdr:ext cx="323850" cy="180975"/>
    <xdr:sp macro="" textlink="">
      <xdr:nvSpPr>
        <xdr:cNvPr id="491" name="Shape 490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12</xdr:row>
      <xdr:rowOff>9525</xdr:rowOff>
    </xdr:from>
    <xdr:ext cx="323850" cy="180975"/>
    <xdr:sp macro="" textlink="">
      <xdr:nvSpPr>
        <xdr:cNvPr id="492" name="Shape 49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13</xdr:row>
      <xdr:rowOff>9525</xdr:rowOff>
    </xdr:from>
    <xdr:ext cx="323850" cy="180975"/>
    <xdr:sp macro="" textlink="">
      <xdr:nvSpPr>
        <xdr:cNvPr id="493" name="Shape 492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14</xdr:row>
      <xdr:rowOff>9525</xdr:rowOff>
    </xdr:from>
    <xdr:ext cx="323850" cy="180975"/>
    <xdr:sp macro="" textlink="">
      <xdr:nvSpPr>
        <xdr:cNvPr id="494" name="Shape 493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15</xdr:row>
      <xdr:rowOff>9525</xdr:rowOff>
    </xdr:from>
    <xdr:ext cx="323850" cy="180975"/>
    <xdr:sp macro="" textlink="">
      <xdr:nvSpPr>
        <xdr:cNvPr id="495" name="Shape 494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16</xdr:row>
      <xdr:rowOff>9525</xdr:rowOff>
    </xdr:from>
    <xdr:ext cx="323850" cy="180975"/>
    <xdr:sp macro="" textlink="">
      <xdr:nvSpPr>
        <xdr:cNvPr id="496" name="Shape 495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17</xdr:row>
      <xdr:rowOff>9525</xdr:rowOff>
    </xdr:from>
    <xdr:ext cx="323850" cy="180975"/>
    <xdr:sp macro="" textlink="">
      <xdr:nvSpPr>
        <xdr:cNvPr id="497" name="Shape 496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18</xdr:row>
      <xdr:rowOff>9525</xdr:rowOff>
    </xdr:from>
    <xdr:ext cx="323850" cy="180975"/>
    <xdr:sp macro="" textlink="">
      <xdr:nvSpPr>
        <xdr:cNvPr id="498" name="Shape 497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19</xdr:row>
      <xdr:rowOff>9525</xdr:rowOff>
    </xdr:from>
    <xdr:ext cx="323850" cy="180975"/>
    <xdr:sp macro="" textlink="">
      <xdr:nvSpPr>
        <xdr:cNvPr id="499" name="Shape 498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20</xdr:row>
      <xdr:rowOff>9525</xdr:rowOff>
    </xdr:from>
    <xdr:ext cx="323850" cy="180975"/>
    <xdr:sp macro="" textlink="">
      <xdr:nvSpPr>
        <xdr:cNvPr id="500" name="Shape 499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21</xdr:row>
      <xdr:rowOff>9525</xdr:rowOff>
    </xdr:from>
    <xdr:ext cx="323850" cy="180975"/>
    <xdr:sp macro="" textlink="">
      <xdr:nvSpPr>
        <xdr:cNvPr id="501" name="Shape 500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22</xdr:row>
      <xdr:rowOff>9525</xdr:rowOff>
    </xdr:from>
    <xdr:ext cx="323850" cy="180975"/>
    <xdr:sp macro="" textlink="">
      <xdr:nvSpPr>
        <xdr:cNvPr id="502" name="Shape 50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23</xdr:row>
      <xdr:rowOff>9525</xdr:rowOff>
    </xdr:from>
    <xdr:ext cx="323850" cy="180975"/>
    <xdr:sp macro="" textlink="">
      <xdr:nvSpPr>
        <xdr:cNvPr id="503" name="Shape 502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24</xdr:row>
      <xdr:rowOff>9525</xdr:rowOff>
    </xdr:from>
    <xdr:ext cx="323850" cy="180975"/>
    <xdr:sp macro="" textlink="">
      <xdr:nvSpPr>
        <xdr:cNvPr id="504" name="Shape 503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25</xdr:row>
      <xdr:rowOff>9525</xdr:rowOff>
    </xdr:from>
    <xdr:ext cx="323850" cy="180975"/>
    <xdr:sp macro="" textlink="">
      <xdr:nvSpPr>
        <xdr:cNvPr id="505" name="Shape 504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26</xdr:row>
      <xdr:rowOff>9525</xdr:rowOff>
    </xdr:from>
    <xdr:ext cx="323850" cy="180975"/>
    <xdr:sp macro="" textlink="">
      <xdr:nvSpPr>
        <xdr:cNvPr id="506" name="Shape 505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27</xdr:row>
      <xdr:rowOff>9525</xdr:rowOff>
    </xdr:from>
    <xdr:ext cx="323850" cy="180975"/>
    <xdr:sp macro="" textlink="">
      <xdr:nvSpPr>
        <xdr:cNvPr id="507" name="Shape 506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28</xdr:row>
      <xdr:rowOff>9525</xdr:rowOff>
    </xdr:from>
    <xdr:ext cx="323850" cy="180975"/>
    <xdr:sp macro="" textlink="">
      <xdr:nvSpPr>
        <xdr:cNvPr id="508" name="Shape 507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29</xdr:row>
      <xdr:rowOff>9525</xdr:rowOff>
    </xdr:from>
    <xdr:ext cx="323850" cy="180975"/>
    <xdr:sp macro="" textlink="">
      <xdr:nvSpPr>
        <xdr:cNvPr id="509" name="Shape 508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30</xdr:row>
      <xdr:rowOff>9525</xdr:rowOff>
    </xdr:from>
    <xdr:ext cx="323850" cy="180975"/>
    <xdr:sp macro="" textlink="">
      <xdr:nvSpPr>
        <xdr:cNvPr id="510" name="Shape 509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31</xdr:row>
      <xdr:rowOff>9525</xdr:rowOff>
    </xdr:from>
    <xdr:ext cx="323850" cy="180975"/>
    <xdr:sp macro="" textlink="">
      <xdr:nvSpPr>
        <xdr:cNvPr id="511" name="Shape 51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32</xdr:row>
      <xdr:rowOff>9525</xdr:rowOff>
    </xdr:from>
    <xdr:ext cx="323850" cy="180975"/>
    <xdr:sp macro="" textlink="">
      <xdr:nvSpPr>
        <xdr:cNvPr id="512" name="Shape 51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33</xdr:row>
      <xdr:rowOff>9525</xdr:rowOff>
    </xdr:from>
    <xdr:ext cx="323850" cy="180975"/>
    <xdr:sp macro="" textlink="">
      <xdr:nvSpPr>
        <xdr:cNvPr id="513" name="Shape 512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34</xdr:row>
      <xdr:rowOff>9525</xdr:rowOff>
    </xdr:from>
    <xdr:ext cx="323850" cy="180975"/>
    <xdr:sp macro="" textlink="">
      <xdr:nvSpPr>
        <xdr:cNvPr id="514" name="Shape 513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35</xdr:row>
      <xdr:rowOff>9525</xdr:rowOff>
    </xdr:from>
    <xdr:ext cx="323850" cy="180975"/>
    <xdr:sp macro="" textlink="">
      <xdr:nvSpPr>
        <xdr:cNvPr id="515" name="Shape 514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36</xdr:row>
      <xdr:rowOff>9525</xdr:rowOff>
    </xdr:from>
    <xdr:ext cx="323850" cy="180975"/>
    <xdr:sp macro="" textlink="">
      <xdr:nvSpPr>
        <xdr:cNvPr id="516" name="Shape 515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37</xdr:row>
      <xdr:rowOff>9525</xdr:rowOff>
    </xdr:from>
    <xdr:ext cx="323850" cy="180975"/>
    <xdr:sp macro="" textlink="">
      <xdr:nvSpPr>
        <xdr:cNvPr id="517" name="Shape 516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38</xdr:row>
      <xdr:rowOff>9525</xdr:rowOff>
    </xdr:from>
    <xdr:ext cx="323850" cy="180975"/>
    <xdr:sp macro="" textlink="">
      <xdr:nvSpPr>
        <xdr:cNvPr id="518" name="Shape 517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39</xdr:row>
      <xdr:rowOff>9525</xdr:rowOff>
    </xdr:from>
    <xdr:ext cx="323850" cy="180975"/>
    <xdr:sp macro="" textlink="">
      <xdr:nvSpPr>
        <xdr:cNvPr id="519" name="Shape 518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40</xdr:row>
      <xdr:rowOff>9525</xdr:rowOff>
    </xdr:from>
    <xdr:ext cx="323850" cy="180975"/>
    <xdr:sp macro="" textlink="">
      <xdr:nvSpPr>
        <xdr:cNvPr id="520" name="Shape 519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41</xdr:row>
      <xdr:rowOff>9525</xdr:rowOff>
    </xdr:from>
    <xdr:ext cx="323850" cy="180975"/>
    <xdr:sp macro="" textlink="">
      <xdr:nvSpPr>
        <xdr:cNvPr id="521" name="Shape 520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</xdr:row>
      <xdr:rowOff>9525</xdr:rowOff>
    </xdr:from>
    <xdr:ext cx="323850" cy="180975"/>
    <xdr:sp macro="" textlink="">
      <xdr:nvSpPr>
        <xdr:cNvPr id="522" name="Shape 52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</xdr:row>
      <xdr:rowOff>9525</xdr:rowOff>
    </xdr:from>
    <xdr:ext cx="323850" cy="180975"/>
    <xdr:sp macro="" textlink="">
      <xdr:nvSpPr>
        <xdr:cNvPr id="523" name="Shape 522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4</xdr:row>
      <xdr:rowOff>9525</xdr:rowOff>
    </xdr:from>
    <xdr:ext cx="323850" cy="180975"/>
    <xdr:sp macro="" textlink="">
      <xdr:nvSpPr>
        <xdr:cNvPr id="524" name="Shape 523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5</xdr:row>
      <xdr:rowOff>9525</xdr:rowOff>
    </xdr:from>
    <xdr:ext cx="323850" cy="180975"/>
    <xdr:sp macro="" textlink="">
      <xdr:nvSpPr>
        <xdr:cNvPr id="525" name="Shape 524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6</xdr:row>
      <xdr:rowOff>9525</xdr:rowOff>
    </xdr:from>
    <xdr:ext cx="323850" cy="180975"/>
    <xdr:sp macro="" textlink="">
      <xdr:nvSpPr>
        <xdr:cNvPr id="526" name="Shape 525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7</xdr:row>
      <xdr:rowOff>9525</xdr:rowOff>
    </xdr:from>
    <xdr:ext cx="323850" cy="180975"/>
    <xdr:sp macro="" textlink="">
      <xdr:nvSpPr>
        <xdr:cNvPr id="527" name="Shape 526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8</xdr:row>
      <xdr:rowOff>9525</xdr:rowOff>
    </xdr:from>
    <xdr:ext cx="323850" cy="180975"/>
    <xdr:sp macro="" textlink="">
      <xdr:nvSpPr>
        <xdr:cNvPr id="528" name="Shape 527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9</xdr:row>
      <xdr:rowOff>9525</xdr:rowOff>
    </xdr:from>
    <xdr:ext cx="323850" cy="180975"/>
    <xdr:sp macro="" textlink="">
      <xdr:nvSpPr>
        <xdr:cNvPr id="529" name="Shape 528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10</xdr:row>
      <xdr:rowOff>9525</xdr:rowOff>
    </xdr:from>
    <xdr:ext cx="323850" cy="180975"/>
    <xdr:sp macro="" textlink="">
      <xdr:nvSpPr>
        <xdr:cNvPr id="530" name="Shape 529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11</xdr:row>
      <xdr:rowOff>9525</xdr:rowOff>
    </xdr:from>
    <xdr:ext cx="323850" cy="180975"/>
    <xdr:sp macro="" textlink="">
      <xdr:nvSpPr>
        <xdr:cNvPr id="531" name="Shape 530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12</xdr:row>
      <xdr:rowOff>9525</xdr:rowOff>
    </xdr:from>
    <xdr:ext cx="323850" cy="180975"/>
    <xdr:sp macro="" textlink="">
      <xdr:nvSpPr>
        <xdr:cNvPr id="532" name="Shape 53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13</xdr:row>
      <xdr:rowOff>9525</xdr:rowOff>
    </xdr:from>
    <xdr:ext cx="323850" cy="180975"/>
    <xdr:sp macro="" textlink="">
      <xdr:nvSpPr>
        <xdr:cNvPr id="533" name="Shape 532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14</xdr:row>
      <xdr:rowOff>9525</xdr:rowOff>
    </xdr:from>
    <xdr:ext cx="323850" cy="180975"/>
    <xdr:sp macro="" textlink="">
      <xdr:nvSpPr>
        <xdr:cNvPr id="534" name="Shape 533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15</xdr:row>
      <xdr:rowOff>9525</xdr:rowOff>
    </xdr:from>
    <xdr:ext cx="323850" cy="180975"/>
    <xdr:sp macro="" textlink="">
      <xdr:nvSpPr>
        <xdr:cNvPr id="535" name="Shape 534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16</xdr:row>
      <xdr:rowOff>9525</xdr:rowOff>
    </xdr:from>
    <xdr:ext cx="323850" cy="180975"/>
    <xdr:sp macro="" textlink="">
      <xdr:nvSpPr>
        <xdr:cNvPr id="536" name="Shape 535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17</xdr:row>
      <xdr:rowOff>9525</xdr:rowOff>
    </xdr:from>
    <xdr:ext cx="323850" cy="180975"/>
    <xdr:sp macro="" textlink="">
      <xdr:nvSpPr>
        <xdr:cNvPr id="537" name="Shape 536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18</xdr:row>
      <xdr:rowOff>9525</xdr:rowOff>
    </xdr:from>
    <xdr:ext cx="323850" cy="180975"/>
    <xdr:sp macro="" textlink="">
      <xdr:nvSpPr>
        <xdr:cNvPr id="538" name="Shape 537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19</xdr:row>
      <xdr:rowOff>9525</xdr:rowOff>
    </xdr:from>
    <xdr:ext cx="323850" cy="180975"/>
    <xdr:sp macro="" textlink="">
      <xdr:nvSpPr>
        <xdr:cNvPr id="539" name="Shape 538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20</xdr:row>
      <xdr:rowOff>9525</xdr:rowOff>
    </xdr:from>
    <xdr:ext cx="323850" cy="180975"/>
    <xdr:sp macro="" textlink="">
      <xdr:nvSpPr>
        <xdr:cNvPr id="540" name="Shape 539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21</xdr:row>
      <xdr:rowOff>9525</xdr:rowOff>
    </xdr:from>
    <xdr:ext cx="323850" cy="180975"/>
    <xdr:sp macro="" textlink="">
      <xdr:nvSpPr>
        <xdr:cNvPr id="541" name="Shape 540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22</xdr:row>
      <xdr:rowOff>9525</xdr:rowOff>
    </xdr:from>
    <xdr:ext cx="323850" cy="180975"/>
    <xdr:sp macro="" textlink="">
      <xdr:nvSpPr>
        <xdr:cNvPr id="542" name="Shape 54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23</xdr:row>
      <xdr:rowOff>9525</xdr:rowOff>
    </xdr:from>
    <xdr:ext cx="323850" cy="180975"/>
    <xdr:sp macro="" textlink="">
      <xdr:nvSpPr>
        <xdr:cNvPr id="543" name="Shape 542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24</xdr:row>
      <xdr:rowOff>9525</xdr:rowOff>
    </xdr:from>
    <xdr:ext cx="323850" cy="180975"/>
    <xdr:sp macro="" textlink="">
      <xdr:nvSpPr>
        <xdr:cNvPr id="544" name="Shape 543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25</xdr:row>
      <xdr:rowOff>9525</xdr:rowOff>
    </xdr:from>
    <xdr:ext cx="323850" cy="180975"/>
    <xdr:sp macro="" textlink="">
      <xdr:nvSpPr>
        <xdr:cNvPr id="545" name="Shape 544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26</xdr:row>
      <xdr:rowOff>9525</xdr:rowOff>
    </xdr:from>
    <xdr:ext cx="323850" cy="180975"/>
    <xdr:sp macro="" textlink="">
      <xdr:nvSpPr>
        <xdr:cNvPr id="546" name="Shape 545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27</xdr:row>
      <xdr:rowOff>9525</xdr:rowOff>
    </xdr:from>
    <xdr:ext cx="323850" cy="180975"/>
    <xdr:sp macro="" textlink="">
      <xdr:nvSpPr>
        <xdr:cNvPr id="547" name="Shape 546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28</xdr:row>
      <xdr:rowOff>9525</xdr:rowOff>
    </xdr:from>
    <xdr:ext cx="323850" cy="180975"/>
    <xdr:sp macro="" textlink="">
      <xdr:nvSpPr>
        <xdr:cNvPr id="548" name="Shape 547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29</xdr:row>
      <xdr:rowOff>9525</xdr:rowOff>
    </xdr:from>
    <xdr:ext cx="323850" cy="180975"/>
    <xdr:sp macro="" textlink="">
      <xdr:nvSpPr>
        <xdr:cNvPr id="549" name="Shape 548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30</xdr:row>
      <xdr:rowOff>9525</xdr:rowOff>
    </xdr:from>
    <xdr:ext cx="323850" cy="180975"/>
    <xdr:sp macro="" textlink="">
      <xdr:nvSpPr>
        <xdr:cNvPr id="550" name="Shape 549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31</xdr:row>
      <xdr:rowOff>9525</xdr:rowOff>
    </xdr:from>
    <xdr:ext cx="323850" cy="180975"/>
    <xdr:sp macro="" textlink="">
      <xdr:nvSpPr>
        <xdr:cNvPr id="551" name="Shape 5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32</xdr:row>
      <xdr:rowOff>9525</xdr:rowOff>
    </xdr:from>
    <xdr:ext cx="323850" cy="180975"/>
    <xdr:sp macro="" textlink="">
      <xdr:nvSpPr>
        <xdr:cNvPr id="552" name="Shape 55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33</xdr:row>
      <xdr:rowOff>9525</xdr:rowOff>
    </xdr:from>
    <xdr:ext cx="323850" cy="180975"/>
    <xdr:sp macro="" textlink="">
      <xdr:nvSpPr>
        <xdr:cNvPr id="553" name="Shape 552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34</xdr:row>
      <xdr:rowOff>9525</xdr:rowOff>
    </xdr:from>
    <xdr:ext cx="323850" cy="180975"/>
    <xdr:sp macro="" textlink="">
      <xdr:nvSpPr>
        <xdr:cNvPr id="554" name="Shape 553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35</xdr:row>
      <xdr:rowOff>9525</xdr:rowOff>
    </xdr:from>
    <xdr:ext cx="323850" cy="180975"/>
    <xdr:sp macro="" textlink="">
      <xdr:nvSpPr>
        <xdr:cNvPr id="555" name="Shape 554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36</xdr:row>
      <xdr:rowOff>9525</xdr:rowOff>
    </xdr:from>
    <xdr:ext cx="323850" cy="180975"/>
    <xdr:sp macro="" textlink="">
      <xdr:nvSpPr>
        <xdr:cNvPr id="556" name="Shape 555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37</xdr:row>
      <xdr:rowOff>9525</xdr:rowOff>
    </xdr:from>
    <xdr:ext cx="323850" cy="180975"/>
    <xdr:sp macro="" textlink="">
      <xdr:nvSpPr>
        <xdr:cNvPr id="557" name="Shape 556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38</xdr:row>
      <xdr:rowOff>9525</xdr:rowOff>
    </xdr:from>
    <xdr:ext cx="323850" cy="180975"/>
    <xdr:sp macro="" textlink="">
      <xdr:nvSpPr>
        <xdr:cNvPr id="558" name="Shape 557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39</xdr:row>
      <xdr:rowOff>9525</xdr:rowOff>
    </xdr:from>
    <xdr:ext cx="323850" cy="180975"/>
    <xdr:sp macro="" textlink="">
      <xdr:nvSpPr>
        <xdr:cNvPr id="559" name="Shape 558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40</xdr:row>
      <xdr:rowOff>9525</xdr:rowOff>
    </xdr:from>
    <xdr:ext cx="323850" cy="180975"/>
    <xdr:sp macro="" textlink="">
      <xdr:nvSpPr>
        <xdr:cNvPr id="560" name="Shape 559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41</xdr:row>
      <xdr:rowOff>9525</xdr:rowOff>
    </xdr:from>
    <xdr:ext cx="323850" cy="180975"/>
    <xdr:sp macro="" textlink="">
      <xdr:nvSpPr>
        <xdr:cNvPr id="561" name="Shape 560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</xdr:row>
      <xdr:rowOff>9525</xdr:rowOff>
    </xdr:from>
    <xdr:ext cx="323850" cy="180975"/>
    <xdr:sp macro="" textlink="">
      <xdr:nvSpPr>
        <xdr:cNvPr id="562" name="Shape 56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</xdr:row>
      <xdr:rowOff>9525</xdr:rowOff>
    </xdr:from>
    <xdr:ext cx="323850" cy="180975"/>
    <xdr:sp macro="" textlink="">
      <xdr:nvSpPr>
        <xdr:cNvPr id="563" name="Shape 562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4</xdr:row>
      <xdr:rowOff>9525</xdr:rowOff>
    </xdr:from>
    <xdr:ext cx="323850" cy="180975"/>
    <xdr:sp macro="" textlink="">
      <xdr:nvSpPr>
        <xdr:cNvPr id="564" name="Shape 563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5</xdr:row>
      <xdr:rowOff>9525</xdr:rowOff>
    </xdr:from>
    <xdr:ext cx="323850" cy="180975"/>
    <xdr:sp macro="" textlink="">
      <xdr:nvSpPr>
        <xdr:cNvPr id="565" name="Shape 564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6</xdr:row>
      <xdr:rowOff>9525</xdr:rowOff>
    </xdr:from>
    <xdr:ext cx="323850" cy="180975"/>
    <xdr:sp macro="" textlink="">
      <xdr:nvSpPr>
        <xdr:cNvPr id="566" name="Shape 565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7</xdr:row>
      <xdr:rowOff>9525</xdr:rowOff>
    </xdr:from>
    <xdr:ext cx="323850" cy="180975"/>
    <xdr:sp macro="" textlink="">
      <xdr:nvSpPr>
        <xdr:cNvPr id="567" name="Shape 566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8</xdr:row>
      <xdr:rowOff>9525</xdr:rowOff>
    </xdr:from>
    <xdr:ext cx="323850" cy="180975"/>
    <xdr:sp macro="" textlink="">
      <xdr:nvSpPr>
        <xdr:cNvPr id="568" name="Shape 567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9</xdr:row>
      <xdr:rowOff>9525</xdr:rowOff>
    </xdr:from>
    <xdr:ext cx="323850" cy="180975"/>
    <xdr:sp macro="" textlink="">
      <xdr:nvSpPr>
        <xdr:cNvPr id="569" name="Shape 568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10</xdr:row>
      <xdr:rowOff>9525</xdr:rowOff>
    </xdr:from>
    <xdr:ext cx="323850" cy="180975"/>
    <xdr:sp macro="" textlink="">
      <xdr:nvSpPr>
        <xdr:cNvPr id="570" name="Shape 569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11</xdr:row>
      <xdr:rowOff>9525</xdr:rowOff>
    </xdr:from>
    <xdr:ext cx="323850" cy="180975"/>
    <xdr:sp macro="" textlink="">
      <xdr:nvSpPr>
        <xdr:cNvPr id="571" name="Shape 570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12</xdr:row>
      <xdr:rowOff>9525</xdr:rowOff>
    </xdr:from>
    <xdr:ext cx="323850" cy="180975"/>
    <xdr:sp macro="" textlink="">
      <xdr:nvSpPr>
        <xdr:cNvPr id="572" name="Shape 57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13</xdr:row>
      <xdr:rowOff>9525</xdr:rowOff>
    </xdr:from>
    <xdr:ext cx="323850" cy="180975"/>
    <xdr:sp macro="" textlink="">
      <xdr:nvSpPr>
        <xdr:cNvPr id="573" name="Shape 572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14</xdr:row>
      <xdr:rowOff>9525</xdr:rowOff>
    </xdr:from>
    <xdr:ext cx="323850" cy="180975"/>
    <xdr:sp macro="" textlink="">
      <xdr:nvSpPr>
        <xdr:cNvPr id="574" name="Shape 573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15</xdr:row>
      <xdr:rowOff>9525</xdr:rowOff>
    </xdr:from>
    <xdr:ext cx="323850" cy="180975"/>
    <xdr:sp macro="" textlink="">
      <xdr:nvSpPr>
        <xdr:cNvPr id="575" name="Shape 574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16</xdr:row>
      <xdr:rowOff>9525</xdr:rowOff>
    </xdr:from>
    <xdr:ext cx="323850" cy="180975"/>
    <xdr:sp macro="" textlink="">
      <xdr:nvSpPr>
        <xdr:cNvPr id="576" name="Shape 575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17</xdr:row>
      <xdr:rowOff>9525</xdr:rowOff>
    </xdr:from>
    <xdr:ext cx="323850" cy="180975"/>
    <xdr:sp macro="" textlink="">
      <xdr:nvSpPr>
        <xdr:cNvPr id="577" name="Shape 576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18</xdr:row>
      <xdr:rowOff>9525</xdr:rowOff>
    </xdr:from>
    <xdr:ext cx="323850" cy="180975"/>
    <xdr:sp macro="" textlink="">
      <xdr:nvSpPr>
        <xdr:cNvPr id="578" name="Shape 577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19</xdr:row>
      <xdr:rowOff>9525</xdr:rowOff>
    </xdr:from>
    <xdr:ext cx="323850" cy="180975"/>
    <xdr:sp macro="" textlink="">
      <xdr:nvSpPr>
        <xdr:cNvPr id="579" name="Shape 578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20</xdr:row>
      <xdr:rowOff>9525</xdr:rowOff>
    </xdr:from>
    <xdr:ext cx="323850" cy="180975"/>
    <xdr:sp macro="" textlink="">
      <xdr:nvSpPr>
        <xdr:cNvPr id="580" name="Shape 579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21</xdr:row>
      <xdr:rowOff>9525</xdr:rowOff>
    </xdr:from>
    <xdr:ext cx="323850" cy="180975"/>
    <xdr:sp macro="" textlink="">
      <xdr:nvSpPr>
        <xdr:cNvPr id="581" name="Shape 580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22</xdr:row>
      <xdr:rowOff>9525</xdr:rowOff>
    </xdr:from>
    <xdr:ext cx="323850" cy="180975"/>
    <xdr:sp macro="" textlink="">
      <xdr:nvSpPr>
        <xdr:cNvPr id="582" name="Shape 58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23</xdr:row>
      <xdr:rowOff>9525</xdr:rowOff>
    </xdr:from>
    <xdr:ext cx="323850" cy="180975"/>
    <xdr:sp macro="" textlink="">
      <xdr:nvSpPr>
        <xdr:cNvPr id="583" name="Shape 5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24</xdr:row>
      <xdr:rowOff>9525</xdr:rowOff>
    </xdr:from>
    <xdr:ext cx="323850" cy="180975"/>
    <xdr:sp macro="" textlink="">
      <xdr:nvSpPr>
        <xdr:cNvPr id="584" name="Shape 583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25</xdr:row>
      <xdr:rowOff>9525</xdr:rowOff>
    </xdr:from>
    <xdr:ext cx="323850" cy="180975"/>
    <xdr:sp macro="" textlink="">
      <xdr:nvSpPr>
        <xdr:cNvPr id="585" name="Shape 584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26</xdr:row>
      <xdr:rowOff>9525</xdr:rowOff>
    </xdr:from>
    <xdr:ext cx="323850" cy="180975"/>
    <xdr:sp macro="" textlink="">
      <xdr:nvSpPr>
        <xdr:cNvPr id="586" name="Shape 585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27</xdr:row>
      <xdr:rowOff>9525</xdr:rowOff>
    </xdr:from>
    <xdr:ext cx="323850" cy="180975"/>
    <xdr:sp macro="" textlink="">
      <xdr:nvSpPr>
        <xdr:cNvPr id="587" name="Shape 586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28</xdr:row>
      <xdr:rowOff>9525</xdr:rowOff>
    </xdr:from>
    <xdr:ext cx="323850" cy="180975"/>
    <xdr:sp macro="" textlink="">
      <xdr:nvSpPr>
        <xdr:cNvPr id="588" name="Shape 587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29</xdr:row>
      <xdr:rowOff>9525</xdr:rowOff>
    </xdr:from>
    <xdr:ext cx="323850" cy="180975"/>
    <xdr:sp macro="" textlink="">
      <xdr:nvSpPr>
        <xdr:cNvPr id="589" name="Shape 588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30</xdr:row>
      <xdr:rowOff>9525</xdr:rowOff>
    </xdr:from>
    <xdr:ext cx="323850" cy="180975"/>
    <xdr:sp macro="" textlink="">
      <xdr:nvSpPr>
        <xdr:cNvPr id="590" name="Shape 589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31</xdr:row>
      <xdr:rowOff>9525</xdr:rowOff>
    </xdr:from>
    <xdr:ext cx="323850" cy="180975"/>
    <xdr:sp macro="" textlink="">
      <xdr:nvSpPr>
        <xdr:cNvPr id="591" name="Shape 590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32</xdr:row>
      <xdr:rowOff>9525</xdr:rowOff>
    </xdr:from>
    <xdr:ext cx="323850" cy="180975"/>
    <xdr:sp macro="" textlink="">
      <xdr:nvSpPr>
        <xdr:cNvPr id="592" name="Shape 59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33</xdr:row>
      <xdr:rowOff>9525</xdr:rowOff>
    </xdr:from>
    <xdr:ext cx="323850" cy="180975"/>
    <xdr:sp macro="" textlink="">
      <xdr:nvSpPr>
        <xdr:cNvPr id="593" name="Shape 592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34</xdr:row>
      <xdr:rowOff>9525</xdr:rowOff>
    </xdr:from>
    <xdr:ext cx="323850" cy="180975"/>
    <xdr:sp macro="" textlink="">
      <xdr:nvSpPr>
        <xdr:cNvPr id="594" name="Shape 593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35</xdr:row>
      <xdr:rowOff>9525</xdr:rowOff>
    </xdr:from>
    <xdr:ext cx="323850" cy="180975"/>
    <xdr:sp macro="" textlink="">
      <xdr:nvSpPr>
        <xdr:cNvPr id="595" name="Shape 594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36</xdr:row>
      <xdr:rowOff>9525</xdr:rowOff>
    </xdr:from>
    <xdr:ext cx="323850" cy="180975"/>
    <xdr:sp macro="" textlink="">
      <xdr:nvSpPr>
        <xdr:cNvPr id="596" name="Shape 595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37</xdr:row>
      <xdr:rowOff>9525</xdr:rowOff>
    </xdr:from>
    <xdr:ext cx="323850" cy="180975"/>
    <xdr:sp macro="" textlink="">
      <xdr:nvSpPr>
        <xdr:cNvPr id="597" name="Shape 596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38</xdr:row>
      <xdr:rowOff>9525</xdr:rowOff>
    </xdr:from>
    <xdr:ext cx="323850" cy="180975"/>
    <xdr:sp macro="" textlink="">
      <xdr:nvSpPr>
        <xdr:cNvPr id="598" name="Shape 597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39</xdr:row>
      <xdr:rowOff>9525</xdr:rowOff>
    </xdr:from>
    <xdr:ext cx="323850" cy="180975"/>
    <xdr:sp macro="" textlink="">
      <xdr:nvSpPr>
        <xdr:cNvPr id="599" name="Shape 598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40</xdr:row>
      <xdr:rowOff>9525</xdr:rowOff>
    </xdr:from>
    <xdr:ext cx="323850" cy="180975"/>
    <xdr:sp macro="" textlink="">
      <xdr:nvSpPr>
        <xdr:cNvPr id="600" name="Shape 599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41</xdr:row>
      <xdr:rowOff>9525</xdr:rowOff>
    </xdr:from>
    <xdr:ext cx="323850" cy="180975"/>
    <xdr:sp macro="" textlink="">
      <xdr:nvSpPr>
        <xdr:cNvPr id="601" name="Shape 600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</xdr:row>
      <xdr:rowOff>9525</xdr:rowOff>
    </xdr:from>
    <xdr:ext cx="323850" cy="180975"/>
    <xdr:sp macro="" textlink="">
      <xdr:nvSpPr>
        <xdr:cNvPr id="602" name="Shape 60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</xdr:row>
      <xdr:rowOff>9525</xdr:rowOff>
    </xdr:from>
    <xdr:ext cx="323850" cy="180975"/>
    <xdr:sp macro="" textlink="">
      <xdr:nvSpPr>
        <xdr:cNvPr id="603" name="Shape 602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4</xdr:row>
      <xdr:rowOff>9525</xdr:rowOff>
    </xdr:from>
    <xdr:ext cx="323850" cy="180975"/>
    <xdr:sp macro="" textlink="">
      <xdr:nvSpPr>
        <xdr:cNvPr id="604" name="Shape 603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5</xdr:row>
      <xdr:rowOff>9525</xdr:rowOff>
    </xdr:from>
    <xdr:ext cx="323850" cy="180975"/>
    <xdr:sp macro="" textlink="">
      <xdr:nvSpPr>
        <xdr:cNvPr id="605" name="Shape 604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6</xdr:row>
      <xdr:rowOff>9525</xdr:rowOff>
    </xdr:from>
    <xdr:ext cx="323850" cy="180975"/>
    <xdr:sp macro="" textlink="">
      <xdr:nvSpPr>
        <xdr:cNvPr id="606" name="Shape 605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7</xdr:row>
      <xdr:rowOff>9525</xdr:rowOff>
    </xdr:from>
    <xdr:ext cx="323850" cy="180975"/>
    <xdr:sp macro="" textlink="">
      <xdr:nvSpPr>
        <xdr:cNvPr id="607" name="Shape 606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8</xdr:row>
      <xdr:rowOff>9525</xdr:rowOff>
    </xdr:from>
    <xdr:ext cx="323850" cy="180975"/>
    <xdr:sp macro="" textlink="">
      <xdr:nvSpPr>
        <xdr:cNvPr id="608" name="Shape 607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9</xdr:row>
      <xdr:rowOff>9525</xdr:rowOff>
    </xdr:from>
    <xdr:ext cx="323850" cy="180975"/>
    <xdr:sp macro="" textlink="">
      <xdr:nvSpPr>
        <xdr:cNvPr id="609" name="Shape 608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10</xdr:row>
      <xdr:rowOff>9525</xdr:rowOff>
    </xdr:from>
    <xdr:ext cx="323850" cy="180975"/>
    <xdr:sp macro="" textlink="">
      <xdr:nvSpPr>
        <xdr:cNvPr id="610" name="Shape 609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11</xdr:row>
      <xdr:rowOff>9525</xdr:rowOff>
    </xdr:from>
    <xdr:ext cx="323850" cy="180975"/>
    <xdr:sp macro="" textlink="">
      <xdr:nvSpPr>
        <xdr:cNvPr id="611" name="Shape 610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12</xdr:row>
      <xdr:rowOff>9525</xdr:rowOff>
    </xdr:from>
    <xdr:ext cx="323850" cy="180975"/>
    <xdr:sp macro="" textlink="">
      <xdr:nvSpPr>
        <xdr:cNvPr id="612" name="Shape 61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13</xdr:row>
      <xdr:rowOff>9525</xdr:rowOff>
    </xdr:from>
    <xdr:ext cx="323850" cy="180975"/>
    <xdr:sp macro="" textlink="">
      <xdr:nvSpPr>
        <xdr:cNvPr id="613" name="Shape 612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14</xdr:row>
      <xdr:rowOff>9525</xdr:rowOff>
    </xdr:from>
    <xdr:ext cx="323850" cy="180975"/>
    <xdr:sp macro="" textlink="">
      <xdr:nvSpPr>
        <xdr:cNvPr id="614" name="Shape 613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15</xdr:row>
      <xdr:rowOff>9525</xdr:rowOff>
    </xdr:from>
    <xdr:ext cx="323850" cy="180975"/>
    <xdr:sp macro="" textlink="">
      <xdr:nvSpPr>
        <xdr:cNvPr id="615" name="Shape 614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16</xdr:row>
      <xdr:rowOff>9525</xdr:rowOff>
    </xdr:from>
    <xdr:ext cx="323850" cy="180975"/>
    <xdr:sp macro="" textlink="">
      <xdr:nvSpPr>
        <xdr:cNvPr id="616" name="Shape 615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17</xdr:row>
      <xdr:rowOff>9525</xdr:rowOff>
    </xdr:from>
    <xdr:ext cx="323850" cy="180975"/>
    <xdr:sp macro="" textlink="">
      <xdr:nvSpPr>
        <xdr:cNvPr id="617" name="Shape 616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18</xdr:row>
      <xdr:rowOff>9525</xdr:rowOff>
    </xdr:from>
    <xdr:ext cx="323850" cy="180975"/>
    <xdr:sp macro="" textlink="">
      <xdr:nvSpPr>
        <xdr:cNvPr id="618" name="Shape 617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19</xdr:row>
      <xdr:rowOff>9525</xdr:rowOff>
    </xdr:from>
    <xdr:ext cx="323850" cy="180975"/>
    <xdr:sp macro="" textlink="">
      <xdr:nvSpPr>
        <xdr:cNvPr id="619" name="Shape 618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20</xdr:row>
      <xdr:rowOff>9525</xdr:rowOff>
    </xdr:from>
    <xdr:ext cx="323850" cy="180975"/>
    <xdr:sp macro="" textlink="">
      <xdr:nvSpPr>
        <xdr:cNvPr id="620" name="Shape 619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21</xdr:row>
      <xdr:rowOff>9525</xdr:rowOff>
    </xdr:from>
    <xdr:ext cx="323850" cy="180975"/>
    <xdr:sp macro="" textlink="">
      <xdr:nvSpPr>
        <xdr:cNvPr id="621" name="Shape 620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22</xdr:row>
      <xdr:rowOff>9525</xdr:rowOff>
    </xdr:from>
    <xdr:ext cx="323850" cy="180975"/>
    <xdr:sp macro="" textlink="">
      <xdr:nvSpPr>
        <xdr:cNvPr id="622" name="Shape 62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23</xdr:row>
      <xdr:rowOff>9525</xdr:rowOff>
    </xdr:from>
    <xdr:ext cx="323850" cy="180975"/>
    <xdr:sp macro="" textlink="">
      <xdr:nvSpPr>
        <xdr:cNvPr id="623" name="Shape 622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24</xdr:row>
      <xdr:rowOff>9525</xdr:rowOff>
    </xdr:from>
    <xdr:ext cx="323850" cy="180975"/>
    <xdr:sp macro="" textlink="">
      <xdr:nvSpPr>
        <xdr:cNvPr id="624" name="Shape 623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25</xdr:row>
      <xdr:rowOff>9525</xdr:rowOff>
    </xdr:from>
    <xdr:ext cx="323850" cy="180975"/>
    <xdr:sp macro="" textlink="">
      <xdr:nvSpPr>
        <xdr:cNvPr id="625" name="Shape 624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26</xdr:row>
      <xdr:rowOff>9525</xdr:rowOff>
    </xdr:from>
    <xdr:ext cx="323850" cy="180975"/>
    <xdr:sp macro="" textlink="">
      <xdr:nvSpPr>
        <xdr:cNvPr id="626" name="Shape 625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27</xdr:row>
      <xdr:rowOff>9525</xdr:rowOff>
    </xdr:from>
    <xdr:ext cx="323850" cy="180975"/>
    <xdr:sp macro="" textlink="">
      <xdr:nvSpPr>
        <xdr:cNvPr id="627" name="Shape 626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28</xdr:row>
      <xdr:rowOff>9525</xdr:rowOff>
    </xdr:from>
    <xdr:ext cx="323850" cy="180975"/>
    <xdr:sp macro="" textlink="">
      <xdr:nvSpPr>
        <xdr:cNvPr id="628" name="Shape 627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29</xdr:row>
      <xdr:rowOff>9525</xdr:rowOff>
    </xdr:from>
    <xdr:ext cx="323850" cy="180975"/>
    <xdr:sp macro="" textlink="">
      <xdr:nvSpPr>
        <xdr:cNvPr id="629" name="Shape 628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30</xdr:row>
      <xdr:rowOff>9525</xdr:rowOff>
    </xdr:from>
    <xdr:ext cx="323850" cy="180975"/>
    <xdr:sp macro="" textlink="">
      <xdr:nvSpPr>
        <xdr:cNvPr id="630" name="Shape 629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31</xdr:row>
      <xdr:rowOff>9525</xdr:rowOff>
    </xdr:from>
    <xdr:ext cx="323850" cy="180975"/>
    <xdr:sp macro="" textlink="">
      <xdr:nvSpPr>
        <xdr:cNvPr id="631" name="Shape 630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32</xdr:row>
      <xdr:rowOff>9525</xdr:rowOff>
    </xdr:from>
    <xdr:ext cx="323850" cy="180975"/>
    <xdr:sp macro="" textlink="">
      <xdr:nvSpPr>
        <xdr:cNvPr id="632" name="Shape 63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33</xdr:row>
      <xdr:rowOff>9525</xdr:rowOff>
    </xdr:from>
    <xdr:ext cx="323850" cy="180975"/>
    <xdr:sp macro="" textlink="">
      <xdr:nvSpPr>
        <xdr:cNvPr id="633" name="Shape 632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34</xdr:row>
      <xdr:rowOff>9525</xdr:rowOff>
    </xdr:from>
    <xdr:ext cx="323850" cy="180975"/>
    <xdr:sp macro="" textlink="">
      <xdr:nvSpPr>
        <xdr:cNvPr id="634" name="Shape 633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35</xdr:row>
      <xdr:rowOff>9525</xdr:rowOff>
    </xdr:from>
    <xdr:ext cx="323850" cy="180975"/>
    <xdr:sp macro="" textlink="">
      <xdr:nvSpPr>
        <xdr:cNvPr id="635" name="Shape 634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36</xdr:row>
      <xdr:rowOff>9525</xdr:rowOff>
    </xdr:from>
    <xdr:ext cx="323850" cy="180975"/>
    <xdr:sp macro="" textlink="">
      <xdr:nvSpPr>
        <xdr:cNvPr id="636" name="Shape 635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37</xdr:row>
      <xdr:rowOff>9525</xdr:rowOff>
    </xdr:from>
    <xdr:ext cx="323850" cy="180975"/>
    <xdr:sp macro="" textlink="">
      <xdr:nvSpPr>
        <xdr:cNvPr id="637" name="Shape 636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38</xdr:row>
      <xdr:rowOff>9525</xdr:rowOff>
    </xdr:from>
    <xdr:ext cx="323850" cy="180975"/>
    <xdr:sp macro="" textlink="">
      <xdr:nvSpPr>
        <xdr:cNvPr id="638" name="Shape 637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39</xdr:row>
      <xdr:rowOff>9525</xdr:rowOff>
    </xdr:from>
    <xdr:ext cx="323850" cy="180975"/>
    <xdr:sp macro="" textlink="">
      <xdr:nvSpPr>
        <xdr:cNvPr id="639" name="Shape 638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40</xdr:row>
      <xdr:rowOff>9525</xdr:rowOff>
    </xdr:from>
    <xdr:ext cx="323850" cy="180975"/>
    <xdr:sp macro="" textlink="">
      <xdr:nvSpPr>
        <xdr:cNvPr id="640" name="Shape 639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41</xdr:row>
      <xdr:rowOff>9525</xdr:rowOff>
    </xdr:from>
    <xdr:ext cx="323850" cy="180975"/>
    <xdr:sp macro="" textlink="">
      <xdr:nvSpPr>
        <xdr:cNvPr id="641" name="Shape 640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</xdr:row>
      <xdr:rowOff>9525</xdr:rowOff>
    </xdr:from>
    <xdr:ext cx="323850" cy="180975"/>
    <xdr:sp macro="" textlink="">
      <xdr:nvSpPr>
        <xdr:cNvPr id="642" name="Shape 64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</xdr:row>
      <xdr:rowOff>9525</xdr:rowOff>
    </xdr:from>
    <xdr:ext cx="323850" cy="180975"/>
    <xdr:sp macro="" textlink="">
      <xdr:nvSpPr>
        <xdr:cNvPr id="643" name="Shape 642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4</xdr:row>
      <xdr:rowOff>9525</xdr:rowOff>
    </xdr:from>
    <xdr:ext cx="323850" cy="180975"/>
    <xdr:sp macro="" textlink="">
      <xdr:nvSpPr>
        <xdr:cNvPr id="644" name="Shape 643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5</xdr:row>
      <xdr:rowOff>9525</xdr:rowOff>
    </xdr:from>
    <xdr:ext cx="323850" cy="180975"/>
    <xdr:sp macro="" textlink="">
      <xdr:nvSpPr>
        <xdr:cNvPr id="645" name="Shape 644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6</xdr:row>
      <xdr:rowOff>9525</xdr:rowOff>
    </xdr:from>
    <xdr:ext cx="323850" cy="180975"/>
    <xdr:sp macro="" textlink="">
      <xdr:nvSpPr>
        <xdr:cNvPr id="646" name="Shape 645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7</xdr:row>
      <xdr:rowOff>9525</xdr:rowOff>
    </xdr:from>
    <xdr:ext cx="323850" cy="180975"/>
    <xdr:sp macro="" textlink="">
      <xdr:nvSpPr>
        <xdr:cNvPr id="647" name="Shape 646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8</xdr:row>
      <xdr:rowOff>9525</xdr:rowOff>
    </xdr:from>
    <xdr:ext cx="323850" cy="180975"/>
    <xdr:sp macro="" textlink="">
      <xdr:nvSpPr>
        <xdr:cNvPr id="648" name="Shape 647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9</xdr:row>
      <xdr:rowOff>9525</xdr:rowOff>
    </xdr:from>
    <xdr:ext cx="323850" cy="180975"/>
    <xdr:sp macro="" textlink="">
      <xdr:nvSpPr>
        <xdr:cNvPr id="649" name="Shape 648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10</xdr:row>
      <xdr:rowOff>9525</xdr:rowOff>
    </xdr:from>
    <xdr:ext cx="323850" cy="180975"/>
    <xdr:sp macro="" textlink="">
      <xdr:nvSpPr>
        <xdr:cNvPr id="650" name="Shape 649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11</xdr:row>
      <xdr:rowOff>9525</xdr:rowOff>
    </xdr:from>
    <xdr:ext cx="323850" cy="180975"/>
    <xdr:sp macro="" textlink="">
      <xdr:nvSpPr>
        <xdr:cNvPr id="651" name="Shape 650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12</xdr:row>
      <xdr:rowOff>9525</xdr:rowOff>
    </xdr:from>
    <xdr:ext cx="323850" cy="180975"/>
    <xdr:sp macro="" textlink="">
      <xdr:nvSpPr>
        <xdr:cNvPr id="652" name="Shape 65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13</xdr:row>
      <xdr:rowOff>9525</xdr:rowOff>
    </xdr:from>
    <xdr:ext cx="323850" cy="180975"/>
    <xdr:sp macro="" textlink="">
      <xdr:nvSpPr>
        <xdr:cNvPr id="653" name="Shape 652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14</xdr:row>
      <xdr:rowOff>9525</xdr:rowOff>
    </xdr:from>
    <xdr:ext cx="323850" cy="180975"/>
    <xdr:sp macro="" textlink="">
      <xdr:nvSpPr>
        <xdr:cNvPr id="654" name="Shape 653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15</xdr:row>
      <xdr:rowOff>9525</xdr:rowOff>
    </xdr:from>
    <xdr:ext cx="323850" cy="180975"/>
    <xdr:sp macro="" textlink="">
      <xdr:nvSpPr>
        <xdr:cNvPr id="655" name="Shape 654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16</xdr:row>
      <xdr:rowOff>9525</xdr:rowOff>
    </xdr:from>
    <xdr:ext cx="323850" cy="180975"/>
    <xdr:sp macro="" textlink="">
      <xdr:nvSpPr>
        <xdr:cNvPr id="656" name="Shape 655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17</xdr:row>
      <xdr:rowOff>9525</xdr:rowOff>
    </xdr:from>
    <xdr:ext cx="323850" cy="180975"/>
    <xdr:sp macro="" textlink="">
      <xdr:nvSpPr>
        <xdr:cNvPr id="657" name="Shape 656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18</xdr:row>
      <xdr:rowOff>9525</xdr:rowOff>
    </xdr:from>
    <xdr:ext cx="323850" cy="180975"/>
    <xdr:sp macro="" textlink="">
      <xdr:nvSpPr>
        <xdr:cNvPr id="658" name="Shape 657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19</xdr:row>
      <xdr:rowOff>9525</xdr:rowOff>
    </xdr:from>
    <xdr:ext cx="323850" cy="180975"/>
    <xdr:sp macro="" textlink="">
      <xdr:nvSpPr>
        <xdr:cNvPr id="659" name="Shape 658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20</xdr:row>
      <xdr:rowOff>9525</xdr:rowOff>
    </xdr:from>
    <xdr:ext cx="323850" cy="180975"/>
    <xdr:sp macro="" textlink="">
      <xdr:nvSpPr>
        <xdr:cNvPr id="660" name="Shape 659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21</xdr:row>
      <xdr:rowOff>9525</xdr:rowOff>
    </xdr:from>
    <xdr:ext cx="323850" cy="180975"/>
    <xdr:sp macro="" textlink="">
      <xdr:nvSpPr>
        <xdr:cNvPr id="661" name="Shape 660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22</xdr:row>
      <xdr:rowOff>9525</xdr:rowOff>
    </xdr:from>
    <xdr:ext cx="323850" cy="180975"/>
    <xdr:sp macro="" textlink="">
      <xdr:nvSpPr>
        <xdr:cNvPr id="662" name="Shape 66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23</xdr:row>
      <xdr:rowOff>9525</xdr:rowOff>
    </xdr:from>
    <xdr:ext cx="323850" cy="180975"/>
    <xdr:sp macro="" textlink="">
      <xdr:nvSpPr>
        <xdr:cNvPr id="663" name="Shape 662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24</xdr:row>
      <xdr:rowOff>9525</xdr:rowOff>
    </xdr:from>
    <xdr:ext cx="323850" cy="180975"/>
    <xdr:sp macro="" textlink="">
      <xdr:nvSpPr>
        <xdr:cNvPr id="664" name="Shape 663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25</xdr:row>
      <xdr:rowOff>9525</xdr:rowOff>
    </xdr:from>
    <xdr:ext cx="323850" cy="180975"/>
    <xdr:sp macro="" textlink="">
      <xdr:nvSpPr>
        <xdr:cNvPr id="665" name="Shape 664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26</xdr:row>
      <xdr:rowOff>9525</xdr:rowOff>
    </xdr:from>
    <xdr:ext cx="323850" cy="180975"/>
    <xdr:sp macro="" textlink="">
      <xdr:nvSpPr>
        <xdr:cNvPr id="666" name="Shape 665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27</xdr:row>
      <xdr:rowOff>9525</xdr:rowOff>
    </xdr:from>
    <xdr:ext cx="323850" cy="180975"/>
    <xdr:sp macro="" textlink="">
      <xdr:nvSpPr>
        <xdr:cNvPr id="667" name="Shape 666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28</xdr:row>
      <xdr:rowOff>9525</xdr:rowOff>
    </xdr:from>
    <xdr:ext cx="323850" cy="180975"/>
    <xdr:sp macro="" textlink="">
      <xdr:nvSpPr>
        <xdr:cNvPr id="668" name="Shape 667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29</xdr:row>
      <xdr:rowOff>9525</xdr:rowOff>
    </xdr:from>
    <xdr:ext cx="323850" cy="180975"/>
    <xdr:sp macro="" textlink="">
      <xdr:nvSpPr>
        <xdr:cNvPr id="669" name="Shape 668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30</xdr:row>
      <xdr:rowOff>9525</xdr:rowOff>
    </xdr:from>
    <xdr:ext cx="323850" cy="180975"/>
    <xdr:sp macro="" textlink="">
      <xdr:nvSpPr>
        <xdr:cNvPr id="670" name="Shape 669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31</xdr:row>
      <xdr:rowOff>9525</xdr:rowOff>
    </xdr:from>
    <xdr:ext cx="323850" cy="180975"/>
    <xdr:sp macro="" textlink="">
      <xdr:nvSpPr>
        <xdr:cNvPr id="671" name="Shape 670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32</xdr:row>
      <xdr:rowOff>9525</xdr:rowOff>
    </xdr:from>
    <xdr:ext cx="323850" cy="180975"/>
    <xdr:sp macro="" textlink="">
      <xdr:nvSpPr>
        <xdr:cNvPr id="672" name="Shape 67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33</xdr:row>
      <xdr:rowOff>9525</xdr:rowOff>
    </xdr:from>
    <xdr:ext cx="323850" cy="180975"/>
    <xdr:sp macro="" textlink="">
      <xdr:nvSpPr>
        <xdr:cNvPr id="673" name="Shape 672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34</xdr:row>
      <xdr:rowOff>9525</xdr:rowOff>
    </xdr:from>
    <xdr:ext cx="323850" cy="180975"/>
    <xdr:sp macro="" textlink="">
      <xdr:nvSpPr>
        <xdr:cNvPr id="674" name="Shape 673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35</xdr:row>
      <xdr:rowOff>9525</xdr:rowOff>
    </xdr:from>
    <xdr:ext cx="323850" cy="180975"/>
    <xdr:sp macro="" textlink="">
      <xdr:nvSpPr>
        <xdr:cNvPr id="675" name="Shape 674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36</xdr:row>
      <xdr:rowOff>9525</xdr:rowOff>
    </xdr:from>
    <xdr:ext cx="323850" cy="180975"/>
    <xdr:sp macro="" textlink="">
      <xdr:nvSpPr>
        <xdr:cNvPr id="676" name="Shape 675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37</xdr:row>
      <xdr:rowOff>9525</xdr:rowOff>
    </xdr:from>
    <xdr:ext cx="323850" cy="180975"/>
    <xdr:sp macro="" textlink="">
      <xdr:nvSpPr>
        <xdr:cNvPr id="677" name="Shape 676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38</xdr:row>
      <xdr:rowOff>9525</xdr:rowOff>
    </xdr:from>
    <xdr:ext cx="323850" cy="180975"/>
    <xdr:sp macro="" textlink="">
      <xdr:nvSpPr>
        <xdr:cNvPr id="678" name="Shape 677">
          <a:extLst>
            <a:ext uri="{FF2B5EF4-FFF2-40B4-BE49-F238E27FC236}">
              <a16:creationId xmlns:a16="http://schemas.microsoft.com/office/drawing/2014/main" id="{00000000-0008-0000-0A00-0000A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39</xdr:row>
      <xdr:rowOff>9525</xdr:rowOff>
    </xdr:from>
    <xdr:ext cx="323850" cy="180975"/>
    <xdr:sp macro="" textlink="">
      <xdr:nvSpPr>
        <xdr:cNvPr id="679" name="Shape 678">
          <a:extLst>
            <a:ext uri="{FF2B5EF4-FFF2-40B4-BE49-F238E27FC236}">
              <a16:creationId xmlns:a16="http://schemas.microsoft.com/office/drawing/2014/main" id="{00000000-0008-0000-0A00-0000A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40</xdr:row>
      <xdr:rowOff>9525</xdr:rowOff>
    </xdr:from>
    <xdr:ext cx="323850" cy="180975"/>
    <xdr:sp macro="" textlink="">
      <xdr:nvSpPr>
        <xdr:cNvPr id="680" name="Shape 679">
          <a:extLst>
            <a:ext uri="{FF2B5EF4-FFF2-40B4-BE49-F238E27FC236}">
              <a16:creationId xmlns:a16="http://schemas.microsoft.com/office/drawing/2014/main" id="{00000000-0008-0000-0A00-0000A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41</xdr:row>
      <xdr:rowOff>9525</xdr:rowOff>
    </xdr:from>
    <xdr:ext cx="323850" cy="180975"/>
    <xdr:sp macro="" textlink="">
      <xdr:nvSpPr>
        <xdr:cNvPr id="681" name="Shape 680">
          <a:extLst>
            <a:ext uri="{FF2B5EF4-FFF2-40B4-BE49-F238E27FC236}">
              <a16:creationId xmlns:a16="http://schemas.microsoft.com/office/drawing/2014/main" id="{00000000-0008-0000-0A00-0000A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</xdr:row>
      <xdr:rowOff>9525</xdr:rowOff>
    </xdr:from>
    <xdr:ext cx="323850" cy="180975"/>
    <xdr:sp macro="" textlink="">
      <xdr:nvSpPr>
        <xdr:cNvPr id="682" name="Shape 681">
          <a:extLst>
            <a:ext uri="{FF2B5EF4-FFF2-40B4-BE49-F238E27FC236}">
              <a16:creationId xmlns:a16="http://schemas.microsoft.com/office/drawing/2014/main" id="{00000000-0008-0000-0A00-0000A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</xdr:row>
      <xdr:rowOff>9525</xdr:rowOff>
    </xdr:from>
    <xdr:ext cx="323850" cy="180975"/>
    <xdr:sp macro="" textlink="">
      <xdr:nvSpPr>
        <xdr:cNvPr id="683" name="Shape 682">
          <a:extLst>
            <a:ext uri="{FF2B5EF4-FFF2-40B4-BE49-F238E27FC236}">
              <a16:creationId xmlns:a16="http://schemas.microsoft.com/office/drawing/2014/main" id="{00000000-0008-0000-0A00-0000A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4</xdr:row>
      <xdr:rowOff>9525</xdr:rowOff>
    </xdr:from>
    <xdr:ext cx="323850" cy="180975"/>
    <xdr:sp macro="" textlink="">
      <xdr:nvSpPr>
        <xdr:cNvPr id="684" name="Shape 683">
          <a:extLst>
            <a:ext uri="{FF2B5EF4-FFF2-40B4-BE49-F238E27FC236}">
              <a16:creationId xmlns:a16="http://schemas.microsoft.com/office/drawing/2014/main" id="{00000000-0008-0000-0A00-0000A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5</xdr:row>
      <xdr:rowOff>9525</xdr:rowOff>
    </xdr:from>
    <xdr:ext cx="323850" cy="180975"/>
    <xdr:sp macro="" textlink="">
      <xdr:nvSpPr>
        <xdr:cNvPr id="685" name="Shape 684">
          <a:extLst>
            <a:ext uri="{FF2B5EF4-FFF2-40B4-BE49-F238E27FC236}">
              <a16:creationId xmlns:a16="http://schemas.microsoft.com/office/drawing/2014/main" id="{00000000-0008-0000-0A00-0000A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6</xdr:row>
      <xdr:rowOff>9525</xdr:rowOff>
    </xdr:from>
    <xdr:ext cx="323850" cy="180975"/>
    <xdr:sp macro="" textlink="">
      <xdr:nvSpPr>
        <xdr:cNvPr id="686" name="Shape 685">
          <a:extLst>
            <a:ext uri="{FF2B5EF4-FFF2-40B4-BE49-F238E27FC236}">
              <a16:creationId xmlns:a16="http://schemas.microsoft.com/office/drawing/2014/main" id="{00000000-0008-0000-0A00-0000A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7</xdr:row>
      <xdr:rowOff>9525</xdr:rowOff>
    </xdr:from>
    <xdr:ext cx="323850" cy="180975"/>
    <xdr:sp macro="" textlink="">
      <xdr:nvSpPr>
        <xdr:cNvPr id="687" name="Shape 686">
          <a:extLst>
            <a:ext uri="{FF2B5EF4-FFF2-40B4-BE49-F238E27FC236}">
              <a16:creationId xmlns:a16="http://schemas.microsoft.com/office/drawing/2014/main" id="{00000000-0008-0000-0A00-0000A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8</xdr:row>
      <xdr:rowOff>9525</xdr:rowOff>
    </xdr:from>
    <xdr:ext cx="323850" cy="180975"/>
    <xdr:sp macro="" textlink="">
      <xdr:nvSpPr>
        <xdr:cNvPr id="688" name="Shape 687">
          <a:extLst>
            <a:ext uri="{FF2B5EF4-FFF2-40B4-BE49-F238E27FC236}">
              <a16:creationId xmlns:a16="http://schemas.microsoft.com/office/drawing/2014/main" id="{00000000-0008-0000-0A00-0000B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9</xdr:row>
      <xdr:rowOff>9525</xdr:rowOff>
    </xdr:from>
    <xdr:ext cx="323850" cy="180975"/>
    <xdr:sp macro="" textlink="">
      <xdr:nvSpPr>
        <xdr:cNvPr id="689" name="Shape 688">
          <a:extLst>
            <a:ext uri="{FF2B5EF4-FFF2-40B4-BE49-F238E27FC236}">
              <a16:creationId xmlns:a16="http://schemas.microsoft.com/office/drawing/2014/main" id="{00000000-0008-0000-0A00-0000B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10</xdr:row>
      <xdr:rowOff>9525</xdr:rowOff>
    </xdr:from>
    <xdr:ext cx="323850" cy="180975"/>
    <xdr:sp macro="" textlink="">
      <xdr:nvSpPr>
        <xdr:cNvPr id="690" name="Shape 689">
          <a:extLst>
            <a:ext uri="{FF2B5EF4-FFF2-40B4-BE49-F238E27FC236}">
              <a16:creationId xmlns:a16="http://schemas.microsoft.com/office/drawing/2014/main" id="{00000000-0008-0000-0A00-0000B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11</xdr:row>
      <xdr:rowOff>9525</xdr:rowOff>
    </xdr:from>
    <xdr:ext cx="323850" cy="180975"/>
    <xdr:sp macro="" textlink="">
      <xdr:nvSpPr>
        <xdr:cNvPr id="691" name="Shape 690">
          <a:extLst>
            <a:ext uri="{FF2B5EF4-FFF2-40B4-BE49-F238E27FC236}">
              <a16:creationId xmlns:a16="http://schemas.microsoft.com/office/drawing/2014/main" id="{00000000-0008-0000-0A00-0000B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12</xdr:row>
      <xdr:rowOff>9525</xdr:rowOff>
    </xdr:from>
    <xdr:ext cx="323850" cy="180975"/>
    <xdr:sp macro="" textlink="">
      <xdr:nvSpPr>
        <xdr:cNvPr id="692" name="Shape 691">
          <a:extLst>
            <a:ext uri="{FF2B5EF4-FFF2-40B4-BE49-F238E27FC236}">
              <a16:creationId xmlns:a16="http://schemas.microsoft.com/office/drawing/2014/main" id="{00000000-0008-0000-0A00-0000B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13</xdr:row>
      <xdr:rowOff>9525</xdr:rowOff>
    </xdr:from>
    <xdr:ext cx="323850" cy="180975"/>
    <xdr:sp macro="" textlink="">
      <xdr:nvSpPr>
        <xdr:cNvPr id="693" name="Shape 692">
          <a:extLst>
            <a:ext uri="{FF2B5EF4-FFF2-40B4-BE49-F238E27FC236}">
              <a16:creationId xmlns:a16="http://schemas.microsoft.com/office/drawing/2014/main" id="{00000000-0008-0000-0A00-0000B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14</xdr:row>
      <xdr:rowOff>9525</xdr:rowOff>
    </xdr:from>
    <xdr:ext cx="323850" cy="180975"/>
    <xdr:sp macro="" textlink="">
      <xdr:nvSpPr>
        <xdr:cNvPr id="694" name="Shape 693">
          <a:extLst>
            <a:ext uri="{FF2B5EF4-FFF2-40B4-BE49-F238E27FC236}">
              <a16:creationId xmlns:a16="http://schemas.microsoft.com/office/drawing/2014/main" id="{00000000-0008-0000-0A00-0000B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15</xdr:row>
      <xdr:rowOff>9525</xdr:rowOff>
    </xdr:from>
    <xdr:ext cx="323850" cy="180975"/>
    <xdr:sp macro="" textlink="">
      <xdr:nvSpPr>
        <xdr:cNvPr id="695" name="Shape 694">
          <a:extLst>
            <a:ext uri="{FF2B5EF4-FFF2-40B4-BE49-F238E27FC236}">
              <a16:creationId xmlns:a16="http://schemas.microsoft.com/office/drawing/2014/main" id="{00000000-0008-0000-0A00-0000B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16</xdr:row>
      <xdr:rowOff>9525</xdr:rowOff>
    </xdr:from>
    <xdr:ext cx="323850" cy="180975"/>
    <xdr:sp macro="" textlink="">
      <xdr:nvSpPr>
        <xdr:cNvPr id="696" name="Shape 695">
          <a:extLst>
            <a:ext uri="{FF2B5EF4-FFF2-40B4-BE49-F238E27FC236}">
              <a16:creationId xmlns:a16="http://schemas.microsoft.com/office/drawing/2014/main" id="{00000000-0008-0000-0A00-0000B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17</xdr:row>
      <xdr:rowOff>9525</xdr:rowOff>
    </xdr:from>
    <xdr:ext cx="323850" cy="180975"/>
    <xdr:sp macro="" textlink="">
      <xdr:nvSpPr>
        <xdr:cNvPr id="697" name="Shape 696">
          <a:extLst>
            <a:ext uri="{FF2B5EF4-FFF2-40B4-BE49-F238E27FC236}">
              <a16:creationId xmlns:a16="http://schemas.microsoft.com/office/drawing/2014/main" id="{00000000-0008-0000-0A00-0000B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18</xdr:row>
      <xdr:rowOff>9525</xdr:rowOff>
    </xdr:from>
    <xdr:ext cx="323850" cy="180975"/>
    <xdr:sp macro="" textlink="">
      <xdr:nvSpPr>
        <xdr:cNvPr id="698" name="Shape 697">
          <a:extLst>
            <a:ext uri="{FF2B5EF4-FFF2-40B4-BE49-F238E27FC236}">
              <a16:creationId xmlns:a16="http://schemas.microsoft.com/office/drawing/2014/main" id="{00000000-0008-0000-0A00-0000B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19</xdr:row>
      <xdr:rowOff>9525</xdr:rowOff>
    </xdr:from>
    <xdr:ext cx="323850" cy="180975"/>
    <xdr:sp macro="" textlink="">
      <xdr:nvSpPr>
        <xdr:cNvPr id="699" name="Shape 698">
          <a:extLst>
            <a:ext uri="{FF2B5EF4-FFF2-40B4-BE49-F238E27FC236}">
              <a16:creationId xmlns:a16="http://schemas.microsoft.com/office/drawing/2014/main" id="{00000000-0008-0000-0A00-0000B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20</xdr:row>
      <xdr:rowOff>9525</xdr:rowOff>
    </xdr:from>
    <xdr:ext cx="323850" cy="180975"/>
    <xdr:sp macro="" textlink="">
      <xdr:nvSpPr>
        <xdr:cNvPr id="700" name="Shape 699">
          <a:extLst>
            <a:ext uri="{FF2B5EF4-FFF2-40B4-BE49-F238E27FC236}">
              <a16:creationId xmlns:a16="http://schemas.microsoft.com/office/drawing/2014/main" id="{00000000-0008-0000-0A00-0000B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21</xdr:row>
      <xdr:rowOff>9525</xdr:rowOff>
    </xdr:from>
    <xdr:ext cx="323850" cy="180975"/>
    <xdr:sp macro="" textlink="">
      <xdr:nvSpPr>
        <xdr:cNvPr id="701" name="Shape 700">
          <a:extLst>
            <a:ext uri="{FF2B5EF4-FFF2-40B4-BE49-F238E27FC236}">
              <a16:creationId xmlns:a16="http://schemas.microsoft.com/office/drawing/2014/main" id="{00000000-0008-0000-0A00-0000B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22</xdr:row>
      <xdr:rowOff>9525</xdr:rowOff>
    </xdr:from>
    <xdr:ext cx="323850" cy="180975"/>
    <xdr:sp macro="" textlink="">
      <xdr:nvSpPr>
        <xdr:cNvPr id="702" name="Shape 701">
          <a:extLst>
            <a:ext uri="{FF2B5EF4-FFF2-40B4-BE49-F238E27FC236}">
              <a16:creationId xmlns:a16="http://schemas.microsoft.com/office/drawing/2014/main" id="{00000000-0008-0000-0A00-0000B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23</xdr:row>
      <xdr:rowOff>9525</xdr:rowOff>
    </xdr:from>
    <xdr:ext cx="323850" cy="180975"/>
    <xdr:sp macro="" textlink="">
      <xdr:nvSpPr>
        <xdr:cNvPr id="703" name="Shape 702">
          <a:extLst>
            <a:ext uri="{FF2B5EF4-FFF2-40B4-BE49-F238E27FC236}">
              <a16:creationId xmlns:a16="http://schemas.microsoft.com/office/drawing/2014/main" id="{00000000-0008-0000-0A00-0000B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24</xdr:row>
      <xdr:rowOff>9525</xdr:rowOff>
    </xdr:from>
    <xdr:ext cx="323850" cy="180975"/>
    <xdr:sp macro="" textlink="">
      <xdr:nvSpPr>
        <xdr:cNvPr id="704" name="Shape 703">
          <a:extLst>
            <a:ext uri="{FF2B5EF4-FFF2-40B4-BE49-F238E27FC236}">
              <a16:creationId xmlns:a16="http://schemas.microsoft.com/office/drawing/2014/main" id="{00000000-0008-0000-0A00-0000C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25</xdr:row>
      <xdr:rowOff>9525</xdr:rowOff>
    </xdr:from>
    <xdr:ext cx="323850" cy="180975"/>
    <xdr:sp macro="" textlink="">
      <xdr:nvSpPr>
        <xdr:cNvPr id="705" name="Shape 704">
          <a:extLst>
            <a:ext uri="{FF2B5EF4-FFF2-40B4-BE49-F238E27FC236}">
              <a16:creationId xmlns:a16="http://schemas.microsoft.com/office/drawing/2014/main" id="{00000000-0008-0000-0A00-0000C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26</xdr:row>
      <xdr:rowOff>9525</xdr:rowOff>
    </xdr:from>
    <xdr:ext cx="323850" cy="180975"/>
    <xdr:sp macro="" textlink="">
      <xdr:nvSpPr>
        <xdr:cNvPr id="706" name="Shape 705">
          <a:extLst>
            <a:ext uri="{FF2B5EF4-FFF2-40B4-BE49-F238E27FC236}">
              <a16:creationId xmlns:a16="http://schemas.microsoft.com/office/drawing/2014/main" id="{00000000-0008-0000-0A00-0000C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27</xdr:row>
      <xdr:rowOff>9525</xdr:rowOff>
    </xdr:from>
    <xdr:ext cx="323850" cy="180975"/>
    <xdr:sp macro="" textlink="">
      <xdr:nvSpPr>
        <xdr:cNvPr id="707" name="Shape 706">
          <a:extLst>
            <a:ext uri="{FF2B5EF4-FFF2-40B4-BE49-F238E27FC236}">
              <a16:creationId xmlns:a16="http://schemas.microsoft.com/office/drawing/2014/main" id="{00000000-0008-0000-0A00-0000C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28</xdr:row>
      <xdr:rowOff>9525</xdr:rowOff>
    </xdr:from>
    <xdr:ext cx="323850" cy="180975"/>
    <xdr:sp macro="" textlink="">
      <xdr:nvSpPr>
        <xdr:cNvPr id="708" name="Shape 707">
          <a:extLst>
            <a:ext uri="{FF2B5EF4-FFF2-40B4-BE49-F238E27FC236}">
              <a16:creationId xmlns:a16="http://schemas.microsoft.com/office/drawing/2014/main" id="{00000000-0008-0000-0A00-0000C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29</xdr:row>
      <xdr:rowOff>9525</xdr:rowOff>
    </xdr:from>
    <xdr:ext cx="323850" cy="180975"/>
    <xdr:sp macro="" textlink="">
      <xdr:nvSpPr>
        <xdr:cNvPr id="709" name="Shape 708">
          <a:extLst>
            <a:ext uri="{FF2B5EF4-FFF2-40B4-BE49-F238E27FC236}">
              <a16:creationId xmlns:a16="http://schemas.microsoft.com/office/drawing/2014/main" id="{00000000-0008-0000-0A00-0000C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30</xdr:row>
      <xdr:rowOff>9525</xdr:rowOff>
    </xdr:from>
    <xdr:ext cx="323850" cy="180975"/>
    <xdr:sp macro="" textlink="">
      <xdr:nvSpPr>
        <xdr:cNvPr id="710" name="Shape 709">
          <a:extLst>
            <a:ext uri="{FF2B5EF4-FFF2-40B4-BE49-F238E27FC236}">
              <a16:creationId xmlns:a16="http://schemas.microsoft.com/office/drawing/2014/main" id="{00000000-0008-0000-0A00-0000C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31</xdr:row>
      <xdr:rowOff>9525</xdr:rowOff>
    </xdr:from>
    <xdr:ext cx="323850" cy="180975"/>
    <xdr:sp macro="" textlink="">
      <xdr:nvSpPr>
        <xdr:cNvPr id="711" name="Shape 710">
          <a:extLst>
            <a:ext uri="{FF2B5EF4-FFF2-40B4-BE49-F238E27FC236}">
              <a16:creationId xmlns:a16="http://schemas.microsoft.com/office/drawing/2014/main" id="{00000000-0008-0000-0A00-0000C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32</xdr:row>
      <xdr:rowOff>9525</xdr:rowOff>
    </xdr:from>
    <xdr:ext cx="323850" cy="180975"/>
    <xdr:sp macro="" textlink="">
      <xdr:nvSpPr>
        <xdr:cNvPr id="712" name="Shape 711">
          <a:extLst>
            <a:ext uri="{FF2B5EF4-FFF2-40B4-BE49-F238E27FC236}">
              <a16:creationId xmlns:a16="http://schemas.microsoft.com/office/drawing/2014/main" id="{00000000-0008-0000-0A00-0000C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33</xdr:row>
      <xdr:rowOff>9525</xdr:rowOff>
    </xdr:from>
    <xdr:ext cx="323850" cy="180975"/>
    <xdr:sp macro="" textlink="">
      <xdr:nvSpPr>
        <xdr:cNvPr id="713" name="Shape 712">
          <a:extLst>
            <a:ext uri="{FF2B5EF4-FFF2-40B4-BE49-F238E27FC236}">
              <a16:creationId xmlns:a16="http://schemas.microsoft.com/office/drawing/2014/main" id="{00000000-0008-0000-0A00-0000C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34</xdr:row>
      <xdr:rowOff>9525</xdr:rowOff>
    </xdr:from>
    <xdr:ext cx="323850" cy="180975"/>
    <xdr:sp macro="" textlink="">
      <xdr:nvSpPr>
        <xdr:cNvPr id="714" name="Shape 713">
          <a:extLst>
            <a:ext uri="{FF2B5EF4-FFF2-40B4-BE49-F238E27FC236}">
              <a16:creationId xmlns:a16="http://schemas.microsoft.com/office/drawing/2014/main" id="{00000000-0008-0000-0A00-0000C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35</xdr:row>
      <xdr:rowOff>9525</xdr:rowOff>
    </xdr:from>
    <xdr:ext cx="323850" cy="180975"/>
    <xdr:sp macro="" textlink="">
      <xdr:nvSpPr>
        <xdr:cNvPr id="715" name="Shape 714">
          <a:extLst>
            <a:ext uri="{FF2B5EF4-FFF2-40B4-BE49-F238E27FC236}">
              <a16:creationId xmlns:a16="http://schemas.microsoft.com/office/drawing/2014/main" id="{00000000-0008-0000-0A00-0000C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36</xdr:row>
      <xdr:rowOff>9525</xdr:rowOff>
    </xdr:from>
    <xdr:ext cx="323850" cy="180975"/>
    <xdr:sp macro="" textlink="">
      <xdr:nvSpPr>
        <xdr:cNvPr id="716" name="Shape 715">
          <a:extLst>
            <a:ext uri="{FF2B5EF4-FFF2-40B4-BE49-F238E27FC236}">
              <a16:creationId xmlns:a16="http://schemas.microsoft.com/office/drawing/2014/main" id="{00000000-0008-0000-0A00-0000C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37</xdr:row>
      <xdr:rowOff>9525</xdr:rowOff>
    </xdr:from>
    <xdr:ext cx="323850" cy="180975"/>
    <xdr:sp macro="" textlink="">
      <xdr:nvSpPr>
        <xdr:cNvPr id="717" name="Shape 716">
          <a:extLst>
            <a:ext uri="{FF2B5EF4-FFF2-40B4-BE49-F238E27FC236}">
              <a16:creationId xmlns:a16="http://schemas.microsoft.com/office/drawing/2014/main" id="{00000000-0008-0000-0A00-0000C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38</xdr:row>
      <xdr:rowOff>9525</xdr:rowOff>
    </xdr:from>
    <xdr:ext cx="323850" cy="180975"/>
    <xdr:sp macro="" textlink="">
      <xdr:nvSpPr>
        <xdr:cNvPr id="718" name="Shape 717">
          <a:extLst>
            <a:ext uri="{FF2B5EF4-FFF2-40B4-BE49-F238E27FC236}">
              <a16:creationId xmlns:a16="http://schemas.microsoft.com/office/drawing/2014/main" id="{00000000-0008-0000-0A00-0000C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39</xdr:row>
      <xdr:rowOff>9525</xdr:rowOff>
    </xdr:from>
    <xdr:ext cx="323850" cy="180975"/>
    <xdr:sp macro="" textlink="">
      <xdr:nvSpPr>
        <xdr:cNvPr id="719" name="Shape 718">
          <a:extLst>
            <a:ext uri="{FF2B5EF4-FFF2-40B4-BE49-F238E27FC236}">
              <a16:creationId xmlns:a16="http://schemas.microsoft.com/office/drawing/2014/main" id="{00000000-0008-0000-0A00-0000C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40</xdr:row>
      <xdr:rowOff>9525</xdr:rowOff>
    </xdr:from>
    <xdr:ext cx="323850" cy="180975"/>
    <xdr:sp macro="" textlink="">
      <xdr:nvSpPr>
        <xdr:cNvPr id="720" name="Shape 719">
          <a:extLst>
            <a:ext uri="{FF2B5EF4-FFF2-40B4-BE49-F238E27FC236}">
              <a16:creationId xmlns:a16="http://schemas.microsoft.com/office/drawing/2014/main" id="{00000000-0008-0000-0A00-0000D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41</xdr:row>
      <xdr:rowOff>9525</xdr:rowOff>
    </xdr:from>
    <xdr:ext cx="323850" cy="180975"/>
    <xdr:sp macro="" textlink="">
      <xdr:nvSpPr>
        <xdr:cNvPr id="721" name="Shape 720">
          <a:extLst>
            <a:ext uri="{FF2B5EF4-FFF2-40B4-BE49-F238E27FC236}">
              <a16:creationId xmlns:a16="http://schemas.microsoft.com/office/drawing/2014/main" id="{00000000-0008-0000-0A00-0000D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</xdr:row>
      <xdr:rowOff>9525</xdr:rowOff>
    </xdr:from>
    <xdr:ext cx="323850" cy="180975"/>
    <xdr:sp macro="" textlink="">
      <xdr:nvSpPr>
        <xdr:cNvPr id="722" name="Shape 721">
          <a:extLst>
            <a:ext uri="{FF2B5EF4-FFF2-40B4-BE49-F238E27FC236}">
              <a16:creationId xmlns:a16="http://schemas.microsoft.com/office/drawing/2014/main" id="{00000000-0008-0000-0A00-0000D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</xdr:row>
      <xdr:rowOff>9525</xdr:rowOff>
    </xdr:from>
    <xdr:ext cx="323850" cy="180975"/>
    <xdr:sp macro="" textlink="">
      <xdr:nvSpPr>
        <xdr:cNvPr id="723" name="Shape 722">
          <a:extLst>
            <a:ext uri="{FF2B5EF4-FFF2-40B4-BE49-F238E27FC236}">
              <a16:creationId xmlns:a16="http://schemas.microsoft.com/office/drawing/2014/main" id="{00000000-0008-0000-0A00-0000D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4</xdr:row>
      <xdr:rowOff>9525</xdr:rowOff>
    </xdr:from>
    <xdr:ext cx="323850" cy="180975"/>
    <xdr:sp macro="" textlink="">
      <xdr:nvSpPr>
        <xdr:cNvPr id="724" name="Shape 723">
          <a:extLst>
            <a:ext uri="{FF2B5EF4-FFF2-40B4-BE49-F238E27FC236}">
              <a16:creationId xmlns:a16="http://schemas.microsoft.com/office/drawing/2014/main" id="{00000000-0008-0000-0A00-0000D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5</xdr:row>
      <xdr:rowOff>9525</xdr:rowOff>
    </xdr:from>
    <xdr:ext cx="323850" cy="180975"/>
    <xdr:sp macro="" textlink="">
      <xdr:nvSpPr>
        <xdr:cNvPr id="725" name="Shape 724">
          <a:extLst>
            <a:ext uri="{FF2B5EF4-FFF2-40B4-BE49-F238E27FC236}">
              <a16:creationId xmlns:a16="http://schemas.microsoft.com/office/drawing/2014/main" id="{00000000-0008-0000-0A00-0000D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6</xdr:row>
      <xdr:rowOff>9525</xdr:rowOff>
    </xdr:from>
    <xdr:ext cx="323850" cy="180975"/>
    <xdr:sp macro="" textlink="">
      <xdr:nvSpPr>
        <xdr:cNvPr id="726" name="Shape 725">
          <a:extLst>
            <a:ext uri="{FF2B5EF4-FFF2-40B4-BE49-F238E27FC236}">
              <a16:creationId xmlns:a16="http://schemas.microsoft.com/office/drawing/2014/main" id="{00000000-0008-0000-0A00-0000D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7</xdr:row>
      <xdr:rowOff>9525</xdr:rowOff>
    </xdr:from>
    <xdr:ext cx="323850" cy="180975"/>
    <xdr:sp macro="" textlink="">
      <xdr:nvSpPr>
        <xdr:cNvPr id="727" name="Shape 726">
          <a:extLst>
            <a:ext uri="{FF2B5EF4-FFF2-40B4-BE49-F238E27FC236}">
              <a16:creationId xmlns:a16="http://schemas.microsoft.com/office/drawing/2014/main" id="{00000000-0008-0000-0A00-0000D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8</xdr:row>
      <xdr:rowOff>9525</xdr:rowOff>
    </xdr:from>
    <xdr:ext cx="323850" cy="180975"/>
    <xdr:sp macro="" textlink="">
      <xdr:nvSpPr>
        <xdr:cNvPr id="728" name="Shape 727">
          <a:extLst>
            <a:ext uri="{FF2B5EF4-FFF2-40B4-BE49-F238E27FC236}">
              <a16:creationId xmlns:a16="http://schemas.microsoft.com/office/drawing/2014/main" id="{00000000-0008-0000-0A00-0000D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9</xdr:row>
      <xdr:rowOff>9525</xdr:rowOff>
    </xdr:from>
    <xdr:ext cx="323850" cy="180975"/>
    <xdr:sp macro="" textlink="">
      <xdr:nvSpPr>
        <xdr:cNvPr id="729" name="Shape 728">
          <a:extLst>
            <a:ext uri="{FF2B5EF4-FFF2-40B4-BE49-F238E27FC236}">
              <a16:creationId xmlns:a16="http://schemas.microsoft.com/office/drawing/2014/main" id="{00000000-0008-0000-0A00-0000D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10</xdr:row>
      <xdr:rowOff>9525</xdr:rowOff>
    </xdr:from>
    <xdr:ext cx="323850" cy="180975"/>
    <xdr:sp macro="" textlink="">
      <xdr:nvSpPr>
        <xdr:cNvPr id="730" name="Shape 729">
          <a:extLst>
            <a:ext uri="{FF2B5EF4-FFF2-40B4-BE49-F238E27FC236}">
              <a16:creationId xmlns:a16="http://schemas.microsoft.com/office/drawing/2014/main" id="{00000000-0008-0000-0A00-0000D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11</xdr:row>
      <xdr:rowOff>9525</xdr:rowOff>
    </xdr:from>
    <xdr:ext cx="323850" cy="180975"/>
    <xdr:sp macro="" textlink="">
      <xdr:nvSpPr>
        <xdr:cNvPr id="731" name="Shape 730">
          <a:extLst>
            <a:ext uri="{FF2B5EF4-FFF2-40B4-BE49-F238E27FC236}">
              <a16:creationId xmlns:a16="http://schemas.microsoft.com/office/drawing/2014/main" id="{00000000-0008-0000-0A00-0000D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12</xdr:row>
      <xdr:rowOff>9525</xdr:rowOff>
    </xdr:from>
    <xdr:ext cx="323850" cy="180975"/>
    <xdr:sp macro="" textlink="">
      <xdr:nvSpPr>
        <xdr:cNvPr id="732" name="Shape 731">
          <a:extLst>
            <a:ext uri="{FF2B5EF4-FFF2-40B4-BE49-F238E27FC236}">
              <a16:creationId xmlns:a16="http://schemas.microsoft.com/office/drawing/2014/main" id="{00000000-0008-0000-0A00-0000D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13</xdr:row>
      <xdr:rowOff>9525</xdr:rowOff>
    </xdr:from>
    <xdr:ext cx="323850" cy="180975"/>
    <xdr:sp macro="" textlink="">
      <xdr:nvSpPr>
        <xdr:cNvPr id="733" name="Shape 732">
          <a:extLst>
            <a:ext uri="{FF2B5EF4-FFF2-40B4-BE49-F238E27FC236}">
              <a16:creationId xmlns:a16="http://schemas.microsoft.com/office/drawing/2014/main" id="{00000000-0008-0000-0A00-0000D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14</xdr:row>
      <xdr:rowOff>9525</xdr:rowOff>
    </xdr:from>
    <xdr:ext cx="323850" cy="180975"/>
    <xdr:sp macro="" textlink="">
      <xdr:nvSpPr>
        <xdr:cNvPr id="734" name="Shape 733">
          <a:extLst>
            <a:ext uri="{FF2B5EF4-FFF2-40B4-BE49-F238E27FC236}">
              <a16:creationId xmlns:a16="http://schemas.microsoft.com/office/drawing/2014/main" id="{00000000-0008-0000-0A00-0000D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15</xdr:row>
      <xdr:rowOff>9525</xdr:rowOff>
    </xdr:from>
    <xdr:ext cx="323850" cy="180975"/>
    <xdr:sp macro="" textlink="">
      <xdr:nvSpPr>
        <xdr:cNvPr id="735" name="Shape 734">
          <a:extLst>
            <a:ext uri="{FF2B5EF4-FFF2-40B4-BE49-F238E27FC236}">
              <a16:creationId xmlns:a16="http://schemas.microsoft.com/office/drawing/2014/main" id="{00000000-0008-0000-0A00-0000D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16</xdr:row>
      <xdr:rowOff>9525</xdr:rowOff>
    </xdr:from>
    <xdr:ext cx="323850" cy="180975"/>
    <xdr:sp macro="" textlink="">
      <xdr:nvSpPr>
        <xdr:cNvPr id="736" name="Shape 735">
          <a:extLst>
            <a:ext uri="{FF2B5EF4-FFF2-40B4-BE49-F238E27FC236}">
              <a16:creationId xmlns:a16="http://schemas.microsoft.com/office/drawing/2014/main" id="{00000000-0008-0000-0A00-0000E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17</xdr:row>
      <xdr:rowOff>9525</xdr:rowOff>
    </xdr:from>
    <xdr:ext cx="323850" cy="180975"/>
    <xdr:sp macro="" textlink="">
      <xdr:nvSpPr>
        <xdr:cNvPr id="737" name="Shape 736">
          <a:extLst>
            <a:ext uri="{FF2B5EF4-FFF2-40B4-BE49-F238E27FC236}">
              <a16:creationId xmlns:a16="http://schemas.microsoft.com/office/drawing/2014/main" id="{00000000-0008-0000-0A00-0000E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18</xdr:row>
      <xdr:rowOff>9525</xdr:rowOff>
    </xdr:from>
    <xdr:ext cx="323850" cy="180975"/>
    <xdr:sp macro="" textlink="">
      <xdr:nvSpPr>
        <xdr:cNvPr id="738" name="Shape 737">
          <a:extLst>
            <a:ext uri="{FF2B5EF4-FFF2-40B4-BE49-F238E27FC236}">
              <a16:creationId xmlns:a16="http://schemas.microsoft.com/office/drawing/2014/main" id="{00000000-0008-0000-0A00-0000E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19</xdr:row>
      <xdr:rowOff>9525</xdr:rowOff>
    </xdr:from>
    <xdr:ext cx="323850" cy="180975"/>
    <xdr:sp macro="" textlink="">
      <xdr:nvSpPr>
        <xdr:cNvPr id="739" name="Shape 738">
          <a:extLst>
            <a:ext uri="{FF2B5EF4-FFF2-40B4-BE49-F238E27FC236}">
              <a16:creationId xmlns:a16="http://schemas.microsoft.com/office/drawing/2014/main" id="{00000000-0008-0000-0A00-0000E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20</xdr:row>
      <xdr:rowOff>9525</xdr:rowOff>
    </xdr:from>
    <xdr:ext cx="323850" cy="180975"/>
    <xdr:sp macro="" textlink="">
      <xdr:nvSpPr>
        <xdr:cNvPr id="740" name="Shape 739">
          <a:extLst>
            <a:ext uri="{FF2B5EF4-FFF2-40B4-BE49-F238E27FC236}">
              <a16:creationId xmlns:a16="http://schemas.microsoft.com/office/drawing/2014/main" id="{00000000-0008-0000-0A00-0000E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21</xdr:row>
      <xdr:rowOff>9525</xdr:rowOff>
    </xdr:from>
    <xdr:ext cx="323850" cy="180975"/>
    <xdr:sp macro="" textlink="">
      <xdr:nvSpPr>
        <xdr:cNvPr id="741" name="Shape 740">
          <a:extLst>
            <a:ext uri="{FF2B5EF4-FFF2-40B4-BE49-F238E27FC236}">
              <a16:creationId xmlns:a16="http://schemas.microsoft.com/office/drawing/2014/main" id="{00000000-0008-0000-0A00-0000E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22</xdr:row>
      <xdr:rowOff>9525</xdr:rowOff>
    </xdr:from>
    <xdr:ext cx="323850" cy="180975"/>
    <xdr:sp macro="" textlink="">
      <xdr:nvSpPr>
        <xdr:cNvPr id="742" name="Shape 741">
          <a:extLst>
            <a:ext uri="{FF2B5EF4-FFF2-40B4-BE49-F238E27FC236}">
              <a16:creationId xmlns:a16="http://schemas.microsoft.com/office/drawing/2014/main" id="{00000000-0008-0000-0A00-0000E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23</xdr:row>
      <xdr:rowOff>9525</xdr:rowOff>
    </xdr:from>
    <xdr:ext cx="323850" cy="180975"/>
    <xdr:sp macro="" textlink="">
      <xdr:nvSpPr>
        <xdr:cNvPr id="743" name="Shape 742">
          <a:extLst>
            <a:ext uri="{FF2B5EF4-FFF2-40B4-BE49-F238E27FC236}">
              <a16:creationId xmlns:a16="http://schemas.microsoft.com/office/drawing/2014/main" id="{00000000-0008-0000-0A00-0000E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24</xdr:row>
      <xdr:rowOff>9525</xdr:rowOff>
    </xdr:from>
    <xdr:ext cx="323850" cy="180975"/>
    <xdr:sp macro="" textlink="">
      <xdr:nvSpPr>
        <xdr:cNvPr id="744" name="Shape 743">
          <a:extLst>
            <a:ext uri="{FF2B5EF4-FFF2-40B4-BE49-F238E27FC236}">
              <a16:creationId xmlns:a16="http://schemas.microsoft.com/office/drawing/2014/main" id="{00000000-0008-0000-0A00-0000E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25</xdr:row>
      <xdr:rowOff>9525</xdr:rowOff>
    </xdr:from>
    <xdr:ext cx="323850" cy="180975"/>
    <xdr:sp macro="" textlink="">
      <xdr:nvSpPr>
        <xdr:cNvPr id="745" name="Shape 744">
          <a:extLst>
            <a:ext uri="{FF2B5EF4-FFF2-40B4-BE49-F238E27FC236}">
              <a16:creationId xmlns:a16="http://schemas.microsoft.com/office/drawing/2014/main" id="{00000000-0008-0000-0A00-0000E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26</xdr:row>
      <xdr:rowOff>9525</xdr:rowOff>
    </xdr:from>
    <xdr:ext cx="323850" cy="180975"/>
    <xdr:sp macro="" textlink="">
      <xdr:nvSpPr>
        <xdr:cNvPr id="746" name="Shape 745">
          <a:extLst>
            <a:ext uri="{FF2B5EF4-FFF2-40B4-BE49-F238E27FC236}">
              <a16:creationId xmlns:a16="http://schemas.microsoft.com/office/drawing/2014/main" id="{00000000-0008-0000-0A00-0000E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27</xdr:row>
      <xdr:rowOff>9525</xdr:rowOff>
    </xdr:from>
    <xdr:ext cx="323850" cy="180975"/>
    <xdr:sp macro="" textlink="">
      <xdr:nvSpPr>
        <xdr:cNvPr id="747" name="Shape 746">
          <a:extLst>
            <a:ext uri="{FF2B5EF4-FFF2-40B4-BE49-F238E27FC236}">
              <a16:creationId xmlns:a16="http://schemas.microsoft.com/office/drawing/2014/main" id="{00000000-0008-0000-0A00-0000E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28</xdr:row>
      <xdr:rowOff>9525</xdr:rowOff>
    </xdr:from>
    <xdr:ext cx="323850" cy="180975"/>
    <xdr:sp macro="" textlink="">
      <xdr:nvSpPr>
        <xdr:cNvPr id="748" name="Shape 747">
          <a:extLst>
            <a:ext uri="{FF2B5EF4-FFF2-40B4-BE49-F238E27FC236}">
              <a16:creationId xmlns:a16="http://schemas.microsoft.com/office/drawing/2014/main" id="{00000000-0008-0000-0A00-0000E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29</xdr:row>
      <xdr:rowOff>9525</xdr:rowOff>
    </xdr:from>
    <xdr:ext cx="323850" cy="180975"/>
    <xdr:sp macro="" textlink="">
      <xdr:nvSpPr>
        <xdr:cNvPr id="749" name="Shape 748">
          <a:extLst>
            <a:ext uri="{FF2B5EF4-FFF2-40B4-BE49-F238E27FC236}">
              <a16:creationId xmlns:a16="http://schemas.microsoft.com/office/drawing/2014/main" id="{00000000-0008-0000-0A00-0000E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30</xdr:row>
      <xdr:rowOff>9525</xdr:rowOff>
    </xdr:from>
    <xdr:ext cx="323850" cy="180975"/>
    <xdr:sp macro="" textlink="">
      <xdr:nvSpPr>
        <xdr:cNvPr id="750" name="Shape 749">
          <a:extLst>
            <a:ext uri="{FF2B5EF4-FFF2-40B4-BE49-F238E27FC236}">
              <a16:creationId xmlns:a16="http://schemas.microsoft.com/office/drawing/2014/main" id="{00000000-0008-0000-0A00-0000E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31</xdr:row>
      <xdr:rowOff>9525</xdr:rowOff>
    </xdr:from>
    <xdr:ext cx="323850" cy="180975"/>
    <xdr:sp macro="" textlink="">
      <xdr:nvSpPr>
        <xdr:cNvPr id="751" name="Shape 750">
          <a:extLst>
            <a:ext uri="{FF2B5EF4-FFF2-40B4-BE49-F238E27FC236}">
              <a16:creationId xmlns:a16="http://schemas.microsoft.com/office/drawing/2014/main" id="{00000000-0008-0000-0A00-0000E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32</xdr:row>
      <xdr:rowOff>9525</xdr:rowOff>
    </xdr:from>
    <xdr:ext cx="323850" cy="180975"/>
    <xdr:sp macro="" textlink="">
      <xdr:nvSpPr>
        <xdr:cNvPr id="752" name="Shape 751">
          <a:extLst>
            <a:ext uri="{FF2B5EF4-FFF2-40B4-BE49-F238E27FC236}">
              <a16:creationId xmlns:a16="http://schemas.microsoft.com/office/drawing/2014/main" id="{00000000-0008-0000-0A00-0000F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33</xdr:row>
      <xdr:rowOff>9525</xdr:rowOff>
    </xdr:from>
    <xdr:ext cx="323850" cy="180975"/>
    <xdr:sp macro="" textlink="">
      <xdr:nvSpPr>
        <xdr:cNvPr id="753" name="Shape 752">
          <a:extLst>
            <a:ext uri="{FF2B5EF4-FFF2-40B4-BE49-F238E27FC236}">
              <a16:creationId xmlns:a16="http://schemas.microsoft.com/office/drawing/2014/main" id="{00000000-0008-0000-0A00-0000F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34</xdr:row>
      <xdr:rowOff>9525</xdr:rowOff>
    </xdr:from>
    <xdr:ext cx="323850" cy="180975"/>
    <xdr:sp macro="" textlink="">
      <xdr:nvSpPr>
        <xdr:cNvPr id="754" name="Shape 753">
          <a:extLst>
            <a:ext uri="{FF2B5EF4-FFF2-40B4-BE49-F238E27FC236}">
              <a16:creationId xmlns:a16="http://schemas.microsoft.com/office/drawing/2014/main" id="{00000000-0008-0000-0A00-0000F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35</xdr:row>
      <xdr:rowOff>9525</xdr:rowOff>
    </xdr:from>
    <xdr:ext cx="323850" cy="180975"/>
    <xdr:sp macro="" textlink="">
      <xdr:nvSpPr>
        <xdr:cNvPr id="755" name="Shape 754">
          <a:extLst>
            <a:ext uri="{FF2B5EF4-FFF2-40B4-BE49-F238E27FC236}">
              <a16:creationId xmlns:a16="http://schemas.microsoft.com/office/drawing/2014/main" id="{00000000-0008-0000-0A00-0000F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36</xdr:row>
      <xdr:rowOff>9525</xdr:rowOff>
    </xdr:from>
    <xdr:ext cx="323850" cy="180975"/>
    <xdr:sp macro="" textlink="">
      <xdr:nvSpPr>
        <xdr:cNvPr id="756" name="Shape 755">
          <a:extLst>
            <a:ext uri="{FF2B5EF4-FFF2-40B4-BE49-F238E27FC236}">
              <a16:creationId xmlns:a16="http://schemas.microsoft.com/office/drawing/2014/main" id="{00000000-0008-0000-0A00-0000F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37</xdr:row>
      <xdr:rowOff>9525</xdr:rowOff>
    </xdr:from>
    <xdr:ext cx="323850" cy="180975"/>
    <xdr:sp macro="" textlink="">
      <xdr:nvSpPr>
        <xdr:cNvPr id="757" name="Shape 756">
          <a:extLst>
            <a:ext uri="{FF2B5EF4-FFF2-40B4-BE49-F238E27FC236}">
              <a16:creationId xmlns:a16="http://schemas.microsoft.com/office/drawing/2014/main" id="{00000000-0008-0000-0A00-0000F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38</xdr:row>
      <xdr:rowOff>9525</xdr:rowOff>
    </xdr:from>
    <xdr:ext cx="323850" cy="180975"/>
    <xdr:sp macro="" textlink="">
      <xdr:nvSpPr>
        <xdr:cNvPr id="758" name="Shape 757">
          <a:extLst>
            <a:ext uri="{FF2B5EF4-FFF2-40B4-BE49-F238E27FC236}">
              <a16:creationId xmlns:a16="http://schemas.microsoft.com/office/drawing/2014/main" id="{00000000-0008-0000-0A00-0000F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39</xdr:row>
      <xdr:rowOff>9525</xdr:rowOff>
    </xdr:from>
    <xdr:ext cx="323850" cy="180975"/>
    <xdr:sp macro="" textlink="">
      <xdr:nvSpPr>
        <xdr:cNvPr id="759" name="Shape 758">
          <a:extLst>
            <a:ext uri="{FF2B5EF4-FFF2-40B4-BE49-F238E27FC236}">
              <a16:creationId xmlns:a16="http://schemas.microsoft.com/office/drawing/2014/main" id="{00000000-0008-0000-0A00-0000F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40</xdr:row>
      <xdr:rowOff>9525</xdr:rowOff>
    </xdr:from>
    <xdr:ext cx="323850" cy="180975"/>
    <xdr:sp macro="" textlink="">
      <xdr:nvSpPr>
        <xdr:cNvPr id="760" name="Shape 759">
          <a:extLst>
            <a:ext uri="{FF2B5EF4-FFF2-40B4-BE49-F238E27FC236}">
              <a16:creationId xmlns:a16="http://schemas.microsoft.com/office/drawing/2014/main" id="{00000000-0008-0000-0A00-0000F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41</xdr:row>
      <xdr:rowOff>9525</xdr:rowOff>
    </xdr:from>
    <xdr:ext cx="323850" cy="180975"/>
    <xdr:sp macro="" textlink="">
      <xdr:nvSpPr>
        <xdr:cNvPr id="761" name="Shape 760">
          <a:extLst>
            <a:ext uri="{FF2B5EF4-FFF2-40B4-BE49-F238E27FC236}">
              <a16:creationId xmlns:a16="http://schemas.microsoft.com/office/drawing/2014/main" id="{00000000-0008-0000-0A00-0000F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</xdr:row>
      <xdr:rowOff>9525</xdr:rowOff>
    </xdr:from>
    <xdr:ext cx="323850" cy="180975"/>
    <xdr:sp macro="" textlink="">
      <xdr:nvSpPr>
        <xdr:cNvPr id="762" name="Shape 761">
          <a:extLst>
            <a:ext uri="{FF2B5EF4-FFF2-40B4-BE49-F238E27FC236}">
              <a16:creationId xmlns:a16="http://schemas.microsoft.com/office/drawing/2014/main" id="{00000000-0008-0000-0A00-0000F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</xdr:row>
      <xdr:rowOff>9525</xdr:rowOff>
    </xdr:from>
    <xdr:ext cx="323850" cy="180975"/>
    <xdr:sp macro="" textlink="">
      <xdr:nvSpPr>
        <xdr:cNvPr id="763" name="Shape 762">
          <a:extLst>
            <a:ext uri="{FF2B5EF4-FFF2-40B4-BE49-F238E27FC236}">
              <a16:creationId xmlns:a16="http://schemas.microsoft.com/office/drawing/2014/main" id="{00000000-0008-0000-0A00-0000F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4</xdr:row>
      <xdr:rowOff>9525</xdr:rowOff>
    </xdr:from>
    <xdr:ext cx="323850" cy="180975"/>
    <xdr:sp macro="" textlink="">
      <xdr:nvSpPr>
        <xdr:cNvPr id="764" name="Shape 763">
          <a:extLst>
            <a:ext uri="{FF2B5EF4-FFF2-40B4-BE49-F238E27FC236}">
              <a16:creationId xmlns:a16="http://schemas.microsoft.com/office/drawing/2014/main" id="{00000000-0008-0000-0A00-0000F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5</xdr:row>
      <xdr:rowOff>9525</xdr:rowOff>
    </xdr:from>
    <xdr:ext cx="323850" cy="180975"/>
    <xdr:sp macro="" textlink="">
      <xdr:nvSpPr>
        <xdr:cNvPr id="765" name="Shape 764">
          <a:extLst>
            <a:ext uri="{FF2B5EF4-FFF2-40B4-BE49-F238E27FC236}">
              <a16:creationId xmlns:a16="http://schemas.microsoft.com/office/drawing/2014/main" id="{00000000-0008-0000-0A00-0000F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6</xdr:row>
      <xdr:rowOff>9525</xdr:rowOff>
    </xdr:from>
    <xdr:ext cx="323850" cy="180975"/>
    <xdr:sp macro="" textlink="">
      <xdr:nvSpPr>
        <xdr:cNvPr id="766" name="Shape 765">
          <a:extLst>
            <a:ext uri="{FF2B5EF4-FFF2-40B4-BE49-F238E27FC236}">
              <a16:creationId xmlns:a16="http://schemas.microsoft.com/office/drawing/2014/main" id="{00000000-0008-0000-0A00-0000F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7</xdr:row>
      <xdr:rowOff>9525</xdr:rowOff>
    </xdr:from>
    <xdr:ext cx="323850" cy="180975"/>
    <xdr:sp macro="" textlink="">
      <xdr:nvSpPr>
        <xdr:cNvPr id="767" name="Shape 766">
          <a:extLst>
            <a:ext uri="{FF2B5EF4-FFF2-40B4-BE49-F238E27FC236}">
              <a16:creationId xmlns:a16="http://schemas.microsoft.com/office/drawing/2014/main" id="{00000000-0008-0000-0A00-0000F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8</xdr:row>
      <xdr:rowOff>9525</xdr:rowOff>
    </xdr:from>
    <xdr:ext cx="323850" cy="180975"/>
    <xdr:sp macro="" textlink="">
      <xdr:nvSpPr>
        <xdr:cNvPr id="768" name="Shape 767">
          <a:extLst>
            <a:ext uri="{FF2B5EF4-FFF2-40B4-BE49-F238E27FC236}">
              <a16:creationId xmlns:a16="http://schemas.microsoft.com/office/drawing/2014/main" id="{00000000-0008-0000-0A00-00000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9</xdr:row>
      <xdr:rowOff>9525</xdr:rowOff>
    </xdr:from>
    <xdr:ext cx="323850" cy="180975"/>
    <xdr:sp macro="" textlink="">
      <xdr:nvSpPr>
        <xdr:cNvPr id="769" name="Shape 768">
          <a:extLst>
            <a:ext uri="{FF2B5EF4-FFF2-40B4-BE49-F238E27FC236}">
              <a16:creationId xmlns:a16="http://schemas.microsoft.com/office/drawing/2014/main" id="{00000000-0008-0000-0A00-00000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10</xdr:row>
      <xdr:rowOff>9525</xdr:rowOff>
    </xdr:from>
    <xdr:ext cx="323850" cy="180975"/>
    <xdr:sp macro="" textlink="">
      <xdr:nvSpPr>
        <xdr:cNvPr id="770" name="Shape 769">
          <a:extLst>
            <a:ext uri="{FF2B5EF4-FFF2-40B4-BE49-F238E27FC236}">
              <a16:creationId xmlns:a16="http://schemas.microsoft.com/office/drawing/2014/main" id="{00000000-0008-0000-0A00-00000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11</xdr:row>
      <xdr:rowOff>9525</xdr:rowOff>
    </xdr:from>
    <xdr:ext cx="323850" cy="180975"/>
    <xdr:sp macro="" textlink="">
      <xdr:nvSpPr>
        <xdr:cNvPr id="771" name="Shape 770">
          <a:extLst>
            <a:ext uri="{FF2B5EF4-FFF2-40B4-BE49-F238E27FC236}">
              <a16:creationId xmlns:a16="http://schemas.microsoft.com/office/drawing/2014/main" id="{00000000-0008-0000-0A00-00000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12</xdr:row>
      <xdr:rowOff>9525</xdr:rowOff>
    </xdr:from>
    <xdr:ext cx="323850" cy="180975"/>
    <xdr:sp macro="" textlink="">
      <xdr:nvSpPr>
        <xdr:cNvPr id="772" name="Shape 771">
          <a:extLst>
            <a:ext uri="{FF2B5EF4-FFF2-40B4-BE49-F238E27FC236}">
              <a16:creationId xmlns:a16="http://schemas.microsoft.com/office/drawing/2014/main" id="{00000000-0008-0000-0A00-00000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13</xdr:row>
      <xdr:rowOff>9525</xdr:rowOff>
    </xdr:from>
    <xdr:ext cx="323850" cy="180975"/>
    <xdr:sp macro="" textlink="">
      <xdr:nvSpPr>
        <xdr:cNvPr id="773" name="Shape 772">
          <a:extLst>
            <a:ext uri="{FF2B5EF4-FFF2-40B4-BE49-F238E27FC236}">
              <a16:creationId xmlns:a16="http://schemas.microsoft.com/office/drawing/2014/main" id="{00000000-0008-0000-0A00-00000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14</xdr:row>
      <xdr:rowOff>9525</xdr:rowOff>
    </xdr:from>
    <xdr:ext cx="323850" cy="180975"/>
    <xdr:sp macro="" textlink="">
      <xdr:nvSpPr>
        <xdr:cNvPr id="774" name="Shape 773">
          <a:extLst>
            <a:ext uri="{FF2B5EF4-FFF2-40B4-BE49-F238E27FC236}">
              <a16:creationId xmlns:a16="http://schemas.microsoft.com/office/drawing/2014/main" id="{00000000-0008-0000-0A00-00000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15</xdr:row>
      <xdr:rowOff>9525</xdr:rowOff>
    </xdr:from>
    <xdr:ext cx="323850" cy="180975"/>
    <xdr:sp macro="" textlink="">
      <xdr:nvSpPr>
        <xdr:cNvPr id="775" name="Shape 774">
          <a:extLst>
            <a:ext uri="{FF2B5EF4-FFF2-40B4-BE49-F238E27FC236}">
              <a16:creationId xmlns:a16="http://schemas.microsoft.com/office/drawing/2014/main" id="{00000000-0008-0000-0A00-00000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16</xdr:row>
      <xdr:rowOff>9525</xdr:rowOff>
    </xdr:from>
    <xdr:ext cx="323850" cy="180975"/>
    <xdr:sp macro="" textlink="">
      <xdr:nvSpPr>
        <xdr:cNvPr id="776" name="Shape 775">
          <a:extLst>
            <a:ext uri="{FF2B5EF4-FFF2-40B4-BE49-F238E27FC236}">
              <a16:creationId xmlns:a16="http://schemas.microsoft.com/office/drawing/2014/main" id="{00000000-0008-0000-0A00-00000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17</xdr:row>
      <xdr:rowOff>9525</xdr:rowOff>
    </xdr:from>
    <xdr:ext cx="323850" cy="180975"/>
    <xdr:sp macro="" textlink="">
      <xdr:nvSpPr>
        <xdr:cNvPr id="777" name="Shape 776">
          <a:extLst>
            <a:ext uri="{FF2B5EF4-FFF2-40B4-BE49-F238E27FC236}">
              <a16:creationId xmlns:a16="http://schemas.microsoft.com/office/drawing/2014/main" id="{00000000-0008-0000-0A00-00000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18</xdr:row>
      <xdr:rowOff>9525</xdr:rowOff>
    </xdr:from>
    <xdr:ext cx="323850" cy="180975"/>
    <xdr:sp macro="" textlink="">
      <xdr:nvSpPr>
        <xdr:cNvPr id="778" name="Shape 777">
          <a:extLst>
            <a:ext uri="{FF2B5EF4-FFF2-40B4-BE49-F238E27FC236}">
              <a16:creationId xmlns:a16="http://schemas.microsoft.com/office/drawing/2014/main" id="{00000000-0008-0000-0A00-00000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19</xdr:row>
      <xdr:rowOff>9525</xdr:rowOff>
    </xdr:from>
    <xdr:ext cx="323850" cy="180975"/>
    <xdr:sp macro="" textlink="">
      <xdr:nvSpPr>
        <xdr:cNvPr id="779" name="Shape 778">
          <a:extLst>
            <a:ext uri="{FF2B5EF4-FFF2-40B4-BE49-F238E27FC236}">
              <a16:creationId xmlns:a16="http://schemas.microsoft.com/office/drawing/2014/main" id="{00000000-0008-0000-0A00-00000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20</xdr:row>
      <xdr:rowOff>9525</xdr:rowOff>
    </xdr:from>
    <xdr:ext cx="323850" cy="180975"/>
    <xdr:sp macro="" textlink="">
      <xdr:nvSpPr>
        <xdr:cNvPr id="780" name="Shape 779">
          <a:extLst>
            <a:ext uri="{FF2B5EF4-FFF2-40B4-BE49-F238E27FC236}">
              <a16:creationId xmlns:a16="http://schemas.microsoft.com/office/drawing/2014/main" id="{00000000-0008-0000-0A00-00000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21</xdr:row>
      <xdr:rowOff>9525</xdr:rowOff>
    </xdr:from>
    <xdr:ext cx="323850" cy="180975"/>
    <xdr:sp macro="" textlink="">
      <xdr:nvSpPr>
        <xdr:cNvPr id="781" name="Shape 780">
          <a:extLst>
            <a:ext uri="{FF2B5EF4-FFF2-40B4-BE49-F238E27FC236}">
              <a16:creationId xmlns:a16="http://schemas.microsoft.com/office/drawing/2014/main" id="{00000000-0008-0000-0A00-00000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22</xdr:row>
      <xdr:rowOff>9525</xdr:rowOff>
    </xdr:from>
    <xdr:ext cx="323850" cy="180975"/>
    <xdr:sp macro="" textlink="">
      <xdr:nvSpPr>
        <xdr:cNvPr id="782" name="Shape 781">
          <a:extLst>
            <a:ext uri="{FF2B5EF4-FFF2-40B4-BE49-F238E27FC236}">
              <a16:creationId xmlns:a16="http://schemas.microsoft.com/office/drawing/2014/main" id="{00000000-0008-0000-0A00-00000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23</xdr:row>
      <xdr:rowOff>9525</xdr:rowOff>
    </xdr:from>
    <xdr:ext cx="323850" cy="180975"/>
    <xdr:sp macro="" textlink="">
      <xdr:nvSpPr>
        <xdr:cNvPr id="783" name="Shape 782">
          <a:extLst>
            <a:ext uri="{FF2B5EF4-FFF2-40B4-BE49-F238E27FC236}">
              <a16:creationId xmlns:a16="http://schemas.microsoft.com/office/drawing/2014/main" id="{00000000-0008-0000-0A00-00000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24</xdr:row>
      <xdr:rowOff>9525</xdr:rowOff>
    </xdr:from>
    <xdr:ext cx="323850" cy="180975"/>
    <xdr:sp macro="" textlink="">
      <xdr:nvSpPr>
        <xdr:cNvPr id="784" name="Shape 783">
          <a:extLst>
            <a:ext uri="{FF2B5EF4-FFF2-40B4-BE49-F238E27FC236}">
              <a16:creationId xmlns:a16="http://schemas.microsoft.com/office/drawing/2014/main" id="{00000000-0008-0000-0A00-00001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25</xdr:row>
      <xdr:rowOff>9525</xdr:rowOff>
    </xdr:from>
    <xdr:ext cx="323850" cy="180975"/>
    <xdr:sp macro="" textlink="">
      <xdr:nvSpPr>
        <xdr:cNvPr id="785" name="Shape 784">
          <a:extLst>
            <a:ext uri="{FF2B5EF4-FFF2-40B4-BE49-F238E27FC236}">
              <a16:creationId xmlns:a16="http://schemas.microsoft.com/office/drawing/2014/main" id="{00000000-0008-0000-0A00-00001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26</xdr:row>
      <xdr:rowOff>9525</xdr:rowOff>
    </xdr:from>
    <xdr:ext cx="323850" cy="180975"/>
    <xdr:sp macro="" textlink="">
      <xdr:nvSpPr>
        <xdr:cNvPr id="786" name="Shape 785">
          <a:extLst>
            <a:ext uri="{FF2B5EF4-FFF2-40B4-BE49-F238E27FC236}">
              <a16:creationId xmlns:a16="http://schemas.microsoft.com/office/drawing/2014/main" id="{00000000-0008-0000-0A00-00001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27</xdr:row>
      <xdr:rowOff>9525</xdr:rowOff>
    </xdr:from>
    <xdr:ext cx="323850" cy="180975"/>
    <xdr:sp macro="" textlink="">
      <xdr:nvSpPr>
        <xdr:cNvPr id="787" name="Shape 786">
          <a:extLst>
            <a:ext uri="{FF2B5EF4-FFF2-40B4-BE49-F238E27FC236}">
              <a16:creationId xmlns:a16="http://schemas.microsoft.com/office/drawing/2014/main" id="{00000000-0008-0000-0A00-00001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28</xdr:row>
      <xdr:rowOff>9525</xdr:rowOff>
    </xdr:from>
    <xdr:ext cx="323850" cy="180975"/>
    <xdr:sp macro="" textlink="">
      <xdr:nvSpPr>
        <xdr:cNvPr id="788" name="Shape 787">
          <a:extLst>
            <a:ext uri="{FF2B5EF4-FFF2-40B4-BE49-F238E27FC236}">
              <a16:creationId xmlns:a16="http://schemas.microsoft.com/office/drawing/2014/main" id="{00000000-0008-0000-0A00-00001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29</xdr:row>
      <xdr:rowOff>9525</xdr:rowOff>
    </xdr:from>
    <xdr:ext cx="323850" cy="180975"/>
    <xdr:sp macro="" textlink="">
      <xdr:nvSpPr>
        <xdr:cNvPr id="789" name="Shape 788">
          <a:extLst>
            <a:ext uri="{FF2B5EF4-FFF2-40B4-BE49-F238E27FC236}">
              <a16:creationId xmlns:a16="http://schemas.microsoft.com/office/drawing/2014/main" id="{00000000-0008-0000-0A00-00001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30</xdr:row>
      <xdr:rowOff>9525</xdr:rowOff>
    </xdr:from>
    <xdr:ext cx="323850" cy="180975"/>
    <xdr:sp macro="" textlink="">
      <xdr:nvSpPr>
        <xdr:cNvPr id="790" name="Shape 789">
          <a:extLst>
            <a:ext uri="{FF2B5EF4-FFF2-40B4-BE49-F238E27FC236}">
              <a16:creationId xmlns:a16="http://schemas.microsoft.com/office/drawing/2014/main" id="{00000000-0008-0000-0A00-00001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31</xdr:row>
      <xdr:rowOff>9525</xdr:rowOff>
    </xdr:from>
    <xdr:ext cx="323850" cy="180975"/>
    <xdr:sp macro="" textlink="">
      <xdr:nvSpPr>
        <xdr:cNvPr id="791" name="Shape 790">
          <a:extLst>
            <a:ext uri="{FF2B5EF4-FFF2-40B4-BE49-F238E27FC236}">
              <a16:creationId xmlns:a16="http://schemas.microsoft.com/office/drawing/2014/main" id="{00000000-0008-0000-0A00-00001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32</xdr:row>
      <xdr:rowOff>9525</xdr:rowOff>
    </xdr:from>
    <xdr:ext cx="323850" cy="180975"/>
    <xdr:sp macro="" textlink="">
      <xdr:nvSpPr>
        <xdr:cNvPr id="792" name="Shape 791">
          <a:extLst>
            <a:ext uri="{FF2B5EF4-FFF2-40B4-BE49-F238E27FC236}">
              <a16:creationId xmlns:a16="http://schemas.microsoft.com/office/drawing/2014/main" id="{00000000-0008-0000-0A00-00001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33</xdr:row>
      <xdr:rowOff>9525</xdr:rowOff>
    </xdr:from>
    <xdr:ext cx="323850" cy="180975"/>
    <xdr:sp macro="" textlink="">
      <xdr:nvSpPr>
        <xdr:cNvPr id="793" name="Shape 792">
          <a:extLst>
            <a:ext uri="{FF2B5EF4-FFF2-40B4-BE49-F238E27FC236}">
              <a16:creationId xmlns:a16="http://schemas.microsoft.com/office/drawing/2014/main" id="{00000000-0008-0000-0A00-00001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34</xdr:row>
      <xdr:rowOff>9525</xdr:rowOff>
    </xdr:from>
    <xdr:ext cx="323850" cy="180975"/>
    <xdr:sp macro="" textlink="">
      <xdr:nvSpPr>
        <xdr:cNvPr id="794" name="Shape 793">
          <a:extLst>
            <a:ext uri="{FF2B5EF4-FFF2-40B4-BE49-F238E27FC236}">
              <a16:creationId xmlns:a16="http://schemas.microsoft.com/office/drawing/2014/main" id="{00000000-0008-0000-0A00-00001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35</xdr:row>
      <xdr:rowOff>9525</xdr:rowOff>
    </xdr:from>
    <xdr:ext cx="323850" cy="180975"/>
    <xdr:sp macro="" textlink="">
      <xdr:nvSpPr>
        <xdr:cNvPr id="795" name="Shape 794">
          <a:extLst>
            <a:ext uri="{FF2B5EF4-FFF2-40B4-BE49-F238E27FC236}">
              <a16:creationId xmlns:a16="http://schemas.microsoft.com/office/drawing/2014/main" id="{00000000-0008-0000-0A00-00001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36</xdr:row>
      <xdr:rowOff>9525</xdr:rowOff>
    </xdr:from>
    <xdr:ext cx="323850" cy="180975"/>
    <xdr:sp macro="" textlink="">
      <xdr:nvSpPr>
        <xdr:cNvPr id="796" name="Shape 795">
          <a:extLst>
            <a:ext uri="{FF2B5EF4-FFF2-40B4-BE49-F238E27FC236}">
              <a16:creationId xmlns:a16="http://schemas.microsoft.com/office/drawing/2014/main" id="{00000000-0008-0000-0A00-00001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37</xdr:row>
      <xdr:rowOff>9525</xdr:rowOff>
    </xdr:from>
    <xdr:ext cx="323850" cy="180975"/>
    <xdr:sp macro="" textlink="">
      <xdr:nvSpPr>
        <xdr:cNvPr id="797" name="Shape 796">
          <a:extLst>
            <a:ext uri="{FF2B5EF4-FFF2-40B4-BE49-F238E27FC236}">
              <a16:creationId xmlns:a16="http://schemas.microsoft.com/office/drawing/2014/main" id="{00000000-0008-0000-0A00-00001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38</xdr:row>
      <xdr:rowOff>9525</xdr:rowOff>
    </xdr:from>
    <xdr:ext cx="323850" cy="180975"/>
    <xdr:sp macro="" textlink="">
      <xdr:nvSpPr>
        <xdr:cNvPr id="798" name="Shape 797">
          <a:extLst>
            <a:ext uri="{FF2B5EF4-FFF2-40B4-BE49-F238E27FC236}">
              <a16:creationId xmlns:a16="http://schemas.microsoft.com/office/drawing/2014/main" id="{00000000-0008-0000-0A00-00001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39</xdr:row>
      <xdr:rowOff>9525</xdr:rowOff>
    </xdr:from>
    <xdr:ext cx="323850" cy="180975"/>
    <xdr:sp macro="" textlink="">
      <xdr:nvSpPr>
        <xdr:cNvPr id="799" name="Shape 798">
          <a:extLst>
            <a:ext uri="{FF2B5EF4-FFF2-40B4-BE49-F238E27FC236}">
              <a16:creationId xmlns:a16="http://schemas.microsoft.com/office/drawing/2014/main" id="{00000000-0008-0000-0A00-00001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40</xdr:row>
      <xdr:rowOff>9525</xdr:rowOff>
    </xdr:from>
    <xdr:ext cx="323850" cy="180975"/>
    <xdr:sp macro="" textlink="">
      <xdr:nvSpPr>
        <xdr:cNvPr id="800" name="Shape 799">
          <a:extLst>
            <a:ext uri="{FF2B5EF4-FFF2-40B4-BE49-F238E27FC236}">
              <a16:creationId xmlns:a16="http://schemas.microsoft.com/office/drawing/2014/main" id="{00000000-0008-0000-0A00-00002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41</xdr:row>
      <xdr:rowOff>9525</xdr:rowOff>
    </xdr:from>
    <xdr:ext cx="323850" cy="180975"/>
    <xdr:sp macro="" textlink="">
      <xdr:nvSpPr>
        <xdr:cNvPr id="801" name="Shape 800">
          <a:extLst>
            <a:ext uri="{FF2B5EF4-FFF2-40B4-BE49-F238E27FC236}">
              <a16:creationId xmlns:a16="http://schemas.microsoft.com/office/drawing/2014/main" id="{00000000-0008-0000-0A00-00002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</xdr:row>
      <xdr:rowOff>9525</xdr:rowOff>
    </xdr:from>
    <xdr:ext cx="323850" cy="180975"/>
    <xdr:sp macro="" textlink="">
      <xdr:nvSpPr>
        <xdr:cNvPr id="802" name="Shape 801">
          <a:extLst>
            <a:ext uri="{FF2B5EF4-FFF2-40B4-BE49-F238E27FC236}">
              <a16:creationId xmlns:a16="http://schemas.microsoft.com/office/drawing/2014/main" id="{00000000-0008-0000-0A00-00002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</xdr:row>
      <xdr:rowOff>9525</xdr:rowOff>
    </xdr:from>
    <xdr:ext cx="323850" cy="180975"/>
    <xdr:sp macro="" textlink="">
      <xdr:nvSpPr>
        <xdr:cNvPr id="803" name="Shape 802">
          <a:extLst>
            <a:ext uri="{FF2B5EF4-FFF2-40B4-BE49-F238E27FC236}">
              <a16:creationId xmlns:a16="http://schemas.microsoft.com/office/drawing/2014/main" id="{00000000-0008-0000-0A00-00002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4</xdr:row>
      <xdr:rowOff>9525</xdr:rowOff>
    </xdr:from>
    <xdr:ext cx="323850" cy="180975"/>
    <xdr:sp macro="" textlink="">
      <xdr:nvSpPr>
        <xdr:cNvPr id="804" name="Shape 803">
          <a:extLst>
            <a:ext uri="{FF2B5EF4-FFF2-40B4-BE49-F238E27FC236}">
              <a16:creationId xmlns:a16="http://schemas.microsoft.com/office/drawing/2014/main" id="{00000000-0008-0000-0A00-00002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5</xdr:row>
      <xdr:rowOff>9525</xdr:rowOff>
    </xdr:from>
    <xdr:ext cx="323850" cy="180975"/>
    <xdr:sp macro="" textlink="">
      <xdr:nvSpPr>
        <xdr:cNvPr id="805" name="Shape 804">
          <a:extLst>
            <a:ext uri="{FF2B5EF4-FFF2-40B4-BE49-F238E27FC236}">
              <a16:creationId xmlns:a16="http://schemas.microsoft.com/office/drawing/2014/main" id="{00000000-0008-0000-0A00-00002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6</xdr:row>
      <xdr:rowOff>9525</xdr:rowOff>
    </xdr:from>
    <xdr:ext cx="323850" cy="180975"/>
    <xdr:sp macro="" textlink="">
      <xdr:nvSpPr>
        <xdr:cNvPr id="806" name="Shape 805">
          <a:extLst>
            <a:ext uri="{FF2B5EF4-FFF2-40B4-BE49-F238E27FC236}">
              <a16:creationId xmlns:a16="http://schemas.microsoft.com/office/drawing/2014/main" id="{00000000-0008-0000-0A00-00002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7</xdr:row>
      <xdr:rowOff>9525</xdr:rowOff>
    </xdr:from>
    <xdr:ext cx="323850" cy="180975"/>
    <xdr:sp macro="" textlink="">
      <xdr:nvSpPr>
        <xdr:cNvPr id="807" name="Shape 806">
          <a:extLst>
            <a:ext uri="{FF2B5EF4-FFF2-40B4-BE49-F238E27FC236}">
              <a16:creationId xmlns:a16="http://schemas.microsoft.com/office/drawing/2014/main" id="{00000000-0008-0000-0A00-00002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8</xdr:row>
      <xdr:rowOff>9525</xdr:rowOff>
    </xdr:from>
    <xdr:ext cx="323850" cy="180975"/>
    <xdr:sp macro="" textlink="">
      <xdr:nvSpPr>
        <xdr:cNvPr id="808" name="Shape 807">
          <a:extLst>
            <a:ext uri="{FF2B5EF4-FFF2-40B4-BE49-F238E27FC236}">
              <a16:creationId xmlns:a16="http://schemas.microsoft.com/office/drawing/2014/main" id="{00000000-0008-0000-0A00-00002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9</xdr:row>
      <xdr:rowOff>9525</xdr:rowOff>
    </xdr:from>
    <xdr:ext cx="323850" cy="180975"/>
    <xdr:sp macro="" textlink="">
      <xdr:nvSpPr>
        <xdr:cNvPr id="809" name="Shape 808">
          <a:extLst>
            <a:ext uri="{FF2B5EF4-FFF2-40B4-BE49-F238E27FC236}">
              <a16:creationId xmlns:a16="http://schemas.microsoft.com/office/drawing/2014/main" id="{00000000-0008-0000-0A00-00002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10</xdr:row>
      <xdr:rowOff>9525</xdr:rowOff>
    </xdr:from>
    <xdr:ext cx="323850" cy="180975"/>
    <xdr:sp macro="" textlink="">
      <xdr:nvSpPr>
        <xdr:cNvPr id="810" name="Shape 809">
          <a:extLst>
            <a:ext uri="{FF2B5EF4-FFF2-40B4-BE49-F238E27FC236}">
              <a16:creationId xmlns:a16="http://schemas.microsoft.com/office/drawing/2014/main" id="{00000000-0008-0000-0A00-00002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11</xdr:row>
      <xdr:rowOff>9525</xdr:rowOff>
    </xdr:from>
    <xdr:ext cx="323850" cy="180975"/>
    <xdr:sp macro="" textlink="">
      <xdr:nvSpPr>
        <xdr:cNvPr id="811" name="Shape 810">
          <a:extLst>
            <a:ext uri="{FF2B5EF4-FFF2-40B4-BE49-F238E27FC236}">
              <a16:creationId xmlns:a16="http://schemas.microsoft.com/office/drawing/2014/main" id="{00000000-0008-0000-0A00-00002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12</xdr:row>
      <xdr:rowOff>9525</xdr:rowOff>
    </xdr:from>
    <xdr:ext cx="323850" cy="180975"/>
    <xdr:sp macro="" textlink="">
      <xdr:nvSpPr>
        <xdr:cNvPr id="812" name="Shape 811">
          <a:extLst>
            <a:ext uri="{FF2B5EF4-FFF2-40B4-BE49-F238E27FC236}">
              <a16:creationId xmlns:a16="http://schemas.microsoft.com/office/drawing/2014/main" id="{00000000-0008-0000-0A00-00002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13</xdr:row>
      <xdr:rowOff>9525</xdr:rowOff>
    </xdr:from>
    <xdr:ext cx="323850" cy="180975"/>
    <xdr:sp macro="" textlink="">
      <xdr:nvSpPr>
        <xdr:cNvPr id="813" name="Shape 812">
          <a:extLst>
            <a:ext uri="{FF2B5EF4-FFF2-40B4-BE49-F238E27FC236}">
              <a16:creationId xmlns:a16="http://schemas.microsoft.com/office/drawing/2014/main" id="{00000000-0008-0000-0A00-00002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14</xdr:row>
      <xdr:rowOff>9525</xdr:rowOff>
    </xdr:from>
    <xdr:ext cx="323850" cy="180975"/>
    <xdr:sp macro="" textlink="">
      <xdr:nvSpPr>
        <xdr:cNvPr id="814" name="Shape 813">
          <a:extLst>
            <a:ext uri="{FF2B5EF4-FFF2-40B4-BE49-F238E27FC236}">
              <a16:creationId xmlns:a16="http://schemas.microsoft.com/office/drawing/2014/main" id="{00000000-0008-0000-0A00-00002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15</xdr:row>
      <xdr:rowOff>9525</xdr:rowOff>
    </xdr:from>
    <xdr:ext cx="323850" cy="180975"/>
    <xdr:sp macro="" textlink="">
      <xdr:nvSpPr>
        <xdr:cNvPr id="815" name="Shape 814">
          <a:extLst>
            <a:ext uri="{FF2B5EF4-FFF2-40B4-BE49-F238E27FC236}">
              <a16:creationId xmlns:a16="http://schemas.microsoft.com/office/drawing/2014/main" id="{00000000-0008-0000-0A00-00002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16</xdr:row>
      <xdr:rowOff>9525</xdr:rowOff>
    </xdr:from>
    <xdr:ext cx="323850" cy="180975"/>
    <xdr:sp macro="" textlink="">
      <xdr:nvSpPr>
        <xdr:cNvPr id="816" name="Shape 815">
          <a:extLst>
            <a:ext uri="{FF2B5EF4-FFF2-40B4-BE49-F238E27FC236}">
              <a16:creationId xmlns:a16="http://schemas.microsoft.com/office/drawing/2014/main" id="{00000000-0008-0000-0A00-00003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17</xdr:row>
      <xdr:rowOff>9525</xdr:rowOff>
    </xdr:from>
    <xdr:ext cx="323850" cy="180975"/>
    <xdr:sp macro="" textlink="">
      <xdr:nvSpPr>
        <xdr:cNvPr id="817" name="Shape 816">
          <a:extLst>
            <a:ext uri="{FF2B5EF4-FFF2-40B4-BE49-F238E27FC236}">
              <a16:creationId xmlns:a16="http://schemas.microsoft.com/office/drawing/2014/main" id="{00000000-0008-0000-0A00-00003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18</xdr:row>
      <xdr:rowOff>9525</xdr:rowOff>
    </xdr:from>
    <xdr:ext cx="323850" cy="180975"/>
    <xdr:sp macro="" textlink="">
      <xdr:nvSpPr>
        <xdr:cNvPr id="818" name="Shape 817">
          <a:extLst>
            <a:ext uri="{FF2B5EF4-FFF2-40B4-BE49-F238E27FC236}">
              <a16:creationId xmlns:a16="http://schemas.microsoft.com/office/drawing/2014/main" id="{00000000-0008-0000-0A00-00003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19</xdr:row>
      <xdr:rowOff>9525</xdr:rowOff>
    </xdr:from>
    <xdr:ext cx="323850" cy="180975"/>
    <xdr:sp macro="" textlink="">
      <xdr:nvSpPr>
        <xdr:cNvPr id="819" name="Shape 818">
          <a:extLst>
            <a:ext uri="{FF2B5EF4-FFF2-40B4-BE49-F238E27FC236}">
              <a16:creationId xmlns:a16="http://schemas.microsoft.com/office/drawing/2014/main" id="{00000000-0008-0000-0A00-00003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20</xdr:row>
      <xdr:rowOff>9525</xdr:rowOff>
    </xdr:from>
    <xdr:ext cx="323850" cy="180975"/>
    <xdr:sp macro="" textlink="">
      <xdr:nvSpPr>
        <xdr:cNvPr id="820" name="Shape 819">
          <a:extLst>
            <a:ext uri="{FF2B5EF4-FFF2-40B4-BE49-F238E27FC236}">
              <a16:creationId xmlns:a16="http://schemas.microsoft.com/office/drawing/2014/main" id="{00000000-0008-0000-0A00-00003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21</xdr:row>
      <xdr:rowOff>9525</xdr:rowOff>
    </xdr:from>
    <xdr:ext cx="323850" cy="180975"/>
    <xdr:sp macro="" textlink="">
      <xdr:nvSpPr>
        <xdr:cNvPr id="821" name="Shape 820">
          <a:extLst>
            <a:ext uri="{FF2B5EF4-FFF2-40B4-BE49-F238E27FC236}">
              <a16:creationId xmlns:a16="http://schemas.microsoft.com/office/drawing/2014/main" id="{00000000-0008-0000-0A00-00003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22</xdr:row>
      <xdr:rowOff>9525</xdr:rowOff>
    </xdr:from>
    <xdr:ext cx="323850" cy="180975"/>
    <xdr:sp macro="" textlink="">
      <xdr:nvSpPr>
        <xdr:cNvPr id="822" name="Shape 821">
          <a:extLst>
            <a:ext uri="{FF2B5EF4-FFF2-40B4-BE49-F238E27FC236}">
              <a16:creationId xmlns:a16="http://schemas.microsoft.com/office/drawing/2014/main" id="{00000000-0008-0000-0A00-00003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23</xdr:row>
      <xdr:rowOff>9525</xdr:rowOff>
    </xdr:from>
    <xdr:ext cx="323850" cy="180975"/>
    <xdr:sp macro="" textlink="">
      <xdr:nvSpPr>
        <xdr:cNvPr id="823" name="Shape 822">
          <a:extLst>
            <a:ext uri="{FF2B5EF4-FFF2-40B4-BE49-F238E27FC236}">
              <a16:creationId xmlns:a16="http://schemas.microsoft.com/office/drawing/2014/main" id="{00000000-0008-0000-0A00-00003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24</xdr:row>
      <xdr:rowOff>9525</xdr:rowOff>
    </xdr:from>
    <xdr:ext cx="323850" cy="180975"/>
    <xdr:sp macro="" textlink="">
      <xdr:nvSpPr>
        <xdr:cNvPr id="824" name="Shape 823">
          <a:extLst>
            <a:ext uri="{FF2B5EF4-FFF2-40B4-BE49-F238E27FC236}">
              <a16:creationId xmlns:a16="http://schemas.microsoft.com/office/drawing/2014/main" id="{00000000-0008-0000-0A00-00003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25</xdr:row>
      <xdr:rowOff>9525</xdr:rowOff>
    </xdr:from>
    <xdr:ext cx="323850" cy="180975"/>
    <xdr:sp macro="" textlink="">
      <xdr:nvSpPr>
        <xdr:cNvPr id="825" name="Shape 824">
          <a:extLst>
            <a:ext uri="{FF2B5EF4-FFF2-40B4-BE49-F238E27FC236}">
              <a16:creationId xmlns:a16="http://schemas.microsoft.com/office/drawing/2014/main" id="{00000000-0008-0000-0A00-00003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26</xdr:row>
      <xdr:rowOff>9525</xdr:rowOff>
    </xdr:from>
    <xdr:ext cx="323850" cy="180975"/>
    <xdr:sp macro="" textlink="">
      <xdr:nvSpPr>
        <xdr:cNvPr id="826" name="Shape 825">
          <a:extLst>
            <a:ext uri="{FF2B5EF4-FFF2-40B4-BE49-F238E27FC236}">
              <a16:creationId xmlns:a16="http://schemas.microsoft.com/office/drawing/2014/main" id="{00000000-0008-0000-0A00-00003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27</xdr:row>
      <xdr:rowOff>9525</xdr:rowOff>
    </xdr:from>
    <xdr:ext cx="323850" cy="180975"/>
    <xdr:sp macro="" textlink="">
      <xdr:nvSpPr>
        <xdr:cNvPr id="827" name="Shape 826">
          <a:extLst>
            <a:ext uri="{FF2B5EF4-FFF2-40B4-BE49-F238E27FC236}">
              <a16:creationId xmlns:a16="http://schemas.microsoft.com/office/drawing/2014/main" id="{00000000-0008-0000-0A00-00003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28</xdr:row>
      <xdr:rowOff>9525</xdr:rowOff>
    </xdr:from>
    <xdr:ext cx="323850" cy="180975"/>
    <xdr:sp macro="" textlink="">
      <xdr:nvSpPr>
        <xdr:cNvPr id="828" name="Shape 827">
          <a:extLst>
            <a:ext uri="{FF2B5EF4-FFF2-40B4-BE49-F238E27FC236}">
              <a16:creationId xmlns:a16="http://schemas.microsoft.com/office/drawing/2014/main" id="{00000000-0008-0000-0A00-00003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29</xdr:row>
      <xdr:rowOff>9525</xdr:rowOff>
    </xdr:from>
    <xdr:ext cx="323850" cy="180975"/>
    <xdr:sp macro="" textlink="">
      <xdr:nvSpPr>
        <xdr:cNvPr id="829" name="Shape 828">
          <a:extLst>
            <a:ext uri="{FF2B5EF4-FFF2-40B4-BE49-F238E27FC236}">
              <a16:creationId xmlns:a16="http://schemas.microsoft.com/office/drawing/2014/main" id="{00000000-0008-0000-0A00-00003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30</xdr:row>
      <xdr:rowOff>9525</xdr:rowOff>
    </xdr:from>
    <xdr:ext cx="323850" cy="180975"/>
    <xdr:sp macro="" textlink="">
      <xdr:nvSpPr>
        <xdr:cNvPr id="830" name="Shape 829">
          <a:extLst>
            <a:ext uri="{FF2B5EF4-FFF2-40B4-BE49-F238E27FC236}">
              <a16:creationId xmlns:a16="http://schemas.microsoft.com/office/drawing/2014/main" id="{00000000-0008-0000-0A00-00003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31</xdr:row>
      <xdr:rowOff>9525</xdr:rowOff>
    </xdr:from>
    <xdr:ext cx="323850" cy="180975"/>
    <xdr:sp macro="" textlink="">
      <xdr:nvSpPr>
        <xdr:cNvPr id="831" name="Shape 830">
          <a:extLst>
            <a:ext uri="{FF2B5EF4-FFF2-40B4-BE49-F238E27FC236}">
              <a16:creationId xmlns:a16="http://schemas.microsoft.com/office/drawing/2014/main" id="{00000000-0008-0000-0A00-00003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32</xdr:row>
      <xdr:rowOff>9525</xdr:rowOff>
    </xdr:from>
    <xdr:ext cx="323850" cy="180975"/>
    <xdr:sp macro="" textlink="">
      <xdr:nvSpPr>
        <xdr:cNvPr id="832" name="Shape 831">
          <a:extLst>
            <a:ext uri="{FF2B5EF4-FFF2-40B4-BE49-F238E27FC236}">
              <a16:creationId xmlns:a16="http://schemas.microsoft.com/office/drawing/2014/main" id="{00000000-0008-0000-0A00-00004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33</xdr:row>
      <xdr:rowOff>9525</xdr:rowOff>
    </xdr:from>
    <xdr:ext cx="323850" cy="180975"/>
    <xdr:sp macro="" textlink="">
      <xdr:nvSpPr>
        <xdr:cNvPr id="833" name="Shape 832">
          <a:extLst>
            <a:ext uri="{FF2B5EF4-FFF2-40B4-BE49-F238E27FC236}">
              <a16:creationId xmlns:a16="http://schemas.microsoft.com/office/drawing/2014/main" id="{00000000-0008-0000-0A00-00004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34</xdr:row>
      <xdr:rowOff>9525</xdr:rowOff>
    </xdr:from>
    <xdr:ext cx="323850" cy="180975"/>
    <xdr:sp macro="" textlink="">
      <xdr:nvSpPr>
        <xdr:cNvPr id="834" name="Shape 833">
          <a:extLst>
            <a:ext uri="{FF2B5EF4-FFF2-40B4-BE49-F238E27FC236}">
              <a16:creationId xmlns:a16="http://schemas.microsoft.com/office/drawing/2014/main" id="{00000000-0008-0000-0A00-00004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35</xdr:row>
      <xdr:rowOff>9525</xdr:rowOff>
    </xdr:from>
    <xdr:ext cx="323850" cy="180975"/>
    <xdr:sp macro="" textlink="">
      <xdr:nvSpPr>
        <xdr:cNvPr id="835" name="Shape 834">
          <a:extLst>
            <a:ext uri="{FF2B5EF4-FFF2-40B4-BE49-F238E27FC236}">
              <a16:creationId xmlns:a16="http://schemas.microsoft.com/office/drawing/2014/main" id="{00000000-0008-0000-0A00-00004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36</xdr:row>
      <xdr:rowOff>9525</xdr:rowOff>
    </xdr:from>
    <xdr:ext cx="323850" cy="180975"/>
    <xdr:sp macro="" textlink="">
      <xdr:nvSpPr>
        <xdr:cNvPr id="836" name="Shape 835">
          <a:extLst>
            <a:ext uri="{FF2B5EF4-FFF2-40B4-BE49-F238E27FC236}">
              <a16:creationId xmlns:a16="http://schemas.microsoft.com/office/drawing/2014/main" id="{00000000-0008-0000-0A00-00004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37</xdr:row>
      <xdr:rowOff>9525</xdr:rowOff>
    </xdr:from>
    <xdr:ext cx="323850" cy="180975"/>
    <xdr:sp macro="" textlink="">
      <xdr:nvSpPr>
        <xdr:cNvPr id="837" name="Shape 836">
          <a:extLst>
            <a:ext uri="{FF2B5EF4-FFF2-40B4-BE49-F238E27FC236}">
              <a16:creationId xmlns:a16="http://schemas.microsoft.com/office/drawing/2014/main" id="{00000000-0008-0000-0A00-00004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38</xdr:row>
      <xdr:rowOff>9525</xdr:rowOff>
    </xdr:from>
    <xdr:ext cx="323850" cy="180975"/>
    <xdr:sp macro="" textlink="">
      <xdr:nvSpPr>
        <xdr:cNvPr id="838" name="Shape 837">
          <a:extLst>
            <a:ext uri="{FF2B5EF4-FFF2-40B4-BE49-F238E27FC236}">
              <a16:creationId xmlns:a16="http://schemas.microsoft.com/office/drawing/2014/main" id="{00000000-0008-0000-0A00-00004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39</xdr:row>
      <xdr:rowOff>9525</xdr:rowOff>
    </xdr:from>
    <xdr:ext cx="323850" cy="180975"/>
    <xdr:sp macro="" textlink="">
      <xdr:nvSpPr>
        <xdr:cNvPr id="839" name="Shape 838">
          <a:extLst>
            <a:ext uri="{FF2B5EF4-FFF2-40B4-BE49-F238E27FC236}">
              <a16:creationId xmlns:a16="http://schemas.microsoft.com/office/drawing/2014/main" id="{00000000-0008-0000-0A00-00004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40</xdr:row>
      <xdr:rowOff>9525</xdr:rowOff>
    </xdr:from>
    <xdr:ext cx="323850" cy="180975"/>
    <xdr:sp macro="" textlink="">
      <xdr:nvSpPr>
        <xdr:cNvPr id="840" name="Shape 839">
          <a:extLst>
            <a:ext uri="{FF2B5EF4-FFF2-40B4-BE49-F238E27FC236}">
              <a16:creationId xmlns:a16="http://schemas.microsoft.com/office/drawing/2014/main" id="{00000000-0008-0000-0A00-00004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41</xdr:row>
      <xdr:rowOff>9525</xdr:rowOff>
    </xdr:from>
    <xdr:ext cx="323850" cy="180975"/>
    <xdr:sp macro="" textlink="">
      <xdr:nvSpPr>
        <xdr:cNvPr id="841" name="Shape 840">
          <a:extLst>
            <a:ext uri="{FF2B5EF4-FFF2-40B4-BE49-F238E27FC236}">
              <a16:creationId xmlns:a16="http://schemas.microsoft.com/office/drawing/2014/main" id="{00000000-0008-0000-0A00-00004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</xdr:row>
      <xdr:rowOff>9525</xdr:rowOff>
    </xdr:from>
    <xdr:ext cx="323850" cy="180975"/>
    <xdr:sp macro="" textlink="">
      <xdr:nvSpPr>
        <xdr:cNvPr id="842" name="Shape 841">
          <a:extLst>
            <a:ext uri="{FF2B5EF4-FFF2-40B4-BE49-F238E27FC236}">
              <a16:creationId xmlns:a16="http://schemas.microsoft.com/office/drawing/2014/main" id="{00000000-0008-0000-0A00-00004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</xdr:row>
      <xdr:rowOff>9525</xdr:rowOff>
    </xdr:from>
    <xdr:ext cx="323850" cy="180975"/>
    <xdr:sp macro="" textlink="">
      <xdr:nvSpPr>
        <xdr:cNvPr id="843" name="Shape 842">
          <a:extLst>
            <a:ext uri="{FF2B5EF4-FFF2-40B4-BE49-F238E27FC236}">
              <a16:creationId xmlns:a16="http://schemas.microsoft.com/office/drawing/2014/main" id="{00000000-0008-0000-0A00-00004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4</xdr:row>
      <xdr:rowOff>9525</xdr:rowOff>
    </xdr:from>
    <xdr:ext cx="323850" cy="180975"/>
    <xdr:sp macro="" textlink="">
      <xdr:nvSpPr>
        <xdr:cNvPr id="844" name="Shape 843">
          <a:extLst>
            <a:ext uri="{FF2B5EF4-FFF2-40B4-BE49-F238E27FC236}">
              <a16:creationId xmlns:a16="http://schemas.microsoft.com/office/drawing/2014/main" id="{00000000-0008-0000-0A00-00004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5</xdr:row>
      <xdr:rowOff>9525</xdr:rowOff>
    </xdr:from>
    <xdr:ext cx="323850" cy="180975"/>
    <xdr:sp macro="" textlink="">
      <xdr:nvSpPr>
        <xdr:cNvPr id="845" name="Shape 844">
          <a:extLst>
            <a:ext uri="{FF2B5EF4-FFF2-40B4-BE49-F238E27FC236}">
              <a16:creationId xmlns:a16="http://schemas.microsoft.com/office/drawing/2014/main" id="{00000000-0008-0000-0A00-00004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6</xdr:row>
      <xdr:rowOff>9525</xdr:rowOff>
    </xdr:from>
    <xdr:ext cx="323850" cy="180975"/>
    <xdr:sp macro="" textlink="">
      <xdr:nvSpPr>
        <xdr:cNvPr id="846" name="Shape 845">
          <a:extLst>
            <a:ext uri="{FF2B5EF4-FFF2-40B4-BE49-F238E27FC236}">
              <a16:creationId xmlns:a16="http://schemas.microsoft.com/office/drawing/2014/main" id="{00000000-0008-0000-0A00-00004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7</xdr:row>
      <xdr:rowOff>9525</xdr:rowOff>
    </xdr:from>
    <xdr:ext cx="323850" cy="180975"/>
    <xdr:sp macro="" textlink="">
      <xdr:nvSpPr>
        <xdr:cNvPr id="847" name="Shape 846">
          <a:extLst>
            <a:ext uri="{FF2B5EF4-FFF2-40B4-BE49-F238E27FC236}">
              <a16:creationId xmlns:a16="http://schemas.microsoft.com/office/drawing/2014/main" id="{00000000-0008-0000-0A00-00004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8</xdr:row>
      <xdr:rowOff>9525</xdr:rowOff>
    </xdr:from>
    <xdr:ext cx="323850" cy="180975"/>
    <xdr:sp macro="" textlink="">
      <xdr:nvSpPr>
        <xdr:cNvPr id="848" name="Shape 847">
          <a:extLst>
            <a:ext uri="{FF2B5EF4-FFF2-40B4-BE49-F238E27FC236}">
              <a16:creationId xmlns:a16="http://schemas.microsoft.com/office/drawing/2014/main" id="{00000000-0008-0000-0A00-00005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9</xdr:row>
      <xdr:rowOff>9525</xdr:rowOff>
    </xdr:from>
    <xdr:ext cx="323850" cy="180975"/>
    <xdr:sp macro="" textlink="">
      <xdr:nvSpPr>
        <xdr:cNvPr id="849" name="Shape 848">
          <a:extLst>
            <a:ext uri="{FF2B5EF4-FFF2-40B4-BE49-F238E27FC236}">
              <a16:creationId xmlns:a16="http://schemas.microsoft.com/office/drawing/2014/main" id="{00000000-0008-0000-0A00-00005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10</xdr:row>
      <xdr:rowOff>9525</xdr:rowOff>
    </xdr:from>
    <xdr:ext cx="323850" cy="180975"/>
    <xdr:sp macro="" textlink="">
      <xdr:nvSpPr>
        <xdr:cNvPr id="850" name="Shape 849">
          <a:extLst>
            <a:ext uri="{FF2B5EF4-FFF2-40B4-BE49-F238E27FC236}">
              <a16:creationId xmlns:a16="http://schemas.microsoft.com/office/drawing/2014/main" id="{00000000-0008-0000-0A00-00005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11</xdr:row>
      <xdr:rowOff>9525</xdr:rowOff>
    </xdr:from>
    <xdr:ext cx="323850" cy="180975"/>
    <xdr:sp macro="" textlink="">
      <xdr:nvSpPr>
        <xdr:cNvPr id="851" name="Shape 850">
          <a:extLst>
            <a:ext uri="{FF2B5EF4-FFF2-40B4-BE49-F238E27FC236}">
              <a16:creationId xmlns:a16="http://schemas.microsoft.com/office/drawing/2014/main" id="{00000000-0008-0000-0A00-00005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12</xdr:row>
      <xdr:rowOff>9525</xdr:rowOff>
    </xdr:from>
    <xdr:ext cx="323850" cy="180975"/>
    <xdr:sp macro="" textlink="">
      <xdr:nvSpPr>
        <xdr:cNvPr id="852" name="Shape 851">
          <a:extLst>
            <a:ext uri="{FF2B5EF4-FFF2-40B4-BE49-F238E27FC236}">
              <a16:creationId xmlns:a16="http://schemas.microsoft.com/office/drawing/2014/main" id="{00000000-0008-0000-0A00-00005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13</xdr:row>
      <xdr:rowOff>9525</xdr:rowOff>
    </xdr:from>
    <xdr:ext cx="323850" cy="180975"/>
    <xdr:sp macro="" textlink="">
      <xdr:nvSpPr>
        <xdr:cNvPr id="853" name="Shape 852">
          <a:extLst>
            <a:ext uri="{FF2B5EF4-FFF2-40B4-BE49-F238E27FC236}">
              <a16:creationId xmlns:a16="http://schemas.microsoft.com/office/drawing/2014/main" id="{00000000-0008-0000-0A00-00005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14</xdr:row>
      <xdr:rowOff>9525</xdr:rowOff>
    </xdr:from>
    <xdr:ext cx="323850" cy="180975"/>
    <xdr:sp macro="" textlink="">
      <xdr:nvSpPr>
        <xdr:cNvPr id="854" name="Shape 853">
          <a:extLst>
            <a:ext uri="{FF2B5EF4-FFF2-40B4-BE49-F238E27FC236}">
              <a16:creationId xmlns:a16="http://schemas.microsoft.com/office/drawing/2014/main" id="{00000000-0008-0000-0A00-00005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15</xdr:row>
      <xdr:rowOff>9525</xdr:rowOff>
    </xdr:from>
    <xdr:ext cx="323850" cy="180975"/>
    <xdr:sp macro="" textlink="">
      <xdr:nvSpPr>
        <xdr:cNvPr id="855" name="Shape 854">
          <a:extLst>
            <a:ext uri="{FF2B5EF4-FFF2-40B4-BE49-F238E27FC236}">
              <a16:creationId xmlns:a16="http://schemas.microsoft.com/office/drawing/2014/main" id="{00000000-0008-0000-0A00-00005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16</xdr:row>
      <xdr:rowOff>9525</xdr:rowOff>
    </xdr:from>
    <xdr:ext cx="323850" cy="180975"/>
    <xdr:sp macro="" textlink="">
      <xdr:nvSpPr>
        <xdr:cNvPr id="856" name="Shape 855">
          <a:extLst>
            <a:ext uri="{FF2B5EF4-FFF2-40B4-BE49-F238E27FC236}">
              <a16:creationId xmlns:a16="http://schemas.microsoft.com/office/drawing/2014/main" id="{00000000-0008-0000-0A00-00005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17</xdr:row>
      <xdr:rowOff>9525</xdr:rowOff>
    </xdr:from>
    <xdr:ext cx="323850" cy="180975"/>
    <xdr:sp macro="" textlink="">
      <xdr:nvSpPr>
        <xdr:cNvPr id="857" name="Shape 856">
          <a:extLst>
            <a:ext uri="{FF2B5EF4-FFF2-40B4-BE49-F238E27FC236}">
              <a16:creationId xmlns:a16="http://schemas.microsoft.com/office/drawing/2014/main" id="{00000000-0008-0000-0A00-00005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18</xdr:row>
      <xdr:rowOff>9525</xdr:rowOff>
    </xdr:from>
    <xdr:ext cx="323850" cy="180975"/>
    <xdr:sp macro="" textlink="">
      <xdr:nvSpPr>
        <xdr:cNvPr id="858" name="Shape 857">
          <a:extLst>
            <a:ext uri="{FF2B5EF4-FFF2-40B4-BE49-F238E27FC236}">
              <a16:creationId xmlns:a16="http://schemas.microsoft.com/office/drawing/2014/main" id="{00000000-0008-0000-0A00-00005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19</xdr:row>
      <xdr:rowOff>9525</xdr:rowOff>
    </xdr:from>
    <xdr:ext cx="323850" cy="180975"/>
    <xdr:sp macro="" textlink="">
      <xdr:nvSpPr>
        <xdr:cNvPr id="859" name="Shape 858">
          <a:extLst>
            <a:ext uri="{FF2B5EF4-FFF2-40B4-BE49-F238E27FC236}">
              <a16:creationId xmlns:a16="http://schemas.microsoft.com/office/drawing/2014/main" id="{00000000-0008-0000-0A00-00005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20</xdr:row>
      <xdr:rowOff>9525</xdr:rowOff>
    </xdr:from>
    <xdr:ext cx="323850" cy="180975"/>
    <xdr:sp macro="" textlink="">
      <xdr:nvSpPr>
        <xdr:cNvPr id="860" name="Shape 859">
          <a:extLst>
            <a:ext uri="{FF2B5EF4-FFF2-40B4-BE49-F238E27FC236}">
              <a16:creationId xmlns:a16="http://schemas.microsoft.com/office/drawing/2014/main" id="{00000000-0008-0000-0A00-00005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21</xdr:row>
      <xdr:rowOff>9525</xdr:rowOff>
    </xdr:from>
    <xdr:ext cx="323850" cy="180975"/>
    <xdr:sp macro="" textlink="">
      <xdr:nvSpPr>
        <xdr:cNvPr id="861" name="Shape 860">
          <a:extLst>
            <a:ext uri="{FF2B5EF4-FFF2-40B4-BE49-F238E27FC236}">
              <a16:creationId xmlns:a16="http://schemas.microsoft.com/office/drawing/2014/main" id="{00000000-0008-0000-0A00-00005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22</xdr:row>
      <xdr:rowOff>9525</xdr:rowOff>
    </xdr:from>
    <xdr:ext cx="323850" cy="180975"/>
    <xdr:sp macro="" textlink="">
      <xdr:nvSpPr>
        <xdr:cNvPr id="862" name="Shape 861">
          <a:extLst>
            <a:ext uri="{FF2B5EF4-FFF2-40B4-BE49-F238E27FC236}">
              <a16:creationId xmlns:a16="http://schemas.microsoft.com/office/drawing/2014/main" id="{00000000-0008-0000-0A00-00005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23</xdr:row>
      <xdr:rowOff>9525</xdr:rowOff>
    </xdr:from>
    <xdr:ext cx="323850" cy="180975"/>
    <xdr:sp macro="" textlink="">
      <xdr:nvSpPr>
        <xdr:cNvPr id="863" name="Shape 862">
          <a:extLst>
            <a:ext uri="{FF2B5EF4-FFF2-40B4-BE49-F238E27FC236}">
              <a16:creationId xmlns:a16="http://schemas.microsoft.com/office/drawing/2014/main" id="{00000000-0008-0000-0A00-00005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24</xdr:row>
      <xdr:rowOff>9525</xdr:rowOff>
    </xdr:from>
    <xdr:ext cx="323850" cy="180975"/>
    <xdr:sp macro="" textlink="">
      <xdr:nvSpPr>
        <xdr:cNvPr id="864" name="Shape 863">
          <a:extLst>
            <a:ext uri="{FF2B5EF4-FFF2-40B4-BE49-F238E27FC236}">
              <a16:creationId xmlns:a16="http://schemas.microsoft.com/office/drawing/2014/main" id="{00000000-0008-0000-0A00-00006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25</xdr:row>
      <xdr:rowOff>9525</xdr:rowOff>
    </xdr:from>
    <xdr:ext cx="323850" cy="180975"/>
    <xdr:sp macro="" textlink="">
      <xdr:nvSpPr>
        <xdr:cNvPr id="865" name="Shape 864">
          <a:extLst>
            <a:ext uri="{FF2B5EF4-FFF2-40B4-BE49-F238E27FC236}">
              <a16:creationId xmlns:a16="http://schemas.microsoft.com/office/drawing/2014/main" id="{00000000-0008-0000-0A00-00006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26</xdr:row>
      <xdr:rowOff>9525</xdr:rowOff>
    </xdr:from>
    <xdr:ext cx="323850" cy="180975"/>
    <xdr:sp macro="" textlink="">
      <xdr:nvSpPr>
        <xdr:cNvPr id="866" name="Shape 865">
          <a:extLst>
            <a:ext uri="{FF2B5EF4-FFF2-40B4-BE49-F238E27FC236}">
              <a16:creationId xmlns:a16="http://schemas.microsoft.com/office/drawing/2014/main" id="{00000000-0008-0000-0A00-00006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27</xdr:row>
      <xdr:rowOff>9525</xdr:rowOff>
    </xdr:from>
    <xdr:ext cx="323850" cy="180975"/>
    <xdr:sp macro="" textlink="">
      <xdr:nvSpPr>
        <xdr:cNvPr id="867" name="Shape 866">
          <a:extLst>
            <a:ext uri="{FF2B5EF4-FFF2-40B4-BE49-F238E27FC236}">
              <a16:creationId xmlns:a16="http://schemas.microsoft.com/office/drawing/2014/main" id="{00000000-0008-0000-0A00-00006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28</xdr:row>
      <xdr:rowOff>9525</xdr:rowOff>
    </xdr:from>
    <xdr:ext cx="323850" cy="180975"/>
    <xdr:sp macro="" textlink="">
      <xdr:nvSpPr>
        <xdr:cNvPr id="868" name="Shape 867">
          <a:extLst>
            <a:ext uri="{FF2B5EF4-FFF2-40B4-BE49-F238E27FC236}">
              <a16:creationId xmlns:a16="http://schemas.microsoft.com/office/drawing/2014/main" id="{00000000-0008-0000-0A00-00006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29</xdr:row>
      <xdr:rowOff>9525</xdr:rowOff>
    </xdr:from>
    <xdr:ext cx="323850" cy="180975"/>
    <xdr:sp macro="" textlink="">
      <xdr:nvSpPr>
        <xdr:cNvPr id="869" name="Shape 868">
          <a:extLst>
            <a:ext uri="{FF2B5EF4-FFF2-40B4-BE49-F238E27FC236}">
              <a16:creationId xmlns:a16="http://schemas.microsoft.com/office/drawing/2014/main" id="{00000000-0008-0000-0A00-00006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30</xdr:row>
      <xdr:rowOff>9525</xdr:rowOff>
    </xdr:from>
    <xdr:ext cx="323850" cy="180975"/>
    <xdr:sp macro="" textlink="">
      <xdr:nvSpPr>
        <xdr:cNvPr id="870" name="Shape 869">
          <a:extLst>
            <a:ext uri="{FF2B5EF4-FFF2-40B4-BE49-F238E27FC236}">
              <a16:creationId xmlns:a16="http://schemas.microsoft.com/office/drawing/2014/main" id="{00000000-0008-0000-0A00-00006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31</xdr:row>
      <xdr:rowOff>9525</xdr:rowOff>
    </xdr:from>
    <xdr:ext cx="323850" cy="180975"/>
    <xdr:sp macro="" textlink="">
      <xdr:nvSpPr>
        <xdr:cNvPr id="871" name="Shape 870">
          <a:extLst>
            <a:ext uri="{FF2B5EF4-FFF2-40B4-BE49-F238E27FC236}">
              <a16:creationId xmlns:a16="http://schemas.microsoft.com/office/drawing/2014/main" id="{00000000-0008-0000-0A00-00006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32</xdr:row>
      <xdr:rowOff>9525</xdr:rowOff>
    </xdr:from>
    <xdr:ext cx="323850" cy="180975"/>
    <xdr:sp macro="" textlink="">
      <xdr:nvSpPr>
        <xdr:cNvPr id="872" name="Shape 871">
          <a:extLst>
            <a:ext uri="{FF2B5EF4-FFF2-40B4-BE49-F238E27FC236}">
              <a16:creationId xmlns:a16="http://schemas.microsoft.com/office/drawing/2014/main" id="{00000000-0008-0000-0A00-00006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33</xdr:row>
      <xdr:rowOff>9525</xdr:rowOff>
    </xdr:from>
    <xdr:ext cx="323850" cy="180975"/>
    <xdr:sp macro="" textlink="">
      <xdr:nvSpPr>
        <xdr:cNvPr id="873" name="Shape 872">
          <a:extLst>
            <a:ext uri="{FF2B5EF4-FFF2-40B4-BE49-F238E27FC236}">
              <a16:creationId xmlns:a16="http://schemas.microsoft.com/office/drawing/2014/main" id="{00000000-0008-0000-0A00-00006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34</xdr:row>
      <xdr:rowOff>9525</xdr:rowOff>
    </xdr:from>
    <xdr:ext cx="323850" cy="180975"/>
    <xdr:sp macro="" textlink="">
      <xdr:nvSpPr>
        <xdr:cNvPr id="874" name="Shape 873">
          <a:extLst>
            <a:ext uri="{FF2B5EF4-FFF2-40B4-BE49-F238E27FC236}">
              <a16:creationId xmlns:a16="http://schemas.microsoft.com/office/drawing/2014/main" id="{00000000-0008-0000-0A00-00006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35</xdr:row>
      <xdr:rowOff>9525</xdr:rowOff>
    </xdr:from>
    <xdr:ext cx="323850" cy="180975"/>
    <xdr:sp macro="" textlink="">
      <xdr:nvSpPr>
        <xdr:cNvPr id="875" name="Shape 874">
          <a:extLst>
            <a:ext uri="{FF2B5EF4-FFF2-40B4-BE49-F238E27FC236}">
              <a16:creationId xmlns:a16="http://schemas.microsoft.com/office/drawing/2014/main" id="{00000000-0008-0000-0A00-00006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36</xdr:row>
      <xdr:rowOff>9525</xdr:rowOff>
    </xdr:from>
    <xdr:ext cx="323850" cy="180975"/>
    <xdr:sp macro="" textlink="">
      <xdr:nvSpPr>
        <xdr:cNvPr id="876" name="Shape 875">
          <a:extLst>
            <a:ext uri="{FF2B5EF4-FFF2-40B4-BE49-F238E27FC236}">
              <a16:creationId xmlns:a16="http://schemas.microsoft.com/office/drawing/2014/main" id="{00000000-0008-0000-0A00-00006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37</xdr:row>
      <xdr:rowOff>9525</xdr:rowOff>
    </xdr:from>
    <xdr:ext cx="323850" cy="180975"/>
    <xdr:sp macro="" textlink="">
      <xdr:nvSpPr>
        <xdr:cNvPr id="877" name="Shape 876">
          <a:extLst>
            <a:ext uri="{FF2B5EF4-FFF2-40B4-BE49-F238E27FC236}">
              <a16:creationId xmlns:a16="http://schemas.microsoft.com/office/drawing/2014/main" id="{00000000-0008-0000-0A00-00006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38</xdr:row>
      <xdr:rowOff>9525</xdr:rowOff>
    </xdr:from>
    <xdr:ext cx="323850" cy="180975"/>
    <xdr:sp macro="" textlink="">
      <xdr:nvSpPr>
        <xdr:cNvPr id="878" name="Shape 877">
          <a:extLst>
            <a:ext uri="{FF2B5EF4-FFF2-40B4-BE49-F238E27FC236}">
              <a16:creationId xmlns:a16="http://schemas.microsoft.com/office/drawing/2014/main" id="{00000000-0008-0000-0A00-00006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39</xdr:row>
      <xdr:rowOff>9525</xdr:rowOff>
    </xdr:from>
    <xdr:ext cx="323850" cy="180975"/>
    <xdr:sp macro="" textlink="">
      <xdr:nvSpPr>
        <xdr:cNvPr id="879" name="Shape 878">
          <a:extLst>
            <a:ext uri="{FF2B5EF4-FFF2-40B4-BE49-F238E27FC236}">
              <a16:creationId xmlns:a16="http://schemas.microsoft.com/office/drawing/2014/main" id="{00000000-0008-0000-0A00-00006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40</xdr:row>
      <xdr:rowOff>9525</xdr:rowOff>
    </xdr:from>
    <xdr:ext cx="323850" cy="180975"/>
    <xdr:sp macro="" textlink="">
      <xdr:nvSpPr>
        <xdr:cNvPr id="880" name="Shape 879">
          <a:extLst>
            <a:ext uri="{FF2B5EF4-FFF2-40B4-BE49-F238E27FC236}">
              <a16:creationId xmlns:a16="http://schemas.microsoft.com/office/drawing/2014/main" id="{00000000-0008-0000-0A00-00007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41</xdr:row>
      <xdr:rowOff>9525</xdr:rowOff>
    </xdr:from>
    <xdr:ext cx="323850" cy="180975"/>
    <xdr:sp macro="" textlink="">
      <xdr:nvSpPr>
        <xdr:cNvPr id="881" name="Shape 880">
          <a:extLst>
            <a:ext uri="{FF2B5EF4-FFF2-40B4-BE49-F238E27FC236}">
              <a16:creationId xmlns:a16="http://schemas.microsoft.com/office/drawing/2014/main" id="{00000000-0008-0000-0A00-00007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</xdr:row>
      <xdr:rowOff>9525</xdr:rowOff>
    </xdr:from>
    <xdr:ext cx="323850" cy="180975"/>
    <xdr:sp macro="" textlink="">
      <xdr:nvSpPr>
        <xdr:cNvPr id="882" name="Shape 881">
          <a:extLst>
            <a:ext uri="{FF2B5EF4-FFF2-40B4-BE49-F238E27FC236}">
              <a16:creationId xmlns:a16="http://schemas.microsoft.com/office/drawing/2014/main" id="{00000000-0008-0000-0A00-00007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</xdr:row>
      <xdr:rowOff>9525</xdr:rowOff>
    </xdr:from>
    <xdr:ext cx="323850" cy="180975"/>
    <xdr:sp macro="" textlink="">
      <xdr:nvSpPr>
        <xdr:cNvPr id="883" name="Shape 882">
          <a:extLst>
            <a:ext uri="{FF2B5EF4-FFF2-40B4-BE49-F238E27FC236}">
              <a16:creationId xmlns:a16="http://schemas.microsoft.com/office/drawing/2014/main" id="{00000000-0008-0000-0A00-00007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4</xdr:row>
      <xdr:rowOff>9525</xdr:rowOff>
    </xdr:from>
    <xdr:ext cx="323850" cy="180975"/>
    <xdr:sp macro="" textlink="">
      <xdr:nvSpPr>
        <xdr:cNvPr id="884" name="Shape 883">
          <a:extLst>
            <a:ext uri="{FF2B5EF4-FFF2-40B4-BE49-F238E27FC236}">
              <a16:creationId xmlns:a16="http://schemas.microsoft.com/office/drawing/2014/main" id="{00000000-0008-0000-0A00-00007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5</xdr:row>
      <xdr:rowOff>9525</xdr:rowOff>
    </xdr:from>
    <xdr:ext cx="323850" cy="180975"/>
    <xdr:sp macro="" textlink="">
      <xdr:nvSpPr>
        <xdr:cNvPr id="885" name="Shape 884">
          <a:extLst>
            <a:ext uri="{FF2B5EF4-FFF2-40B4-BE49-F238E27FC236}">
              <a16:creationId xmlns:a16="http://schemas.microsoft.com/office/drawing/2014/main" id="{00000000-0008-0000-0A00-00007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6</xdr:row>
      <xdr:rowOff>9525</xdr:rowOff>
    </xdr:from>
    <xdr:ext cx="323850" cy="180975"/>
    <xdr:sp macro="" textlink="">
      <xdr:nvSpPr>
        <xdr:cNvPr id="886" name="Shape 885">
          <a:extLst>
            <a:ext uri="{FF2B5EF4-FFF2-40B4-BE49-F238E27FC236}">
              <a16:creationId xmlns:a16="http://schemas.microsoft.com/office/drawing/2014/main" id="{00000000-0008-0000-0A00-00007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7</xdr:row>
      <xdr:rowOff>9525</xdr:rowOff>
    </xdr:from>
    <xdr:ext cx="323850" cy="180975"/>
    <xdr:sp macro="" textlink="">
      <xdr:nvSpPr>
        <xdr:cNvPr id="887" name="Shape 886">
          <a:extLst>
            <a:ext uri="{FF2B5EF4-FFF2-40B4-BE49-F238E27FC236}">
              <a16:creationId xmlns:a16="http://schemas.microsoft.com/office/drawing/2014/main" id="{00000000-0008-0000-0A00-00007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8</xdr:row>
      <xdr:rowOff>9525</xdr:rowOff>
    </xdr:from>
    <xdr:ext cx="323850" cy="180975"/>
    <xdr:sp macro="" textlink="">
      <xdr:nvSpPr>
        <xdr:cNvPr id="888" name="Shape 887">
          <a:extLst>
            <a:ext uri="{FF2B5EF4-FFF2-40B4-BE49-F238E27FC236}">
              <a16:creationId xmlns:a16="http://schemas.microsoft.com/office/drawing/2014/main" id="{00000000-0008-0000-0A00-00007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9</xdr:row>
      <xdr:rowOff>9525</xdr:rowOff>
    </xdr:from>
    <xdr:ext cx="323850" cy="180975"/>
    <xdr:sp macro="" textlink="">
      <xdr:nvSpPr>
        <xdr:cNvPr id="889" name="Shape 888">
          <a:extLst>
            <a:ext uri="{FF2B5EF4-FFF2-40B4-BE49-F238E27FC236}">
              <a16:creationId xmlns:a16="http://schemas.microsoft.com/office/drawing/2014/main" id="{00000000-0008-0000-0A00-00007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10</xdr:row>
      <xdr:rowOff>9525</xdr:rowOff>
    </xdr:from>
    <xdr:ext cx="323850" cy="180975"/>
    <xdr:sp macro="" textlink="">
      <xdr:nvSpPr>
        <xdr:cNvPr id="890" name="Shape 889">
          <a:extLst>
            <a:ext uri="{FF2B5EF4-FFF2-40B4-BE49-F238E27FC236}">
              <a16:creationId xmlns:a16="http://schemas.microsoft.com/office/drawing/2014/main" id="{00000000-0008-0000-0A00-00007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11</xdr:row>
      <xdr:rowOff>9525</xdr:rowOff>
    </xdr:from>
    <xdr:ext cx="323850" cy="180975"/>
    <xdr:sp macro="" textlink="">
      <xdr:nvSpPr>
        <xdr:cNvPr id="891" name="Shape 890">
          <a:extLst>
            <a:ext uri="{FF2B5EF4-FFF2-40B4-BE49-F238E27FC236}">
              <a16:creationId xmlns:a16="http://schemas.microsoft.com/office/drawing/2014/main" id="{00000000-0008-0000-0A00-00007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12</xdr:row>
      <xdr:rowOff>9525</xdr:rowOff>
    </xdr:from>
    <xdr:ext cx="323850" cy="180975"/>
    <xdr:sp macro="" textlink="">
      <xdr:nvSpPr>
        <xdr:cNvPr id="892" name="Shape 891">
          <a:extLst>
            <a:ext uri="{FF2B5EF4-FFF2-40B4-BE49-F238E27FC236}">
              <a16:creationId xmlns:a16="http://schemas.microsoft.com/office/drawing/2014/main" id="{00000000-0008-0000-0A00-00007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13</xdr:row>
      <xdr:rowOff>9525</xdr:rowOff>
    </xdr:from>
    <xdr:ext cx="323850" cy="180975"/>
    <xdr:sp macro="" textlink="">
      <xdr:nvSpPr>
        <xdr:cNvPr id="893" name="Shape 892">
          <a:extLst>
            <a:ext uri="{FF2B5EF4-FFF2-40B4-BE49-F238E27FC236}">
              <a16:creationId xmlns:a16="http://schemas.microsoft.com/office/drawing/2014/main" id="{00000000-0008-0000-0A00-00007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14</xdr:row>
      <xdr:rowOff>9525</xdr:rowOff>
    </xdr:from>
    <xdr:ext cx="323850" cy="180975"/>
    <xdr:sp macro="" textlink="">
      <xdr:nvSpPr>
        <xdr:cNvPr id="894" name="Shape 893">
          <a:extLst>
            <a:ext uri="{FF2B5EF4-FFF2-40B4-BE49-F238E27FC236}">
              <a16:creationId xmlns:a16="http://schemas.microsoft.com/office/drawing/2014/main" id="{00000000-0008-0000-0A00-00007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15</xdr:row>
      <xdr:rowOff>9525</xdr:rowOff>
    </xdr:from>
    <xdr:ext cx="323850" cy="180975"/>
    <xdr:sp macro="" textlink="">
      <xdr:nvSpPr>
        <xdr:cNvPr id="895" name="Shape 894">
          <a:extLst>
            <a:ext uri="{FF2B5EF4-FFF2-40B4-BE49-F238E27FC236}">
              <a16:creationId xmlns:a16="http://schemas.microsoft.com/office/drawing/2014/main" id="{00000000-0008-0000-0A00-00007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16</xdr:row>
      <xdr:rowOff>9525</xdr:rowOff>
    </xdr:from>
    <xdr:ext cx="323850" cy="180975"/>
    <xdr:sp macro="" textlink="">
      <xdr:nvSpPr>
        <xdr:cNvPr id="896" name="Shape 895">
          <a:extLst>
            <a:ext uri="{FF2B5EF4-FFF2-40B4-BE49-F238E27FC236}">
              <a16:creationId xmlns:a16="http://schemas.microsoft.com/office/drawing/2014/main" id="{00000000-0008-0000-0A00-00008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17</xdr:row>
      <xdr:rowOff>9525</xdr:rowOff>
    </xdr:from>
    <xdr:ext cx="323850" cy="180975"/>
    <xdr:sp macro="" textlink="">
      <xdr:nvSpPr>
        <xdr:cNvPr id="897" name="Shape 896">
          <a:extLst>
            <a:ext uri="{FF2B5EF4-FFF2-40B4-BE49-F238E27FC236}">
              <a16:creationId xmlns:a16="http://schemas.microsoft.com/office/drawing/2014/main" id="{00000000-0008-0000-0A00-00008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18</xdr:row>
      <xdr:rowOff>9525</xdr:rowOff>
    </xdr:from>
    <xdr:ext cx="323850" cy="180975"/>
    <xdr:sp macro="" textlink="">
      <xdr:nvSpPr>
        <xdr:cNvPr id="898" name="Shape 897">
          <a:extLst>
            <a:ext uri="{FF2B5EF4-FFF2-40B4-BE49-F238E27FC236}">
              <a16:creationId xmlns:a16="http://schemas.microsoft.com/office/drawing/2014/main" id="{00000000-0008-0000-0A00-00008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19</xdr:row>
      <xdr:rowOff>9525</xdr:rowOff>
    </xdr:from>
    <xdr:ext cx="323850" cy="180975"/>
    <xdr:sp macro="" textlink="">
      <xdr:nvSpPr>
        <xdr:cNvPr id="899" name="Shape 898">
          <a:extLst>
            <a:ext uri="{FF2B5EF4-FFF2-40B4-BE49-F238E27FC236}">
              <a16:creationId xmlns:a16="http://schemas.microsoft.com/office/drawing/2014/main" id="{00000000-0008-0000-0A00-00008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20</xdr:row>
      <xdr:rowOff>9525</xdr:rowOff>
    </xdr:from>
    <xdr:ext cx="323850" cy="180975"/>
    <xdr:sp macro="" textlink="">
      <xdr:nvSpPr>
        <xdr:cNvPr id="900" name="Shape 899">
          <a:extLst>
            <a:ext uri="{FF2B5EF4-FFF2-40B4-BE49-F238E27FC236}">
              <a16:creationId xmlns:a16="http://schemas.microsoft.com/office/drawing/2014/main" id="{00000000-0008-0000-0A00-00008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21</xdr:row>
      <xdr:rowOff>9525</xdr:rowOff>
    </xdr:from>
    <xdr:ext cx="323850" cy="180975"/>
    <xdr:sp macro="" textlink="">
      <xdr:nvSpPr>
        <xdr:cNvPr id="901" name="Shape 900">
          <a:extLst>
            <a:ext uri="{FF2B5EF4-FFF2-40B4-BE49-F238E27FC236}">
              <a16:creationId xmlns:a16="http://schemas.microsoft.com/office/drawing/2014/main" id="{00000000-0008-0000-0A00-00008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22</xdr:row>
      <xdr:rowOff>9525</xdr:rowOff>
    </xdr:from>
    <xdr:ext cx="323850" cy="180975"/>
    <xdr:sp macro="" textlink="">
      <xdr:nvSpPr>
        <xdr:cNvPr id="902" name="Shape 901">
          <a:extLst>
            <a:ext uri="{FF2B5EF4-FFF2-40B4-BE49-F238E27FC236}">
              <a16:creationId xmlns:a16="http://schemas.microsoft.com/office/drawing/2014/main" id="{00000000-0008-0000-0A00-00008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23</xdr:row>
      <xdr:rowOff>9525</xdr:rowOff>
    </xdr:from>
    <xdr:ext cx="323850" cy="180975"/>
    <xdr:sp macro="" textlink="">
      <xdr:nvSpPr>
        <xdr:cNvPr id="903" name="Shape 902">
          <a:extLst>
            <a:ext uri="{FF2B5EF4-FFF2-40B4-BE49-F238E27FC236}">
              <a16:creationId xmlns:a16="http://schemas.microsoft.com/office/drawing/2014/main" id="{00000000-0008-0000-0A00-00008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24</xdr:row>
      <xdr:rowOff>9525</xdr:rowOff>
    </xdr:from>
    <xdr:ext cx="323850" cy="180975"/>
    <xdr:sp macro="" textlink="">
      <xdr:nvSpPr>
        <xdr:cNvPr id="904" name="Shape 903">
          <a:extLst>
            <a:ext uri="{FF2B5EF4-FFF2-40B4-BE49-F238E27FC236}">
              <a16:creationId xmlns:a16="http://schemas.microsoft.com/office/drawing/2014/main" id="{00000000-0008-0000-0A00-00008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25</xdr:row>
      <xdr:rowOff>9525</xdr:rowOff>
    </xdr:from>
    <xdr:ext cx="323850" cy="180975"/>
    <xdr:sp macro="" textlink="">
      <xdr:nvSpPr>
        <xdr:cNvPr id="905" name="Shape 904">
          <a:extLst>
            <a:ext uri="{FF2B5EF4-FFF2-40B4-BE49-F238E27FC236}">
              <a16:creationId xmlns:a16="http://schemas.microsoft.com/office/drawing/2014/main" id="{00000000-0008-0000-0A00-00008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26</xdr:row>
      <xdr:rowOff>9525</xdr:rowOff>
    </xdr:from>
    <xdr:ext cx="323850" cy="180975"/>
    <xdr:sp macro="" textlink="">
      <xdr:nvSpPr>
        <xdr:cNvPr id="906" name="Shape 905">
          <a:extLst>
            <a:ext uri="{FF2B5EF4-FFF2-40B4-BE49-F238E27FC236}">
              <a16:creationId xmlns:a16="http://schemas.microsoft.com/office/drawing/2014/main" id="{00000000-0008-0000-0A00-00008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27</xdr:row>
      <xdr:rowOff>9525</xdr:rowOff>
    </xdr:from>
    <xdr:ext cx="323850" cy="180975"/>
    <xdr:sp macro="" textlink="">
      <xdr:nvSpPr>
        <xdr:cNvPr id="907" name="Shape 906">
          <a:extLst>
            <a:ext uri="{FF2B5EF4-FFF2-40B4-BE49-F238E27FC236}">
              <a16:creationId xmlns:a16="http://schemas.microsoft.com/office/drawing/2014/main" id="{00000000-0008-0000-0A00-00008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28</xdr:row>
      <xdr:rowOff>9525</xdr:rowOff>
    </xdr:from>
    <xdr:ext cx="323850" cy="180975"/>
    <xdr:sp macro="" textlink="">
      <xdr:nvSpPr>
        <xdr:cNvPr id="908" name="Shape 907">
          <a:extLst>
            <a:ext uri="{FF2B5EF4-FFF2-40B4-BE49-F238E27FC236}">
              <a16:creationId xmlns:a16="http://schemas.microsoft.com/office/drawing/2014/main" id="{00000000-0008-0000-0A00-00008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29</xdr:row>
      <xdr:rowOff>9525</xdr:rowOff>
    </xdr:from>
    <xdr:ext cx="323850" cy="180975"/>
    <xdr:sp macro="" textlink="">
      <xdr:nvSpPr>
        <xdr:cNvPr id="909" name="Shape 908">
          <a:extLst>
            <a:ext uri="{FF2B5EF4-FFF2-40B4-BE49-F238E27FC236}">
              <a16:creationId xmlns:a16="http://schemas.microsoft.com/office/drawing/2014/main" id="{00000000-0008-0000-0A00-00008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30</xdr:row>
      <xdr:rowOff>9525</xdr:rowOff>
    </xdr:from>
    <xdr:ext cx="323850" cy="180975"/>
    <xdr:sp macro="" textlink="">
      <xdr:nvSpPr>
        <xdr:cNvPr id="910" name="Shape 909">
          <a:extLst>
            <a:ext uri="{FF2B5EF4-FFF2-40B4-BE49-F238E27FC236}">
              <a16:creationId xmlns:a16="http://schemas.microsoft.com/office/drawing/2014/main" id="{00000000-0008-0000-0A00-00008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31</xdr:row>
      <xdr:rowOff>9525</xdr:rowOff>
    </xdr:from>
    <xdr:ext cx="323850" cy="180975"/>
    <xdr:sp macro="" textlink="">
      <xdr:nvSpPr>
        <xdr:cNvPr id="911" name="Shape 910">
          <a:extLst>
            <a:ext uri="{FF2B5EF4-FFF2-40B4-BE49-F238E27FC236}">
              <a16:creationId xmlns:a16="http://schemas.microsoft.com/office/drawing/2014/main" id="{00000000-0008-0000-0A00-00008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32</xdr:row>
      <xdr:rowOff>9525</xdr:rowOff>
    </xdr:from>
    <xdr:ext cx="323850" cy="180975"/>
    <xdr:sp macro="" textlink="">
      <xdr:nvSpPr>
        <xdr:cNvPr id="912" name="Shape 911">
          <a:extLst>
            <a:ext uri="{FF2B5EF4-FFF2-40B4-BE49-F238E27FC236}">
              <a16:creationId xmlns:a16="http://schemas.microsoft.com/office/drawing/2014/main" id="{00000000-0008-0000-0A00-00009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33</xdr:row>
      <xdr:rowOff>9525</xdr:rowOff>
    </xdr:from>
    <xdr:ext cx="323850" cy="180975"/>
    <xdr:sp macro="" textlink="">
      <xdr:nvSpPr>
        <xdr:cNvPr id="913" name="Shape 912">
          <a:extLst>
            <a:ext uri="{FF2B5EF4-FFF2-40B4-BE49-F238E27FC236}">
              <a16:creationId xmlns:a16="http://schemas.microsoft.com/office/drawing/2014/main" id="{00000000-0008-0000-0A00-00009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34</xdr:row>
      <xdr:rowOff>9525</xdr:rowOff>
    </xdr:from>
    <xdr:ext cx="323850" cy="180975"/>
    <xdr:sp macro="" textlink="">
      <xdr:nvSpPr>
        <xdr:cNvPr id="914" name="Shape 913">
          <a:extLst>
            <a:ext uri="{FF2B5EF4-FFF2-40B4-BE49-F238E27FC236}">
              <a16:creationId xmlns:a16="http://schemas.microsoft.com/office/drawing/2014/main" id="{00000000-0008-0000-0A00-00009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35</xdr:row>
      <xdr:rowOff>9525</xdr:rowOff>
    </xdr:from>
    <xdr:ext cx="323850" cy="180975"/>
    <xdr:sp macro="" textlink="">
      <xdr:nvSpPr>
        <xdr:cNvPr id="915" name="Shape 914">
          <a:extLst>
            <a:ext uri="{FF2B5EF4-FFF2-40B4-BE49-F238E27FC236}">
              <a16:creationId xmlns:a16="http://schemas.microsoft.com/office/drawing/2014/main" id="{00000000-0008-0000-0A00-00009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36</xdr:row>
      <xdr:rowOff>9525</xdr:rowOff>
    </xdr:from>
    <xdr:ext cx="323850" cy="180975"/>
    <xdr:sp macro="" textlink="">
      <xdr:nvSpPr>
        <xdr:cNvPr id="916" name="Shape 915">
          <a:extLst>
            <a:ext uri="{FF2B5EF4-FFF2-40B4-BE49-F238E27FC236}">
              <a16:creationId xmlns:a16="http://schemas.microsoft.com/office/drawing/2014/main" id="{00000000-0008-0000-0A00-00009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37</xdr:row>
      <xdr:rowOff>9525</xdr:rowOff>
    </xdr:from>
    <xdr:ext cx="323850" cy="180975"/>
    <xdr:sp macro="" textlink="">
      <xdr:nvSpPr>
        <xdr:cNvPr id="917" name="Shape 916">
          <a:extLst>
            <a:ext uri="{FF2B5EF4-FFF2-40B4-BE49-F238E27FC236}">
              <a16:creationId xmlns:a16="http://schemas.microsoft.com/office/drawing/2014/main" id="{00000000-0008-0000-0A00-00009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38</xdr:row>
      <xdr:rowOff>9525</xdr:rowOff>
    </xdr:from>
    <xdr:ext cx="323850" cy="180975"/>
    <xdr:sp macro="" textlink="">
      <xdr:nvSpPr>
        <xdr:cNvPr id="918" name="Shape 917">
          <a:extLst>
            <a:ext uri="{FF2B5EF4-FFF2-40B4-BE49-F238E27FC236}">
              <a16:creationId xmlns:a16="http://schemas.microsoft.com/office/drawing/2014/main" id="{00000000-0008-0000-0A00-00009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39</xdr:row>
      <xdr:rowOff>9525</xdr:rowOff>
    </xdr:from>
    <xdr:ext cx="323850" cy="180975"/>
    <xdr:sp macro="" textlink="">
      <xdr:nvSpPr>
        <xdr:cNvPr id="919" name="Shape 918">
          <a:extLst>
            <a:ext uri="{FF2B5EF4-FFF2-40B4-BE49-F238E27FC236}">
              <a16:creationId xmlns:a16="http://schemas.microsoft.com/office/drawing/2014/main" id="{00000000-0008-0000-0A00-00009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40</xdr:row>
      <xdr:rowOff>9525</xdr:rowOff>
    </xdr:from>
    <xdr:ext cx="323850" cy="180975"/>
    <xdr:sp macro="" textlink="">
      <xdr:nvSpPr>
        <xdr:cNvPr id="920" name="Shape 919">
          <a:extLst>
            <a:ext uri="{FF2B5EF4-FFF2-40B4-BE49-F238E27FC236}">
              <a16:creationId xmlns:a16="http://schemas.microsoft.com/office/drawing/2014/main" id="{00000000-0008-0000-0A00-00009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41</xdr:row>
      <xdr:rowOff>9525</xdr:rowOff>
    </xdr:from>
    <xdr:ext cx="323850" cy="180975"/>
    <xdr:sp macro="" textlink="">
      <xdr:nvSpPr>
        <xdr:cNvPr id="921" name="Shape 920">
          <a:extLst>
            <a:ext uri="{FF2B5EF4-FFF2-40B4-BE49-F238E27FC236}">
              <a16:creationId xmlns:a16="http://schemas.microsoft.com/office/drawing/2014/main" id="{00000000-0008-0000-0A00-00009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</xdr:row>
      <xdr:rowOff>9525</xdr:rowOff>
    </xdr:from>
    <xdr:ext cx="323850" cy="180975"/>
    <xdr:sp macro="" textlink="">
      <xdr:nvSpPr>
        <xdr:cNvPr id="922" name="Shape 921">
          <a:extLst>
            <a:ext uri="{FF2B5EF4-FFF2-40B4-BE49-F238E27FC236}">
              <a16:creationId xmlns:a16="http://schemas.microsoft.com/office/drawing/2014/main" id="{00000000-0008-0000-0A00-00009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</xdr:row>
      <xdr:rowOff>9525</xdr:rowOff>
    </xdr:from>
    <xdr:ext cx="323850" cy="180975"/>
    <xdr:sp macro="" textlink="">
      <xdr:nvSpPr>
        <xdr:cNvPr id="923" name="Shape 922">
          <a:extLst>
            <a:ext uri="{FF2B5EF4-FFF2-40B4-BE49-F238E27FC236}">
              <a16:creationId xmlns:a16="http://schemas.microsoft.com/office/drawing/2014/main" id="{00000000-0008-0000-0A00-00009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4</xdr:row>
      <xdr:rowOff>9525</xdr:rowOff>
    </xdr:from>
    <xdr:ext cx="323850" cy="180975"/>
    <xdr:sp macro="" textlink="">
      <xdr:nvSpPr>
        <xdr:cNvPr id="924" name="Shape 923">
          <a:extLst>
            <a:ext uri="{FF2B5EF4-FFF2-40B4-BE49-F238E27FC236}">
              <a16:creationId xmlns:a16="http://schemas.microsoft.com/office/drawing/2014/main" id="{00000000-0008-0000-0A00-00009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5</xdr:row>
      <xdr:rowOff>9525</xdr:rowOff>
    </xdr:from>
    <xdr:ext cx="323850" cy="180975"/>
    <xdr:sp macro="" textlink="">
      <xdr:nvSpPr>
        <xdr:cNvPr id="925" name="Shape 924">
          <a:extLst>
            <a:ext uri="{FF2B5EF4-FFF2-40B4-BE49-F238E27FC236}">
              <a16:creationId xmlns:a16="http://schemas.microsoft.com/office/drawing/2014/main" id="{00000000-0008-0000-0A00-00009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6</xdr:row>
      <xdr:rowOff>9525</xdr:rowOff>
    </xdr:from>
    <xdr:ext cx="323850" cy="180975"/>
    <xdr:sp macro="" textlink="">
      <xdr:nvSpPr>
        <xdr:cNvPr id="926" name="Shape 925">
          <a:extLst>
            <a:ext uri="{FF2B5EF4-FFF2-40B4-BE49-F238E27FC236}">
              <a16:creationId xmlns:a16="http://schemas.microsoft.com/office/drawing/2014/main" id="{00000000-0008-0000-0A00-00009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7</xdr:row>
      <xdr:rowOff>9525</xdr:rowOff>
    </xdr:from>
    <xdr:ext cx="323850" cy="180975"/>
    <xdr:sp macro="" textlink="">
      <xdr:nvSpPr>
        <xdr:cNvPr id="927" name="Shape 926">
          <a:extLst>
            <a:ext uri="{FF2B5EF4-FFF2-40B4-BE49-F238E27FC236}">
              <a16:creationId xmlns:a16="http://schemas.microsoft.com/office/drawing/2014/main" id="{00000000-0008-0000-0A00-00009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8</xdr:row>
      <xdr:rowOff>9525</xdr:rowOff>
    </xdr:from>
    <xdr:ext cx="323850" cy="180975"/>
    <xdr:sp macro="" textlink="">
      <xdr:nvSpPr>
        <xdr:cNvPr id="928" name="Shape 927">
          <a:extLst>
            <a:ext uri="{FF2B5EF4-FFF2-40B4-BE49-F238E27FC236}">
              <a16:creationId xmlns:a16="http://schemas.microsoft.com/office/drawing/2014/main" id="{00000000-0008-0000-0A00-0000A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9</xdr:row>
      <xdr:rowOff>9525</xdr:rowOff>
    </xdr:from>
    <xdr:ext cx="323850" cy="180975"/>
    <xdr:sp macro="" textlink="">
      <xdr:nvSpPr>
        <xdr:cNvPr id="929" name="Shape 928">
          <a:extLst>
            <a:ext uri="{FF2B5EF4-FFF2-40B4-BE49-F238E27FC236}">
              <a16:creationId xmlns:a16="http://schemas.microsoft.com/office/drawing/2014/main" id="{00000000-0008-0000-0A00-0000A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10</xdr:row>
      <xdr:rowOff>9525</xdr:rowOff>
    </xdr:from>
    <xdr:ext cx="323850" cy="180975"/>
    <xdr:sp macro="" textlink="">
      <xdr:nvSpPr>
        <xdr:cNvPr id="930" name="Shape 929">
          <a:extLst>
            <a:ext uri="{FF2B5EF4-FFF2-40B4-BE49-F238E27FC236}">
              <a16:creationId xmlns:a16="http://schemas.microsoft.com/office/drawing/2014/main" id="{00000000-0008-0000-0A00-0000A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11</xdr:row>
      <xdr:rowOff>9525</xdr:rowOff>
    </xdr:from>
    <xdr:ext cx="323850" cy="180975"/>
    <xdr:sp macro="" textlink="">
      <xdr:nvSpPr>
        <xdr:cNvPr id="931" name="Shape 930">
          <a:extLst>
            <a:ext uri="{FF2B5EF4-FFF2-40B4-BE49-F238E27FC236}">
              <a16:creationId xmlns:a16="http://schemas.microsoft.com/office/drawing/2014/main" id="{00000000-0008-0000-0A00-0000A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12</xdr:row>
      <xdr:rowOff>9525</xdr:rowOff>
    </xdr:from>
    <xdr:ext cx="323850" cy="180975"/>
    <xdr:sp macro="" textlink="">
      <xdr:nvSpPr>
        <xdr:cNvPr id="932" name="Shape 931">
          <a:extLst>
            <a:ext uri="{FF2B5EF4-FFF2-40B4-BE49-F238E27FC236}">
              <a16:creationId xmlns:a16="http://schemas.microsoft.com/office/drawing/2014/main" id="{00000000-0008-0000-0A00-0000A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13</xdr:row>
      <xdr:rowOff>9525</xdr:rowOff>
    </xdr:from>
    <xdr:ext cx="323850" cy="180975"/>
    <xdr:sp macro="" textlink="">
      <xdr:nvSpPr>
        <xdr:cNvPr id="933" name="Shape 932">
          <a:extLst>
            <a:ext uri="{FF2B5EF4-FFF2-40B4-BE49-F238E27FC236}">
              <a16:creationId xmlns:a16="http://schemas.microsoft.com/office/drawing/2014/main" id="{00000000-0008-0000-0A00-0000A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14</xdr:row>
      <xdr:rowOff>9525</xdr:rowOff>
    </xdr:from>
    <xdr:ext cx="323850" cy="180975"/>
    <xdr:sp macro="" textlink="">
      <xdr:nvSpPr>
        <xdr:cNvPr id="934" name="Shape 933">
          <a:extLst>
            <a:ext uri="{FF2B5EF4-FFF2-40B4-BE49-F238E27FC236}">
              <a16:creationId xmlns:a16="http://schemas.microsoft.com/office/drawing/2014/main" id="{00000000-0008-0000-0A00-0000A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15</xdr:row>
      <xdr:rowOff>9525</xdr:rowOff>
    </xdr:from>
    <xdr:ext cx="323850" cy="180975"/>
    <xdr:sp macro="" textlink="">
      <xdr:nvSpPr>
        <xdr:cNvPr id="935" name="Shape 934">
          <a:extLst>
            <a:ext uri="{FF2B5EF4-FFF2-40B4-BE49-F238E27FC236}">
              <a16:creationId xmlns:a16="http://schemas.microsoft.com/office/drawing/2014/main" id="{00000000-0008-0000-0A00-0000A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16</xdr:row>
      <xdr:rowOff>9525</xdr:rowOff>
    </xdr:from>
    <xdr:ext cx="323850" cy="180975"/>
    <xdr:sp macro="" textlink="">
      <xdr:nvSpPr>
        <xdr:cNvPr id="936" name="Shape 935">
          <a:extLst>
            <a:ext uri="{FF2B5EF4-FFF2-40B4-BE49-F238E27FC236}">
              <a16:creationId xmlns:a16="http://schemas.microsoft.com/office/drawing/2014/main" id="{00000000-0008-0000-0A00-0000A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17</xdr:row>
      <xdr:rowOff>9525</xdr:rowOff>
    </xdr:from>
    <xdr:ext cx="323850" cy="180975"/>
    <xdr:sp macro="" textlink="">
      <xdr:nvSpPr>
        <xdr:cNvPr id="937" name="Shape 936">
          <a:extLst>
            <a:ext uri="{FF2B5EF4-FFF2-40B4-BE49-F238E27FC236}">
              <a16:creationId xmlns:a16="http://schemas.microsoft.com/office/drawing/2014/main" id="{00000000-0008-0000-0A00-0000A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18</xdr:row>
      <xdr:rowOff>9525</xdr:rowOff>
    </xdr:from>
    <xdr:ext cx="323850" cy="180975"/>
    <xdr:sp macro="" textlink="">
      <xdr:nvSpPr>
        <xdr:cNvPr id="938" name="Shape 937">
          <a:extLst>
            <a:ext uri="{FF2B5EF4-FFF2-40B4-BE49-F238E27FC236}">
              <a16:creationId xmlns:a16="http://schemas.microsoft.com/office/drawing/2014/main" id="{00000000-0008-0000-0A00-0000A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19</xdr:row>
      <xdr:rowOff>9525</xdr:rowOff>
    </xdr:from>
    <xdr:ext cx="323850" cy="180975"/>
    <xdr:sp macro="" textlink="">
      <xdr:nvSpPr>
        <xdr:cNvPr id="939" name="Shape 938">
          <a:extLst>
            <a:ext uri="{FF2B5EF4-FFF2-40B4-BE49-F238E27FC236}">
              <a16:creationId xmlns:a16="http://schemas.microsoft.com/office/drawing/2014/main" id="{00000000-0008-0000-0A00-0000A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20</xdr:row>
      <xdr:rowOff>9525</xdr:rowOff>
    </xdr:from>
    <xdr:ext cx="323850" cy="180975"/>
    <xdr:sp macro="" textlink="">
      <xdr:nvSpPr>
        <xdr:cNvPr id="940" name="Shape 939">
          <a:extLst>
            <a:ext uri="{FF2B5EF4-FFF2-40B4-BE49-F238E27FC236}">
              <a16:creationId xmlns:a16="http://schemas.microsoft.com/office/drawing/2014/main" id="{00000000-0008-0000-0A00-0000A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21</xdr:row>
      <xdr:rowOff>9525</xdr:rowOff>
    </xdr:from>
    <xdr:ext cx="323850" cy="180975"/>
    <xdr:sp macro="" textlink="">
      <xdr:nvSpPr>
        <xdr:cNvPr id="941" name="Shape 940">
          <a:extLst>
            <a:ext uri="{FF2B5EF4-FFF2-40B4-BE49-F238E27FC236}">
              <a16:creationId xmlns:a16="http://schemas.microsoft.com/office/drawing/2014/main" id="{00000000-0008-0000-0A00-0000A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22</xdr:row>
      <xdr:rowOff>9525</xdr:rowOff>
    </xdr:from>
    <xdr:ext cx="323850" cy="180975"/>
    <xdr:sp macro="" textlink="">
      <xdr:nvSpPr>
        <xdr:cNvPr id="942" name="Shape 941">
          <a:extLst>
            <a:ext uri="{FF2B5EF4-FFF2-40B4-BE49-F238E27FC236}">
              <a16:creationId xmlns:a16="http://schemas.microsoft.com/office/drawing/2014/main" id="{00000000-0008-0000-0A00-0000A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23</xdr:row>
      <xdr:rowOff>9525</xdr:rowOff>
    </xdr:from>
    <xdr:ext cx="323850" cy="180975"/>
    <xdr:sp macro="" textlink="">
      <xdr:nvSpPr>
        <xdr:cNvPr id="943" name="Shape 942">
          <a:extLst>
            <a:ext uri="{FF2B5EF4-FFF2-40B4-BE49-F238E27FC236}">
              <a16:creationId xmlns:a16="http://schemas.microsoft.com/office/drawing/2014/main" id="{00000000-0008-0000-0A00-0000A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24</xdr:row>
      <xdr:rowOff>9525</xdr:rowOff>
    </xdr:from>
    <xdr:ext cx="323850" cy="180975"/>
    <xdr:sp macro="" textlink="">
      <xdr:nvSpPr>
        <xdr:cNvPr id="944" name="Shape 943">
          <a:extLst>
            <a:ext uri="{FF2B5EF4-FFF2-40B4-BE49-F238E27FC236}">
              <a16:creationId xmlns:a16="http://schemas.microsoft.com/office/drawing/2014/main" id="{00000000-0008-0000-0A00-0000B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25</xdr:row>
      <xdr:rowOff>9525</xdr:rowOff>
    </xdr:from>
    <xdr:ext cx="323850" cy="180975"/>
    <xdr:sp macro="" textlink="">
      <xdr:nvSpPr>
        <xdr:cNvPr id="945" name="Shape 944">
          <a:extLst>
            <a:ext uri="{FF2B5EF4-FFF2-40B4-BE49-F238E27FC236}">
              <a16:creationId xmlns:a16="http://schemas.microsoft.com/office/drawing/2014/main" id="{00000000-0008-0000-0A00-0000B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26</xdr:row>
      <xdr:rowOff>9525</xdr:rowOff>
    </xdr:from>
    <xdr:ext cx="323850" cy="180975"/>
    <xdr:sp macro="" textlink="">
      <xdr:nvSpPr>
        <xdr:cNvPr id="946" name="Shape 945">
          <a:extLst>
            <a:ext uri="{FF2B5EF4-FFF2-40B4-BE49-F238E27FC236}">
              <a16:creationId xmlns:a16="http://schemas.microsoft.com/office/drawing/2014/main" id="{00000000-0008-0000-0A00-0000B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27</xdr:row>
      <xdr:rowOff>9525</xdr:rowOff>
    </xdr:from>
    <xdr:ext cx="323850" cy="180975"/>
    <xdr:sp macro="" textlink="">
      <xdr:nvSpPr>
        <xdr:cNvPr id="947" name="Shape 946">
          <a:extLst>
            <a:ext uri="{FF2B5EF4-FFF2-40B4-BE49-F238E27FC236}">
              <a16:creationId xmlns:a16="http://schemas.microsoft.com/office/drawing/2014/main" id="{00000000-0008-0000-0A00-0000B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28</xdr:row>
      <xdr:rowOff>9525</xdr:rowOff>
    </xdr:from>
    <xdr:ext cx="323850" cy="180975"/>
    <xdr:sp macro="" textlink="">
      <xdr:nvSpPr>
        <xdr:cNvPr id="948" name="Shape 947">
          <a:extLst>
            <a:ext uri="{FF2B5EF4-FFF2-40B4-BE49-F238E27FC236}">
              <a16:creationId xmlns:a16="http://schemas.microsoft.com/office/drawing/2014/main" id="{00000000-0008-0000-0A00-0000B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29</xdr:row>
      <xdr:rowOff>9525</xdr:rowOff>
    </xdr:from>
    <xdr:ext cx="323850" cy="180975"/>
    <xdr:sp macro="" textlink="">
      <xdr:nvSpPr>
        <xdr:cNvPr id="949" name="Shape 948">
          <a:extLst>
            <a:ext uri="{FF2B5EF4-FFF2-40B4-BE49-F238E27FC236}">
              <a16:creationId xmlns:a16="http://schemas.microsoft.com/office/drawing/2014/main" id="{00000000-0008-0000-0A00-0000B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30</xdr:row>
      <xdr:rowOff>9525</xdr:rowOff>
    </xdr:from>
    <xdr:ext cx="323850" cy="180975"/>
    <xdr:sp macro="" textlink="">
      <xdr:nvSpPr>
        <xdr:cNvPr id="950" name="Shape 949">
          <a:extLst>
            <a:ext uri="{FF2B5EF4-FFF2-40B4-BE49-F238E27FC236}">
              <a16:creationId xmlns:a16="http://schemas.microsoft.com/office/drawing/2014/main" id="{00000000-0008-0000-0A00-0000B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31</xdr:row>
      <xdr:rowOff>9525</xdr:rowOff>
    </xdr:from>
    <xdr:ext cx="323850" cy="180975"/>
    <xdr:sp macro="" textlink="">
      <xdr:nvSpPr>
        <xdr:cNvPr id="951" name="Shape 950">
          <a:extLst>
            <a:ext uri="{FF2B5EF4-FFF2-40B4-BE49-F238E27FC236}">
              <a16:creationId xmlns:a16="http://schemas.microsoft.com/office/drawing/2014/main" id="{00000000-0008-0000-0A00-0000B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32</xdr:row>
      <xdr:rowOff>9525</xdr:rowOff>
    </xdr:from>
    <xdr:ext cx="323850" cy="180975"/>
    <xdr:sp macro="" textlink="">
      <xdr:nvSpPr>
        <xdr:cNvPr id="952" name="Shape 951">
          <a:extLst>
            <a:ext uri="{FF2B5EF4-FFF2-40B4-BE49-F238E27FC236}">
              <a16:creationId xmlns:a16="http://schemas.microsoft.com/office/drawing/2014/main" id="{00000000-0008-0000-0A00-0000B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33</xdr:row>
      <xdr:rowOff>9525</xdr:rowOff>
    </xdr:from>
    <xdr:ext cx="323850" cy="180975"/>
    <xdr:sp macro="" textlink="">
      <xdr:nvSpPr>
        <xdr:cNvPr id="953" name="Shape 952">
          <a:extLst>
            <a:ext uri="{FF2B5EF4-FFF2-40B4-BE49-F238E27FC236}">
              <a16:creationId xmlns:a16="http://schemas.microsoft.com/office/drawing/2014/main" id="{00000000-0008-0000-0A00-0000B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34</xdr:row>
      <xdr:rowOff>9525</xdr:rowOff>
    </xdr:from>
    <xdr:ext cx="323850" cy="180975"/>
    <xdr:sp macro="" textlink="">
      <xdr:nvSpPr>
        <xdr:cNvPr id="954" name="Shape 953">
          <a:extLst>
            <a:ext uri="{FF2B5EF4-FFF2-40B4-BE49-F238E27FC236}">
              <a16:creationId xmlns:a16="http://schemas.microsoft.com/office/drawing/2014/main" id="{00000000-0008-0000-0A00-0000B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35</xdr:row>
      <xdr:rowOff>9525</xdr:rowOff>
    </xdr:from>
    <xdr:ext cx="323850" cy="180975"/>
    <xdr:sp macro="" textlink="">
      <xdr:nvSpPr>
        <xdr:cNvPr id="955" name="Shape 954">
          <a:extLst>
            <a:ext uri="{FF2B5EF4-FFF2-40B4-BE49-F238E27FC236}">
              <a16:creationId xmlns:a16="http://schemas.microsoft.com/office/drawing/2014/main" id="{00000000-0008-0000-0A00-0000B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36</xdr:row>
      <xdr:rowOff>9525</xdr:rowOff>
    </xdr:from>
    <xdr:ext cx="323850" cy="180975"/>
    <xdr:sp macro="" textlink="">
      <xdr:nvSpPr>
        <xdr:cNvPr id="956" name="Shape 955">
          <a:extLst>
            <a:ext uri="{FF2B5EF4-FFF2-40B4-BE49-F238E27FC236}">
              <a16:creationId xmlns:a16="http://schemas.microsoft.com/office/drawing/2014/main" id="{00000000-0008-0000-0A00-0000B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37</xdr:row>
      <xdr:rowOff>9525</xdr:rowOff>
    </xdr:from>
    <xdr:ext cx="323850" cy="180975"/>
    <xdr:sp macro="" textlink="">
      <xdr:nvSpPr>
        <xdr:cNvPr id="957" name="Shape 956">
          <a:extLst>
            <a:ext uri="{FF2B5EF4-FFF2-40B4-BE49-F238E27FC236}">
              <a16:creationId xmlns:a16="http://schemas.microsoft.com/office/drawing/2014/main" id="{00000000-0008-0000-0A00-0000B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38</xdr:row>
      <xdr:rowOff>9525</xdr:rowOff>
    </xdr:from>
    <xdr:ext cx="323850" cy="180975"/>
    <xdr:sp macro="" textlink="">
      <xdr:nvSpPr>
        <xdr:cNvPr id="958" name="Shape 957">
          <a:extLst>
            <a:ext uri="{FF2B5EF4-FFF2-40B4-BE49-F238E27FC236}">
              <a16:creationId xmlns:a16="http://schemas.microsoft.com/office/drawing/2014/main" id="{00000000-0008-0000-0A00-0000B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39</xdr:row>
      <xdr:rowOff>9525</xdr:rowOff>
    </xdr:from>
    <xdr:ext cx="323850" cy="180975"/>
    <xdr:sp macro="" textlink="">
      <xdr:nvSpPr>
        <xdr:cNvPr id="959" name="Shape 958">
          <a:extLst>
            <a:ext uri="{FF2B5EF4-FFF2-40B4-BE49-F238E27FC236}">
              <a16:creationId xmlns:a16="http://schemas.microsoft.com/office/drawing/2014/main" id="{00000000-0008-0000-0A00-0000B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40</xdr:row>
      <xdr:rowOff>9525</xdr:rowOff>
    </xdr:from>
    <xdr:ext cx="323850" cy="180975"/>
    <xdr:sp macro="" textlink="">
      <xdr:nvSpPr>
        <xdr:cNvPr id="960" name="Shape 959">
          <a:extLst>
            <a:ext uri="{FF2B5EF4-FFF2-40B4-BE49-F238E27FC236}">
              <a16:creationId xmlns:a16="http://schemas.microsoft.com/office/drawing/2014/main" id="{00000000-0008-0000-0A00-0000C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41</xdr:row>
      <xdr:rowOff>9525</xdr:rowOff>
    </xdr:from>
    <xdr:ext cx="323850" cy="180975"/>
    <xdr:sp macro="" textlink="">
      <xdr:nvSpPr>
        <xdr:cNvPr id="961" name="Shape 960">
          <a:extLst>
            <a:ext uri="{FF2B5EF4-FFF2-40B4-BE49-F238E27FC236}">
              <a16:creationId xmlns:a16="http://schemas.microsoft.com/office/drawing/2014/main" id="{00000000-0008-0000-0A00-0000C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</xdr:row>
      <xdr:rowOff>9525</xdr:rowOff>
    </xdr:from>
    <xdr:ext cx="323850" cy="180975"/>
    <xdr:sp macro="" textlink="">
      <xdr:nvSpPr>
        <xdr:cNvPr id="962" name="Shape 961">
          <a:extLst>
            <a:ext uri="{FF2B5EF4-FFF2-40B4-BE49-F238E27FC236}">
              <a16:creationId xmlns:a16="http://schemas.microsoft.com/office/drawing/2014/main" id="{00000000-0008-0000-0A00-0000C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</xdr:row>
      <xdr:rowOff>9525</xdr:rowOff>
    </xdr:from>
    <xdr:ext cx="323850" cy="180975"/>
    <xdr:sp macro="" textlink="">
      <xdr:nvSpPr>
        <xdr:cNvPr id="963" name="Shape 962">
          <a:extLst>
            <a:ext uri="{FF2B5EF4-FFF2-40B4-BE49-F238E27FC236}">
              <a16:creationId xmlns:a16="http://schemas.microsoft.com/office/drawing/2014/main" id="{00000000-0008-0000-0A00-0000C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4</xdr:row>
      <xdr:rowOff>9525</xdr:rowOff>
    </xdr:from>
    <xdr:ext cx="323850" cy="180975"/>
    <xdr:sp macro="" textlink="">
      <xdr:nvSpPr>
        <xdr:cNvPr id="964" name="Shape 963">
          <a:extLst>
            <a:ext uri="{FF2B5EF4-FFF2-40B4-BE49-F238E27FC236}">
              <a16:creationId xmlns:a16="http://schemas.microsoft.com/office/drawing/2014/main" id="{00000000-0008-0000-0A00-0000C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5</xdr:row>
      <xdr:rowOff>9525</xdr:rowOff>
    </xdr:from>
    <xdr:ext cx="323850" cy="180975"/>
    <xdr:sp macro="" textlink="">
      <xdr:nvSpPr>
        <xdr:cNvPr id="965" name="Shape 964">
          <a:extLst>
            <a:ext uri="{FF2B5EF4-FFF2-40B4-BE49-F238E27FC236}">
              <a16:creationId xmlns:a16="http://schemas.microsoft.com/office/drawing/2014/main" id="{00000000-0008-0000-0A00-0000C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6</xdr:row>
      <xdr:rowOff>9525</xdr:rowOff>
    </xdr:from>
    <xdr:ext cx="323850" cy="180975"/>
    <xdr:sp macro="" textlink="">
      <xdr:nvSpPr>
        <xdr:cNvPr id="966" name="Shape 965">
          <a:extLst>
            <a:ext uri="{FF2B5EF4-FFF2-40B4-BE49-F238E27FC236}">
              <a16:creationId xmlns:a16="http://schemas.microsoft.com/office/drawing/2014/main" id="{00000000-0008-0000-0A00-0000C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7</xdr:row>
      <xdr:rowOff>9525</xdr:rowOff>
    </xdr:from>
    <xdr:ext cx="323850" cy="180975"/>
    <xdr:sp macro="" textlink="">
      <xdr:nvSpPr>
        <xdr:cNvPr id="967" name="Shape 966">
          <a:extLst>
            <a:ext uri="{FF2B5EF4-FFF2-40B4-BE49-F238E27FC236}">
              <a16:creationId xmlns:a16="http://schemas.microsoft.com/office/drawing/2014/main" id="{00000000-0008-0000-0A00-0000C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8</xdr:row>
      <xdr:rowOff>9525</xdr:rowOff>
    </xdr:from>
    <xdr:ext cx="323850" cy="180975"/>
    <xdr:sp macro="" textlink="">
      <xdr:nvSpPr>
        <xdr:cNvPr id="968" name="Shape 967">
          <a:extLst>
            <a:ext uri="{FF2B5EF4-FFF2-40B4-BE49-F238E27FC236}">
              <a16:creationId xmlns:a16="http://schemas.microsoft.com/office/drawing/2014/main" id="{00000000-0008-0000-0A00-0000C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9</xdr:row>
      <xdr:rowOff>9525</xdr:rowOff>
    </xdr:from>
    <xdr:ext cx="323850" cy="180975"/>
    <xdr:sp macro="" textlink="">
      <xdr:nvSpPr>
        <xdr:cNvPr id="969" name="Shape 968">
          <a:extLst>
            <a:ext uri="{FF2B5EF4-FFF2-40B4-BE49-F238E27FC236}">
              <a16:creationId xmlns:a16="http://schemas.microsoft.com/office/drawing/2014/main" id="{00000000-0008-0000-0A00-0000C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10</xdr:row>
      <xdr:rowOff>9525</xdr:rowOff>
    </xdr:from>
    <xdr:ext cx="323850" cy="180975"/>
    <xdr:sp macro="" textlink="">
      <xdr:nvSpPr>
        <xdr:cNvPr id="970" name="Shape 969">
          <a:extLst>
            <a:ext uri="{FF2B5EF4-FFF2-40B4-BE49-F238E27FC236}">
              <a16:creationId xmlns:a16="http://schemas.microsoft.com/office/drawing/2014/main" id="{00000000-0008-0000-0A00-0000C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11</xdr:row>
      <xdr:rowOff>9525</xdr:rowOff>
    </xdr:from>
    <xdr:ext cx="323850" cy="180975"/>
    <xdr:sp macro="" textlink="">
      <xdr:nvSpPr>
        <xdr:cNvPr id="971" name="Shape 970">
          <a:extLst>
            <a:ext uri="{FF2B5EF4-FFF2-40B4-BE49-F238E27FC236}">
              <a16:creationId xmlns:a16="http://schemas.microsoft.com/office/drawing/2014/main" id="{00000000-0008-0000-0A00-0000C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12</xdr:row>
      <xdr:rowOff>9525</xdr:rowOff>
    </xdr:from>
    <xdr:ext cx="323850" cy="180975"/>
    <xdr:sp macro="" textlink="">
      <xdr:nvSpPr>
        <xdr:cNvPr id="972" name="Shape 971">
          <a:extLst>
            <a:ext uri="{FF2B5EF4-FFF2-40B4-BE49-F238E27FC236}">
              <a16:creationId xmlns:a16="http://schemas.microsoft.com/office/drawing/2014/main" id="{00000000-0008-0000-0A00-0000C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13</xdr:row>
      <xdr:rowOff>9525</xdr:rowOff>
    </xdr:from>
    <xdr:ext cx="323850" cy="180975"/>
    <xdr:sp macro="" textlink="">
      <xdr:nvSpPr>
        <xdr:cNvPr id="973" name="Shape 972">
          <a:extLst>
            <a:ext uri="{FF2B5EF4-FFF2-40B4-BE49-F238E27FC236}">
              <a16:creationId xmlns:a16="http://schemas.microsoft.com/office/drawing/2014/main" id="{00000000-0008-0000-0A00-0000C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14</xdr:row>
      <xdr:rowOff>9525</xdr:rowOff>
    </xdr:from>
    <xdr:ext cx="323850" cy="180975"/>
    <xdr:sp macro="" textlink="">
      <xdr:nvSpPr>
        <xdr:cNvPr id="974" name="Shape 973">
          <a:extLst>
            <a:ext uri="{FF2B5EF4-FFF2-40B4-BE49-F238E27FC236}">
              <a16:creationId xmlns:a16="http://schemas.microsoft.com/office/drawing/2014/main" id="{00000000-0008-0000-0A00-0000C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15</xdr:row>
      <xdr:rowOff>9525</xdr:rowOff>
    </xdr:from>
    <xdr:ext cx="323850" cy="180975"/>
    <xdr:sp macro="" textlink="">
      <xdr:nvSpPr>
        <xdr:cNvPr id="975" name="Shape 974">
          <a:extLst>
            <a:ext uri="{FF2B5EF4-FFF2-40B4-BE49-F238E27FC236}">
              <a16:creationId xmlns:a16="http://schemas.microsoft.com/office/drawing/2014/main" id="{00000000-0008-0000-0A00-0000C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16</xdr:row>
      <xdr:rowOff>9525</xdr:rowOff>
    </xdr:from>
    <xdr:ext cx="323850" cy="180975"/>
    <xdr:sp macro="" textlink="">
      <xdr:nvSpPr>
        <xdr:cNvPr id="976" name="Shape 975">
          <a:extLst>
            <a:ext uri="{FF2B5EF4-FFF2-40B4-BE49-F238E27FC236}">
              <a16:creationId xmlns:a16="http://schemas.microsoft.com/office/drawing/2014/main" id="{00000000-0008-0000-0A00-0000D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17</xdr:row>
      <xdr:rowOff>9525</xdr:rowOff>
    </xdr:from>
    <xdr:ext cx="323850" cy="180975"/>
    <xdr:sp macro="" textlink="">
      <xdr:nvSpPr>
        <xdr:cNvPr id="977" name="Shape 976">
          <a:extLst>
            <a:ext uri="{FF2B5EF4-FFF2-40B4-BE49-F238E27FC236}">
              <a16:creationId xmlns:a16="http://schemas.microsoft.com/office/drawing/2014/main" id="{00000000-0008-0000-0A00-0000D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18</xdr:row>
      <xdr:rowOff>9525</xdr:rowOff>
    </xdr:from>
    <xdr:ext cx="323850" cy="180975"/>
    <xdr:sp macro="" textlink="">
      <xdr:nvSpPr>
        <xdr:cNvPr id="978" name="Shape 977">
          <a:extLst>
            <a:ext uri="{FF2B5EF4-FFF2-40B4-BE49-F238E27FC236}">
              <a16:creationId xmlns:a16="http://schemas.microsoft.com/office/drawing/2014/main" id="{00000000-0008-0000-0A00-0000D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19</xdr:row>
      <xdr:rowOff>9525</xdr:rowOff>
    </xdr:from>
    <xdr:ext cx="323850" cy="180975"/>
    <xdr:sp macro="" textlink="">
      <xdr:nvSpPr>
        <xdr:cNvPr id="979" name="Shape 978">
          <a:extLst>
            <a:ext uri="{FF2B5EF4-FFF2-40B4-BE49-F238E27FC236}">
              <a16:creationId xmlns:a16="http://schemas.microsoft.com/office/drawing/2014/main" id="{00000000-0008-0000-0A00-0000D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20</xdr:row>
      <xdr:rowOff>9525</xdr:rowOff>
    </xdr:from>
    <xdr:ext cx="323850" cy="180975"/>
    <xdr:sp macro="" textlink="">
      <xdr:nvSpPr>
        <xdr:cNvPr id="980" name="Shape 979">
          <a:extLst>
            <a:ext uri="{FF2B5EF4-FFF2-40B4-BE49-F238E27FC236}">
              <a16:creationId xmlns:a16="http://schemas.microsoft.com/office/drawing/2014/main" id="{00000000-0008-0000-0A00-0000D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21</xdr:row>
      <xdr:rowOff>9525</xdr:rowOff>
    </xdr:from>
    <xdr:ext cx="323850" cy="180975"/>
    <xdr:sp macro="" textlink="">
      <xdr:nvSpPr>
        <xdr:cNvPr id="981" name="Shape 980">
          <a:extLst>
            <a:ext uri="{FF2B5EF4-FFF2-40B4-BE49-F238E27FC236}">
              <a16:creationId xmlns:a16="http://schemas.microsoft.com/office/drawing/2014/main" id="{00000000-0008-0000-0A00-0000D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22</xdr:row>
      <xdr:rowOff>9525</xdr:rowOff>
    </xdr:from>
    <xdr:ext cx="323850" cy="180975"/>
    <xdr:sp macro="" textlink="">
      <xdr:nvSpPr>
        <xdr:cNvPr id="982" name="Shape 981">
          <a:extLst>
            <a:ext uri="{FF2B5EF4-FFF2-40B4-BE49-F238E27FC236}">
              <a16:creationId xmlns:a16="http://schemas.microsoft.com/office/drawing/2014/main" id="{00000000-0008-0000-0A00-0000D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23</xdr:row>
      <xdr:rowOff>9525</xdr:rowOff>
    </xdr:from>
    <xdr:ext cx="323850" cy="180975"/>
    <xdr:sp macro="" textlink="">
      <xdr:nvSpPr>
        <xdr:cNvPr id="983" name="Shape 982">
          <a:extLst>
            <a:ext uri="{FF2B5EF4-FFF2-40B4-BE49-F238E27FC236}">
              <a16:creationId xmlns:a16="http://schemas.microsoft.com/office/drawing/2014/main" id="{00000000-0008-0000-0A00-0000D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24</xdr:row>
      <xdr:rowOff>9525</xdr:rowOff>
    </xdr:from>
    <xdr:ext cx="323850" cy="180975"/>
    <xdr:sp macro="" textlink="">
      <xdr:nvSpPr>
        <xdr:cNvPr id="984" name="Shape 983">
          <a:extLst>
            <a:ext uri="{FF2B5EF4-FFF2-40B4-BE49-F238E27FC236}">
              <a16:creationId xmlns:a16="http://schemas.microsoft.com/office/drawing/2014/main" id="{00000000-0008-0000-0A00-0000D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25</xdr:row>
      <xdr:rowOff>9525</xdr:rowOff>
    </xdr:from>
    <xdr:ext cx="323850" cy="180975"/>
    <xdr:sp macro="" textlink="">
      <xdr:nvSpPr>
        <xdr:cNvPr id="985" name="Shape 984">
          <a:extLst>
            <a:ext uri="{FF2B5EF4-FFF2-40B4-BE49-F238E27FC236}">
              <a16:creationId xmlns:a16="http://schemas.microsoft.com/office/drawing/2014/main" id="{00000000-0008-0000-0A00-0000D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26</xdr:row>
      <xdr:rowOff>9525</xdr:rowOff>
    </xdr:from>
    <xdr:ext cx="323850" cy="180975"/>
    <xdr:sp macro="" textlink="">
      <xdr:nvSpPr>
        <xdr:cNvPr id="986" name="Shape 985">
          <a:extLst>
            <a:ext uri="{FF2B5EF4-FFF2-40B4-BE49-F238E27FC236}">
              <a16:creationId xmlns:a16="http://schemas.microsoft.com/office/drawing/2014/main" id="{00000000-0008-0000-0A00-0000D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27</xdr:row>
      <xdr:rowOff>9525</xdr:rowOff>
    </xdr:from>
    <xdr:ext cx="323850" cy="180975"/>
    <xdr:sp macro="" textlink="">
      <xdr:nvSpPr>
        <xdr:cNvPr id="987" name="Shape 986">
          <a:extLst>
            <a:ext uri="{FF2B5EF4-FFF2-40B4-BE49-F238E27FC236}">
              <a16:creationId xmlns:a16="http://schemas.microsoft.com/office/drawing/2014/main" id="{00000000-0008-0000-0A00-0000D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28</xdr:row>
      <xdr:rowOff>9525</xdr:rowOff>
    </xdr:from>
    <xdr:ext cx="323850" cy="180975"/>
    <xdr:sp macro="" textlink="">
      <xdr:nvSpPr>
        <xdr:cNvPr id="988" name="Shape 987">
          <a:extLst>
            <a:ext uri="{FF2B5EF4-FFF2-40B4-BE49-F238E27FC236}">
              <a16:creationId xmlns:a16="http://schemas.microsoft.com/office/drawing/2014/main" id="{00000000-0008-0000-0A00-0000D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29</xdr:row>
      <xdr:rowOff>9525</xdr:rowOff>
    </xdr:from>
    <xdr:ext cx="323850" cy="180975"/>
    <xdr:sp macro="" textlink="">
      <xdr:nvSpPr>
        <xdr:cNvPr id="989" name="Shape 988">
          <a:extLst>
            <a:ext uri="{FF2B5EF4-FFF2-40B4-BE49-F238E27FC236}">
              <a16:creationId xmlns:a16="http://schemas.microsoft.com/office/drawing/2014/main" id="{00000000-0008-0000-0A00-0000D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30</xdr:row>
      <xdr:rowOff>9525</xdr:rowOff>
    </xdr:from>
    <xdr:ext cx="323850" cy="180975"/>
    <xdr:sp macro="" textlink="">
      <xdr:nvSpPr>
        <xdr:cNvPr id="990" name="Shape 989">
          <a:extLst>
            <a:ext uri="{FF2B5EF4-FFF2-40B4-BE49-F238E27FC236}">
              <a16:creationId xmlns:a16="http://schemas.microsoft.com/office/drawing/2014/main" id="{00000000-0008-0000-0A00-0000D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31</xdr:row>
      <xdr:rowOff>9525</xdr:rowOff>
    </xdr:from>
    <xdr:ext cx="323850" cy="180975"/>
    <xdr:sp macro="" textlink="">
      <xdr:nvSpPr>
        <xdr:cNvPr id="991" name="Shape 990">
          <a:extLst>
            <a:ext uri="{FF2B5EF4-FFF2-40B4-BE49-F238E27FC236}">
              <a16:creationId xmlns:a16="http://schemas.microsoft.com/office/drawing/2014/main" id="{00000000-0008-0000-0A00-0000D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32</xdr:row>
      <xdr:rowOff>9525</xdr:rowOff>
    </xdr:from>
    <xdr:ext cx="323850" cy="180975"/>
    <xdr:sp macro="" textlink="">
      <xdr:nvSpPr>
        <xdr:cNvPr id="992" name="Shape 991">
          <a:extLst>
            <a:ext uri="{FF2B5EF4-FFF2-40B4-BE49-F238E27FC236}">
              <a16:creationId xmlns:a16="http://schemas.microsoft.com/office/drawing/2014/main" id="{00000000-0008-0000-0A00-0000E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33</xdr:row>
      <xdr:rowOff>9525</xdr:rowOff>
    </xdr:from>
    <xdr:ext cx="323850" cy="180975"/>
    <xdr:sp macro="" textlink="">
      <xdr:nvSpPr>
        <xdr:cNvPr id="993" name="Shape 992">
          <a:extLst>
            <a:ext uri="{FF2B5EF4-FFF2-40B4-BE49-F238E27FC236}">
              <a16:creationId xmlns:a16="http://schemas.microsoft.com/office/drawing/2014/main" id="{00000000-0008-0000-0A00-0000E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34</xdr:row>
      <xdr:rowOff>9525</xdr:rowOff>
    </xdr:from>
    <xdr:ext cx="323850" cy="180975"/>
    <xdr:sp macro="" textlink="">
      <xdr:nvSpPr>
        <xdr:cNvPr id="994" name="Shape 993">
          <a:extLst>
            <a:ext uri="{FF2B5EF4-FFF2-40B4-BE49-F238E27FC236}">
              <a16:creationId xmlns:a16="http://schemas.microsoft.com/office/drawing/2014/main" id="{00000000-0008-0000-0A00-0000E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35</xdr:row>
      <xdr:rowOff>9525</xdr:rowOff>
    </xdr:from>
    <xdr:ext cx="323850" cy="180975"/>
    <xdr:sp macro="" textlink="">
      <xdr:nvSpPr>
        <xdr:cNvPr id="995" name="Shape 994">
          <a:extLst>
            <a:ext uri="{FF2B5EF4-FFF2-40B4-BE49-F238E27FC236}">
              <a16:creationId xmlns:a16="http://schemas.microsoft.com/office/drawing/2014/main" id="{00000000-0008-0000-0A00-0000E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36</xdr:row>
      <xdr:rowOff>9525</xdr:rowOff>
    </xdr:from>
    <xdr:ext cx="323850" cy="180975"/>
    <xdr:sp macro="" textlink="">
      <xdr:nvSpPr>
        <xdr:cNvPr id="996" name="Shape 995">
          <a:extLst>
            <a:ext uri="{FF2B5EF4-FFF2-40B4-BE49-F238E27FC236}">
              <a16:creationId xmlns:a16="http://schemas.microsoft.com/office/drawing/2014/main" id="{00000000-0008-0000-0A00-0000E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37</xdr:row>
      <xdr:rowOff>9525</xdr:rowOff>
    </xdr:from>
    <xdr:ext cx="323850" cy="180975"/>
    <xdr:sp macro="" textlink="">
      <xdr:nvSpPr>
        <xdr:cNvPr id="997" name="Shape 996">
          <a:extLst>
            <a:ext uri="{FF2B5EF4-FFF2-40B4-BE49-F238E27FC236}">
              <a16:creationId xmlns:a16="http://schemas.microsoft.com/office/drawing/2014/main" id="{00000000-0008-0000-0A00-0000E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38</xdr:row>
      <xdr:rowOff>9525</xdr:rowOff>
    </xdr:from>
    <xdr:ext cx="323850" cy="180975"/>
    <xdr:sp macro="" textlink="">
      <xdr:nvSpPr>
        <xdr:cNvPr id="998" name="Shape 997">
          <a:extLst>
            <a:ext uri="{FF2B5EF4-FFF2-40B4-BE49-F238E27FC236}">
              <a16:creationId xmlns:a16="http://schemas.microsoft.com/office/drawing/2014/main" id="{00000000-0008-0000-0A00-0000E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39</xdr:row>
      <xdr:rowOff>9525</xdr:rowOff>
    </xdr:from>
    <xdr:ext cx="323850" cy="180975"/>
    <xdr:sp macro="" textlink="">
      <xdr:nvSpPr>
        <xdr:cNvPr id="999" name="Shape 998">
          <a:extLst>
            <a:ext uri="{FF2B5EF4-FFF2-40B4-BE49-F238E27FC236}">
              <a16:creationId xmlns:a16="http://schemas.microsoft.com/office/drawing/2014/main" id="{00000000-0008-0000-0A00-0000E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40</xdr:row>
      <xdr:rowOff>9525</xdr:rowOff>
    </xdr:from>
    <xdr:ext cx="323850" cy="180975"/>
    <xdr:sp macro="" textlink="">
      <xdr:nvSpPr>
        <xdr:cNvPr id="1000" name="Shape 999">
          <a:extLst>
            <a:ext uri="{FF2B5EF4-FFF2-40B4-BE49-F238E27FC236}">
              <a16:creationId xmlns:a16="http://schemas.microsoft.com/office/drawing/2014/main" id="{00000000-0008-0000-0A00-0000E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41</xdr:row>
      <xdr:rowOff>9525</xdr:rowOff>
    </xdr:from>
    <xdr:ext cx="323850" cy="180975"/>
    <xdr:sp macro="" textlink="">
      <xdr:nvSpPr>
        <xdr:cNvPr id="1001" name="Shape 1000">
          <a:extLst>
            <a:ext uri="{FF2B5EF4-FFF2-40B4-BE49-F238E27FC236}">
              <a16:creationId xmlns:a16="http://schemas.microsoft.com/office/drawing/2014/main" id="{00000000-0008-0000-0A00-0000E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</xdr:row>
      <xdr:rowOff>9525</xdr:rowOff>
    </xdr:from>
    <xdr:ext cx="323850" cy="180975"/>
    <xdr:sp macro="" textlink="">
      <xdr:nvSpPr>
        <xdr:cNvPr id="1002" name="Shape 1001">
          <a:extLst>
            <a:ext uri="{FF2B5EF4-FFF2-40B4-BE49-F238E27FC236}">
              <a16:creationId xmlns:a16="http://schemas.microsoft.com/office/drawing/2014/main" id="{00000000-0008-0000-0A00-0000E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</xdr:row>
      <xdr:rowOff>9525</xdr:rowOff>
    </xdr:from>
    <xdr:ext cx="323850" cy="180975"/>
    <xdr:sp macro="" textlink="">
      <xdr:nvSpPr>
        <xdr:cNvPr id="1003" name="Shape 1002">
          <a:extLst>
            <a:ext uri="{FF2B5EF4-FFF2-40B4-BE49-F238E27FC236}">
              <a16:creationId xmlns:a16="http://schemas.microsoft.com/office/drawing/2014/main" id="{00000000-0008-0000-0A00-0000E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4</xdr:row>
      <xdr:rowOff>9525</xdr:rowOff>
    </xdr:from>
    <xdr:ext cx="323850" cy="180975"/>
    <xdr:sp macro="" textlink="">
      <xdr:nvSpPr>
        <xdr:cNvPr id="1004" name="Shape 1003">
          <a:extLst>
            <a:ext uri="{FF2B5EF4-FFF2-40B4-BE49-F238E27FC236}">
              <a16:creationId xmlns:a16="http://schemas.microsoft.com/office/drawing/2014/main" id="{00000000-0008-0000-0A00-0000E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5</xdr:row>
      <xdr:rowOff>9525</xdr:rowOff>
    </xdr:from>
    <xdr:ext cx="323850" cy="180975"/>
    <xdr:sp macro="" textlink="">
      <xdr:nvSpPr>
        <xdr:cNvPr id="1005" name="Shape 1004">
          <a:extLst>
            <a:ext uri="{FF2B5EF4-FFF2-40B4-BE49-F238E27FC236}">
              <a16:creationId xmlns:a16="http://schemas.microsoft.com/office/drawing/2014/main" id="{00000000-0008-0000-0A00-0000E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6</xdr:row>
      <xdr:rowOff>9525</xdr:rowOff>
    </xdr:from>
    <xdr:ext cx="323850" cy="180975"/>
    <xdr:sp macro="" textlink="">
      <xdr:nvSpPr>
        <xdr:cNvPr id="1006" name="Shape 1005">
          <a:extLst>
            <a:ext uri="{FF2B5EF4-FFF2-40B4-BE49-F238E27FC236}">
              <a16:creationId xmlns:a16="http://schemas.microsoft.com/office/drawing/2014/main" id="{00000000-0008-0000-0A00-0000E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7</xdr:row>
      <xdr:rowOff>9525</xdr:rowOff>
    </xdr:from>
    <xdr:ext cx="323850" cy="180975"/>
    <xdr:sp macro="" textlink="">
      <xdr:nvSpPr>
        <xdr:cNvPr id="1007" name="Shape 1006">
          <a:extLst>
            <a:ext uri="{FF2B5EF4-FFF2-40B4-BE49-F238E27FC236}">
              <a16:creationId xmlns:a16="http://schemas.microsoft.com/office/drawing/2014/main" id="{00000000-0008-0000-0A00-0000E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8</xdr:row>
      <xdr:rowOff>9525</xdr:rowOff>
    </xdr:from>
    <xdr:ext cx="323850" cy="180975"/>
    <xdr:sp macro="" textlink="">
      <xdr:nvSpPr>
        <xdr:cNvPr id="1008" name="Shape 1007">
          <a:extLst>
            <a:ext uri="{FF2B5EF4-FFF2-40B4-BE49-F238E27FC236}">
              <a16:creationId xmlns:a16="http://schemas.microsoft.com/office/drawing/2014/main" id="{00000000-0008-0000-0A00-0000F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9</xdr:row>
      <xdr:rowOff>9525</xdr:rowOff>
    </xdr:from>
    <xdr:ext cx="323850" cy="180975"/>
    <xdr:sp macro="" textlink="">
      <xdr:nvSpPr>
        <xdr:cNvPr id="1009" name="Shape 1008">
          <a:extLst>
            <a:ext uri="{FF2B5EF4-FFF2-40B4-BE49-F238E27FC236}">
              <a16:creationId xmlns:a16="http://schemas.microsoft.com/office/drawing/2014/main" id="{00000000-0008-0000-0A00-0000F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10</xdr:row>
      <xdr:rowOff>9525</xdr:rowOff>
    </xdr:from>
    <xdr:ext cx="323850" cy="180975"/>
    <xdr:sp macro="" textlink="">
      <xdr:nvSpPr>
        <xdr:cNvPr id="1010" name="Shape 1009">
          <a:extLst>
            <a:ext uri="{FF2B5EF4-FFF2-40B4-BE49-F238E27FC236}">
              <a16:creationId xmlns:a16="http://schemas.microsoft.com/office/drawing/2014/main" id="{00000000-0008-0000-0A00-0000F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11</xdr:row>
      <xdr:rowOff>9525</xdr:rowOff>
    </xdr:from>
    <xdr:ext cx="323850" cy="180975"/>
    <xdr:sp macro="" textlink="">
      <xdr:nvSpPr>
        <xdr:cNvPr id="1011" name="Shape 1010">
          <a:extLst>
            <a:ext uri="{FF2B5EF4-FFF2-40B4-BE49-F238E27FC236}">
              <a16:creationId xmlns:a16="http://schemas.microsoft.com/office/drawing/2014/main" id="{00000000-0008-0000-0A00-0000F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12</xdr:row>
      <xdr:rowOff>9525</xdr:rowOff>
    </xdr:from>
    <xdr:ext cx="323850" cy="180975"/>
    <xdr:sp macro="" textlink="">
      <xdr:nvSpPr>
        <xdr:cNvPr id="1012" name="Shape 1011">
          <a:extLst>
            <a:ext uri="{FF2B5EF4-FFF2-40B4-BE49-F238E27FC236}">
              <a16:creationId xmlns:a16="http://schemas.microsoft.com/office/drawing/2014/main" id="{00000000-0008-0000-0A00-0000F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13</xdr:row>
      <xdr:rowOff>9525</xdr:rowOff>
    </xdr:from>
    <xdr:ext cx="323850" cy="180975"/>
    <xdr:sp macro="" textlink="">
      <xdr:nvSpPr>
        <xdr:cNvPr id="1013" name="Shape 1012">
          <a:extLst>
            <a:ext uri="{FF2B5EF4-FFF2-40B4-BE49-F238E27FC236}">
              <a16:creationId xmlns:a16="http://schemas.microsoft.com/office/drawing/2014/main" id="{00000000-0008-0000-0A00-0000F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14</xdr:row>
      <xdr:rowOff>9525</xdr:rowOff>
    </xdr:from>
    <xdr:ext cx="323850" cy="180975"/>
    <xdr:sp macro="" textlink="">
      <xdr:nvSpPr>
        <xdr:cNvPr id="1014" name="Shape 1013">
          <a:extLst>
            <a:ext uri="{FF2B5EF4-FFF2-40B4-BE49-F238E27FC236}">
              <a16:creationId xmlns:a16="http://schemas.microsoft.com/office/drawing/2014/main" id="{00000000-0008-0000-0A00-0000F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15</xdr:row>
      <xdr:rowOff>9525</xdr:rowOff>
    </xdr:from>
    <xdr:ext cx="323850" cy="180975"/>
    <xdr:sp macro="" textlink="">
      <xdr:nvSpPr>
        <xdr:cNvPr id="1015" name="Shape 1014">
          <a:extLst>
            <a:ext uri="{FF2B5EF4-FFF2-40B4-BE49-F238E27FC236}">
              <a16:creationId xmlns:a16="http://schemas.microsoft.com/office/drawing/2014/main" id="{00000000-0008-0000-0A00-0000F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16</xdr:row>
      <xdr:rowOff>9525</xdr:rowOff>
    </xdr:from>
    <xdr:ext cx="323850" cy="180975"/>
    <xdr:sp macro="" textlink="">
      <xdr:nvSpPr>
        <xdr:cNvPr id="1016" name="Shape 1015">
          <a:extLst>
            <a:ext uri="{FF2B5EF4-FFF2-40B4-BE49-F238E27FC236}">
              <a16:creationId xmlns:a16="http://schemas.microsoft.com/office/drawing/2014/main" id="{00000000-0008-0000-0A00-0000F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17</xdr:row>
      <xdr:rowOff>9525</xdr:rowOff>
    </xdr:from>
    <xdr:ext cx="323850" cy="180975"/>
    <xdr:sp macro="" textlink="">
      <xdr:nvSpPr>
        <xdr:cNvPr id="1017" name="Shape 1016">
          <a:extLst>
            <a:ext uri="{FF2B5EF4-FFF2-40B4-BE49-F238E27FC236}">
              <a16:creationId xmlns:a16="http://schemas.microsoft.com/office/drawing/2014/main" id="{00000000-0008-0000-0A00-0000F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18</xdr:row>
      <xdr:rowOff>9525</xdr:rowOff>
    </xdr:from>
    <xdr:ext cx="323850" cy="180975"/>
    <xdr:sp macro="" textlink="">
      <xdr:nvSpPr>
        <xdr:cNvPr id="1018" name="Shape 1017">
          <a:extLst>
            <a:ext uri="{FF2B5EF4-FFF2-40B4-BE49-F238E27FC236}">
              <a16:creationId xmlns:a16="http://schemas.microsoft.com/office/drawing/2014/main" id="{00000000-0008-0000-0A00-0000F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19</xdr:row>
      <xdr:rowOff>9525</xdr:rowOff>
    </xdr:from>
    <xdr:ext cx="323850" cy="180975"/>
    <xdr:sp macro="" textlink="">
      <xdr:nvSpPr>
        <xdr:cNvPr id="1019" name="Shape 1018">
          <a:extLst>
            <a:ext uri="{FF2B5EF4-FFF2-40B4-BE49-F238E27FC236}">
              <a16:creationId xmlns:a16="http://schemas.microsoft.com/office/drawing/2014/main" id="{00000000-0008-0000-0A00-0000F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20</xdr:row>
      <xdr:rowOff>9525</xdr:rowOff>
    </xdr:from>
    <xdr:ext cx="323850" cy="180975"/>
    <xdr:sp macro="" textlink="">
      <xdr:nvSpPr>
        <xdr:cNvPr id="1020" name="Shape 1019">
          <a:extLst>
            <a:ext uri="{FF2B5EF4-FFF2-40B4-BE49-F238E27FC236}">
              <a16:creationId xmlns:a16="http://schemas.microsoft.com/office/drawing/2014/main" id="{00000000-0008-0000-0A00-0000F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21</xdr:row>
      <xdr:rowOff>9525</xdr:rowOff>
    </xdr:from>
    <xdr:ext cx="323850" cy="180975"/>
    <xdr:sp macro="" textlink="">
      <xdr:nvSpPr>
        <xdr:cNvPr id="1021" name="Shape 1020">
          <a:extLst>
            <a:ext uri="{FF2B5EF4-FFF2-40B4-BE49-F238E27FC236}">
              <a16:creationId xmlns:a16="http://schemas.microsoft.com/office/drawing/2014/main" id="{00000000-0008-0000-0A00-0000F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22</xdr:row>
      <xdr:rowOff>9525</xdr:rowOff>
    </xdr:from>
    <xdr:ext cx="323850" cy="180975"/>
    <xdr:sp macro="" textlink="">
      <xdr:nvSpPr>
        <xdr:cNvPr id="1022" name="Shape 1021">
          <a:extLst>
            <a:ext uri="{FF2B5EF4-FFF2-40B4-BE49-F238E27FC236}">
              <a16:creationId xmlns:a16="http://schemas.microsoft.com/office/drawing/2014/main" id="{00000000-0008-0000-0A00-0000F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23</xdr:row>
      <xdr:rowOff>9525</xdr:rowOff>
    </xdr:from>
    <xdr:ext cx="323850" cy="180975"/>
    <xdr:sp macro="" textlink="">
      <xdr:nvSpPr>
        <xdr:cNvPr id="1023" name="Shape 1022">
          <a:extLst>
            <a:ext uri="{FF2B5EF4-FFF2-40B4-BE49-F238E27FC236}">
              <a16:creationId xmlns:a16="http://schemas.microsoft.com/office/drawing/2014/main" id="{00000000-0008-0000-0A00-0000F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24</xdr:row>
      <xdr:rowOff>9525</xdr:rowOff>
    </xdr:from>
    <xdr:ext cx="323850" cy="180975"/>
    <xdr:sp macro="" textlink="">
      <xdr:nvSpPr>
        <xdr:cNvPr id="1024" name="Shape 1023">
          <a:extLst>
            <a:ext uri="{FF2B5EF4-FFF2-40B4-BE49-F238E27FC236}">
              <a16:creationId xmlns:a16="http://schemas.microsoft.com/office/drawing/2014/main" id="{00000000-0008-0000-0A00-00000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25</xdr:row>
      <xdr:rowOff>9525</xdr:rowOff>
    </xdr:from>
    <xdr:ext cx="323850" cy="180975"/>
    <xdr:sp macro="" textlink="">
      <xdr:nvSpPr>
        <xdr:cNvPr id="1025" name="Shape 1024">
          <a:extLst>
            <a:ext uri="{FF2B5EF4-FFF2-40B4-BE49-F238E27FC236}">
              <a16:creationId xmlns:a16="http://schemas.microsoft.com/office/drawing/2014/main" id="{00000000-0008-0000-0A00-00000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26</xdr:row>
      <xdr:rowOff>9525</xdr:rowOff>
    </xdr:from>
    <xdr:ext cx="323850" cy="180975"/>
    <xdr:sp macro="" textlink="">
      <xdr:nvSpPr>
        <xdr:cNvPr id="1026" name="Shape 1025">
          <a:extLst>
            <a:ext uri="{FF2B5EF4-FFF2-40B4-BE49-F238E27FC236}">
              <a16:creationId xmlns:a16="http://schemas.microsoft.com/office/drawing/2014/main" id="{00000000-0008-0000-0A00-00000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27</xdr:row>
      <xdr:rowOff>9525</xdr:rowOff>
    </xdr:from>
    <xdr:ext cx="323850" cy="180975"/>
    <xdr:sp macro="" textlink="">
      <xdr:nvSpPr>
        <xdr:cNvPr id="1027" name="Shape 1026">
          <a:extLst>
            <a:ext uri="{FF2B5EF4-FFF2-40B4-BE49-F238E27FC236}">
              <a16:creationId xmlns:a16="http://schemas.microsoft.com/office/drawing/2014/main" id="{00000000-0008-0000-0A00-00000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28</xdr:row>
      <xdr:rowOff>9525</xdr:rowOff>
    </xdr:from>
    <xdr:ext cx="323850" cy="180975"/>
    <xdr:sp macro="" textlink="">
      <xdr:nvSpPr>
        <xdr:cNvPr id="1028" name="Shape 1027">
          <a:extLst>
            <a:ext uri="{FF2B5EF4-FFF2-40B4-BE49-F238E27FC236}">
              <a16:creationId xmlns:a16="http://schemas.microsoft.com/office/drawing/2014/main" id="{00000000-0008-0000-0A00-00000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29</xdr:row>
      <xdr:rowOff>9525</xdr:rowOff>
    </xdr:from>
    <xdr:ext cx="323850" cy="180975"/>
    <xdr:sp macro="" textlink="">
      <xdr:nvSpPr>
        <xdr:cNvPr id="1029" name="Shape 1028">
          <a:extLst>
            <a:ext uri="{FF2B5EF4-FFF2-40B4-BE49-F238E27FC236}">
              <a16:creationId xmlns:a16="http://schemas.microsoft.com/office/drawing/2014/main" id="{00000000-0008-0000-0A00-00000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30</xdr:row>
      <xdr:rowOff>9525</xdr:rowOff>
    </xdr:from>
    <xdr:ext cx="323850" cy="180975"/>
    <xdr:sp macro="" textlink="">
      <xdr:nvSpPr>
        <xdr:cNvPr id="1030" name="Shape 1029">
          <a:extLst>
            <a:ext uri="{FF2B5EF4-FFF2-40B4-BE49-F238E27FC236}">
              <a16:creationId xmlns:a16="http://schemas.microsoft.com/office/drawing/2014/main" id="{00000000-0008-0000-0A00-00000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31</xdr:row>
      <xdr:rowOff>9525</xdr:rowOff>
    </xdr:from>
    <xdr:ext cx="323850" cy="180975"/>
    <xdr:sp macro="" textlink="">
      <xdr:nvSpPr>
        <xdr:cNvPr id="1031" name="Shape 1030">
          <a:extLst>
            <a:ext uri="{FF2B5EF4-FFF2-40B4-BE49-F238E27FC236}">
              <a16:creationId xmlns:a16="http://schemas.microsoft.com/office/drawing/2014/main" id="{00000000-0008-0000-0A00-00000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32</xdr:row>
      <xdr:rowOff>9525</xdr:rowOff>
    </xdr:from>
    <xdr:ext cx="323850" cy="180975"/>
    <xdr:sp macro="" textlink="">
      <xdr:nvSpPr>
        <xdr:cNvPr id="1032" name="Shape 1031">
          <a:extLst>
            <a:ext uri="{FF2B5EF4-FFF2-40B4-BE49-F238E27FC236}">
              <a16:creationId xmlns:a16="http://schemas.microsoft.com/office/drawing/2014/main" id="{00000000-0008-0000-0A00-00000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33</xdr:row>
      <xdr:rowOff>9525</xdr:rowOff>
    </xdr:from>
    <xdr:ext cx="323850" cy="180975"/>
    <xdr:sp macro="" textlink="">
      <xdr:nvSpPr>
        <xdr:cNvPr id="1033" name="Shape 1032">
          <a:extLst>
            <a:ext uri="{FF2B5EF4-FFF2-40B4-BE49-F238E27FC236}">
              <a16:creationId xmlns:a16="http://schemas.microsoft.com/office/drawing/2014/main" id="{00000000-0008-0000-0A00-00000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34</xdr:row>
      <xdr:rowOff>9525</xdr:rowOff>
    </xdr:from>
    <xdr:ext cx="323850" cy="180975"/>
    <xdr:sp macro="" textlink="">
      <xdr:nvSpPr>
        <xdr:cNvPr id="1034" name="Shape 1033">
          <a:extLst>
            <a:ext uri="{FF2B5EF4-FFF2-40B4-BE49-F238E27FC236}">
              <a16:creationId xmlns:a16="http://schemas.microsoft.com/office/drawing/2014/main" id="{00000000-0008-0000-0A00-00000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35</xdr:row>
      <xdr:rowOff>9525</xdr:rowOff>
    </xdr:from>
    <xdr:ext cx="323850" cy="180975"/>
    <xdr:sp macro="" textlink="">
      <xdr:nvSpPr>
        <xdr:cNvPr id="1035" name="Shape 1034">
          <a:extLst>
            <a:ext uri="{FF2B5EF4-FFF2-40B4-BE49-F238E27FC236}">
              <a16:creationId xmlns:a16="http://schemas.microsoft.com/office/drawing/2014/main" id="{00000000-0008-0000-0A00-00000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36</xdr:row>
      <xdr:rowOff>9525</xdr:rowOff>
    </xdr:from>
    <xdr:ext cx="323850" cy="180975"/>
    <xdr:sp macro="" textlink="">
      <xdr:nvSpPr>
        <xdr:cNvPr id="1036" name="Shape 1035">
          <a:extLst>
            <a:ext uri="{FF2B5EF4-FFF2-40B4-BE49-F238E27FC236}">
              <a16:creationId xmlns:a16="http://schemas.microsoft.com/office/drawing/2014/main" id="{00000000-0008-0000-0A00-00000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37</xdr:row>
      <xdr:rowOff>9525</xdr:rowOff>
    </xdr:from>
    <xdr:ext cx="323850" cy="180975"/>
    <xdr:sp macro="" textlink="">
      <xdr:nvSpPr>
        <xdr:cNvPr id="1037" name="Shape 1036">
          <a:extLst>
            <a:ext uri="{FF2B5EF4-FFF2-40B4-BE49-F238E27FC236}">
              <a16:creationId xmlns:a16="http://schemas.microsoft.com/office/drawing/2014/main" id="{00000000-0008-0000-0A00-00000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38</xdr:row>
      <xdr:rowOff>9525</xdr:rowOff>
    </xdr:from>
    <xdr:ext cx="323850" cy="180975"/>
    <xdr:sp macro="" textlink="">
      <xdr:nvSpPr>
        <xdr:cNvPr id="1038" name="Shape 1037">
          <a:extLst>
            <a:ext uri="{FF2B5EF4-FFF2-40B4-BE49-F238E27FC236}">
              <a16:creationId xmlns:a16="http://schemas.microsoft.com/office/drawing/2014/main" id="{00000000-0008-0000-0A00-00000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39</xdr:row>
      <xdr:rowOff>9525</xdr:rowOff>
    </xdr:from>
    <xdr:ext cx="323850" cy="180975"/>
    <xdr:sp macro="" textlink="">
      <xdr:nvSpPr>
        <xdr:cNvPr id="1039" name="Shape 1038">
          <a:extLst>
            <a:ext uri="{FF2B5EF4-FFF2-40B4-BE49-F238E27FC236}">
              <a16:creationId xmlns:a16="http://schemas.microsoft.com/office/drawing/2014/main" id="{00000000-0008-0000-0A00-00000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40</xdr:row>
      <xdr:rowOff>9525</xdr:rowOff>
    </xdr:from>
    <xdr:ext cx="323850" cy="180975"/>
    <xdr:sp macro="" textlink="">
      <xdr:nvSpPr>
        <xdr:cNvPr id="1040" name="Shape 1039">
          <a:extLst>
            <a:ext uri="{FF2B5EF4-FFF2-40B4-BE49-F238E27FC236}">
              <a16:creationId xmlns:a16="http://schemas.microsoft.com/office/drawing/2014/main" id="{00000000-0008-0000-0A00-00001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41</xdr:row>
      <xdr:rowOff>9525</xdr:rowOff>
    </xdr:from>
    <xdr:ext cx="323850" cy="180975"/>
    <xdr:sp macro="" textlink="">
      <xdr:nvSpPr>
        <xdr:cNvPr id="1041" name="Shape 1040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</xdr:row>
      <xdr:rowOff>9525</xdr:rowOff>
    </xdr:from>
    <xdr:ext cx="323850" cy="180975"/>
    <xdr:sp macro="" textlink="">
      <xdr:nvSpPr>
        <xdr:cNvPr id="1042" name="Shape 1041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</xdr:row>
      <xdr:rowOff>9525</xdr:rowOff>
    </xdr:from>
    <xdr:ext cx="323850" cy="180975"/>
    <xdr:sp macro="" textlink="">
      <xdr:nvSpPr>
        <xdr:cNvPr id="1043" name="Shape 1042">
          <a:extLst>
            <a:ext uri="{FF2B5EF4-FFF2-40B4-BE49-F238E27FC236}">
              <a16:creationId xmlns:a16="http://schemas.microsoft.com/office/drawing/2014/main" id="{00000000-0008-0000-0A00-00001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4</xdr:row>
      <xdr:rowOff>9525</xdr:rowOff>
    </xdr:from>
    <xdr:ext cx="323850" cy="180975"/>
    <xdr:sp macro="" textlink="">
      <xdr:nvSpPr>
        <xdr:cNvPr id="1044" name="Shape 1043">
          <a:extLst>
            <a:ext uri="{FF2B5EF4-FFF2-40B4-BE49-F238E27FC236}">
              <a16:creationId xmlns:a16="http://schemas.microsoft.com/office/drawing/2014/main" id="{00000000-0008-0000-0A00-00001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5</xdr:row>
      <xdr:rowOff>9525</xdr:rowOff>
    </xdr:from>
    <xdr:ext cx="323850" cy="180975"/>
    <xdr:sp macro="" textlink="">
      <xdr:nvSpPr>
        <xdr:cNvPr id="1045" name="Shape 1044">
          <a:extLst>
            <a:ext uri="{FF2B5EF4-FFF2-40B4-BE49-F238E27FC236}">
              <a16:creationId xmlns:a16="http://schemas.microsoft.com/office/drawing/2014/main" id="{00000000-0008-0000-0A00-00001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6</xdr:row>
      <xdr:rowOff>9525</xdr:rowOff>
    </xdr:from>
    <xdr:ext cx="323850" cy="180975"/>
    <xdr:sp macro="" textlink="">
      <xdr:nvSpPr>
        <xdr:cNvPr id="1046" name="Shape 1045">
          <a:extLst>
            <a:ext uri="{FF2B5EF4-FFF2-40B4-BE49-F238E27FC236}">
              <a16:creationId xmlns:a16="http://schemas.microsoft.com/office/drawing/2014/main" id="{00000000-0008-0000-0A00-00001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7</xdr:row>
      <xdr:rowOff>9525</xdr:rowOff>
    </xdr:from>
    <xdr:ext cx="323850" cy="180975"/>
    <xdr:sp macro="" textlink="">
      <xdr:nvSpPr>
        <xdr:cNvPr id="1047" name="Shape 1046">
          <a:extLst>
            <a:ext uri="{FF2B5EF4-FFF2-40B4-BE49-F238E27FC236}">
              <a16:creationId xmlns:a16="http://schemas.microsoft.com/office/drawing/2014/main" id="{00000000-0008-0000-0A00-00001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8</xdr:row>
      <xdr:rowOff>9525</xdr:rowOff>
    </xdr:from>
    <xdr:ext cx="323850" cy="180975"/>
    <xdr:sp macro="" textlink="">
      <xdr:nvSpPr>
        <xdr:cNvPr id="1048" name="Shape 1047">
          <a:extLst>
            <a:ext uri="{FF2B5EF4-FFF2-40B4-BE49-F238E27FC236}">
              <a16:creationId xmlns:a16="http://schemas.microsoft.com/office/drawing/2014/main" id="{00000000-0008-0000-0A00-00001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9</xdr:row>
      <xdr:rowOff>9525</xdr:rowOff>
    </xdr:from>
    <xdr:ext cx="323850" cy="180975"/>
    <xdr:sp macro="" textlink="">
      <xdr:nvSpPr>
        <xdr:cNvPr id="1049" name="Shape 1048">
          <a:extLst>
            <a:ext uri="{FF2B5EF4-FFF2-40B4-BE49-F238E27FC236}">
              <a16:creationId xmlns:a16="http://schemas.microsoft.com/office/drawing/2014/main" id="{00000000-0008-0000-0A00-00001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10</xdr:row>
      <xdr:rowOff>9525</xdr:rowOff>
    </xdr:from>
    <xdr:ext cx="323850" cy="180975"/>
    <xdr:sp macro="" textlink="">
      <xdr:nvSpPr>
        <xdr:cNvPr id="1050" name="Shape 1049">
          <a:extLst>
            <a:ext uri="{FF2B5EF4-FFF2-40B4-BE49-F238E27FC236}">
              <a16:creationId xmlns:a16="http://schemas.microsoft.com/office/drawing/2014/main" id="{00000000-0008-0000-0A00-00001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11</xdr:row>
      <xdr:rowOff>9525</xdr:rowOff>
    </xdr:from>
    <xdr:ext cx="323850" cy="180975"/>
    <xdr:sp macro="" textlink="">
      <xdr:nvSpPr>
        <xdr:cNvPr id="1051" name="Shape 1050">
          <a:extLst>
            <a:ext uri="{FF2B5EF4-FFF2-40B4-BE49-F238E27FC236}">
              <a16:creationId xmlns:a16="http://schemas.microsoft.com/office/drawing/2014/main" id="{00000000-0008-0000-0A00-00001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12</xdr:row>
      <xdr:rowOff>9525</xdr:rowOff>
    </xdr:from>
    <xdr:ext cx="323850" cy="180975"/>
    <xdr:sp macro="" textlink="">
      <xdr:nvSpPr>
        <xdr:cNvPr id="1052" name="Shape 1051">
          <a:extLst>
            <a:ext uri="{FF2B5EF4-FFF2-40B4-BE49-F238E27FC236}">
              <a16:creationId xmlns:a16="http://schemas.microsoft.com/office/drawing/2014/main" id="{00000000-0008-0000-0A00-00001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13</xdr:row>
      <xdr:rowOff>9525</xdr:rowOff>
    </xdr:from>
    <xdr:ext cx="323850" cy="180975"/>
    <xdr:sp macro="" textlink="">
      <xdr:nvSpPr>
        <xdr:cNvPr id="1053" name="Shape 1052">
          <a:extLst>
            <a:ext uri="{FF2B5EF4-FFF2-40B4-BE49-F238E27FC236}">
              <a16:creationId xmlns:a16="http://schemas.microsoft.com/office/drawing/2014/main" id="{00000000-0008-0000-0A00-00001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14</xdr:row>
      <xdr:rowOff>9525</xdr:rowOff>
    </xdr:from>
    <xdr:ext cx="323850" cy="180975"/>
    <xdr:sp macro="" textlink="">
      <xdr:nvSpPr>
        <xdr:cNvPr id="1054" name="Shape 1053">
          <a:extLst>
            <a:ext uri="{FF2B5EF4-FFF2-40B4-BE49-F238E27FC236}">
              <a16:creationId xmlns:a16="http://schemas.microsoft.com/office/drawing/2014/main" id="{00000000-0008-0000-0A00-00001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15</xdr:row>
      <xdr:rowOff>9525</xdr:rowOff>
    </xdr:from>
    <xdr:ext cx="323850" cy="180975"/>
    <xdr:sp macro="" textlink="">
      <xdr:nvSpPr>
        <xdr:cNvPr id="1055" name="Shape 1054">
          <a:extLst>
            <a:ext uri="{FF2B5EF4-FFF2-40B4-BE49-F238E27FC236}">
              <a16:creationId xmlns:a16="http://schemas.microsoft.com/office/drawing/2014/main" id="{00000000-0008-0000-0A00-00001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16</xdr:row>
      <xdr:rowOff>9525</xdr:rowOff>
    </xdr:from>
    <xdr:ext cx="323850" cy="180975"/>
    <xdr:sp macro="" textlink="">
      <xdr:nvSpPr>
        <xdr:cNvPr id="1056" name="Shape 1055">
          <a:extLst>
            <a:ext uri="{FF2B5EF4-FFF2-40B4-BE49-F238E27FC236}">
              <a16:creationId xmlns:a16="http://schemas.microsoft.com/office/drawing/2014/main" id="{00000000-0008-0000-0A00-00002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17</xdr:row>
      <xdr:rowOff>9525</xdr:rowOff>
    </xdr:from>
    <xdr:ext cx="323850" cy="180975"/>
    <xdr:sp macro="" textlink="">
      <xdr:nvSpPr>
        <xdr:cNvPr id="1057" name="Shape 1056">
          <a:extLst>
            <a:ext uri="{FF2B5EF4-FFF2-40B4-BE49-F238E27FC236}">
              <a16:creationId xmlns:a16="http://schemas.microsoft.com/office/drawing/2014/main" id="{00000000-0008-0000-0A00-00002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18</xdr:row>
      <xdr:rowOff>9525</xdr:rowOff>
    </xdr:from>
    <xdr:ext cx="323850" cy="180975"/>
    <xdr:sp macro="" textlink="">
      <xdr:nvSpPr>
        <xdr:cNvPr id="1058" name="Shape 1057">
          <a:extLst>
            <a:ext uri="{FF2B5EF4-FFF2-40B4-BE49-F238E27FC236}">
              <a16:creationId xmlns:a16="http://schemas.microsoft.com/office/drawing/2014/main" id="{00000000-0008-0000-0A00-00002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19</xdr:row>
      <xdr:rowOff>9525</xdr:rowOff>
    </xdr:from>
    <xdr:ext cx="323850" cy="180975"/>
    <xdr:sp macro="" textlink="">
      <xdr:nvSpPr>
        <xdr:cNvPr id="1059" name="Shape 1058">
          <a:extLst>
            <a:ext uri="{FF2B5EF4-FFF2-40B4-BE49-F238E27FC236}">
              <a16:creationId xmlns:a16="http://schemas.microsoft.com/office/drawing/2014/main" id="{00000000-0008-0000-0A00-00002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20</xdr:row>
      <xdr:rowOff>9525</xdr:rowOff>
    </xdr:from>
    <xdr:ext cx="323850" cy="180975"/>
    <xdr:sp macro="" textlink="">
      <xdr:nvSpPr>
        <xdr:cNvPr id="1060" name="Shape 1059">
          <a:extLst>
            <a:ext uri="{FF2B5EF4-FFF2-40B4-BE49-F238E27FC236}">
              <a16:creationId xmlns:a16="http://schemas.microsoft.com/office/drawing/2014/main" id="{00000000-0008-0000-0A00-00002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21</xdr:row>
      <xdr:rowOff>9525</xdr:rowOff>
    </xdr:from>
    <xdr:ext cx="323850" cy="180975"/>
    <xdr:sp macro="" textlink="">
      <xdr:nvSpPr>
        <xdr:cNvPr id="1061" name="Shape 1060">
          <a:extLst>
            <a:ext uri="{FF2B5EF4-FFF2-40B4-BE49-F238E27FC236}">
              <a16:creationId xmlns:a16="http://schemas.microsoft.com/office/drawing/2014/main" id="{00000000-0008-0000-0A00-00002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22</xdr:row>
      <xdr:rowOff>9525</xdr:rowOff>
    </xdr:from>
    <xdr:ext cx="323850" cy="180975"/>
    <xdr:sp macro="" textlink="">
      <xdr:nvSpPr>
        <xdr:cNvPr id="1062" name="Shape 1061">
          <a:extLst>
            <a:ext uri="{FF2B5EF4-FFF2-40B4-BE49-F238E27FC236}">
              <a16:creationId xmlns:a16="http://schemas.microsoft.com/office/drawing/2014/main" id="{00000000-0008-0000-0A00-00002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23</xdr:row>
      <xdr:rowOff>9525</xdr:rowOff>
    </xdr:from>
    <xdr:ext cx="323850" cy="180975"/>
    <xdr:sp macro="" textlink="">
      <xdr:nvSpPr>
        <xdr:cNvPr id="1063" name="Shape 1062">
          <a:extLst>
            <a:ext uri="{FF2B5EF4-FFF2-40B4-BE49-F238E27FC236}">
              <a16:creationId xmlns:a16="http://schemas.microsoft.com/office/drawing/2014/main" id="{00000000-0008-0000-0A00-00002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24</xdr:row>
      <xdr:rowOff>9525</xdr:rowOff>
    </xdr:from>
    <xdr:ext cx="323850" cy="180975"/>
    <xdr:sp macro="" textlink="">
      <xdr:nvSpPr>
        <xdr:cNvPr id="1064" name="Shape 1063">
          <a:extLst>
            <a:ext uri="{FF2B5EF4-FFF2-40B4-BE49-F238E27FC236}">
              <a16:creationId xmlns:a16="http://schemas.microsoft.com/office/drawing/2014/main" id="{00000000-0008-0000-0A00-00002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25</xdr:row>
      <xdr:rowOff>9525</xdr:rowOff>
    </xdr:from>
    <xdr:ext cx="323850" cy="180975"/>
    <xdr:sp macro="" textlink="">
      <xdr:nvSpPr>
        <xdr:cNvPr id="1065" name="Shape 1064">
          <a:extLst>
            <a:ext uri="{FF2B5EF4-FFF2-40B4-BE49-F238E27FC236}">
              <a16:creationId xmlns:a16="http://schemas.microsoft.com/office/drawing/2014/main" id="{00000000-0008-0000-0A00-00002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26</xdr:row>
      <xdr:rowOff>9525</xdr:rowOff>
    </xdr:from>
    <xdr:ext cx="323850" cy="180975"/>
    <xdr:sp macro="" textlink="">
      <xdr:nvSpPr>
        <xdr:cNvPr id="1066" name="Shape 1065">
          <a:extLst>
            <a:ext uri="{FF2B5EF4-FFF2-40B4-BE49-F238E27FC236}">
              <a16:creationId xmlns:a16="http://schemas.microsoft.com/office/drawing/2014/main" id="{00000000-0008-0000-0A00-00002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27</xdr:row>
      <xdr:rowOff>9525</xdr:rowOff>
    </xdr:from>
    <xdr:ext cx="323850" cy="180975"/>
    <xdr:sp macro="" textlink="">
      <xdr:nvSpPr>
        <xdr:cNvPr id="1067" name="Shape 1066">
          <a:extLst>
            <a:ext uri="{FF2B5EF4-FFF2-40B4-BE49-F238E27FC236}">
              <a16:creationId xmlns:a16="http://schemas.microsoft.com/office/drawing/2014/main" id="{00000000-0008-0000-0A00-00002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28</xdr:row>
      <xdr:rowOff>9525</xdr:rowOff>
    </xdr:from>
    <xdr:ext cx="323850" cy="180975"/>
    <xdr:sp macro="" textlink="">
      <xdr:nvSpPr>
        <xdr:cNvPr id="1068" name="Shape 1067">
          <a:extLst>
            <a:ext uri="{FF2B5EF4-FFF2-40B4-BE49-F238E27FC236}">
              <a16:creationId xmlns:a16="http://schemas.microsoft.com/office/drawing/2014/main" id="{00000000-0008-0000-0A00-00002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29</xdr:row>
      <xdr:rowOff>9525</xdr:rowOff>
    </xdr:from>
    <xdr:ext cx="323850" cy="180975"/>
    <xdr:sp macro="" textlink="">
      <xdr:nvSpPr>
        <xdr:cNvPr id="1069" name="Shape 1068">
          <a:extLst>
            <a:ext uri="{FF2B5EF4-FFF2-40B4-BE49-F238E27FC236}">
              <a16:creationId xmlns:a16="http://schemas.microsoft.com/office/drawing/2014/main" id="{00000000-0008-0000-0A00-00002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30</xdr:row>
      <xdr:rowOff>9525</xdr:rowOff>
    </xdr:from>
    <xdr:ext cx="323850" cy="180975"/>
    <xdr:sp macro="" textlink="">
      <xdr:nvSpPr>
        <xdr:cNvPr id="1070" name="Shape 1069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31</xdr:row>
      <xdr:rowOff>9525</xdr:rowOff>
    </xdr:from>
    <xdr:ext cx="323850" cy="180975"/>
    <xdr:sp macro="" textlink="">
      <xdr:nvSpPr>
        <xdr:cNvPr id="1071" name="Shape 1070">
          <a:extLst>
            <a:ext uri="{FF2B5EF4-FFF2-40B4-BE49-F238E27FC236}">
              <a16:creationId xmlns:a16="http://schemas.microsoft.com/office/drawing/2014/main" id="{00000000-0008-0000-0A00-00002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32</xdr:row>
      <xdr:rowOff>9525</xdr:rowOff>
    </xdr:from>
    <xdr:ext cx="323850" cy="180975"/>
    <xdr:sp macro="" textlink="">
      <xdr:nvSpPr>
        <xdr:cNvPr id="1072" name="Shape 1071">
          <a:extLst>
            <a:ext uri="{FF2B5EF4-FFF2-40B4-BE49-F238E27FC236}">
              <a16:creationId xmlns:a16="http://schemas.microsoft.com/office/drawing/2014/main" id="{00000000-0008-0000-0A00-00003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33</xdr:row>
      <xdr:rowOff>9525</xdr:rowOff>
    </xdr:from>
    <xdr:ext cx="323850" cy="180975"/>
    <xdr:sp macro="" textlink="">
      <xdr:nvSpPr>
        <xdr:cNvPr id="1073" name="Shape 1072">
          <a:extLst>
            <a:ext uri="{FF2B5EF4-FFF2-40B4-BE49-F238E27FC236}">
              <a16:creationId xmlns:a16="http://schemas.microsoft.com/office/drawing/2014/main" id="{00000000-0008-0000-0A00-00003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34</xdr:row>
      <xdr:rowOff>9525</xdr:rowOff>
    </xdr:from>
    <xdr:ext cx="323850" cy="180975"/>
    <xdr:sp macro="" textlink="">
      <xdr:nvSpPr>
        <xdr:cNvPr id="1074" name="Shape 1073">
          <a:extLst>
            <a:ext uri="{FF2B5EF4-FFF2-40B4-BE49-F238E27FC236}">
              <a16:creationId xmlns:a16="http://schemas.microsoft.com/office/drawing/2014/main" id="{00000000-0008-0000-0A00-00003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35</xdr:row>
      <xdr:rowOff>9525</xdr:rowOff>
    </xdr:from>
    <xdr:ext cx="323850" cy="180975"/>
    <xdr:sp macro="" textlink="">
      <xdr:nvSpPr>
        <xdr:cNvPr id="1075" name="Shape 1074">
          <a:extLst>
            <a:ext uri="{FF2B5EF4-FFF2-40B4-BE49-F238E27FC236}">
              <a16:creationId xmlns:a16="http://schemas.microsoft.com/office/drawing/2014/main" id="{00000000-0008-0000-0A00-00003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36</xdr:row>
      <xdr:rowOff>9525</xdr:rowOff>
    </xdr:from>
    <xdr:ext cx="323850" cy="180975"/>
    <xdr:sp macro="" textlink="">
      <xdr:nvSpPr>
        <xdr:cNvPr id="1076" name="Shape 1075">
          <a:extLst>
            <a:ext uri="{FF2B5EF4-FFF2-40B4-BE49-F238E27FC236}">
              <a16:creationId xmlns:a16="http://schemas.microsoft.com/office/drawing/2014/main" id="{00000000-0008-0000-0A00-00003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37</xdr:row>
      <xdr:rowOff>9525</xdr:rowOff>
    </xdr:from>
    <xdr:ext cx="323850" cy="180975"/>
    <xdr:sp macro="" textlink="">
      <xdr:nvSpPr>
        <xdr:cNvPr id="1077" name="Shape 1076">
          <a:extLst>
            <a:ext uri="{FF2B5EF4-FFF2-40B4-BE49-F238E27FC236}">
              <a16:creationId xmlns:a16="http://schemas.microsoft.com/office/drawing/2014/main" id="{00000000-0008-0000-0A00-00003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38</xdr:row>
      <xdr:rowOff>9525</xdr:rowOff>
    </xdr:from>
    <xdr:ext cx="323850" cy="180975"/>
    <xdr:sp macro="" textlink="">
      <xdr:nvSpPr>
        <xdr:cNvPr id="1078" name="Shape 1077">
          <a:extLst>
            <a:ext uri="{FF2B5EF4-FFF2-40B4-BE49-F238E27FC236}">
              <a16:creationId xmlns:a16="http://schemas.microsoft.com/office/drawing/2014/main" id="{00000000-0008-0000-0A00-00003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39</xdr:row>
      <xdr:rowOff>9525</xdr:rowOff>
    </xdr:from>
    <xdr:ext cx="323850" cy="180975"/>
    <xdr:sp macro="" textlink="">
      <xdr:nvSpPr>
        <xdr:cNvPr id="1079" name="Shape 1078">
          <a:extLst>
            <a:ext uri="{FF2B5EF4-FFF2-40B4-BE49-F238E27FC236}">
              <a16:creationId xmlns:a16="http://schemas.microsoft.com/office/drawing/2014/main" id="{00000000-0008-0000-0A00-00003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40</xdr:row>
      <xdr:rowOff>9525</xdr:rowOff>
    </xdr:from>
    <xdr:ext cx="323850" cy="180975"/>
    <xdr:sp macro="" textlink="">
      <xdr:nvSpPr>
        <xdr:cNvPr id="1080" name="Shape 1079">
          <a:extLst>
            <a:ext uri="{FF2B5EF4-FFF2-40B4-BE49-F238E27FC236}">
              <a16:creationId xmlns:a16="http://schemas.microsoft.com/office/drawing/2014/main" id="{00000000-0008-0000-0A00-00003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41</xdr:row>
      <xdr:rowOff>9525</xdr:rowOff>
    </xdr:from>
    <xdr:ext cx="323850" cy="180975"/>
    <xdr:sp macro="" textlink="">
      <xdr:nvSpPr>
        <xdr:cNvPr id="1081" name="Shape 1080">
          <a:extLst>
            <a:ext uri="{FF2B5EF4-FFF2-40B4-BE49-F238E27FC236}">
              <a16:creationId xmlns:a16="http://schemas.microsoft.com/office/drawing/2014/main" id="{00000000-0008-0000-0A00-00003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</xdr:row>
      <xdr:rowOff>9525</xdr:rowOff>
    </xdr:from>
    <xdr:ext cx="323850" cy="180975"/>
    <xdr:sp macro="" textlink="">
      <xdr:nvSpPr>
        <xdr:cNvPr id="1082" name="Shape 1081">
          <a:extLst>
            <a:ext uri="{FF2B5EF4-FFF2-40B4-BE49-F238E27FC236}">
              <a16:creationId xmlns:a16="http://schemas.microsoft.com/office/drawing/2014/main" id="{00000000-0008-0000-0A00-00003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</xdr:row>
      <xdr:rowOff>9525</xdr:rowOff>
    </xdr:from>
    <xdr:ext cx="323850" cy="180975"/>
    <xdr:sp macro="" textlink="">
      <xdr:nvSpPr>
        <xdr:cNvPr id="1083" name="Shape 1082">
          <a:extLst>
            <a:ext uri="{FF2B5EF4-FFF2-40B4-BE49-F238E27FC236}">
              <a16:creationId xmlns:a16="http://schemas.microsoft.com/office/drawing/2014/main" id="{00000000-0008-0000-0A00-00003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4</xdr:row>
      <xdr:rowOff>9525</xdr:rowOff>
    </xdr:from>
    <xdr:ext cx="323850" cy="180975"/>
    <xdr:sp macro="" textlink="">
      <xdr:nvSpPr>
        <xdr:cNvPr id="1084" name="Shape 1083">
          <a:extLst>
            <a:ext uri="{FF2B5EF4-FFF2-40B4-BE49-F238E27FC236}">
              <a16:creationId xmlns:a16="http://schemas.microsoft.com/office/drawing/2014/main" id="{00000000-0008-0000-0A00-00003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5</xdr:row>
      <xdr:rowOff>9525</xdr:rowOff>
    </xdr:from>
    <xdr:ext cx="323850" cy="180975"/>
    <xdr:sp macro="" textlink="">
      <xdr:nvSpPr>
        <xdr:cNvPr id="1085" name="Shape 1084">
          <a:extLst>
            <a:ext uri="{FF2B5EF4-FFF2-40B4-BE49-F238E27FC236}">
              <a16:creationId xmlns:a16="http://schemas.microsoft.com/office/drawing/2014/main" id="{00000000-0008-0000-0A00-00003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6</xdr:row>
      <xdr:rowOff>9525</xdr:rowOff>
    </xdr:from>
    <xdr:ext cx="323850" cy="180975"/>
    <xdr:sp macro="" textlink="">
      <xdr:nvSpPr>
        <xdr:cNvPr id="1086" name="Shape 1085">
          <a:extLst>
            <a:ext uri="{FF2B5EF4-FFF2-40B4-BE49-F238E27FC236}">
              <a16:creationId xmlns:a16="http://schemas.microsoft.com/office/drawing/2014/main" id="{00000000-0008-0000-0A00-00003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7</xdr:row>
      <xdr:rowOff>9525</xdr:rowOff>
    </xdr:from>
    <xdr:ext cx="323850" cy="180975"/>
    <xdr:sp macro="" textlink="">
      <xdr:nvSpPr>
        <xdr:cNvPr id="1087" name="Shape 1086">
          <a:extLst>
            <a:ext uri="{FF2B5EF4-FFF2-40B4-BE49-F238E27FC236}">
              <a16:creationId xmlns:a16="http://schemas.microsoft.com/office/drawing/2014/main" id="{00000000-0008-0000-0A00-00003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8</xdr:row>
      <xdr:rowOff>9525</xdr:rowOff>
    </xdr:from>
    <xdr:ext cx="323850" cy="180975"/>
    <xdr:sp macro="" textlink="">
      <xdr:nvSpPr>
        <xdr:cNvPr id="1088" name="Shape 1087">
          <a:extLst>
            <a:ext uri="{FF2B5EF4-FFF2-40B4-BE49-F238E27FC236}">
              <a16:creationId xmlns:a16="http://schemas.microsoft.com/office/drawing/2014/main" id="{00000000-0008-0000-0A00-00004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9</xdr:row>
      <xdr:rowOff>9525</xdr:rowOff>
    </xdr:from>
    <xdr:ext cx="323850" cy="180975"/>
    <xdr:sp macro="" textlink="">
      <xdr:nvSpPr>
        <xdr:cNvPr id="1089" name="Shape 1088">
          <a:extLst>
            <a:ext uri="{FF2B5EF4-FFF2-40B4-BE49-F238E27FC236}">
              <a16:creationId xmlns:a16="http://schemas.microsoft.com/office/drawing/2014/main" id="{00000000-0008-0000-0A00-00004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10</xdr:row>
      <xdr:rowOff>9525</xdr:rowOff>
    </xdr:from>
    <xdr:ext cx="323850" cy="180975"/>
    <xdr:sp macro="" textlink="">
      <xdr:nvSpPr>
        <xdr:cNvPr id="1090" name="Shape 1089">
          <a:extLst>
            <a:ext uri="{FF2B5EF4-FFF2-40B4-BE49-F238E27FC236}">
              <a16:creationId xmlns:a16="http://schemas.microsoft.com/office/drawing/2014/main" id="{00000000-0008-0000-0A00-00004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11</xdr:row>
      <xdr:rowOff>9525</xdr:rowOff>
    </xdr:from>
    <xdr:ext cx="323850" cy="180975"/>
    <xdr:sp macro="" textlink="">
      <xdr:nvSpPr>
        <xdr:cNvPr id="1091" name="Shape 1090">
          <a:extLst>
            <a:ext uri="{FF2B5EF4-FFF2-40B4-BE49-F238E27FC236}">
              <a16:creationId xmlns:a16="http://schemas.microsoft.com/office/drawing/2014/main" id="{00000000-0008-0000-0A00-00004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12</xdr:row>
      <xdr:rowOff>9525</xdr:rowOff>
    </xdr:from>
    <xdr:ext cx="323850" cy="180975"/>
    <xdr:sp macro="" textlink="">
      <xdr:nvSpPr>
        <xdr:cNvPr id="1092" name="Shape 1091">
          <a:extLst>
            <a:ext uri="{FF2B5EF4-FFF2-40B4-BE49-F238E27FC236}">
              <a16:creationId xmlns:a16="http://schemas.microsoft.com/office/drawing/2014/main" id="{00000000-0008-0000-0A00-00004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13</xdr:row>
      <xdr:rowOff>9525</xdr:rowOff>
    </xdr:from>
    <xdr:ext cx="323850" cy="180975"/>
    <xdr:sp macro="" textlink="">
      <xdr:nvSpPr>
        <xdr:cNvPr id="1093" name="Shape 1092">
          <a:extLst>
            <a:ext uri="{FF2B5EF4-FFF2-40B4-BE49-F238E27FC236}">
              <a16:creationId xmlns:a16="http://schemas.microsoft.com/office/drawing/2014/main" id="{00000000-0008-0000-0A00-00004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14</xdr:row>
      <xdr:rowOff>9525</xdr:rowOff>
    </xdr:from>
    <xdr:ext cx="323850" cy="180975"/>
    <xdr:sp macro="" textlink="">
      <xdr:nvSpPr>
        <xdr:cNvPr id="1094" name="Shape 1093">
          <a:extLst>
            <a:ext uri="{FF2B5EF4-FFF2-40B4-BE49-F238E27FC236}">
              <a16:creationId xmlns:a16="http://schemas.microsoft.com/office/drawing/2014/main" id="{00000000-0008-0000-0A00-00004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15</xdr:row>
      <xdr:rowOff>9525</xdr:rowOff>
    </xdr:from>
    <xdr:ext cx="323850" cy="180975"/>
    <xdr:sp macro="" textlink="">
      <xdr:nvSpPr>
        <xdr:cNvPr id="1095" name="Shape 1094">
          <a:extLst>
            <a:ext uri="{FF2B5EF4-FFF2-40B4-BE49-F238E27FC236}">
              <a16:creationId xmlns:a16="http://schemas.microsoft.com/office/drawing/2014/main" id="{00000000-0008-0000-0A00-00004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16</xdr:row>
      <xdr:rowOff>9525</xdr:rowOff>
    </xdr:from>
    <xdr:ext cx="323850" cy="180975"/>
    <xdr:sp macro="" textlink="">
      <xdr:nvSpPr>
        <xdr:cNvPr id="1096" name="Shape 1095">
          <a:extLst>
            <a:ext uri="{FF2B5EF4-FFF2-40B4-BE49-F238E27FC236}">
              <a16:creationId xmlns:a16="http://schemas.microsoft.com/office/drawing/2014/main" id="{00000000-0008-0000-0A00-00004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17</xdr:row>
      <xdr:rowOff>9525</xdr:rowOff>
    </xdr:from>
    <xdr:ext cx="323850" cy="180975"/>
    <xdr:sp macro="" textlink="">
      <xdr:nvSpPr>
        <xdr:cNvPr id="1097" name="Shape 1096">
          <a:extLst>
            <a:ext uri="{FF2B5EF4-FFF2-40B4-BE49-F238E27FC236}">
              <a16:creationId xmlns:a16="http://schemas.microsoft.com/office/drawing/2014/main" id="{00000000-0008-0000-0A00-00004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18</xdr:row>
      <xdr:rowOff>9525</xdr:rowOff>
    </xdr:from>
    <xdr:ext cx="323850" cy="180975"/>
    <xdr:sp macro="" textlink="">
      <xdr:nvSpPr>
        <xdr:cNvPr id="1098" name="Shape 1097">
          <a:extLst>
            <a:ext uri="{FF2B5EF4-FFF2-40B4-BE49-F238E27FC236}">
              <a16:creationId xmlns:a16="http://schemas.microsoft.com/office/drawing/2014/main" id="{00000000-0008-0000-0A00-00004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19</xdr:row>
      <xdr:rowOff>9525</xdr:rowOff>
    </xdr:from>
    <xdr:ext cx="323850" cy="180975"/>
    <xdr:sp macro="" textlink="">
      <xdr:nvSpPr>
        <xdr:cNvPr id="1099" name="Shape 1098">
          <a:extLst>
            <a:ext uri="{FF2B5EF4-FFF2-40B4-BE49-F238E27FC236}">
              <a16:creationId xmlns:a16="http://schemas.microsoft.com/office/drawing/2014/main" id="{00000000-0008-0000-0A00-00004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20</xdr:row>
      <xdr:rowOff>9525</xdr:rowOff>
    </xdr:from>
    <xdr:ext cx="323850" cy="180975"/>
    <xdr:sp macro="" textlink="">
      <xdr:nvSpPr>
        <xdr:cNvPr id="1100" name="Shape 1099">
          <a:extLst>
            <a:ext uri="{FF2B5EF4-FFF2-40B4-BE49-F238E27FC236}">
              <a16:creationId xmlns:a16="http://schemas.microsoft.com/office/drawing/2014/main" id="{00000000-0008-0000-0A00-00004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21</xdr:row>
      <xdr:rowOff>9525</xdr:rowOff>
    </xdr:from>
    <xdr:ext cx="323850" cy="180975"/>
    <xdr:sp macro="" textlink="">
      <xdr:nvSpPr>
        <xdr:cNvPr id="1101" name="Shape 1100">
          <a:extLst>
            <a:ext uri="{FF2B5EF4-FFF2-40B4-BE49-F238E27FC236}">
              <a16:creationId xmlns:a16="http://schemas.microsoft.com/office/drawing/2014/main" id="{00000000-0008-0000-0A00-00004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22</xdr:row>
      <xdr:rowOff>9525</xdr:rowOff>
    </xdr:from>
    <xdr:ext cx="323850" cy="180975"/>
    <xdr:sp macro="" textlink="">
      <xdr:nvSpPr>
        <xdr:cNvPr id="1102" name="Shape 1101">
          <a:extLst>
            <a:ext uri="{FF2B5EF4-FFF2-40B4-BE49-F238E27FC236}">
              <a16:creationId xmlns:a16="http://schemas.microsoft.com/office/drawing/2014/main" id="{00000000-0008-0000-0A00-00004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23</xdr:row>
      <xdr:rowOff>9525</xdr:rowOff>
    </xdr:from>
    <xdr:ext cx="323850" cy="180975"/>
    <xdr:sp macro="" textlink="">
      <xdr:nvSpPr>
        <xdr:cNvPr id="1103" name="Shape 1102">
          <a:extLst>
            <a:ext uri="{FF2B5EF4-FFF2-40B4-BE49-F238E27FC236}">
              <a16:creationId xmlns:a16="http://schemas.microsoft.com/office/drawing/2014/main" id="{00000000-0008-0000-0A00-00004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24</xdr:row>
      <xdr:rowOff>9525</xdr:rowOff>
    </xdr:from>
    <xdr:ext cx="323850" cy="180975"/>
    <xdr:sp macro="" textlink="">
      <xdr:nvSpPr>
        <xdr:cNvPr id="1104" name="Shape 1103">
          <a:extLst>
            <a:ext uri="{FF2B5EF4-FFF2-40B4-BE49-F238E27FC236}">
              <a16:creationId xmlns:a16="http://schemas.microsoft.com/office/drawing/2014/main" id="{00000000-0008-0000-0A00-00005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25</xdr:row>
      <xdr:rowOff>9525</xdr:rowOff>
    </xdr:from>
    <xdr:ext cx="323850" cy="180975"/>
    <xdr:sp macro="" textlink="">
      <xdr:nvSpPr>
        <xdr:cNvPr id="1105" name="Shape 1104">
          <a:extLst>
            <a:ext uri="{FF2B5EF4-FFF2-40B4-BE49-F238E27FC236}">
              <a16:creationId xmlns:a16="http://schemas.microsoft.com/office/drawing/2014/main" id="{00000000-0008-0000-0A00-00005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26</xdr:row>
      <xdr:rowOff>9525</xdr:rowOff>
    </xdr:from>
    <xdr:ext cx="323850" cy="180975"/>
    <xdr:sp macro="" textlink="">
      <xdr:nvSpPr>
        <xdr:cNvPr id="1106" name="Shape 1105">
          <a:extLst>
            <a:ext uri="{FF2B5EF4-FFF2-40B4-BE49-F238E27FC236}">
              <a16:creationId xmlns:a16="http://schemas.microsoft.com/office/drawing/2014/main" id="{00000000-0008-0000-0A00-00005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27</xdr:row>
      <xdr:rowOff>9525</xdr:rowOff>
    </xdr:from>
    <xdr:ext cx="323850" cy="180975"/>
    <xdr:sp macro="" textlink="">
      <xdr:nvSpPr>
        <xdr:cNvPr id="1107" name="Shape 1106">
          <a:extLst>
            <a:ext uri="{FF2B5EF4-FFF2-40B4-BE49-F238E27FC236}">
              <a16:creationId xmlns:a16="http://schemas.microsoft.com/office/drawing/2014/main" id="{00000000-0008-0000-0A00-00005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28</xdr:row>
      <xdr:rowOff>9525</xdr:rowOff>
    </xdr:from>
    <xdr:ext cx="323850" cy="180975"/>
    <xdr:sp macro="" textlink="">
      <xdr:nvSpPr>
        <xdr:cNvPr id="1108" name="Shape 1107">
          <a:extLst>
            <a:ext uri="{FF2B5EF4-FFF2-40B4-BE49-F238E27FC236}">
              <a16:creationId xmlns:a16="http://schemas.microsoft.com/office/drawing/2014/main" id="{00000000-0008-0000-0A00-00005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29</xdr:row>
      <xdr:rowOff>9525</xdr:rowOff>
    </xdr:from>
    <xdr:ext cx="323850" cy="180975"/>
    <xdr:sp macro="" textlink="">
      <xdr:nvSpPr>
        <xdr:cNvPr id="1109" name="Shape 1108">
          <a:extLst>
            <a:ext uri="{FF2B5EF4-FFF2-40B4-BE49-F238E27FC236}">
              <a16:creationId xmlns:a16="http://schemas.microsoft.com/office/drawing/2014/main" id="{00000000-0008-0000-0A00-00005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30</xdr:row>
      <xdr:rowOff>9525</xdr:rowOff>
    </xdr:from>
    <xdr:ext cx="323850" cy="180975"/>
    <xdr:sp macro="" textlink="">
      <xdr:nvSpPr>
        <xdr:cNvPr id="1110" name="Shape 1109">
          <a:extLst>
            <a:ext uri="{FF2B5EF4-FFF2-40B4-BE49-F238E27FC236}">
              <a16:creationId xmlns:a16="http://schemas.microsoft.com/office/drawing/2014/main" id="{00000000-0008-0000-0A00-00005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31</xdr:row>
      <xdr:rowOff>9525</xdr:rowOff>
    </xdr:from>
    <xdr:ext cx="323850" cy="180975"/>
    <xdr:sp macro="" textlink="">
      <xdr:nvSpPr>
        <xdr:cNvPr id="1111" name="Shape 1110">
          <a:extLst>
            <a:ext uri="{FF2B5EF4-FFF2-40B4-BE49-F238E27FC236}">
              <a16:creationId xmlns:a16="http://schemas.microsoft.com/office/drawing/2014/main" id="{00000000-0008-0000-0A00-00005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32</xdr:row>
      <xdr:rowOff>9525</xdr:rowOff>
    </xdr:from>
    <xdr:ext cx="323850" cy="180975"/>
    <xdr:sp macro="" textlink="">
      <xdr:nvSpPr>
        <xdr:cNvPr id="1112" name="Shape 1111">
          <a:extLst>
            <a:ext uri="{FF2B5EF4-FFF2-40B4-BE49-F238E27FC236}">
              <a16:creationId xmlns:a16="http://schemas.microsoft.com/office/drawing/2014/main" id="{00000000-0008-0000-0A00-00005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33</xdr:row>
      <xdr:rowOff>9525</xdr:rowOff>
    </xdr:from>
    <xdr:ext cx="323850" cy="180975"/>
    <xdr:sp macro="" textlink="">
      <xdr:nvSpPr>
        <xdr:cNvPr id="1113" name="Shape 1112">
          <a:extLst>
            <a:ext uri="{FF2B5EF4-FFF2-40B4-BE49-F238E27FC236}">
              <a16:creationId xmlns:a16="http://schemas.microsoft.com/office/drawing/2014/main" id="{00000000-0008-0000-0A00-00005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34</xdr:row>
      <xdr:rowOff>9525</xdr:rowOff>
    </xdr:from>
    <xdr:ext cx="323850" cy="180975"/>
    <xdr:sp macro="" textlink="">
      <xdr:nvSpPr>
        <xdr:cNvPr id="1114" name="Shape 1113">
          <a:extLst>
            <a:ext uri="{FF2B5EF4-FFF2-40B4-BE49-F238E27FC236}">
              <a16:creationId xmlns:a16="http://schemas.microsoft.com/office/drawing/2014/main" id="{00000000-0008-0000-0A00-00005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35</xdr:row>
      <xdr:rowOff>9525</xdr:rowOff>
    </xdr:from>
    <xdr:ext cx="323850" cy="180975"/>
    <xdr:sp macro="" textlink="">
      <xdr:nvSpPr>
        <xdr:cNvPr id="1115" name="Shape 1114">
          <a:extLst>
            <a:ext uri="{FF2B5EF4-FFF2-40B4-BE49-F238E27FC236}">
              <a16:creationId xmlns:a16="http://schemas.microsoft.com/office/drawing/2014/main" id="{00000000-0008-0000-0A00-00005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36</xdr:row>
      <xdr:rowOff>9525</xdr:rowOff>
    </xdr:from>
    <xdr:ext cx="323850" cy="180975"/>
    <xdr:sp macro="" textlink="">
      <xdr:nvSpPr>
        <xdr:cNvPr id="1116" name="Shape 1115">
          <a:extLst>
            <a:ext uri="{FF2B5EF4-FFF2-40B4-BE49-F238E27FC236}">
              <a16:creationId xmlns:a16="http://schemas.microsoft.com/office/drawing/2014/main" id="{00000000-0008-0000-0A00-00005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37</xdr:row>
      <xdr:rowOff>9525</xdr:rowOff>
    </xdr:from>
    <xdr:ext cx="323850" cy="180975"/>
    <xdr:sp macro="" textlink="">
      <xdr:nvSpPr>
        <xdr:cNvPr id="1117" name="Shape 1116">
          <a:extLst>
            <a:ext uri="{FF2B5EF4-FFF2-40B4-BE49-F238E27FC236}">
              <a16:creationId xmlns:a16="http://schemas.microsoft.com/office/drawing/2014/main" id="{00000000-0008-0000-0A00-00005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38</xdr:row>
      <xdr:rowOff>9525</xdr:rowOff>
    </xdr:from>
    <xdr:ext cx="323850" cy="180975"/>
    <xdr:sp macro="" textlink="">
      <xdr:nvSpPr>
        <xdr:cNvPr id="1118" name="Shape 1117">
          <a:extLst>
            <a:ext uri="{FF2B5EF4-FFF2-40B4-BE49-F238E27FC236}">
              <a16:creationId xmlns:a16="http://schemas.microsoft.com/office/drawing/2014/main" id="{00000000-0008-0000-0A00-00005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39</xdr:row>
      <xdr:rowOff>9525</xdr:rowOff>
    </xdr:from>
    <xdr:ext cx="323850" cy="180975"/>
    <xdr:sp macro="" textlink="">
      <xdr:nvSpPr>
        <xdr:cNvPr id="1119" name="Shape 1118">
          <a:extLst>
            <a:ext uri="{FF2B5EF4-FFF2-40B4-BE49-F238E27FC236}">
              <a16:creationId xmlns:a16="http://schemas.microsoft.com/office/drawing/2014/main" id="{00000000-0008-0000-0A00-00005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40</xdr:row>
      <xdr:rowOff>9525</xdr:rowOff>
    </xdr:from>
    <xdr:ext cx="323850" cy="180975"/>
    <xdr:sp macro="" textlink="">
      <xdr:nvSpPr>
        <xdr:cNvPr id="1120" name="Shape 1119">
          <a:extLst>
            <a:ext uri="{FF2B5EF4-FFF2-40B4-BE49-F238E27FC236}">
              <a16:creationId xmlns:a16="http://schemas.microsoft.com/office/drawing/2014/main" id="{00000000-0008-0000-0A00-00006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41</xdr:row>
      <xdr:rowOff>9525</xdr:rowOff>
    </xdr:from>
    <xdr:ext cx="323850" cy="180975"/>
    <xdr:sp macro="" textlink="">
      <xdr:nvSpPr>
        <xdr:cNvPr id="1121" name="Shape 1120">
          <a:extLst>
            <a:ext uri="{FF2B5EF4-FFF2-40B4-BE49-F238E27FC236}">
              <a16:creationId xmlns:a16="http://schemas.microsoft.com/office/drawing/2014/main" id="{00000000-0008-0000-0A00-00006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</xdr:row>
      <xdr:rowOff>9525</xdr:rowOff>
    </xdr:from>
    <xdr:ext cx="323850" cy="180975"/>
    <xdr:sp macro="" textlink="">
      <xdr:nvSpPr>
        <xdr:cNvPr id="1122" name="Shape 1121">
          <a:extLst>
            <a:ext uri="{FF2B5EF4-FFF2-40B4-BE49-F238E27FC236}">
              <a16:creationId xmlns:a16="http://schemas.microsoft.com/office/drawing/2014/main" id="{00000000-0008-0000-0A00-00006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</xdr:row>
      <xdr:rowOff>9525</xdr:rowOff>
    </xdr:from>
    <xdr:ext cx="323850" cy="180975"/>
    <xdr:sp macro="" textlink="">
      <xdr:nvSpPr>
        <xdr:cNvPr id="1123" name="Shape 1122">
          <a:extLst>
            <a:ext uri="{FF2B5EF4-FFF2-40B4-BE49-F238E27FC236}">
              <a16:creationId xmlns:a16="http://schemas.microsoft.com/office/drawing/2014/main" id="{00000000-0008-0000-0A00-00006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4</xdr:row>
      <xdr:rowOff>9525</xdr:rowOff>
    </xdr:from>
    <xdr:ext cx="323850" cy="180975"/>
    <xdr:sp macro="" textlink="">
      <xdr:nvSpPr>
        <xdr:cNvPr id="1124" name="Shape 1123">
          <a:extLst>
            <a:ext uri="{FF2B5EF4-FFF2-40B4-BE49-F238E27FC236}">
              <a16:creationId xmlns:a16="http://schemas.microsoft.com/office/drawing/2014/main" id="{00000000-0008-0000-0A00-00006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5</xdr:row>
      <xdr:rowOff>9525</xdr:rowOff>
    </xdr:from>
    <xdr:ext cx="323850" cy="180975"/>
    <xdr:sp macro="" textlink="">
      <xdr:nvSpPr>
        <xdr:cNvPr id="1125" name="Shape 1124">
          <a:extLst>
            <a:ext uri="{FF2B5EF4-FFF2-40B4-BE49-F238E27FC236}">
              <a16:creationId xmlns:a16="http://schemas.microsoft.com/office/drawing/2014/main" id="{00000000-0008-0000-0A00-00006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6</xdr:row>
      <xdr:rowOff>9525</xdr:rowOff>
    </xdr:from>
    <xdr:ext cx="323850" cy="180975"/>
    <xdr:sp macro="" textlink="">
      <xdr:nvSpPr>
        <xdr:cNvPr id="1126" name="Shape 1125">
          <a:extLst>
            <a:ext uri="{FF2B5EF4-FFF2-40B4-BE49-F238E27FC236}">
              <a16:creationId xmlns:a16="http://schemas.microsoft.com/office/drawing/2014/main" id="{00000000-0008-0000-0A00-00006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7</xdr:row>
      <xdr:rowOff>9525</xdr:rowOff>
    </xdr:from>
    <xdr:ext cx="323850" cy="180975"/>
    <xdr:sp macro="" textlink="">
      <xdr:nvSpPr>
        <xdr:cNvPr id="1127" name="Shape 1126">
          <a:extLst>
            <a:ext uri="{FF2B5EF4-FFF2-40B4-BE49-F238E27FC236}">
              <a16:creationId xmlns:a16="http://schemas.microsoft.com/office/drawing/2014/main" id="{00000000-0008-0000-0A00-00006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8</xdr:row>
      <xdr:rowOff>9525</xdr:rowOff>
    </xdr:from>
    <xdr:ext cx="323850" cy="180975"/>
    <xdr:sp macro="" textlink="">
      <xdr:nvSpPr>
        <xdr:cNvPr id="1128" name="Shape 1127">
          <a:extLst>
            <a:ext uri="{FF2B5EF4-FFF2-40B4-BE49-F238E27FC236}">
              <a16:creationId xmlns:a16="http://schemas.microsoft.com/office/drawing/2014/main" id="{00000000-0008-0000-0A00-00006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9</xdr:row>
      <xdr:rowOff>9525</xdr:rowOff>
    </xdr:from>
    <xdr:ext cx="323850" cy="180975"/>
    <xdr:sp macro="" textlink="">
      <xdr:nvSpPr>
        <xdr:cNvPr id="1129" name="Shape 1128">
          <a:extLst>
            <a:ext uri="{FF2B5EF4-FFF2-40B4-BE49-F238E27FC236}">
              <a16:creationId xmlns:a16="http://schemas.microsoft.com/office/drawing/2014/main" id="{00000000-0008-0000-0A00-00006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10</xdr:row>
      <xdr:rowOff>9525</xdr:rowOff>
    </xdr:from>
    <xdr:ext cx="323850" cy="180975"/>
    <xdr:sp macro="" textlink="">
      <xdr:nvSpPr>
        <xdr:cNvPr id="1130" name="Shape 1129">
          <a:extLst>
            <a:ext uri="{FF2B5EF4-FFF2-40B4-BE49-F238E27FC236}">
              <a16:creationId xmlns:a16="http://schemas.microsoft.com/office/drawing/2014/main" id="{00000000-0008-0000-0A00-00006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11</xdr:row>
      <xdr:rowOff>9525</xdr:rowOff>
    </xdr:from>
    <xdr:ext cx="323850" cy="180975"/>
    <xdr:sp macro="" textlink="">
      <xdr:nvSpPr>
        <xdr:cNvPr id="1131" name="Shape 1130">
          <a:extLst>
            <a:ext uri="{FF2B5EF4-FFF2-40B4-BE49-F238E27FC236}">
              <a16:creationId xmlns:a16="http://schemas.microsoft.com/office/drawing/2014/main" id="{00000000-0008-0000-0A00-00006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12</xdr:row>
      <xdr:rowOff>9525</xdr:rowOff>
    </xdr:from>
    <xdr:ext cx="323850" cy="180975"/>
    <xdr:sp macro="" textlink="">
      <xdr:nvSpPr>
        <xdr:cNvPr id="1132" name="Shape 1131">
          <a:extLst>
            <a:ext uri="{FF2B5EF4-FFF2-40B4-BE49-F238E27FC236}">
              <a16:creationId xmlns:a16="http://schemas.microsoft.com/office/drawing/2014/main" id="{00000000-0008-0000-0A00-00006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13</xdr:row>
      <xdr:rowOff>9525</xdr:rowOff>
    </xdr:from>
    <xdr:ext cx="323850" cy="180975"/>
    <xdr:sp macro="" textlink="">
      <xdr:nvSpPr>
        <xdr:cNvPr id="1133" name="Shape 1132">
          <a:extLst>
            <a:ext uri="{FF2B5EF4-FFF2-40B4-BE49-F238E27FC236}">
              <a16:creationId xmlns:a16="http://schemas.microsoft.com/office/drawing/2014/main" id="{00000000-0008-0000-0A00-00006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14</xdr:row>
      <xdr:rowOff>9525</xdr:rowOff>
    </xdr:from>
    <xdr:ext cx="323850" cy="180975"/>
    <xdr:sp macro="" textlink="">
      <xdr:nvSpPr>
        <xdr:cNvPr id="1134" name="Shape 1133">
          <a:extLst>
            <a:ext uri="{FF2B5EF4-FFF2-40B4-BE49-F238E27FC236}">
              <a16:creationId xmlns:a16="http://schemas.microsoft.com/office/drawing/2014/main" id="{00000000-0008-0000-0A00-00006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15</xdr:row>
      <xdr:rowOff>9525</xdr:rowOff>
    </xdr:from>
    <xdr:ext cx="323850" cy="180975"/>
    <xdr:sp macro="" textlink="">
      <xdr:nvSpPr>
        <xdr:cNvPr id="1135" name="Shape 1134">
          <a:extLst>
            <a:ext uri="{FF2B5EF4-FFF2-40B4-BE49-F238E27FC236}">
              <a16:creationId xmlns:a16="http://schemas.microsoft.com/office/drawing/2014/main" id="{00000000-0008-0000-0A00-00006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16</xdr:row>
      <xdr:rowOff>9525</xdr:rowOff>
    </xdr:from>
    <xdr:ext cx="323850" cy="180975"/>
    <xdr:sp macro="" textlink="">
      <xdr:nvSpPr>
        <xdr:cNvPr id="1136" name="Shape 1135">
          <a:extLst>
            <a:ext uri="{FF2B5EF4-FFF2-40B4-BE49-F238E27FC236}">
              <a16:creationId xmlns:a16="http://schemas.microsoft.com/office/drawing/2014/main" id="{00000000-0008-0000-0A00-00007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17</xdr:row>
      <xdr:rowOff>9525</xdr:rowOff>
    </xdr:from>
    <xdr:ext cx="323850" cy="180975"/>
    <xdr:sp macro="" textlink="">
      <xdr:nvSpPr>
        <xdr:cNvPr id="1137" name="Shape 1136">
          <a:extLst>
            <a:ext uri="{FF2B5EF4-FFF2-40B4-BE49-F238E27FC236}">
              <a16:creationId xmlns:a16="http://schemas.microsoft.com/office/drawing/2014/main" id="{00000000-0008-0000-0A00-00007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18</xdr:row>
      <xdr:rowOff>9525</xdr:rowOff>
    </xdr:from>
    <xdr:ext cx="323850" cy="180975"/>
    <xdr:sp macro="" textlink="">
      <xdr:nvSpPr>
        <xdr:cNvPr id="1138" name="Shape 1137">
          <a:extLst>
            <a:ext uri="{FF2B5EF4-FFF2-40B4-BE49-F238E27FC236}">
              <a16:creationId xmlns:a16="http://schemas.microsoft.com/office/drawing/2014/main" id="{00000000-0008-0000-0A00-00007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19</xdr:row>
      <xdr:rowOff>9525</xdr:rowOff>
    </xdr:from>
    <xdr:ext cx="323850" cy="180975"/>
    <xdr:sp macro="" textlink="">
      <xdr:nvSpPr>
        <xdr:cNvPr id="1139" name="Shape 1138">
          <a:extLst>
            <a:ext uri="{FF2B5EF4-FFF2-40B4-BE49-F238E27FC236}">
              <a16:creationId xmlns:a16="http://schemas.microsoft.com/office/drawing/2014/main" id="{00000000-0008-0000-0A00-00007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20</xdr:row>
      <xdr:rowOff>9525</xdr:rowOff>
    </xdr:from>
    <xdr:ext cx="323850" cy="180975"/>
    <xdr:sp macro="" textlink="">
      <xdr:nvSpPr>
        <xdr:cNvPr id="1140" name="Shape 1139">
          <a:extLst>
            <a:ext uri="{FF2B5EF4-FFF2-40B4-BE49-F238E27FC236}">
              <a16:creationId xmlns:a16="http://schemas.microsoft.com/office/drawing/2014/main" id="{00000000-0008-0000-0A00-00007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21</xdr:row>
      <xdr:rowOff>9525</xdr:rowOff>
    </xdr:from>
    <xdr:ext cx="323850" cy="180975"/>
    <xdr:sp macro="" textlink="">
      <xdr:nvSpPr>
        <xdr:cNvPr id="1141" name="Shape 1140">
          <a:extLst>
            <a:ext uri="{FF2B5EF4-FFF2-40B4-BE49-F238E27FC236}">
              <a16:creationId xmlns:a16="http://schemas.microsoft.com/office/drawing/2014/main" id="{00000000-0008-0000-0A00-00007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22</xdr:row>
      <xdr:rowOff>9525</xdr:rowOff>
    </xdr:from>
    <xdr:ext cx="323850" cy="180975"/>
    <xdr:sp macro="" textlink="">
      <xdr:nvSpPr>
        <xdr:cNvPr id="1142" name="Shape 1141">
          <a:extLst>
            <a:ext uri="{FF2B5EF4-FFF2-40B4-BE49-F238E27FC236}">
              <a16:creationId xmlns:a16="http://schemas.microsoft.com/office/drawing/2014/main" id="{00000000-0008-0000-0A00-00007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23</xdr:row>
      <xdr:rowOff>9525</xdr:rowOff>
    </xdr:from>
    <xdr:ext cx="323850" cy="180975"/>
    <xdr:sp macro="" textlink="">
      <xdr:nvSpPr>
        <xdr:cNvPr id="1143" name="Shape 1142">
          <a:extLst>
            <a:ext uri="{FF2B5EF4-FFF2-40B4-BE49-F238E27FC236}">
              <a16:creationId xmlns:a16="http://schemas.microsoft.com/office/drawing/2014/main" id="{00000000-0008-0000-0A00-00007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24</xdr:row>
      <xdr:rowOff>9525</xdr:rowOff>
    </xdr:from>
    <xdr:ext cx="323850" cy="180975"/>
    <xdr:sp macro="" textlink="">
      <xdr:nvSpPr>
        <xdr:cNvPr id="1144" name="Shape 1143">
          <a:extLst>
            <a:ext uri="{FF2B5EF4-FFF2-40B4-BE49-F238E27FC236}">
              <a16:creationId xmlns:a16="http://schemas.microsoft.com/office/drawing/2014/main" id="{00000000-0008-0000-0A00-00007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25</xdr:row>
      <xdr:rowOff>9525</xdr:rowOff>
    </xdr:from>
    <xdr:ext cx="323850" cy="180975"/>
    <xdr:sp macro="" textlink="">
      <xdr:nvSpPr>
        <xdr:cNvPr id="1145" name="Shape 1144">
          <a:extLst>
            <a:ext uri="{FF2B5EF4-FFF2-40B4-BE49-F238E27FC236}">
              <a16:creationId xmlns:a16="http://schemas.microsoft.com/office/drawing/2014/main" id="{00000000-0008-0000-0A00-00007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26</xdr:row>
      <xdr:rowOff>9525</xdr:rowOff>
    </xdr:from>
    <xdr:ext cx="323850" cy="180975"/>
    <xdr:sp macro="" textlink="">
      <xdr:nvSpPr>
        <xdr:cNvPr id="1146" name="Shape 1145">
          <a:extLst>
            <a:ext uri="{FF2B5EF4-FFF2-40B4-BE49-F238E27FC236}">
              <a16:creationId xmlns:a16="http://schemas.microsoft.com/office/drawing/2014/main" id="{00000000-0008-0000-0A00-00007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27</xdr:row>
      <xdr:rowOff>9525</xdr:rowOff>
    </xdr:from>
    <xdr:ext cx="323850" cy="180975"/>
    <xdr:sp macro="" textlink="">
      <xdr:nvSpPr>
        <xdr:cNvPr id="1147" name="Shape 1146">
          <a:extLst>
            <a:ext uri="{FF2B5EF4-FFF2-40B4-BE49-F238E27FC236}">
              <a16:creationId xmlns:a16="http://schemas.microsoft.com/office/drawing/2014/main" id="{00000000-0008-0000-0A00-00007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28</xdr:row>
      <xdr:rowOff>9525</xdr:rowOff>
    </xdr:from>
    <xdr:ext cx="323850" cy="180975"/>
    <xdr:sp macro="" textlink="">
      <xdr:nvSpPr>
        <xdr:cNvPr id="1148" name="Shape 1147">
          <a:extLst>
            <a:ext uri="{FF2B5EF4-FFF2-40B4-BE49-F238E27FC236}">
              <a16:creationId xmlns:a16="http://schemas.microsoft.com/office/drawing/2014/main" id="{00000000-0008-0000-0A00-00007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29</xdr:row>
      <xdr:rowOff>9525</xdr:rowOff>
    </xdr:from>
    <xdr:ext cx="323850" cy="180975"/>
    <xdr:sp macro="" textlink="">
      <xdr:nvSpPr>
        <xdr:cNvPr id="1149" name="Shape 1148">
          <a:extLst>
            <a:ext uri="{FF2B5EF4-FFF2-40B4-BE49-F238E27FC236}">
              <a16:creationId xmlns:a16="http://schemas.microsoft.com/office/drawing/2014/main" id="{00000000-0008-0000-0A00-00007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30</xdr:row>
      <xdr:rowOff>9525</xdr:rowOff>
    </xdr:from>
    <xdr:ext cx="323850" cy="180975"/>
    <xdr:sp macro="" textlink="">
      <xdr:nvSpPr>
        <xdr:cNvPr id="1150" name="Shape 1149">
          <a:extLst>
            <a:ext uri="{FF2B5EF4-FFF2-40B4-BE49-F238E27FC236}">
              <a16:creationId xmlns:a16="http://schemas.microsoft.com/office/drawing/2014/main" id="{00000000-0008-0000-0A00-00007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31</xdr:row>
      <xdr:rowOff>9525</xdr:rowOff>
    </xdr:from>
    <xdr:ext cx="323850" cy="180975"/>
    <xdr:sp macro="" textlink="">
      <xdr:nvSpPr>
        <xdr:cNvPr id="1151" name="Shape 1150">
          <a:extLst>
            <a:ext uri="{FF2B5EF4-FFF2-40B4-BE49-F238E27FC236}">
              <a16:creationId xmlns:a16="http://schemas.microsoft.com/office/drawing/2014/main" id="{00000000-0008-0000-0A00-00007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32</xdr:row>
      <xdr:rowOff>9525</xdr:rowOff>
    </xdr:from>
    <xdr:ext cx="323850" cy="180975"/>
    <xdr:sp macro="" textlink="">
      <xdr:nvSpPr>
        <xdr:cNvPr id="1152" name="Shape 1151">
          <a:extLst>
            <a:ext uri="{FF2B5EF4-FFF2-40B4-BE49-F238E27FC236}">
              <a16:creationId xmlns:a16="http://schemas.microsoft.com/office/drawing/2014/main" id="{00000000-0008-0000-0A00-00008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33</xdr:row>
      <xdr:rowOff>9525</xdr:rowOff>
    </xdr:from>
    <xdr:ext cx="323850" cy="180975"/>
    <xdr:sp macro="" textlink="">
      <xdr:nvSpPr>
        <xdr:cNvPr id="1153" name="Shape 1152">
          <a:extLst>
            <a:ext uri="{FF2B5EF4-FFF2-40B4-BE49-F238E27FC236}">
              <a16:creationId xmlns:a16="http://schemas.microsoft.com/office/drawing/2014/main" id="{00000000-0008-0000-0A00-00008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34</xdr:row>
      <xdr:rowOff>9525</xdr:rowOff>
    </xdr:from>
    <xdr:ext cx="323850" cy="180975"/>
    <xdr:sp macro="" textlink="">
      <xdr:nvSpPr>
        <xdr:cNvPr id="1154" name="Shape 1153">
          <a:extLst>
            <a:ext uri="{FF2B5EF4-FFF2-40B4-BE49-F238E27FC236}">
              <a16:creationId xmlns:a16="http://schemas.microsoft.com/office/drawing/2014/main" id="{00000000-0008-0000-0A00-00008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35</xdr:row>
      <xdr:rowOff>9525</xdr:rowOff>
    </xdr:from>
    <xdr:ext cx="323850" cy="180975"/>
    <xdr:sp macro="" textlink="">
      <xdr:nvSpPr>
        <xdr:cNvPr id="1155" name="Shape 1154">
          <a:extLst>
            <a:ext uri="{FF2B5EF4-FFF2-40B4-BE49-F238E27FC236}">
              <a16:creationId xmlns:a16="http://schemas.microsoft.com/office/drawing/2014/main" id="{00000000-0008-0000-0A00-00008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36</xdr:row>
      <xdr:rowOff>9525</xdr:rowOff>
    </xdr:from>
    <xdr:ext cx="323850" cy="180975"/>
    <xdr:sp macro="" textlink="">
      <xdr:nvSpPr>
        <xdr:cNvPr id="1156" name="Shape 1155">
          <a:extLst>
            <a:ext uri="{FF2B5EF4-FFF2-40B4-BE49-F238E27FC236}">
              <a16:creationId xmlns:a16="http://schemas.microsoft.com/office/drawing/2014/main" id="{00000000-0008-0000-0A00-00008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37</xdr:row>
      <xdr:rowOff>9525</xdr:rowOff>
    </xdr:from>
    <xdr:ext cx="323850" cy="180975"/>
    <xdr:sp macro="" textlink="">
      <xdr:nvSpPr>
        <xdr:cNvPr id="1157" name="Shape 1156">
          <a:extLst>
            <a:ext uri="{FF2B5EF4-FFF2-40B4-BE49-F238E27FC236}">
              <a16:creationId xmlns:a16="http://schemas.microsoft.com/office/drawing/2014/main" id="{00000000-0008-0000-0A00-00008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38</xdr:row>
      <xdr:rowOff>9525</xdr:rowOff>
    </xdr:from>
    <xdr:ext cx="323850" cy="180975"/>
    <xdr:sp macro="" textlink="">
      <xdr:nvSpPr>
        <xdr:cNvPr id="1158" name="Shape 1157">
          <a:extLst>
            <a:ext uri="{FF2B5EF4-FFF2-40B4-BE49-F238E27FC236}">
              <a16:creationId xmlns:a16="http://schemas.microsoft.com/office/drawing/2014/main" id="{00000000-0008-0000-0A00-00008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39</xdr:row>
      <xdr:rowOff>9525</xdr:rowOff>
    </xdr:from>
    <xdr:ext cx="323850" cy="180975"/>
    <xdr:sp macro="" textlink="">
      <xdr:nvSpPr>
        <xdr:cNvPr id="1159" name="Shape 1158">
          <a:extLst>
            <a:ext uri="{FF2B5EF4-FFF2-40B4-BE49-F238E27FC236}">
              <a16:creationId xmlns:a16="http://schemas.microsoft.com/office/drawing/2014/main" id="{00000000-0008-0000-0A00-00008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40</xdr:row>
      <xdr:rowOff>9525</xdr:rowOff>
    </xdr:from>
    <xdr:ext cx="323850" cy="180975"/>
    <xdr:sp macro="" textlink="">
      <xdr:nvSpPr>
        <xdr:cNvPr id="1160" name="Shape 1159">
          <a:extLst>
            <a:ext uri="{FF2B5EF4-FFF2-40B4-BE49-F238E27FC236}">
              <a16:creationId xmlns:a16="http://schemas.microsoft.com/office/drawing/2014/main" id="{00000000-0008-0000-0A00-00008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41</xdr:row>
      <xdr:rowOff>9525</xdr:rowOff>
    </xdr:from>
    <xdr:ext cx="323850" cy="180975"/>
    <xdr:sp macro="" textlink="">
      <xdr:nvSpPr>
        <xdr:cNvPr id="1161" name="Shape 1160">
          <a:extLst>
            <a:ext uri="{FF2B5EF4-FFF2-40B4-BE49-F238E27FC236}">
              <a16:creationId xmlns:a16="http://schemas.microsoft.com/office/drawing/2014/main" id="{00000000-0008-0000-0A00-00008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</xdr:row>
      <xdr:rowOff>9525</xdr:rowOff>
    </xdr:from>
    <xdr:ext cx="323850" cy="180975"/>
    <xdr:sp macro="" textlink="">
      <xdr:nvSpPr>
        <xdr:cNvPr id="1162" name="Shape 1161">
          <a:extLst>
            <a:ext uri="{FF2B5EF4-FFF2-40B4-BE49-F238E27FC236}">
              <a16:creationId xmlns:a16="http://schemas.microsoft.com/office/drawing/2014/main" id="{00000000-0008-0000-0A00-00008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</xdr:row>
      <xdr:rowOff>9525</xdr:rowOff>
    </xdr:from>
    <xdr:ext cx="323850" cy="180975"/>
    <xdr:sp macro="" textlink="">
      <xdr:nvSpPr>
        <xdr:cNvPr id="1163" name="Shape 1162">
          <a:extLst>
            <a:ext uri="{FF2B5EF4-FFF2-40B4-BE49-F238E27FC236}">
              <a16:creationId xmlns:a16="http://schemas.microsoft.com/office/drawing/2014/main" id="{00000000-0008-0000-0A00-00008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4</xdr:row>
      <xdr:rowOff>9525</xdr:rowOff>
    </xdr:from>
    <xdr:ext cx="323850" cy="180975"/>
    <xdr:sp macro="" textlink="">
      <xdr:nvSpPr>
        <xdr:cNvPr id="1164" name="Shape 1163">
          <a:extLst>
            <a:ext uri="{FF2B5EF4-FFF2-40B4-BE49-F238E27FC236}">
              <a16:creationId xmlns:a16="http://schemas.microsoft.com/office/drawing/2014/main" id="{00000000-0008-0000-0A00-00008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5</xdr:row>
      <xdr:rowOff>9525</xdr:rowOff>
    </xdr:from>
    <xdr:ext cx="323850" cy="180975"/>
    <xdr:sp macro="" textlink="">
      <xdr:nvSpPr>
        <xdr:cNvPr id="1165" name="Shape 1164">
          <a:extLst>
            <a:ext uri="{FF2B5EF4-FFF2-40B4-BE49-F238E27FC236}">
              <a16:creationId xmlns:a16="http://schemas.microsoft.com/office/drawing/2014/main" id="{00000000-0008-0000-0A00-00008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6</xdr:row>
      <xdr:rowOff>9525</xdr:rowOff>
    </xdr:from>
    <xdr:ext cx="323850" cy="180975"/>
    <xdr:sp macro="" textlink="">
      <xdr:nvSpPr>
        <xdr:cNvPr id="1166" name="Shape 1165">
          <a:extLst>
            <a:ext uri="{FF2B5EF4-FFF2-40B4-BE49-F238E27FC236}">
              <a16:creationId xmlns:a16="http://schemas.microsoft.com/office/drawing/2014/main" id="{00000000-0008-0000-0A00-00008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7</xdr:row>
      <xdr:rowOff>9525</xdr:rowOff>
    </xdr:from>
    <xdr:ext cx="323850" cy="180975"/>
    <xdr:sp macro="" textlink="">
      <xdr:nvSpPr>
        <xdr:cNvPr id="1167" name="Shape 1166">
          <a:extLst>
            <a:ext uri="{FF2B5EF4-FFF2-40B4-BE49-F238E27FC236}">
              <a16:creationId xmlns:a16="http://schemas.microsoft.com/office/drawing/2014/main" id="{00000000-0008-0000-0A00-00008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8</xdr:row>
      <xdr:rowOff>9525</xdr:rowOff>
    </xdr:from>
    <xdr:ext cx="323850" cy="180975"/>
    <xdr:sp macro="" textlink="">
      <xdr:nvSpPr>
        <xdr:cNvPr id="1168" name="Shape 1167">
          <a:extLst>
            <a:ext uri="{FF2B5EF4-FFF2-40B4-BE49-F238E27FC236}">
              <a16:creationId xmlns:a16="http://schemas.microsoft.com/office/drawing/2014/main" id="{00000000-0008-0000-0A00-00009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9</xdr:row>
      <xdr:rowOff>9525</xdr:rowOff>
    </xdr:from>
    <xdr:ext cx="323850" cy="180975"/>
    <xdr:sp macro="" textlink="">
      <xdr:nvSpPr>
        <xdr:cNvPr id="1169" name="Shape 1168">
          <a:extLst>
            <a:ext uri="{FF2B5EF4-FFF2-40B4-BE49-F238E27FC236}">
              <a16:creationId xmlns:a16="http://schemas.microsoft.com/office/drawing/2014/main" id="{00000000-0008-0000-0A00-00009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10</xdr:row>
      <xdr:rowOff>9525</xdr:rowOff>
    </xdr:from>
    <xdr:ext cx="323850" cy="180975"/>
    <xdr:sp macro="" textlink="">
      <xdr:nvSpPr>
        <xdr:cNvPr id="1170" name="Shape 1169">
          <a:extLst>
            <a:ext uri="{FF2B5EF4-FFF2-40B4-BE49-F238E27FC236}">
              <a16:creationId xmlns:a16="http://schemas.microsoft.com/office/drawing/2014/main" id="{00000000-0008-0000-0A00-00009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11</xdr:row>
      <xdr:rowOff>9525</xdr:rowOff>
    </xdr:from>
    <xdr:ext cx="323850" cy="180975"/>
    <xdr:sp macro="" textlink="">
      <xdr:nvSpPr>
        <xdr:cNvPr id="1171" name="Shape 1170">
          <a:extLst>
            <a:ext uri="{FF2B5EF4-FFF2-40B4-BE49-F238E27FC236}">
              <a16:creationId xmlns:a16="http://schemas.microsoft.com/office/drawing/2014/main" id="{00000000-0008-0000-0A00-00009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12</xdr:row>
      <xdr:rowOff>9525</xdr:rowOff>
    </xdr:from>
    <xdr:ext cx="323850" cy="180975"/>
    <xdr:sp macro="" textlink="">
      <xdr:nvSpPr>
        <xdr:cNvPr id="1172" name="Shape 1171">
          <a:extLst>
            <a:ext uri="{FF2B5EF4-FFF2-40B4-BE49-F238E27FC236}">
              <a16:creationId xmlns:a16="http://schemas.microsoft.com/office/drawing/2014/main" id="{00000000-0008-0000-0A00-00009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13</xdr:row>
      <xdr:rowOff>9525</xdr:rowOff>
    </xdr:from>
    <xdr:ext cx="323850" cy="180975"/>
    <xdr:sp macro="" textlink="">
      <xdr:nvSpPr>
        <xdr:cNvPr id="1173" name="Shape 1172">
          <a:extLst>
            <a:ext uri="{FF2B5EF4-FFF2-40B4-BE49-F238E27FC236}">
              <a16:creationId xmlns:a16="http://schemas.microsoft.com/office/drawing/2014/main" id="{00000000-0008-0000-0A00-00009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14</xdr:row>
      <xdr:rowOff>9525</xdr:rowOff>
    </xdr:from>
    <xdr:ext cx="323850" cy="180975"/>
    <xdr:sp macro="" textlink="">
      <xdr:nvSpPr>
        <xdr:cNvPr id="1174" name="Shape 1173">
          <a:extLst>
            <a:ext uri="{FF2B5EF4-FFF2-40B4-BE49-F238E27FC236}">
              <a16:creationId xmlns:a16="http://schemas.microsoft.com/office/drawing/2014/main" id="{00000000-0008-0000-0A00-00009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15</xdr:row>
      <xdr:rowOff>9525</xdr:rowOff>
    </xdr:from>
    <xdr:ext cx="323850" cy="180975"/>
    <xdr:sp macro="" textlink="">
      <xdr:nvSpPr>
        <xdr:cNvPr id="1175" name="Shape 1174">
          <a:extLst>
            <a:ext uri="{FF2B5EF4-FFF2-40B4-BE49-F238E27FC236}">
              <a16:creationId xmlns:a16="http://schemas.microsoft.com/office/drawing/2014/main" id="{00000000-0008-0000-0A00-00009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16</xdr:row>
      <xdr:rowOff>9525</xdr:rowOff>
    </xdr:from>
    <xdr:ext cx="323850" cy="180975"/>
    <xdr:sp macro="" textlink="">
      <xdr:nvSpPr>
        <xdr:cNvPr id="1176" name="Shape 1175">
          <a:extLst>
            <a:ext uri="{FF2B5EF4-FFF2-40B4-BE49-F238E27FC236}">
              <a16:creationId xmlns:a16="http://schemas.microsoft.com/office/drawing/2014/main" id="{00000000-0008-0000-0A00-00009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17</xdr:row>
      <xdr:rowOff>9525</xdr:rowOff>
    </xdr:from>
    <xdr:ext cx="323850" cy="180975"/>
    <xdr:sp macro="" textlink="">
      <xdr:nvSpPr>
        <xdr:cNvPr id="1177" name="Shape 1176">
          <a:extLst>
            <a:ext uri="{FF2B5EF4-FFF2-40B4-BE49-F238E27FC236}">
              <a16:creationId xmlns:a16="http://schemas.microsoft.com/office/drawing/2014/main" id="{00000000-0008-0000-0A00-00009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18</xdr:row>
      <xdr:rowOff>9525</xdr:rowOff>
    </xdr:from>
    <xdr:ext cx="323850" cy="180975"/>
    <xdr:sp macro="" textlink="">
      <xdr:nvSpPr>
        <xdr:cNvPr id="1178" name="Shape 1177">
          <a:extLst>
            <a:ext uri="{FF2B5EF4-FFF2-40B4-BE49-F238E27FC236}">
              <a16:creationId xmlns:a16="http://schemas.microsoft.com/office/drawing/2014/main" id="{00000000-0008-0000-0A00-00009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19</xdr:row>
      <xdr:rowOff>9525</xdr:rowOff>
    </xdr:from>
    <xdr:ext cx="323850" cy="180975"/>
    <xdr:sp macro="" textlink="">
      <xdr:nvSpPr>
        <xdr:cNvPr id="1179" name="Shape 1178">
          <a:extLst>
            <a:ext uri="{FF2B5EF4-FFF2-40B4-BE49-F238E27FC236}">
              <a16:creationId xmlns:a16="http://schemas.microsoft.com/office/drawing/2014/main" id="{00000000-0008-0000-0A00-00009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20</xdr:row>
      <xdr:rowOff>9525</xdr:rowOff>
    </xdr:from>
    <xdr:ext cx="323850" cy="180975"/>
    <xdr:sp macro="" textlink="">
      <xdr:nvSpPr>
        <xdr:cNvPr id="1180" name="Shape 1179">
          <a:extLst>
            <a:ext uri="{FF2B5EF4-FFF2-40B4-BE49-F238E27FC236}">
              <a16:creationId xmlns:a16="http://schemas.microsoft.com/office/drawing/2014/main" id="{00000000-0008-0000-0A00-00009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21</xdr:row>
      <xdr:rowOff>9525</xdr:rowOff>
    </xdr:from>
    <xdr:ext cx="323850" cy="180975"/>
    <xdr:sp macro="" textlink="">
      <xdr:nvSpPr>
        <xdr:cNvPr id="1181" name="Shape 1180">
          <a:extLst>
            <a:ext uri="{FF2B5EF4-FFF2-40B4-BE49-F238E27FC236}">
              <a16:creationId xmlns:a16="http://schemas.microsoft.com/office/drawing/2014/main" id="{00000000-0008-0000-0A00-00009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22</xdr:row>
      <xdr:rowOff>9525</xdr:rowOff>
    </xdr:from>
    <xdr:ext cx="323850" cy="180975"/>
    <xdr:sp macro="" textlink="">
      <xdr:nvSpPr>
        <xdr:cNvPr id="1182" name="Shape 1181">
          <a:extLst>
            <a:ext uri="{FF2B5EF4-FFF2-40B4-BE49-F238E27FC236}">
              <a16:creationId xmlns:a16="http://schemas.microsoft.com/office/drawing/2014/main" id="{00000000-0008-0000-0A00-00009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23</xdr:row>
      <xdr:rowOff>9525</xdr:rowOff>
    </xdr:from>
    <xdr:ext cx="323850" cy="180975"/>
    <xdr:sp macro="" textlink="">
      <xdr:nvSpPr>
        <xdr:cNvPr id="1183" name="Shape 1182">
          <a:extLst>
            <a:ext uri="{FF2B5EF4-FFF2-40B4-BE49-F238E27FC236}">
              <a16:creationId xmlns:a16="http://schemas.microsoft.com/office/drawing/2014/main" id="{00000000-0008-0000-0A00-00009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24</xdr:row>
      <xdr:rowOff>9525</xdr:rowOff>
    </xdr:from>
    <xdr:ext cx="323850" cy="180975"/>
    <xdr:sp macro="" textlink="">
      <xdr:nvSpPr>
        <xdr:cNvPr id="1184" name="Shape 1183">
          <a:extLst>
            <a:ext uri="{FF2B5EF4-FFF2-40B4-BE49-F238E27FC236}">
              <a16:creationId xmlns:a16="http://schemas.microsoft.com/office/drawing/2014/main" id="{00000000-0008-0000-0A00-0000A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25</xdr:row>
      <xdr:rowOff>9525</xdr:rowOff>
    </xdr:from>
    <xdr:ext cx="323850" cy="180975"/>
    <xdr:sp macro="" textlink="">
      <xdr:nvSpPr>
        <xdr:cNvPr id="1185" name="Shape 1184">
          <a:extLst>
            <a:ext uri="{FF2B5EF4-FFF2-40B4-BE49-F238E27FC236}">
              <a16:creationId xmlns:a16="http://schemas.microsoft.com/office/drawing/2014/main" id="{00000000-0008-0000-0A00-0000A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26</xdr:row>
      <xdr:rowOff>9525</xdr:rowOff>
    </xdr:from>
    <xdr:ext cx="323850" cy="180975"/>
    <xdr:sp macro="" textlink="">
      <xdr:nvSpPr>
        <xdr:cNvPr id="1186" name="Shape 1185">
          <a:extLst>
            <a:ext uri="{FF2B5EF4-FFF2-40B4-BE49-F238E27FC236}">
              <a16:creationId xmlns:a16="http://schemas.microsoft.com/office/drawing/2014/main" id="{00000000-0008-0000-0A00-0000A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27</xdr:row>
      <xdr:rowOff>9525</xdr:rowOff>
    </xdr:from>
    <xdr:ext cx="323850" cy="180975"/>
    <xdr:sp macro="" textlink="">
      <xdr:nvSpPr>
        <xdr:cNvPr id="1187" name="Shape 1186">
          <a:extLst>
            <a:ext uri="{FF2B5EF4-FFF2-40B4-BE49-F238E27FC236}">
              <a16:creationId xmlns:a16="http://schemas.microsoft.com/office/drawing/2014/main" id="{00000000-0008-0000-0A00-0000A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28</xdr:row>
      <xdr:rowOff>9525</xdr:rowOff>
    </xdr:from>
    <xdr:ext cx="323850" cy="180975"/>
    <xdr:sp macro="" textlink="">
      <xdr:nvSpPr>
        <xdr:cNvPr id="1188" name="Shape 1187">
          <a:extLst>
            <a:ext uri="{FF2B5EF4-FFF2-40B4-BE49-F238E27FC236}">
              <a16:creationId xmlns:a16="http://schemas.microsoft.com/office/drawing/2014/main" id="{00000000-0008-0000-0A00-0000A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29</xdr:row>
      <xdr:rowOff>9525</xdr:rowOff>
    </xdr:from>
    <xdr:ext cx="323850" cy="180975"/>
    <xdr:sp macro="" textlink="">
      <xdr:nvSpPr>
        <xdr:cNvPr id="1189" name="Shape 1188">
          <a:extLst>
            <a:ext uri="{FF2B5EF4-FFF2-40B4-BE49-F238E27FC236}">
              <a16:creationId xmlns:a16="http://schemas.microsoft.com/office/drawing/2014/main" id="{00000000-0008-0000-0A00-0000A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30</xdr:row>
      <xdr:rowOff>9525</xdr:rowOff>
    </xdr:from>
    <xdr:ext cx="323850" cy="180975"/>
    <xdr:sp macro="" textlink="">
      <xdr:nvSpPr>
        <xdr:cNvPr id="1190" name="Shape 1189">
          <a:extLst>
            <a:ext uri="{FF2B5EF4-FFF2-40B4-BE49-F238E27FC236}">
              <a16:creationId xmlns:a16="http://schemas.microsoft.com/office/drawing/2014/main" id="{00000000-0008-0000-0A00-0000A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31</xdr:row>
      <xdr:rowOff>9525</xdr:rowOff>
    </xdr:from>
    <xdr:ext cx="323850" cy="180975"/>
    <xdr:sp macro="" textlink="">
      <xdr:nvSpPr>
        <xdr:cNvPr id="1191" name="Shape 1190">
          <a:extLst>
            <a:ext uri="{FF2B5EF4-FFF2-40B4-BE49-F238E27FC236}">
              <a16:creationId xmlns:a16="http://schemas.microsoft.com/office/drawing/2014/main" id="{00000000-0008-0000-0A00-0000A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32</xdr:row>
      <xdr:rowOff>9525</xdr:rowOff>
    </xdr:from>
    <xdr:ext cx="323850" cy="180975"/>
    <xdr:sp macro="" textlink="">
      <xdr:nvSpPr>
        <xdr:cNvPr id="1192" name="Shape 1191">
          <a:extLst>
            <a:ext uri="{FF2B5EF4-FFF2-40B4-BE49-F238E27FC236}">
              <a16:creationId xmlns:a16="http://schemas.microsoft.com/office/drawing/2014/main" id="{00000000-0008-0000-0A00-0000A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33</xdr:row>
      <xdr:rowOff>9525</xdr:rowOff>
    </xdr:from>
    <xdr:ext cx="323850" cy="180975"/>
    <xdr:sp macro="" textlink="">
      <xdr:nvSpPr>
        <xdr:cNvPr id="1193" name="Shape 1192">
          <a:extLst>
            <a:ext uri="{FF2B5EF4-FFF2-40B4-BE49-F238E27FC236}">
              <a16:creationId xmlns:a16="http://schemas.microsoft.com/office/drawing/2014/main" id="{00000000-0008-0000-0A00-0000A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34</xdr:row>
      <xdr:rowOff>9525</xdr:rowOff>
    </xdr:from>
    <xdr:ext cx="323850" cy="180975"/>
    <xdr:sp macro="" textlink="">
      <xdr:nvSpPr>
        <xdr:cNvPr id="1194" name="Shape 1193">
          <a:extLst>
            <a:ext uri="{FF2B5EF4-FFF2-40B4-BE49-F238E27FC236}">
              <a16:creationId xmlns:a16="http://schemas.microsoft.com/office/drawing/2014/main" id="{00000000-0008-0000-0A00-0000A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35</xdr:row>
      <xdr:rowOff>9525</xdr:rowOff>
    </xdr:from>
    <xdr:ext cx="323850" cy="180975"/>
    <xdr:sp macro="" textlink="">
      <xdr:nvSpPr>
        <xdr:cNvPr id="1195" name="Shape 1194">
          <a:extLst>
            <a:ext uri="{FF2B5EF4-FFF2-40B4-BE49-F238E27FC236}">
              <a16:creationId xmlns:a16="http://schemas.microsoft.com/office/drawing/2014/main" id="{00000000-0008-0000-0A00-0000A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36</xdr:row>
      <xdr:rowOff>9525</xdr:rowOff>
    </xdr:from>
    <xdr:ext cx="323850" cy="180975"/>
    <xdr:sp macro="" textlink="">
      <xdr:nvSpPr>
        <xdr:cNvPr id="1196" name="Shape 1195">
          <a:extLst>
            <a:ext uri="{FF2B5EF4-FFF2-40B4-BE49-F238E27FC236}">
              <a16:creationId xmlns:a16="http://schemas.microsoft.com/office/drawing/2014/main" id="{00000000-0008-0000-0A00-0000A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37</xdr:row>
      <xdr:rowOff>9525</xdr:rowOff>
    </xdr:from>
    <xdr:ext cx="323850" cy="180975"/>
    <xdr:sp macro="" textlink="">
      <xdr:nvSpPr>
        <xdr:cNvPr id="1197" name="Shape 1196">
          <a:extLst>
            <a:ext uri="{FF2B5EF4-FFF2-40B4-BE49-F238E27FC236}">
              <a16:creationId xmlns:a16="http://schemas.microsoft.com/office/drawing/2014/main" id="{00000000-0008-0000-0A00-0000A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38</xdr:row>
      <xdr:rowOff>9525</xdr:rowOff>
    </xdr:from>
    <xdr:ext cx="323850" cy="180975"/>
    <xdr:sp macro="" textlink="">
      <xdr:nvSpPr>
        <xdr:cNvPr id="1198" name="Shape 1197">
          <a:extLst>
            <a:ext uri="{FF2B5EF4-FFF2-40B4-BE49-F238E27FC236}">
              <a16:creationId xmlns:a16="http://schemas.microsoft.com/office/drawing/2014/main" id="{00000000-0008-0000-0A00-0000A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39</xdr:row>
      <xdr:rowOff>9525</xdr:rowOff>
    </xdr:from>
    <xdr:ext cx="323850" cy="180975"/>
    <xdr:sp macro="" textlink="">
      <xdr:nvSpPr>
        <xdr:cNvPr id="1199" name="Shape 1198">
          <a:extLst>
            <a:ext uri="{FF2B5EF4-FFF2-40B4-BE49-F238E27FC236}">
              <a16:creationId xmlns:a16="http://schemas.microsoft.com/office/drawing/2014/main" id="{00000000-0008-0000-0A00-0000A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40</xdr:row>
      <xdr:rowOff>9525</xdr:rowOff>
    </xdr:from>
    <xdr:ext cx="323850" cy="180975"/>
    <xdr:sp macro="" textlink="">
      <xdr:nvSpPr>
        <xdr:cNvPr id="1200" name="Shape 1199">
          <a:extLst>
            <a:ext uri="{FF2B5EF4-FFF2-40B4-BE49-F238E27FC236}">
              <a16:creationId xmlns:a16="http://schemas.microsoft.com/office/drawing/2014/main" id="{00000000-0008-0000-0A00-0000B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41</xdr:row>
      <xdr:rowOff>9525</xdr:rowOff>
    </xdr:from>
    <xdr:ext cx="323850" cy="180975"/>
    <xdr:sp macro="" textlink="">
      <xdr:nvSpPr>
        <xdr:cNvPr id="1201" name="Shape 1200">
          <a:extLst>
            <a:ext uri="{FF2B5EF4-FFF2-40B4-BE49-F238E27FC236}">
              <a16:creationId xmlns:a16="http://schemas.microsoft.com/office/drawing/2014/main" id="{00000000-0008-0000-0A00-0000B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</xdr:row>
      <xdr:rowOff>9525</xdr:rowOff>
    </xdr:from>
    <xdr:ext cx="323850" cy="180975"/>
    <xdr:sp macro="" textlink="">
      <xdr:nvSpPr>
        <xdr:cNvPr id="1202" name="Shape 1201">
          <a:extLst>
            <a:ext uri="{FF2B5EF4-FFF2-40B4-BE49-F238E27FC236}">
              <a16:creationId xmlns:a16="http://schemas.microsoft.com/office/drawing/2014/main" id="{00000000-0008-0000-0A00-0000B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</xdr:row>
      <xdr:rowOff>9525</xdr:rowOff>
    </xdr:from>
    <xdr:ext cx="323850" cy="180975"/>
    <xdr:sp macro="" textlink="">
      <xdr:nvSpPr>
        <xdr:cNvPr id="1203" name="Shape 1202">
          <a:extLst>
            <a:ext uri="{FF2B5EF4-FFF2-40B4-BE49-F238E27FC236}">
              <a16:creationId xmlns:a16="http://schemas.microsoft.com/office/drawing/2014/main" id="{00000000-0008-0000-0A00-0000B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4</xdr:row>
      <xdr:rowOff>9525</xdr:rowOff>
    </xdr:from>
    <xdr:ext cx="323850" cy="180975"/>
    <xdr:sp macro="" textlink="">
      <xdr:nvSpPr>
        <xdr:cNvPr id="1204" name="Shape 1203">
          <a:extLst>
            <a:ext uri="{FF2B5EF4-FFF2-40B4-BE49-F238E27FC236}">
              <a16:creationId xmlns:a16="http://schemas.microsoft.com/office/drawing/2014/main" id="{00000000-0008-0000-0A00-0000B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5</xdr:row>
      <xdr:rowOff>9525</xdr:rowOff>
    </xdr:from>
    <xdr:ext cx="323850" cy="180975"/>
    <xdr:sp macro="" textlink="">
      <xdr:nvSpPr>
        <xdr:cNvPr id="1205" name="Shape 1204">
          <a:extLst>
            <a:ext uri="{FF2B5EF4-FFF2-40B4-BE49-F238E27FC236}">
              <a16:creationId xmlns:a16="http://schemas.microsoft.com/office/drawing/2014/main" id="{00000000-0008-0000-0A00-0000B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6</xdr:row>
      <xdr:rowOff>9525</xdr:rowOff>
    </xdr:from>
    <xdr:ext cx="323850" cy="180975"/>
    <xdr:sp macro="" textlink="">
      <xdr:nvSpPr>
        <xdr:cNvPr id="1206" name="Shape 1205">
          <a:extLst>
            <a:ext uri="{FF2B5EF4-FFF2-40B4-BE49-F238E27FC236}">
              <a16:creationId xmlns:a16="http://schemas.microsoft.com/office/drawing/2014/main" id="{00000000-0008-0000-0A00-0000B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7</xdr:row>
      <xdr:rowOff>9525</xdr:rowOff>
    </xdr:from>
    <xdr:ext cx="323850" cy="180975"/>
    <xdr:sp macro="" textlink="">
      <xdr:nvSpPr>
        <xdr:cNvPr id="1207" name="Shape 1206">
          <a:extLst>
            <a:ext uri="{FF2B5EF4-FFF2-40B4-BE49-F238E27FC236}">
              <a16:creationId xmlns:a16="http://schemas.microsoft.com/office/drawing/2014/main" id="{00000000-0008-0000-0A00-0000B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8</xdr:row>
      <xdr:rowOff>9525</xdr:rowOff>
    </xdr:from>
    <xdr:ext cx="323850" cy="180975"/>
    <xdr:sp macro="" textlink="">
      <xdr:nvSpPr>
        <xdr:cNvPr id="1208" name="Shape 1207">
          <a:extLst>
            <a:ext uri="{FF2B5EF4-FFF2-40B4-BE49-F238E27FC236}">
              <a16:creationId xmlns:a16="http://schemas.microsoft.com/office/drawing/2014/main" id="{00000000-0008-0000-0A00-0000B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9</xdr:row>
      <xdr:rowOff>9525</xdr:rowOff>
    </xdr:from>
    <xdr:ext cx="323850" cy="180975"/>
    <xdr:sp macro="" textlink="">
      <xdr:nvSpPr>
        <xdr:cNvPr id="1209" name="Shape 1208">
          <a:extLst>
            <a:ext uri="{FF2B5EF4-FFF2-40B4-BE49-F238E27FC236}">
              <a16:creationId xmlns:a16="http://schemas.microsoft.com/office/drawing/2014/main" id="{00000000-0008-0000-0A00-0000B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10</xdr:row>
      <xdr:rowOff>9525</xdr:rowOff>
    </xdr:from>
    <xdr:ext cx="323850" cy="180975"/>
    <xdr:sp macro="" textlink="">
      <xdr:nvSpPr>
        <xdr:cNvPr id="1210" name="Shape 1209">
          <a:extLst>
            <a:ext uri="{FF2B5EF4-FFF2-40B4-BE49-F238E27FC236}">
              <a16:creationId xmlns:a16="http://schemas.microsoft.com/office/drawing/2014/main" id="{00000000-0008-0000-0A00-0000B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11</xdr:row>
      <xdr:rowOff>9525</xdr:rowOff>
    </xdr:from>
    <xdr:ext cx="323850" cy="180975"/>
    <xdr:sp macro="" textlink="">
      <xdr:nvSpPr>
        <xdr:cNvPr id="1211" name="Shape 1210">
          <a:extLst>
            <a:ext uri="{FF2B5EF4-FFF2-40B4-BE49-F238E27FC236}">
              <a16:creationId xmlns:a16="http://schemas.microsoft.com/office/drawing/2014/main" id="{00000000-0008-0000-0A00-0000B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12</xdr:row>
      <xdr:rowOff>9525</xdr:rowOff>
    </xdr:from>
    <xdr:ext cx="323850" cy="180975"/>
    <xdr:sp macro="" textlink="">
      <xdr:nvSpPr>
        <xdr:cNvPr id="1212" name="Shape 1211">
          <a:extLst>
            <a:ext uri="{FF2B5EF4-FFF2-40B4-BE49-F238E27FC236}">
              <a16:creationId xmlns:a16="http://schemas.microsoft.com/office/drawing/2014/main" id="{00000000-0008-0000-0A00-0000B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13</xdr:row>
      <xdr:rowOff>9525</xdr:rowOff>
    </xdr:from>
    <xdr:ext cx="323850" cy="180975"/>
    <xdr:sp macro="" textlink="">
      <xdr:nvSpPr>
        <xdr:cNvPr id="1213" name="Shape 1212">
          <a:extLst>
            <a:ext uri="{FF2B5EF4-FFF2-40B4-BE49-F238E27FC236}">
              <a16:creationId xmlns:a16="http://schemas.microsoft.com/office/drawing/2014/main" id="{00000000-0008-0000-0A00-0000B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14</xdr:row>
      <xdr:rowOff>9525</xdr:rowOff>
    </xdr:from>
    <xdr:ext cx="323850" cy="180975"/>
    <xdr:sp macro="" textlink="">
      <xdr:nvSpPr>
        <xdr:cNvPr id="1214" name="Shape 1213">
          <a:extLst>
            <a:ext uri="{FF2B5EF4-FFF2-40B4-BE49-F238E27FC236}">
              <a16:creationId xmlns:a16="http://schemas.microsoft.com/office/drawing/2014/main" id="{00000000-0008-0000-0A00-0000B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15</xdr:row>
      <xdr:rowOff>9525</xdr:rowOff>
    </xdr:from>
    <xdr:ext cx="323850" cy="180975"/>
    <xdr:sp macro="" textlink="">
      <xdr:nvSpPr>
        <xdr:cNvPr id="1215" name="Shape 1214">
          <a:extLst>
            <a:ext uri="{FF2B5EF4-FFF2-40B4-BE49-F238E27FC236}">
              <a16:creationId xmlns:a16="http://schemas.microsoft.com/office/drawing/2014/main" id="{00000000-0008-0000-0A00-0000B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16</xdr:row>
      <xdr:rowOff>9525</xdr:rowOff>
    </xdr:from>
    <xdr:ext cx="323850" cy="180975"/>
    <xdr:sp macro="" textlink="">
      <xdr:nvSpPr>
        <xdr:cNvPr id="1216" name="Shape 1215">
          <a:extLst>
            <a:ext uri="{FF2B5EF4-FFF2-40B4-BE49-F238E27FC236}">
              <a16:creationId xmlns:a16="http://schemas.microsoft.com/office/drawing/2014/main" id="{00000000-0008-0000-0A00-0000C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17</xdr:row>
      <xdr:rowOff>9525</xdr:rowOff>
    </xdr:from>
    <xdr:ext cx="323850" cy="180975"/>
    <xdr:sp macro="" textlink="">
      <xdr:nvSpPr>
        <xdr:cNvPr id="1217" name="Shape 1216">
          <a:extLst>
            <a:ext uri="{FF2B5EF4-FFF2-40B4-BE49-F238E27FC236}">
              <a16:creationId xmlns:a16="http://schemas.microsoft.com/office/drawing/2014/main" id="{00000000-0008-0000-0A00-0000C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18</xdr:row>
      <xdr:rowOff>9525</xdr:rowOff>
    </xdr:from>
    <xdr:ext cx="323850" cy="180975"/>
    <xdr:sp macro="" textlink="">
      <xdr:nvSpPr>
        <xdr:cNvPr id="1218" name="Shape 1217">
          <a:extLst>
            <a:ext uri="{FF2B5EF4-FFF2-40B4-BE49-F238E27FC236}">
              <a16:creationId xmlns:a16="http://schemas.microsoft.com/office/drawing/2014/main" id="{00000000-0008-0000-0A00-0000C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19</xdr:row>
      <xdr:rowOff>9525</xdr:rowOff>
    </xdr:from>
    <xdr:ext cx="323850" cy="180975"/>
    <xdr:sp macro="" textlink="">
      <xdr:nvSpPr>
        <xdr:cNvPr id="1219" name="Shape 1218">
          <a:extLst>
            <a:ext uri="{FF2B5EF4-FFF2-40B4-BE49-F238E27FC236}">
              <a16:creationId xmlns:a16="http://schemas.microsoft.com/office/drawing/2014/main" id="{00000000-0008-0000-0A00-0000C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20</xdr:row>
      <xdr:rowOff>9525</xdr:rowOff>
    </xdr:from>
    <xdr:ext cx="323850" cy="180975"/>
    <xdr:sp macro="" textlink="">
      <xdr:nvSpPr>
        <xdr:cNvPr id="1220" name="Shape 1219">
          <a:extLst>
            <a:ext uri="{FF2B5EF4-FFF2-40B4-BE49-F238E27FC236}">
              <a16:creationId xmlns:a16="http://schemas.microsoft.com/office/drawing/2014/main" id="{00000000-0008-0000-0A00-0000C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21</xdr:row>
      <xdr:rowOff>9525</xdr:rowOff>
    </xdr:from>
    <xdr:ext cx="323850" cy="180975"/>
    <xdr:sp macro="" textlink="">
      <xdr:nvSpPr>
        <xdr:cNvPr id="1221" name="Shape 1220">
          <a:extLst>
            <a:ext uri="{FF2B5EF4-FFF2-40B4-BE49-F238E27FC236}">
              <a16:creationId xmlns:a16="http://schemas.microsoft.com/office/drawing/2014/main" id="{00000000-0008-0000-0A00-0000C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22</xdr:row>
      <xdr:rowOff>9525</xdr:rowOff>
    </xdr:from>
    <xdr:ext cx="323850" cy="180975"/>
    <xdr:sp macro="" textlink="">
      <xdr:nvSpPr>
        <xdr:cNvPr id="1222" name="Shape 1221">
          <a:extLst>
            <a:ext uri="{FF2B5EF4-FFF2-40B4-BE49-F238E27FC236}">
              <a16:creationId xmlns:a16="http://schemas.microsoft.com/office/drawing/2014/main" id="{00000000-0008-0000-0A00-0000C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23</xdr:row>
      <xdr:rowOff>9525</xdr:rowOff>
    </xdr:from>
    <xdr:ext cx="323850" cy="180975"/>
    <xdr:sp macro="" textlink="">
      <xdr:nvSpPr>
        <xdr:cNvPr id="1223" name="Shape 1222">
          <a:extLst>
            <a:ext uri="{FF2B5EF4-FFF2-40B4-BE49-F238E27FC236}">
              <a16:creationId xmlns:a16="http://schemas.microsoft.com/office/drawing/2014/main" id="{00000000-0008-0000-0A00-0000C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24</xdr:row>
      <xdr:rowOff>9525</xdr:rowOff>
    </xdr:from>
    <xdr:ext cx="323850" cy="180975"/>
    <xdr:sp macro="" textlink="">
      <xdr:nvSpPr>
        <xdr:cNvPr id="1224" name="Shape 1223">
          <a:extLst>
            <a:ext uri="{FF2B5EF4-FFF2-40B4-BE49-F238E27FC236}">
              <a16:creationId xmlns:a16="http://schemas.microsoft.com/office/drawing/2014/main" id="{00000000-0008-0000-0A00-0000C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25</xdr:row>
      <xdr:rowOff>9525</xdr:rowOff>
    </xdr:from>
    <xdr:ext cx="323850" cy="180975"/>
    <xdr:sp macro="" textlink="">
      <xdr:nvSpPr>
        <xdr:cNvPr id="1225" name="Shape 1224">
          <a:extLst>
            <a:ext uri="{FF2B5EF4-FFF2-40B4-BE49-F238E27FC236}">
              <a16:creationId xmlns:a16="http://schemas.microsoft.com/office/drawing/2014/main" id="{00000000-0008-0000-0A00-0000C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26</xdr:row>
      <xdr:rowOff>9525</xdr:rowOff>
    </xdr:from>
    <xdr:ext cx="323850" cy="180975"/>
    <xdr:sp macro="" textlink="">
      <xdr:nvSpPr>
        <xdr:cNvPr id="1226" name="Shape 1225">
          <a:extLst>
            <a:ext uri="{FF2B5EF4-FFF2-40B4-BE49-F238E27FC236}">
              <a16:creationId xmlns:a16="http://schemas.microsoft.com/office/drawing/2014/main" id="{00000000-0008-0000-0A00-0000C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27</xdr:row>
      <xdr:rowOff>9525</xdr:rowOff>
    </xdr:from>
    <xdr:ext cx="323850" cy="180975"/>
    <xdr:sp macro="" textlink="">
      <xdr:nvSpPr>
        <xdr:cNvPr id="1227" name="Shape 1226">
          <a:extLst>
            <a:ext uri="{FF2B5EF4-FFF2-40B4-BE49-F238E27FC236}">
              <a16:creationId xmlns:a16="http://schemas.microsoft.com/office/drawing/2014/main" id="{00000000-0008-0000-0A00-0000C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28</xdr:row>
      <xdr:rowOff>9525</xdr:rowOff>
    </xdr:from>
    <xdr:ext cx="323850" cy="180975"/>
    <xdr:sp macro="" textlink="">
      <xdr:nvSpPr>
        <xdr:cNvPr id="1228" name="Shape 1227">
          <a:extLst>
            <a:ext uri="{FF2B5EF4-FFF2-40B4-BE49-F238E27FC236}">
              <a16:creationId xmlns:a16="http://schemas.microsoft.com/office/drawing/2014/main" id="{00000000-0008-0000-0A00-0000C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29</xdr:row>
      <xdr:rowOff>9525</xdr:rowOff>
    </xdr:from>
    <xdr:ext cx="323850" cy="180975"/>
    <xdr:sp macro="" textlink="">
      <xdr:nvSpPr>
        <xdr:cNvPr id="1229" name="Shape 1228">
          <a:extLst>
            <a:ext uri="{FF2B5EF4-FFF2-40B4-BE49-F238E27FC236}">
              <a16:creationId xmlns:a16="http://schemas.microsoft.com/office/drawing/2014/main" id="{00000000-0008-0000-0A00-0000C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30</xdr:row>
      <xdr:rowOff>9525</xdr:rowOff>
    </xdr:from>
    <xdr:ext cx="323850" cy="180975"/>
    <xdr:sp macro="" textlink="">
      <xdr:nvSpPr>
        <xdr:cNvPr id="1230" name="Shape 1229">
          <a:extLst>
            <a:ext uri="{FF2B5EF4-FFF2-40B4-BE49-F238E27FC236}">
              <a16:creationId xmlns:a16="http://schemas.microsoft.com/office/drawing/2014/main" id="{00000000-0008-0000-0A00-0000C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31</xdr:row>
      <xdr:rowOff>9525</xdr:rowOff>
    </xdr:from>
    <xdr:ext cx="323850" cy="180975"/>
    <xdr:sp macro="" textlink="">
      <xdr:nvSpPr>
        <xdr:cNvPr id="1231" name="Shape 1230">
          <a:extLst>
            <a:ext uri="{FF2B5EF4-FFF2-40B4-BE49-F238E27FC236}">
              <a16:creationId xmlns:a16="http://schemas.microsoft.com/office/drawing/2014/main" id="{00000000-0008-0000-0A00-0000C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32</xdr:row>
      <xdr:rowOff>9525</xdr:rowOff>
    </xdr:from>
    <xdr:ext cx="323850" cy="180975"/>
    <xdr:sp macro="" textlink="">
      <xdr:nvSpPr>
        <xdr:cNvPr id="1232" name="Shape 1231">
          <a:extLst>
            <a:ext uri="{FF2B5EF4-FFF2-40B4-BE49-F238E27FC236}">
              <a16:creationId xmlns:a16="http://schemas.microsoft.com/office/drawing/2014/main" id="{00000000-0008-0000-0A00-0000D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33</xdr:row>
      <xdr:rowOff>9525</xdr:rowOff>
    </xdr:from>
    <xdr:ext cx="323850" cy="180975"/>
    <xdr:sp macro="" textlink="">
      <xdr:nvSpPr>
        <xdr:cNvPr id="1233" name="Shape 1232">
          <a:extLst>
            <a:ext uri="{FF2B5EF4-FFF2-40B4-BE49-F238E27FC236}">
              <a16:creationId xmlns:a16="http://schemas.microsoft.com/office/drawing/2014/main" id="{00000000-0008-0000-0A00-0000D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34</xdr:row>
      <xdr:rowOff>9525</xdr:rowOff>
    </xdr:from>
    <xdr:ext cx="323850" cy="180975"/>
    <xdr:sp macro="" textlink="">
      <xdr:nvSpPr>
        <xdr:cNvPr id="1234" name="Shape 1233">
          <a:extLst>
            <a:ext uri="{FF2B5EF4-FFF2-40B4-BE49-F238E27FC236}">
              <a16:creationId xmlns:a16="http://schemas.microsoft.com/office/drawing/2014/main" id="{00000000-0008-0000-0A00-0000D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35</xdr:row>
      <xdr:rowOff>9525</xdr:rowOff>
    </xdr:from>
    <xdr:ext cx="323850" cy="180975"/>
    <xdr:sp macro="" textlink="">
      <xdr:nvSpPr>
        <xdr:cNvPr id="1235" name="Shape 1234">
          <a:extLst>
            <a:ext uri="{FF2B5EF4-FFF2-40B4-BE49-F238E27FC236}">
              <a16:creationId xmlns:a16="http://schemas.microsoft.com/office/drawing/2014/main" id="{00000000-0008-0000-0A00-0000D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36</xdr:row>
      <xdr:rowOff>9525</xdr:rowOff>
    </xdr:from>
    <xdr:ext cx="323850" cy="180975"/>
    <xdr:sp macro="" textlink="">
      <xdr:nvSpPr>
        <xdr:cNvPr id="1236" name="Shape 1235">
          <a:extLst>
            <a:ext uri="{FF2B5EF4-FFF2-40B4-BE49-F238E27FC236}">
              <a16:creationId xmlns:a16="http://schemas.microsoft.com/office/drawing/2014/main" id="{00000000-0008-0000-0A00-0000D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37</xdr:row>
      <xdr:rowOff>9525</xdr:rowOff>
    </xdr:from>
    <xdr:ext cx="323850" cy="180975"/>
    <xdr:sp macro="" textlink="">
      <xdr:nvSpPr>
        <xdr:cNvPr id="1237" name="Shape 1236">
          <a:extLst>
            <a:ext uri="{FF2B5EF4-FFF2-40B4-BE49-F238E27FC236}">
              <a16:creationId xmlns:a16="http://schemas.microsoft.com/office/drawing/2014/main" id="{00000000-0008-0000-0A00-0000D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38</xdr:row>
      <xdr:rowOff>9525</xdr:rowOff>
    </xdr:from>
    <xdr:ext cx="323850" cy="180975"/>
    <xdr:sp macro="" textlink="">
      <xdr:nvSpPr>
        <xdr:cNvPr id="1238" name="Shape 1237">
          <a:extLst>
            <a:ext uri="{FF2B5EF4-FFF2-40B4-BE49-F238E27FC236}">
              <a16:creationId xmlns:a16="http://schemas.microsoft.com/office/drawing/2014/main" id="{00000000-0008-0000-0A00-0000D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39</xdr:row>
      <xdr:rowOff>9525</xdr:rowOff>
    </xdr:from>
    <xdr:ext cx="323850" cy="180975"/>
    <xdr:sp macro="" textlink="">
      <xdr:nvSpPr>
        <xdr:cNvPr id="1239" name="Shape 1238">
          <a:extLst>
            <a:ext uri="{FF2B5EF4-FFF2-40B4-BE49-F238E27FC236}">
              <a16:creationId xmlns:a16="http://schemas.microsoft.com/office/drawing/2014/main" id="{00000000-0008-0000-0A00-0000D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40</xdr:row>
      <xdr:rowOff>9525</xdr:rowOff>
    </xdr:from>
    <xdr:ext cx="323850" cy="180975"/>
    <xdr:sp macro="" textlink="">
      <xdr:nvSpPr>
        <xdr:cNvPr id="1240" name="Shape 1239">
          <a:extLst>
            <a:ext uri="{FF2B5EF4-FFF2-40B4-BE49-F238E27FC236}">
              <a16:creationId xmlns:a16="http://schemas.microsoft.com/office/drawing/2014/main" id="{00000000-0008-0000-0A00-0000D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41</xdr:row>
      <xdr:rowOff>9525</xdr:rowOff>
    </xdr:from>
    <xdr:ext cx="323850" cy="180975"/>
    <xdr:sp macro="" textlink="">
      <xdr:nvSpPr>
        <xdr:cNvPr id="1241" name="Shape 1240">
          <a:extLst>
            <a:ext uri="{FF2B5EF4-FFF2-40B4-BE49-F238E27FC236}">
              <a16:creationId xmlns:a16="http://schemas.microsoft.com/office/drawing/2014/main" id="{00000000-0008-0000-0A00-0000D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</xdr:row>
      <xdr:rowOff>9525</xdr:rowOff>
    </xdr:from>
    <xdr:ext cx="323850" cy="180975"/>
    <xdr:sp macro="" textlink="">
      <xdr:nvSpPr>
        <xdr:cNvPr id="1242" name="Shape 1241">
          <a:extLst>
            <a:ext uri="{FF2B5EF4-FFF2-40B4-BE49-F238E27FC236}">
              <a16:creationId xmlns:a16="http://schemas.microsoft.com/office/drawing/2014/main" id="{00000000-0008-0000-0A00-0000D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</xdr:row>
      <xdr:rowOff>9525</xdr:rowOff>
    </xdr:from>
    <xdr:ext cx="323850" cy="180975"/>
    <xdr:sp macro="" textlink="">
      <xdr:nvSpPr>
        <xdr:cNvPr id="1243" name="Shape 1242">
          <a:extLst>
            <a:ext uri="{FF2B5EF4-FFF2-40B4-BE49-F238E27FC236}">
              <a16:creationId xmlns:a16="http://schemas.microsoft.com/office/drawing/2014/main" id="{00000000-0008-0000-0A00-0000D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4</xdr:row>
      <xdr:rowOff>9525</xdr:rowOff>
    </xdr:from>
    <xdr:ext cx="323850" cy="180975"/>
    <xdr:sp macro="" textlink="">
      <xdr:nvSpPr>
        <xdr:cNvPr id="1244" name="Shape 1243">
          <a:extLst>
            <a:ext uri="{FF2B5EF4-FFF2-40B4-BE49-F238E27FC236}">
              <a16:creationId xmlns:a16="http://schemas.microsoft.com/office/drawing/2014/main" id="{00000000-0008-0000-0A00-0000D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5</xdr:row>
      <xdr:rowOff>9525</xdr:rowOff>
    </xdr:from>
    <xdr:ext cx="323850" cy="180975"/>
    <xdr:sp macro="" textlink="">
      <xdr:nvSpPr>
        <xdr:cNvPr id="1245" name="Shape 1244">
          <a:extLst>
            <a:ext uri="{FF2B5EF4-FFF2-40B4-BE49-F238E27FC236}">
              <a16:creationId xmlns:a16="http://schemas.microsoft.com/office/drawing/2014/main" id="{00000000-0008-0000-0A00-0000D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6</xdr:row>
      <xdr:rowOff>9525</xdr:rowOff>
    </xdr:from>
    <xdr:ext cx="323850" cy="180975"/>
    <xdr:sp macro="" textlink="">
      <xdr:nvSpPr>
        <xdr:cNvPr id="1246" name="Shape 1245">
          <a:extLst>
            <a:ext uri="{FF2B5EF4-FFF2-40B4-BE49-F238E27FC236}">
              <a16:creationId xmlns:a16="http://schemas.microsoft.com/office/drawing/2014/main" id="{00000000-0008-0000-0A00-0000D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7</xdr:row>
      <xdr:rowOff>9525</xdr:rowOff>
    </xdr:from>
    <xdr:ext cx="323850" cy="180975"/>
    <xdr:sp macro="" textlink="">
      <xdr:nvSpPr>
        <xdr:cNvPr id="1247" name="Shape 1246">
          <a:extLst>
            <a:ext uri="{FF2B5EF4-FFF2-40B4-BE49-F238E27FC236}">
              <a16:creationId xmlns:a16="http://schemas.microsoft.com/office/drawing/2014/main" id="{00000000-0008-0000-0A00-0000D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8</xdr:row>
      <xdr:rowOff>9525</xdr:rowOff>
    </xdr:from>
    <xdr:ext cx="323850" cy="180975"/>
    <xdr:sp macro="" textlink="">
      <xdr:nvSpPr>
        <xdr:cNvPr id="1248" name="Shape 1247">
          <a:extLst>
            <a:ext uri="{FF2B5EF4-FFF2-40B4-BE49-F238E27FC236}">
              <a16:creationId xmlns:a16="http://schemas.microsoft.com/office/drawing/2014/main" id="{00000000-0008-0000-0A00-0000E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9</xdr:row>
      <xdr:rowOff>9525</xdr:rowOff>
    </xdr:from>
    <xdr:ext cx="323850" cy="180975"/>
    <xdr:sp macro="" textlink="">
      <xdr:nvSpPr>
        <xdr:cNvPr id="1249" name="Shape 1248">
          <a:extLst>
            <a:ext uri="{FF2B5EF4-FFF2-40B4-BE49-F238E27FC236}">
              <a16:creationId xmlns:a16="http://schemas.microsoft.com/office/drawing/2014/main" id="{00000000-0008-0000-0A00-0000E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10</xdr:row>
      <xdr:rowOff>9525</xdr:rowOff>
    </xdr:from>
    <xdr:ext cx="323850" cy="180975"/>
    <xdr:sp macro="" textlink="">
      <xdr:nvSpPr>
        <xdr:cNvPr id="1250" name="Shape 1249">
          <a:extLst>
            <a:ext uri="{FF2B5EF4-FFF2-40B4-BE49-F238E27FC236}">
              <a16:creationId xmlns:a16="http://schemas.microsoft.com/office/drawing/2014/main" id="{00000000-0008-0000-0A00-0000E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11</xdr:row>
      <xdr:rowOff>9525</xdr:rowOff>
    </xdr:from>
    <xdr:ext cx="323850" cy="180975"/>
    <xdr:sp macro="" textlink="">
      <xdr:nvSpPr>
        <xdr:cNvPr id="1251" name="Shape 1250">
          <a:extLst>
            <a:ext uri="{FF2B5EF4-FFF2-40B4-BE49-F238E27FC236}">
              <a16:creationId xmlns:a16="http://schemas.microsoft.com/office/drawing/2014/main" id="{00000000-0008-0000-0A00-0000E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12</xdr:row>
      <xdr:rowOff>9525</xdr:rowOff>
    </xdr:from>
    <xdr:ext cx="323850" cy="180975"/>
    <xdr:sp macro="" textlink="">
      <xdr:nvSpPr>
        <xdr:cNvPr id="1252" name="Shape 1251">
          <a:extLst>
            <a:ext uri="{FF2B5EF4-FFF2-40B4-BE49-F238E27FC236}">
              <a16:creationId xmlns:a16="http://schemas.microsoft.com/office/drawing/2014/main" id="{00000000-0008-0000-0A00-0000E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13</xdr:row>
      <xdr:rowOff>9525</xdr:rowOff>
    </xdr:from>
    <xdr:ext cx="323850" cy="180975"/>
    <xdr:sp macro="" textlink="">
      <xdr:nvSpPr>
        <xdr:cNvPr id="1253" name="Shape 1252">
          <a:extLst>
            <a:ext uri="{FF2B5EF4-FFF2-40B4-BE49-F238E27FC236}">
              <a16:creationId xmlns:a16="http://schemas.microsoft.com/office/drawing/2014/main" id="{00000000-0008-0000-0A00-0000E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14</xdr:row>
      <xdr:rowOff>9525</xdr:rowOff>
    </xdr:from>
    <xdr:ext cx="323850" cy="180975"/>
    <xdr:sp macro="" textlink="">
      <xdr:nvSpPr>
        <xdr:cNvPr id="1254" name="Shape 1253">
          <a:extLst>
            <a:ext uri="{FF2B5EF4-FFF2-40B4-BE49-F238E27FC236}">
              <a16:creationId xmlns:a16="http://schemas.microsoft.com/office/drawing/2014/main" id="{00000000-0008-0000-0A00-0000E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15</xdr:row>
      <xdr:rowOff>9525</xdr:rowOff>
    </xdr:from>
    <xdr:ext cx="323850" cy="180975"/>
    <xdr:sp macro="" textlink="">
      <xdr:nvSpPr>
        <xdr:cNvPr id="1255" name="Shape 1254">
          <a:extLst>
            <a:ext uri="{FF2B5EF4-FFF2-40B4-BE49-F238E27FC236}">
              <a16:creationId xmlns:a16="http://schemas.microsoft.com/office/drawing/2014/main" id="{00000000-0008-0000-0A00-0000E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16</xdr:row>
      <xdr:rowOff>9525</xdr:rowOff>
    </xdr:from>
    <xdr:ext cx="323850" cy="180975"/>
    <xdr:sp macro="" textlink="">
      <xdr:nvSpPr>
        <xdr:cNvPr id="1256" name="Shape 1255">
          <a:extLst>
            <a:ext uri="{FF2B5EF4-FFF2-40B4-BE49-F238E27FC236}">
              <a16:creationId xmlns:a16="http://schemas.microsoft.com/office/drawing/2014/main" id="{00000000-0008-0000-0A00-0000E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17</xdr:row>
      <xdr:rowOff>9525</xdr:rowOff>
    </xdr:from>
    <xdr:ext cx="323850" cy="180975"/>
    <xdr:sp macro="" textlink="">
      <xdr:nvSpPr>
        <xdr:cNvPr id="1257" name="Shape 1256">
          <a:extLst>
            <a:ext uri="{FF2B5EF4-FFF2-40B4-BE49-F238E27FC236}">
              <a16:creationId xmlns:a16="http://schemas.microsoft.com/office/drawing/2014/main" id="{00000000-0008-0000-0A00-0000E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18</xdr:row>
      <xdr:rowOff>9525</xdr:rowOff>
    </xdr:from>
    <xdr:ext cx="323850" cy="180975"/>
    <xdr:sp macro="" textlink="">
      <xdr:nvSpPr>
        <xdr:cNvPr id="1258" name="Shape 1257">
          <a:extLst>
            <a:ext uri="{FF2B5EF4-FFF2-40B4-BE49-F238E27FC236}">
              <a16:creationId xmlns:a16="http://schemas.microsoft.com/office/drawing/2014/main" id="{00000000-0008-0000-0A00-0000E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19</xdr:row>
      <xdr:rowOff>9525</xdr:rowOff>
    </xdr:from>
    <xdr:ext cx="323850" cy="180975"/>
    <xdr:sp macro="" textlink="">
      <xdr:nvSpPr>
        <xdr:cNvPr id="1259" name="Shape 1258">
          <a:extLst>
            <a:ext uri="{FF2B5EF4-FFF2-40B4-BE49-F238E27FC236}">
              <a16:creationId xmlns:a16="http://schemas.microsoft.com/office/drawing/2014/main" id="{00000000-0008-0000-0A00-0000E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20</xdr:row>
      <xdr:rowOff>9525</xdr:rowOff>
    </xdr:from>
    <xdr:ext cx="323850" cy="180975"/>
    <xdr:sp macro="" textlink="">
      <xdr:nvSpPr>
        <xdr:cNvPr id="1260" name="Shape 1259">
          <a:extLst>
            <a:ext uri="{FF2B5EF4-FFF2-40B4-BE49-F238E27FC236}">
              <a16:creationId xmlns:a16="http://schemas.microsoft.com/office/drawing/2014/main" id="{00000000-0008-0000-0A00-0000E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21</xdr:row>
      <xdr:rowOff>9525</xdr:rowOff>
    </xdr:from>
    <xdr:ext cx="323850" cy="180975"/>
    <xdr:sp macro="" textlink="">
      <xdr:nvSpPr>
        <xdr:cNvPr id="1261" name="Shape 1260">
          <a:extLst>
            <a:ext uri="{FF2B5EF4-FFF2-40B4-BE49-F238E27FC236}">
              <a16:creationId xmlns:a16="http://schemas.microsoft.com/office/drawing/2014/main" id="{00000000-0008-0000-0A00-0000E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22</xdr:row>
      <xdr:rowOff>9525</xdr:rowOff>
    </xdr:from>
    <xdr:ext cx="323850" cy="180975"/>
    <xdr:sp macro="" textlink="">
      <xdr:nvSpPr>
        <xdr:cNvPr id="1262" name="Shape 1261">
          <a:extLst>
            <a:ext uri="{FF2B5EF4-FFF2-40B4-BE49-F238E27FC236}">
              <a16:creationId xmlns:a16="http://schemas.microsoft.com/office/drawing/2014/main" id="{00000000-0008-0000-0A00-0000E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23</xdr:row>
      <xdr:rowOff>9525</xdr:rowOff>
    </xdr:from>
    <xdr:ext cx="323850" cy="180975"/>
    <xdr:sp macro="" textlink="">
      <xdr:nvSpPr>
        <xdr:cNvPr id="1263" name="Shape 1262">
          <a:extLst>
            <a:ext uri="{FF2B5EF4-FFF2-40B4-BE49-F238E27FC236}">
              <a16:creationId xmlns:a16="http://schemas.microsoft.com/office/drawing/2014/main" id="{00000000-0008-0000-0A00-0000E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24</xdr:row>
      <xdr:rowOff>9525</xdr:rowOff>
    </xdr:from>
    <xdr:ext cx="323850" cy="180975"/>
    <xdr:sp macro="" textlink="">
      <xdr:nvSpPr>
        <xdr:cNvPr id="1264" name="Shape 1263">
          <a:extLst>
            <a:ext uri="{FF2B5EF4-FFF2-40B4-BE49-F238E27FC236}">
              <a16:creationId xmlns:a16="http://schemas.microsoft.com/office/drawing/2014/main" id="{00000000-0008-0000-0A00-0000F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25</xdr:row>
      <xdr:rowOff>9525</xdr:rowOff>
    </xdr:from>
    <xdr:ext cx="323850" cy="180975"/>
    <xdr:sp macro="" textlink="">
      <xdr:nvSpPr>
        <xdr:cNvPr id="1265" name="Shape 1264">
          <a:extLst>
            <a:ext uri="{FF2B5EF4-FFF2-40B4-BE49-F238E27FC236}">
              <a16:creationId xmlns:a16="http://schemas.microsoft.com/office/drawing/2014/main" id="{00000000-0008-0000-0A00-0000F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26</xdr:row>
      <xdr:rowOff>9525</xdr:rowOff>
    </xdr:from>
    <xdr:ext cx="323850" cy="180975"/>
    <xdr:sp macro="" textlink="">
      <xdr:nvSpPr>
        <xdr:cNvPr id="1266" name="Shape 1265">
          <a:extLst>
            <a:ext uri="{FF2B5EF4-FFF2-40B4-BE49-F238E27FC236}">
              <a16:creationId xmlns:a16="http://schemas.microsoft.com/office/drawing/2014/main" id="{00000000-0008-0000-0A00-0000F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27</xdr:row>
      <xdr:rowOff>9525</xdr:rowOff>
    </xdr:from>
    <xdr:ext cx="323850" cy="180975"/>
    <xdr:sp macro="" textlink="">
      <xdr:nvSpPr>
        <xdr:cNvPr id="1267" name="Shape 1266">
          <a:extLst>
            <a:ext uri="{FF2B5EF4-FFF2-40B4-BE49-F238E27FC236}">
              <a16:creationId xmlns:a16="http://schemas.microsoft.com/office/drawing/2014/main" id="{00000000-0008-0000-0A00-0000F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28</xdr:row>
      <xdr:rowOff>9525</xdr:rowOff>
    </xdr:from>
    <xdr:ext cx="323850" cy="180975"/>
    <xdr:sp macro="" textlink="">
      <xdr:nvSpPr>
        <xdr:cNvPr id="1268" name="Shape 1267">
          <a:extLst>
            <a:ext uri="{FF2B5EF4-FFF2-40B4-BE49-F238E27FC236}">
              <a16:creationId xmlns:a16="http://schemas.microsoft.com/office/drawing/2014/main" id="{00000000-0008-0000-0A00-0000F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29</xdr:row>
      <xdr:rowOff>9525</xdr:rowOff>
    </xdr:from>
    <xdr:ext cx="323850" cy="180975"/>
    <xdr:sp macro="" textlink="">
      <xdr:nvSpPr>
        <xdr:cNvPr id="1269" name="Shape 1268">
          <a:extLst>
            <a:ext uri="{FF2B5EF4-FFF2-40B4-BE49-F238E27FC236}">
              <a16:creationId xmlns:a16="http://schemas.microsoft.com/office/drawing/2014/main" id="{00000000-0008-0000-0A00-0000F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30</xdr:row>
      <xdr:rowOff>9525</xdr:rowOff>
    </xdr:from>
    <xdr:ext cx="323850" cy="180975"/>
    <xdr:sp macro="" textlink="">
      <xdr:nvSpPr>
        <xdr:cNvPr id="1270" name="Shape 1269">
          <a:extLst>
            <a:ext uri="{FF2B5EF4-FFF2-40B4-BE49-F238E27FC236}">
              <a16:creationId xmlns:a16="http://schemas.microsoft.com/office/drawing/2014/main" id="{00000000-0008-0000-0A00-0000F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31</xdr:row>
      <xdr:rowOff>9525</xdr:rowOff>
    </xdr:from>
    <xdr:ext cx="323850" cy="180975"/>
    <xdr:sp macro="" textlink="">
      <xdr:nvSpPr>
        <xdr:cNvPr id="1271" name="Shape 1270">
          <a:extLst>
            <a:ext uri="{FF2B5EF4-FFF2-40B4-BE49-F238E27FC236}">
              <a16:creationId xmlns:a16="http://schemas.microsoft.com/office/drawing/2014/main" id="{00000000-0008-0000-0A00-0000F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32</xdr:row>
      <xdr:rowOff>9525</xdr:rowOff>
    </xdr:from>
    <xdr:ext cx="323850" cy="180975"/>
    <xdr:sp macro="" textlink="">
      <xdr:nvSpPr>
        <xdr:cNvPr id="1272" name="Shape 1271">
          <a:extLst>
            <a:ext uri="{FF2B5EF4-FFF2-40B4-BE49-F238E27FC236}">
              <a16:creationId xmlns:a16="http://schemas.microsoft.com/office/drawing/2014/main" id="{00000000-0008-0000-0A00-0000F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33</xdr:row>
      <xdr:rowOff>9525</xdr:rowOff>
    </xdr:from>
    <xdr:ext cx="323850" cy="180975"/>
    <xdr:sp macro="" textlink="">
      <xdr:nvSpPr>
        <xdr:cNvPr id="1273" name="Shape 1272">
          <a:extLst>
            <a:ext uri="{FF2B5EF4-FFF2-40B4-BE49-F238E27FC236}">
              <a16:creationId xmlns:a16="http://schemas.microsoft.com/office/drawing/2014/main" id="{00000000-0008-0000-0A00-0000F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34</xdr:row>
      <xdr:rowOff>9525</xdr:rowOff>
    </xdr:from>
    <xdr:ext cx="323850" cy="180975"/>
    <xdr:sp macro="" textlink="">
      <xdr:nvSpPr>
        <xdr:cNvPr id="1274" name="Shape 1273">
          <a:extLst>
            <a:ext uri="{FF2B5EF4-FFF2-40B4-BE49-F238E27FC236}">
              <a16:creationId xmlns:a16="http://schemas.microsoft.com/office/drawing/2014/main" id="{00000000-0008-0000-0A00-0000F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35</xdr:row>
      <xdr:rowOff>9525</xdr:rowOff>
    </xdr:from>
    <xdr:ext cx="323850" cy="180975"/>
    <xdr:sp macro="" textlink="">
      <xdr:nvSpPr>
        <xdr:cNvPr id="1275" name="Shape 1274">
          <a:extLst>
            <a:ext uri="{FF2B5EF4-FFF2-40B4-BE49-F238E27FC236}">
              <a16:creationId xmlns:a16="http://schemas.microsoft.com/office/drawing/2014/main" id="{00000000-0008-0000-0A00-0000F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36</xdr:row>
      <xdr:rowOff>9525</xdr:rowOff>
    </xdr:from>
    <xdr:ext cx="323850" cy="180975"/>
    <xdr:sp macro="" textlink="">
      <xdr:nvSpPr>
        <xdr:cNvPr id="1276" name="Shape 1275">
          <a:extLst>
            <a:ext uri="{FF2B5EF4-FFF2-40B4-BE49-F238E27FC236}">
              <a16:creationId xmlns:a16="http://schemas.microsoft.com/office/drawing/2014/main" id="{00000000-0008-0000-0A00-0000F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37</xdr:row>
      <xdr:rowOff>9525</xdr:rowOff>
    </xdr:from>
    <xdr:ext cx="323850" cy="180975"/>
    <xdr:sp macro="" textlink="">
      <xdr:nvSpPr>
        <xdr:cNvPr id="1277" name="Shape 1276">
          <a:extLst>
            <a:ext uri="{FF2B5EF4-FFF2-40B4-BE49-F238E27FC236}">
              <a16:creationId xmlns:a16="http://schemas.microsoft.com/office/drawing/2014/main" id="{00000000-0008-0000-0A00-0000F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38</xdr:row>
      <xdr:rowOff>9525</xdr:rowOff>
    </xdr:from>
    <xdr:ext cx="323850" cy="180975"/>
    <xdr:sp macro="" textlink="">
      <xdr:nvSpPr>
        <xdr:cNvPr id="1278" name="Shape 1277">
          <a:extLst>
            <a:ext uri="{FF2B5EF4-FFF2-40B4-BE49-F238E27FC236}">
              <a16:creationId xmlns:a16="http://schemas.microsoft.com/office/drawing/2014/main" id="{00000000-0008-0000-0A00-0000F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39</xdr:row>
      <xdr:rowOff>9525</xdr:rowOff>
    </xdr:from>
    <xdr:ext cx="323850" cy="180975"/>
    <xdr:sp macro="" textlink="">
      <xdr:nvSpPr>
        <xdr:cNvPr id="1279" name="Shape 1278">
          <a:extLst>
            <a:ext uri="{FF2B5EF4-FFF2-40B4-BE49-F238E27FC236}">
              <a16:creationId xmlns:a16="http://schemas.microsoft.com/office/drawing/2014/main" id="{00000000-0008-0000-0A00-0000F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40</xdr:row>
      <xdr:rowOff>9525</xdr:rowOff>
    </xdr:from>
    <xdr:ext cx="323850" cy="180975"/>
    <xdr:sp macro="" textlink="">
      <xdr:nvSpPr>
        <xdr:cNvPr id="1280" name="Shape 1279">
          <a:extLst>
            <a:ext uri="{FF2B5EF4-FFF2-40B4-BE49-F238E27FC236}">
              <a16:creationId xmlns:a16="http://schemas.microsoft.com/office/drawing/2014/main" id="{00000000-0008-0000-0A00-00000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41</xdr:row>
      <xdr:rowOff>9525</xdr:rowOff>
    </xdr:from>
    <xdr:ext cx="323850" cy="180975"/>
    <xdr:sp macro="" textlink="">
      <xdr:nvSpPr>
        <xdr:cNvPr id="1281" name="Shape 1280">
          <a:extLst>
            <a:ext uri="{FF2B5EF4-FFF2-40B4-BE49-F238E27FC236}">
              <a16:creationId xmlns:a16="http://schemas.microsoft.com/office/drawing/2014/main" id="{00000000-0008-0000-0A00-00000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</xdr:row>
      <xdr:rowOff>9525</xdr:rowOff>
    </xdr:from>
    <xdr:ext cx="323850" cy="180975"/>
    <xdr:sp macro="" textlink="">
      <xdr:nvSpPr>
        <xdr:cNvPr id="1282" name="Shape 1281">
          <a:extLst>
            <a:ext uri="{FF2B5EF4-FFF2-40B4-BE49-F238E27FC236}">
              <a16:creationId xmlns:a16="http://schemas.microsoft.com/office/drawing/2014/main" id="{00000000-0008-0000-0A00-00000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</xdr:row>
      <xdr:rowOff>9525</xdr:rowOff>
    </xdr:from>
    <xdr:ext cx="323850" cy="180975"/>
    <xdr:sp macro="" textlink="">
      <xdr:nvSpPr>
        <xdr:cNvPr id="1283" name="Shape 1282">
          <a:extLst>
            <a:ext uri="{FF2B5EF4-FFF2-40B4-BE49-F238E27FC236}">
              <a16:creationId xmlns:a16="http://schemas.microsoft.com/office/drawing/2014/main" id="{00000000-0008-0000-0A00-00000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4</xdr:row>
      <xdr:rowOff>9525</xdr:rowOff>
    </xdr:from>
    <xdr:ext cx="323850" cy="180975"/>
    <xdr:sp macro="" textlink="">
      <xdr:nvSpPr>
        <xdr:cNvPr id="1284" name="Shape 1283">
          <a:extLst>
            <a:ext uri="{FF2B5EF4-FFF2-40B4-BE49-F238E27FC236}">
              <a16:creationId xmlns:a16="http://schemas.microsoft.com/office/drawing/2014/main" id="{00000000-0008-0000-0A00-00000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5</xdr:row>
      <xdr:rowOff>9525</xdr:rowOff>
    </xdr:from>
    <xdr:ext cx="323850" cy="180975"/>
    <xdr:sp macro="" textlink="">
      <xdr:nvSpPr>
        <xdr:cNvPr id="1285" name="Shape 1284">
          <a:extLst>
            <a:ext uri="{FF2B5EF4-FFF2-40B4-BE49-F238E27FC236}">
              <a16:creationId xmlns:a16="http://schemas.microsoft.com/office/drawing/2014/main" id="{00000000-0008-0000-0A00-00000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6</xdr:row>
      <xdr:rowOff>9525</xdr:rowOff>
    </xdr:from>
    <xdr:ext cx="323850" cy="180975"/>
    <xdr:sp macro="" textlink="">
      <xdr:nvSpPr>
        <xdr:cNvPr id="1286" name="Shape 1285">
          <a:extLst>
            <a:ext uri="{FF2B5EF4-FFF2-40B4-BE49-F238E27FC236}">
              <a16:creationId xmlns:a16="http://schemas.microsoft.com/office/drawing/2014/main" id="{00000000-0008-0000-0A00-00000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7</xdr:row>
      <xdr:rowOff>9525</xdr:rowOff>
    </xdr:from>
    <xdr:ext cx="323850" cy="180975"/>
    <xdr:sp macro="" textlink="">
      <xdr:nvSpPr>
        <xdr:cNvPr id="1287" name="Shape 1286">
          <a:extLst>
            <a:ext uri="{FF2B5EF4-FFF2-40B4-BE49-F238E27FC236}">
              <a16:creationId xmlns:a16="http://schemas.microsoft.com/office/drawing/2014/main" id="{00000000-0008-0000-0A00-00000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8</xdr:row>
      <xdr:rowOff>9525</xdr:rowOff>
    </xdr:from>
    <xdr:ext cx="323850" cy="180975"/>
    <xdr:sp macro="" textlink="">
      <xdr:nvSpPr>
        <xdr:cNvPr id="1288" name="Shape 1287">
          <a:extLst>
            <a:ext uri="{FF2B5EF4-FFF2-40B4-BE49-F238E27FC236}">
              <a16:creationId xmlns:a16="http://schemas.microsoft.com/office/drawing/2014/main" id="{00000000-0008-0000-0A00-00000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9</xdr:row>
      <xdr:rowOff>9525</xdr:rowOff>
    </xdr:from>
    <xdr:ext cx="323850" cy="180975"/>
    <xdr:sp macro="" textlink="">
      <xdr:nvSpPr>
        <xdr:cNvPr id="1289" name="Shape 1288">
          <a:extLst>
            <a:ext uri="{FF2B5EF4-FFF2-40B4-BE49-F238E27FC236}">
              <a16:creationId xmlns:a16="http://schemas.microsoft.com/office/drawing/2014/main" id="{00000000-0008-0000-0A00-00000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10</xdr:row>
      <xdr:rowOff>9525</xdr:rowOff>
    </xdr:from>
    <xdr:ext cx="323850" cy="180975"/>
    <xdr:sp macro="" textlink="">
      <xdr:nvSpPr>
        <xdr:cNvPr id="1290" name="Shape 1289">
          <a:extLst>
            <a:ext uri="{FF2B5EF4-FFF2-40B4-BE49-F238E27FC236}">
              <a16:creationId xmlns:a16="http://schemas.microsoft.com/office/drawing/2014/main" id="{00000000-0008-0000-0A00-00000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11</xdr:row>
      <xdr:rowOff>9525</xdr:rowOff>
    </xdr:from>
    <xdr:ext cx="323850" cy="180975"/>
    <xdr:sp macro="" textlink="">
      <xdr:nvSpPr>
        <xdr:cNvPr id="1291" name="Shape 1290">
          <a:extLst>
            <a:ext uri="{FF2B5EF4-FFF2-40B4-BE49-F238E27FC236}">
              <a16:creationId xmlns:a16="http://schemas.microsoft.com/office/drawing/2014/main" id="{00000000-0008-0000-0A00-00000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12</xdr:row>
      <xdr:rowOff>9525</xdr:rowOff>
    </xdr:from>
    <xdr:ext cx="323850" cy="180975"/>
    <xdr:sp macro="" textlink="">
      <xdr:nvSpPr>
        <xdr:cNvPr id="1292" name="Shape 1291">
          <a:extLst>
            <a:ext uri="{FF2B5EF4-FFF2-40B4-BE49-F238E27FC236}">
              <a16:creationId xmlns:a16="http://schemas.microsoft.com/office/drawing/2014/main" id="{00000000-0008-0000-0A00-00000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13</xdr:row>
      <xdr:rowOff>9525</xdr:rowOff>
    </xdr:from>
    <xdr:ext cx="323850" cy="180975"/>
    <xdr:sp macro="" textlink="">
      <xdr:nvSpPr>
        <xdr:cNvPr id="1293" name="Shape 1292">
          <a:extLst>
            <a:ext uri="{FF2B5EF4-FFF2-40B4-BE49-F238E27FC236}">
              <a16:creationId xmlns:a16="http://schemas.microsoft.com/office/drawing/2014/main" id="{00000000-0008-0000-0A00-00000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14</xdr:row>
      <xdr:rowOff>9525</xdr:rowOff>
    </xdr:from>
    <xdr:ext cx="323850" cy="180975"/>
    <xdr:sp macro="" textlink="">
      <xdr:nvSpPr>
        <xdr:cNvPr id="1294" name="Shape 1293">
          <a:extLst>
            <a:ext uri="{FF2B5EF4-FFF2-40B4-BE49-F238E27FC236}">
              <a16:creationId xmlns:a16="http://schemas.microsoft.com/office/drawing/2014/main" id="{00000000-0008-0000-0A00-00000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15</xdr:row>
      <xdr:rowOff>9525</xdr:rowOff>
    </xdr:from>
    <xdr:ext cx="323850" cy="180975"/>
    <xdr:sp macro="" textlink="">
      <xdr:nvSpPr>
        <xdr:cNvPr id="1295" name="Shape 1294">
          <a:extLst>
            <a:ext uri="{FF2B5EF4-FFF2-40B4-BE49-F238E27FC236}">
              <a16:creationId xmlns:a16="http://schemas.microsoft.com/office/drawing/2014/main" id="{00000000-0008-0000-0A00-00000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16</xdr:row>
      <xdr:rowOff>9525</xdr:rowOff>
    </xdr:from>
    <xdr:ext cx="323850" cy="180975"/>
    <xdr:sp macro="" textlink="">
      <xdr:nvSpPr>
        <xdr:cNvPr id="1296" name="Shape 1295">
          <a:extLst>
            <a:ext uri="{FF2B5EF4-FFF2-40B4-BE49-F238E27FC236}">
              <a16:creationId xmlns:a16="http://schemas.microsoft.com/office/drawing/2014/main" id="{00000000-0008-0000-0A00-00001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17</xdr:row>
      <xdr:rowOff>9525</xdr:rowOff>
    </xdr:from>
    <xdr:ext cx="323850" cy="180975"/>
    <xdr:sp macro="" textlink="">
      <xdr:nvSpPr>
        <xdr:cNvPr id="1297" name="Shape 1296">
          <a:extLst>
            <a:ext uri="{FF2B5EF4-FFF2-40B4-BE49-F238E27FC236}">
              <a16:creationId xmlns:a16="http://schemas.microsoft.com/office/drawing/2014/main" id="{00000000-0008-0000-0A00-00001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18</xdr:row>
      <xdr:rowOff>9525</xdr:rowOff>
    </xdr:from>
    <xdr:ext cx="323850" cy="180975"/>
    <xdr:sp macro="" textlink="">
      <xdr:nvSpPr>
        <xdr:cNvPr id="1298" name="Shape 1297">
          <a:extLst>
            <a:ext uri="{FF2B5EF4-FFF2-40B4-BE49-F238E27FC236}">
              <a16:creationId xmlns:a16="http://schemas.microsoft.com/office/drawing/2014/main" id="{00000000-0008-0000-0A00-00001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19</xdr:row>
      <xdr:rowOff>9525</xdr:rowOff>
    </xdr:from>
    <xdr:ext cx="323850" cy="180975"/>
    <xdr:sp macro="" textlink="">
      <xdr:nvSpPr>
        <xdr:cNvPr id="1299" name="Shape 1298">
          <a:extLst>
            <a:ext uri="{FF2B5EF4-FFF2-40B4-BE49-F238E27FC236}">
              <a16:creationId xmlns:a16="http://schemas.microsoft.com/office/drawing/2014/main" id="{00000000-0008-0000-0A00-00001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20</xdr:row>
      <xdr:rowOff>9525</xdr:rowOff>
    </xdr:from>
    <xdr:ext cx="323850" cy="180975"/>
    <xdr:sp macro="" textlink="">
      <xdr:nvSpPr>
        <xdr:cNvPr id="1300" name="Shape 1299">
          <a:extLst>
            <a:ext uri="{FF2B5EF4-FFF2-40B4-BE49-F238E27FC236}">
              <a16:creationId xmlns:a16="http://schemas.microsoft.com/office/drawing/2014/main" id="{00000000-0008-0000-0A00-00001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21</xdr:row>
      <xdr:rowOff>9525</xdr:rowOff>
    </xdr:from>
    <xdr:ext cx="323850" cy="180975"/>
    <xdr:sp macro="" textlink="">
      <xdr:nvSpPr>
        <xdr:cNvPr id="1301" name="Shape 1300">
          <a:extLst>
            <a:ext uri="{FF2B5EF4-FFF2-40B4-BE49-F238E27FC236}">
              <a16:creationId xmlns:a16="http://schemas.microsoft.com/office/drawing/2014/main" id="{00000000-0008-0000-0A00-00001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22</xdr:row>
      <xdr:rowOff>9525</xdr:rowOff>
    </xdr:from>
    <xdr:ext cx="323850" cy="180975"/>
    <xdr:sp macro="" textlink="">
      <xdr:nvSpPr>
        <xdr:cNvPr id="1302" name="Shape 1301">
          <a:extLst>
            <a:ext uri="{FF2B5EF4-FFF2-40B4-BE49-F238E27FC236}">
              <a16:creationId xmlns:a16="http://schemas.microsoft.com/office/drawing/2014/main" id="{00000000-0008-0000-0A00-00001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23</xdr:row>
      <xdr:rowOff>9525</xdr:rowOff>
    </xdr:from>
    <xdr:ext cx="323850" cy="180975"/>
    <xdr:sp macro="" textlink="">
      <xdr:nvSpPr>
        <xdr:cNvPr id="1303" name="Shape 1302">
          <a:extLst>
            <a:ext uri="{FF2B5EF4-FFF2-40B4-BE49-F238E27FC236}">
              <a16:creationId xmlns:a16="http://schemas.microsoft.com/office/drawing/2014/main" id="{00000000-0008-0000-0A00-00001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24</xdr:row>
      <xdr:rowOff>9525</xdr:rowOff>
    </xdr:from>
    <xdr:ext cx="323850" cy="180975"/>
    <xdr:sp macro="" textlink="">
      <xdr:nvSpPr>
        <xdr:cNvPr id="1304" name="Shape 1303">
          <a:extLst>
            <a:ext uri="{FF2B5EF4-FFF2-40B4-BE49-F238E27FC236}">
              <a16:creationId xmlns:a16="http://schemas.microsoft.com/office/drawing/2014/main" id="{00000000-0008-0000-0A00-00001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25</xdr:row>
      <xdr:rowOff>9525</xdr:rowOff>
    </xdr:from>
    <xdr:ext cx="323850" cy="180975"/>
    <xdr:sp macro="" textlink="">
      <xdr:nvSpPr>
        <xdr:cNvPr id="1305" name="Shape 1304">
          <a:extLst>
            <a:ext uri="{FF2B5EF4-FFF2-40B4-BE49-F238E27FC236}">
              <a16:creationId xmlns:a16="http://schemas.microsoft.com/office/drawing/2014/main" id="{00000000-0008-0000-0A00-00001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26</xdr:row>
      <xdr:rowOff>9525</xdr:rowOff>
    </xdr:from>
    <xdr:ext cx="323850" cy="180975"/>
    <xdr:sp macro="" textlink="">
      <xdr:nvSpPr>
        <xdr:cNvPr id="1306" name="Shape 1305">
          <a:extLst>
            <a:ext uri="{FF2B5EF4-FFF2-40B4-BE49-F238E27FC236}">
              <a16:creationId xmlns:a16="http://schemas.microsoft.com/office/drawing/2014/main" id="{00000000-0008-0000-0A00-00001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27</xdr:row>
      <xdr:rowOff>9525</xdr:rowOff>
    </xdr:from>
    <xdr:ext cx="323850" cy="180975"/>
    <xdr:sp macro="" textlink="">
      <xdr:nvSpPr>
        <xdr:cNvPr id="1307" name="Shape 1306">
          <a:extLst>
            <a:ext uri="{FF2B5EF4-FFF2-40B4-BE49-F238E27FC236}">
              <a16:creationId xmlns:a16="http://schemas.microsoft.com/office/drawing/2014/main" id="{00000000-0008-0000-0A00-00001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28</xdr:row>
      <xdr:rowOff>9525</xdr:rowOff>
    </xdr:from>
    <xdr:ext cx="323850" cy="180975"/>
    <xdr:sp macro="" textlink="">
      <xdr:nvSpPr>
        <xdr:cNvPr id="1308" name="Shape 1307">
          <a:extLst>
            <a:ext uri="{FF2B5EF4-FFF2-40B4-BE49-F238E27FC236}">
              <a16:creationId xmlns:a16="http://schemas.microsoft.com/office/drawing/2014/main" id="{00000000-0008-0000-0A00-00001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29</xdr:row>
      <xdr:rowOff>9525</xdr:rowOff>
    </xdr:from>
    <xdr:ext cx="323850" cy="180975"/>
    <xdr:sp macro="" textlink="">
      <xdr:nvSpPr>
        <xdr:cNvPr id="1309" name="Shape 1308">
          <a:extLst>
            <a:ext uri="{FF2B5EF4-FFF2-40B4-BE49-F238E27FC236}">
              <a16:creationId xmlns:a16="http://schemas.microsoft.com/office/drawing/2014/main" id="{00000000-0008-0000-0A00-00001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30</xdr:row>
      <xdr:rowOff>9525</xdr:rowOff>
    </xdr:from>
    <xdr:ext cx="323850" cy="180975"/>
    <xdr:sp macro="" textlink="">
      <xdr:nvSpPr>
        <xdr:cNvPr id="1310" name="Shape 1309">
          <a:extLst>
            <a:ext uri="{FF2B5EF4-FFF2-40B4-BE49-F238E27FC236}">
              <a16:creationId xmlns:a16="http://schemas.microsoft.com/office/drawing/2014/main" id="{00000000-0008-0000-0A00-00001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31</xdr:row>
      <xdr:rowOff>9525</xdr:rowOff>
    </xdr:from>
    <xdr:ext cx="323850" cy="180975"/>
    <xdr:sp macro="" textlink="">
      <xdr:nvSpPr>
        <xdr:cNvPr id="1311" name="Shape 1310">
          <a:extLst>
            <a:ext uri="{FF2B5EF4-FFF2-40B4-BE49-F238E27FC236}">
              <a16:creationId xmlns:a16="http://schemas.microsoft.com/office/drawing/2014/main" id="{00000000-0008-0000-0A00-00001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32</xdr:row>
      <xdr:rowOff>9525</xdr:rowOff>
    </xdr:from>
    <xdr:ext cx="323850" cy="180975"/>
    <xdr:sp macro="" textlink="">
      <xdr:nvSpPr>
        <xdr:cNvPr id="1312" name="Shape 1311">
          <a:extLst>
            <a:ext uri="{FF2B5EF4-FFF2-40B4-BE49-F238E27FC236}">
              <a16:creationId xmlns:a16="http://schemas.microsoft.com/office/drawing/2014/main" id="{00000000-0008-0000-0A00-00002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33</xdr:row>
      <xdr:rowOff>9525</xdr:rowOff>
    </xdr:from>
    <xdr:ext cx="323850" cy="180975"/>
    <xdr:sp macro="" textlink="">
      <xdr:nvSpPr>
        <xdr:cNvPr id="1313" name="Shape 1312">
          <a:extLst>
            <a:ext uri="{FF2B5EF4-FFF2-40B4-BE49-F238E27FC236}">
              <a16:creationId xmlns:a16="http://schemas.microsoft.com/office/drawing/2014/main" id="{00000000-0008-0000-0A00-00002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34</xdr:row>
      <xdr:rowOff>9525</xdr:rowOff>
    </xdr:from>
    <xdr:ext cx="323850" cy="180975"/>
    <xdr:sp macro="" textlink="">
      <xdr:nvSpPr>
        <xdr:cNvPr id="1314" name="Shape 1313">
          <a:extLst>
            <a:ext uri="{FF2B5EF4-FFF2-40B4-BE49-F238E27FC236}">
              <a16:creationId xmlns:a16="http://schemas.microsoft.com/office/drawing/2014/main" id="{00000000-0008-0000-0A00-00002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35</xdr:row>
      <xdr:rowOff>9525</xdr:rowOff>
    </xdr:from>
    <xdr:ext cx="323850" cy="180975"/>
    <xdr:sp macro="" textlink="">
      <xdr:nvSpPr>
        <xdr:cNvPr id="1315" name="Shape 1314">
          <a:extLst>
            <a:ext uri="{FF2B5EF4-FFF2-40B4-BE49-F238E27FC236}">
              <a16:creationId xmlns:a16="http://schemas.microsoft.com/office/drawing/2014/main" id="{00000000-0008-0000-0A00-00002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36</xdr:row>
      <xdr:rowOff>9525</xdr:rowOff>
    </xdr:from>
    <xdr:ext cx="323850" cy="180975"/>
    <xdr:sp macro="" textlink="">
      <xdr:nvSpPr>
        <xdr:cNvPr id="1316" name="Shape 1315">
          <a:extLst>
            <a:ext uri="{FF2B5EF4-FFF2-40B4-BE49-F238E27FC236}">
              <a16:creationId xmlns:a16="http://schemas.microsoft.com/office/drawing/2014/main" id="{00000000-0008-0000-0A00-00002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37</xdr:row>
      <xdr:rowOff>9525</xdr:rowOff>
    </xdr:from>
    <xdr:ext cx="323850" cy="180975"/>
    <xdr:sp macro="" textlink="">
      <xdr:nvSpPr>
        <xdr:cNvPr id="1317" name="Shape 1316">
          <a:extLst>
            <a:ext uri="{FF2B5EF4-FFF2-40B4-BE49-F238E27FC236}">
              <a16:creationId xmlns:a16="http://schemas.microsoft.com/office/drawing/2014/main" id="{00000000-0008-0000-0A00-00002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38</xdr:row>
      <xdr:rowOff>9525</xdr:rowOff>
    </xdr:from>
    <xdr:ext cx="323850" cy="180975"/>
    <xdr:sp macro="" textlink="">
      <xdr:nvSpPr>
        <xdr:cNvPr id="1318" name="Shape 1317">
          <a:extLst>
            <a:ext uri="{FF2B5EF4-FFF2-40B4-BE49-F238E27FC236}">
              <a16:creationId xmlns:a16="http://schemas.microsoft.com/office/drawing/2014/main" id="{00000000-0008-0000-0A00-00002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39</xdr:row>
      <xdr:rowOff>9525</xdr:rowOff>
    </xdr:from>
    <xdr:ext cx="323850" cy="180975"/>
    <xdr:sp macro="" textlink="">
      <xdr:nvSpPr>
        <xdr:cNvPr id="1319" name="Shape 1318">
          <a:extLst>
            <a:ext uri="{FF2B5EF4-FFF2-40B4-BE49-F238E27FC236}">
              <a16:creationId xmlns:a16="http://schemas.microsoft.com/office/drawing/2014/main" id="{00000000-0008-0000-0A00-00002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40</xdr:row>
      <xdr:rowOff>9525</xdr:rowOff>
    </xdr:from>
    <xdr:ext cx="323850" cy="180975"/>
    <xdr:sp macro="" textlink="">
      <xdr:nvSpPr>
        <xdr:cNvPr id="1320" name="Shape 1319">
          <a:extLst>
            <a:ext uri="{FF2B5EF4-FFF2-40B4-BE49-F238E27FC236}">
              <a16:creationId xmlns:a16="http://schemas.microsoft.com/office/drawing/2014/main" id="{00000000-0008-0000-0A00-00002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41</xdr:row>
      <xdr:rowOff>9525</xdr:rowOff>
    </xdr:from>
    <xdr:ext cx="323850" cy="180975"/>
    <xdr:sp macro="" textlink="">
      <xdr:nvSpPr>
        <xdr:cNvPr id="1321" name="Shape 1320">
          <a:extLst>
            <a:ext uri="{FF2B5EF4-FFF2-40B4-BE49-F238E27FC236}">
              <a16:creationId xmlns:a16="http://schemas.microsoft.com/office/drawing/2014/main" id="{00000000-0008-0000-0A00-00002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</xdr:row>
      <xdr:rowOff>9525</xdr:rowOff>
    </xdr:from>
    <xdr:ext cx="323850" cy="180975"/>
    <xdr:sp macro="" textlink="">
      <xdr:nvSpPr>
        <xdr:cNvPr id="1322" name="Shape 1321">
          <a:extLst>
            <a:ext uri="{FF2B5EF4-FFF2-40B4-BE49-F238E27FC236}">
              <a16:creationId xmlns:a16="http://schemas.microsoft.com/office/drawing/2014/main" id="{00000000-0008-0000-0A00-00002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</xdr:row>
      <xdr:rowOff>9525</xdr:rowOff>
    </xdr:from>
    <xdr:ext cx="323850" cy="180975"/>
    <xdr:sp macro="" textlink="">
      <xdr:nvSpPr>
        <xdr:cNvPr id="1323" name="Shape 1322">
          <a:extLst>
            <a:ext uri="{FF2B5EF4-FFF2-40B4-BE49-F238E27FC236}">
              <a16:creationId xmlns:a16="http://schemas.microsoft.com/office/drawing/2014/main" id="{00000000-0008-0000-0A00-00002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4</xdr:row>
      <xdr:rowOff>9525</xdr:rowOff>
    </xdr:from>
    <xdr:ext cx="323850" cy="180975"/>
    <xdr:sp macro="" textlink="">
      <xdr:nvSpPr>
        <xdr:cNvPr id="1324" name="Shape 1323">
          <a:extLst>
            <a:ext uri="{FF2B5EF4-FFF2-40B4-BE49-F238E27FC236}">
              <a16:creationId xmlns:a16="http://schemas.microsoft.com/office/drawing/2014/main" id="{00000000-0008-0000-0A00-00002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5</xdr:row>
      <xdr:rowOff>9525</xdr:rowOff>
    </xdr:from>
    <xdr:ext cx="323850" cy="180975"/>
    <xdr:sp macro="" textlink="">
      <xdr:nvSpPr>
        <xdr:cNvPr id="1325" name="Shape 1324">
          <a:extLst>
            <a:ext uri="{FF2B5EF4-FFF2-40B4-BE49-F238E27FC236}">
              <a16:creationId xmlns:a16="http://schemas.microsoft.com/office/drawing/2014/main" id="{00000000-0008-0000-0A00-00002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6</xdr:row>
      <xdr:rowOff>9525</xdr:rowOff>
    </xdr:from>
    <xdr:ext cx="323850" cy="180975"/>
    <xdr:sp macro="" textlink="">
      <xdr:nvSpPr>
        <xdr:cNvPr id="1326" name="Shape 1325">
          <a:extLst>
            <a:ext uri="{FF2B5EF4-FFF2-40B4-BE49-F238E27FC236}">
              <a16:creationId xmlns:a16="http://schemas.microsoft.com/office/drawing/2014/main" id="{00000000-0008-0000-0A00-00002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7</xdr:row>
      <xdr:rowOff>9525</xdr:rowOff>
    </xdr:from>
    <xdr:ext cx="323850" cy="180975"/>
    <xdr:sp macro="" textlink="">
      <xdr:nvSpPr>
        <xdr:cNvPr id="1327" name="Shape 1326">
          <a:extLst>
            <a:ext uri="{FF2B5EF4-FFF2-40B4-BE49-F238E27FC236}">
              <a16:creationId xmlns:a16="http://schemas.microsoft.com/office/drawing/2014/main" id="{00000000-0008-0000-0A00-00002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8</xdr:row>
      <xdr:rowOff>9525</xdr:rowOff>
    </xdr:from>
    <xdr:ext cx="323850" cy="180975"/>
    <xdr:sp macro="" textlink="">
      <xdr:nvSpPr>
        <xdr:cNvPr id="1328" name="Shape 1327">
          <a:extLst>
            <a:ext uri="{FF2B5EF4-FFF2-40B4-BE49-F238E27FC236}">
              <a16:creationId xmlns:a16="http://schemas.microsoft.com/office/drawing/2014/main" id="{00000000-0008-0000-0A00-00003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9</xdr:row>
      <xdr:rowOff>9525</xdr:rowOff>
    </xdr:from>
    <xdr:ext cx="323850" cy="180975"/>
    <xdr:sp macro="" textlink="">
      <xdr:nvSpPr>
        <xdr:cNvPr id="1329" name="Shape 1328">
          <a:extLst>
            <a:ext uri="{FF2B5EF4-FFF2-40B4-BE49-F238E27FC236}">
              <a16:creationId xmlns:a16="http://schemas.microsoft.com/office/drawing/2014/main" id="{00000000-0008-0000-0A00-00003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10</xdr:row>
      <xdr:rowOff>9525</xdr:rowOff>
    </xdr:from>
    <xdr:ext cx="323850" cy="180975"/>
    <xdr:sp macro="" textlink="">
      <xdr:nvSpPr>
        <xdr:cNvPr id="1330" name="Shape 1329">
          <a:extLst>
            <a:ext uri="{FF2B5EF4-FFF2-40B4-BE49-F238E27FC236}">
              <a16:creationId xmlns:a16="http://schemas.microsoft.com/office/drawing/2014/main" id="{00000000-0008-0000-0A00-00003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11</xdr:row>
      <xdr:rowOff>9525</xdr:rowOff>
    </xdr:from>
    <xdr:ext cx="323850" cy="180975"/>
    <xdr:sp macro="" textlink="">
      <xdr:nvSpPr>
        <xdr:cNvPr id="1331" name="Shape 1330">
          <a:extLst>
            <a:ext uri="{FF2B5EF4-FFF2-40B4-BE49-F238E27FC236}">
              <a16:creationId xmlns:a16="http://schemas.microsoft.com/office/drawing/2014/main" id="{00000000-0008-0000-0A00-00003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12</xdr:row>
      <xdr:rowOff>9525</xdr:rowOff>
    </xdr:from>
    <xdr:ext cx="323850" cy="180975"/>
    <xdr:sp macro="" textlink="">
      <xdr:nvSpPr>
        <xdr:cNvPr id="1332" name="Shape 1331">
          <a:extLst>
            <a:ext uri="{FF2B5EF4-FFF2-40B4-BE49-F238E27FC236}">
              <a16:creationId xmlns:a16="http://schemas.microsoft.com/office/drawing/2014/main" id="{00000000-0008-0000-0A00-00003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13</xdr:row>
      <xdr:rowOff>9525</xdr:rowOff>
    </xdr:from>
    <xdr:ext cx="323850" cy="180975"/>
    <xdr:sp macro="" textlink="">
      <xdr:nvSpPr>
        <xdr:cNvPr id="1333" name="Shape 1332">
          <a:extLst>
            <a:ext uri="{FF2B5EF4-FFF2-40B4-BE49-F238E27FC236}">
              <a16:creationId xmlns:a16="http://schemas.microsoft.com/office/drawing/2014/main" id="{00000000-0008-0000-0A00-00003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14</xdr:row>
      <xdr:rowOff>9525</xdr:rowOff>
    </xdr:from>
    <xdr:ext cx="323850" cy="180975"/>
    <xdr:sp macro="" textlink="">
      <xdr:nvSpPr>
        <xdr:cNvPr id="1334" name="Shape 1333">
          <a:extLst>
            <a:ext uri="{FF2B5EF4-FFF2-40B4-BE49-F238E27FC236}">
              <a16:creationId xmlns:a16="http://schemas.microsoft.com/office/drawing/2014/main" id="{00000000-0008-0000-0A00-00003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15</xdr:row>
      <xdr:rowOff>9525</xdr:rowOff>
    </xdr:from>
    <xdr:ext cx="323850" cy="180975"/>
    <xdr:sp macro="" textlink="">
      <xdr:nvSpPr>
        <xdr:cNvPr id="1335" name="Shape 1334">
          <a:extLst>
            <a:ext uri="{FF2B5EF4-FFF2-40B4-BE49-F238E27FC236}">
              <a16:creationId xmlns:a16="http://schemas.microsoft.com/office/drawing/2014/main" id="{00000000-0008-0000-0A00-00003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16</xdr:row>
      <xdr:rowOff>9525</xdr:rowOff>
    </xdr:from>
    <xdr:ext cx="323850" cy="180975"/>
    <xdr:sp macro="" textlink="">
      <xdr:nvSpPr>
        <xdr:cNvPr id="1336" name="Shape 1335">
          <a:extLst>
            <a:ext uri="{FF2B5EF4-FFF2-40B4-BE49-F238E27FC236}">
              <a16:creationId xmlns:a16="http://schemas.microsoft.com/office/drawing/2014/main" id="{00000000-0008-0000-0A00-00003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17</xdr:row>
      <xdr:rowOff>9525</xdr:rowOff>
    </xdr:from>
    <xdr:ext cx="323850" cy="180975"/>
    <xdr:sp macro="" textlink="">
      <xdr:nvSpPr>
        <xdr:cNvPr id="1337" name="Shape 1336">
          <a:extLst>
            <a:ext uri="{FF2B5EF4-FFF2-40B4-BE49-F238E27FC236}">
              <a16:creationId xmlns:a16="http://schemas.microsoft.com/office/drawing/2014/main" id="{00000000-0008-0000-0A00-00003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18</xdr:row>
      <xdr:rowOff>9525</xdr:rowOff>
    </xdr:from>
    <xdr:ext cx="323850" cy="180975"/>
    <xdr:sp macro="" textlink="">
      <xdr:nvSpPr>
        <xdr:cNvPr id="1338" name="Shape 1337">
          <a:extLst>
            <a:ext uri="{FF2B5EF4-FFF2-40B4-BE49-F238E27FC236}">
              <a16:creationId xmlns:a16="http://schemas.microsoft.com/office/drawing/2014/main" id="{00000000-0008-0000-0A00-00003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19</xdr:row>
      <xdr:rowOff>9525</xdr:rowOff>
    </xdr:from>
    <xdr:ext cx="323850" cy="180975"/>
    <xdr:sp macro="" textlink="">
      <xdr:nvSpPr>
        <xdr:cNvPr id="1339" name="Shape 1338">
          <a:extLst>
            <a:ext uri="{FF2B5EF4-FFF2-40B4-BE49-F238E27FC236}">
              <a16:creationId xmlns:a16="http://schemas.microsoft.com/office/drawing/2014/main" id="{00000000-0008-0000-0A00-00003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20</xdr:row>
      <xdr:rowOff>9525</xdr:rowOff>
    </xdr:from>
    <xdr:ext cx="323850" cy="180975"/>
    <xdr:sp macro="" textlink="">
      <xdr:nvSpPr>
        <xdr:cNvPr id="1340" name="Shape 1339">
          <a:extLst>
            <a:ext uri="{FF2B5EF4-FFF2-40B4-BE49-F238E27FC236}">
              <a16:creationId xmlns:a16="http://schemas.microsoft.com/office/drawing/2014/main" id="{00000000-0008-0000-0A00-00003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21</xdr:row>
      <xdr:rowOff>9525</xdr:rowOff>
    </xdr:from>
    <xdr:ext cx="323850" cy="180975"/>
    <xdr:sp macro="" textlink="">
      <xdr:nvSpPr>
        <xdr:cNvPr id="1341" name="Shape 1340">
          <a:extLst>
            <a:ext uri="{FF2B5EF4-FFF2-40B4-BE49-F238E27FC236}">
              <a16:creationId xmlns:a16="http://schemas.microsoft.com/office/drawing/2014/main" id="{00000000-0008-0000-0A00-00003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22</xdr:row>
      <xdr:rowOff>9525</xdr:rowOff>
    </xdr:from>
    <xdr:ext cx="323850" cy="180975"/>
    <xdr:sp macro="" textlink="">
      <xdr:nvSpPr>
        <xdr:cNvPr id="1342" name="Shape 1341">
          <a:extLst>
            <a:ext uri="{FF2B5EF4-FFF2-40B4-BE49-F238E27FC236}">
              <a16:creationId xmlns:a16="http://schemas.microsoft.com/office/drawing/2014/main" id="{00000000-0008-0000-0A00-00003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23</xdr:row>
      <xdr:rowOff>9525</xdr:rowOff>
    </xdr:from>
    <xdr:ext cx="323850" cy="180975"/>
    <xdr:sp macro="" textlink="">
      <xdr:nvSpPr>
        <xdr:cNvPr id="1343" name="Shape 1342">
          <a:extLst>
            <a:ext uri="{FF2B5EF4-FFF2-40B4-BE49-F238E27FC236}">
              <a16:creationId xmlns:a16="http://schemas.microsoft.com/office/drawing/2014/main" id="{00000000-0008-0000-0A00-00003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24</xdr:row>
      <xdr:rowOff>9525</xdr:rowOff>
    </xdr:from>
    <xdr:ext cx="323850" cy="180975"/>
    <xdr:sp macro="" textlink="">
      <xdr:nvSpPr>
        <xdr:cNvPr id="1344" name="Shape 1343">
          <a:extLst>
            <a:ext uri="{FF2B5EF4-FFF2-40B4-BE49-F238E27FC236}">
              <a16:creationId xmlns:a16="http://schemas.microsoft.com/office/drawing/2014/main" id="{00000000-0008-0000-0A00-00004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25</xdr:row>
      <xdr:rowOff>9525</xdr:rowOff>
    </xdr:from>
    <xdr:ext cx="323850" cy="180975"/>
    <xdr:sp macro="" textlink="">
      <xdr:nvSpPr>
        <xdr:cNvPr id="1345" name="Shape 1344">
          <a:extLst>
            <a:ext uri="{FF2B5EF4-FFF2-40B4-BE49-F238E27FC236}">
              <a16:creationId xmlns:a16="http://schemas.microsoft.com/office/drawing/2014/main" id="{00000000-0008-0000-0A00-00004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26</xdr:row>
      <xdr:rowOff>9525</xdr:rowOff>
    </xdr:from>
    <xdr:ext cx="323850" cy="180975"/>
    <xdr:sp macro="" textlink="">
      <xdr:nvSpPr>
        <xdr:cNvPr id="1346" name="Shape 1345">
          <a:extLst>
            <a:ext uri="{FF2B5EF4-FFF2-40B4-BE49-F238E27FC236}">
              <a16:creationId xmlns:a16="http://schemas.microsoft.com/office/drawing/2014/main" id="{00000000-0008-0000-0A00-00004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27</xdr:row>
      <xdr:rowOff>9525</xdr:rowOff>
    </xdr:from>
    <xdr:ext cx="323850" cy="180975"/>
    <xdr:sp macro="" textlink="">
      <xdr:nvSpPr>
        <xdr:cNvPr id="1347" name="Shape 1346">
          <a:extLst>
            <a:ext uri="{FF2B5EF4-FFF2-40B4-BE49-F238E27FC236}">
              <a16:creationId xmlns:a16="http://schemas.microsoft.com/office/drawing/2014/main" id="{00000000-0008-0000-0A00-00004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28</xdr:row>
      <xdr:rowOff>9525</xdr:rowOff>
    </xdr:from>
    <xdr:ext cx="323850" cy="180975"/>
    <xdr:sp macro="" textlink="">
      <xdr:nvSpPr>
        <xdr:cNvPr id="1348" name="Shape 1347">
          <a:extLst>
            <a:ext uri="{FF2B5EF4-FFF2-40B4-BE49-F238E27FC236}">
              <a16:creationId xmlns:a16="http://schemas.microsoft.com/office/drawing/2014/main" id="{00000000-0008-0000-0A00-00004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29</xdr:row>
      <xdr:rowOff>9525</xdr:rowOff>
    </xdr:from>
    <xdr:ext cx="323850" cy="180975"/>
    <xdr:sp macro="" textlink="">
      <xdr:nvSpPr>
        <xdr:cNvPr id="1349" name="Shape 1348">
          <a:extLst>
            <a:ext uri="{FF2B5EF4-FFF2-40B4-BE49-F238E27FC236}">
              <a16:creationId xmlns:a16="http://schemas.microsoft.com/office/drawing/2014/main" id="{00000000-0008-0000-0A00-00004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30</xdr:row>
      <xdr:rowOff>9525</xdr:rowOff>
    </xdr:from>
    <xdr:ext cx="323850" cy="180975"/>
    <xdr:sp macro="" textlink="">
      <xdr:nvSpPr>
        <xdr:cNvPr id="1350" name="Shape 1349">
          <a:extLst>
            <a:ext uri="{FF2B5EF4-FFF2-40B4-BE49-F238E27FC236}">
              <a16:creationId xmlns:a16="http://schemas.microsoft.com/office/drawing/2014/main" id="{00000000-0008-0000-0A00-00004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31</xdr:row>
      <xdr:rowOff>9525</xdr:rowOff>
    </xdr:from>
    <xdr:ext cx="323850" cy="180975"/>
    <xdr:sp macro="" textlink="">
      <xdr:nvSpPr>
        <xdr:cNvPr id="1351" name="Shape 1350">
          <a:extLst>
            <a:ext uri="{FF2B5EF4-FFF2-40B4-BE49-F238E27FC236}">
              <a16:creationId xmlns:a16="http://schemas.microsoft.com/office/drawing/2014/main" id="{00000000-0008-0000-0A00-00004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32</xdr:row>
      <xdr:rowOff>9525</xdr:rowOff>
    </xdr:from>
    <xdr:ext cx="323850" cy="180975"/>
    <xdr:sp macro="" textlink="">
      <xdr:nvSpPr>
        <xdr:cNvPr id="1352" name="Shape 1351">
          <a:extLst>
            <a:ext uri="{FF2B5EF4-FFF2-40B4-BE49-F238E27FC236}">
              <a16:creationId xmlns:a16="http://schemas.microsoft.com/office/drawing/2014/main" id="{00000000-0008-0000-0A00-00004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33</xdr:row>
      <xdr:rowOff>9525</xdr:rowOff>
    </xdr:from>
    <xdr:ext cx="323850" cy="180975"/>
    <xdr:sp macro="" textlink="">
      <xdr:nvSpPr>
        <xdr:cNvPr id="1353" name="Shape 1352">
          <a:extLst>
            <a:ext uri="{FF2B5EF4-FFF2-40B4-BE49-F238E27FC236}">
              <a16:creationId xmlns:a16="http://schemas.microsoft.com/office/drawing/2014/main" id="{00000000-0008-0000-0A00-00004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34</xdr:row>
      <xdr:rowOff>9525</xdr:rowOff>
    </xdr:from>
    <xdr:ext cx="323850" cy="180975"/>
    <xdr:sp macro="" textlink="">
      <xdr:nvSpPr>
        <xdr:cNvPr id="1354" name="Shape 1353">
          <a:extLst>
            <a:ext uri="{FF2B5EF4-FFF2-40B4-BE49-F238E27FC236}">
              <a16:creationId xmlns:a16="http://schemas.microsoft.com/office/drawing/2014/main" id="{00000000-0008-0000-0A00-00004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35</xdr:row>
      <xdr:rowOff>9525</xdr:rowOff>
    </xdr:from>
    <xdr:ext cx="323850" cy="180975"/>
    <xdr:sp macro="" textlink="">
      <xdr:nvSpPr>
        <xdr:cNvPr id="1355" name="Shape 1354">
          <a:extLst>
            <a:ext uri="{FF2B5EF4-FFF2-40B4-BE49-F238E27FC236}">
              <a16:creationId xmlns:a16="http://schemas.microsoft.com/office/drawing/2014/main" id="{00000000-0008-0000-0A00-00004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36</xdr:row>
      <xdr:rowOff>9525</xdr:rowOff>
    </xdr:from>
    <xdr:ext cx="323850" cy="180975"/>
    <xdr:sp macro="" textlink="">
      <xdr:nvSpPr>
        <xdr:cNvPr id="1356" name="Shape 1355">
          <a:extLst>
            <a:ext uri="{FF2B5EF4-FFF2-40B4-BE49-F238E27FC236}">
              <a16:creationId xmlns:a16="http://schemas.microsoft.com/office/drawing/2014/main" id="{00000000-0008-0000-0A00-00004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37</xdr:row>
      <xdr:rowOff>9525</xdr:rowOff>
    </xdr:from>
    <xdr:ext cx="323850" cy="180975"/>
    <xdr:sp macro="" textlink="">
      <xdr:nvSpPr>
        <xdr:cNvPr id="1357" name="Shape 1356">
          <a:extLst>
            <a:ext uri="{FF2B5EF4-FFF2-40B4-BE49-F238E27FC236}">
              <a16:creationId xmlns:a16="http://schemas.microsoft.com/office/drawing/2014/main" id="{00000000-0008-0000-0A00-00004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38</xdr:row>
      <xdr:rowOff>9525</xdr:rowOff>
    </xdr:from>
    <xdr:ext cx="323850" cy="180975"/>
    <xdr:sp macro="" textlink="">
      <xdr:nvSpPr>
        <xdr:cNvPr id="1358" name="Shape 1357">
          <a:extLst>
            <a:ext uri="{FF2B5EF4-FFF2-40B4-BE49-F238E27FC236}">
              <a16:creationId xmlns:a16="http://schemas.microsoft.com/office/drawing/2014/main" id="{00000000-0008-0000-0A00-00004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39</xdr:row>
      <xdr:rowOff>9525</xdr:rowOff>
    </xdr:from>
    <xdr:ext cx="323850" cy="180975"/>
    <xdr:sp macro="" textlink="">
      <xdr:nvSpPr>
        <xdr:cNvPr id="1359" name="Shape 1358">
          <a:extLst>
            <a:ext uri="{FF2B5EF4-FFF2-40B4-BE49-F238E27FC236}">
              <a16:creationId xmlns:a16="http://schemas.microsoft.com/office/drawing/2014/main" id="{00000000-0008-0000-0A00-00004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40</xdr:row>
      <xdr:rowOff>9525</xdr:rowOff>
    </xdr:from>
    <xdr:ext cx="323850" cy="180975"/>
    <xdr:sp macro="" textlink="">
      <xdr:nvSpPr>
        <xdr:cNvPr id="1360" name="Shape 1359">
          <a:extLst>
            <a:ext uri="{FF2B5EF4-FFF2-40B4-BE49-F238E27FC236}">
              <a16:creationId xmlns:a16="http://schemas.microsoft.com/office/drawing/2014/main" id="{00000000-0008-0000-0A00-00005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41</xdr:row>
      <xdr:rowOff>9525</xdr:rowOff>
    </xdr:from>
    <xdr:ext cx="323850" cy="180975"/>
    <xdr:sp macro="" textlink="">
      <xdr:nvSpPr>
        <xdr:cNvPr id="1361" name="Shape 1360">
          <a:extLst>
            <a:ext uri="{FF2B5EF4-FFF2-40B4-BE49-F238E27FC236}">
              <a16:creationId xmlns:a16="http://schemas.microsoft.com/office/drawing/2014/main" id="{00000000-0008-0000-0A00-00005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</xdr:row>
      <xdr:rowOff>9525</xdr:rowOff>
    </xdr:from>
    <xdr:ext cx="323850" cy="180975"/>
    <xdr:sp macro="" textlink="">
      <xdr:nvSpPr>
        <xdr:cNvPr id="1362" name="Shape 1361">
          <a:extLst>
            <a:ext uri="{FF2B5EF4-FFF2-40B4-BE49-F238E27FC236}">
              <a16:creationId xmlns:a16="http://schemas.microsoft.com/office/drawing/2014/main" id="{00000000-0008-0000-0A00-00005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</xdr:row>
      <xdr:rowOff>9525</xdr:rowOff>
    </xdr:from>
    <xdr:ext cx="323850" cy="180975"/>
    <xdr:sp macro="" textlink="">
      <xdr:nvSpPr>
        <xdr:cNvPr id="1363" name="Shape 1362">
          <a:extLst>
            <a:ext uri="{FF2B5EF4-FFF2-40B4-BE49-F238E27FC236}">
              <a16:creationId xmlns:a16="http://schemas.microsoft.com/office/drawing/2014/main" id="{00000000-0008-0000-0A00-00005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4</xdr:row>
      <xdr:rowOff>9525</xdr:rowOff>
    </xdr:from>
    <xdr:ext cx="323850" cy="180975"/>
    <xdr:sp macro="" textlink="">
      <xdr:nvSpPr>
        <xdr:cNvPr id="1364" name="Shape 1363">
          <a:extLst>
            <a:ext uri="{FF2B5EF4-FFF2-40B4-BE49-F238E27FC236}">
              <a16:creationId xmlns:a16="http://schemas.microsoft.com/office/drawing/2014/main" id="{00000000-0008-0000-0A00-00005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5</xdr:row>
      <xdr:rowOff>9525</xdr:rowOff>
    </xdr:from>
    <xdr:ext cx="323850" cy="180975"/>
    <xdr:sp macro="" textlink="">
      <xdr:nvSpPr>
        <xdr:cNvPr id="1365" name="Shape 1364">
          <a:extLst>
            <a:ext uri="{FF2B5EF4-FFF2-40B4-BE49-F238E27FC236}">
              <a16:creationId xmlns:a16="http://schemas.microsoft.com/office/drawing/2014/main" id="{00000000-0008-0000-0A00-00005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6</xdr:row>
      <xdr:rowOff>9525</xdr:rowOff>
    </xdr:from>
    <xdr:ext cx="323850" cy="180975"/>
    <xdr:sp macro="" textlink="">
      <xdr:nvSpPr>
        <xdr:cNvPr id="1366" name="Shape 1365">
          <a:extLst>
            <a:ext uri="{FF2B5EF4-FFF2-40B4-BE49-F238E27FC236}">
              <a16:creationId xmlns:a16="http://schemas.microsoft.com/office/drawing/2014/main" id="{00000000-0008-0000-0A00-00005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7</xdr:row>
      <xdr:rowOff>9525</xdr:rowOff>
    </xdr:from>
    <xdr:ext cx="323850" cy="180975"/>
    <xdr:sp macro="" textlink="">
      <xdr:nvSpPr>
        <xdr:cNvPr id="1367" name="Shape 1366">
          <a:extLst>
            <a:ext uri="{FF2B5EF4-FFF2-40B4-BE49-F238E27FC236}">
              <a16:creationId xmlns:a16="http://schemas.microsoft.com/office/drawing/2014/main" id="{00000000-0008-0000-0A00-00005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8</xdr:row>
      <xdr:rowOff>9525</xdr:rowOff>
    </xdr:from>
    <xdr:ext cx="323850" cy="180975"/>
    <xdr:sp macro="" textlink="">
      <xdr:nvSpPr>
        <xdr:cNvPr id="1368" name="Shape 1367">
          <a:extLst>
            <a:ext uri="{FF2B5EF4-FFF2-40B4-BE49-F238E27FC236}">
              <a16:creationId xmlns:a16="http://schemas.microsoft.com/office/drawing/2014/main" id="{00000000-0008-0000-0A00-00005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9</xdr:row>
      <xdr:rowOff>9525</xdr:rowOff>
    </xdr:from>
    <xdr:ext cx="323850" cy="180975"/>
    <xdr:sp macro="" textlink="">
      <xdr:nvSpPr>
        <xdr:cNvPr id="1369" name="Shape 1368">
          <a:extLst>
            <a:ext uri="{FF2B5EF4-FFF2-40B4-BE49-F238E27FC236}">
              <a16:creationId xmlns:a16="http://schemas.microsoft.com/office/drawing/2014/main" id="{00000000-0008-0000-0A00-00005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10</xdr:row>
      <xdr:rowOff>9525</xdr:rowOff>
    </xdr:from>
    <xdr:ext cx="323850" cy="180975"/>
    <xdr:sp macro="" textlink="">
      <xdr:nvSpPr>
        <xdr:cNvPr id="1370" name="Shape 1369">
          <a:extLst>
            <a:ext uri="{FF2B5EF4-FFF2-40B4-BE49-F238E27FC236}">
              <a16:creationId xmlns:a16="http://schemas.microsoft.com/office/drawing/2014/main" id="{00000000-0008-0000-0A00-00005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11</xdr:row>
      <xdr:rowOff>9525</xdr:rowOff>
    </xdr:from>
    <xdr:ext cx="323850" cy="180975"/>
    <xdr:sp macro="" textlink="">
      <xdr:nvSpPr>
        <xdr:cNvPr id="1371" name="Shape 1370">
          <a:extLst>
            <a:ext uri="{FF2B5EF4-FFF2-40B4-BE49-F238E27FC236}">
              <a16:creationId xmlns:a16="http://schemas.microsoft.com/office/drawing/2014/main" id="{00000000-0008-0000-0A00-00005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12</xdr:row>
      <xdr:rowOff>9525</xdr:rowOff>
    </xdr:from>
    <xdr:ext cx="323850" cy="180975"/>
    <xdr:sp macro="" textlink="">
      <xdr:nvSpPr>
        <xdr:cNvPr id="1372" name="Shape 1371">
          <a:extLst>
            <a:ext uri="{FF2B5EF4-FFF2-40B4-BE49-F238E27FC236}">
              <a16:creationId xmlns:a16="http://schemas.microsoft.com/office/drawing/2014/main" id="{00000000-0008-0000-0A00-00005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13</xdr:row>
      <xdr:rowOff>9525</xdr:rowOff>
    </xdr:from>
    <xdr:ext cx="323850" cy="180975"/>
    <xdr:sp macro="" textlink="">
      <xdr:nvSpPr>
        <xdr:cNvPr id="1373" name="Shape 1372">
          <a:extLst>
            <a:ext uri="{FF2B5EF4-FFF2-40B4-BE49-F238E27FC236}">
              <a16:creationId xmlns:a16="http://schemas.microsoft.com/office/drawing/2014/main" id="{00000000-0008-0000-0A00-00005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14</xdr:row>
      <xdr:rowOff>9525</xdr:rowOff>
    </xdr:from>
    <xdr:ext cx="323850" cy="180975"/>
    <xdr:sp macro="" textlink="">
      <xdr:nvSpPr>
        <xdr:cNvPr id="1374" name="Shape 1373">
          <a:extLst>
            <a:ext uri="{FF2B5EF4-FFF2-40B4-BE49-F238E27FC236}">
              <a16:creationId xmlns:a16="http://schemas.microsoft.com/office/drawing/2014/main" id="{00000000-0008-0000-0A00-00005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15</xdr:row>
      <xdr:rowOff>9525</xdr:rowOff>
    </xdr:from>
    <xdr:ext cx="323850" cy="180975"/>
    <xdr:sp macro="" textlink="">
      <xdr:nvSpPr>
        <xdr:cNvPr id="1375" name="Shape 1374">
          <a:extLst>
            <a:ext uri="{FF2B5EF4-FFF2-40B4-BE49-F238E27FC236}">
              <a16:creationId xmlns:a16="http://schemas.microsoft.com/office/drawing/2014/main" id="{00000000-0008-0000-0A00-00005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16</xdr:row>
      <xdr:rowOff>9525</xdr:rowOff>
    </xdr:from>
    <xdr:ext cx="323850" cy="180975"/>
    <xdr:sp macro="" textlink="">
      <xdr:nvSpPr>
        <xdr:cNvPr id="1376" name="Shape 1375">
          <a:extLst>
            <a:ext uri="{FF2B5EF4-FFF2-40B4-BE49-F238E27FC236}">
              <a16:creationId xmlns:a16="http://schemas.microsoft.com/office/drawing/2014/main" id="{00000000-0008-0000-0A00-00006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17</xdr:row>
      <xdr:rowOff>9525</xdr:rowOff>
    </xdr:from>
    <xdr:ext cx="323850" cy="180975"/>
    <xdr:sp macro="" textlink="">
      <xdr:nvSpPr>
        <xdr:cNvPr id="1377" name="Shape 1376">
          <a:extLst>
            <a:ext uri="{FF2B5EF4-FFF2-40B4-BE49-F238E27FC236}">
              <a16:creationId xmlns:a16="http://schemas.microsoft.com/office/drawing/2014/main" id="{00000000-0008-0000-0A00-00006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18</xdr:row>
      <xdr:rowOff>9525</xdr:rowOff>
    </xdr:from>
    <xdr:ext cx="323850" cy="180975"/>
    <xdr:sp macro="" textlink="">
      <xdr:nvSpPr>
        <xdr:cNvPr id="1378" name="Shape 1377">
          <a:extLst>
            <a:ext uri="{FF2B5EF4-FFF2-40B4-BE49-F238E27FC236}">
              <a16:creationId xmlns:a16="http://schemas.microsoft.com/office/drawing/2014/main" id="{00000000-0008-0000-0A00-00006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19</xdr:row>
      <xdr:rowOff>9525</xdr:rowOff>
    </xdr:from>
    <xdr:ext cx="323850" cy="180975"/>
    <xdr:sp macro="" textlink="">
      <xdr:nvSpPr>
        <xdr:cNvPr id="1379" name="Shape 1378">
          <a:extLst>
            <a:ext uri="{FF2B5EF4-FFF2-40B4-BE49-F238E27FC236}">
              <a16:creationId xmlns:a16="http://schemas.microsoft.com/office/drawing/2014/main" id="{00000000-0008-0000-0A00-00006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20</xdr:row>
      <xdr:rowOff>9525</xdr:rowOff>
    </xdr:from>
    <xdr:ext cx="323850" cy="180975"/>
    <xdr:sp macro="" textlink="">
      <xdr:nvSpPr>
        <xdr:cNvPr id="1380" name="Shape 1379">
          <a:extLst>
            <a:ext uri="{FF2B5EF4-FFF2-40B4-BE49-F238E27FC236}">
              <a16:creationId xmlns:a16="http://schemas.microsoft.com/office/drawing/2014/main" id="{00000000-0008-0000-0A00-00006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21</xdr:row>
      <xdr:rowOff>9525</xdr:rowOff>
    </xdr:from>
    <xdr:ext cx="323850" cy="180975"/>
    <xdr:sp macro="" textlink="">
      <xdr:nvSpPr>
        <xdr:cNvPr id="1381" name="Shape 1380">
          <a:extLst>
            <a:ext uri="{FF2B5EF4-FFF2-40B4-BE49-F238E27FC236}">
              <a16:creationId xmlns:a16="http://schemas.microsoft.com/office/drawing/2014/main" id="{00000000-0008-0000-0A00-00006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22</xdr:row>
      <xdr:rowOff>9525</xdr:rowOff>
    </xdr:from>
    <xdr:ext cx="323850" cy="180975"/>
    <xdr:sp macro="" textlink="">
      <xdr:nvSpPr>
        <xdr:cNvPr id="1382" name="Shape 1381">
          <a:extLst>
            <a:ext uri="{FF2B5EF4-FFF2-40B4-BE49-F238E27FC236}">
              <a16:creationId xmlns:a16="http://schemas.microsoft.com/office/drawing/2014/main" id="{00000000-0008-0000-0A00-00006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23</xdr:row>
      <xdr:rowOff>9525</xdr:rowOff>
    </xdr:from>
    <xdr:ext cx="323850" cy="180975"/>
    <xdr:sp macro="" textlink="">
      <xdr:nvSpPr>
        <xdr:cNvPr id="1383" name="Shape 1382">
          <a:extLst>
            <a:ext uri="{FF2B5EF4-FFF2-40B4-BE49-F238E27FC236}">
              <a16:creationId xmlns:a16="http://schemas.microsoft.com/office/drawing/2014/main" id="{00000000-0008-0000-0A00-00006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24</xdr:row>
      <xdr:rowOff>9525</xdr:rowOff>
    </xdr:from>
    <xdr:ext cx="323850" cy="180975"/>
    <xdr:sp macro="" textlink="">
      <xdr:nvSpPr>
        <xdr:cNvPr id="1384" name="Shape 1383">
          <a:extLst>
            <a:ext uri="{FF2B5EF4-FFF2-40B4-BE49-F238E27FC236}">
              <a16:creationId xmlns:a16="http://schemas.microsoft.com/office/drawing/2014/main" id="{00000000-0008-0000-0A00-00006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25</xdr:row>
      <xdr:rowOff>9525</xdr:rowOff>
    </xdr:from>
    <xdr:ext cx="323850" cy="180975"/>
    <xdr:sp macro="" textlink="">
      <xdr:nvSpPr>
        <xdr:cNvPr id="1385" name="Shape 1384">
          <a:extLst>
            <a:ext uri="{FF2B5EF4-FFF2-40B4-BE49-F238E27FC236}">
              <a16:creationId xmlns:a16="http://schemas.microsoft.com/office/drawing/2014/main" id="{00000000-0008-0000-0A00-00006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26</xdr:row>
      <xdr:rowOff>9525</xdr:rowOff>
    </xdr:from>
    <xdr:ext cx="323850" cy="180975"/>
    <xdr:sp macro="" textlink="">
      <xdr:nvSpPr>
        <xdr:cNvPr id="1386" name="Shape 1385">
          <a:extLst>
            <a:ext uri="{FF2B5EF4-FFF2-40B4-BE49-F238E27FC236}">
              <a16:creationId xmlns:a16="http://schemas.microsoft.com/office/drawing/2014/main" id="{00000000-0008-0000-0A00-00006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27</xdr:row>
      <xdr:rowOff>9525</xdr:rowOff>
    </xdr:from>
    <xdr:ext cx="323850" cy="180975"/>
    <xdr:sp macro="" textlink="">
      <xdr:nvSpPr>
        <xdr:cNvPr id="1387" name="Shape 1386">
          <a:extLst>
            <a:ext uri="{FF2B5EF4-FFF2-40B4-BE49-F238E27FC236}">
              <a16:creationId xmlns:a16="http://schemas.microsoft.com/office/drawing/2014/main" id="{00000000-0008-0000-0A00-00006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28</xdr:row>
      <xdr:rowOff>9525</xdr:rowOff>
    </xdr:from>
    <xdr:ext cx="323850" cy="180975"/>
    <xdr:sp macro="" textlink="">
      <xdr:nvSpPr>
        <xdr:cNvPr id="1388" name="Shape 1387">
          <a:extLst>
            <a:ext uri="{FF2B5EF4-FFF2-40B4-BE49-F238E27FC236}">
              <a16:creationId xmlns:a16="http://schemas.microsoft.com/office/drawing/2014/main" id="{00000000-0008-0000-0A00-00006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29</xdr:row>
      <xdr:rowOff>9525</xdr:rowOff>
    </xdr:from>
    <xdr:ext cx="323850" cy="180975"/>
    <xdr:sp macro="" textlink="">
      <xdr:nvSpPr>
        <xdr:cNvPr id="1389" name="Shape 1388">
          <a:extLst>
            <a:ext uri="{FF2B5EF4-FFF2-40B4-BE49-F238E27FC236}">
              <a16:creationId xmlns:a16="http://schemas.microsoft.com/office/drawing/2014/main" id="{00000000-0008-0000-0A00-00006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30</xdr:row>
      <xdr:rowOff>9525</xdr:rowOff>
    </xdr:from>
    <xdr:ext cx="323850" cy="180975"/>
    <xdr:sp macro="" textlink="">
      <xdr:nvSpPr>
        <xdr:cNvPr id="1390" name="Shape 1389">
          <a:extLst>
            <a:ext uri="{FF2B5EF4-FFF2-40B4-BE49-F238E27FC236}">
              <a16:creationId xmlns:a16="http://schemas.microsoft.com/office/drawing/2014/main" id="{00000000-0008-0000-0A00-00006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31</xdr:row>
      <xdr:rowOff>9525</xdr:rowOff>
    </xdr:from>
    <xdr:ext cx="323850" cy="180975"/>
    <xdr:sp macro="" textlink="">
      <xdr:nvSpPr>
        <xdr:cNvPr id="1391" name="Shape 1390">
          <a:extLst>
            <a:ext uri="{FF2B5EF4-FFF2-40B4-BE49-F238E27FC236}">
              <a16:creationId xmlns:a16="http://schemas.microsoft.com/office/drawing/2014/main" id="{00000000-0008-0000-0A00-00006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32</xdr:row>
      <xdr:rowOff>9525</xdr:rowOff>
    </xdr:from>
    <xdr:ext cx="323850" cy="180975"/>
    <xdr:sp macro="" textlink="">
      <xdr:nvSpPr>
        <xdr:cNvPr id="1392" name="Shape 1391">
          <a:extLst>
            <a:ext uri="{FF2B5EF4-FFF2-40B4-BE49-F238E27FC236}">
              <a16:creationId xmlns:a16="http://schemas.microsoft.com/office/drawing/2014/main" id="{00000000-0008-0000-0A00-00007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33</xdr:row>
      <xdr:rowOff>9525</xdr:rowOff>
    </xdr:from>
    <xdr:ext cx="323850" cy="180975"/>
    <xdr:sp macro="" textlink="">
      <xdr:nvSpPr>
        <xdr:cNvPr id="1393" name="Shape 1392">
          <a:extLst>
            <a:ext uri="{FF2B5EF4-FFF2-40B4-BE49-F238E27FC236}">
              <a16:creationId xmlns:a16="http://schemas.microsoft.com/office/drawing/2014/main" id="{00000000-0008-0000-0A00-00007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34</xdr:row>
      <xdr:rowOff>9525</xdr:rowOff>
    </xdr:from>
    <xdr:ext cx="323850" cy="180975"/>
    <xdr:sp macro="" textlink="">
      <xdr:nvSpPr>
        <xdr:cNvPr id="1394" name="Shape 1393">
          <a:extLst>
            <a:ext uri="{FF2B5EF4-FFF2-40B4-BE49-F238E27FC236}">
              <a16:creationId xmlns:a16="http://schemas.microsoft.com/office/drawing/2014/main" id="{00000000-0008-0000-0A00-00007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35</xdr:row>
      <xdr:rowOff>9525</xdr:rowOff>
    </xdr:from>
    <xdr:ext cx="323850" cy="180975"/>
    <xdr:sp macro="" textlink="">
      <xdr:nvSpPr>
        <xdr:cNvPr id="1395" name="Shape 1394">
          <a:extLst>
            <a:ext uri="{FF2B5EF4-FFF2-40B4-BE49-F238E27FC236}">
              <a16:creationId xmlns:a16="http://schemas.microsoft.com/office/drawing/2014/main" id="{00000000-0008-0000-0A00-00007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36</xdr:row>
      <xdr:rowOff>9525</xdr:rowOff>
    </xdr:from>
    <xdr:ext cx="323850" cy="180975"/>
    <xdr:sp macro="" textlink="">
      <xdr:nvSpPr>
        <xdr:cNvPr id="1396" name="Shape 1395">
          <a:extLst>
            <a:ext uri="{FF2B5EF4-FFF2-40B4-BE49-F238E27FC236}">
              <a16:creationId xmlns:a16="http://schemas.microsoft.com/office/drawing/2014/main" id="{00000000-0008-0000-0A00-00007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37</xdr:row>
      <xdr:rowOff>9525</xdr:rowOff>
    </xdr:from>
    <xdr:ext cx="323850" cy="180975"/>
    <xdr:sp macro="" textlink="">
      <xdr:nvSpPr>
        <xdr:cNvPr id="1397" name="Shape 1396">
          <a:extLst>
            <a:ext uri="{FF2B5EF4-FFF2-40B4-BE49-F238E27FC236}">
              <a16:creationId xmlns:a16="http://schemas.microsoft.com/office/drawing/2014/main" id="{00000000-0008-0000-0A00-00007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38</xdr:row>
      <xdr:rowOff>9525</xdr:rowOff>
    </xdr:from>
    <xdr:ext cx="323850" cy="180975"/>
    <xdr:sp macro="" textlink="">
      <xdr:nvSpPr>
        <xdr:cNvPr id="1398" name="Shape 1397">
          <a:extLst>
            <a:ext uri="{FF2B5EF4-FFF2-40B4-BE49-F238E27FC236}">
              <a16:creationId xmlns:a16="http://schemas.microsoft.com/office/drawing/2014/main" id="{00000000-0008-0000-0A00-00007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39</xdr:row>
      <xdr:rowOff>9525</xdr:rowOff>
    </xdr:from>
    <xdr:ext cx="323850" cy="180975"/>
    <xdr:sp macro="" textlink="">
      <xdr:nvSpPr>
        <xdr:cNvPr id="1399" name="Shape 1398">
          <a:extLst>
            <a:ext uri="{FF2B5EF4-FFF2-40B4-BE49-F238E27FC236}">
              <a16:creationId xmlns:a16="http://schemas.microsoft.com/office/drawing/2014/main" id="{00000000-0008-0000-0A00-00007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40</xdr:row>
      <xdr:rowOff>9525</xdr:rowOff>
    </xdr:from>
    <xdr:ext cx="323850" cy="180975"/>
    <xdr:sp macro="" textlink="">
      <xdr:nvSpPr>
        <xdr:cNvPr id="1400" name="Shape 1399">
          <a:extLst>
            <a:ext uri="{FF2B5EF4-FFF2-40B4-BE49-F238E27FC236}">
              <a16:creationId xmlns:a16="http://schemas.microsoft.com/office/drawing/2014/main" id="{00000000-0008-0000-0A00-00007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41</xdr:row>
      <xdr:rowOff>9525</xdr:rowOff>
    </xdr:from>
    <xdr:ext cx="323850" cy="180975"/>
    <xdr:sp macro="" textlink="">
      <xdr:nvSpPr>
        <xdr:cNvPr id="1401" name="Shape 1400">
          <a:extLst>
            <a:ext uri="{FF2B5EF4-FFF2-40B4-BE49-F238E27FC236}">
              <a16:creationId xmlns:a16="http://schemas.microsoft.com/office/drawing/2014/main" id="{00000000-0008-0000-0A00-00007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</xdr:row>
      <xdr:rowOff>9525</xdr:rowOff>
    </xdr:from>
    <xdr:ext cx="323850" cy="180975"/>
    <xdr:sp macro="" textlink="">
      <xdr:nvSpPr>
        <xdr:cNvPr id="1402" name="Shape 1401">
          <a:extLst>
            <a:ext uri="{FF2B5EF4-FFF2-40B4-BE49-F238E27FC236}">
              <a16:creationId xmlns:a16="http://schemas.microsoft.com/office/drawing/2014/main" id="{00000000-0008-0000-0A00-00007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</xdr:row>
      <xdr:rowOff>9525</xdr:rowOff>
    </xdr:from>
    <xdr:ext cx="323850" cy="180975"/>
    <xdr:sp macro="" textlink="">
      <xdr:nvSpPr>
        <xdr:cNvPr id="1403" name="Shape 1402">
          <a:extLst>
            <a:ext uri="{FF2B5EF4-FFF2-40B4-BE49-F238E27FC236}">
              <a16:creationId xmlns:a16="http://schemas.microsoft.com/office/drawing/2014/main" id="{00000000-0008-0000-0A00-00007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4</xdr:row>
      <xdr:rowOff>9525</xdr:rowOff>
    </xdr:from>
    <xdr:ext cx="323850" cy="180975"/>
    <xdr:sp macro="" textlink="">
      <xdr:nvSpPr>
        <xdr:cNvPr id="1404" name="Shape 1403">
          <a:extLst>
            <a:ext uri="{FF2B5EF4-FFF2-40B4-BE49-F238E27FC236}">
              <a16:creationId xmlns:a16="http://schemas.microsoft.com/office/drawing/2014/main" id="{00000000-0008-0000-0A00-00007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5</xdr:row>
      <xdr:rowOff>9525</xdr:rowOff>
    </xdr:from>
    <xdr:ext cx="323850" cy="180975"/>
    <xdr:sp macro="" textlink="">
      <xdr:nvSpPr>
        <xdr:cNvPr id="1405" name="Shape 1404">
          <a:extLst>
            <a:ext uri="{FF2B5EF4-FFF2-40B4-BE49-F238E27FC236}">
              <a16:creationId xmlns:a16="http://schemas.microsoft.com/office/drawing/2014/main" id="{00000000-0008-0000-0A00-00007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6</xdr:row>
      <xdr:rowOff>9525</xdr:rowOff>
    </xdr:from>
    <xdr:ext cx="323850" cy="180975"/>
    <xdr:sp macro="" textlink="">
      <xdr:nvSpPr>
        <xdr:cNvPr id="1406" name="Shape 1405">
          <a:extLst>
            <a:ext uri="{FF2B5EF4-FFF2-40B4-BE49-F238E27FC236}">
              <a16:creationId xmlns:a16="http://schemas.microsoft.com/office/drawing/2014/main" id="{00000000-0008-0000-0A00-00007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7</xdr:row>
      <xdr:rowOff>9525</xdr:rowOff>
    </xdr:from>
    <xdr:ext cx="323850" cy="180975"/>
    <xdr:sp macro="" textlink="">
      <xdr:nvSpPr>
        <xdr:cNvPr id="1407" name="Shape 1406">
          <a:extLst>
            <a:ext uri="{FF2B5EF4-FFF2-40B4-BE49-F238E27FC236}">
              <a16:creationId xmlns:a16="http://schemas.microsoft.com/office/drawing/2014/main" id="{00000000-0008-0000-0A00-00007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8</xdr:row>
      <xdr:rowOff>9525</xdr:rowOff>
    </xdr:from>
    <xdr:ext cx="323850" cy="180975"/>
    <xdr:sp macro="" textlink="">
      <xdr:nvSpPr>
        <xdr:cNvPr id="1408" name="Shape 1407">
          <a:extLst>
            <a:ext uri="{FF2B5EF4-FFF2-40B4-BE49-F238E27FC236}">
              <a16:creationId xmlns:a16="http://schemas.microsoft.com/office/drawing/2014/main" id="{00000000-0008-0000-0A00-00008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9</xdr:row>
      <xdr:rowOff>9525</xdr:rowOff>
    </xdr:from>
    <xdr:ext cx="323850" cy="180975"/>
    <xdr:sp macro="" textlink="">
      <xdr:nvSpPr>
        <xdr:cNvPr id="1409" name="Shape 1408">
          <a:extLst>
            <a:ext uri="{FF2B5EF4-FFF2-40B4-BE49-F238E27FC236}">
              <a16:creationId xmlns:a16="http://schemas.microsoft.com/office/drawing/2014/main" id="{00000000-0008-0000-0A00-00008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10</xdr:row>
      <xdr:rowOff>9525</xdr:rowOff>
    </xdr:from>
    <xdr:ext cx="323850" cy="180975"/>
    <xdr:sp macro="" textlink="">
      <xdr:nvSpPr>
        <xdr:cNvPr id="1410" name="Shape 1409">
          <a:extLst>
            <a:ext uri="{FF2B5EF4-FFF2-40B4-BE49-F238E27FC236}">
              <a16:creationId xmlns:a16="http://schemas.microsoft.com/office/drawing/2014/main" id="{00000000-0008-0000-0A00-00008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11</xdr:row>
      <xdr:rowOff>9525</xdr:rowOff>
    </xdr:from>
    <xdr:ext cx="323850" cy="180975"/>
    <xdr:sp macro="" textlink="">
      <xdr:nvSpPr>
        <xdr:cNvPr id="1411" name="Shape 1410">
          <a:extLst>
            <a:ext uri="{FF2B5EF4-FFF2-40B4-BE49-F238E27FC236}">
              <a16:creationId xmlns:a16="http://schemas.microsoft.com/office/drawing/2014/main" id="{00000000-0008-0000-0A00-00008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12</xdr:row>
      <xdr:rowOff>9525</xdr:rowOff>
    </xdr:from>
    <xdr:ext cx="323850" cy="180975"/>
    <xdr:sp macro="" textlink="">
      <xdr:nvSpPr>
        <xdr:cNvPr id="1412" name="Shape 1411">
          <a:extLst>
            <a:ext uri="{FF2B5EF4-FFF2-40B4-BE49-F238E27FC236}">
              <a16:creationId xmlns:a16="http://schemas.microsoft.com/office/drawing/2014/main" id="{00000000-0008-0000-0A00-00008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13</xdr:row>
      <xdr:rowOff>9525</xdr:rowOff>
    </xdr:from>
    <xdr:ext cx="323850" cy="180975"/>
    <xdr:sp macro="" textlink="">
      <xdr:nvSpPr>
        <xdr:cNvPr id="1413" name="Shape 1412">
          <a:extLst>
            <a:ext uri="{FF2B5EF4-FFF2-40B4-BE49-F238E27FC236}">
              <a16:creationId xmlns:a16="http://schemas.microsoft.com/office/drawing/2014/main" id="{00000000-0008-0000-0A00-00008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14</xdr:row>
      <xdr:rowOff>9525</xdr:rowOff>
    </xdr:from>
    <xdr:ext cx="323850" cy="180975"/>
    <xdr:sp macro="" textlink="">
      <xdr:nvSpPr>
        <xdr:cNvPr id="1414" name="Shape 1413">
          <a:extLst>
            <a:ext uri="{FF2B5EF4-FFF2-40B4-BE49-F238E27FC236}">
              <a16:creationId xmlns:a16="http://schemas.microsoft.com/office/drawing/2014/main" id="{00000000-0008-0000-0A00-00008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15</xdr:row>
      <xdr:rowOff>9525</xdr:rowOff>
    </xdr:from>
    <xdr:ext cx="323850" cy="180975"/>
    <xdr:sp macro="" textlink="">
      <xdr:nvSpPr>
        <xdr:cNvPr id="1415" name="Shape 1414">
          <a:extLst>
            <a:ext uri="{FF2B5EF4-FFF2-40B4-BE49-F238E27FC236}">
              <a16:creationId xmlns:a16="http://schemas.microsoft.com/office/drawing/2014/main" id="{00000000-0008-0000-0A00-00008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16</xdr:row>
      <xdr:rowOff>9525</xdr:rowOff>
    </xdr:from>
    <xdr:ext cx="323850" cy="180975"/>
    <xdr:sp macro="" textlink="">
      <xdr:nvSpPr>
        <xdr:cNvPr id="1416" name="Shape 1415">
          <a:extLst>
            <a:ext uri="{FF2B5EF4-FFF2-40B4-BE49-F238E27FC236}">
              <a16:creationId xmlns:a16="http://schemas.microsoft.com/office/drawing/2014/main" id="{00000000-0008-0000-0A00-00008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17</xdr:row>
      <xdr:rowOff>9525</xdr:rowOff>
    </xdr:from>
    <xdr:ext cx="323850" cy="180975"/>
    <xdr:sp macro="" textlink="">
      <xdr:nvSpPr>
        <xdr:cNvPr id="1417" name="Shape 1416">
          <a:extLst>
            <a:ext uri="{FF2B5EF4-FFF2-40B4-BE49-F238E27FC236}">
              <a16:creationId xmlns:a16="http://schemas.microsoft.com/office/drawing/2014/main" id="{00000000-0008-0000-0A00-00008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18</xdr:row>
      <xdr:rowOff>9525</xdr:rowOff>
    </xdr:from>
    <xdr:ext cx="323850" cy="180975"/>
    <xdr:sp macro="" textlink="">
      <xdr:nvSpPr>
        <xdr:cNvPr id="1418" name="Shape 1417">
          <a:extLst>
            <a:ext uri="{FF2B5EF4-FFF2-40B4-BE49-F238E27FC236}">
              <a16:creationId xmlns:a16="http://schemas.microsoft.com/office/drawing/2014/main" id="{00000000-0008-0000-0A00-00008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19</xdr:row>
      <xdr:rowOff>9525</xdr:rowOff>
    </xdr:from>
    <xdr:ext cx="323850" cy="180975"/>
    <xdr:sp macro="" textlink="">
      <xdr:nvSpPr>
        <xdr:cNvPr id="1419" name="Shape 1418">
          <a:extLst>
            <a:ext uri="{FF2B5EF4-FFF2-40B4-BE49-F238E27FC236}">
              <a16:creationId xmlns:a16="http://schemas.microsoft.com/office/drawing/2014/main" id="{00000000-0008-0000-0A00-00008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20</xdr:row>
      <xdr:rowOff>9525</xdr:rowOff>
    </xdr:from>
    <xdr:ext cx="323850" cy="180975"/>
    <xdr:sp macro="" textlink="">
      <xdr:nvSpPr>
        <xdr:cNvPr id="1420" name="Shape 1419">
          <a:extLst>
            <a:ext uri="{FF2B5EF4-FFF2-40B4-BE49-F238E27FC236}">
              <a16:creationId xmlns:a16="http://schemas.microsoft.com/office/drawing/2014/main" id="{00000000-0008-0000-0A00-00008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21</xdr:row>
      <xdr:rowOff>9525</xdr:rowOff>
    </xdr:from>
    <xdr:ext cx="323850" cy="180975"/>
    <xdr:sp macro="" textlink="">
      <xdr:nvSpPr>
        <xdr:cNvPr id="1421" name="Shape 1420">
          <a:extLst>
            <a:ext uri="{FF2B5EF4-FFF2-40B4-BE49-F238E27FC236}">
              <a16:creationId xmlns:a16="http://schemas.microsoft.com/office/drawing/2014/main" id="{00000000-0008-0000-0A00-00008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22</xdr:row>
      <xdr:rowOff>9525</xdr:rowOff>
    </xdr:from>
    <xdr:ext cx="323850" cy="180975"/>
    <xdr:sp macro="" textlink="">
      <xdr:nvSpPr>
        <xdr:cNvPr id="1422" name="Shape 1421">
          <a:extLst>
            <a:ext uri="{FF2B5EF4-FFF2-40B4-BE49-F238E27FC236}">
              <a16:creationId xmlns:a16="http://schemas.microsoft.com/office/drawing/2014/main" id="{00000000-0008-0000-0A00-00008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23</xdr:row>
      <xdr:rowOff>9525</xdr:rowOff>
    </xdr:from>
    <xdr:ext cx="323850" cy="180975"/>
    <xdr:sp macro="" textlink="">
      <xdr:nvSpPr>
        <xdr:cNvPr id="1423" name="Shape 1422">
          <a:extLst>
            <a:ext uri="{FF2B5EF4-FFF2-40B4-BE49-F238E27FC236}">
              <a16:creationId xmlns:a16="http://schemas.microsoft.com/office/drawing/2014/main" id="{00000000-0008-0000-0A00-00008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24</xdr:row>
      <xdr:rowOff>9525</xdr:rowOff>
    </xdr:from>
    <xdr:ext cx="323850" cy="180975"/>
    <xdr:sp macro="" textlink="">
      <xdr:nvSpPr>
        <xdr:cNvPr id="1424" name="Shape 1423">
          <a:extLst>
            <a:ext uri="{FF2B5EF4-FFF2-40B4-BE49-F238E27FC236}">
              <a16:creationId xmlns:a16="http://schemas.microsoft.com/office/drawing/2014/main" id="{00000000-0008-0000-0A00-00009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25</xdr:row>
      <xdr:rowOff>9525</xdr:rowOff>
    </xdr:from>
    <xdr:ext cx="323850" cy="180975"/>
    <xdr:sp macro="" textlink="">
      <xdr:nvSpPr>
        <xdr:cNvPr id="1425" name="Shape 1424">
          <a:extLst>
            <a:ext uri="{FF2B5EF4-FFF2-40B4-BE49-F238E27FC236}">
              <a16:creationId xmlns:a16="http://schemas.microsoft.com/office/drawing/2014/main" id="{00000000-0008-0000-0A00-00009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26</xdr:row>
      <xdr:rowOff>9525</xdr:rowOff>
    </xdr:from>
    <xdr:ext cx="323850" cy="180975"/>
    <xdr:sp macro="" textlink="">
      <xdr:nvSpPr>
        <xdr:cNvPr id="1426" name="Shape 1425">
          <a:extLst>
            <a:ext uri="{FF2B5EF4-FFF2-40B4-BE49-F238E27FC236}">
              <a16:creationId xmlns:a16="http://schemas.microsoft.com/office/drawing/2014/main" id="{00000000-0008-0000-0A00-00009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27</xdr:row>
      <xdr:rowOff>9525</xdr:rowOff>
    </xdr:from>
    <xdr:ext cx="323850" cy="180975"/>
    <xdr:sp macro="" textlink="">
      <xdr:nvSpPr>
        <xdr:cNvPr id="1427" name="Shape 1426">
          <a:extLst>
            <a:ext uri="{FF2B5EF4-FFF2-40B4-BE49-F238E27FC236}">
              <a16:creationId xmlns:a16="http://schemas.microsoft.com/office/drawing/2014/main" id="{00000000-0008-0000-0A00-00009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28</xdr:row>
      <xdr:rowOff>9525</xdr:rowOff>
    </xdr:from>
    <xdr:ext cx="323850" cy="180975"/>
    <xdr:sp macro="" textlink="">
      <xdr:nvSpPr>
        <xdr:cNvPr id="1428" name="Shape 1427">
          <a:extLst>
            <a:ext uri="{FF2B5EF4-FFF2-40B4-BE49-F238E27FC236}">
              <a16:creationId xmlns:a16="http://schemas.microsoft.com/office/drawing/2014/main" id="{00000000-0008-0000-0A00-00009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29</xdr:row>
      <xdr:rowOff>9525</xdr:rowOff>
    </xdr:from>
    <xdr:ext cx="323850" cy="180975"/>
    <xdr:sp macro="" textlink="">
      <xdr:nvSpPr>
        <xdr:cNvPr id="1429" name="Shape 1428">
          <a:extLst>
            <a:ext uri="{FF2B5EF4-FFF2-40B4-BE49-F238E27FC236}">
              <a16:creationId xmlns:a16="http://schemas.microsoft.com/office/drawing/2014/main" id="{00000000-0008-0000-0A00-00009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30</xdr:row>
      <xdr:rowOff>9525</xdr:rowOff>
    </xdr:from>
    <xdr:ext cx="323850" cy="180975"/>
    <xdr:sp macro="" textlink="">
      <xdr:nvSpPr>
        <xdr:cNvPr id="1430" name="Shape 1429">
          <a:extLst>
            <a:ext uri="{FF2B5EF4-FFF2-40B4-BE49-F238E27FC236}">
              <a16:creationId xmlns:a16="http://schemas.microsoft.com/office/drawing/2014/main" id="{00000000-0008-0000-0A00-00009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31</xdr:row>
      <xdr:rowOff>9525</xdr:rowOff>
    </xdr:from>
    <xdr:ext cx="323850" cy="180975"/>
    <xdr:sp macro="" textlink="">
      <xdr:nvSpPr>
        <xdr:cNvPr id="1431" name="Shape 1430">
          <a:extLst>
            <a:ext uri="{FF2B5EF4-FFF2-40B4-BE49-F238E27FC236}">
              <a16:creationId xmlns:a16="http://schemas.microsoft.com/office/drawing/2014/main" id="{00000000-0008-0000-0A00-00009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32</xdr:row>
      <xdr:rowOff>9525</xdr:rowOff>
    </xdr:from>
    <xdr:ext cx="323850" cy="180975"/>
    <xdr:sp macro="" textlink="">
      <xdr:nvSpPr>
        <xdr:cNvPr id="1432" name="Shape 1431">
          <a:extLst>
            <a:ext uri="{FF2B5EF4-FFF2-40B4-BE49-F238E27FC236}">
              <a16:creationId xmlns:a16="http://schemas.microsoft.com/office/drawing/2014/main" id="{00000000-0008-0000-0A00-00009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33</xdr:row>
      <xdr:rowOff>9525</xdr:rowOff>
    </xdr:from>
    <xdr:ext cx="323850" cy="180975"/>
    <xdr:sp macro="" textlink="">
      <xdr:nvSpPr>
        <xdr:cNvPr id="1433" name="Shape 1432">
          <a:extLst>
            <a:ext uri="{FF2B5EF4-FFF2-40B4-BE49-F238E27FC236}">
              <a16:creationId xmlns:a16="http://schemas.microsoft.com/office/drawing/2014/main" id="{00000000-0008-0000-0A00-00009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34</xdr:row>
      <xdr:rowOff>9525</xdr:rowOff>
    </xdr:from>
    <xdr:ext cx="323850" cy="180975"/>
    <xdr:sp macro="" textlink="">
      <xdr:nvSpPr>
        <xdr:cNvPr id="1434" name="Shape 1433">
          <a:extLst>
            <a:ext uri="{FF2B5EF4-FFF2-40B4-BE49-F238E27FC236}">
              <a16:creationId xmlns:a16="http://schemas.microsoft.com/office/drawing/2014/main" id="{00000000-0008-0000-0A00-00009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35</xdr:row>
      <xdr:rowOff>9525</xdr:rowOff>
    </xdr:from>
    <xdr:ext cx="323850" cy="180975"/>
    <xdr:sp macro="" textlink="">
      <xdr:nvSpPr>
        <xdr:cNvPr id="1435" name="Shape 1434">
          <a:extLst>
            <a:ext uri="{FF2B5EF4-FFF2-40B4-BE49-F238E27FC236}">
              <a16:creationId xmlns:a16="http://schemas.microsoft.com/office/drawing/2014/main" id="{00000000-0008-0000-0A00-00009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36</xdr:row>
      <xdr:rowOff>9525</xdr:rowOff>
    </xdr:from>
    <xdr:ext cx="323850" cy="180975"/>
    <xdr:sp macro="" textlink="">
      <xdr:nvSpPr>
        <xdr:cNvPr id="1436" name="Shape 1435">
          <a:extLst>
            <a:ext uri="{FF2B5EF4-FFF2-40B4-BE49-F238E27FC236}">
              <a16:creationId xmlns:a16="http://schemas.microsoft.com/office/drawing/2014/main" id="{00000000-0008-0000-0A00-00009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37</xdr:row>
      <xdr:rowOff>9525</xdr:rowOff>
    </xdr:from>
    <xdr:ext cx="323850" cy="180975"/>
    <xdr:sp macro="" textlink="">
      <xdr:nvSpPr>
        <xdr:cNvPr id="1437" name="Shape 1436">
          <a:extLst>
            <a:ext uri="{FF2B5EF4-FFF2-40B4-BE49-F238E27FC236}">
              <a16:creationId xmlns:a16="http://schemas.microsoft.com/office/drawing/2014/main" id="{00000000-0008-0000-0A00-00009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38</xdr:row>
      <xdr:rowOff>9525</xdr:rowOff>
    </xdr:from>
    <xdr:ext cx="323850" cy="180975"/>
    <xdr:sp macro="" textlink="">
      <xdr:nvSpPr>
        <xdr:cNvPr id="1438" name="Shape 1437">
          <a:extLst>
            <a:ext uri="{FF2B5EF4-FFF2-40B4-BE49-F238E27FC236}">
              <a16:creationId xmlns:a16="http://schemas.microsoft.com/office/drawing/2014/main" id="{00000000-0008-0000-0A00-00009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39</xdr:row>
      <xdr:rowOff>9525</xdr:rowOff>
    </xdr:from>
    <xdr:ext cx="323850" cy="180975"/>
    <xdr:sp macro="" textlink="">
      <xdr:nvSpPr>
        <xdr:cNvPr id="1439" name="Shape 1438">
          <a:extLst>
            <a:ext uri="{FF2B5EF4-FFF2-40B4-BE49-F238E27FC236}">
              <a16:creationId xmlns:a16="http://schemas.microsoft.com/office/drawing/2014/main" id="{00000000-0008-0000-0A00-00009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40</xdr:row>
      <xdr:rowOff>9525</xdr:rowOff>
    </xdr:from>
    <xdr:ext cx="323850" cy="180975"/>
    <xdr:sp macro="" textlink="">
      <xdr:nvSpPr>
        <xdr:cNvPr id="1440" name="Shape 1439">
          <a:extLst>
            <a:ext uri="{FF2B5EF4-FFF2-40B4-BE49-F238E27FC236}">
              <a16:creationId xmlns:a16="http://schemas.microsoft.com/office/drawing/2014/main" id="{00000000-0008-0000-0A00-0000A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41</xdr:row>
      <xdr:rowOff>9525</xdr:rowOff>
    </xdr:from>
    <xdr:ext cx="323850" cy="180975"/>
    <xdr:sp macro="" textlink="">
      <xdr:nvSpPr>
        <xdr:cNvPr id="1441" name="Shape 1440">
          <a:extLst>
            <a:ext uri="{FF2B5EF4-FFF2-40B4-BE49-F238E27FC236}">
              <a16:creationId xmlns:a16="http://schemas.microsoft.com/office/drawing/2014/main" id="{00000000-0008-0000-0A00-0000A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</xdr:row>
      <xdr:rowOff>9525</xdr:rowOff>
    </xdr:from>
    <xdr:ext cx="323850" cy="180975"/>
    <xdr:sp macro="" textlink="">
      <xdr:nvSpPr>
        <xdr:cNvPr id="1442" name="Shape 1441">
          <a:extLst>
            <a:ext uri="{FF2B5EF4-FFF2-40B4-BE49-F238E27FC236}">
              <a16:creationId xmlns:a16="http://schemas.microsoft.com/office/drawing/2014/main" id="{00000000-0008-0000-0A00-0000A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</xdr:row>
      <xdr:rowOff>9525</xdr:rowOff>
    </xdr:from>
    <xdr:ext cx="323850" cy="180975"/>
    <xdr:sp macro="" textlink="">
      <xdr:nvSpPr>
        <xdr:cNvPr id="1443" name="Shape 1442">
          <a:extLst>
            <a:ext uri="{FF2B5EF4-FFF2-40B4-BE49-F238E27FC236}">
              <a16:creationId xmlns:a16="http://schemas.microsoft.com/office/drawing/2014/main" id="{00000000-0008-0000-0A00-0000A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4</xdr:row>
      <xdr:rowOff>9525</xdr:rowOff>
    </xdr:from>
    <xdr:ext cx="323850" cy="180975"/>
    <xdr:sp macro="" textlink="">
      <xdr:nvSpPr>
        <xdr:cNvPr id="1444" name="Shape 1443">
          <a:extLst>
            <a:ext uri="{FF2B5EF4-FFF2-40B4-BE49-F238E27FC236}">
              <a16:creationId xmlns:a16="http://schemas.microsoft.com/office/drawing/2014/main" id="{00000000-0008-0000-0A00-0000A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5</xdr:row>
      <xdr:rowOff>9525</xdr:rowOff>
    </xdr:from>
    <xdr:ext cx="323850" cy="180975"/>
    <xdr:sp macro="" textlink="">
      <xdr:nvSpPr>
        <xdr:cNvPr id="1445" name="Shape 1444">
          <a:extLst>
            <a:ext uri="{FF2B5EF4-FFF2-40B4-BE49-F238E27FC236}">
              <a16:creationId xmlns:a16="http://schemas.microsoft.com/office/drawing/2014/main" id="{00000000-0008-0000-0A00-0000A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6</xdr:row>
      <xdr:rowOff>9525</xdr:rowOff>
    </xdr:from>
    <xdr:ext cx="323850" cy="180975"/>
    <xdr:sp macro="" textlink="">
      <xdr:nvSpPr>
        <xdr:cNvPr id="1446" name="Shape 1445">
          <a:extLst>
            <a:ext uri="{FF2B5EF4-FFF2-40B4-BE49-F238E27FC236}">
              <a16:creationId xmlns:a16="http://schemas.microsoft.com/office/drawing/2014/main" id="{00000000-0008-0000-0A00-0000A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7</xdr:row>
      <xdr:rowOff>9525</xdr:rowOff>
    </xdr:from>
    <xdr:ext cx="323850" cy="180975"/>
    <xdr:sp macro="" textlink="">
      <xdr:nvSpPr>
        <xdr:cNvPr id="1447" name="Shape 1446">
          <a:extLst>
            <a:ext uri="{FF2B5EF4-FFF2-40B4-BE49-F238E27FC236}">
              <a16:creationId xmlns:a16="http://schemas.microsoft.com/office/drawing/2014/main" id="{00000000-0008-0000-0A00-0000A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8</xdr:row>
      <xdr:rowOff>9525</xdr:rowOff>
    </xdr:from>
    <xdr:ext cx="323850" cy="180975"/>
    <xdr:sp macro="" textlink="">
      <xdr:nvSpPr>
        <xdr:cNvPr id="1448" name="Shape 1447">
          <a:extLst>
            <a:ext uri="{FF2B5EF4-FFF2-40B4-BE49-F238E27FC236}">
              <a16:creationId xmlns:a16="http://schemas.microsoft.com/office/drawing/2014/main" id="{00000000-0008-0000-0A00-0000A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9</xdr:row>
      <xdr:rowOff>9525</xdr:rowOff>
    </xdr:from>
    <xdr:ext cx="323850" cy="180975"/>
    <xdr:sp macro="" textlink="">
      <xdr:nvSpPr>
        <xdr:cNvPr id="1449" name="Shape 1448">
          <a:extLst>
            <a:ext uri="{FF2B5EF4-FFF2-40B4-BE49-F238E27FC236}">
              <a16:creationId xmlns:a16="http://schemas.microsoft.com/office/drawing/2014/main" id="{00000000-0008-0000-0A00-0000A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10</xdr:row>
      <xdr:rowOff>9525</xdr:rowOff>
    </xdr:from>
    <xdr:ext cx="323850" cy="180975"/>
    <xdr:sp macro="" textlink="">
      <xdr:nvSpPr>
        <xdr:cNvPr id="1450" name="Shape 1449">
          <a:extLst>
            <a:ext uri="{FF2B5EF4-FFF2-40B4-BE49-F238E27FC236}">
              <a16:creationId xmlns:a16="http://schemas.microsoft.com/office/drawing/2014/main" id="{00000000-0008-0000-0A00-0000A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11</xdr:row>
      <xdr:rowOff>9525</xdr:rowOff>
    </xdr:from>
    <xdr:ext cx="323850" cy="180975"/>
    <xdr:sp macro="" textlink="">
      <xdr:nvSpPr>
        <xdr:cNvPr id="1451" name="Shape 1450">
          <a:extLst>
            <a:ext uri="{FF2B5EF4-FFF2-40B4-BE49-F238E27FC236}">
              <a16:creationId xmlns:a16="http://schemas.microsoft.com/office/drawing/2014/main" id="{00000000-0008-0000-0A00-0000A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12</xdr:row>
      <xdr:rowOff>9525</xdr:rowOff>
    </xdr:from>
    <xdr:ext cx="323850" cy="180975"/>
    <xdr:sp macro="" textlink="">
      <xdr:nvSpPr>
        <xdr:cNvPr id="1452" name="Shape 1451">
          <a:extLst>
            <a:ext uri="{FF2B5EF4-FFF2-40B4-BE49-F238E27FC236}">
              <a16:creationId xmlns:a16="http://schemas.microsoft.com/office/drawing/2014/main" id="{00000000-0008-0000-0A00-0000A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13</xdr:row>
      <xdr:rowOff>9525</xdr:rowOff>
    </xdr:from>
    <xdr:ext cx="323850" cy="180975"/>
    <xdr:sp macro="" textlink="">
      <xdr:nvSpPr>
        <xdr:cNvPr id="1453" name="Shape 1452">
          <a:extLst>
            <a:ext uri="{FF2B5EF4-FFF2-40B4-BE49-F238E27FC236}">
              <a16:creationId xmlns:a16="http://schemas.microsoft.com/office/drawing/2014/main" id="{00000000-0008-0000-0A00-0000A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14</xdr:row>
      <xdr:rowOff>9525</xdr:rowOff>
    </xdr:from>
    <xdr:ext cx="323850" cy="180975"/>
    <xdr:sp macro="" textlink="">
      <xdr:nvSpPr>
        <xdr:cNvPr id="1454" name="Shape 1453">
          <a:extLst>
            <a:ext uri="{FF2B5EF4-FFF2-40B4-BE49-F238E27FC236}">
              <a16:creationId xmlns:a16="http://schemas.microsoft.com/office/drawing/2014/main" id="{00000000-0008-0000-0A00-0000A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15</xdr:row>
      <xdr:rowOff>9525</xdr:rowOff>
    </xdr:from>
    <xdr:ext cx="323850" cy="180975"/>
    <xdr:sp macro="" textlink="">
      <xdr:nvSpPr>
        <xdr:cNvPr id="1455" name="Shape 1454">
          <a:extLst>
            <a:ext uri="{FF2B5EF4-FFF2-40B4-BE49-F238E27FC236}">
              <a16:creationId xmlns:a16="http://schemas.microsoft.com/office/drawing/2014/main" id="{00000000-0008-0000-0A00-0000A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16</xdr:row>
      <xdr:rowOff>9525</xdr:rowOff>
    </xdr:from>
    <xdr:ext cx="323850" cy="180975"/>
    <xdr:sp macro="" textlink="">
      <xdr:nvSpPr>
        <xdr:cNvPr id="1456" name="Shape 1455">
          <a:extLst>
            <a:ext uri="{FF2B5EF4-FFF2-40B4-BE49-F238E27FC236}">
              <a16:creationId xmlns:a16="http://schemas.microsoft.com/office/drawing/2014/main" id="{00000000-0008-0000-0A00-0000B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17</xdr:row>
      <xdr:rowOff>9525</xdr:rowOff>
    </xdr:from>
    <xdr:ext cx="323850" cy="180975"/>
    <xdr:sp macro="" textlink="">
      <xdr:nvSpPr>
        <xdr:cNvPr id="1457" name="Shape 1456">
          <a:extLst>
            <a:ext uri="{FF2B5EF4-FFF2-40B4-BE49-F238E27FC236}">
              <a16:creationId xmlns:a16="http://schemas.microsoft.com/office/drawing/2014/main" id="{00000000-0008-0000-0A00-0000B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18</xdr:row>
      <xdr:rowOff>9525</xdr:rowOff>
    </xdr:from>
    <xdr:ext cx="323850" cy="180975"/>
    <xdr:sp macro="" textlink="">
      <xdr:nvSpPr>
        <xdr:cNvPr id="1458" name="Shape 1457">
          <a:extLst>
            <a:ext uri="{FF2B5EF4-FFF2-40B4-BE49-F238E27FC236}">
              <a16:creationId xmlns:a16="http://schemas.microsoft.com/office/drawing/2014/main" id="{00000000-0008-0000-0A00-0000B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19</xdr:row>
      <xdr:rowOff>9525</xdr:rowOff>
    </xdr:from>
    <xdr:ext cx="323850" cy="180975"/>
    <xdr:sp macro="" textlink="">
      <xdr:nvSpPr>
        <xdr:cNvPr id="1459" name="Shape 1458">
          <a:extLst>
            <a:ext uri="{FF2B5EF4-FFF2-40B4-BE49-F238E27FC236}">
              <a16:creationId xmlns:a16="http://schemas.microsoft.com/office/drawing/2014/main" id="{00000000-0008-0000-0A00-0000B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20</xdr:row>
      <xdr:rowOff>9525</xdr:rowOff>
    </xdr:from>
    <xdr:ext cx="323850" cy="180975"/>
    <xdr:sp macro="" textlink="">
      <xdr:nvSpPr>
        <xdr:cNvPr id="1460" name="Shape 1459">
          <a:extLst>
            <a:ext uri="{FF2B5EF4-FFF2-40B4-BE49-F238E27FC236}">
              <a16:creationId xmlns:a16="http://schemas.microsoft.com/office/drawing/2014/main" id="{00000000-0008-0000-0A00-0000B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21</xdr:row>
      <xdr:rowOff>9525</xdr:rowOff>
    </xdr:from>
    <xdr:ext cx="323850" cy="180975"/>
    <xdr:sp macro="" textlink="">
      <xdr:nvSpPr>
        <xdr:cNvPr id="1461" name="Shape 1460">
          <a:extLst>
            <a:ext uri="{FF2B5EF4-FFF2-40B4-BE49-F238E27FC236}">
              <a16:creationId xmlns:a16="http://schemas.microsoft.com/office/drawing/2014/main" id="{00000000-0008-0000-0A00-0000B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22</xdr:row>
      <xdr:rowOff>9525</xdr:rowOff>
    </xdr:from>
    <xdr:ext cx="323850" cy="180975"/>
    <xdr:sp macro="" textlink="">
      <xdr:nvSpPr>
        <xdr:cNvPr id="1462" name="Shape 1461">
          <a:extLst>
            <a:ext uri="{FF2B5EF4-FFF2-40B4-BE49-F238E27FC236}">
              <a16:creationId xmlns:a16="http://schemas.microsoft.com/office/drawing/2014/main" id="{00000000-0008-0000-0A00-0000B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23</xdr:row>
      <xdr:rowOff>9525</xdr:rowOff>
    </xdr:from>
    <xdr:ext cx="323850" cy="180975"/>
    <xdr:sp macro="" textlink="">
      <xdr:nvSpPr>
        <xdr:cNvPr id="1463" name="Shape 1462">
          <a:extLst>
            <a:ext uri="{FF2B5EF4-FFF2-40B4-BE49-F238E27FC236}">
              <a16:creationId xmlns:a16="http://schemas.microsoft.com/office/drawing/2014/main" id="{00000000-0008-0000-0A00-0000B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24</xdr:row>
      <xdr:rowOff>9525</xdr:rowOff>
    </xdr:from>
    <xdr:ext cx="323850" cy="180975"/>
    <xdr:sp macro="" textlink="">
      <xdr:nvSpPr>
        <xdr:cNvPr id="1464" name="Shape 1463">
          <a:extLst>
            <a:ext uri="{FF2B5EF4-FFF2-40B4-BE49-F238E27FC236}">
              <a16:creationId xmlns:a16="http://schemas.microsoft.com/office/drawing/2014/main" id="{00000000-0008-0000-0A00-0000B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25</xdr:row>
      <xdr:rowOff>9525</xdr:rowOff>
    </xdr:from>
    <xdr:ext cx="323850" cy="180975"/>
    <xdr:sp macro="" textlink="">
      <xdr:nvSpPr>
        <xdr:cNvPr id="1465" name="Shape 1464">
          <a:extLst>
            <a:ext uri="{FF2B5EF4-FFF2-40B4-BE49-F238E27FC236}">
              <a16:creationId xmlns:a16="http://schemas.microsoft.com/office/drawing/2014/main" id="{00000000-0008-0000-0A00-0000B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26</xdr:row>
      <xdr:rowOff>9525</xdr:rowOff>
    </xdr:from>
    <xdr:ext cx="323850" cy="180975"/>
    <xdr:sp macro="" textlink="">
      <xdr:nvSpPr>
        <xdr:cNvPr id="1466" name="Shape 1465">
          <a:extLst>
            <a:ext uri="{FF2B5EF4-FFF2-40B4-BE49-F238E27FC236}">
              <a16:creationId xmlns:a16="http://schemas.microsoft.com/office/drawing/2014/main" id="{00000000-0008-0000-0A00-0000B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27</xdr:row>
      <xdr:rowOff>9525</xdr:rowOff>
    </xdr:from>
    <xdr:ext cx="323850" cy="180975"/>
    <xdr:sp macro="" textlink="">
      <xdr:nvSpPr>
        <xdr:cNvPr id="1467" name="Shape 1466">
          <a:extLst>
            <a:ext uri="{FF2B5EF4-FFF2-40B4-BE49-F238E27FC236}">
              <a16:creationId xmlns:a16="http://schemas.microsoft.com/office/drawing/2014/main" id="{00000000-0008-0000-0A00-0000B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28</xdr:row>
      <xdr:rowOff>9525</xdr:rowOff>
    </xdr:from>
    <xdr:ext cx="323850" cy="180975"/>
    <xdr:sp macro="" textlink="">
      <xdr:nvSpPr>
        <xdr:cNvPr id="1468" name="Shape 1467">
          <a:extLst>
            <a:ext uri="{FF2B5EF4-FFF2-40B4-BE49-F238E27FC236}">
              <a16:creationId xmlns:a16="http://schemas.microsoft.com/office/drawing/2014/main" id="{00000000-0008-0000-0A00-0000B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29</xdr:row>
      <xdr:rowOff>9525</xdr:rowOff>
    </xdr:from>
    <xdr:ext cx="323850" cy="180975"/>
    <xdr:sp macro="" textlink="">
      <xdr:nvSpPr>
        <xdr:cNvPr id="1469" name="Shape 1468">
          <a:extLst>
            <a:ext uri="{FF2B5EF4-FFF2-40B4-BE49-F238E27FC236}">
              <a16:creationId xmlns:a16="http://schemas.microsoft.com/office/drawing/2014/main" id="{00000000-0008-0000-0A00-0000B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30</xdr:row>
      <xdr:rowOff>9525</xdr:rowOff>
    </xdr:from>
    <xdr:ext cx="323850" cy="180975"/>
    <xdr:sp macro="" textlink="">
      <xdr:nvSpPr>
        <xdr:cNvPr id="1470" name="Shape 1469">
          <a:extLst>
            <a:ext uri="{FF2B5EF4-FFF2-40B4-BE49-F238E27FC236}">
              <a16:creationId xmlns:a16="http://schemas.microsoft.com/office/drawing/2014/main" id="{00000000-0008-0000-0A00-0000B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31</xdr:row>
      <xdr:rowOff>9525</xdr:rowOff>
    </xdr:from>
    <xdr:ext cx="323850" cy="180975"/>
    <xdr:sp macro="" textlink="">
      <xdr:nvSpPr>
        <xdr:cNvPr id="1471" name="Shape 1470">
          <a:extLst>
            <a:ext uri="{FF2B5EF4-FFF2-40B4-BE49-F238E27FC236}">
              <a16:creationId xmlns:a16="http://schemas.microsoft.com/office/drawing/2014/main" id="{00000000-0008-0000-0A00-0000B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32</xdr:row>
      <xdr:rowOff>9525</xdr:rowOff>
    </xdr:from>
    <xdr:ext cx="323850" cy="180975"/>
    <xdr:sp macro="" textlink="">
      <xdr:nvSpPr>
        <xdr:cNvPr id="1472" name="Shape 1471">
          <a:extLst>
            <a:ext uri="{FF2B5EF4-FFF2-40B4-BE49-F238E27FC236}">
              <a16:creationId xmlns:a16="http://schemas.microsoft.com/office/drawing/2014/main" id="{00000000-0008-0000-0A00-0000C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33</xdr:row>
      <xdr:rowOff>9525</xdr:rowOff>
    </xdr:from>
    <xdr:ext cx="323850" cy="180975"/>
    <xdr:sp macro="" textlink="">
      <xdr:nvSpPr>
        <xdr:cNvPr id="1473" name="Shape 1472">
          <a:extLst>
            <a:ext uri="{FF2B5EF4-FFF2-40B4-BE49-F238E27FC236}">
              <a16:creationId xmlns:a16="http://schemas.microsoft.com/office/drawing/2014/main" id="{00000000-0008-0000-0A00-0000C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34</xdr:row>
      <xdr:rowOff>9525</xdr:rowOff>
    </xdr:from>
    <xdr:ext cx="323850" cy="180975"/>
    <xdr:sp macro="" textlink="">
      <xdr:nvSpPr>
        <xdr:cNvPr id="1474" name="Shape 1473">
          <a:extLst>
            <a:ext uri="{FF2B5EF4-FFF2-40B4-BE49-F238E27FC236}">
              <a16:creationId xmlns:a16="http://schemas.microsoft.com/office/drawing/2014/main" id="{00000000-0008-0000-0A00-0000C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35</xdr:row>
      <xdr:rowOff>9525</xdr:rowOff>
    </xdr:from>
    <xdr:ext cx="323850" cy="180975"/>
    <xdr:sp macro="" textlink="">
      <xdr:nvSpPr>
        <xdr:cNvPr id="1475" name="Shape 1474">
          <a:extLst>
            <a:ext uri="{FF2B5EF4-FFF2-40B4-BE49-F238E27FC236}">
              <a16:creationId xmlns:a16="http://schemas.microsoft.com/office/drawing/2014/main" id="{00000000-0008-0000-0A00-0000C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36</xdr:row>
      <xdr:rowOff>9525</xdr:rowOff>
    </xdr:from>
    <xdr:ext cx="323850" cy="180975"/>
    <xdr:sp macro="" textlink="">
      <xdr:nvSpPr>
        <xdr:cNvPr id="1476" name="Shape 1475">
          <a:extLst>
            <a:ext uri="{FF2B5EF4-FFF2-40B4-BE49-F238E27FC236}">
              <a16:creationId xmlns:a16="http://schemas.microsoft.com/office/drawing/2014/main" id="{00000000-0008-0000-0A00-0000C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37</xdr:row>
      <xdr:rowOff>9525</xdr:rowOff>
    </xdr:from>
    <xdr:ext cx="323850" cy="180975"/>
    <xdr:sp macro="" textlink="">
      <xdr:nvSpPr>
        <xdr:cNvPr id="1477" name="Shape 1476">
          <a:extLst>
            <a:ext uri="{FF2B5EF4-FFF2-40B4-BE49-F238E27FC236}">
              <a16:creationId xmlns:a16="http://schemas.microsoft.com/office/drawing/2014/main" id="{00000000-0008-0000-0A00-0000C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38</xdr:row>
      <xdr:rowOff>9525</xdr:rowOff>
    </xdr:from>
    <xdr:ext cx="323850" cy="180975"/>
    <xdr:sp macro="" textlink="">
      <xdr:nvSpPr>
        <xdr:cNvPr id="1478" name="Shape 1477">
          <a:extLst>
            <a:ext uri="{FF2B5EF4-FFF2-40B4-BE49-F238E27FC236}">
              <a16:creationId xmlns:a16="http://schemas.microsoft.com/office/drawing/2014/main" id="{00000000-0008-0000-0A00-0000C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39</xdr:row>
      <xdr:rowOff>9525</xdr:rowOff>
    </xdr:from>
    <xdr:ext cx="323850" cy="180975"/>
    <xdr:sp macro="" textlink="">
      <xdr:nvSpPr>
        <xdr:cNvPr id="1479" name="Shape 1478">
          <a:extLst>
            <a:ext uri="{FF2B5EF4-FFF2-40B4-BE49-F238E27FC236}">
              <a16:creationId xmlns:a16="http://schemas.microsoft.com/office/drawing/2014/main" id="{00000000-0008-0000-0A00-0000C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40</xdr:row>
      <xdr:rowOff>9525</xdr:rowOff>
    </xdr:from>
    <xdr:ext cx="323850" cy="180975"/>
    <xdr:sp macro="" textlink="">
      <xdr:nvSpPr>
        <xdr:cNvPr id="1480" name="Shape 1479">
          <a:extLst>
            <a:ext uri="{FF2B5EF4-FFF2-40B4-BE49-F238E27FC236}">
              <a16:creationId xmlns:a16="http://schemas.microsoft.com/office/drawing/2014/main" id="{00000000-0008-0000-0A00-0000C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41</xdr:row>
      <xdr:rowOff>9525</xdr:rowOff>
    </xdr:from>
    <xdr:ext cx="323850" cy="180975"/>
    <xdr:sp macro="" textlink="">
      <xdr:nvSpPr>
        <xdr:cNvPr id="1481" name="Shape 1480">
          <a:extLst>
            <a:ext uri="{FF2B5EF4-FFF2-40B4-BE49-F238E27FC236}">
              <a16:creationId xmlns:a16="http://schemas.microsoft.com/office/drawing/2014/main" id="{00000000-0008-0000-0A00-0000C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</xdr:row>
      <xdr:rowOff>9525</xdr:rowOff>
    </xdr:from>
    <xdr:ext cx="323850" cy="180975"/>
    <xdr:sp macro="" textlink="">
      <xdr:nvSpPr>
        <xdr:cNvPr id="1482" name="Shape 1481">
          <a:extLst>
            <a:ext uri="{FF2B5EF4-FFF2-40B4-BE49-F238E27FC236}">
              <a16:creationId xmlns:a16="http://schemas.microsoft.com/office/drawing/2014/main" id="{00000000-0008-0000-0A00-0000C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</xdr:row>
      <xdr:rowOff>9525</xdr:rowOff>
    </xdr:from>
    <xdr:ext cx="323850" cy="180975"/>
    <xdr:sp macro="" textlink="">
      <xdr:nvSpPr>
        <xdr:cNvPr id="1483" name="Shape 1482">
          <a:extLst>
            <a:ext uri="{FF2B5EF4-FFF2-40B4-BE49-F238E27FC236}">
              <a16:creationId xmlns:a16="http://schemas.microsoft.com/office/drawing/2014/main" id="{00000000-0008-0000-0A00-0000C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4</xdr:row>
      <xdr:rowOff>9525</xdr:rowOff>
    </xdr:from>
    <xdr:ext cx="323850" cy="180975"/>
    <xdr:sp macro="" textlink="">
      <xdr:nvSpPr>
        <xdr:cNvPr id="1484" name="Shape 1483">
          <a:extLst>
            <a:ext uri="{FF2B5EF4-FFF2-40B4-BE49-F238E27FC236}">
              <a16:creationId xmlns:a16="http://schemas.microsoft.com/office/drawing/2014/main" id="{00000000-0008-0000-0A00-0000C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5</xdr:row>
      <xdr:rowOff>9525</xdr:rowOff>
    </xdr:from>
    <xdr:ext cx="323850" cy="180975"/>
    <xdr:sp macro="" textlink="">
      <xdr:nvSpPr>
        <xdr:cNvPr id="1485" name="Shape 1484">
          <a:extLst>
            <a:ext uri="{FF2B5EF4-FFF2-40B4-BE49-F238E27FC236}">
              <a16:creationId xmlns:a16="http://schemas.microsoft.com/office/drawing/2014/main" id="{00000000-0008-0000-0A00-0000C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6</xdr:row>
      <xdr:rowOff>9525</xdr:rowOff>
    </xdr:from>
    <xdr:ext cx="323850" cy="180975"/>
    <xdr:sp macro="" textlink="">
      <xdr:nvSpPr>
        <xdr:cNvPr id="1486" name="Shape 1485">
          <a:extLst>
            <a:ext uri="{FF2B5EF4-FFF2-40B4-BE49-F238E27FC236}">
              <a16:creationId xmlns:a16="http://schemas.microsoft.com/office/drawing/2014/main" id="{00000000-0008-0000-0A00-0000C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7</xdr:row>
      <xdr:rowOff>9525</xdr:rowOff>
    </xdr:from>
    <xdr:ext cx="323850" cy="180975"/>
    <xdr:sp macro="" textlink="">
      <xdr:nvSpPr>
        <xdr:cNvPr id="1487" name="Shape 1486">
          <a:extLst>
            <a:ext uri="{FF2B5EF4-FFF2-40B4-BE49-F238E27FC236}">
              <a16:creationId xmlns:a16="http://schemas.microsoft.com/office/drawing/2014/main" id="{00000000-0008-0000-0A00-0000C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8</xdr:row>
      <xdr:rowOff>9525</xdr:rowOff>
    </xdr:from>
    <xdr:ext cx="323850" cy="180975"/>
    <xdr:sp macro="" textlink="">
      <xdr:nvSpPr>
        <xdr:cNvPr id="1488" name="Shape 1487">
          <a:extLst>
            <a:ext uri="{FF2B5EF4-FFF2-40B4-BE49-F238E27FC236}">
              <a16:creationId xmlns:a16="http://schemas.microsoft.com/office/drawing/2014/main" id="{00000000-0008-0000-0A00-0000D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9</xdr:row>
      <xdr:rowOff>9525</xdr:rowOff>
    </xdr:from>
    <xdr:ext cx="323850" cy="180975"/>
    <xdr:sp macro="" textlink="">
      <xdr:nvSpPr>
        <xdr:cNvPr id="1489" name="Shape 1488">
          <a:extLst>
            <a:ext uri="{FF2B5EF4-FFF2-40B4-BE49-F238E27FC236}">
              <a16:creationId xmlns:a16="http://schemas.microsoft.com/office/drawing/2014/main" id="{00000000-0008-0000-0A00-0000D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10</xdr:row>
      <xdr:rowOff>9525</xdr:rowOff>
    </xdr:from>
    <xdr:ext cx="323850" cy="180975"/>
    <xdr:sp macro="" textlink="">
      <xdr:nvSpPr>
        <xdr:cNvPr id="1490" name="Shape 1489">
          <a:extLst>
            <a:ext uri="{FF2B5EF4-FFF2-40B4-BE49-F238E27FC236}">
              <a16:creationId xmlns:a16="http://schemas.microsoft.com/office/drawing/2014/main" id="{00000000-0008-0000-0A00-0000D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11</xdr:row>
      <xdr:rowOff>9525</xdr:rowOff>
    </xdr:from>
    <xdr:ext cx="323850" cy="180975"/>
    <xdr:sp macro="" textlink="">
      <xdr:nvSpPr>
        <xdr:cNvPr id="1491" name="Shape 1490">
          <a:extLst>
            <a:ext uri="{FF2B5EF4-FFF2-40B4-BE49-F238E27FC236}">
              <a16:creationId xmlns:a16="http://schemas.microsoft.com/office/drawing/2014/main" id="{00000000-0008-0000-0A00-0000D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12</xdr:row>
      <xdr:rowOff>9525</xdr:rowOff>
    </xdr:from>
    <xdr:ext cx="323850" cy="180975"/>
    <xdr:sp macro="" textlink="">
      <xdr:nvSpPr>
        <xdr:cNvPr id="1492" name="Shape 1491">
          <a:extLst>
            <a:ext uri="{FF2B5EF4-FFF2-40B4-BE49-F238E27FC236}">
              <a16:creationId xmlns:a16="http://schemas.microsoft.com/office/drawing/2014/main" id="{00000000-0008-0000-0A00-0000D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13</xdr:row>
      <xdr:rowOff>9525</xdr:rowOff>
    </xdr:from>
    <xdr:ext cx="323850" cy="180975"/>
    <xdr:sp macro="" textlink="">
      <xdr:nvSpPr>
        <xdr:cNvPr id="1493" name="Shape 1492">
          <a:extLst>
            <a:ext uri="{FF2B5EF4-FFF2-40B4-BE49-F238E27FC236}">
              <a16:creationId xmlns:a16="http://schemas.microsoft.com/office/drawing/2014/main" id="{00000000-0008-0000-0A00-0000D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14</xdr:row>
      <xdr:rowOff>9525</xdr:rowOff>
    </xdr:from>
    <xdr:ext cx="323850" cy="180975"/>
    <xdr:sp macro="" textlink="">
      <xdr:nvSpPr>
        <xdr:cNvPr id="1494" name="Shape 1493">
          <a:extLst>
            <a:ext uri="{FF2B5EF4-FFF2-40B4-BE49-F238E27FC236}">
              <a16:creationId xmlns:a16="http://schemas.microsoft.com/office/drawing/2014/main" id="{00000000-0008-0000-0A00-0000D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15</xdr:row>
      <xdr:rowOff>9525</xdr:rowOff>
    </xdr:from>
    <xdr:ext cx="323850" cy="180975"/>
    <xdr:sp macro="" textlink="">
      <xdr:nvSpPr>
        <xdr:cNvPr id="1495" name="Shape 1494">
          <a:extLst>
            <a:ext uri="{FF2B5EF4-FFF2-40B4-BE49-F238E27FC236}">
              <a16:creationId xmlns:a16="http://schemas.microsoft.com/office/drawing/2014/main" id="{00000000-0008-0000-0A00-0000D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16</xdr:row>
      <xdr:rowOff>9525</xdr:rowOff>
    </xdr:from>
    <xdr:ext cx="323850" cy="180975"/>
    <xdr:sp macro="" textlink="">
      <xdr:nvSpPr>
        <xdr:cNvPr id="1496" name="Shape 1495">
          <a:extLst>
            <a:ext uri="{FF2B5EF4-FFF2-40B4-BE49-F238E27FC236}">
              <a16:creationId xmlns:a16="http://schemas.microsoft.com/office/drawing/2014/main" id="{00000000-0008-0000-0A00-0000D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17</xdr:row>
      <xdr:rowOff>9525</xdr:rowOff>
    </xdr:from>
    <xdr:ext cx="323850" cy="180975"/>
    <xdr:sp macro="" textlink="">
      <xdr:nvSpPr>
        <xdr:cNvPr id="1497" name="Shape 1496">
          <a:extLst>
            <a:ext uri="{FF2B5EF4-FFF2-40B4-BE49-F238E27FC236}">
              <a16:creationId xmlns:a16="http://schemas.microsoft.com/office/drawing/2014/main" id="{00000000-0008-0000-0A00-0000D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18</xdr:row>
      <xdr:rowOff>9525</xdr:rowOff>
    </xdr:from>
    <xdr:ext cx="323850" cy="180975"/>
    <xdr:sp macro="" textlink="">
      <xdr:nvSpPr>
        <xdr:cNvPr id="1498" name="Shape 1497">
          <a:extLst>
            <a:ext uri="{FF2B5EF4-FFF2-40B4-BE49-F238E27FC236}">
              <a16:creationId xmlns:a16="http://schemas.microsoft.com/office/drawing/2014/main" id="{00000000-0008-0000-0A00-0000D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19</xdr:row>
      <xdr:rowOff>9525</xdr:rowOff>
    </xdr:from>
    <xdr:ext cx="323850" cy="180975"/>
    <xdr:sp macro="" textlink="">
      <xdr:nvSpPr>
        <xdr:cNvPr id="1499" name="Shape 1498">
          <a:extLst>
            <a:ext uri="{FF2B5EF4-FFF2-40B4-BE49-F238E27FC236}">
              <a16:creationId xmlns:a16="http://schemas.microsoft.com/office/drawing/2014/main" id="{00000000-0008-0000-0A00-0000D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20</xdr:row>
      <xdr:rowOff>9525</xdr:rowOff>
    </xdr:from>
    <xdr:ext cx="323850" cy="180975"/>
    <xdr:sp macro="" textlink="">
      <xdr:nvSpPr>
        <xdr:cNvPr id="1500" name="Shape 1499">
          <a:extLst>
            <a:ext uri="{FF2B5EF4-FFF2-40B4-BE49-F238E27FC236}">
              <a16:creationId xmlns:a16="http://schemas.microsoft.com/office/drawing/2014/main" id="{00000000-0008-0000-0A00-0000D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21</xdr:row>
      <xdr:rowOff>9525</xdr:rowOff>
    </xdr:from>
    <xdr:ext cx="323850" cy="180975"/>
    <xdr:sp macro="" textlink="">
      <xdr:nvSpPr>
        <xdr:cNvPr id="1501" name="Shape 1500">
          <a:extLst>
            <a:ext uri="{FF2B5EF4-FFF2-40B4-BE49-F238E27FC236}">
              <a16:creationId xmlns:a16="http://schemas.microsoft.com/office/drawing/2014/main" id="{00000000-0008-0000-0A00-0000D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22</xdr:row>
      <xdr:rowOff>9525</xdr:rowOff>
    </xdr:from>
    <xdr:ext cx="323850" cy="180975"/>
    <xdr:sp macro="" textlink="">
      <xdr:nvSpPr>
        <xdr:cNvPr id="1502" name="Shape 1501">
          <a:extLst>
            <a:ext uri="{FF2B5EF4-FFF2-40B4-BE49-F238E27FC236}">
              <a16:creationId xmlns:a16="http://schemas.microsoft.com/office/drawing/2014/main" id="{00000000-0008-0000-0A00-0000D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23</xdr:row>
      <xdr:rowOff>9525</xdr:rowOff>
    </xdr:from>
    <xdr:ext cx="323850" cy="180975"/>
    <xdr:sp macro="" textlink="">
      <xdr:nvSpPr>
        <xdr:cNvPr id="1503" name="Shape 1502">
          <a:extLst>
            <a:ext uri="{FF2B5EF4-FFF2-40B4-BE49-F238E27FC236}">
              <a16:creationId xmlns:a16="http://schemas.microsoft.com/office/drawing/2014/main" id="{00000000-0008-0000-0A00-0000D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24</xdr:row>
      <xdr:rowOff>9525</xdr:rowOff>
    </xdr:from>
    <xdr:ext cx="323850" cy="180975"/>
    <xdr:sp macro="" textlink="">
      <xdr:nvSpPr>
        <xdr:cNvPr id="1504" name="Shape 1503">
          <a:extLst>
            <a:ext uri="{FF2B5EF4-FFF2-40B4-BE49-F238E27FC236}">
              <a16:creationId xmlns:a16="http://schemas.microsoft.com/office/drawing/2014/main" id="{00000000-0008-0000-0A00-0000E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25</xdr:row>
      <xdr:rowOff>9525</xdr:rowOff>
    </xdr:from>
    <xdr:ext cx="323850" cy="180975"/>
    <xdr:sp macro="" textlink="">
      <xdr:nvSpPr>
        <xdr:cNvPr id="1505" name="Shape 1504">
          <a:extLst>
            <a:ext uri="{FF2B5EF4-FFF2-40B4-BE49-F238E27FC236}">
              <a16:creationId xmlns:a16="http://schemas.microsoft.com/office/drawing/2014/main" id="{00000000-0008-0000-0A00-0000E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26</xdr:row>
      <xdr:rowOff>9525</xdr:rowOff>
    </xdr:from>
    <xdr:ext cx="323850" cy="180975"/>
    <xdr:sp macro="" textlink="">
      <xdr:nvSpPr>
        <xdr:cNvPr id="1506" name="Shape 1505">
          <a:extLst>
            <a:ext uri="{FF2B5EF4-FFF2-40B4-BE49-F238E27FC236}">
              <a16:creationId xmlns:a16="http://schemas.microsoft.com/office/drawing/2014/main" id="{00000000-0008-0000-0A00-0000E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27</xdr:row>
      <xdr:rowOff>9525</xdr:rowOff>
    </xdr:from>
    <xdr:ext cx="323850" cy="180975"/>
    <xdr:sp macro="" textlink="">
      <xdr:nvSpPr>
        <xdr:cNvPr id="1507" name="Shape 1506">
          <a:extLst>
            <a:ext uri="{FF2B5EF4-FFF2-40B4-BE49-F238E27FC236}">
              <a16:creationId xmlns:a16="http://schemas.microsoft.com/office/drawing/2014/main" id="{00000000-0008-0000-0A00-0000E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28</xdr:row>
      <xdr:rowOff>9525</xdr:rowOff>
    </xdr:from>
    <xdr:ext cx="323850" cy="180975"/>
    <xdr:sp macro="" textlink="">
      <xdr:nvSpPr>
        <xdr:cNvPr id="1508" name="Shape 1507">
          <a:extLst>
            <a:ext uri="{FF2B5EF4-FFF2-40B4-BE49-F238E27FC236}">
              <a16:creationId xmlns:a16="http://schemas.microsoft.com/office/drawing/2014/main" id="{00000000-0008-0000-0A00-0000E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29</xdr:row>
      <xdr:rowOff>9525</xdr:rowOff>
    </xdr:from>
    <xdr:ext cx="323850" cy="180975"/>
    <xdr:sp macro="" textlink="">
      <xdr:nvSpPr>
        <xdr:cNvPr id="1509" name="Shape 1508">
          <a:extLst>
            <a:ext uri="{FF2B5EF4-FFF2-40B4-BE49-F238E27FC236}">
              <a16:creationId xmlns:a16="http://schemas.microsoft.com/office/drawing/2014/main" id="{00000000-0008-0000-0A00-0000E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30</xdr:row>
      <xdr:rowOff>9525</xdr:rowOff>
    </xdr:from>
    <xdr:ext cx="323850" cy="180975"/>
    <xdr:sp macro="" textlink="">
      <xdr:nvSpPr>
        <xdr:cNvPr id="1510" name="Shape 1509">
          <a:extLst>
            <a:ext uri="{FF2B5EF4-FFF2-40B4-BE49-F238E27FC236}">
              <a16:creationId xmlns:a16="http://schemas.microsoft.com/office/drawing/2014/main" id="{00000000-0008-0000-0A00-0000E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31</xdr:row>
      <xdr:rowOff>9525</xdr:rowOff>
    </xdr:from>
    <xdr:ext cx="323850" cy="180975"/>
    <xdr:sp macro="" textlink="">
      <xdr:nvSpPr>
        <xdr:cNvPr id="1511" name="Shape 1510">
          <a:extLst>
            <a:ext uri="{FF2B5EF4-FFF2-40B4-BE49-F238E27FC236}">
              <a16:creationId xmlns:a16="http://schemas.microsoft.com/office/drawing/2014/main" id="{00000000-0008-0000-0A00-0000E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32</xdr:row>
      <xdr:rowOff>9525</xdr:rowOff>
    </xdr:from>
    <xdr:ext cx="323850" cy="180975"/>
    <xdr:sp macro="" textlink="">
      <xdr:nvSpPr>
        <xdr:cNvPr id="1512" name="Shape 1511">
          <a:extLst>
            <a:ext uri="{FF2B5EF4-FFF2-40B4-BE49-F238E27FC236}">
              <a16:creationId xmlns:a16="http://schemas.microsoft.com/office/drawing/2014/main" id="{00000000-0008-0000-0A00-0000E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33</xdr:row>
      <xdr:rowOff>9525</xdr:rowOff>
    </xdr:from>
    <xdr:ext cx="323850" cy="180975"/>
    <xdr:sp macro="" textlink="">
      <xdr:nvSpPr>
        <xdr:cNvPr id="1513" name="Shape 1512">
          <a:extLst>
            <a:ext uri="{FF2B5EF4-FFF2-40B4-BE49-F238E27FC236}">
              <a16:creationId xmlns:a16="http://schemas.microsoft.com/office/drawing/2014/main" id="{00000000-0008-0000-0A00-0000E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34</xdr:row>
      <xdr:rowOff>9525</xdr:rowOff>
    </xdr:from>
    <xdr:ext cx="323850" cy="180975"/>
    <xdr:sp macro="" textlink="">
      <xdr:nvSpPr>
        <xdr:cNvPr id="1514" name="Shape 1513">
          <a:extLst>
            <a:ext uri="{FF2B5EF4-FFF2-40B4-BE49-F238E27FC236}">
              <a16:creationId xmlns:a16="http://schemas.microsoft.com/office/drawing/2014/main" id="{00000000-0008-0000-0A00-0000E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35</xdr:row>
      <xdr:rowOff>9525</xdr:rowOff>
    </xdr:from>
    <xdr:ext cx="323850" cy="180975"/>
    <xdr:sp macro="" textlink="">
      <xdr:nvSpPr>
        <xdr:cNvPr id="1515" name="Shape 1514">
          <a:extLst>
            <a:ext uri="{FF2B5EF4-FFF2-40B4-BE49-F238E27FC236}">
              <a16:creationId xmlns:a16="http://schemas.microsoft.com/office/drawing/2014/main" id="{00000000-0008-0000-0A00-0000E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36</xdr:row>
      <xdr:rowOff>9525</xdr:rowOff>
    </xdr:from>
    <xdr:ext cx="323850" cy="180975"/>
    <xdr:sp macro="" textlink="">
      <xdr:nvSpPr>
        <xdr:cNvPr id="1516" name="Shape 1515">
          <a:extLst>
            <a:ext uri="{FF2B5EF4-FFF2-40B4-BE49-F238E27FC236}">
              <a16:creationId xmlns:a16="http://schemas.microsoft.com/office/drawing/2014/main" id="{00000000-0008-0000-0A00-0000E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37</xdr:row>
      <xdr:rowOff>9525</xdr:rowOff>
    </xdr:from>
    <xdr:ext cx="323850" cy="180975"/>
    <xdr:sp macro="" textlink="">
      <xdr:nvSpPr>
        <xdr:cNvPr id="1517" name="Shape 1516">
          <a:extLst>
            <a:ext uri="{FF2B5EF4-FFF2-40B4-BE49-F238E27FC236}">
              <a16:creationId xmlns:a16="http://schemas.microsoft.com/office/drawing/2014/main" id="{00000000-0008-0000-0A00-0000E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38</xdr:row>
      <xdr:rowOff>9525</xdr:rowOff>
    </xdr:from>
    <xdr:ext cx="323850" cy="180975"/>
    <xdr:sp macro="" textlink="">
      <xdr:nvSpPr>
        <xdr:cNvPr id="1518" name="Shape 1517">
          <a:extLst>
            <a:ext uri="{FF2B5EF4-FFF2-40B4-BE49-F238E27FC236}">
              <a16:creationId xmlns:a16="http://schemas.microsoft.com/office/drawing/2014/main" id="{00000000-0008-0000-0A00-0000E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39</xdr:row>
      <xdr:rowOff>9525</xdr:rowOff>
    </xdr:from>
    <xdr:ext cx="323850" cy="180975"/>
    <xdr:sp macro="" textlink="">
      <xdr:nvSpPr>
        <xdr:cNvPr id="1519" name="Shape 1518">
          <a:extLst>
            <a:ext uri="{FF2B5EF4-FFF2-40B4-BE49-F238E27FC236}">
              <a16:creationId xmlns:a16="http://schemas.microsoft.com/office/drawing/2014/main" id="{00000000-0008-0000-0A00-0000E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40</xdr:row>
      <xdr:rowOff>9525</xdr:rowOff>
    </xdr:from>
    <xdr:ext cx="323850" cy="180975"/>
    <xdr:sp macro="" textlink="">
      <xdr:nvSpPr>
        <xdr:cNvPr id="1520" name="Shape 1519">
          <a:extLst>
            <a:ext uri="{FF2B5EF4-FFF2-40B4-BE49-F238E27FC236}">
              <a16:creationId xmlns:a16="http://schemas.microsoft.com/office/drawing/2014/main" id="{00000000-0008-0000-0A00-0000F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41</xdr:row>
      <xdr:rowOff>9525</xdr:rowOff>
    </xdr:from>
    <xdr:ext cx="323850" cy="180975"/>
    <xdr:sp macro="" textlink="">
      <xdr:nvSpPr>
        <xdr:cNvPr id="1521" name="Shape 1520">
          <a:extLst>
            <a:ext uri="{FF2B5EF4-FFF2-40B4-BE49-F238E27FC236}">
              <a16:creationId xmlns:a16="http://schemas.microsoft.com/office/drawing/2014/main" id="{00000000-0008-0000-0A00-0000F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</xdr:row>
      <xdr:rowOff>9525</xdr:rowOff>
    </xdr:from>
    <xdr:ext cx="323850" cy="180975"/>
    <xdr:sp macro="" textlink="">
      <xdr:nvSpPr>
        <xdr:cNvPr id="1522" name="Shape 1521">
          <a:extLst>
            <a:ext uri="{FF2B5EF4-FFF2-40B4-BE49-F238E27FC236}">
              <a16:creationId xmlns:a16="http://schemas.microsoft.com/office/drawing/2014/main" id="{00000000-0008-0000-0A00-0000F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</xdr:row>
      <xdr:rowOff>9525</xdr:rowOff>
    </xdr:from>
    <xdr:ext cx="323850" cy="180975"/>
    <xdr:sp macro="" textlink="">
      <xdr:nvSpPr>
        <xdr:cNvPr id="1523" name="Shape 1522">
          <a:extLst>
            <a:ext uri="{FF2B5EF4-FFF2-40B4-BE49-F238E27FC236}">
              <a16:creationId xmlns:a16="http://schemas.microsoft.com/office/drawing/2014/main" id="{00000000-0008-0000-0A00-0000F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4</xdr:row>
      <xdr:rowOff>9525</xdr:rowOff>
    </xdr:from>
    <xdr:ext cx="323850" cy="180975"/>
    <xdr:sp macro="" textlink="">
      <xdr:nvSpPr>
        <xdr:cNvPr id="1524" name="Shape 1523">
          <a:extLst>
            <a:ext uri="{FF2B5EF4-FFF2-40B4-BE49-F238E27FC236}">
              <a16:creationId xmlns:a16="http://schemas.microsoft.com/office/drawing/2014/main" id="{00000000-0008-0000-0A00-0000F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5</xdr:row>
      <xdr:rowOff>9525</xdr:rowOff>
    </xdr:from>
    <xdr:ext cx="323850" cy="180975"/>
    <xdr:sp macro="" textlink="">
      <xdr:nvSpPr>
        <xdr:cNvPr id="1525" name="Shape 1524">
          <a:extLst>
            <a:ext uri="{FF2B5EF4-FFF2-40B4-BE49-F238E27FC236}">
              <a16:creationId xmlns:a16="http://schemas.microsoft.com/office/drawing/2014/main" id="{00000000-0008-0000-0A00-0000F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6</xdr:row>
      <xdr:rowOff>9525</xdr:rowOff>
    </xdr:from>
    <xdr:ext cx="323850" cy="180975"/>
    <xdr:sp macro="" textlink="">
      <xdr:nvSpPr>
        <xdr:cNvPr id="1526" name="Shape 1525">
          <a:extLst>
            <a:ext uri="{FF2B5EF4-FFF2-40B4-BE49-F238E27FC236}">
              <a16:creationId xmlns:a16="http://schemas.microsoft.com/office/drawing/2014/main" id="{00000000-0008-0000-0A00-0000F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7</xdr:row>
      <xdr:rowOff>9525</xdr:rowOff>
    </xdr:from>
    <xdr:ext cx="323850" cy="180975"/>
    <xdr:sp macro="" textlink="">
      <xdr:nvSpPr>
        <xdr:cNvPr id="1527" name="Shape 1526">
          <a:extLst>
            <a:ext uri="{FF2B5EF4-FFF2-40B4-BE49-F238E27FC236}">
              <a16:creationId xmlns:a16="http://schemas.microsoft.com/office/drawing/2014/main" id="{00000000-0008-0000-0A00-0000F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8</xdr:row>
      <xdr:rowOff>9525</xdr:rowOff>
    </xdr:from>
    <xdr:ext cx="323850" cy="180975"/>
    <xdr:sp macro="" textlink="">
      <xdr:nvSpPr>
        <xdr:cNvPr id="1528" name="Shape 1527">
          <a:extLst>
            <a:ext uri="{FF2B5EF4-FFF2-40B4-BE49-F238E27FC236}">
              <a16:creationId xmlns:a16="http://schemas.microsoft.com/office/drawing/2014/main" id="{00000000-0008-0000-0A00-0000F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9</xdr:row>
      <xdr:rowOff>9525</xdr:rowOff>
    </xdr:from>
    <xdr:ext cx="323850" cy="180975"/>
    <xdr:sp macro="" textlink="">
      <xdr:nvSpPr>
        <xdr:cNvPr id="1529" name="Shape 1528">
          <a:extLst>
            <a:ext uri="{FF2B5EF4-FFF2-40B4-BE49-F238E27FC236}">
              <a16:creationId xmlns:a16="http://schemas.microsoft.com/office/drawing/2014/main" id="{00000000-0008-0000-0A00-0000F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10</xdr:row>
      <xdr:rowOff>9525</xdr:rowOff>
    </xdr:from>
    <xdr:ext cx="323850" cy="180975"/>
    <xdr:sp macro="" textlink="">
      <xdr:nvSpPr>
        <xdr:cNvPr id="1530" name="Shape 1529">
          <a:extLst>
            <a:ext uri="{FF2B5EF4-FFF2-40B4-BE49-F238E27FC236}">
              <a16:creationId xmlns:a16="http://schemas.microsoft.com/office/drawing/2014/main" id="{00000000-0008-0000-0A00-0000F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11</xdr:row>
      <xdr:rowOff>9525</xdr:rowOff>
    </xdr:from>
    <xdr:ext cx="323850" cy="180975"/>
    <xdr:sp macro="" textlink="">
      <xdr:nvSpPr>
        <xdr:cNvPr id="1531" name="Shape 1530">
          <a:extLst>
            <a:ext uri="{FF2B5EF4-FFF2-40B4-BE49-F238E27FC236}">
              <a16:creationId xmlns:a16="http://schemas.microsoft.com/office/drawing/2014/main" id="{00000000-0008-0000-0A00-0000F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12</xdr:row>
      <xdr:rowOff>9525</xdr:rowOff>
    </xdr:from>
    <xdr:ext cx="323850" cy="180975"/>
    <xdr:sp macro="" textlink="">
      <xdr:nvSpPr>
        <xdr:cNvPr id="1532" name="Shape 1531">
          <a:extLst>
            <a:ext uri="{FF2B5EF4-FFF2-40B4-BE49-F238E27FC236}">
              <a16:creationId xmlns:a16="http://schemas.microsoft.com/office/drawing/2014/main" id="{00000000-0008-0000-0A00-0000F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13</xdr:row>
      <xdr:rowOff>9525</xdr:rowOff>
    </xdr:from>
    <xdr:ext cx="323850" cy="180975"/>
    <xdr:sp macro="" textlink="">
      <xdr:nvSpPr>
        <xdr:cNvPr id="1533" name="Shape 1532">
          <a:extLst>
            <a:ext uri="{FF2B5EF4-FFF2-40B4-BE49-F238E27FC236}">
              <a16:creationId xmlns:a16="http://schemas.microsoft.com/office/drawing/2014/main" id="{00000000-0008-0000-0A00-0000F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14</xdr:row>
      <xdr:rowOff>9525</xdr:rowOff>
    </xdr:from>
    <xdr:ext cx="323850" cy="180975"/>
    <xdr:sp macro="" textlink="">
      <xdr:nvSpPr>
        <xdr:cNvPr id="1534" name="Shape 1533">
          <a:extLst>
            <a:ext uri="{FF2B5EF4-FFF2-40B4-BE49-F238E27FC236}">
              <a16:creationId xmlns:a16="http://schemas.microsoft.com/office/drawing/2014/main" id="{00000000-0008-0000-0A00-0000F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15</xdr:row>
      <xdr:rowOff>9525</xdr:rowOff>
    </xdr:from>
    <xdr:ext cx="323850" cy="180975"/>
    <xdr:sp macro="" textlink="">
      <xdr:nvSpPr>
        <xdr:cNvPr id="1535" name="Shape 1534">
          <a:extLst>
            <a:ext uri="{FF2B5EF4-FFF2-40B4-BE49-F238E27FC236}">
              <a16:creationId xmlns:a16="http://schemas.microsoft.com/office/drawing/2014/main" id="{00000000-0008-0000-0A00-0000F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16</xdr:row>
      <xdr:rowOff>9525</xdr:rowOff>
    </xdr:from>
    <xdr:ext cx="323850" cy="180975"/>
    <xdr:sp macro="" textlink="">
      <xdr:nvSpPr>
        <xdr:cNvPr id="1536" name="Shape 1535">
          <a:extLst>
            <a:ext uri="{FF2B5EF4-FFF2-40B4-BE49-F238E27FC236}">
              <a16:creationId xmlns:a16="http://schemas.microsoft.com/office/drawing/2014/main" id="{00000000-0008-0000-0A00-00000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17</xdr:row>
      <xdr:rowOff>9525</xdr:rowOff>
    </xdr:from>
    <xdr:ext cx="323850" cy="180975"/>
    <xdr:sp macro="" textlink="">
      <xdr:nvSpPr>
        <xdr:cNvPr id="1537" name="Shape 1536">
          <a:extLst>
            <a:ext uri="{FF2B5EF4-FFF2-40B4-BE49-F238E27FC236}">
              <a16:creationId xmlns:a16="http://schemas.microsoft.com/office/drawing/2014/main" id="{00000000-0008-0000-0A00-00000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18</xdr:row>
      <xdr:rowOff>9525</xdr:rowOff>
    </xdr:from>
    <xdr:ext cx="323850" cy="180975"/>
    <xdr:sp macro="" textlink="">
      <xdr:nvSpPr>
        <xdr:cNvPr id="1538" name="Shape 1537">
          <a:extLst>
            <a:ext uri="{FF2B5EF4-FFF2-40B4-BE49-F238E27FC236}">
              <a16:creationId xmlns:a16="http://schemas.microsoft.com/office/drawing/2014/main" id="{00000000-0008-0000-0A00-00000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19</xdr:row>
      <xdr:rowOff>9525</xdr:rowOff>
    </xdr:from>
    <xdr:ext cx="323850" cy="180975"/>
    <xdr:sp macro="" textlink="">
      <xdr:nvSpPr>
        <xdr:cNvPr id="1539" name="Shape 1538">
          <a:extLst>
            <a:ext uri="{FF2B5EF4-FFF2-40B4-BE49-F238E27FC236}">
              <a16:creationId xmlns:a16="http://schemas.microsoft.com/office/drawing/2014/main" id="{00000000-0008-0000-0A00-00000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20</xdr:row>
      <xdr:rowOff>9525</xdr:rowOff>
    </xdr:from>
    <xdr:ext cx="323850" cy="180975"/>
    <xdr:sp macro="" textlink="">
      <xdr:nvSpPr>
        <xdr:cNvPr id="1540" name="Shape 1539">
          <a:extLst>
            <a:ext uri="{FF2B5EF4-FFF2-40B4-BE49-F238E27FC236}">
              <a16:creationId xmlns:a16="http://schemas.microsoft.com/office/drawing/2014/main" id="{00000000-0008-0000-0A00-00000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21</xdr:row>
      <xdr:rowOff>9525</xdr:rowOff>
    </xdr:from>
    <xdr:ext cx="323850" cy="180975"/>
    <xdr:sp macro="" textlink="">
      <xdr:nvSpPr>
        <xdr:cNvPr id="1541" name="Shape 1540">
          <a:extLst>
            <a:ext uri="{FF2B5EF4-FFF2-40B4-BE49-F238E27FC236}">
              <a16:creationId xmlns:a16="http://schemas.microsoft.com/office/drawing/2014/main" id="{00000000-0008-0000-0A00-00000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22</xdr:row>
      <xdr:rowOff>9525</xdr:rowOff>
    </xdr:from>
    <xdr:ext cx="323850" cy="180975"/>
    <xdr:sp macro="" textlink="">
      <xdr:nvSpPr>
        <xdr:cNvPr id="1542" name="Shape 1541">
          <a:extLst>
            <a:ext uri="{FF2B5EF4-FFF2-40B4-BE49-F238E27FC236}">
              <a16:creationId xmlns:a16="http://schemas.microsoft.com/office/drawing/2014/main" id="{00000000-0008-0000-0A00-00000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23</xdr:row>
      <xdr:rowOff>9525</xdr:rowOff>
    </xdr:from>
    <xdr:ext cx="323850" cy="180975"/>
    <xdr:sp macro="" textlink="">
      <xdr:nvSpPr>
        <xdr:cNvPr id="1543" name="Shape 1542">
          <a:extLst>
            <a:ext uri="{FF2B5EF4-FFF2-40B4-BE49-F238E27FC236}">
              <a16:creationId xmlns:a16="http://schemas.microsoft.com/office/drawing/2014/main" id="{00000000-0008-0000-0A00-00000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24</xdr:row>
      <xdr:rowOff>9525</xdr:rowOff>
    </xdr:from>
    <xdr:ext cx="323850" cy="180975"/>
    <xdr:sp macro="" textlink="">
      <xdr:nvSpPr>
        <xdr:cNvPr id="1544" name="Shape 1543">
          <a:extLst>
            <a:ext uri="{FF2B5EF4-FFF2-40B4-BE49-F238E27FC236}">
              <a16:creationId xmlns:a16="http://schemas.microsoft.com/office/drawing/2014/main" id="{00000000-0008-0000-0A00-00000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25</xdr:row>
      <xdr:rowOff>9525</xdr:rowOff>
    </xdr:from>
    <xdr:ext cx="323850" cy="180975"/>
    <xdr:sp macro="" textlink="">
      <xdr:nvSpPr>
        <xdr:cNvPr id="1545" name="Shape 1544">
          <a:extLst>
            <a:ext uri="{FF2B5EF4-FFF2-40B4-BE49-F238E27FC236}">
              <a16:creationId xmlns:a16="http://schemas.microsoft.com/office/drawing/2014/main" id="{00000000-0008-0000-0A00-00000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26</xdr:row>
      <xdr:rowOff>9525</xdr:rowOff>
    </xdr:from>
    <xdr:ext cx="323850" cy="180975"/>
    <xdr:sp macro="" textlink="">
      <xdr:nvSpPr>
        <xdr:cNvPr id="1546" name="Shape 1545">
          <a:extLst>
            <a:ext uri="{FF2B5EF4-FFF2-40B4-BE49-F238E27FC236}">
              <a16:creationId xmlns:a16="http://schemas.microsoft.com/office/drawing/2014/main" id="{00000000-0008-0000-0A00-00000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27</xdr:row>
      <xdr:rowOff>9525</xdr:rowOff>
    </xdr:from>
    <xdr:ext cx="323850" cy="180975"/>
    <xdr:sp macro="" textlink="">
      <xdr:nvSpPr>
        <xdr:cNvPr id="1547" name="Shape 1546">
          <a:extLst>
            <a:ext uri="{FF2B5EF4-FFF2-40B4-BE49-F238E27FC236}">
              <a16:creationId xmlns:a16="http://schemas.microsoft.com/office/drawing/2014/main" id="{00000000-0008-0000-0A00-00000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28</xdr:row>
      <xdr:rowOff>9525</xdr:rowOff>
    </xdr:from>
    <xdr:ext cx="323850" cy="180975"/>
    <xdr:sp macro="" textlink="">
      <xdr:nvSpPr>
        <xdr:cNvPr id="1548" name="Shape 1547">
          <a:extLst>
            <a:ext uri="{FF2B5EF4-FFF2-40B4-BE49-F238E27FC236}">
              <a16:creationId xmlns:a16="http://schemas.microsoft.com/office/drawing/2014/main" id="{00000000-0008-0000-0A00-00000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29</xdr:row>
      <xdr:rowOff>9525</xdr:rowOff>
    </xdr:from>
    <xdr:ext cx="323850" cy="180975"/>
    <xdr:sp macro="" textlink="">
      <xdr:nvSpPr>
        <xdr:cNvPr id="1549" name="Shape 1548">
          <a:extLst>
            <a:ext uri="{FF2B5EF4-FFF2-40B4-BE49-F238E27FC236}">
              <a16:creationId xmlns:a16="http://schemas.microsoft.com/office/drawing/2014/main" id="{00000000-0008-0000-0A00-00000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30</xdr:row>
      <xdr:rowOff>9525</xdr:rowOff>
    </xdr:from>
    <xdr:ext cx="323850" cy="180975"/>
    <xdr:sp macro="" textlink="">
      <xdr:nvSpPr>
        <xdr:cNvPr id="1550" name="Shape 1549">
          <a:extLst>
            <a:ext uri="{FF2B5EF4-FFF2-40B4-BE49-F238E27FC236}">
              <a16:creationId xmlns:a16="http://schemas.microsoft.com/office/drawing/2014/main" id="{00000000-0008-0000-0A00-00000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31</xdr:row>
      <xdr:rowOff>9525</xdr:rowOff>
    </xdr:from>
    <xdr:ext cx="323850" cy="180975"/>
    <xdr:sp macro="" textlink="">
      <xdr:nvSpPr>
        <xdr:cNvPr id="1551" name="Shape 1550">
          <a:extLst>
            <a:ext uri="{FF2B5EF4-FFF2-40B4-BE49-F238E27FC236}">
              <a16:creationId xmlns:a16="http://schemas.microsoft.com/office/drawing/2014/main" id="{00000000-0008-0000-0A00-00000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32</xdr:row>
      <xdr:rowOff>9525</xdr:rowOff>
    </xdr:from>
    <xdr:ext cx="323850" cy="180975"/>
    <xdr:sp macro="" textlink="">
      <xdr:nvSpPr>
        <xdr:cNvPr id="1552" name="Shape 1551">
          <a:extLst>
            <a:ext uri="{FF2B5EF4-FFF2-40B4-BE49-F238E27FC236}">
              <a16:creationId xmlns:a16="http://schemas.microsoft.com/office/drawing/2014/main" id="{00000000-0008-0000-0A00-00001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33</xdr:row>
      <xdr:rowOff>9525</xdr:rowOff>
    </xdr:from>
    <xdr:ext cx="323850" cy="180975"/>
    <xdr:sp macro="" textlink="">
      <xdr:nvSpPr>
        <xdr:cNvPr id="1553" name="Shape 1552">
          <a:extLst>
            <a:ext uri="{FF2B5EF4-FFF2-40B4-BE49-F238E27FC236}">
              <a16:creationId xmlns:a16="http://schemas.microsoft.com/office/drawing/2014/main" id="{00000000-0008-0000-0A00-00001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34</xdr:row>
      <xdr:rowOff>9525</xdr:rowOff>
    </xdr:from>
    <xdr:ext cx="323850" cy="180975"/>
    <xdr:sp macro="" textlink="">
      <xdr:nvSpPr>
        <xdr:cNvPr id="1554" name="Shape 1553">
          <a:extLst>
            <a:ext uri="{FF2B5EF4-FFF2-40B4-BE49-F238E27FC236}">
              <a16:creationId xmlns:a16="http://schemas.microsoft.com/office/drawing/2014/main" id="{00000000-0008-0000-0A00-00001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35</xdr:row>
      <xdr:rowOff>9525</xdr:rowOff>
    </xdr:from>
    <xdr:ext cx="323850" cy="180975"/>
    <xdr:sp macro="" textlink="">
      <xdr:nvSpPr>
        <xdr:cNvPr id="1555" name="Shape 1554">
          <a:extLst>
            <a:ext uri="{FF2B5EF4-FFF2-40B4-BE49-F238E27FC236}">
              <a16:creationId xmlns:a16="http://schemas.microsoft.com/office/drawing/2014/main" id="{00000000-0008-0000-0A00-00001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36</xdr:row>
      <xdr:rowOff>9525</xdr:rowOff>
    </xdr:from>
    <xdr:ext cx="323850" cy="180975"/>
    <xdr:sp macro="" textlink="">
      <xdr:nvSpPr>
        <xdr:cNvPr id="1556" name="Shape 1555">
          <a:extLst>
            <a:ext uri="{FF2B5EF4-FFF2-40B4-BE49-F238E27FC236}">
              <a16:creationId xmlns:a16="http://schemas.microsoft.com/office/drawing/2014/main" id="{00000000-0008-0000-0A00-00001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37</xdr:row>
      <xdr:rowOff>9525</xdr:rowOff>
    </xdr:from>
    <xdr:ext cx="323850" cy="180975"/>
    <xdr:sp macro="" textlink="">
      <xdr:nvSpPr>
        <xdr:cNvPr id="1557" name="Shape 1556">
          <a:extLst>
            <a:ext uri="{FF2B5EF4-FFF2-40B4-BE49-F238E27FC236}">
              <a16:creationId xmlns:a16="http://schemas.microsoft.com/office/drawing/2014/main" id="{00000000-0008-0000-0A00-00001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38</xdr:row>
      <xdr:rowOff>9525</xdr:rowOff>
    </xdr:from>
    <xdr:ext cx="323850" cy="180975"/>
    <xdr:sp macro="" textlink="">
      <xdr:nvSpPr>
        <xdr:cNvPr id="1558" name="Shape 1557">
          <a:extLst>
            <a:ext uri="{FF2B5EF4-FFF2-40B4-BE49-F238E27FC236}">
              <a16:creationId xmlns:a16="http://schemas.microsoft.com/office/drawing/2014/main" id="{00000000-0008-0000-0A00-00001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39</xdr:row>
      <xdr:rowOff>9525</xdr:rowOff>
    </xdr:from>
    <xdr:ext cx="323850" cy="180975"/>
    <xdr:sp macro="" textlink="">
      <xdr:nvSpPr>
        <xdr:cNvPr id="1559" name="Shape 1558">
          <a:extLst>
            <a:ext uri="{FF2B5EF4-FFF2-40B4-BE49-F238E27FC236}">
              <a16:creationId xmlns:a16="http://schemas.microsoft.com/office/drawing/2014/main" id="{00000000-0008-0000-0A00-00001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40</xdr:row>
      <xdr:rowOff>9525</xdr:rowOff>
    </xdr:from>
    <xdr:ext cx="323850" cy="180975"/>
    <xdr:sp macro="" textlink="">
      <xdr:nvSpPr>
        <xdr:cNvPr id="1560" name="Shape 1559">
          <a:extLst>
            <a:ext uri="{FF2B5EF4-FFF2-40B4-BE49-F238E27FC236}">
              <a16:creationId xmlns:a16="http://schemas.microsoft.com/office/drawing/2014/main" id="{00000000-0008-0000-0A00-00001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41</xdr:row>
      <xdr:rowOff>9525</xdr:rowOff>
    </xdr:from>
    <xdr:ext cx="323850" cy="180975"/>
    <xdr:sp macro="" textlink="">
      <xdr:nvSpPr>
        <xdr:cNvPr id="1561" name="Shape 1560">
          <a:extLst>
            <a:ext uri="{FF2B5EF4-FFF2-40B4-BE49-F238E27FC236}">
              <a16:creationId xmlns:a16="http://schemas.microsoft.com/office/drawing/2014/main" id="{00000000-0008-0000-0A00-00001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</xdr:row>
      <xdr:rowOff>9525</xdr:rowOff>
    </xdr:from>
    <xdr:ext cx="323850" cy="180975"/>
    <xdr:sp macro="" textlink="">
      <xdr:nvSpPr>
        <xdr:cNvPr id="1562" name="Shape 1561">
          <a:extLst>
            <a:ext uri="{FF2B5EF4-FFF2-40B4-BE49-F238E27FC236}">
              <a16:creationId xmlns:a16="http://schemas.microsoft.com/office/drawing/2014/main" id="{00000000-0008-0000-0A00-00001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</xdr:row>
      <xdr:rowOff>9525</xdr:rowOff>
    </xdr:from>
    <xdr:ext cx="323850" cy="180975"/>
    <xdr:sp macro="" textlink="">
      <xdr:nvSpPr>
        <xdr:cNvPr id="1563" name="Shape 1562">
          <a:extLst>
            <a:ext uri="{FF2B5EF4-FFF2-40B4-BE49-F238E27FC236}">
              <a16:creationId xmlns:a16="http://schemas.microsoft.com/office/drawing/2014/main" id="{00000000-0008-0000-0A00-00001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4</xdr:row>
      <xdr:rowOff>9525</xdr:rowOff>
    </xdr:from>
    <xdr:ext cx="323850" cy="180975"/>
    <xdr:sp macro="" textlink="">
      <xdr:nvSpPr>
        <xdr:cNvPr id="1564" name="Shape 1563">
          <a:extLst>
            <a:ext uri="{FF2B5EF4-FFF2-40B4-BE49-F238E27FC236}">
              <a16:creationId xmlns:a16="http://schemas.microsoft.com/office/drawing/2014/main" id="{00000000-0008-0000-0A00-00001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5</xdr:row>
      <xdr:rowOff>9525</xdr:rowOff>
    </xdr:from>
    <xdr:ext cx="323850" cy="180975"/>
    <xdr:sp macro="" textlink="">
      <xdr:nvSpPr>
        <xdr:cNvPr id="1565" name="Shape 1564">
          <a:extLst>
            <a:ext uri="{FF2B5EF4-FFF2-40B4-BE49-F238E27FC236}">
              <a16:creationId xmlns:a16="http://schemas.microsoft.com/office/drawing/2014/main" id="{00000000-0008-0000-0A00-00001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6</xdr:row>
      <xdr:rowOff>9525</xdr:rowOff>
    </xdr:from>
    <xdr:ext cx="323850" cy="180975"/>
    <xdr:sp macro="" textlink="">
      <xdr:nvSpPr>
        <xdr:cNvPr id="1566" name="Shape 1565">
          <a:extLst>
            <a:ext uri="{FF2B5EF4-FFF2-40B4-BE49-F238E27FC236}">
              <a16:creationId xmlns:a16="http://schemas.microsoft.com/office/drawing/2014/main" id="{00000000-0008-0000-0A00-00001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7</xdr:row>
      <xdr:rowOff>9525</xdr:rowOff>
    </xdr:from>
    <xdr:ext cx="323850" cy="180975"/>
    <xdr:sp macro="" textlink="">
      <xdr:nvSpPr>
        <xdr:cNvPr id="1567" name="Shape 1566">
          <a:extLst>
            <a:ext uri="{FF2B5EF4-FFF2-40B4-BE49-F238E27FC236}">
              <a16:creationId xmlns:a16="http://schemas.microsoft.com/office/drawing/2014/main" id="{00000000-0008-0000-0A00-00001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8</xdr:row>
      <xdr:rowOff>9525</xdr:rowOff>
    </xdr:from>
    <xdr:ext cx="323850" cy="180975"/>
    <xdr:sp macro="" textlink="">
      <xdr:nvSpPr>
        <xdr:cNvPr id="1568" name="Shape 1567">
          <a:extLst>
            <a:ext uri="{FF2B5EF4-FFF2-40B4-BE49-F238E27FC236}">
              <a16:creationId xmlns:a16="http://schemas.microsoft.com/office/drawing/2014/main" id="{00000000-0008-0000-0A00-00002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9</xdr:row>
      <xdr:rowOff>9525</xdr:rowOff>
    </xdr:from>
    <xdr:ext cx="323850" cy="180975"/>
    <xdr:sp macro="" textlink="">
      <xdr:nvSpPr>
        <xdr:cNvPr id="1569" name="Shape 1568">
          <a:extLst>
            <a:ext uri="{FF2B5EF4-FFF2-40B4-BE49-F238E27FC236}">
              <a16:creationId xmlns:a16="http://schemas.microsoft.com/office/drawing/2014/main" id="{00000000-0008-0000-0A00-00002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10</xdr:row>
      <xdr:rowOff>9525</xdr:rowOff>
    </xdr:from>
    <xdr:ext cx="323850" cy="180975"/>
    <xdr:sp macro="" textlink="">
      <xdr:nvSpPr>
        <xdr:cNvPr id="1570" name="Shape 1569">
          <a:extLst>
            <a:ext uri="{FF2B5EF4-FFF2-40B4-BE49-F238E27FC236}">
              <a16:creationId xmlns:a16="http://schemas.microsoft.com/office/drawing/2014/main" id="{00000000-0008-0000-0A00-00002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11</xdr:row>
      <xdr:rowOff>9525</xdr:rowOff>
    </xdr:from>
    <xdr:ext cx="323850" cy="180975"/>
    <xdr:sp macro="" textlink="">
      <xdr:nvSpPr>
        <xdr:cNvPr id="1571" name="Shape 1570">
          <a:extLst>
            <a:ext uri="{FF2B5EF4-FFF2-40B4-BE49-F238E27FC236}">
              <a16:creationId xmlns:a16="http://schemas.microsoft.com/office/drawing/2014/main" id="{00000000-0008-0000-0A00-00002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12</xdr:row>
      <xdr:rowOff>9525</xdr:rowOff>
    </xdr:from>
    <xdr:ext cx="323850" cy="180975"/>
    <xdr:sp macro="" textlink="">
      <xdr:nvSpPr>
        <xdr:cNvPr id="1572" name="Shape 1571">
          <a:extLst>
            <a:ext uri="{FF2B5EF4-FFF2-40B4-BE49-F238E27FC236}">
              <a16:creationId xmlns:a16="http://schemas.microsoft.com/office/drawing/2014/main" id="{00000000-0008-0000-0A00-00002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13</xdr:row>
      <xdr:rowOff>9525</xdr:rowOff>
    </xdr:from>
    <xdr:ext cx="323850" cy="180975"/>
    <xdr:sp macro="" textlink="">
      <xdr:nvSpPr>
        <xdr:cNvPr id="1573" name="Shape 1572">
          <a:extLst>
            <a:ext uri="{FF2B5EF4-FFF2-40B4-BE49-F238E27FC236}">
              <a16:creationId xmlns:a16="http://schemas.microsoft.com/office/drawing/2014/main" id="{00000000-0008-0000-0A00-00002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14</xdr:row>
      <xdr:rowOff>9525</xdr:rowOff>
    </xdr:from>
    <xdr:ext cx="323850" cy="180975"/>
    <xdr:sp macro="" textlink="">
      <xdr:nvSpPr>
        <xdr:cNvPr id="1574" name="Shape 1573">
          <a:extLst>
            <a:ext uri="{FF2B5EF4-FFF2-40B4-BE49-F238E27FC236}">
              <a16:creationId xmlns:a16="http://schemas.microsoft.com/office/drawing/2014/main" id="{00000000-0008-0000-0A00-00002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15</xdr:row>
      <xdr:rowOff>9525</xdr:rowOff>
    </xdr:from>
    <xdr:ext cx="323850" cy="180975"/>
    <xdr:sp macro="" textlink="">
      <xdr:nvSpPr>
        <xdr:cNvPr id="1575" name="Shape 1574">
          <a:extLst>
            <a:ext uri="{FF2B5EF4-FFF2-40B4-BE49-F238E27FC236}">
              <a16:creationId xmlns:a16="http://schemas.microsoft.com/office/drawing/2014/main" id="{00000000-0008-0000-0A00-00002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16</xdr:row>
      <xdr:rowOff>9525</xdr:rowOff>
    </xdr:from>
    <xdr:ext cx="323850" cy="180975"/>
    <xdr:sp macro="" textlink="">
      <xdr:nvSpPr>
        <xdr:cNvPr id="1576" name="Shape 1575">
          <a:extLst>
            <a:ext uri="{FF2B5EF4-FFF2-40B4-BE49-F238E27FC236}">
              <a16:creationId xmlns:a16="http://schemas.microsoft.com/office/drawing/2014/main" id="{00000000-0008-0000-0A00-00002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17</xdr:row>
      <xdr:rowOff>9525</xdr:rowOff>
    </xdr:from>
    <xdr:ext cx="323850" cy="180975"/>
    <xdr:sp macro="" textlink="">
      <xdr:nvSpPr>
        <xdr:cNvPr id="1577" name="Shape 1576">
          <a:extLst>
            <a:ext uri="{FF2B5EF4-FFF2-40B4-BE49-F238E27FC236}">
              <a16:creationId xmlns:a16="http://schemas.microsoft.com/office/drawing/2014/main" id="{00000000-0008-0000-0A00-00002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18</xdr:row>
      <xdr:rowOff>9525</xdr:rowOff>
    </xdr:from>
    <xdr:ext cx="323850" cy="180975"/>
    <xdr:sp macro="" textlink="">
      <xdr:nvSpPr>
        <xdr:cNvPr id="1578" name="Shape 1577">
          <a:extLst>
            <a:ext uri="{FF2B5EF4-FFF2-40B4-BE49-F238E27FC236}">
              <a16:creationId xmlns:a16="http://schemas.microsoft.com/office/drawing/2014/main" id="{00000000-0008-0000-0A00-00002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19</xdr:row>
      <xdr:rowOff>9525</xdr:rowOff>
    </xdr:from>
    <xdr:ext cx="323850" cy="180975"/>
    <xdr:sp macro="" textlink="">
      <xdr:nvSpPr>
        <xdr:cNvPr id="1579" name="Shape 1578">
          <a:extLst>
            <a:ext uri="{FF2B5EF4-FFF2-40B4-BE49-F238E27FC236}">
              <a16:creationId xmlns:a16="http://schemas.microsoft.com/office/drawing/2014/main" id="{00000000-0008-0000-0A00-00002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20</xdr:row>
      <xdr:rowOff>9525</xdr:rowOff>
    </xdr:from>
    <xdr:ext cx="323850" cy="180975"/>
    <xdr:sp macro="" textlink="">
      <xdr:nvSpPr>
        <xdr:cNvPr id="1580" name="Shape 1579">
          <a:extLst>
            <a:ext uri="{FF2B5EF4-FFF2-40B4-BE49-F238E27FC236}">
              <a16:creationId xmlns:a16="http://schemas.microsoft.com/office/drawing/2014/main" id="{00000000-0008-0000-0A00-00002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21</xdr:row>
      <xdr:rowOff>9525</xdr:rowOff>
    </xdr:from>
    <xdr:ext cx="323850" cy="180975"/>
    <xdr:sp macro="" textlink="">
      <xdr:nvSpPr>
        <xdr:cNvPr id="1581" name="Shape 1580">
          <a:extLst>
            <a:ext uri="{FF2B5EF4-FFF2-40B4-BE49-F238E27FC236}">
              <a16:creationId xmlns:a16="http://schemas.microsoft.com/office/drawing/2014/main" id="{00000000-0008-0000-0A00-00002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22</xdr:row>
      <xdr:rowOff>9525</xdr:rowOff>
    </xdr:from>
    <xdr:ext cx="323850" cy="180975"/>
    <xdr:sp macro="" textlink="">
      <xdr:nvSpPr>
        <xdr:cNvPr id="1582" name="Shape 1581">
          <a:extLst>
            <a:ext uri="{FF2B5EF4-FFF2-40B4-BE49-F238E27FC236}">
              <a16:creationId xmlns:a16="http://schemas.microsoft.com/office/drawing/2014/main" id="{00000000-0008-0000-0A00-00002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23</xdr:row>
      <xdr:rowOff>9525</xdr:rowOff>
    </xdr:from>
    <xdr:ext cx="323850" cy="180975"/>
    <xdr:sp macro="" textlink="">
      <xdr:nvSpPr>
        <xdr:cNvPr id="1583" name="Shape 1582">
          <a:extLst>
            <a:ext uri="{FF2B5EF4-FFF2-40B4-BE49-F238E27FC236}">
              <a16:creationId xmlns:a16="http://schemas.microsoft.com/office/drawing/2014/main" id="{00000000-0008-0000-0A00-00002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24</xdr:row>
      <xdr:rowOff>9525</xdr:rowOff>
    </xdr:from>
    <xdr:ext cx="323850" cy="180975"/>
    <xdr:sp macro="" textlink="">
      <xdr:nvSpPr>
        <xdr:cNvPr id="1584" name="Shape 1583">
          <a:extLst>
            <a:ext uri="{FF2B5EF4-FFF2-40B4-BE49-F238E27FC236}">
              <a16:creationId xmlns:a16="http://schemas.microsoft.com/office/drawing/2014/main" id="{00000000-0008-0000-0A00-00003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25</xdr:row>
      <xdr:rowOff>9525</xdr:rowOff>
    </xdr:from>
    <xdr:ext cx="323850" cy="180975"/>
    <xdr:sp macro="" textlink="">
      <xdr:nvSpPr>
        <xdr:cNvPr id="1585" name="Shape 1584">
          <a:extLst>
            <a:ext uri="{FF2B5EF4-FFF2-40B4-BE49-F238E27FC236}">
              <a16:creationId xmlns:a16="http://schemas.microsoft.com/office/drawing/2014/main" id="{00000000-0008-0000-0A00-00003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26</xdr:row>
      <xdr:rowOff>9525</xdr:rowOff>
    </xdr:from>
    <xdr:ext cx="323850" cy="180975"/>
    <xdr:sp macro="" textlink="">
      <xdr:nvSpPr>
        <xdr:cNvPr id="1586" name="Shape 1585">
          <a:extLst>
            <a:ext uri="{FF2B5EF4-FFF2-40B4-BE49-F238E27FC236}">
              <a16:creationId xmlns:a16="http://schemas.microsoft.com/office/drawing/2014/main" id="{00000000-0008-0000-0A00-00003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27</xdr:row>
      <xdr:rowOff>9525</xdr:rowOff>
    </xdr:from>
    <xdr:ext cx="323850" cy="180975"/>
    <xdr:sp macro="" textlink="">
      <xdr:nvSpPr>
        <xdr:cNvPr id="1587" name="Shape 1586">
          <a:extLst>
            <a:ext uri="{FF2B5EF4-FFF2-40B4-BE49-F238E27FC236}">
              <a16:creationId xmlns:a16="http://schemas.microsoft.com/office/drawing/2014/main" id="{00000000-0008-0000-0A00-00003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28</xdr:row>
      <xdr:rowOff>9525</xdr:rowOff>
    </xdr:from>
    <xdr:ext cx="323850" cy="180975"/>
    <xdr:sp macro="" textlink="">
      <xdr:nvSpPr>
        <xdr:cNvPr id="1588" name="Shape 1587">
          <a:extLst>
            <a:ext uri="{FF2B5EF4-FFF2-40B4-BE49-F238E27FC236}">
              <a16:creationId xmlns:a16="http://schemas.microsoft.com/office/drawing/2014/main" id="{00000000-0008-0000-0A00-00003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29</xdr:row>
      <xdr:rowOff>9525</xdr:rowOff>
    </xdr:from>
    <xdr:ext cx="323850" cy="180975"/>
    <xdr:sp macro="" textlink="">
      <xdr:nvSpPr>
        <xdr:cNvPr id="1589" name="Shape 1588">
          <a:extLst>
            <a:ext uri="{FF2B5EF4-FFF2-40B4-BE49-F238E27FC236}">
              <a16:creationId xmlns:a16="http://schemas.microsoft.com/office/drawing/2014/main" id="{00000000-0008-0000-0A00-00003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30</xdr:row>
      <xdr:rowOff>9525</xdr:rowOff>
    </xdr:from>
    <xdr:ext cx="323850" cy="180975"/>
    <xdr:sp macro="" textlink="">
      <xdr:nvSpPr>
        <xdr:cNvPr id="1590" name="Shape 1589">
          <a:extLst>
            <a:ext uri="{FF2B5EF4-FFF2-40B4-BE49-F238E27FC236}">
              <a16:creationId xmlns:a16="http://schemas.microsoft.com/office/drawing/2014/main" id="{00000000-0008-0000-0A00-00003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31</xdr:row>
      <xdr:rowOff>9525</xdr:rowOff>
    </xdr:from>
    <xdr:ext cx="323850" cy="180975"/>
    <xdr:sp macro="" textlink="">
      <xdr:nvSpPr>
        <xdr:cNvPr id="1591" name="Shape 1590">
          <a:extLst>
            <a:ext uri="{FF2B5EF4-FFF2-40B4-BE49-F238E27FC236}">
              <a16:creationId xmlns:a16="http://schemas.microsoft.com/office/drawing/2014/main" id="{00000000-0008-0000-0A00-00003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32</xdr:row>
      <xdr:rowOff>9525</xdr:rowOff>
    </xdr:from>
    <xdr:ext cx="323850" cy="180975"/>
    <xdr:sp macro="" textlink="">
      <xdr:nvSpPr>
        <xdr:cNvPr id="1592" name="Shape 1591">
          <a:extLst>
            <a:ext uri="{FF2B5EF4-FFF2-40B4-BE49-F238E27FC236}">
              <a16:creationId xmlns:a16="http://schemas.microsoft.com/office/drawing/2014/main" id="{00000000-0008-0000-0A00-00003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33</xdr:row>
      <xdr:rowOff>9525</xdr:rowOff>
    </xdr:from>
    <xdr:ext cx="323850" cy="180975"/>
    <xdr:sp macro="" textlink="">
      <xdr:nvSpPr>
        <xdr:cNvPr id="1593" name="Shape 1592">
          <a:extLst>
            <a:ext uri="{FF2B5EF4-FFF2-40B4-BE49-F238E27FC236}">
              <a16:creationId xmlns:a16="http://schemas.microsoft.com/office/drawing/2014/main" id="{00000000-0008-0000-0A00-00003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34</xdr:row>
      <xdr:rowOff>9525</xdr:rowOff>
    </xdr:from>
    <xdr:ext cx="323850" cy="180975"/>
    <xdr:sp macro="" textlink="">
      <xdr:nvSpPr>
        <xdr:cNvPr id="1594" name="Shape 1593">
          <a:extLst>
            <a:ext uri="{FF2B5EF4-FFF2-40B4-BE49-F238E27FC236}">
              <a16:creationId xmlns:a16="http://schemas.microsoft.com/office/drawing/2014/main" id="{00000000-0008-0000-0A00-00003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35</xdr:row>
      <xdr:rowOff>9525</xdr:rowOff>
    </xdr:from>
    <xdr:ext cx="323850" cy="180975"/>
    <xdr:sp macro="" textlink="">
      <xdr:nvSpPr>
        <xdr:cNvPr id="1595" name="Shape 1594">
          <a:extLst>
            <a:ext uri="{FF2B5EF4-FFF2-40B4-BE49-F238E27FC236}">
              <a16:creationId xmlns:a16="http://schemas.microsoft.com/office/drawing/2014/main" id="{00000000-0008-0000-0A00-00003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36</xdr:row>
      <xdr:rowOff>9525</xdr:rowOff>
    </xdr:from>
    <xdr:ext cx="323850" cy="180975"/>
    <xdr:sp macro="" textlink="">
      <xdr:nvSpPr>
        <xdr:cNvPr id="1596" name="Shape 1595">
          <a:extLst>
            <a:ext uri="{FF2B5EF4-FFF2-40B4-BE49-F238E27FC236}">
              <a16:creationId xmlns:a16="http://schemas.microsoft.com/office/drawing/2014/main" id="{00000000-0008-0000-0A00-00003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37</xdr:row>
      <xdr:rowOff>9525</xdr:rowOff>
    </xdr:from>
    <xdr:ext cx="323850" cy="180975"/>
    <xdr:sp macro="" textlink="">
      <xdr:nvSpPr>
        <xdr:cNvPr id="1597" name="Shape 1596">
          <a:extLst>
            <a:ext uri="{FF2B5EF4-FFF2-40B4-BE49-F238E27FC236}">
              <a16:creationId xmlns:a16="http://schemas.microsoft.com/office/drawing/2014/main" id="{00000000-0008-0000-0A00-00003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38</xdr:row>
      <xdr:rowOff>9525</xdr:rowOff>
    </xdr:from>
    <xdr:ext cx="323850" cy="180975"/>
    <xdr:sp macro="" textlink="">
      <xdr:nvSpPr>
        <xdr:cNvPr id="1598" name="Shape 1597">
          <a:extLst>
            <a:ext uri="{FF2B5EF4-FFF2-40B4-BE49-F238E27FC236}">
              <a16:creationId xmlns:a16="http://schemas.microsoft.com/office/drawing/2014/main" id="{00000000-0008-0000-0A00-00003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39</xdr:row>
      <xdr:rowOff>9525</xdr:rowOff>
    </xdr:from>
    <xdr:ext cx="323850" cy="180975"/>
    <xdr:sp macro="" textlink="">
      <xdr:nvSpPr>
        <xdr:cNvPr id="1599" name="Shape 1598">
          <a:extLst>
            <a:ext uri="{FF2B5EF4-FFF2-40B4-BE49-F238E27FC236}">
              <a16:creationId xmlns:a16="http://schemas.microsoft.com/office/drawing/2014/main" id="{00000000-0008-0000-0A00-00003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40</xdr:row>
      <xdr:rowOff>9525</xdr:rowOff>
    </xdr:from>
    <xdr:ext cx="323850" cy="180975"/>
    <xdr:sp macro="" textlink="">
      <xdr:nvSpPr>
        <xdr:cNvPr id="1600" name="Shape 1599">
          <a:extLst>
            <a:ext uri="{FF2B5EF4-FFF2-40B4-BE49-F238E27FC236}">
              <a16:creationId xmlns:a16="http://schemas.microsoft.com/office/drawing/2014/main" id="{00000000-0008-0000-0A00-00004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41</xdr:row>
      <xdr:rowOff>9525</xdr:rowOff>
    </xdr:from>
    <xdr:ext cx="323850" cy="180975"/>
    <xdr:sp macro="" textlink="">
      <xdr:nvSpPr>
        <xdr:cNvPr id="1601" name="Shape 1600">
          <a:extLst>
            <a:ext uri="{FF2B5EF4-FFF2-40B4-BE49-F238E27FC236}">
              <a16:creationId xmlns:a16="http://schemas.microsoft.com/office/drawing/2014/main" id="{00000000-0008-0000-0A00-00004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</xdr:row>
      <xdr:rowOff>9525</xdr:rowOff>
    </xdr:from>
    <xdr:ext cx="323850" cy="180975"/>
    <xdr:sp macro="" textlink="">
      <xdr:nvSpPr>
        <xdr:cNvPr id="1602" name="Shape 1601">
          <a:extLst>
            <a:ext uri="{FF2B5EF4-FFF2-40B4-BE49-F238E27FC236}">
              <a16:creationId xmlns:a16="http://schemas.microsoft.com/office/drawing/2014/main" id="{00000000-0008-0000-0A00-00004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</xdr:row>
      <xdr:rowOff>9525</xdr:rowOff>
    </xdr:from>
    <xdr:ext cx="323850" cy="180975"/>
    <xdr:sp macro="" textlink="">
      <xdr:nvSpPr>
        <xdr:cNvPr id="1603" name="Shape 1602">
          <a:extLst>
            <a:ext uri="{FF2B5EF4-FFF2-40B4-BE49-F238E27FC236}">
              <a16:creationId xmlns:a16="http://schemas.microsoft.com/office/drawing/2014/main" id="{00000000-0008-0000-0A00-00004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4</xdr:row>
      <xdr:rowOff>9525</xdr:rowOff>
    </xdr:from>
    <xdr:ext cx="323850" cy="180975"/>
    <xdr:sp macro="" textlink="">
      <xdr:nvSpPr>
        <xdr:cNvPr id="1604" name="Shape 1603">
          <a:extLst>
            <a:ext uri="{FF2B5EF4-FFF2-40B4-BE49-F238E27FC236}">
              <a16:creationId xmlns:a16="http://schemas.microsoft.com/office/drawing/2014/main" id="{00000000-0008-0000-0A00-00004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5</xdr:row>
      <xdr:rowOff>9525</xdr:rowOff>
    </xdr:from>
    <xdr:ext cx="323850" cy="180975"/>
    <xdr:sp macro="" textlink="">
      <xdr:nvSpPr>
        <xdr:cNvPr id="1605" name="Shape 1604">
          <a:extLst>
            <a:ext uri="{FF2B5EF4-FFF2-40B4-BE49-F238E27FC236}">
              <a16:creationId xmlns:a16="http://schemas.microsoft.com/office/drawing/2014/main" id="{00000000-0008-0000-0A00-00004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6</xdr:row>
      <xdr:rowOff>9525</xdr:rowOff>
    </xdr:from>
    <xdr:ext cx="323850" cy="180975"/>
    <xdr:sp macro="" textlink="">
      <xdr:nvSpPr>
        <xdr:cNvPr id="1606" name="Shape 1605">
          <a:extLst>
            <a:ext uri="{FF2B5EF4-FFF2-40B4-BE49-F238E27FC236}">
              <a16:creationId xmlns:a16="http://schemas.microsoft.com/office/drawing/2014/main" id="{00000000-0008-0000-0A00-00004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7</xdr:row>
      <xdr:rowOff>9525</xdr:rowOff>
    </xdr:from>
    <xdr:ext cx="323850" cy="180975"/>
    <xdr:sp macro="" textlink="">
      <xdr:nvSpPr>
        <xdr:cNvPr id="1607" name="Shape 1606">
          <a:extLst>
            <a:ext uri="{FF2B5EF4-FFF2-40B4-BE49-F238E27FC236}">
              <a16:creationId xmlns:a16="http://schemas.microsoft.com/office/drawing/2014/main" id="{00000000-0008-0000-0A00-00004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8</xdr:row>
      <xdr:rowOff>9525</xdr:rowOff>
    </xdr:from>
    <xdr:ext cx="323850" cy="180975"/>
    <xdr:sp macro="" textlink="">
      <xdr:nvSpPr>
        <xdr:cNvPr id="1608" name="Shape 1607">
          <a:extLst>
            <a:ext uri="{FF2B5EF4-FFF2-40B4-BE49-F238E27FC236}">
              <a16:creationId xmlns:a16="http://schemas.microsoft.com/office/drawing/2014/main" id="{00000000-0008-0000-0A00-00004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9</xdr:row>
      <xdr:rowOff>9525</xdr:rowOff>
    </xdr:from>
    <xdr:ext cx="323850" cy="180975"/>
    <xdr:sp macro="" textlink="">
      <xdr:nvSpPr>
        <xdr:cNvPr id="1609" name="Shape 1608">
          <a:extLst>
            <a:ext uri="{FF2B5EF4-FFF2-40B4-BE49-F238E27FC236}">
              <a16:creationId xmlns:a16="http://schemas.microsoft.com/office/drawing/2014/main" id="{00000000-0008-0000-0A00-00004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10</xdr:row>
      <xdr:rowOff>9525</xdr:rowOff>
    </xdr:from>
    <xdr:ext cx="323850" cy="180975"/>
    <xdr:sp macro="" textlink="">
      <xdr:nvSpPr>
        <xdr:cNvPr id="1610" name="Shape 1609">
          <a:extLst>
            <a:ext uri="{FF2B5EF4-FFF2-40B4-BE49-F238E27FC236}">
              <a16:creationId xmlns:a16="http://schemas.microsoft.com/office/drawing/2014/main" id="{00000000-0008-0000-0A00-00004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11</xdr:row>
      <xdr:rowOff>9525</xdr:rowOff>
    </xdr:from>
    <xdr:ext cx="323850" cy="180975"/>
    <xdr:sp macro="" textlink="">
      <xdr:nvSpPr>
        <xdr:cNvPr id="1611" name="Shape 1610">
          <a:extLst>
            <a:ext uri="{FF2B5EF4-FFF2-40B4-BE49-F238E27FC236}">
              <a16:creationId xmlns:a16="http://schemas.microsoft.com/office/drawing/2014/main" id="{00000000-0008-0000-0A00-00004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12</xdr:row>
      <xdr:rowOff>9525</xdr:rowOff>
    </xdr:from>
    <xdr:ext cx="323850" cy="180975"/>
    <xdr:sp macro="" textlink="">
      <xdr:nvSpPr>
        <xdr:cNvPr id="1612" name="Shape 1611">
          <a:extLst>
            <a:ext uri="{FF2B5EF4-FFF2-40B4-BE49-F238E27FC236}">
              <a16:creationId xmlns:a16="http://schemas.microsoft.com/office/drawing/2014/main" id="{00000000-0008-0000-0A00-00004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13</xdr:row>
      <xdr:rowOff>9525</xdr:rowOff>
    </xdr:from>
    <xdr:ext cx="323850" cy="180975"/>
    <xdr:sp macro="" textlink="">
      <xdr:nvSpPr>
        <xdr:cNvPr id="1613" name="Shape 1612">
          <a:extLst>
            <a:ext uri="{FF2B5EF4-FFF2-40B4-BE49-F238E27FC236}">
              <a16:creationId xmlns:a16="http://schemas.microsoft.com/office/drawing/2014/main" id="{00000000-0008-0000-0A00-00004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14</xdr:row>
      <xdr:rowOff>9525</xdr:rowOff>
    </xdr:from>
    <xdr:ext cx="323850" cy="180975"/>
    <xdr:sp macro="" textlink="">
      <xdr:nvSpPr>
        <xdr:cNvPr id="1614" name="Shape 1613">
          <a:extLst>
            <a:ext uri="{FF2B5EF4-FFF2-40B4-BE49-F238E27FC236}">
              <a16:creationId xmlns:a16="http://schemas.microsoft.com/office/drawing/2014/main" id="{00000000-0008-0000-0A00-00004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15</xdr:row>
      <xdr:rowOff>9525</xdr:rowOff>
    </xdr:from>
    <xdr:ext cx="323850" cy="180975"/>
    <xdr:sp macro="" textlink="">
      <xdr:nvSpPr>
        <xdr:cNvPr id="1615" name="Shape 1614">
          <a:extLst>
            <a:ext uri="{FF2B5EF4-FFF2-40B4-BE49-F238E27FC236}">
              <a16:creationId xmlns:a16="http://schemas.microsoft.com/office/drawing/2014/main" id="{00000000-0008-0000-0A00-00004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16</xdr:row>
      <xdr:rowOff>9525</xdr:rowOff>
    </xdr:from>
    <xdr:ext cx="323850" cy="180975"/>
    <xdr:sp macro="" textlink="">
      <xdr:nvSpPr>
        <xdr:cNvPr id="1616" name="Shape 1615">
          <a:extLst>
            <a:ext uri="{FF2B5EF4-FFF2-40B4-BE49-F238E27FC236}">
              <a16:creationId xmlns:a16="http://schemas.microsoft.com/office/drawing/2014/main" id="{00000000-0008-0000-0A00-00005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17</xdr:row>
      <xdr:rowOff>9525</xdr:rowOff>
    </xdr:from>
    <xdr:ext cx="323850" cy="180975"/>
    <xdr:sp macro="" textlink="">
      <xdr:nvSpPr>
        <xdr:cNvPr id="1617" name="Shape 1616">
          <a:extLst>
            <a:ext uri="{FF2B5EF4-FFF2-40B4-BE49-F238E27FC236}">
              <a16:creationId xmlns:a16="http://schemas.microsoft.com/office/drawing/2014/main" id="{00000000-0008-0000-0A00-00005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18</xdr:row>
      <xdr:rowOff>9525</xdr:rowOff>
    </xdr:from>
    <xdr:ext cx="323850" cy="180975"/>
    <xdr:sp macro="" textlink="">
      <xdr:nvSpPr>
        <xdr:cNvPr id="1618" name="Shape 1617">
          <a:extLst>
            <a:ext uri="{FF2B5EF4-FFF2-40B4-BE49-F238E27FC236}">
              <a16:creationId xmlns:a16="http://schemas.microsoft.com/office/drawing/2014/main" id="{00000000-0008-0000-0A00-00005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19</xdr:row>
      <xdr:rowOff>9525</xdr:rowOff>
    </xdr:from>
    <xdr:ext cx="323850" cy="180975"/>
    <xdr:sp macro="" textlink="">
      <xdr:nvSpPr>
        <xdr:cNvPr id="1619" name="Shape 1618">
          <a:extLst>
            <a:ext uri="{FF2B5EF4-FFF2-40B4-BE49-F238E27FC236}">
              <a16:creationId xmlns:a16="http://schemas.microsoft.com/office/drawing/2014/main" id="{00000000-0008-0000-0A00-00005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20</xdr:row>
      <xdr:rowOff>9525</xdr:rowOff>
    </xdr:from>
    <xdr:ext cx="323850" cy="180975"/>
    <xdr:sp macro="" textlink="">
      <xdr:nvSpPr>
        <xdr:cNvPr id="1620" name="Shape 1619">
          <a:extLst>
            <a:ext uri="{FF2B5EF4-FFF2-40B4-BE49-F238E27FC236}">
              <a16:creationId xmlns:a16="http://schemas.microsoft.com/office/drawing/2014/main" id="{00000000-0008-0000-0A00-00005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21</xdr:row>
      <xdr:rowOff>9525</xdr:rowOff>
    </xdr:from>
    <xdr:ext cx="323850" cy="180975"/>
    <xdr:sp macro="" textlink="">
      <xdr:nvSpPr>
        <xdr:cNvPr id="1621" name="Shape 1620">
          <a:extLst>
            <a:ext uri="{FF2B5EF4-FFF2-40B4-BE49-F238E27FC236}">
              <a16:creationId xmlns:a16="http://schemas.microsoft.com/office/drawing/2014/main" id="{00000000-0008-0000-0A00-00005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22</xdr:row>
      <xdr:rowOff>9525</xdr:rowOff>
    </xdr:from>
    <xdr:ext cx="323850" cy="180975"/>
    <xdr:sp macro="" textlink="">
      <xdr:nvSpPr>
        <xdr:cNvPr id="1622" name="Shape 1621">
          <a:extLst>
            <a:ext uri="{FF2B5EF4-FFF2-40B4-BE49-F238E27FC236}">
              <a16:creationId xmlns:a16="http://schemas.microsoft.com/office/drawing/2014/main" id="{00000000-0008-0000-0A00-00005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23</xdr:row>
      <xdr:rowOff>9525</xdr:rowOff>
    </xdr:from>
    <xdr:ext cx="323850" cy="180975"/>
    <xdr:sp macro="" textlink="">
      <xdr:nvSpPr>
        <xdr:cNvPr id="1623" name="Shape 1622">
          <a:extLst>
            <a:ext uri="{FF2B5EF4-FFF2-40B4-BE49-F238E27FC236}">
              <a16:creationId xmlns:a16="http://schemas.microsoft.com/office/drawing/2014/main" id="{00000000-0008-0000-0A00-00005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24</xdr:row>
      <xdr:rowOff>9525</xdr:rowOff>
    </xdr:from>
    <xdr:ext cx="323850" cy="180975"/>
    <xdr:sp macro="" textlink="">
      <xdr:nvSpPr>
        <xdr:cNvPr id="1624" name="Shape 1623">
          <a:extLst>
            <a:ext uri="{FF2B5EF4-FFF2-40B4-BE49-F238E27FC236}">
              <a16:creationId xmlns:a16="http://schemas.microsoft.com/office/drawing/2014/main" id="{00000000-0008-0000-0A00-00005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25</xdr:row>
      <xdr:rowOff>9525</xdr:rowOff>
    </xdr:from>
    <xdr:ext cx="323850" cy="180975"/>
    <xdr:sp macro="" textlink="">
      <xdr:nvSpPr>
        <xdr:cNvPr id="1625" name="Shape 1624">
          <a:extLst>
            <a:ext uri="{FF2B5EF4-FFF2-40B4-BE49-F238E27FC236}">
              <a16:creationId xmlns:a16="http://schemas.microsoft.com/office/drawing/2014/main" id="{00000000-0008-0000-0A00-00005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26</xdr:row>
      <xdr:rowOff>9525</xdr:rowOff>
    </xdr:from>
    <xdr:ext cx="323850" cy="180975"/>
    <xdr:sp macro="" textlink="">
      <xdr:nvSpPr>
        <xdr:cNvPr id="1626" name="Shape 1625">
          <a:extLst>
            <a:ext uri="{FF2B5EF4-FFF2-40B4-BE49-F238E27FC236}">
              <a16:creationId xmlns:a16="http://schemas.microsoft.com/office/drawing/2014/main" id="{00000000-0008-0000-0A00-00005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27</xdr:row>
      <xdr:rowOff>9525</xdr:rowOff>
    </xdr:from>
    <xdr:ext cx="323850" cy="180975"/>
    <xdr:sp macro="" textlink="">
      <xdr:nvSpPr>
        <xdr:cNvPr id="1627" name="Shape 1626">
          <a:extLst>
            <a:ext uri="{FF2B5EF4-FFF2-40B4-BE49-F238E27FC236}">
              <a16:creationId xmlns:a16="http://schemas.microsoft.com/office/drawing/2014/main" id="{00000000-0008-0000-0A00-00005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28</xdr:row>
      <xdr:rowOff>9525</xdr:rowOff>
    </xdr:from>
    <xdr:ext cx="323850" cy="180975"/>
    <xdr:sp macro="" textlink="">
      <xdr:nvSpPr>
        <xdr:cNvPr id="1628" name="Shape 1627">
          <a:extLst>
            <a:ext uri="{FF2B5EF4-FFF2-40B4-BE49-F238E27FC236}">
              <a16:creationId xmlns:a16="http://schemas.microsoft.com/office/drawing/2014/main" id="{00000000-0008-0000-0A00-00005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29</xdr:row>
      <xdr:rowOff>9525</xdr:rowOff>
    </xdr:from>
    <xdr:ext cx="323850" cy="180975"/>
    <xdr:sp macro="" textlink="">
      <xdr:nvSpPr>
        <xdr:cNvPr id="1629" name="Shape 1628">
          <a:extLst>
            <a:ext uri="{FF2B5EF4-FFF2-40B4-BE49-F238E27FC236}">
              <a16:creationId xmlns:a16="http://schemas.microsoft.com/office/drawing/2014/main" id="{00000000-0008-0000-0A00-00005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30</xdr:row>
      <xdr:rowOff>9525</xdr:rowOff>
    </xdr:from>
    <xdr:ext cx="323850" cy="180975"/>
    <xdr:sp macro="" textlink="">
      <xdr:nvSpPr>
        <xdr:cNvPr id="1630" name="Shape 1629">
          <a:extLst>
            <a:ext uri="{FF2B5EF4-FFF2-40B4-BE49-F238E27FC236}">
              <a16:creationId xmlns:a16="http://schemas.microsoft.com/office/drawing/2014/main" id="{00000000-0008-0000-0A00-00005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31</xdr:row>
      <xdr:rowOff>9525</xdr:rowOff>
    </xdr:from>
    <xdr:ext cx="323850" cy="180975"/>
    <xdr:sp macro="" textlink="">
      <xdr:nvSpPr>
        <xdr:cNvPr id="1631" name="Shape 1630">
          <a:extLst>
            <a:ext uri="{FF2B5EF4-FFF2-40B4-BE49-F238E27FC236}">
              <a16:creationId xmlns:a16="http://schemas.microsoft.com/office/drawing/2014/main" id="{00000000-0008-0000-0A00-00005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32</xdr:row>
      <xdr:rowOff>9525</xdr:rowOff>
    </xdr:from>
    <xdr:ext cx="323850" cy="180975"/>
    <xdr:sp macro="" textlink="">
      <xdr:nvSpPr>
        <xdr:cNvPr id="1632" name="Shape 1631">
          <a:extLst>
            <a:ext uri="{FF2B5EF4-FFF2-40B4-BE49-F238E27FC236}">
              <a16:creationId xmlns:a16="http://schemas.microsoft.com/office/drawing/2014/main" id="{00000000-0008-0000-0A00-00006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33</xdr:row>
      <xdr:rowOff>9525</xdr:rowOff>
    </xdr:from>
    <xdr:ext cx="323850" cy="180975"/>
    <xdr:sp macro="" textlink="">
      <xdr:nvSpPr>
        <xdr:cNvPr id="1633" name="Shape 1632">
          <a:extLst>
            <a:ext uri="{FF2B5EF4-FFF2-40B4-BE49-F238E27FC236}">
              <a16:creationId xmlns:a16="http://schemas.microsoft.com/office/drawing/2014/main" id="{00000000-0008-0000-0A00-00006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34</xdr:row>
      <xdr:rowOff>9525</xdr:rowOff>
    </xdr:from>
    <xdr:ext cx="323850" cy="180975"/>
    <xdr:sp macro="" textlink="">
      <xdr:nvSpPr>
        <xdr:cNvPr id="1634" name="Shape 1633">
          <a:extLst>
            <a:ext uri="{FF2B5EF4-FFF2-40B4-BE49-F238E27FC236}">
              <a16:creationId xmlns:a16="http://schemas.microsoft.com/office/drawing/2014/main" id="{00000000-0008-0000-0A00-00006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35</xdr:row>
      <xdr:rowOff>9525</xdr:rowOff>
    </xdr:from>
    <xdr:ext cx="323850" cy="180975"/>
    <xdr:sp macro="" textlink="">
      <xdr:nvSpPr>
        <xdr:cNvPr id="1635" name="Shape 1634">
          <a:extLst>
            <a:ext uri="{FF2B5EF4-FFF2-40B4-BE49-F238E27FC236}">
              <a16:creationId xmlns:a16="http://schemas.microsoft.com/office/drawing/2014/main" id="{00000000-0008-0000-0A00-00006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36</xdr:row>
      <xdr:rowOff>9525</xdr:rowOff>
    </xdr:from>
    <xdr:ext cx="323850" cy="180975"/>
    <xdr:sp macro="" textlink="">
      <xdr:nvSpPr>
        <xdr:cNvPr id="1636" name="Shape 1635">
          <a:extLst>
            <a:ext uri="{FF2B5EF4-FFF2-40B4-BE49-F238E27FC236}">
              <a16:creationId xmlns:a16="http://schemas.microsoft.com/office/drawing/2014/main" id="{00000000-0008-0000-0A00-00006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37</xdr:row>
      <xdr:rowOff>9525</xdr:rowOff>
    </xdr:from>
    <xdr:ext cx="323850" cy="180975"/>
    <xdr:sp macro="" textlink="">
      <xdr:nvSpPr>
        <xdr:cNvPr id="1637" name="Shape 1636">
          <a:extLst>
            <a:ext uri="{FF2B5EF4-FFF2-40B4-BE49-F238E27FC236}">
              <a16:creationId xmlns:a16="http://schemas.microsoft.com/office/drawing/2014/main" id="{00000000-0008-0000-0A00-00006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38</xdr:row>
      <xdr:rowOff>9525</xdr:rowOff>
    </xdr:from>
    <xdr:ext cx="323850" cy="180975"/>
    <xdr:sp macro="" textlink="">
      <xdr:nvSpPr>
        <xdr:cNvPr id="1638" name="Shape 1637">
          <a:extLst>
            <a:ext uri="{FF2B5EF4-FFF2-40B4-BE49-F238E27FC236}">
              <a16:creationId xmlns:a16="http://schemas.microsoft.com/office/drawing/2014/main" id="{00000000-0008-0000-0A00-00006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39</xdr:row>
      <xdr:rowOff>9525</xdr:rowOff>
    </xdr:from>
    <xdr:ext cx="323850" cy="180975"/>
    <xdr:sp macro="" textlink="">
      <xdr:nvSpPr>
        <xdr:cNvPr id="1639" name="Shape 1638">
          <a:extLst>
            <a:ext uri="{FF2B5EF4-FFF2-40B4-BE49-F238E27FC236}">
              <a16:creationId xmlns:a16="http://schemas.microsoft.com/office/drawing/2014/main" id="{00000000-0008-0000-0A00-00006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40</xdr:row>
      <xdr:rowOff>9525</xdr:rowOff>
    </xdr:from>
    <xdr:ext cx="323850" cy="180975"/>
    <xdr:sp macro="" textlink="">
      <xdr:nvSpPr>
        <xdr:cNvPr id="1640" name="Shape 1639">
          <a:extLst>
            <a:ext uri="{FF2B5EF4-FFF2-40B4-BE49-F238E27FC236}">
              <a16:creationId xmlns:a16="http://schemas.microsoft.com/office/drawing/2014/main" id="{00000000-0008-0000-0A00-00006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41</xdr:row>
      <xdr:rowOff>9525</xdr:rowOff>
    </xdr:from>
    <xdr:ext cx="323850" cy="180975"/>
    <xdr:sp macro="" textlink="">
      <xdr:nvSpPr>
        <xdr:cNvPr id="1641" name="Shape 1640">
          <a:extLst>
            <a:ext uri="{FF2B5EF4-FFF2-40B4-BE49-F238E27FC236}">
              <a16:creationId xmlns:a16="http://schemas.microsoft.com/office/drawing/2014/main" id="{00000000-0008-0000-0A00-00006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</xdr:row>
      <xdr:rowOff>9525</xdr:rowOff>
    </xdr:from>
    <xdr:ext cx="323850" cy="180975"/>
    <xdr:sp macro="" textlink="">
      <xdr:nvSpPr>
        <xdr:cNvPr id="1642" name="Shape 1641">
          <a:extLst>
            <a:ext uri="{FF2B5EF4-FFF2-40B4-BE49-F238E27FC236}">
              <a16:creationId xmlns:a16="http://schemas.microsoft.com/office/drawing/2014/main" id="{00000000-0008-0000-0A00-00006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</xdr:row>
      <xdr:rowOff>9525</xdr:rowOff>
    </xdr:from>
    <xdr:ext cx="323850" cy="180975"/>
    <xdr:sp macro="" textlink="">
      <xdr:nvSpPr>
        <xdr:cNvPr id="1643" name="Shape 1642">
          <a:extLst>
            <a:ext uri="{FF2B5EF4-FFF2-40B4-BE49-F238E27FC236}">
              <a16:creationId xmlns:a16="http://schemas.microsoft.com/office/drawing/2014/main" id="{00000000-0008-0000-0A00-00006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4</xdr:row>
      <xdr:rowOff>9525</xdr:rowOff>
    </xdr:from>
    <xdr:ext cx="323850" cy="180975"/>
    <xdr:sp macro="" textlink="">
      <xdr:nvSpPr>
        <xdr:cNvPr id="1644" name="Shape 1643">
          <a:extLst>
            <a:ext uri="{FF2B5EF4-FFF2-40B4-BE49-F238E27FC236}">
              <a16:creationId xmlns:a16="http://schemas.microsoft.com/office/drawing/2014/main" id="{00000000-0008-0000-0A00-00006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5</xdr:row>
      <xdr:rowOff>9525</xdr:rowOff>
    </xdr:from>
    <xdr:ext cx="323850" cy="180975"/>
    <xdr:sp macro="" textlink="">
      <xdr:nvSpPr>
        <xdr:cNvPr id="1645" name="Shape 1644">
          <a:extLst>
            <a:ext uri="{FF2B5EF4-FFF2-40B4-BE49-F238E27FC236}">
              <a16:creationId xmlns:a16="http://schemas.microsoft.com/office/drawing/2014/main" id="{00000000-0008-0000-0A00-00006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6</xdr:row>
      <xdr:rowOff>9525</xdr:rowOff>
    </xdr:from>
    <xdr:ext cx="323850" cy="180975"/>
    <xdr:sp macro="" textlink="">
      <xdr:nvSpPr>
        <xdr:cNvPr id="1646" name="Shape 1645">
          <a:extLst>
            <a:ext uri="{FF2B5EF4-FFF2-40B4-BE49-F238E27FC236}">
              <a16:creationId xmlns:a16="http://schemas.microsoft.com/office/drawing/2014/main" id="{00000000-0008-0000-0A00-00006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7</xdr:row>
      <xdr:rowOff>9525</xdr:rowOff>
    </xdr:from>
    <xdr:ext cx="323850" cy="180975"/>
    <xdr:sp macro="" textlink="">
      <xdr:nvSpPr>
        <xdr:cNvPr id="1647" name="Shape 1646">
          <a:extLst>
            <a:ext uri="{FF2B5EF4-FFF2-40B4-BE49-F238E27FC236}">
              <a16:creationId xmlns:a16="http://schemas.microsoft.com/office/drawing/2014/main" id="{00000000-0008-0000-0A00-00006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8</xdr:row>
      <xdr:rowOff>9525</xdr:rowOff>
    </xdr:from>
    <xdr:ext cx="323850" cy="180975"/>
    <xdr:sp macro="" textlink="">
      <xdr:nvSpPr>
        <xdr:cNvPr id="1648" name="Shape 1647">
          <a:extLst>
            <a:ext uri="{FF2B5EF4-FFF2-40B4-BE49-F238E27FC236}">
              <a16:creationId xmlns:a16="http://schemas.microsoft.com/office/drawing/2014/main" id="{00000000-0008-0000-0A00-00007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9</xdr:row>
      <xdr:rowOff>9525</xdr:rowOff>
    </xdr:from>
    <xdr:ext cx="323850" cy="180975"/>
    <xdr:sp macro="" textlink="">
      <xdr:nvSpPr>
        <xdr:cNvPr id="1649" name="Shape 1648">
          <a:extLst>
            <a:ext uri="{FF2B5EF4-FFF2-40B4-BE49-F238E27FC236}">
              <a16:creationId xmlns:a16="http://schemas.microsoft.com/office/drawing/2014/main" id="{00000000-0008-0000-0A00-00007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10</xdr:row>
      <xdr:rowOff>9525</xdr:rowOff>
    </xdr:from>
    <xdr:ext cx="323850" cy="180975"/>
    <xdr:sp macro="" textlink="">
      <xdr:nvSpPr>
        <xdr:cNvPr id="1650" name="Shape 1649">
          <a:extLst>
            <a:ext uri="{FF2B5EF4-FFF2-40B4-BE49-F238E27FC236}">
              <a16:creationId xmlns:a16="http://schemas.microsoft.com/office/drawing/2014/main" id="{00000000-0008-0000-0A00-00007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11</xdr:row>
      <xdr:rowOff>9525</xdr:rowOff>
    </xdr:from>
    <xdr:ext cx="323850" cy="180975"/>
    <xdr:sp macro="" textlink="">
      <xdr:nvSpPr>
        <xdr:cNvPr id="1651" name="Shape 1650">
          <a:extLst>
            <a:ext uri="{FF2B5EF4-FFF2-40B4-BE49-F238E27FC236}">
              <a16:creationId xmlns:a16="http://schemas.microsoft.com/office/drawing/2014/main" id="{00000000-0008-0000-0A00-00007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12</xdr:row>
      <xdr:rowOff>9525</xdr:rowOff>
    </xdr:from>
    <xdr:ext cx="323850" cy="180975"/>
    <xdr:sp macro="" textlink="">
      <xdr:nvSpPr>
        <xdr:cNvPr id="1652" name="Shape 1651">
          <a:extLst>
            <a:ext uri="{FF2B5EF4-FFF2-40B4-BE49-F238E27FC236}">
              <a16:creationId xmlns:a16="http://schemas.microsoft.com/office/drawing/2014/main" id="{00000000-0008-0000-0A00-00007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13</xdr:row>
      <xdr:rowOff>9525</xdr:rowOff>
    </xdr:from>
    <xdr:ext cx="323850" cy="180975"/>
    <xdr:sp macro="" textlink="">
      <xdr:nvSpPr>
        <xdr:cNvPr id="1653" name="Shape 1652">
          <a:extLst>
            <a:ext uri="{FF2B5EF4-FFF2-40B4-BE49-F238E27FC236}">
              <a16:creationId xmlns:a16="http://schemas.microsoft.com/office/drawing/2014/main" id="{00000000-0008-0000-0A00-00007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14</xdr:row>
      <xdr:rowOff>9525</xdr:rowOff>
    </xdr:from>
    <xdr:ext cx="323850" cy="180975"/>
    <xdr:sp macro="" textlink="">
      <xdr:nvSpPr>
        <xdr:cNvPr id="1654" name="Shape 1653">
          <a:extLst>
            <a:ext uri="{FF2B5EF4-FFF2-40B4-BE49-F238E27FC236}">
              <a16:creationId xmlns:a16="http://schemas.microsoft.com/office/drawing/2014/main" id="{00000000-0008-0000-0A00-00007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15</xdr:row>
      <xdr:rowOff>9525</xdr:rowOff>
    </xdr:from>
    <xdr:ext cx="323850" cy="180975"/>
    <xdr:sp macro="" textlink="">
      <xdr:nvSpPr>
        <xdr:cNvPr id="1655" name="Shape 1654">
          <a:extLst>
            <a:ext uri="{FF2B5EF4-FFF2-40B4-BE49-F238E27FC236}">
              <a16:creationId xmlns:a16="http://schemas.microsoft.com/office/drawing/2014/main" id="{00000000-0008-0000-0A00-00007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16</xdr:row>
      <xdr:rowOff>9525</xdr:rowOff>
    </xdr:from>
    <xdr:ext cx="323850" cy="180975"/>
    <xdr:sp macro="" textlink="">
      <xdr:nvSpPr>
        <xdr:cNvPr id="1656" name="Shape 1655">
          <a:extLst>
            <a:ext uri="{FF2B5EF4-FFF2-40B4-BE49-F238E27FC236}">
              <a16:creationId xmlns:a16="http://schemas.microsoft.com/office/drawing/2014/main" id="{00000000-0008-0000-0A00-00007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17</xdr:row>
      <xdr:rowOff>9525</xdr:rowOff>
    </xdr:from>
    <xdr:ext cx="323850" cy="180975"/>
    <xdr:sp macro="" textlink="">
      <xdr:nvSpPr>
        <xdr:cNvPr id="1657" name="Shape 1656">
          <a:extLst>
            <a:ext uri="{FF2B5EF4-FFF2-40B4-BE49-F238E27FC236}">
              <a16:creationId xmlns:a16="http://schemas.microsoft.com/office/drawing/2014/main" id="{00000000-0008-0000-0A00-00007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18</xdr:row>
      <xdr:rowOff>9525</xdr:rowOff>
    </xdr:from>
    <xdr:ext cx="323850" cy="180975"/>
    <xdr:sp macro="" textlink="">
      <xdr:nvSpPr>
        <xdr:cNvPr id="1658" name="Shape 1657">
          <a:extLst>
            <a:ext uri="{FF2B5EF4-FFF2-40B4-BE49-F238E27FC236}">
              <a16:creationId xmlns:a16="http://schemas.microsoft.com/office/drawing/2014/main" id="{00000000-0008-0000-0A00-00007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19</xdr:row>
      <xdr:rowOff>9525</xdr:rowOff>
    </xdr:from>
    <xdr:ext cx="323850" cy="180975"/>
    <xdr:sp macro="" textlink="">
      <xdr:nvSpPr>
        <xdr:cNvPr id="1659" name="Shape 1658">
          <a:extLst>
            <a:ext uri="{FF2B5EF4-FFF2-40B4-BE49-F238E27FC236}">
              <a16:creationId xmlns:a16="http://schemas.microsoft.com/office/drawing/2014/main" id="{00000000-0008-0000-0A00-00007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20</xdr:row>
      <xdr:rowOff>9525</xdr:rowOff>
    </xdr:from>
    <xdr:ext cx="323850" cy="180975"/>
    <xdr:sp macro="" textlink="">
      <xdr:nvSpPr>
        <xdr:cNvPr id="1660" name="Shape 1659">
          <a:extLst>
            <a:ext uri="{FF2B5EF4-FFF2-40B4-BE49-F238E27FC236}">
              <a16:creationId xmlns:a16="http://schemas.microsoft.com/office/drawing/2014/main" id="{00000000-0008-0000-0A00-00007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21</xdr:row>
      <xdr:rowOff>9525</xdr:rowOff>
    </xdr:from>
    <xdr:ext cx="323850" cy="180975"/>
    <xdr:sp macro="" textlink="">
      <xdr:nvSpPr>
        <xdr:cNvPr id="1661" name="Shape 1660">
          <a:extLst>
            <a:ext uri="{FF2B5EF4-FFF2-40B4-BE49-F238E27FC236}">
              <a16:creationId xmlns:a16="http://schemas.microsoft.com/office/drawing/2014/main" id="{00000000-0008-0000-0A00-00007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22</xdr:row>
      <xdr:rowOff>9525</xdr:rowOff>
    </xdr:from>
    <xdr:ext cx="323850" cy="180975"/>
    <xdr:sp macro="" textlink="">
      <xdr:nvSpPr>
        <xdr:cNvPr id="1662" name="Shape 1661">
          <a:extLst>
            <a:ext uri="{FF2B5EF4-FFF2-40B4-BE49-F238E27FC236}">
              <a16:creationId xmlns:a16="http://schemas.microsoft.com/office/drawing/2014/main" id="{00000000-0008-0000-0A00-00007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23</xdr:row>
      <xdr:rowOff>9525</xdr:rowOff>
    </xdr:from>
    <xdr:ext cx="323850" cy="180975"/>
    <xdr:sp macro="" textlink="">
      <xdr:nvSpPr>
        <xdr:cNvPr id="1663" name="Shape 1662">
          <a:extLst>
            <a:ext uri="{FF2B5EF4-FFF2-40B4-BE49-F238E27FC236}">
              <a16:creationId xmlns:a16="http://schemas.microsoft.com/office/drawing/2014/main" id="{00000000-0008-0000-0A00-00007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24</xdr:row>
      <xdr:rowOff>9525</xdr:rowOff>
    </xdr:from>
    <xdr:ext cx="323850" cy="180975"/>
    <xdr:sp macro="" textlink="">
      <xdr:nvSpPr>
        <xdr:cNvPr id="1664" name="Shape 1663">
          <a:extLst>
            <a:ext uri="{FF2B5EF4-FFF2-40B4-BE49-F238E27FC236}">
              <a16:creationId xmlns:a16="http://schemas.microsoft.com/office/drawing/2014/main" id="{00000000-0008-0000-0A00-00008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25</xdr:row>
      <xdr:rowOff>9525</xdr:rowOff>
    </xdr:from>
    <xdr:ext cx="323850" cy="180975"/>
    <xdr:sp macro="" textlink="">
      <xdr:nvSpPr>
        <xdr:cNvPr id="1665" name="Shape 1664">
          <a:extLst>
            <a:ext uri="{FF2B5EF4-FFF2-40B4-BE49-F238E27FC236}">
              <a16:creationId xmlns:a16="http://schemas.microsoft.com/office/drawing/2014/main" id="{00000000-0008-0000-0A00-00008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26</xdr:row>
      <xdr:rowOff>9525</xdr:rowOff>
    </xdr:from>
    <xdr:ext cx="323850" cy="180975"/>
    <xdr:sp macro="" textlink="">
      <xdr:nvSpPr>
        <xdr:cNvPr id="1666" name="Shape 1665">
          <a:extLst>
            <a:ext uri="{FF2B5EF4-FFF2-40B4-BE49-F238E27FC236}">
              <a16:creationId xmlns:a16="http://schemas.microsoft.com/office/drawing/2014/main" id="{00000000-0008-0000-0A00-00008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27</xdr:row>
      <xdr:rowOff>9525</xdr:rowOff>
    </xdr:from>
    <xdr:ext cx="323850" cy="180975"/>
    <xdr:sp macro="" textlink="">
      <xdr:nvSpPr>
        <xdr:cNvPr id="1667" name="Shape 1666">
          <a:extLst>
            <a:ext uri="{FF2B5EF4-FFF2-40B4-BE49-F238E27FC236}">
              <a16:creationId xmlns:a16="http://schemas.microsoft.com/office/drawing/2014/main" id="{00000000-0008-0000-0A00-00008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28</xdr:row>
      <xdr:rowOff>9525</xdr:rowOff>
    </xdr:from>
    <xdr:ext cx="323850" cy="180975"/>
    <xdr:sp macro="" textlink="">
      <xdr:nvSpPr>
        <xdr:cNvPr id="1668" name="Shape 1667">
          <a:extLst>
            <a:ext uri="{FF2B5EF4-FFF2-40B4-BE49-F238E27FC236}">
              <a16:creationId xmlns:a16="http://schemas.microsoft.com/office/drawing/2014/main" id="{00000000-0008-0000-0A00-00008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29</xdr:row>
      <xdr:rowOff>9525</xdr:rowOff>
    </xdr:from>
    <xdr:ext cx="323850" cy="180975"/>
    <xdr:sp macro="" textlink="">
      <xdr:nvSpPr>
        <xdr:cNvPr id="1669" name="Shape 1668">
          <a:extLst>
            <a:ext uri="{FF2B5EF4-FFF2-40B4-BE49-F238E27FC236}">
              <a16:creationId xmlns:a16="http://schemas.microsoft.com/office/drawing/2014/main" id="{00000000-0008-0000-0A00-00008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30</xdr:row>
      <xdr:rowOff>9525</xdr:rowOff>
    </xdr:from>
    <xdr:ext cx="323850" cy="180975"/>
    <xdr:sp macro="" textlink="">
      <xdr:nvSpPr>
        <xdr:cNvPr id="1670" name="Shape 1669">
          <a:extLst>
            <a:ext uri="{FF2B5EF4-FFF2-40B4-BE49-F238E27FC236}">
              <a16:creationId xmlns:a16="http://schemas.microsoft.com/office/drawing/2014/main" id="{00000000-0008-0000-0A00-00008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31</xdr:row>
      <xdr:rowOff>9525</xdr:rowOff>
    </xdr:from>
    <xdr:ext cx="323850" cy="180975"/>
    <xdr:sp macro="" textlink="">
      <xdr:nvSpPr>
        <xdr:cNvPr id="1671" name="Shape 1670">
          <a:extLst>
            <a:ext uri="{FF2B5EF4-FFF2-40B4-BE49-F238E27FC236}">
              <a16:creationId xmlns:a16="http://schemas.microsoft.com/office/drawing/2014/main" id="{00000000-0008-0000-0A00-00008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32</xdr:row>
      <xdr:rowOff>9525</xdr:rowOff>
    </xdr:from>
    <xdr:ext cx="323850" cy="180975"/>
    <xdr:sp macro="" textlink="">
      <xdr:nvSpPr>
        <xdr:cNvPr id="1672" name="Shape 1671">
          <a:extLst>
            <a:ext uri="{FF2B5EF4-FFF2-40B4-BE49-F238E27FC236}">
              <a16:creationId xmlns:a16="http://schemas.microsoft.com/office/drawing/2014/main" id="{00000000-0008-0000-0A00-00008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33</xdr:row>
      <xdr:rowOff>9525</xdr:rowOff>
    </xdr:from>
    <xdr:ext cx="323850" cy="180975"/>
    <xdr:sp macro="" textlink="">
      <xdr:nvSpPr>
        <xdr:cNvPr id="1673" name="Shape 1672">
          <a:extLst>
            <a:ext uri="{FF2B5EF4-FFF2-40B4-BE49-F238E27FC236}">
              <a16:creationId xmlns:a16="http://schemas.microsoft.com/office/drawing/2014/main" id="{00000000-0008-0000-0A00-00008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34</xdr:row>
      <xdr:rowOff>9525</xdr:rowOff>
    </xdr:from>
    <xdr:ext cx="323850" cy="180975"/>
    <xdr:sp macro="" textlink="">
      <xdr:nvSpPr>
        <xdr:cNvPr id="1674" name="Shape 1673">
          <a:extLst>
            <a:ext uri="{FF2B5EF4-FFF2-40B4-BE49-F238E27FC236}">
              <a16:creationId xmlns:a16="http://schemas.microsoft.com/office/drawing/2014/main" id="{00000000-0008-0000-0A00-00008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35</xdr:row>
      <xdr:rowOff>9525</xdr:rowOff>
    </xdr:from>
    <xdr:ext cx="323850" cy="180975"/>
    <xdr:sp macro="" textlink="">
      <xdr:nvSpPr>
        <xdr:cNvPr id="1675" name="Shape 1674">
          <a:extLst>
            <a:ext uri="{FF2B5EF4-FFF2-40B4-BE49-F238E27FC236}">
              <a16:creationId xmlns:a16="http://schemas.microsoft.com/office/drawing/2014/main" id="{00000000-0008-0000-0A00-00008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36</xdr:row>
      <xdr:rowOff>9525</xdr:rowOff>
    </xdr:from>
    <xdr:ext cx="323850" cy="180975"/>
    <xdr:sp macro="" textlink="">
      <xdr:nvSpPr>
        <xdr:cNvPr id="1676" name="Shape 1675">
          <a:extLst>
            <a:ext uri="{FF2B5EF4-FFF2-40B4-BE49-F238E27FC236}">
              <a16:creationId xmlns:a16="http://schemas.microsoft.com/office/drawing/2014/main" id="{00000000-0008-0000-0A00-00008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37</xdr:row>
      <xdr:rowOff>9525</xdr:rowOff>
    </xdr:from>
    <xdr:ext cx="323850" cy="180975"/>
    <xdr:sp macro="" textlink="">
      <xdr:nvSpPr>
        <xdr:cNvPr id="1677" name="Shape 1676">
          <a:extLst>
            <a:ext uri="{FF2B5EF4-FFF2-40B4-BE49-F238E27FC236}">
              <a16:creationId xmlns:a16="http://schemas.microsoft.com/office/drawing/2014/main" id="{00000000-0008-0000-0A00-00008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38</xdr:row>
      <xdr:rowOff>9525</xdr:rowOff>
    </xdr:from>
    <xdr:ext cx="323850" cy="180975"/>
    <xdr:sp macro="" textlink="">
      <xdr:nvSpPr>
        <xdr:cNvPr id="1678" name="Shape 1677">
          <a:extLst>
            <a:ext uri="{FF2B5EF4-FFF2-40B4-BE49-F238E27FC236}">
              <a16:creationId xmlns:a16="http://schemas.microsoft.com/office/drawing/2014/main" id="{00000000-0008-0000-0A00-00008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39</xdr:row>
      <xdr:rowOff>9525</xdr:rowOff>
    </xdr:from>
    <xdr:ext cx="323850" cy="180975"/>
    <xdr:sp macro="" textlink="">
      <xdr:nvSpPr>
        <xdr:cNvPr id="1679" name="Shape 1678">
          <a:extLst>
            <a:ext uri="{FF2B5EF4-FFF2-40B4-BE49-F238E27FC236}">
              <a16:creationId xmlns:a16="http://schemas.microsoft.com/office/drawing/2014/main" id="{00000000-0008-0000-0A00-00008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40</xdr:row>
      <xdr:rowOff>9525</xdr:rowOff>
    </xdr:from>
    <xdr:ext cx="323850" cy="180975"/>
    <xdr:sp macro="" textlink="">
      <xdr:nvSpPr>
        <xdr:cNvPr id="1680" name="Shape 1679">
          <a:extLst>
            <a:ext uri="{FF2B5EF4-FFF2-40B4-BE49-F238E27FC236}">
              <a16:creationId xmlns:a16="http://schemas.microsoft.com/office/drawing/2014/main" id="{00000000-0008-0000-0A00-00009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41</xdr:row>
      <xdr:rowOff>9525</xdr:rowOff>
    </xdr:from>
    <xdr:ext cx="323850" cy="180975"/>
    <xdr:sp macro="" textlink="">
      <xdr:nvSpPr>
        <xdr:cNvPr id="1681" name="Shape 1680">
          <a:extLst>
            <a:ext uri="{FF2B5EF4-FFF2-40B4-BE49-F238E27FC236}">
              <a16:creationId xmlns:a16="http://schemas.microsoft.com/office/drawing/2014/main" id="{00000000-0008-0000-0A00-00009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</xdr:row>
      <xdr:rowOff>9525</xdr:rowOff>
    </xdr:from>
    <xdr:ext cx="323850" cy="180975"/>
    <xdr:sp macro="" textlink="">
      <xdr:nvSpPr>
        <xdr:cNvPr id="1682" name="Shape 1681">
          <a:extLst>
            <a:ext uri="{FF2B5EF4-FFF2-40B4-BE49-F238E27FC236}">
              <a16:creationId xmlns:a16="http://schemas.microsoft.com/office/drawing/2014/main" id="{00000000-0008-0000-0A00-00009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</xdr:row>
      <xdr:rowOff>9525</xdr:rowOff>
    </xdr:from>
    <xdr:ext cx="323850" cy="180975"/>
    <xdr:sp macro="" textlink="">
      <xdr:nvSpPr>
        <xdr:cNvPr id="1683" name="Shape 1682">
          <a:extLst>
            <a:ext uri="{FF2B5EF4-FFF2-40B4-BE49-F238E27FC236}">
              <a16:creationId xmlns:a16="http://schemas.microsoft.com/office/drawing/2014/main" id="{00000000-0008-0000-0A00-00009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4</xdr:row>
      <xdr:rowOff>9525</xdr:rowOff>
    </xdr:from>
    <xdr:ext cx="323850" cy="180975"/>
    <xdr:sp macro="" textlink="">
      <xdr:nvSpPr>
        <xdr:cNvPr id="1684" name="Shape 1683">
          <a:extLst>
            <a:ext uri="{FF2B5EF4-FFF2-40B4-BE49-F238E27FC236}">
              <a16:creationId xmlns:a16="http://schemas.microsoft.com/office/drawing/2014/main" id="{00000000-0008-0000-0A00-00009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5</xdr:row>
      <xdr:rowOff>9525</xdr:rowOff>
    </xdr:from>
    <xdr:ext cx="323850" cy="180975"/>
    <xdr:sp macro="" textlink="">
      <xdr:nvSpPr>
        <xdr:cNvPr id="1685" name="Shape 1684">
          <a:extLst>
            <a:ext uri="{FF2B5EF4-FFF2-40B4-BE49-F238E27FC236}">
              <a16:creationId xmlns:a16="http://schemas.microsoft.com/office/drawing/2014/main" id="{00000000-0008-0000-0A00-00009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6</xdr:row>
      <xdr:rowOff>9525</xdr:rowOff>
    </xdr:from>
    <xdr:ext cx="323850" cy="180975"/>
    <xdr:sp macro="" textlink="">
      <xdr:nvSpPr>
        <xdr:cNvPr id="1686" name="Shape 1685">
          <a:extLst>
            <a:ext uri="{FF2B5EF4-FFF2-40B4-BE49-F238E27FC236}">
              <a16:creationId xmlns:a16="http://schemas.microsoft.com/office/drawing/2014/main" id="{00000000-0008-0000-0A00-00009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7</xdr:row>
      <xdr:rowOff>9525</xdr:rowOff>
    </xdr:from>
    <xdr:ext cx="323850" cy="180975"/>
    <xdr:sp macro="" textlink="">
      <xdr:nvSpPr>
        <xdr:cNvPr id="1687" name="Shape 1686">
          <a:extLst>
            <a:ext uri="{FF2B5EF4-FFF2-40B4-BE49-F238E27FC236}">
              <a16:creationId xmlns:a16="http://schemas.microsoft.com/office/drawing/2014/main" id="{00000000-0008-0000-0A00-00009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8</xdr:row>
      <xdr:rowOff>9525</xdr:rowOff>
    </xdr:from>
    <xdr:ext cx="323850" cy="180975"/>
    <xdr:sp macro="" textlink="">
      <xdr:nvSpPr>
        <xdr:cNvPr id="1688" name="Shape 1687">
          <a:extLst>
            <a:ext uri="{FF2B5EF4-FFF2-40B4-BE49-F238E27FC236}">
              <a16:creationId xmlns:a16="http://schemas.microsoft.com/office/drawing/2014/main" id="{00000000-0008-0000-0A00-00009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9</xdr:row>
      <xdr:rowOff>9525</xdr:rowOff>
    </xdr:from>
    <xdr:ext cx="323850" cy="180975"/>
    <xdr:sp macro="" textlink="">
      <xdr:nvSpPr>
        <xdr:cNvPr id="1689" name="Shape 1688">
          <a:extLst>
            <a:ext uri="{FF2B5EF4-FFF2-40B4-BE49-F238E27FC236}">
              <a16:creationId xmlns:a16="http://schemas.microsoft.com/office/drawing/2014/main" id="{00000000-0008-0000-0A00-00009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10</xdr:row>
      <xdr:rowOff>9525</xdr:rowOff>
    </xdr:from>
    <xdr:ext cx="323850" cy="180975"/>
    <xdr:sp macro="" textlink="">
      <xdr:nvSpPr>
        <xdr:cNvPr id="1690" name="Shape 1689">
          <a:extLst>
            <a:ext uri="{FF2B5EF4-FFF2-40B4-BE49-F238E27FC236}">
              <a16:creationId xmlns:a16="http://schemas.microsoft.com/office/drawing/2014/main" id="{00000000-0008-0000-0A00-00009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11</xdr:row>
      <xdr:rowOff>9525</xdr:rowOff>
    </xdr:from>
    <xdr:ext cx="323850" cy="180975"/>
    <xdr:sp macro="" textlink="">
      <xdr:nvSpPr>
        <xdr:cNvPr id="1691" name="Shape 1690">
          <a:extLst>
            <a:ext uri="{FF2B5EF4-FFF2-40B4-BE49-F238E27FC236}">
              <a16:creationId xmlns:a16="http://schemas.microsoft.com/office/drawing/2014/main" id="{00000000-0008-0000-0A00-00009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12</xdr:row>
      <xdr:rowOff>9525</xdr:rowOff>
    </xdr:from>
    <xdr:ext cx="323850" cy="180975"/>
    <xdr:sp macro="" textlink="">
      <xdr:nvSpPr>
        <xdr:cNvPr id="1692" name="Shape 1691">
          <a:extLst>
            <a:ext uri="{FF2B5EF4-FFF2-40B4-BE49-F238E27FC236}">
              <a16:creationId xmlns:a16="http://schemas.microsoft.com/office/drawing/2014/main" id="{00000000-0008-0000-0A00-00009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13</xdr:row>
      <xdr:rowOff>9525</xdr:rowOff>
    </xdr:from>
    <xdr:ext cx="323850" cy="180975"/>
    <xdr:sp macro="" textlink="">
      <xdr:nvSpPr>
        <xdr:cNvPr id="1693" name="Shape 1692">
          <a:extLst>
            <a:ext uri="{FF2B5EF4-FFF2-40B4-BE49-F238E27FC236}">
              <a16:creationId xmlns:a16="http://schemas.microsoft.com/office/drawing/2014/main" id="{00000000-0008-0000-0A00-00009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14</xdr:row>
      <xdr:rowOff>9525</xdr:rowOff>
    </xdr:from>
    <xdr:ext cx="323850" cy="180975"/>
    <xdr:sp macro="" textlink="">
      <xdr:nvSpPr>
        <xdr:cNvPr id="1694" name="Shape 1693">
          <a:extLst>
            <a:ext uri="{FF2B5EF4-FFF2-40B4-BE49-F238E27FC236}">
              <a16:creationId xmlns:a16="http://schemas.microsoft.com/office/drawing/2014/main" id="{00000000-0008-0000-0A00-00009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15</xdr:row>
      <xdr:rowOff>9525</xdr:rowOff>
    </xdr:from>
    <xdr:ext cx="323850" cy="180975"/>
    <xdr:sp macro="" textlink="">
      <xdr:nvSpPr>
        <xdr:cNvPr id="1695" name="Shape 1694">
          <a:extLst>
            <a:ext uri="{FF2B5EF4-FFF2-40B4-BE49-F238E27FC236}">
              <a16:creationId xmlns:a16="http://schemas.microsoft.com/office/drawing/2014/main" id="{00000000-0008-0000-0A00-00009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16</xdr:row>
      <xdr:rowOff>9525</xdr:rowOff>
    </xdr:from>
    <xdr:ext cx="323850" cy="180975"/>
    <xdr:sp macro="" textlink="">
      <xdr:nvSpPr>
        <xdr:cNvPr id="1696" name="Shape 1695">
          <a:extLst>
            <a:ext uri="{FF2B5EF4-FFF2-40B4-BE49-F238E27FC236}">
              <a16:creationId xmlns:a16="http://schemas.microsoft.com/office/drawing/2014/main" id="{00000000-0008-0000-0A00-0000A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17</xdr:row>
      <xdr:rowOff>9525</xdr:rowOff>
    </xdr:from>
    <xdr:ext cx="323850" cy="180975"/>
    <xdr:sp macro="" textlink="">
      <xdr:nvSpPr>
        <xdr:cNvPr id="1697" name="Shape 1696">
          <a:extLst>
            <a:ext uri="{FF2B5EF4-FFF2-40B4-BE49-F238E27FC236}">
              <a16:creationId xmlns:a16="http://schemas.microsoft.com/office/drawing/2014/main" id="{00000000-0008-0000-0A00-0000A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18</xdr:row>
      <xdr:rowOff>9525</xdr:rowOff>
    </xdr:from>
    <xdr:ext cx="323850" cy="180975"/>
    <xdr:sp macro="" textlink="">
      <xdr:nvSpPr>
        <xdr:cNvPr id="1698" name="Shape 1697">
          <a:extLst>
            <a:ext uri="{FF2B5EF4-FFF2-40B4-BE49-F238E27FC236}">
              <a16:creationId xmlns:a16="http://schemas.microsoft.com/office/drawing/2014/main" id="{00000000-0008-0000-0A00-0000A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19</xdr:row>
      <xdr:rowOff>9525</xdr:rowOff>
    </xdr:from>
    <xdr:ext cx="323850" cy="180975"/>
    <xdr:sp macro="" textlink="">
      <xdr:nvSpPr>
        <xdr:cNvPr id="1699" name="Shape 1698">
          <a:extLst>
            <a:ext uri="{FF2B5EF4-FFF2-40B4-BE49-F238E27FC236}">
              <a16:creationId xmlns:a16="http://schemas.microsoft.com/office/drawing/2014/main" id="{00000000-0008-0000-0A00-0000A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20</xdr:row>
      <xdr:rowOff>9525</xdr:rowOff>
    </xdr:from>
    <xdr:ext cx="323850" cy="180975"/>
    <xdr:sp macro="" textlink="">
      <xdr:nvSpPr>
        <xdr:cNvPr id="1700" name="Shape 1699">
          <a:extLst>
            <a:ext uri="{FF2B5EF4-FFF2-40B4-BE49-F238E27FC236}">
              <a16:creationId xmlns:a16="http://schemas.microsoft.com/office/drawing/2014/main" id="{00000000-0008-0000-0A00-0000A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21</xdr:row>
      <xdr:rowOff>9525</xdr:rowOff>
    </xdr:from>
    <xdr:ext cx="323850" cy="180975"/>
    <xdr:sp macro="" textlink="">
      <xdr:nvSpPr>
        <xdr:cNvPr id="1701" name="Shape 1700">
          <a:extLst>
            <a:ext uri="{FF2B5EF4-FFF2-40B4-BE49-F238E27FC236}">
              <a16:creationId xmlns:a16="http://schemas.microsoft.com/office/drawing/2014/main" id="{00000000-0008-0000-0A00-0000A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22</xdr:row>
      <xdr:rowOff>9525</xdr:rowOff>
    </xdr:from>
    <xdr:ext cx="323850" cy="180975"/>
    <xdr:sp macro="" textlink="">
      <xdr:nvSpPr>
        <xdr:cNvPr id="1702" name="Shape 1701">
          <a:extLst>
            <a:ext uri="{FF2B5EF4-FFF2-40B4-BE49-F238E27FC236}">
              <a16:creationId xmlns:a16="http://schemas.microsoft.com/office/drawing/2014/main" id="{00000000-0008-0000-0A00-0000A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23</xdr:row>
      <xdr:rowOff>9525</xdr:rowOff>
    </xdr:from>
    <xdr:ext cx="323850" cy="180975"/>
    <xdr:sp macro="" textlink="">
      <xdr:nvSpPr>
        <xdr:cNvPr id="1703" name="Shape 1702">
          <a:extLst>
            <a:ext uri="{FF2B5EF4-FFF2-40B4-BE49-F238E27FC236}">
              <a16:creationId xmlns:a16="http://schemas.microsoft.com/office/drawing/2014/main" id="{00000000-0008-0000-0A00-0000A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24</xdr:row>
      <xdr:rowOff>9525</xdr:rowOff>
    </xdr:from>
    <xdr:ext cx="323850" cy="180975"/>
    <xdr:sp macro="" textlink="">
      <xdr:nvSpPr>
        <xdr:cNvPr id="1704" name="Shape 1703">
          <a:extLst>
            <a:ext uri="{FF2B5EF4-FFF2-40B4-BE49-F238E27FC236}">
              <a16:creationId xmlns:a16="http://schemas.microsoft.com/office/drawing/2014/main" id="{00000000-0008-0000-0A00-0000A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25</xdr:row>
      <xdr:rowOff>9525</xdr:rowOff>
    </xdr:from>
    <xdr:ext cx="323850" cy="180975"/>
    <xdr:sp macro="" textlink="">
      <xdr:nvSpPr>
        <xdr:cNvPr id="1705" name="Shape 1704">
          <a:extLst>
            <a:ext uri="{FF2B5EF4-FFF2-40B4-BE49-F238E27FC236}">
              <a16:creationId xmlns:a16="http://schemas.microsoft.com/office/drawing/2014/main" id="{00000000-0008-0000-0A00-0000A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26</xdr:row>
      <xdr:rowOff>9525</xdr:rowOff>
    </xdr:from>
    <xdr:ext cx="323850" cy="180975"/>
    <xdr:sp macro="" textlink="">
      <xdr:nvSpPr>
        <xdr:cNvPr id="1706" name="Shape 1705">
          <a:extLst>
            <a:ext uri="{FF2B5EF4-FFF2-40B4-BE49-F238E27FC236}">
              <a16:creationId xmlns:a16="http://schemas.microsoft.com/office/drawing/2014/main" id="{00000000-0008-0000-0A00-0000A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27</xdr:row>
      <xdr:rowOff>9525</xdr:rowOff>
    </xdr:from>
    <xdr:ext cx="323850" cy="180975"/>
    <xdr:sp macro="" textlink="">
      <xdr:nvSpPr>
        <xdr:cNvPr id="1707" name="Shape 1706">
          <a:extLst>
            <a:ext uri="{FF2B5EF4-FFF2-40B4-BE49-F238E27FC236}">
              <a16:creationId xmlns:a16="http://schemas.microsoft.com/office/drawing/2014/main" id="{00000000-0008-0000-0A00-0000A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28</xdr:row>
      <xdr:rowOff>9525</xdr:rowOff>
    </xdr:from>
    <xdr:ext cx="323850" cy="180975"/>
    <xdr:sp macro="" textlink="">
      <xdr:nvSpPr>
        <xdr:cNvPr id="1708" name="Shape 1707">
          <a:extLst>
            <a:ext uri="{FF2B5EF4-FFF2-40B4-BE49-F238E27FC236}">
              <a16:creationId xmlns:a16="http://schemas.microsoft.com/office/drawing/2014/main" id="{00000000-0008-0000-0A00-0000A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29</xdr:row>
      <xdr:rowOff>9525</xdr:rowOff>
    </xdr:from>
    <xdr:ext cx="323850" cy="180975"/>
    <xdr:sp macro="" textlink="">
      <xdr:nvSpPr>
        <xdr:cNvPr id="1709" name="Shape 1708">
          <a:extLst>
            <a:ext uri="{FF2B5EF4-FFF2-40B4-BE49-F238E27FC236}">
              <a16:creationId xmlns:a16="http://schemas.microsoft.com/office/drawing/2014/main" id="{00000000-0008-0000-0A00-0000A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30</xdr:row>
      <xdr:rowOff>9525</xdr:rowOff>
    </xdr:from>
    <xdr:ext cx="323850" cy="180975"/>
    <xdr:sp macro="" textlink="">
      <xdr:nvSpPr>
        <xdr:cNvPr id="1710" name="Shape 1709">
          <a:extLst>
            <a:ext uri="{FF2B5EF4-FFF2-40B4-BE49-F238E27FC236}">
              <a16:creationId xmlns:a16="http://schemas.microsoft.com/office/drawing/2014/main" id="{00000000-0008-0000-0A00-0000A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31</xdr:row>
      <xdr:rowOff>9525</xdr:rowOff>
    </xdr:from>
    <xdr:ext cx="323850" cy="180975"/>
    <xdr:sp macro="" textlink="">
      <xdr:nvSpPr>
        <xdr:cNvPr id="1711" name="Shape 1710">
          <a:extLst>
            <a:ext uri="{FF2B5EF4-FFF2-40B4-BE49-F238E27FC236}">
              <a16:creationId xmlns:a16="http://schemas.microsoft.com/office/drawing/2014/main" id="{00000000-0008-0000-0A00-0000A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32</xdr:row>
      <xdr:rowOff>9525</xdr:rowOff>
    </xdr:from>
    <xdr:ext cx="323850" cy="180975"/>
    <xdr:sp macro="" textlink="">
      <xdr:nvSpPr>
        <xdr:cNvPr id="1712" name="Shape 1711">
          <a:extLst>
            <a:ext uri="{FF2B5EF4-FFF2-40B4-BE49-F238E27FC236}">
              <a16:creationId xmlns:a16="http://schemas.microsoft.com/office/drawing/2014/main" id="{00000000-0008-0000-0A00-0000B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33</xdr:row>
      <xdr:rowOff>9525</xdr:rowOff>
    </xdr:from>
    <xdr:ext cx="323850" cy="180975"/>
    <xdr:sp macro="" textlink="">
      <xdr:nvSpPr>
        <xdr:cNvPr id="1713" name="Shape 1712">
          <a:extLst>
            <a:ext uri="{FF2B5EF4-FFF2-40B4-BE49-F238E27FC236}">
              <a16:creationId xmlns:a16="http://schemas.microsoft.com/office/drawing/2014/main" id="{00000000-0008-0000-0A00-0000B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34</xdr:row>
      <xdr:rowOff>9525</xdr:rowOff>
    </xdr:from>
    <xdr:ext cx="323850" cy="180975"/>
    <xdr:sp macro="" textlink="">
      <xdr:nvSpPr>
        <xdr:cNvPr id="1714" name="Shape 1713">
          <a:extLst>
            <a:ext uri="{FF2B5EF4-FFF2-40B4-BE49-F238E27FC236}">
              <a16:creationId xmlns:a16="http://schemas.microsoft.com/office/drawing/2014/main" id="{00000000-0008-0000-0A00-0000B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35</xdr:row>
      <xdr:rowOff>9525</xdr:rowOff>
    </xdr:from>
    <xdr:ext cx="323850" cy="180975"/>
    <xdr:sp macro="" textlink="">
      <xdr:nvSpPr>
        <xdr:cNvPr id="1715" name="Shape 1714">
          <a:extLst>
            <a:ext uri="{FF2B5EF4-FFF2-40B4-BE49-F238E27FC236}">
              <a16:creationId xmlns:a16="http://schemas.microsoft.com/office/drawing/2014/main" id="{00000000-0008-0000-0A00-0000B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36</xdr:row>
      <xdr:rowOff>9525</xdr:rowOff>
    </xdr:from>
    <xdr:ext cx="323850" cy="180975"/>
    <xdr:sp macro="" textlink="">
      <xdr:nvSpPr>
        <xdr:cNvPr id="1716" name="Shape 1715">
          <a:extLst>
            <a:ext uri="{FF2B5EF4-FFF2-40B4-BE49-F238E27FC236}">
              <a16:creationId xmlns:a16="http://schemas.microsoft.com/office/drawing/2014/main" id="{00000000-0008-0000-0A00-0000B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37</xdr:row>
      <xdr:rowOff>9525</xdr:rowOff>
    </xdr:from>
    <xdr:ext cx="323850" cy="180975"/>
    <xdr:sp macro="" textlink="">
      <xdr:nvSpPr>
        <xdr:cNvPr id="1717" name="Shape 1716">
          <a:extLst>
            <a:ext uri="{FF2B5EF4-FFF2-40B4-BE49-F238E27FC236}">
              <a16:creationId xmlns:a16="http://schemas.microsoft.com/office/drawing/2014/main" id="{00000000-0008-0000-0A00-0000B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38</xdr:row>
      <xdr:rowOff>9525</xdr:rowOff>
    </xdr:from>
    <xdr:ext cx="323850" cy="180975"/>
    <xdr:sp macro="" textlink="">
      <xdr:nvSpPr>
        <xdr:cNvPr id="1718" name="Shape 1717">
          <a:extLst>
            <a:ext uri="{FF2B5EF4-FFF2-40B4-BE49-F238E27FC236}">
              <a16:creationId xmlns:a16="http://schemas.microsoft.com/office/drawing/2014/main" id="{00000000-0008-0000-0A00-0000B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39</xdr:row>
      <xdr:rowOff>9525</xdr:rowOff>
    </xdr:from>
    <xdr:ext cx="323850" cy="180975"/>
    <xdr:sp macro="" textlink="">
      <xdr:nvSpPr>
        <xdr:cNvPr id="1719" name="Shape 1718">
          <a:extLst>
            <a:ext uri="{FF2B5EF4-FFF2-40B4-BE49-F238E27FC236}">
              <a16:creationId xmlns:a16="http://schemas.microsoft.com/office/drawing/2014/main" id="{00000000-0008-0000-0A00-0000B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40</xdr:row>
      <xdr:rowOff>9525</xdr:rowOff>
    </xdr:from>
    <xdr:ext cx="323850" cy="180975"/>
    <xdr:sp macro="" textlink="">
      <xdr:nvSpPr>
        <xdr:cNvPr id="1720" name="Shape 1719">
          <a:extLst>
            <a:ext uri="{FF2B5EF4-FFF2-40B4-BE49-F238E27FC236}">
              <a16:creationId xmlns:a16="http://schemas.microsoft.com/office/drawing/2014/main" id="{00000000-0008-0000-0A00-0000B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41</xdr:row>
      <xdr:rowOff>9525</xdr:rowOff>
    </xdr:from>
    <xdr:ext cx="323850" cy="180975"/>
    <xdr:sp macro="" textlink="">
      <xdr:nvSpPr>
        <xdr:cNvPr id="1721" name="Shape 1720">
          <a:extLst>
            <a:ext uri="{FF2B5EF4-FFF2-40B4-BE49-F238E27FC236}">
              <a16:creationId xmlns:a16="http://schemas.microsoft.com/office/drawing/2014/main" id="{00000000-0008-0000-0A00-0000B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</xdr:row>
      <xdr:rowOff>9525</xdr:rowOff>
    </xdr:from>
    <xdr:ext cx="323850" cy="180975"/>
    <xdr:sp macro="" textlink="">
      <xdr:nvSpPr>
        <xdr:cNvPr id="1722" name="Shape 1721">
          <a:extLst>
            <a:ext uri="{FF2B5EF4-FFF2-40B4-BE49-F238E27FC236}">
              <a16:creationId xmlns:a16="http://schemas.microsoft.com/office/drawing/2014/main" id="{00000000-0008-0000-0A00-0000B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</xdr:row>
      <xdr:rowOff>9525</xdr:rowOff>
    </xdr:from>
    <xdr:ext cx="323850" cy="180975"/>
    <xdr:sp macro="" textlink="">
      <xdr:nvSpPr>
        <xdr:cNvPr id="1723" name="Shape 1722">
          <a:extLst>
            <a:ext uri="{FF2B5EF4-FFF2-40B4-BE49-F238E27FC236}">
              <a16:creationId xmlns:a16="http://schemas.microsoft.com/office/drawing/2014/main" id="{00000000-0008-0000-0A00-0000B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4</xdr:row>
      <xdr:rowOff>9525</xdr:rowOff>
    </xdr:from>
    <xdr:ext cx="323850" cy="180975"/>
    <xdr:sp macro="" textlink="">
      <xdr:nvSpPr>
        <xdr:cNvPr id="1724" name="Shape 1723">
          <a:extLst>
            <a:ext uri="{FF2B5EF4-FFF2-40B4-BE49-F238E27FC236}">
              <a16:creationId xmlns:a16="http://schemas.microsoft.com/office/drawing/2014/main" id="{00000000-0008-0000-0A00-0000B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5</xdr:row>
      <xdr:rowOff>9525</xdr:rowOff>
    </xdr:from>
    <xdr:ext cx="323850" cy="180975"/>
    <xdr:sp macro="" textlink="">
      <xdr:nvSpPr>
        <xdr:cNvPr id="1725" name="Shape 1724">
          <a:extLst>
            <a:ext uri="{FF2B5EF4-FFF2-40B4-BE49-F238E27FC236}">
              <a16:creationId xmlns:a16="http://schemas.microsoft.com/office/drawing/2014/main" id="{00000000-0008-0000-0A00-0000B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6</xdr:row>
      <xdr:rowOff>9525</xdr:rowOff>
    </xdr:from>
    <xdr:ext cx="323850" cy="180975"/>
    <xdr:sp macro="" textlink="">
      <xdr:nvSpPr>
        <xdr:cNvPr id="1726" name="Shape 1725">
          <a:extLst>
            <a:ext uri="{FF2B5EF4-FFF2-40B4-BE49-F238E27FC236}">
              <a16:creationId xmlns:a16="http://schemas.microsoft.com/office/drawing/2014/main" id="{00000000-0008-0000-0A00-0000B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7</xdr:row>
      <xdr:rowOff>9525</xdr:rowOff>
    </xdr:from>
    <xdr:ext cx="323850" cy="180975"/>
    <xdr:sp macro="" textlink="">
      <xdr:nvSpPr>
        <xdr:cNvPr id="1727" name="Shape 1726">
          <a:extLst>
            <a:ext uri="{FF2B5EF4-FFF2-40B4-BE49-F238E27FC236}">
              <a16:creationId xmlns:a16="http://schemas.microsoft.com/office/drawing/2014/main" id="{00000000-0008-0000-0A00-0000B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8</xdr:row>
      <xdr:rowOff>9525</xdr:rowOff>
    </xdr:from>
    <xdr:ext cx="323850" cy="180975"/>
    <xdr:sp macro="" textlink="">
      <xdr:nvSpPr>
        <xdr:cNvPr id="1728" name="Shape 1727">
          <a:extLst>
            <a:ext uri="{FF2B5EF4-FFF2-40B4-BE49-F238E27FC236}">
              <a16:creationId xmlns:a16="http://schemas.microsoft.com/office/drawing/2014/main" id="{00000000-0008-0000-0A00-0000C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9</xdr:row>
      <xdr:rowOff>9525</xdr:rowOff>
    </xdr:from>
    <xdr:ext cx="323850" cy="180975"/>
    <xdr:sp macro="" textlink="">
      <xdr:nvSpPr>
        <xdr:cNvPr id="1729" name="Shape 1728">
          <a:extLst>
            <a:ext uri="{FF2B5EF4-FFF2-40B4-BE49-F238E27FC236}">
              <a16:creationId xmlns:a16="http://schemas.microsoft.com/office/drawing/2014/main" id="{00000000-0008-0000-0A00-0000C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10</xdr:row>
      <xdr:rowOff>9525</xdr:rowOff>
    </xdr:from>
    <xdr:ext cx="323850" cy="180975"/>
    <xdr:sp macro="" textlink="">
      <xdr:nvSpPr>
        <xdr:cNvPr id="1730" name="Shape 1729">
          <a:extLst>
            <a:ext uri="{FF2B5EF4-FFF2-40B4-BE49-F238E27FC236}">
              <a16:creationId xmlns:a16="http://schemas.microsoft.com/office/drawing/2014/main" id="{00000000-0008-0000-0A00-0000C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11</xdr:row>
      <xdr:rowOff>9525</xdr:rowOff>
    </xdr:from>
    <xdr:ext cx="323850" cy="180975"/>
    <xdr:sp macro="" textlink="">
      <xdr:nvSpPr>
        <xdr:cNvPr id="1731" name="Shape 1730">
          <a:extLst>
            <a:ext uri="{FF2B5EF4-FFF2-40B4-BE49-F238E27FC236}">
              <a16:creationId xmlns:a16="http://schemas.microsoft.com/office/drawing/2014/main" id="{00000000-0008-0000-0A00-0000C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12</xdr:row>
      <xdr:rowOff>9525</xdr:rowOff>
    </xdr:from>
    <xdr:ext cx="323850" cy="180975"/>
    <xdr:sp macro="" textlink="">
      <xdr:nvSpPr>
        <xdr:cNvPr id="1732" name="Shape 1731">
          <a:extLst>
            <a:ext uri="{FF2B5EF4-FFF2-40B4-BE49-F238E27FC236}">
              <a16:creationId xmlns:a16="http://schemas.microsoft.com/office/drawing/2014/main" id="{00000000-0008-0000-0A00-0000C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13</xdr:row>
      <xdr:rowOff>9525</xdr:rowOff>
    </xdr:from>
    <xdr:ext cx="323850" cy="180975"/>
    <xdr:sp macro="" textlink="">
      <xdr:nvSpPr>
        <xdr:cNvPr id="1733" name="Shape 1732">
          <a:extLst>
            <a:ext uri="{FF2B5EF4-FFF2-40B4-BE49-F238E27FC236}">
              <a16:creationId xmlns:a16="http://schemas.microsoft.com/office/drawing/2014/main" id="{00000000-0008-0000-0A00-0000C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14</xdr:row>
      <xdr:rowOff>9525</xdr:rowOff>
    </xdr:from>
    <xdr:ext cx="323850" cy="180975"/>
    <xdr:sp macro="" textlink="">
      <xdr:nvSpPr>
        <xdr:cNvPr id="1734" name="Shape 1733">
          <a:extLst>
            <a:ext uri="{FF2B5EF4-FFF2-40B4-BE49-F238E27FC236}">
              <a16:creationId xmlns:a16="http://schemas.microsoft.com/office/drawing/2014/main" id="{00000000-0008-0000-0A00-0000C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15</xdr:row>
      <xdr:rowOff>9525</xdr:rowOff>
    </xdr:from>
    <xdr:ext cx="323850" cy="180975"/>
    <xdr:sp macro="" textlink="">
      <xdr:nvSpPr>
        <xdr:cNvPr id="1735" name="Shape 1734">
          <a:extLst>
            <a:ext uri="{FF2B5EF4-FFF2-40B4-BE49-F238E27FC236}">
              <a16:creationId xmlns:a16="http://schemas.microsoft.com/office/drawing/2014/main" id="{00000000-0008-0000-0A00-0000C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16</xdr:row>
      <xdr:rowOff>9525</xdr:rowOff>
    </xdr:from>
    <xdr:ext cx="323850" cy="180975"/>
    <xdr:sp macro="" textlink="">
      <xdr:nvSpPr>
        <xdr:cNvPr id="1736" name="Shape 1735">
          <a:extLst>
            <a:ext uri="{FF2B5EF4-FFF2-40B4-BE49-F238E27FC236}">
              <a16:creationId xmlns:a16="http://schemas.microsoft.com/office/drawing/2014/main" id="{00000000-0008-0000-0A00-0000C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17</xdr:row>
      <xdr:rowOff>9525</xdr:rowOff>
    </xdr:from>
    <xdr:ext cx="323850" cy="180975"/>
    <xdr:sp macro="" textlink="">
      <xdr:nvSpPr>
        <xdr:cNvPr id="1737" name="Shape 1736">
          <a:extLst>
            <a:ext uri="{FF2B5EF4-FFF2-40B4-BE49-F238E27FC236}">
              <a16:creationId xmlns:a16="http://schemas.microsoft.com/office/drawing/2014/main" id="{00000000-0008-0000-0A00-0000C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18</xdr:row>
      <xdr:rowOff>9525</xdr:rowOff>
    </xdr:from>
    <xdr:ext cx="323850" cy="180975"/>
    <xdr:sp macro="" textlink="">
      <xdr:nvSpPr>
        <xdr:cNvPr id="1738" name="Shape 1737">
          <a:extLst>
            <a:ext uri="{FF2B5EF4-FFF2-40B4-BE49-F238E27FC236}">
              <a16:creationId xmlns:a16="http://schemas.microsoft.com/office/drawing/2014/main" id="{00000000-0008-0000-0A00-0000C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19</xdr:row>
      <xdr:rowOff>9525</xdr:rowOff>
    </xdr:from>
    <xdr:ext cx="323850" cy="180975"/>
    <xdr:sp macro="" textlink="">
      <xdr:nvSpPr>
        <xdr:cNvPr id="1739" name="Shape 1738">
          <a:extLst>
            <a:ext uri="{FF2B5EF4-FFF2-40B4-BE49-F238E27FC236}">
              <a16:creationId xmlns:a16="http://schemas.microsoft.com/office/drawing/2014/main" id="{00000000-0008-0000-0A00-0000C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20</xdr:row>
      <xdr:rowOff>9525</xdr:rowOff>
    </xdr:from>
    <xdr:ext cx="323850" cy="180975"/>
    <xdr:sp macro="" textlink="">
      <xdr:nvSpPr>
        <xdr:cNvPr id="1740" name="Shape 1739">
          <a:extLst>
            <a:ext uri="{FF2B5EF4-FFF2-40B4-BE49-F238E27FC236}">
              <a16:creationId xmlns:a16="http://schemas.microsoft.com/office/drawing/2014/main" id="{00000000-0008-0000-0A00-0000C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21</xdr:row>
      <xdr:rowOff>9525</xdr:rowOff>
    </xdr:from>
    <xdr:ext cx="323850" cy="180975"/>
    <xdr:sp macro="" textlink="">
      <xdr:nvSpPr>
        <xdr:cNvPr id="1741" name="Shape 1740">
          <a:extLst>
            <a:ext uri="{FF2B5EF4-FFF2-40B4-BE49-F238E27FC236}">
              <a16:creationId xmlns:a16="http://schemas.microsoft.com/office/drawing/2014/main" id="{00000000-0008-0000-0A00-0000C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22</xdr:row>
      <xdr:rowOff>9525</xdr:rowOff>
    </xdr:from>
    <xdr:ext cx="323850" cy="180975"/>
    <xdr:sp macro="" textlink="">
      <xdr:nvSpPr>
        <xdr:cNvPr id="1742" name="Shape 1741">
          <a:extLst>
            <a:ext uri="{FF2B5EF4-FFF2-40B4-BE49-F238E27FC236}">
              <a16:creationId xmlns:a16="http://schemas.microsoft.com/office/drawing/2014/main" id="{00000000-0008-0000-0A00-0000C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23</xdr:row>
      <xdr:rowOff>9525</xdr:rowOff>
    </xdr:from>
    <xdr:ext cx="323850" cy="180975"/>
    <xdr:sp macro="" textlink="">
      <xdr:nvSpPr>
        <xdr:cNvPr id="1743" name="Shape 1742">
          <a:extLst>
            <a:ext uri="{FF2B5EF4-FFF2-40B4-BE49-F238E27FC236}">
              <a16:creationId xmlns:a16="http://schemas.microsoft.com/office/drawing/2014/main" id="{00000000-0008-0000-0A00-0000C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24</xdr:row>
      <xdr:rowOff>9525</xdr:rowOff>
    </xdr:from>
    <xdr:ext cx="323850" cy="180975"/>
    <xdr:sp macro="" textlink="">
      <xdr:nvSpPr>
        <xdr:cNvPr id="1744" name="Shape 1743">
          <a:extLst>
            <a:ext uri="{FF2B5EF4-FFF2-40B4-BE49-F238E27FC236}">
              <a16:creationId xmlns:a16="http://schemas.microsoft.com/office/drawing/2014/main" id="{00000000-0008-0000-0A00-0000D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25</xdr:row>
      <xdr:rowOff>9525</xdr:rowOff>
    </xdr:from>
    <xdr:ext cx="323850" cy="180975"/>
    <xdr:sp macro="" textlink="">
      <xdr:nvSpPr>
        <xdr:cNvPr id="1745" name="Shape 1744">
          <a:extLst>
            <a:ext uri="{FF2B5EF4-FFF2-40B4-BE49-F238E27FC236}">
              <a16:creationId xmlns:a16="http://schemas.microsoft.com/office/drawing/2014/main" id="{00000000-0008-0000-0A00-0000D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26</xdr:row>
      <xdr:rowOff>9525</xdr:rowOff>
    </xdr:from>
    <xdr:ext cx="323850" cy="180975"/>
    <xdr:sp macro="" textlink="">
      <xdr:nvSpPr>
        <xdr:cNvPr id="1746" name="Shape 1745">
          <a:extLst>
            <a:ext uri="{FF2B5EF4-FFF2-40B4-BE49-F238E27FC236}">
              <a16:creationId xmlns:a16="http://schemas.microsoft.com/office/drawing/2014/main" id="{00000000-0008-0000-0A00-0000D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27</xdr:row>
      <xdr:rowOff>9525</xdr:rowOff>
    </xdr:from>
    <xdr:ext cx="323850" cy="180975"/>
    <xdr:sp macro="" textlink="">
      <xdr:nvSpPr>
        <xdr:cNvPr id="1747" name="Shape 1746">
          <a:extLst>
            <a:ext uri="{FF2B5EF4-FFF2-40B4-BE49-F238E27FC236}">
              <a16:creationId xmlns:a16="http://schemas.microsoft.com/office/drawing/2014/main" id="{00000000-0008-0000-0A00-0000D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28</xdr:row>
      <xdr:rowOff>9525</xdr:rowOff>
    </xdr:from>
    <xdr:ext cx="323850" cy="180975"/>
    <xdr:sp macro="" textlink="">
      <xdr:nvSpPr>
        <xdr:cNvPr id="1748" name="Shape 1747">
          <a:extLst>
            <a:ext uri="{FF2B5EF4-FFF2-40B4-BE49-F238E27FC236}">
              <a16:creationId xmlns:a16="http://schemas.microsoft.com/office/drawing/2014/main" id="{00000000-0008-0000-0A00-0000D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29</xdr:row>
      <xdr:rowOff>9525</xdr:rowOff>
    </xdr:from>
    <xdr:ext cx="323850" cy="180975"/>
    <xdr:sp macro="" textlink="">
      <xdr:nvSpPr>
        <xdr:cNvPr id="1749" name="Shape 1748">
          <a:extLst>
            <a:ext uri="{FF2B5EF4-FFF2-40B4-BE49-F238E27FC236}">
              <a16:creationId xmlns:a16="http://schemas.microsoft.com/office/drawing/2014/main" id="{00000000-0008-0000-0A00-0000D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30</xdr:row>
      <xdr:rowOff>9525</xdr:rowOff>
    </xdr:from>
    <xdr:ext cx="323850" cy="180975"/>
    <xdr:sp macro="" textlink="">
      <xdr:nvSpPr>
        <xdr:cNvPr id="1750" name="Shape 1749">
          <a:extLst>
            <a:ext uri="{FF2B5EF4-FFF2-40B4-BE49-F238E27FC236}">
              <a16:creationId xmlns:a16="http://schemas.microsoft.com/office/drawing/2014/main" id="{00000000-0008-0000-0A00-0000D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31</xdr:row>
      <xdr:rowOff>9525</xdr:rowOff>
    </xdr:from>
    <xdr:ext cx="323850" cy="180975"/>
    <xdr:sp macro="" textlink="">
      <xdr:nvSpPr>
        <xdr:cNvPr id="1751" name="Shape 1750">
          <a:extLst>
            <a:ext uri="{FF2B5EF4-FFF2-40B4-BE49-F238E27FC236}">
              <a16:creationId xmlns:a16="http://schemas.microsoft.com/office/drawing/2014/main" id="{00000000-0008-0000-0A00-0000D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32</xdr:row>
      <xdr:rowOff>9525</xdr:rowOff>
    </xdr:from>
    <xdr:ext cx="323850" cy="180975"/>
    <xdr:sp macro="" textlink="">
      <xdr:nvSpPr>
        <xdr:cNvPr id="1752" name="Shape 1751">
          <a:extLst>
            <a:ext uri="{FF2B5EF4-FFF2-40B4-BE49-F238E27FC236}">
              <a16:creationId xmlns:a16="http://schemas.microsoft.com/office/drawing/2014/main" id="{00000000-0008-0000-0A00-0000D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33</xdr:row>
      <xdr:rowOff>9525</xdr:rowOff>
    </xdr:from>
    <xdr:ext cx="323850" cy="180975"/>
    <xdr:sp macro="" textlink="">
      <xdr:nvSpPr>
        <xdr:cNvPr id="1753" name="Shape 1752">
          <a:extLst>
            <a:ext uri="{FF2B5EF4-FFF2-40B4-BE49-F238E27FC236}">
              <a16:creationId xmlns:a16="http://schemas.microsoft.com/office/drawing/2014/main" id="{00000000-0008-0000-0A00-0000D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34</xdr:row>
      <xdr:rowOff>9525</xdr:rowOff>
    </xdr:from>
    <xdr:ext cx="323850" cy="180975"/>
    <xdr:sp macro="" textlink="">
      <xdr:nvSpPr>
        <xdr:cNvPr id="1754" name="Shape 1753">
          <a:extLst>
            <a:ext uri="{FF2B5EF4-FFF2-40B4-BE49-F238E27FC236}">
              <a16:creationId xmlns:a16="http://schemas.microsoft.com/office/drawing/2014/main" id="{00000000-0008-0000-0A00-0000D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35</xdr:row>
      <xdr:rowOff>9525</xdr:rowOff>
    </xdr:from>
    <xdr:ext cx="323850" cy="180975"/>
    <xdr:sp macro="" textlink="">
      <xdr:nvSpPr>
        <xdr:cNvPr id="1755" name="Shape 1754">
          <a:extLst>
            <a:ext uri="{FF2B5EF4-FFF2-40B4-BE49-F238E27FC236}">
              <a16:creationId xmlns:a16="http://schemas.microsoft.com/office/drawing/2014/main" id="{00000000-0008-0000-0A00-0000D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36</xdr:row>
      <xdr:rowOff>9525</xdr:rowOff>
    </xdr:from>
    <xdr:ext cx="323850" cy="180975"/>
    <xdr:sp macro="" textlink="">
      <xdr:nvSpPr>
        <xdr:cNvPr id="1756" name="Shape 1755">
          <a:extLst>
            <a:ext uri="{FF2B5EF4-FFF2-40B4-BE49-F238E27FC236}">
              <a16:creationId xmlns:a16="http://schemas.microsoft.com/office/drawing/2014/main" id="{00000000-0008-0000-0A00-0000D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37</xdr:row>
      <xdr:rowOff>9525</xdr:rowOff>
    </xdr:from>
    <xdr:ext cx="323850" cy="180975"/>
    <xdr:sp macro="" textlink="">
      <xdr:nvSpPr>
        <xdr:cNvPr id="1757" name="Shape 1756">
          <a:extLst>
            <a:ext uri="{FF2B5EF4-FFF2-40B4-BE49-F238E27FC236}">
              <a16:creationId xmlns:a16="http://schemas.microsoft.com/office/drawing/2014/main" id="{00000000-0008-0000-0A00-0000D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38</xdr:row>
      <xdr:rowOff>9525</xdr:rowOff>
    </xdr:from>
    <xdr:ext cx="323850" cy="180975"/>
    <xdr:sp macro="" textlink="">
      <xdr:nvSpPr>
        <xdr:cNvPr id="1758" name="Shape 1757">
          <a:extLst>
            <a:ext uri="{FF2B5EF4-FFF2-40B4-BE49-F238E27FC236}">
              <a16:creationId xmlns:a16="http://schemas.microsoft.com/office/drawing/2014/main" id="{00000000-0008-0000-0A00-0000D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39</xdr:row>
      <xdr:rowOff>9525</xdr:rowOff>
    </xdr:from>
    <xdr:ext cx="323850" cy="180975"/>
    <xdr:sp macro="" textlink="">
      <xdr:nvSpPr>
        <xdr:cNvPr id="1759" name="Shape 1758">
          <a:extLst>
            <a:ext uri="{FF2B5EF4-FFF2-40B4-BE49-F238E27FC236}">
              <a16:creationId xmlns:a16="http://schemas.microsoft.com/office/drawing/2014/main" id="{00000000-0008-0000-0A00-0000D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40</xdr:row>
      <xdr:rowOff>9525</xdr:rowOff>
    </xdr:from>
    <xdr:ext cx="323850" cy="180975"/>
    <xdr:sp macro="" textlink="">
      <xdr:nvSpPr>
        <xdr:cNvPr id="1760" name="Shape 1759">
          <a:extLst>
            <a:ext uri="{FF2B5EF4-FFF2-40B4-BE49-F238E27FC236}">
              <a16:creationId xmlns:a16="http://schemas.microsoft.com/office/drawing/2014/main" id="{00000000-0008-0000-0A00-0000E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41</xdr:row>
      <xdr:rowOff>9525</xdr:rowOff>
    </xdr:from>
    <xdr:ext cx="323850" cy="180975"/>
    <xdr:sp macro="" textlink="">
      <xdr:nvSpPr>
        <xdr:cNvPr id="1761" name="Shape 1760">
          <a:extLst>
            <a:ext uri="{FF2B5EF4-FFF2-40B4-BE49-F238E27FC236}">
              <a16:creationId xmlns:a16="http://schemas.microsoft.com/office/drawing/2014/main" id="{00000000-0008-0000-0A00-0000E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</xdr:row>
      <xdr:rowOff>9525</xdr:rowOff>
    </xdr:from>
    <xdr:ext cx="323850" cy="180975"/>
    <xdr:sp macro="" textlink="">
      <xdr:nvSpPr>
        <xdr:cNvPr id="1762" name="Shape 1761">
          <a:extLst>
            <a:ext uri="{FF2B5EF4-FFF2-40B4-BE49-F238E27FC236}">
              <a16:creationId xmlns:a16="http://schemas.microsoft.com/office/drawing/2014/main" id="{00000000-0008-0000-0A00-0000E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</xdr:row>
      <xdr:rowOff>9525</xdr:rowOff>
    </xdr:from>
    <xdr:ext cx="323850" cy="180975"/>
    <xdr:sp macro="" textlink="">
      <xdr:nvSpPr>
        <xdr:cNvPr id="1763" name="Shape 1762">
          <a:extLst>
            <a:ext uri="{FF2B5EF4-FFF2-40B4-BE49-F238E27FC236}">
              <a16:creationId xmlns:a16="http://schemas.microsoft.com/office/drawing/2014/main" id="{00000000-0008-0000-0A00-0000E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4</xdr:row>
      <xdr:rowOff>9525</xdr:rowOff>
    </xdr:from>
    <xdr:ext cx="323850" cy="180975"/>
    <xdr:sp macro="" textlink="">
      <xdr:nvSpPr>
        <xdr:cNvPr id="1764" name="Shape 1763">
          <a:extLst>
            <a:ext uri="{FF2B5EF4-FFF2-40B4-BE49-F238E27FC236}">
              <a16:creationId xmlns:a16="http://schemas.microsoft.com/office/drawing/2014/main" id="{00000000-0008-0000-0A00-0000E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5</xdr:row>
      <xdr:rowOff>9525</xdr:rowOff>
    </xdr:from>
    <xdr:ext cx="323850" cy="180975"/>
    <xdr:sp macro="" textlink="">
      <xdr:nvSpPr>
        <xdr:cNvPr id="1765" name="Shape 1764">
          <a:extLst>
            <a:ext uri="{FF2B5EF4-FFF2-40B4-BE49-F238E27FC236}">
              <a16:creationId xmlns:a16="http://schemas.microsoft.com/office/drawing/2014/main" id="{00000000-0008-0000-0A00-0000E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6</xdr:row>
      <xdr:rowOff>9525</xdr:rowOff>
    </xdr:from>
    <xdr:ext cx="323850" cy="180975"/>
    <xdr:sp macro="" textlink="">
      <xdr:nvSpPr>
        <xdr:cNvPr id="1766" name="Shape 1765">
          <a:extLst>
            <a:ext uri="{FF2B5EF4-FFF2-40B4-BE49-F238E27FC236}">
              <a16:creationId xmlns:a16="http://schemas.microsoft.com/office/drawing/2014/main" id="{00000000-0008-0000-0A00-0000E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7</xdr:row>
      <xdr:rowOff>9525</xdr:rowOff>
    </xdr:from>
    <xdr:ext cx="323850" cy="180975"/>
    <xdr:sp macro="" textlink="">
      <xdr:nvSpPr>
        <xdr:cNvPr id="1767" name="Shape 1766">
          <a:extLst>
            <a:ext uri="{FF2B5EF4-FFF2-40B4-BE49-F238E27FC236}">
              <a16:creationId xmlns:a16="http://schemas.microsoft.com/office/drawing/2014/main" id="{00000000-0008-0000-0A00-0000E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8</xdr:row>
      <xdr:rowOff>9525</xdr:rowOff>
    </xdr:from>
    <xdr:ext cx="323850" cy="180975"/>
    <xdr:sp macro="" textlink="">
      <xdr:nvSpPr>
        <xdr:cNvPr id="1768" name="Shape 1767">
          <a:extLst>
            <a:ext uri="{FF2B5EF4-FFF2-40B4-BE49-F238E27FC236}">
              <a16:creationId xmlns:a16="http://schemas.microsoft.com/office/drawing/2014/main" id="{00000000-0008-0000-0A00-0000E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9</xdr:row>
      <xdr:rowOff>9525</xdr:rowOff>
    </xdr:from>
    <xdr:ext cx="323850" cy="180975"/>
    <xdr:sp macro="" textlink="">
      <xdr:nvSpPr>
        <xdr:cNvPr id="1769" name="Shape 1768">
          <a:extLst>
            <a:ext uri="{FF2B5EF4-FFF2-40B4-BE49-F238E27FC236}">
              <a16:creationId xmlns:a16="http://schemas.microsoft.com/office/drawing/2014/main" id="{00000000-0008-0000-0A00-0000E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10</xdr:row>
      <xdr:rowOff>9525</xdr:rowOff>
    </xdr:from>
    <xdr:ext cx="323850" cy="180975"/>
    <xdr:sp macro="" textlink="">
      <xdr:nvSpPr>
        <xdr:cNvPr id="1770" name="Shape 1769">
          <a:extLst>
            <a:ext uri="{FF2B5EF4-FFF2-40B4-BE49-F238E27FC236}">
              <a16:creationId xmlns:a16="http://schemas.microsoft.com/office/drawing/2014/main" id="{00000000-0008-0000-0A00-0000E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11</xdr:row>
      <xdr:rowOff>9525</xdr:rowOff>
    </xdr:from>
    <xdr:ext cx="323850" cy="180975"/>
    <xdr:sp macro="" textlink="">
      <xdr:nvSpPr>
        <xdr:cNvPr id="1771" name="Shape 1770">
          <a:extLst>
            <a:ext uri="{FF2B5EF4-FFF2-40B4-BE49-F238E27FC236}">
              <a16:creationId xmlns:a16="http://schemas.microsoft.com/office/drawing/2014/main" id="{00000000-0008-0000-0A00-0000E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12</xdr:row>
      <xdr:rowOff>9525</xdr:rowOff>
    </xdr:from>
    <xdr:ext cx="323850" cy="180975"/>
    <xdr:sp macro="" textlink="">
      <xdr:nvSpPr>
        <xdr:cNvPr id="1772" name="Shape 1771">
          <a:extLst>
            <a:ext uri="{FF2B5EF4-FFF2-40B4-BE49-F238E27FC236}">
              <a16:creationId xmlns:a16="http://schemas.microsoft.com/office/drawing/2014/main" id="{00000000-0008-0000-0A00-0000E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13</xdr:row>
      <xdr:rowOff>9525</xdr:rowOff>
    </xdr:from>
    <xdr:ext cx="323850" cy="180975"/>
    <xdr:sp macro="" textlink="">
      <xdr:nvSpPr>
        <xdr:cNvPr id="1773" name="Shape 1772">
          <a:extLst>
            <a:ext uri="{FF2B5EF4-FFF2-40B4-BE49-F238E27FC236}">
              <a16:creationId xmlns:a16="http://schemas.microsoft.com/office/drawing/2014/main" id="{00000000-0008-0000-0A00-0000E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14</xdr:row>
      <xdr:rowOff>9525</xdr:rowOff>
    </xdr:from>
    <xdr:ext cx="323850" cy="180975"/>
    <xdr:sp macro="" textlink="">
      <xdr:nvSpPr>
        <xdr:cNvPr id="1774" name="Shape 1773">
          <a:extLst>
            <a:ext uri="{FF2B5EF4-FFF2-40B4-BE49-F238E27FC236}">
              <a16:creationId xmlns:a16="http://schemas.microsoft.com/office/drawing/2014/main" id="{00000000-0008-0000-0A00-0000E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15</xdr:row>
      <xdr:rowOff>9525</xdr:rowOff>
    </xdr:from>
    <xdr:ext cx="323850" cy="180975"/>
    <xdr:sp macro="" textlink="">
      <xdr:nvSpPr>
        <xdr:cNvPr id="1775" name="Shape 1774">
          <a:extLst>
            <a:ext uri="{FF2B5EF4-FFF2-40B4-BE49-F238E27FC236}">
              <a16:creationId xmlns:a16="http://schemas.microsoft.com/office/drawing/2014/main" id="{00000000-0008-0000-0A00-0000E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16</xdr:row>
      <xdr:rowOff>9525</xdr:rowOff>
    </xdr:from>
    <xdr:ext cx="323850" cy="180975"/>
    <xdr:sp macro="" textlink="">
      <xdr:nvSpPr>
        <xdr:cNvPr id="1776" name="Shape 1775">
          <a:extLst>
            <a:ext uri="{FF2B5EF4-FFF2-40B4-BE49-F238E27FC236}">
              <a16:creationId xmlns:a16="http://schemas.microsoft.com/office/drawing/2014/main" id="{00000000-0008-0000-0A00-0000F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17</xdr:row>
      <xdr:rowOff>9525</xdr:rowOff>
    </xdr:from>
    <xdr:ext cx="323850" cy="180975"/>
    <xdr:sp macro="" textlink="">
      <xdr:nvSpPr>
        <xdr:cNvPr id="1777" name="Shape 1776">
          <a:extLst>
            <a:ext uri="{FF2B5EF4-FFF2-40B4-BE49-F238E27FC236}">
              <a16:creationId xmlns:a16="http://schemas.microsoft.com/office/drawing/2014/main" id="{00000000-0008-0000-0A00-0000F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18</xdr:row>
      <xdr:rowOff>9525</xdr:rowOff>
    </xdr:from>
    <xdr:ext cx="323850" cy="180975"/>
    <xdr:sp macro="" textlink="">
      <xdr:nvSpPr>
        <xdr:cNvPr id="1778" name="Shape 1777">
          <a:extLst>
            <a:ext uri="{FF2B5EF4-FFF2-40B4-BE49-F238E27FC236}">
              <a16:creationId xmlns:a16="http://schemas.microsoft.com/office/drawing/2014/main" id="{00000000-0008-0000-0A00-0000F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19</xdr:row>
      <xdr:rowOff>9525</xdr:rowOff>
    </xdr:from>
    <xdr:ext cx="323850" cy="180975"/>
    <xdr:sp macro="" textlink="">
      <xdr:nvSpPr>
        <xdr:cNvPr id="1779" name="Shape 1778">
          <a:extLst>
            <a:ext uri="{FF2B5EF4-FFF2-40B4-BE49-F238E27FC236}">
              <a16:creationId xmlns:a16="http://schemas.microsoft.com/office/drawing/2014/main" id="{00000000-0008-0000-0A00-0000F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20</xdr:row>
      <xdr:rowOff>9525</xdr:rowOff>
    </xdr:from>
    <xdr:ext cx="323850" cy="180975"/>
    <xdr:sp macro="" textlink="">
      <xdr:nvSpPr>
        <xdr:cNvPr id="1780" name="Shape 1779">
          <a:extLst>
            <a:ext uri="{FF2B5EF4-FFF2-40B4-BE49-F238E27FC236}">
              <a16:creationId xmlns:a16="http://schemas.microsoft.com/office/drawing/2014/main" id="{00000000-0008-0000-0A00-0000F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21</xdr:row>
      <xdr:rowOff>9525</xdr:rowOff>
    </xdr:from>
    <xdr:ext cx="323850" cy="180975"/>
    <xdr:sp macro="" textlink="">
      <xdr:nvSpPr>
        <xdr:cNvPr id="1781" name="Shape 1780">
          <a:extLst>
            <a:ext uri="{FF2B5EF4-FFF2-40B4-BE49-F238E27FC236}">
              <a16:creationId xmlns:a16="http://schemas.microsoft.com/office/drawing/2014/main" id="{00000000-0008-0000-0A00-0000F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22</xdr:row>
      <xdr:rowOff>9525</xdr:rowOff>
    </xdr:from>
    <xdr:ext cx="323850" cy="180975"/>
    <xdr:sp macro="" textlink="">
      <xdr:nvSpPr>
        <xdr:cNvPr id="1782" name="Shape 1781">
          <a:extLst>
            <a:ext uri="{FF2B5EF4-FFF2-40B4-BE49-F238E27FC236}">
              <a16:creationId xmlns:a16="http://schemas.microsoft.com/office/drawing/2014/main" id="{00000000-0008-0000-0A00-0000F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23</xdr:row>
      <xdr:rowOff>9525</xdr:rowOff>
    </xdr:from>
    <xdr:ext cx="323850" cy="180975"/>
    <xdr:sp macro="" textlink="">
      <xdr:nvSpPr>
        <xdr:cNvPr id="1783" name="Shape 1782">
          <a:extLst>
            <a:ext uri="{FF2B5EF4-FFF2-40B4-BE49-F238E27FC236}">
              <a16:creationId xmlns:a16="http://schemas.microsoft.com/office/drawing/2014/main" id="{00000000-0008-0000-0A00-0000F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24</xdr:row>
      <xdr:rowOff>9525</xdr:rowOff>
    </xdr:from>
    <xdr:ext cx="323850" cy="180975"/>
    <xdr:sp macro="" textlink="">
      <xdr:nvSpPr>
        <xdr:cNvPr id="1784" name="Shape 1783">
          <a:extLst>
            <a:ext uri="{FF2B5EF4-FFF2-40B4-BE49-F238E27FC236}">
              <a16:creationId xmlns:a16="http://schemas.microsoft.com/office/drawing/2014/main" id="{00000000-0008-0000-0A00-0000F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25</xdr:row>
      <xdr:rowOff>9525</xdr:rowOff>
    </xdr:from>
    <xdr:ext cx="323850" cy="180975"/>
    <xdr:sp macro="" textlink="">
      <xdr:nvSpPr>
        <xdr:cNvPr id="1785" name="Shape 1784">
          <a:extLst>
            <a:ext uri="{FF2B5EF4-FFF2-40B4-BE49-F238E27FC236}">
              <a16:creationId xmlns:a16="http://schemas.microsoft.com/office/drawing/2014/main" id="{00000000-0008-0000-0A00-0000F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26</xdr:row>
      <xdr:rowOff>9525</xdr:rowOff>
    </xdr:from>
    <xdr:ext cx="323850" cy="180975"/>
    <xdr:sp macro="" textlink="">
      <xdr:nvSpPr>
        <xdr:cNvPr id="1786" name="Shape 1785">
          <a:extLst>
            <a:ext uri="{FF2B5EF4-FFF2-40B4-BE49-F238E27FC236}">
              <a16:creationId xmlns:a16="http://schemas.microsoft.com/office/drawing/2014/main" id="{00000000-0008-0000-0A00-0000F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27</xdr:row>
      <xdr:rowOff>9525</xdr:rowOff>
    </xdr:from>
    <xdr:ext cx="323850" cy="180975"/>
    <xdr:sp macro="" textlink="">
      <xdr:nvSpPr>
        <xdr:cNvPr id="1787" name="Shape 1786">
          <a:extLst>
            <a:ext uri="{FF2B5EF4-FFF2-40B4-BE49-F238E27FC236}">
              <a16:creationId xmlns:a16="http://schemas.microsoft.com/office/drawing/2014/main" id="{00000000-0008-0000-0A00-0000F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28</xdr:row>
      <xdr:rowOff>9525</xdr:rowOff>
    </xdr:from>
    <xdr:ext cx="323850" cy="180975"/>
    <xdr:sp macro="" textlink="">
      <xdr:nvSpPr>
        <xdr:cNvPr id="1788" name="Shape 1787">
          <a:extLst>
            <a:ext uri="{FF2B5EF4-FFF2-40B4-BE49-F238E27FC236}">
              <a16:creationId xmlns:a16="http://schemas.microsoft.com/office/drawing/2014/main" id="{00000000-0008-0000-0A00-0000F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29</xdr:row>
      <xdr:rowOff>9525</xdr:rowOff>
    </xdr:from>
    <xdr:ext cx="323850" cy="180975"/>
    <xdr:sp macro="" textlink="">
      <xdr:nvSpPr>
        <xdr:cNvPr id="1789" name="Shape 1788">
          <a:extLst>
            <a:ext uri="{FF2B5EF4-FFF2-40B4-BE49-F238E27FC236}">
              <a16:creationId xmlns:a16="http://schemas.microsoft.com/office/drawing/2014/main" id="{00000000-0008-0000-0A00-0000F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30</xdr:row>
      <xdr:rowOff>9525</xdr:rowOff>
    </xdr:from>
    <xdr:ext cx="323850" cy="180975"/>
    <xdr:sp macro="" textlink="">
      <xdr:nvSpPr>
        <xdr:cNvPr id="1790" name="Shape 1789">
          <a:extLst>
            <a:ext uri="{FF2B5EF4-FFF2-40B4-BE49-F238E27FC236}">
              <a16:creationId xmlns:a16="http://schemas.microsoft.com/office/drawing/2014/main" id="{00000000-0008-0000-0A00-0000F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31</xdr:row>
      <xdr:rowOff>9525</xdr:rowOff>
    </xdr:from>
    <xdr:ext cx="323850" cy="180975"/>
    <xdr:sp macro="" textlink="">
      <xdr:nvSpPr>
        <xdr:cNvPr id="1791" name="Shape 1790">
          <a:extLst>
            <a:ext uri="{FF2B5EF4-FFF2-40B4-BE49-F238E27FC236}">
              <a16:creationId xmlns:a16="http://schemas.microsoft.com/office/drawing/2014/main" id="{00000000-0008-0000-0A00-0000F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32</xdr:row>
      <xdr:rowOff>9525</xdr:rowOff>
    </xdr:from>
    <xdr:ext cx="323850" cy="180975"/>
    <xdr:sp macro="" textlink="">
      <xdr:nvSpPr>
        <xdr:cNvPr id="1792" name="Shape 1791">
          <a:extLst>
            <a:ext uri="{FF2B5EF4-FFF2-40B4-BE49-F238E27FC236}">
              <a16:creationId xmlns:a16="http://schemas.microsoft.com/office/drawing/2014/main" id="{00000000-0008-0000-0A00-000000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33</xdr:row>
      <xdr:rowOff>9525</xdr:rowOff>
    </xdr:from>
    <xdr:ext cx="323850" cy="180975"/>
    <xdr:sp macro="" textlink="">
      <xdr:nvSpPr>
        <xdr:cNvPr id="1793" name="Shape 1792">
          <a:extLst>
            <a:ext uri="{FF2B5EF4-FFF2-40B4-BE49-F238E27FC236}">
              <a16:creationId xmlns:a16="http://schemas.microsoft.com/office/drawing/2014/main" id="{00000000-0008-0000-0A00-000001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34</xdr:row>
      <xdr:rowOff>9525</xdr:rowOff>
    </xdr:from>
    <xdr:ext cx="323850" cy="180975"/>
    <xdr:sp macro="" textlink="">
      <xdr:nvSpPr>
        <xdr:cNvPr id="1794" name="Shape 1793">
          <a:extLst>
            <a:ext uri="{FF2B5EF4-FFF2-40B4-BE49-F238E27FC236}">
              <a16:creationId xmlns:a16="http://schemas.microsoft.com/office/drawing/2014/main" id="{00000000-0008-0000-0A00-000002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35</xdr:row>
      <xdr:rowOff>9525</xdr:rowOff>
    </xdr:from>
    <xdr:ext cx="323850" cy="180975"/>
    <xdr:sp macro="" textlink="">
      <xdr:nvSpPr>
        <xdr:cNvPr id="1795" name="Shape 1794">
          <a:extLst>
            <a:ext uri="{FF2B5EF4-FFF2-40B4-BE49-F238E27FC236}">
              <a16:creationId xmlns:a16="http://schemas.microsoft.com/office/drawing/2014/main" id="{00000000-0008-0000-0A00-000003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36</xdr:row>
      <xdr:rowOff>9525</xdr:rowOff>
    </xdr:from>
    <xdr:ext cx="323850" cy="180975"/>
    <xdr:sp macro="" textlink="">
      <xdr:nvSpPr>
        <xdr:cNvPr id="1796" name="Shape 1795">
          <a:extLst>
            <a:ext uri="{FF2B5EF4-FFF2-40B4-BE49-F238E27FC236}">
              <a16:creationId xmlns:a16="http://schemas.microsoft.com/office/drawing/2014/main" id="{00000000-0008-0000-0A00-000004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37</xdr:row>
      <xdr:rowOff>9525</xdr:rowOff>
    </xdr:from>
    <xdr:ext cx="323850" cy="180975"/>
    <xdr:sp macro="" textlink="">
      <xdr:nvSpPr>
        <xdr:cNvPr id="1797" name="Shape 1796">
          <a:extLst>
            <a:ext uri="{FF2B5EF4-FFF2-40B4-BE49-F238E27FC236}">
              <a16:creationId xmlns:a16="http://schemas.microsoft.com/office/drawing/2014/main" id="{00000000-0008-0000-0A00-000005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38</xdr:row>
      <xdr:rowOff>9525</xdr:rowOff>
    </xdr:from>
    <xdr:ext cx="323850" cy="180975"/>
    <xdr:sp macro="" textlink="">
      <xdr:nvSpPr>
        <xdr:cNvPr id="1798" name="Shape 1797">
          <a:extLst>
            <a:ext uri="{FF2B5EF4-FFF2-40B4-BE49-F238E27FC236}">
              <a16:creationId xmlns:a16="http://schemas.microsoft.com/office/drawing/2014/main" id="{00000000-0008-0000-0A00-000006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39</xdr:row>
      <xdr:rowOff>9525</xdr:rowOff>
    </xdr:from>
    <xdr:ext cx="323850" cy="180975"/>
    <xdr:sp macro="" textlink="">
      <xdr:nvSpPr>
        <xdr:cNvPr id="1799" name="Shape 1798">
          <a:extLst>
            <a:ext uri="{FF2B5EF4-FFF2-40B4-BE49-F238E27FC236}">
              <a16:creationId xmlns:a16="http://schemas.microsoft.com/office/drawing/2014/main" id="{00000000-0008-0000-0A00-000007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40</xdr:row>
      <xdr:rowOff>9525</xdr:rowOff>
    </xdr:from>
    <xdr:ext cx="323850" cy="180975"/>
    <xdr:sp macro="" textlink="">
      <xdr:nvSpPr>
        <xdr:cNvPr id="1800" name="Shape 1799">
          <a:extLst>
            <a:ext uri="{FF2B5EF4-FFF2-40B4-BE49-F238E27FC236}">
              <a16:creationId xmlns:a16="http://schemas.microsoft.com/office/drawing/2014/main" id="{00000000-0008-0000-0A00-000008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41</xdr:row>
      <xdr:rowOff>9525</xdr:rowOff>
    </xdr:from>
    <xdr:ext cx="323850" cy="180975"/>
    <xdr:sp macro="" textlink="">
      <xdr:nvSpPr>
        <xdr:cNvPr id="1801" name="Shape 1800">
          <a:extLst>
            <a:ext uri="{FF2B5EF4-FFF2-40B4-BE49-F238E27FC236}">
              <a16:creationId xmlns:a16="http://schemas.microsoft.com/office/drawing/2014/main" id="{00000000-0008-0000-0A00-000009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9525</xdr:rowOff>
    </xdr:from>
    <xdr:ext cx="323850" cy="180975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</xdr:row>
      <xdr:rowOff>9525</xdr:rowOff>
    </xdr:from>
    <xdr:ext cx="323850" cy="180975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4</xdr:row>
      <xdr:rowOff>9525</xdr:rowOff>
    </xdr:from>
    <xdr:ext cx="323850" cy="1809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5</xdr:row>
      <xdr:rowOff>9525</xdr:rowOff>
    </xdr:from>
    <xdr:ext cx="323850" cy="1809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6</xdr:row>
      <xdr:rowOff>9525</xdr:rowOff>
    </xdr:from>
    <xdr:ext cx="323850" cy="180975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7</xdr:row>
      <xdr:rowOff>9525</xdr:rowOff>
    </xdr:from>
    <xdr:ext cx="323850" cy="180975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8</xdr:row>
      <xdr:rowOff>9525</xdr:rowOff>
    </xdr:from>
    <xdr:ext cx="323850" cy="180975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9</xdr:row>
      <xdr:rowOff>9525</xdr:rowOff>
    </xdr:from>
    <xdr:ext cx="323850" cy="18097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10</xdr:row>
      <xdr:rowOff>9525</xdr:rowOff>
    </xdr:from>
    <xdr:ext cx="323850" cy="180975"/>
    <xdr:sp macro="" textlink="">
      <xdr:nvSpPr>
        <xdr:cNvPr id="10" name="Shap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11</xdr:row>
      <xdr:rowOff>9525</xdr:rowOff>
    </xdr:from>
    <xdr:ext cx="323850" cy="180975"/>
    <xdr:sp macro="" textlink="">
      <xdr:nvSpPr>
        <xdr:cNvPr id="11" name="Shap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12</xdr:row>
      <xdr:rowOff>9525</xdr:rowOff>
    </xdr:from>
    <xdr:ext cx="323850" cy="180975"/>
    <xdr:sp macro="" textlink="">
      <xdr:nvSpPr>
        <xdr:cNvPr id="12" name="Shap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13</xdr:row>
      <xdr:rowOff>9525</xdr:rowOff>
    </xdr:from>
    <xdr:ext cx="323850" cy="180975"/>
    <xdr:sp macro="" textlink="">
      <xdr:nvSpPr>
        <xdr:cNvPr id="13" name="Shap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14</xdr:row>
      <xdr:rowOff>9525</xdr:rowOff>
    </xdr:from>
    <xdr:ext cx="323850" cy="180975"/>
    <xdr:sp macro="" textlink="">
      <xdr:nvSpPr>
        <xdr:cNvPr id="14" name="Shap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15</xdr:row>
      <xdr:rowOff>9525</xdr:rowOff>
    </xdr:from>
    <xdr:ext cx="323850" cy="180975"/>
    <xdr:sp macro="" textlink="">
      <xdr:nvSpPr>
        <xdr:cNvPr id="15" name="Shape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16</xdr:row>
      <xdr:rowOff>9525</xdr:rowOff>
    </xdr:from>
    <xdr:ext cx="323850" cy="180975"/>
    <xdr:sp macro="" textlink="">
      <xdr:nvSpPr>
        <xdr:cNvPr id="16" name="Shap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17</xdr:row>
      <xdr:rowOff>9525</xdr:rowOff>
    </xdr:from>
    <xdr:ext cx="323850" cy="180975"/>
    <xdr:sp macro="" textlink="">
      <xdr:nvSpPr>
        <xdr:cNvPr id="17" name="Shap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18</xdr:row>
      <xdr:rowOff>9525</xdr:rowOff>
    </xdr:from>
    <xdr:ext cx="323850" cy="180975"/>
    <xdr:sp macro="" textlink="">
      <xdr:nvSpPr>
        <xdr:cNvPr id="18" name="Shap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19</xdr:row>
      <xdr:rowOff>9525</xdr:rowOff>
    </xdr:from>
    <xdr:ext cx="323850" cy="180975"/>
    <xdr:sp macro="" textlink="">
      <xdr:nvSpPr>
        <xdr:cNvPr id="19" name="Shap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20</xdr:row>
      <xdr:rowOff>9525</xdr:rowOff>
    </xdr:from>
    <xdr:ext cx="323850" cy="180975"/>
    <xdr:sp macro="" textlink="">
      <xdr:nvSpPr>
        <xdr:cNvPr id="20" name="Shape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21</xdr:row>
      <xdr:rowOff>9525</xdr:rowOff>
    </xdr:from>
    <xdr:ext cx="323850" cy="180975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22</xdr:row>
      <xdr:rowOff>9525</xdr:rowOff>
    </xdr:from>
    <xdr:ext cx="323850" cy="180975"/>
    <xdr:sp macro="" textlink="">
      <xdr:nvSpPr>
        <xdr:cNvPr id="22" name="Shape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23</xdr:row>
      <xdr:rowOff>9525</xdr:rowOff>
    </xdr:from>
    <xdr:ext cx="323850" cy="180975"/>
    <xdr:sp macro="" textlink="">
      <xdr:nvSpPr>
        <xdr:cNvPr id="23" name="Shap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24</xdr:row>
      <xdr:rowOff>9525</xdr:rowOff>
    </xdr:from>
    <xdr:ext cx="323850" cy="180975"/>
    <xdr:sp macro="" textlink="">
      <xdr:nvSpPr>
        <xdr:cNvPr id="24" name="Shap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25</xdr:row>
      <xdr:rowOff>9525</xdr:rowOff>
    </xdr:from>
    <xdr:ext cx="323850" cy="180975"/>
    <xdr:sp macro="" textlink="">
      <xdr:nvSpPr>
        <xdr:cNvPr id="25" name="Shap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26</xdr:row>
      <xdr:rowOff>9525</xdr:rowOff>
    </xdr:from>
    <xdr:ext cx="323850" cy="180975"/>
    <xdr:sp macro="" textlink="">
      <xdr:nvSpPr>
        <xdr:cNvPr id="26" name="Shape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27</xdr:row>
      <xdr:rowOff>9525</xdr:rowOff>
    </xdr:from>
    <xdr:ext cx="323850" cy="180975"/>
    <xdr:sp macro="" textlink="">
      <xdr:nvSpPr>
        <xdr:cNvPr id="27" name="Shap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28</xdr:row>
      <xdr:rowOff>9525</xdr:rowOff>
    </xdr:from>
    <xdr:ext cx="323850" cy="180975"/>
    <xdr:sp macro="" textlink="">
      <xdr:nvSpPr>
        <xdr:cNvPr id="28" name="Shape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29</xdr:row>
      <xdr:rowOff>9525</xdr:rowOff>
    </xdr:from>
    <xdr:ext cx="323850" cy="180975"/>
    <xdr:sp macro="" textlink="">
      <xdr:nvSpPr>
        <xdr:cNvPr id="29" name="Shape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30</xdr:row>
      <xdr:rowOff>9525</xdr:rowOff>
    </xdr:from>
    <xdr:ext cx="323850" cy="180975"/>
    <xdr:sp macro="" textlink="">
      <xdr:nvSpPr>
        <xdr:cNvPr id="30" name="Shape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</xdr:col>
      <xdr:colOff>0</xdr:colOff>
      <xdr:row>31</xdr:row>
      <xdr:rowOff>9525</xdr:rowOff>
    </xdr:from>
    <xdr:ext cx="323850" cy="180975"/>
    <xdr:sp macro="" textlink="">
      <xdr:nvSpPr>
        <xdr:cNvPr id="31" name="Shape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32</xdr:row>
      <xdr:rowOff>9525</xdr:rowOff>
    </xdr:from>
    <xdr:ext cx="323850" cy="180975"/>
    <xdr:sp macro="" textlink="">
      <xdr:nvSpPr>
        <xdr:cNvPr id="32" name="Shape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33</xdr:row>
      <xdr:rowOff>9525</xdr:rowOff>
    </xdr:from>
    <xdr:ext cx="323850" cy="180975"/>
    <xdr:sp macro="" textlink="">
      <xdr:nvSpPr>
        <xdr:cNvPr id="33" name="Shape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34</xdr:row>
      <xdr:rowOff>9525</xdr:rowOff>
    </xdr:from>
    <xdr:ext cx="323850" cy="180975"/>
    <xdr:sp macro="" textlink="">
      <xdr:nvSpPr>
        <xdr:cNvPr id="34" name="Shape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35</xdr:row>
      <xdr:rowOff>9525</xdr:rowOff>
    </xdr:from>
    <xdr:ext cx="323850" cy="180975"/>
    <xdr:sp macro="" textlink="">
      <xdr:nvSpPr>
        <xdr:cNvPr id="35" name="Shape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36</xdr:row>
      <xdr:rowOff>9525</xdr:rowOff>
    </xdr:from>
    <xdr:ext cx="323850" cy="180975"/>
    <xdr:sp macro="" textlink="">
      <xdr:nvSpPr>
        <xdr:cNvPr id="36" name="Shape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37</xdr:row>
      <xdr:rowOff>9525</xdr:rowOff>
    </xdr:from>
    <xdr:ext cx="323850" cy="180975"/>
    <xdr:sp macro="" textlink="">
      <xdr:nvSpPr>
        <xdr:cNvPr id="37" name="Shape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38</xdr:row>
      <xdr:rowOff>9525</xdr:rowOff>
    </xdr:from>
    <xdr:ext cx="323850" cy="180975"/>
    <xdr:sp macro="" textlink="">
      <xdr:nvSpPr>
        <xdr:cNvPr id="38" name="Shape 37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39</xdr:row>
      <xdr:rowOff>9525</xdr:rowOff>
    </xdr:from>
    <xdr:ext cx="323850" cy="180975"/>
    <xdr:sp macro="" textlink="">
      <xdr:nvSpPr>
        <xdr:cNvPr id="39" name="Shape 38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40</xdr:row>
      <xdr:rowOff>9525</xdr:rowOff>
    </xdr:from>
    <xdr:ext cx="323850" cy="180975"/>
    <xdr:sp macro="" textlink="">
      <xdr:nvSpPr>
        <xdr:cNvPr id="40" name="Shape 3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</xdr:col>
      <xdr:colOff>0</xdr:colOff>
      <xdr:row>41</xdr:row>
      <xdr:rowOff>9525</xdr:rowOff>
    </xdr:from>
    <xdr:ext cx="323850" cy="180975"/>
    <xdr:sp macro="" textlink="">
      <xdr:nvSpPr>
        <xdr:cNvPr id="41" name="Shape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</xdr:row>
      <xdr:rowOff>9525</xdr:rowOff>
    </xdr:from>
    <xdr:ext cx="323850" cy="180975"/>
    <xdr:sp macro="" textlink="">
      <xdr:nvSpPr>
        <xdr:cNvPr id="42" name="Shape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</xdr:row>
      <xdr:rowOff>9525</xdr:rowOff>
    </xdr:from>
    <xdr:ext cx="323850" cy="180975"/>
    <xdr:sp macro="" textlink="">
      <xdr:nvSpPr>
        <xdr:cNvPr id="43" name="Shape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4</xdr:row>
      <xdr:rowOff>9525</xdr:rowOff>
    </xdr:from>
    <xdr:ext cx="323850" cy="180975"/>
    <xdr:sp macro="" textlink="">
      <xdr:nvSpPr>
        <xdr:cNvPr id="44" name="Shape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5</xdr:row>
      <xdr:rowOff>9525</xdr:rowOff>
    </xdr:from>
    <xdr:ext cx="323850" cy="180975"/>
    <xdr:sp macro="" textlink="">
      <xdr:nvSpPr>
        <xdr:cNvPr id="45" name="Shape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6</xdr:row>
      <xdr:rowOff>9525</xdr:rowOff>
    </xdr:from>
    <xdr:ext cx="323850" cy="180975"/>
    <xdr:sp macro="" textlink="">
      <xdr:nvSpPr>
        <xdr:cNvPr id="46" name="Shape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7</xdr:row>
      <xdr:rowOff>9525</xdr:rowOff>
    </xdr:from>
    <xdr:ext cx="323850" cy="180975"/>
    <xdr:sp macro="" textlink="">
      <xdr:nvSpPr>
        <xdr:cNvPr id="47" name="Shape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8</xdr:row>
      <xdr:rowOff>9525</xdr:rowOff>
    </xdr:from>
    <xdr:ext cx="323850" cy="180975"/>
    <xdr:sp macro="" textlink="">
      <xdr:nvSpPr>
        <xdr:cNvPr id="48" name="Shape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9</xdr:row>
      <xdr:rowOff>9525</xdr:rowOff>
    </xdr:from>
    <xdr:ext cx="323850" cy="180975"/>
    <xdr:sp macro="" textlink="">
      <xdr:nvSpPr>
        <xdr:cNvPr id="49" name="Shape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10</xdr:row>
      <xdr:rowOff>9525</xdr:rowOff>
    </xdr:from>
    <xdr:ext cx="323850" cy="180975"/>
    <xdr:sp macro="" textlink="">
      <xdr:nvSpPr>
        <xdr:cNvPr id="50" name="Shape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11</xdr:row>
      <xdr:rowOff>9525</xdr:rowOff>
    </xdr:from>
    <xdr:ext cx="323850" cy="180975"/>
    <xdr:sp macro="" textlink="">
      <xdr:nvSpPr>
        <xdr:cNvPr id="51" name="Shape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12</xdr:row>
      <xdr:rowOff>9525</xdr:rowOff>
    </xdr:from>
    <xdr:ext cx="323850" cy="180975"/>
    <xdr:sp macro="" textlink="">
      <xdr:nvSpPr>
        <xdr:cNvPr id="52" name="Shape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13</xdr:row>
      <xdr:rowOff>9525</xdr:rowOff>
    </xdr:from>
    <xdr:ext cx="323850" cy="180975"/>
    <xdr:sp macro="" textlink="">
      <xdr:nvSpPr>
        <xdr:cNvPr id="53" name="Shape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14</xdr:row>
      <xdr:rowOff>9525</xdr:rowOff>
    </xdr:from>
    <xdr:ext cx="323850" cy="180975"/>
    <xdr:sp macro="" textlink="">
      <xdr:nvSpPr>
        <xdr:cNvPr id="54" name="Shape 5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15</xdr:row>
      <xdr:rowOff>9525</xdr:rowOff>
    </xdr:from>
    <xdr:ext cx="323850" cy="180975"/>
    <xdr:sp macro="" textlink="">
      <xdr:nvSpPr>
        <xdr:cNvPr id="55" name="Shape 54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16</xdr:row>
      <xdr:rowOff>9525</xdr:rowOff>
    </xdr:from>
    <xdr:ext cx="323850" cy="180975"/>
    <xdr:sp macro="" textlink="">
      <xdr:nvSpPr>
        <xdr:cNvPr id="56" name="Shape 55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17</xdr:row>
      <xdr:rowOff>9525</xdr:rowOff>
    </xdr:from>
    <xdr:ext cx="323850" cy="180975"/>
    <xdr:sp macro="" textlink="">
      <xdr:nvSpPr>
        <xdr:cNvPr id="57" name="Shape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18</xdr:row>
      <xdr:rowOff>9525</xdr:rowOff>
    </xdr:from>
    <xdr:ext cx="323850" cy="180975"/>
    <xdr:sp macro="" textlink="">
      <xdr:nvSpPr>
        <xdr:cNvPr id="58" name="Shape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19</xdr:row>
      <xdr:rowOff>9525</xdr:rowOff>
    </xdr:from>
    <xdr:ext cx="323850" cy="180975"/>
    <xdr:sp macro="" textlink="">
      <xdr:nvSpPr>
        <xdr:cNvPr id="59" name="Shape 5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20</xdr:row>
      <xdr:rowOff>9525</xdr:rowOff>
    </xdr:from>
    <xdr:ext cx="323850" cy="180975"/>
    <xdr:sp macro="" textlink="">
      <xdr:nvSpPr>
        <xdr:cNvPr id="60" name="Shape 5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21</xdr:row>
      <xdr:rowOff>9525</xdr:rowOff>
    </xdr:from>
    <xdr:ext cx="323850" cy="180975"/>
    <xdr:sp macro="" textlink="">
      <xdr:nvSpPr>
        <xdr:cNvPr id="61" name="Shape 6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22</xdr:row>
      <xdr:rowOff>9525</xdr:rowOff>
    </xdr:from>
    <xdr:ext cx="323850" cy="180975"/>
    <xdr:sp macro="" textlink="">
      <xdr:nvSpPr>
        <xdr:cNvPr id="62" name="Shape 6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23</xdr:row>
      <xdr:rowOff>9525</xdr:rowOff>
    </xdr:from>
    <xdr:ext cx="323850" cy="180975"/>
    <xdr:sp macro="" textlink="">
      <xdr:nvSpPr>
        <xdr:cNvPr id="63" name="Shape 6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24</xdr:row>
      <xdr:rowOff>9525</xdr:rowOff>
    </xdr:from>
    <xdr:ext cx="323850" cy="180975"/>
    <xdr:sp macro="" textlink="">
      <xdr:nvSpPr>
        <xdr:cNvPr id="64" name="Shape 6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25</xdr:row>
      <xdr:rowOff>9525</xdr:rowOff>
    </xdr:from>
    <xdr:ext cx="323850" cy="180975"/>
    <xdr:sp macro="" textlink="">
      <xdr:nvSpPr>
        <xdr:cNvPr id="65" name="Shape 6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26</xdr:row>
      <xdr:rowOff>9525</xdr:rowOff>
    </xdr:from>
    <xdr:ext cx="323850" cy="180975"/>
    <xdr:sp macro="" textlink="">
      <xdr:nvSpPr>
        <xdr:cNvPr id="66" name="Shape 6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27</xdr:row>
      <xdr:rowOff>9525</xdr:rowOff>
    </xdr:from>
    <xdr:ext cx="323850" cy="180975"/>
    <xdr:sp macro="" textlink="">
      <xdr:nvSpPr>
        <xdr:cNvPr id="67" name="Shape 6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28</xdr:row>
      <xdr:rowOff>9525</xdr:rowOff>
    </xdr:from>
    <xdr:ext cx="323850" cy="180975"/>
    <xdr:sp macro="" textlink="">
      <xdr:nvSpPr>
        <xdr:cNvPr id="68" name="Shape 67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29</xdr:row>
      <xdr:rowOff>9525</xdr:rowOff>
    </xdr:from>
    <xdr:ext cx="323850" cy="180975"/>
    <xdr:sp macro="" textlink="">
      <xdr:nvSpPr>
        <xdr:cNvPr id="69" name="Shape 68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30</xdr:row>
      <xdr:rowOff>9525</xdr:rowOff>
    </xdr:from>
    <xdr:ext cx="323850" cy="180975"/>
    <xdr:sp macro="" textlink="">
      <xdr:nvSpPr>
        <xdr:cNvPr id="70" name="Shape 69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31</xdr:row>
      <xdr:rowOff>9525</xdr:rowOff>
    </xdr:from>
    <xdr:ext cx="323850" cy="180975"/>
    <xdr:sp macro="" textlink="">
      <xdr:nvSpPr>
        <xdr:cNvPr id="71" name="Shape 70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32</xdr:row>
      <xdr:rowOff>9525</xdr:rowOff>
    </xdr:from>
    <xdr:ext cx="323850" cy="180975"/>
    <xdr:sp macro="" textlink="">
      <xdr:nvSpPr>
        <xdr:cNvPr id="72" name="Shape 7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33</xdr:row>
      <xdr:rowOff>9525</xdr:rowOff>
    </xdr:from>
    <xdr:ext cx="323850" cy="180975"/>
    <xdr:sp macro="" textlink="">
      <xdr:nvSpPr>
        <xdr:cNvPr id="73" name="Shape 72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34</xdr:row>
      <xdr:rowOff>9525</xdr:rowOff>
    </xdr:from>
    <xdr:ext cx="323850" cy="180975"/>
    <xdr:sp macro="" textlink="">
      <xdr:nvSpPr>
        <xdr:cNvPr id="74" name="Shape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35</xdr:row>
      <xdr:rowOff>9525</xdr:rowOff>
    </xdr:from>
    <xdr:ext cx="323850" cy="180975"/>
    <xdr:sp macro="" textlink="">
      <xdr:nvSpPr>
        <xdr:cNvPr id="75" name="Shape 74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36</xdr:row>
      <xdr:rowOff>9525</xdr:rowOff>
    </xdr:from>
    <xdr:ext cx="323850" cy="180975"/>
    <xdr:sp macro="" textlink="">
      <xdr:nvSpPr>
        <xdr:cNvPr id="76" name="Shape 75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37</xdr:row>
      <xdr:rowOff>9525</xdr:rowOff>
    </xdr:from>
    <xdr:ext cx="323850" cy="180975"/>
    <xdr:sp macro="" textlink="">
      <xdr:nvSpPr>
        <xdr:cNvPr id="77" name="Shape 7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38</xdr:row>
      <xdr:rowOff>9525</xdr:rowOff>
    </xdr:from>
    <xdr:ext cx="323850" cy="180975"/>
    <xdr:sp macro="" textlink="">
      <xdr:nvSpPr>
        <xdr:cNvPr id="78" name="Shape 77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</xdr:col>
      <xdr:colOff>0</xdr:colOff>
      <xdr:row>39</xdr:row>
      <xdr:rowOff>9525</xdr:rowOff>
    </xdr:from>
    <xdr:ext cx="323850" cy="180975"/>
    <xdr:sp macro="" textlink="">
      <xdr:nvSpPr>
        <xdr:cNvPr id="79" name="Shape 78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40</xdr:row>
      <xdr:rowOff>9525</xdr:rowOff>
    </xdr:from>
    <xdr:ext cx="323850" cy="180975"/>
    <xdr:sp macro="" textlink="">
      <xdr:nvSpPr>
        <xdr:cNvPr id="80" name="Shape 79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</xdr:col>
      <xdr:colOff>0</xdr:colOff>
      <xdr:row>41</xdr:row>
      <xdr:rowOff>9525</xdr:rowOff>
    </xdr:from>
    <xdr:ext cx="323850" cy="180975"/>
    <xdr:sp macro="" textlink="">
      <xdr:nvSpPr>
        <xdr:cNvPr id="81" name="Shape 80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</xdr:row>
      <xdr:rowOff>9525</xdr:rowOff>
    </xdr:from>
    <xdr:ext cx="323850" cy="180975"/>
    <xdr:sp macro="" textlink="">
      <xdr:nvSpPr>
        <xdr:cNvPr id="82" name="Shape 8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</xdr:row>
      <xdr:rowOff>9525</xdr:rowOff>
    </xdr:from>
    <xdr:ext cx="323850" cy="180975"/>
    <xdr:sp macro="" textlink="">
      <xdr:nvSpPr>
        <xdr:cNvPr id="83" name="Shape 8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4</xdr:row>
      <xdr:rowOff>9525</xdr:rowOff>
    </xdr:from>
    <xdr:ext cx="323850" cy="180975"/>
    <xdr:sp macro="" textlink="">
      <xdr:nvSpPr>
        <xdr:cNvPr id="84" name="Shape 8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5</xdr:row>
      <xdr:rowOff>9525</xdr:rowOff>
    </xdr:from>
    <xdr:ext cx="323850" cy="180975"/>
    <xdr:sp macro="" textlink="">
      <xdr:nvSpPr>
        <xdr:cNvPr id="85" name="Shape 8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6</xdr:row>
      <xdr:rowOff>9525</xdr:rowOff>
    </xdr:from>
    <xdr:ext cx="323850" cy="180975"/>
    <xdr:sp macro="" textlink="">
      <xdr:nvSpPr>
        <xdr:cNvPr id="86" name="Shape 8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7</xdr:row>
      <xdr:rowOff>9525</xdr:rowOff>
    </xdr:from>
    <xdr:ext cx="323850" cy="180975"/>
    <xdr:sp macro="" textlink="">
      <xdr:nvSpPr>
        <xdr:cNvPr id="87" name="Shape 8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8</xdr:row>
      <xdr:rowOff>9525</xdr:rowOff>
    </xdr:from>
    <xdr:ext cx="323850" cy="180975"/>
    <xdr:sp macro="" textlink="">
      <xdr:nvSpPr>
        <xdr:cNvPr id="88" name="Shape 87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9</xdr:row>
      <xdr:rowOff>9525</xdr:rowOff>
    </xdr:from>
    <xdr:ext cx="323850" cy="180975"/>
    <xdr:sp macro="" textlink="">
      <xdr:nvSpPr>
        <xdr:cNvPr id="89" name="Shape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10</xdr:row>
      <xdr:rowOff>9525</xdr:rowOff>
    </xdr:from>
    <xdr:ext cx="323850" cy="180975"/>
    <xdr:sp macro="" textlink="">
      <xdr:nvSpPr>
        <xdr:cNvPr id="90" name="Shape 89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11</xdr:row>
      <xdr:rowOff>9525</xdr:rowOff>
    </xdr:from>
    <xdr:ext cx="323850" cy="180975"/>
    <xdr:sp macro="" textlink="">
      <xdr:nvSpPr>
        <xdr:cNvPr id="91" name="Shape 90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12</xdr:row>
      <xdr:rowOff>9525</xdr:rowOff>
    </xdr:from>
    <xdr:ext cx="323850" cy="180975"/>
    <xdr:sp macro="" textlink="">
      <xdr:nvSpPr>
        <xdr:cNvPr id="92" name="Shape 91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13</xdr:row>
      <xdr:rowOff>9525</xdr:rowOff>
    </xdr:from>
    <xdr:ext cx="323850" cy="180975"/>
    <xdr:sp macro="" textlink="">
      <xdr:nvSpPr>
        <xdr:cNvPr id="93" name="Shape 92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14</xdr:row>
      <xdr:rowOff>9525</xdr:rowOff>
    </xdr:from>
    <xdr:ext cx="323850" cy="180975"/>
    <xdr:sp macro="" textlink="">
      <xdr:nvSpPr>
        <xdr:cNvPr id="94" name="Shape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15</xdr:row>
      <xdr:rowOff>9525</xdr:rowOff>
    </xdr:from>
    <xdr:ext cx="323850" cy="180975"/>
    <xdr:sp macro="" textlink="">
      <xdr:nvSpPr>
        <xdr:cNvPr id="95" name="Shape 94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16</xdr:row>
      <xdr:rowOff>9525</xdr:rowOff>
    </xdr:from>
    <xdr:ext cx="323850" cy="180975"/>
    <xdr:sp macro="" textlink="">
      <xdr:nvSpPr>
        <xdr:cNvPr id="96" name="Shape 95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17</xdr:row>
      <xdr:rowOff>9525</xdr:rowOff>
    </xdr:from>
    <xdr:ext cx="323850" cy="180975"/>
    <xdr:sp macro="" textlink="">
      <xdr:nvSpPr>
        <xdr:cNvPr id="97" name="Shape 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18</xdr:row>
      <xdr:rowOff>9525</xdr:rowOff>
    </xdr:from>
    <xdr:ext cx="323850" cy="180975"/>
    <xdr:sp macro="" textlink="">
      <xdr:nvSpPr>
        <xdr:cNvPr id="98" name="Shape 97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19</xdr:row>
      <xdr:rowOff>9525</xdr:rowOff>
    </xdr:from>
    <xdr:ext cx="323850" cy="180975"/>
    <xdr:sp macro="" textlink="">
      <xdr:nvSpPr>
        <xdr:cNvPr id="99" name="Shape 98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20</xdr:row>
      <xdr:rowOff>9525</xdr:rowOff>
    </xdr:from>
    <xdr:ext cx="323850" cy="180975"/>
    <xdr:sp macro="" textlink="">
      <xdr:nvSpPr>
        <xdr:cNvPr id="100" name="Shape 99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21</xdr:row>
      <xdr:rowOff>9525</xdr:rowOff>
    </xdr:from>
    <xdr:ext cx="323850" cy="180975"/>
    <xdr:sp macro="" textlink="">
      <xdr:nvSpPr>
        <xdr:cNvPr id="101" name="Shape 100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22</xdr:row>
      <xdr:rowOff>9525</xdr:rowOff>
    </xdr:from>
    <xdr:ext cx="323850" cy="180975"/>
    <xdr:sp macro="" textlink="">
      <xdr:nvSpPr>
        <xdr:cNvPr id="102" name="Shape 10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23</xdr:row>
      <xdr:rowOff>9525</xdr:rowOff>
    </xdr:from>
    <xdr:ext cx="323850" cy="180975"/>
    <xdr:sp macro="" textlink="">
      <xdr:nvSpPr>
        <xdr:cNvPr id="103" name="Shape 10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24</xdr:row>
      <xdr:rowOff>9525</xdr:rowOff>
    </xdr:from>
    <xdr:ext cx="323850" cy="180975"/>
    <xdr:sp macro="" textlink="">
      <xdr:nvSpPr>
        <xdr:cNvPr id="104" name="Shape 10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25</xdr:row>
      <xdr:rowOff>9525</xdr:rowOff>
    </xdr:from>
    <xdr:ext cx="323850" cy="180975"/>
    <xdr:sp macro="" textlink="">
      <xdr:nvSpPr>
        <xdr:cNvPr id="105" name="Shape 10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26</xdr:row>
      <xdr:rowOff>9525</xdr:rowOff>
    </xdr:from>
    <xdr:ext cx="323850" cy="180975"/>
    <xdr:sp macro="" textlink="">
      <xdr:nvSpPr>
        <xdr:cNvPr id="106" name="Shape 10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27</xdr:row>
      <xdr:rowOff>9525</xdr:rowOff>
    </xdr:from>
    <xdr:ext cx="323850" cy="180975"/>
    <xdr:sp macro="" textlink="">
      <xdr:nvSpPr>
        <xdr:cNvPr id="107" name="Shape 10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28</xdr:row>
      <xdr:rowOff>9525</xdr:rowOff>
    </xdr:from>
    <xdr:ext cx="323850" cy="180975"/>
    <xdr:sp macro="" textlink="">
      <xdr:nvSpPr>
        <xdr:cNvPr id="108" name="Shape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29</xdr:row>
      <xdr:rowOff>9525</xdr:rowOff>
    </xdr:from>
    <xdr:ext cx="323850" cy="180975"/>
    <xdr:sp macro="" textlink="">
      <xdr:nvSpPr>
        <xdr:cNvPr id="109" name="Shape 108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30</xdr:row>
      <xdr:rowOff>9525</xdr:rowOff>
    </xdr:from>
    <xdr:ext cx="323850" cy="180975"/>
    <xdr:sp macro="" textlink="">
      <xdr:nvSpPr>
        <xdr:cNvPr id="110" name="Shape 109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31</xdr:row>
      <xdr:rowOff>9525</xdr:rowOff>
    </xdr:from>
    <xdr:ext cx="323850" cy="180975"/>
    <xdr:sp macro="" textlink="">
      <xdr:nvSpPr>
        <xdr:cNvPr id="111" name="Shape 110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32</xdr:row>
      <xdr:rowOff>9525</xdr:rowOff>
    </xdr:from>
    <xdr:ext cx="323850" cy="180975"/>
    <xdr:sp macro="" textlink="">
      <xdr:nvSpPr>
        <xdr:cNvPr id="112" name="Shape 111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33</xdr:row>
      <xdr:rowOff>9525</xdr:rowOff>
    </xdr:from>
    <xdr:ext cx="323850" cy="180975"/>
    <xdr:sp macro="" textlink="">
      <xdr:nvSpPr>
        <xdr:cNvPr id="113" name="Shape 112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34</xdr:row>
      <xdr:rowOff>9525</xdr:rowOff>
    </xdr:from>
    <xdr:ext cx="323850" cy="180975"/>
    <xdr:sp macro="" textlink="">
      <xdr:nvSpPr>
        <xdr:cNvPr id="114" name="Shape 113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</xdr:col>
      <xdr:colOff>0</xdr:colOff>
      <xdr:row>35</xdr:row>
      <xdr:rowOff>9525</xdr:rowOff>
    </xdr:from>
    <xdr:ext cx="323850" cy="180975"/>
    <xdr:sp macro="" textlink="">
      <xdr:nvSpPr>
        <xdr:cNvPr id="115" name="Shape 114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36</xdr:row>
      <xdr:rowOff>9525</xdr:rowOff>
    </xdr:from>
    <xdr:ext cx="323850" cy="180975"/>
    <xdr:sp macro="" textlink="">
      <xdr:nvSpPr>
        <xdr:cNvPr id="116" name="Shape 115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37</xdr:row>
      <xdr:rowOff>9525</xdr:rowOff>
    </xdr:from>
    <xdr:ext cx="323850" cy="180975"/>
    <xdr:sp macro="" textlink="">
      <xdr:nvSpPr>
        <xdr:cNvPr id="117" name="Shape 116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38</xdr:row>
      <xdr:rowOff>9525</xdr:rowOff>
    </xdr:from>
    <xdr:ext cx="323850" cy="180975"/>
    <xdr:sp macro="" textlink="">
      <xdr:nvSpPr>
        <xdr:cNvPr id="118" name="Shape 117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39</xdr:row>
      <xdr:rowOff>9525</xdr:rowOff>
    </xdr:from>
    <xdr:ext cx="323850" cy="180975"/>
    <xdr:sp macro="" textlink="">
      <xdr:nvSpPr>
        <xdr:cNvPr id="119" name="Shape 118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40</xdr:row>
      <xdr:rowOff>9525</xdr:rowOff>
    </xdr:from>
    <xdr:ext cx="323850" cy="180975"/>
    <xdr:sp macro="" textlink="">
      <xdr:nvSpPr>
        <xdr:cNvPr id="120" name="Shape 119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</xdr:col>
      <xdr:colOff>0</xdr:colOff>
      <xdr:row>41</xdr:row>
      <xdr:rowOff>9525</xdr:rowOff>
    </xdr:from>
    <xdr:ext cx="323850" cy="180975"/>
    <xdr:sp macro="" textlink="">
      <xdr:nvSpPr>
        <xdr:cNvPr id="121" name="Shape 120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</xdr:row>
      <xdr:rowOff>9525</xdr:rowOff>
    </xdr:from>
    <xdr:ext cx="323850" cy="180975"/>
    <xdr:sp macro="" textlink="">
      <xdr:nvSpPr>
        <xdr:cNvPr id="122" name="Shape 12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</xdr:row>
      <xdr:rowOff>9525</xdr:rowOff>
    </xdr:from>
    <xdr:ext cx="323850" cy="180975"/>
    <xdr:sp macro="" textlink="">
      <xdr:nvSpPr>
        <xdr:cNvPr id="123" name="Shape 12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4</xdr:row>
      <xdr:rowOff>9525</xdr:rowOff>
    </xdr:from>
    <xdr:ext cx="323850" cy="180975"/>
    <xdr:sp macro="" textlink="">
      <xdr:nvSpPr>
        <xdr:cNvPr id="124" name="Shape 12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5</xdr:row>
      <xdr:rowOff>9525</xdr:rowOff>
    </xdr:from>
    <xdr:ext cx="323850" cy="180975"/>
    <xdr:sp macro="" textlink="">
      <xdr:nvSpPr>
        <xdr:cNvPr id="125" name="Shape 12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6</xdr:row>
      <xdr:rowOff>9525</xdr:rowOff>
    </xdr:from>
    <xdr:ext cx="323850" cy="180975"/>
    <xdr:sp macro="" textlink="">
      <xdr:nvSpPr>
        <xdr:cNvPr id="126" name="Shape 12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7</xdr:row>
      <xdr:rowOff>9525</xdr:rowOff>
    </xdr:from>
    <xdr:ext cx="323850" cy="180975"/>
    <xdr:sp macro="" textlink="">
      <xdr:nvSpPr>
        <xdr:cNvPr id="127" name="Shape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8</xdr:row>
      <xdr:rowOff>9525</xdr:rowOff>
    </xdr:from>
    <xdr:ext cx="323850" cy="180975"/>
    <xdr:sp macro="" textlink="">
      <xdr:nvSpPr>
        <xdr:cNvPr id="128" name="Shape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9</xdr:row>
      <xdr:rowOff>9525</xdr:rowOff>
    </xdr:from>
    <xdr:ext cx="323850" cy="180975"/>
    <xdr:sp macro="" textlink="">
      <xdr:nvSpPr>
        <xdr:cNvPr id="129" name="Shape 128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10</xdr:row>
      <xdr:rowOff>9525</xdr:rowOff>
    </xdr:from>
    <xdr:ext cx="323850" cy="180975"/>
    <xdr:sp macro="" textlink="">
      <xdr:nvSpPr>
        <xdr:cNvPr id="130" name="Shape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11</xdr:row>
      <xdr:rowOff>9525</xdr:rowOff>
    </xdr:from>
    <xdr:ext cx="323850" cy="180975"/>
    <xdr:sp macro="" textlink="">
      <xdr:nvSpPr>
        <xdr:cNvPr id="131" name="Shape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12</xdr:row>
      <xdr:rowOff>9525</xdr:rowOff>
    </xdr:from>
    <xdr:ext cx="323850" cy="180975"/>
    <xdr:sp macro="" textlink="">
      <xdr:nvSpPr>
        <xdr:cNvPr id="132" name="Shape 131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13</xdr:row>
      <xdr:rowOff>9525</xdr:rowOff>
    </xdr:from>
    <xdr:ext cx="323850" cy="180975"/>
    <xdr:sp macro="" textlink="">
      <xdr:nvSpPr>
        <xdr:cNvPr id="133" name="Shape 132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14</xdr:row>
      <xdr:rowOff>9525</xdr:rowOff>
    </xdr:from>
    <xdr:ext cx="323850" cy="180975"/>
    <xdr:sp macro="" textlink="">
      <xdr:nvSpPr>
        <xdr:cNvPr id="134" name="Shape 133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15</xdr:row>
      <xdr:rowOff>9525</xdr:rowOff>
    </xdr:from>
    <xdr:ext cx="323850" cy="180975"/>
    <xdr:sp macro="" textlink="">
      <xdr:nvSpPr>
        <xdr:cNvPr id="135" name="Shape 134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16</xdr:row>
      <xdr:rowOff>9525</xdr:rowOff>
    </xdr:from>
    <xdr:ext cx="323850" cy="180975"/>
    <xdr:sp macro="" textlink="">
      <xdr:nvSpPr>
        <xdr:cNvPr id="136" name="Shape 135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17</xdr:row>
      <xdr:rowOff>9525</xdr:rowOff>
    </xdr:from>
    <xdr:ext cx="323850" cy="180975"/>
    <xdr:sp macro="" textlink="">
      <xdr:nvSpPr>
        <xdr:cNvPr id="137" name="Shape 136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18</xdr:row>
      <xdr:rowOff>9525</xdr:rowOff>
    </xdr:from>
    <xdr:ext cx="323850" cy="180975"/>
    <xdr:sp macro="" textlink="">
      <xdr:nvSpPr>
        <xdr:cNvPr id="138" name="Shape 137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19</xdr:row>
      <xdr:rowOff>9525</xdr:rowOff>
    </xdr:from>
    <xdr:ext cx="323850" cy="180975"/>
    <xdr:sp macro="" textlink="">
      <xdr:nvSpPr>
        <xdr:cNvPr id="139" name="Shape 138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20</xdr:row>
      <xdr:rowOff>9525</xdr:rowOff>
    </xdr:from>
    <xdr:ext cx="323850" cy="180975"/>
    <xdr:sp macro="" textlink="">
      <xdr:nvSpPr>
        <xdr:cNvPr id="140" name="Shape 139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21</xdr:row>
      <xdr:rowOff>9525</xdr:rowOff>
    </xdr:from>
    <xdr:ext cx="323850" cy="180975"/>
    <xdr:sp macro="" textlink="">
      <xdr:nvSpPr>
        <xdr:cNvPr id="141" name="Shape 140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22</xdr:row>
      <xdr:rowOff>9525</xdr:rowOff>
    </xdr:from>
    <xdr:ext cx="323850" cy="180975"/>
    <xdr:sp macro="" textlink="">
      <xdr:nvSpPr>
        <xdr:cNvPr id="142" name="Shape 141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23</xdr:row>
      <xdr:rowOff>9525</xdr:rowOff>
    </xdr:from>
    <xdr:ext cx="323850" cy="180975"/>
    <xdr:sp macro="" textlink="">
      <xdr:nvSpPr>
        <xdr:cNvPr id="143" name="Shape 142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24</xdr:row>
      <xdr:rowOff>9525</xdr:rowOff>
    </xdr:from>
    <xdr:ext cx="323850" cy="180975"/>
    <xdr:sp macro="" textlink="">
      <xdr:nvSpPr>
        <xdr:cNvPr id="144" name="Shape 143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25</xdr:row>
      <xdr:rowOff>9525</xdr:rowOff>
    </xdr:from>
    <xdr:ext cx="323850" cy="180975"/>
    <xdr:sp macro="" textlink="">
      <xdr:nvSpPr>
        <xdr:cNvPr id="145" name="Shape 144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26</xdr:row>
      <xdr:rowOff>9525</xdr:rowOff>
    </xdr:from>
    <xdr:ext cx="323850" cy="180975"/>
    <xdr:sp macro="" textlink="">
      <xdr:nvSpPr>
        <xdr:cNvPr id="146" name="Shape 145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27</xdr:row>
      <xdr:rowOff>9525</xdr:rowOff>
    </xdr:from>
    <xdr:ext cx="323850" cy="180975"/>
    <xdr:sp macro="" textlink="">
      <xdr:nvSpPr>
        <xdr:cNvPr id="147" name="Shape 146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28</xdr:row>
      <xdr:rowOff>9525</xdr:rowOff>
    </xdr:from>
    <xdr:ext cx="323850" cy="180975"/>
    <xdr:sp macro="" textlink="">
      <xdr:nvSpPr>
        <xdr:cNvPr id="148" name="Shape 147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29</xdr:row>
      <xdr:rowOff>9525</xdr:rowOff>
    </xdr:from>
    <xdr:ext cx="323850" cy="180975"/>
    <xdr:sp macro="" textlink="">
      <xdr:nvSpPr>
        <xdr:cNvPr id="149" name="Shape 148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30</xdr:row>
      <xdr:rowOff>9525</xdr:rowOff>
    </xdr:from>
    <xdr:ext cx="323850" cy="180975"/>
    <xdr:sp macro="" textlink="">
      <xdr:nvSpPr>
        <xdr:cNvPr id="150" name="Shape 149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31</xdr:row>
      <xdr:rowOff>9525</xdr:rowOff>
    </xdr:from>
    <xdr:ext cx="323850" cy="180975"/>
    <xdr:sp macro="" textlink="">
      <xdr:nvSpPr>
        <xdr:cNvPr id="151" name="Shape 150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32</xdr:row>
      <xdr:rowOff>9525</xdr:rowOff>
    </xdr:from>
    <xdr:ext cx="323850" cy="180975"/>
    <xdr:sp macro="" textlink="">
      <xdr:nvSpPr>
        <xdr:cNvPr id="152" name="Shape 151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33</xdr:row>
      <xdr:rowOff>9525</xdr:rowOff>
    </xdr:from>
    <xdr:ext cx="323850" cy="180975"/>
    <xdr:sp macro="" textlink="">
      <xdr:nvSpPr>
        <xdr:cNvPr id="153" name="Shape 152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34</xdr:row>
      <xdr:rowOff>9525</xdr:rowOff>
    </xdr:from>
    <xdr:ext cx="323850" cy="180975"/>
    <xdr:sp macro="" textlink="">
      <xdr:nvSpPr>
        <xdr:cNvPr id="154" name="Shape 153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35</xdr:row>
      <xdr:rowOff>9525</xdr:rowOff>
    </xdr:from>
    <xdr:ext cx="323850" cy="180975"/>
    <xdr:sp macro="" textlink="">
      <xdr:nvSpPr>
        <xdr:cNvPr id="155" name="Shape 154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36</xdr:row>
      <xdr:rowOff>9525</xdr:rowOff>
    </xdr:from>
    <xdr:ext cx="323850" cy="180975"/>
    <xdr:sp macro="" textlink="">
      <xdr:nvSpPr>
        <xdr:cNvPr id="156" name="Shape 155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37</xdr:row>
      <xdr:rowOff>9525</xdr:rowOff>
    </xdr:from>
    <xdr:ext cx="323850" cy="180975"/>
    <xdr:sp macro="" textlink="">
      <xdr:nvSpPr>
        <xdr:cNvPr id="157" name="Shape 156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38</xdr:row>
      <xdr:rowOff>9525</xdr:rowOff>
    </xdr:from>
    <xdr:ext cx="323850" cy="180975"/>
    <xdr:sp macro="" textlink="">
      <xdr:nvSpPr>
        <xdr:cNvPr id="158" name="Shape 157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</xdr:col>
      <xdr:colOff>0</xdr:colOff>
      <xdr:row>39</xdr:row>
      <xdr:rowOff>9525</xdr:rowOff>
    </xdr:from>
    <xdr:ext cx="323850" cy="180975"/>
    <xdr:sp macro="" textlink="">
      <xdr:nvSpPr>
        <xdr:cNvPr id="159" name="Shape 158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40</xdr:row>
      <xdr:rowOff>9525</xdr:rowOff>
    </xdr:from>
    <xdr:ext cx="323850" cy="180975"/>
    <xdr:sp macro="" textlink="">
      <xdr:nvSpPr>
        <xdr:cNvPr id="160" name="Shape 159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</xdr:col>
      <xdr:colOff>0</xdr:colOff>
      <xdr:row>41</xdr:row>
      <xdr:rowOff>9525</xdr:rowOff>
    </xdr:from>
    <xdr:ext cx="323850" cy="180975"/>
    <xdr:sp macro="" textlink="">
      <xdr:nvSpPr>
        <xdr:cNvPr id="161" name="Shape 160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</xdr:row>
      <xdr:rowOff>9525</xdr:rowOff>
    </xdr:from>
    <xdr:ext cx="323850" cy="180975"/>
    <xdr:sp macro="" textlink="">
      <xdr:nvSpPr>
        <xdr:cNvPr id="162" name="Shape 16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</xdr:row>
      <xdr:rowOff>9525</xdr:rowOff>
    </xdr:from>
    <xdr:ext cx="323850" cy="180975"/>
    <xdr:sp macro="" textlink="">
      <xdr:nvSpPr>
        <xdr:cNvPr id="163" name="Shape 162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4</xdr:row>
      <xdr:rowOff>9525</xdr:rowOff>
    </xdr:from>
    <xdr:ext cx="323850" cy="180975"/>
    <xdr:sp macro="" textlink="">
      <xdr:nvSpPr>
        <xdr:cNvPr id="164" name="Shape 163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5</xdr:row>
      <xdr:rowOff>9525</xdr:rowOff>
    </xdr:from>
    <xdr:ext cx="323850" cy="180975"/>
    <xdr:sp macro="" textlink="">
      <xdr:nvSpPr>
        <xdr:cNvPr id="165" name="Shape 164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6</xdr:row>
      <xdr:rowOff>9525</xdr:rowOff>
    </xdr:from>
    <xdr:ext cx="323850" cy="180975"/>
    <xdr:sp macro="" textlink="">
      <xdr:nvSpPr>
        <xdr:cNvPr id="166" name="Shape 165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7</xdr:row>
      <xdr:rowOff>9525</xdr:rowOff>
    </xdr:from>
    <xdr:ext cx="323850" cy="180975"/>
    <xdr:sp macro="" textlink="">
      <xdr:nvSpPr>
        <xdr:cNvPr id="167" name="Shape 166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8</xdr:row>
      <xdr:rowOff>9525</xdr:rowOff>
    </xdr:from>
    <xdr:ext cx="323850" cy="180975"/>
    <xdr:sp macro="" textlink="">
      <xdr:nvSpPr>
        <xdr:cNvPr id="168" name="Shape 167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9</xdr:row>
      <xdr:rowOff>9525</xdr:rowOff>
    </xdr:from>
    <xdr:ext cx="323850" cy="180975"/>
    <xdr:sp macro="" textlink="">
      <xdr:nvSpPr>
        <xdr:cNvPr id="169" name="Shape 168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10</xdr:row>
      <xdr:rowOff>9525</xdr:rowOff>
    </xdr:from>
    <xdr:ext cx="323850" cy="180975"/>
    <xdr:sp macro="" textlink="">
      <xdr:nvSpPr>
        <xdr:cNvPr id="170" name="Shape 169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11</xdr:row>
      <xdr:rowOff>9525</xdr:rowOff>
    </xdr:from>
    <xdr:ext cx="323850" cy="180975"/>
    <xdr:sp macro="" textlink="">
      <xdr:nvSpPr>
        <xdr:cNvPr id="171" name="Shape 170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12</xdr:row>
      <xdr:rowOff>9525</xdr:rowOff>
    </xdr:from>
    <xdr:ext cx="323850" cy="180975"/>
    <xdr:sp macro="" textlink="">
      <xdr:nvSpPr>
        <xdr:cNvPr id="172" name="Shape 171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13</xdr:row>
      <xdr:rowOff>9525</xdr:rowOff>
    </xdr:from>
    <xdr:ext cx="323850" cy="180975"/>
    <xdr:sp macro="" textlink="">
      <xdr:nvSpPr>
        <xdr:cNvPr id="173" name="Shape 172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14</xdr:row>
      <xdr:rowOff>9525</xdr:rowOff>
    </xdr:from>
    <xdr:ext cx="323850" cy="180975"/>
    <xdr:sp macro="" textlink="">
      <xdr:nvSpPr>
        <xdr:cNvPr id="174" name="Shape 173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15</xdr:row>
      <xdr:rowOff>9525</xdr:rowOff>
    </xdr:from>
    <xdr:ext cx="323850" cy="180975"/>
    <xdr:sp macro="" textlink="">
      <xdr:nvSpPr>
        <xdr:cNvPr id="175" name="Shape 174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16</xdr:row>
      <xdr:rowOff>9525</xdr:rowOff>
    </xdr:from>
    <xdr:ext cx="323850" cy="180975"/>
    <xdr:sp macro="" textlink="">
      <xdr:nvSpPr>
        <xdr:cNvPr id="176" name="Shape 175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17</xdr:row>
      <xdr:rowOff>9525</xdr:rowOff>
    </xdr:from>
    <xdr:ext cx="323850" cy="180975"/>
    <xdr:sp macro="" textlink="">
      <xdr:nvSpPr>
        <xdr:cNvPr id="177" name="Shape 176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18</xdr:row>
      <xdr:rowOff>9525</xdr:rowOff>
    </xdr:from>
    <xdr:ext cx="323850" cy="180975"/>
    <xdr:sp macro="" textlink="">
      <xdr:nvSpPr>
        <xdr:cNvPr id="178" name="Shape 177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19</xdr:row>
      <xdr:rowOff>9525</xdr:rowOff>
    </xdr:from>
    <xdr:ext cx="323850" cy="180975"/>
    <xdr:sp macro="" textlink="">
      <xdr:nvSpPr>
        <xdr:cNvPr id="179" name="Shape 178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20</xdr:row>
      <xdr:rowOff>9525</xdr:rowOff>
    </xdr:from>
    <xdr:ext cx="323850" cy="180975"/>
    <xdr:sp macro="" textlink="">
      <xdr:nvSpPr>
        <xdr:cNvPr id="180" name="Shape 179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21</xdr:row>
      <xdr:rowOff>9525</xdr:rowOff>
    </xdr:from>
    <xdr:ext cx="323850" cy="180975"/>
    <xdr:sp macro="" textlink="">
      <xdr:nvSpPr>
        <xdr:cNvPr id="181" name="Shape 180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22</xdr:row>
      <xdr:rowOff>9525</xdr:rowOff>
    </xdr:from>
    <xdr:ext cx="323850" cy="180975"/>
    <xdr:sp macro="" textlink="">
      <xdr:nvSpPr>
        <xdr:cNvPr id="182" name="Shape 181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23</xdr:row>
      <xdr:rowOff>9525</xdr:rowOff>
    </xdr:from>
    <xdr:ext cx="323850" cy="180975"/>
    <xdr:sp macro="" textlink="">
      <xdr:nvSpPr>
        <xdr:cNvPr id="183" name="Shape 182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24</xdr:row>
      <xdr:rowOff>9525</xdr:rowOff>
    </xdr:from>
    <xdr:ext cx="323850" cy="180975"/>
    <xdr:sp macro="" textlink="">
      <xdr:nvSpPr>
        <xdr:cNvPr id="184" name="Shape 183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25</xdr:row>
      <xdr:rowOff>9525</xdr:rowOff>
    </xdr:from>
    <xdr:ext cx="323850" cy="180975"/>
    <xdr:sp macro="" textlink="">
      <xdr:nvSpPr>
        <xdr:cNvPr id="185" name="Shape 184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26</xdr:row>
      <xdr:rowOff>9525</xdr:rowOff>
    </xdr:from>
    <xdr:ext cx="323850" cy="180975"/>
    <xdr:sp macro="" textlink="">
      <xdr:nvSpPr>
        <xdr:cNvPr id="186" name="Shape 185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27</xdr:row>
      <xdr:rowOff>9525</xdr:rowOff>
    </xdr:from>
    <xdr:ext cx="323850" cy="180975"/>
    <xdr:sp macro="" textlink="">
      <xdr:nvSpPr>
        <xdr:cNvPr id="187" name="Shape 186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28</xdr:row>
      <xdr:rowOff>9525</xdr:rowOff>
    </xdr:from>
    <xdr:ext cx="323850" cy="180975"/>
    <xdr:sp macro="" textlink="">
      <xdr:nvSpPr>
        <xdr:cNvPr id="188" name="Shape 187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29</xdr:row>
      <xdr:rowOff>9525</xdr:rowOff>
    </xdr:from>
    <xdr:ext cx="323850" cy="180975"/>
    <xdr:sp macro="" textlink="">
      <xdr:nvSpPr>
        <xdr:cNvPr id="189" name="Shape 188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30</xdr:row>
      <xdr:rowOff>9525</xdr:rowOff>
    </xdr:from>
    <xdr:ext cx="323850" cy="180975"/>
    <xdr:sp macro="" textlink="">
      <xdr:nvSpPr>
        <xdr:cNvPr id="190" name="Shape 189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31</xdr:row>
      <xdr:rowOff>9525</xdr:rowOff>
    </xdr:from>
    <xdr:ext cx="323850" cy="180975"/>
    <xdr:sp macro="" textlink="">
      <xdr:nvSpPr>
        <xdr:cNvPr id="191" name="Shape 190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32</xdr:row>
      <xdr:rowOff>9525</xdr:rowOff>
    </xdr:from>
    <xdr:ext cx="323850" cy="180975"/>
    <xdr:sp macro="" textlink="">
      <xdr:nvSpPr>
        <xdr:cNvPr id="192" name="Shape 191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33</xdr:row>
      <xdr:rowOff>9525</xdr:rowOff>
    </xdr:from>
    <xdr:ext cx="323850" cy="180975"/>
    <xdr:sp macro="" textlink="">
      <xdr:nvSpPr>
        <xdr:cNvPr id="193" name="Shape 192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34</xdr:row>
      <xdr:rowOff>9525</xdr:rowOff>
    </xdr:from>
    <xdr:ext cx="323850" cy="180975"/>
    <xdr:sp macro="" textlink="">
      <xdr:nvSpPr>
        <xdr:cNvPr id="194" name="Shape 193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35</xdr:row>
      <xdr:rowOff>9525</xdr:rowOff>
    </xdr:from>
    <xdr:ext cx="323850" cy="180975"/>
    <xdr:sp macro="" textlink="">
      <xdr:nvSpPr>
        <xdr:cNvPr id="195" name="Shape 194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36</xdr:row>
      <xdr:rowOff>9525</xdr:rowOff>
    </xdr:from>
    <xdr:ext cx="323850" cy="180975"/>
    <xdr:sp macro="" textlink="">
      <xdr:nvSpPr>
        <xdr:cNvPr id="196" name="Shape 195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20</xdr:col>
      <xdr:colOff>0</xdr:colOff>
      <xdr:row>37</xdr:row>
      <xdr:rowOff>9525</xdr:rowOff>
    </xdr:from>
    <xdr:ext cx="323850" cy="180975"/>
    <xdr:sp macro="" textlink="">
      <xdr:nvSpPr>
        <xdr:cNvPr id="197" name="Shape 196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38</xdr:row>
      <xdr:rowOff>9525</xdr:rowOff>
    </xdr:from>
    <xdr:ext cx="323850" cy="180975"/>
    <xdr:sp macro="" textlink="">
      <xdr:nvSpPr>
        <xdr:cNvPr id="198" name="Shape 197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39</xdr:row>
      <xdr:rowOff>9525</xdr:rowOff>
    </xdr:from>
    <xdr:ext cx="323850" cy="180975"/>
    <xdr:sp macro="" textlink="">
      <xdr:nvSpPr>
        <xdr:cNvPr id="199" name="Shape 198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40</xdr:row>
      <xdr:rowOff>9525</xdr:rowOff>
    </xdr:from>
    <xdr:ext cx="323850" cy="180975"/>
    <xdr:sp macro="" textlink="">
      <xdr:nvSpPr>
        <xdr:cNvPr id="200" name="Shape 199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</xdr:col>
      <xdr:colOff>0</xdr:colOff>
      <xdr:row>41</xdr:row>
      <xdr:rowOff>9525</xdr:rowOff>
    </xdr:from>
    <xdr:ext cx="323850" cy="180975"/>
    <xdr:sp macro="" textlink="">
      <xdr:nvSpPr>
        <xdr:cNvPr id="201" name="Shape 200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</xdr:row>
      <xdr:rowOff>9525</xdr:rowOff>
    </xdr:from>
    <xdr:ext cx="323850" cy="180975"/>
    <xdr:sp macro="" textlink="">
      <xdr:nvSpPr>
        <xdr:cNvPr id="202" name="Shape 201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</xdr:row>
      <xdr:rowOff>9525</xdr:rowOff>
    </xdr:from>
    <xdr:ext cx="323850" cy="180975"/>
    <xdr:sp macro="" textlink="">
      <xdr:nvSpPr>
        <xdr:cNvPr id="203" name="Shape 202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4</xdr:row>
      <xdr:rowOff>9525</xdr:rowOff>
    </xdr:from>
    <xdr:ext cx="323850" cy="180975"/>
    <xdr:sp macro="" textlink="">
      <xdr:nvSpPr>
        <xdr:cNvPr id="204" name="Shape 203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5</xdr:row>
      <xdr:rowOff>9525</xdr:rowOff>
    </xdr:from>
    <xdr:ext cx="323850" cy="180975"/>
    <xdr:sp macro="" textlink="">
      <xdr:nvSpPr>
        <xdr:cNvPr id="205" name="Shape 204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6</xdr:row>
      <xdr:rowOff>9525</xdr:rowOff>
    </xdr:from>
    <xdr:ext cx="323850" cy="180975"/>
    <xdr:sp macro="" textlink="">
      <xdr:nvSpPr>
        <xdr:cNvPr id="206" name="Shape 205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7</xdr:row>
      <xdr:rowOff>9525</xdr:rowOff>
    </xdr:from>
    <xdr:ext cx="323850" cy="180975"/>
    <xdr:sp macro="" textlink="">
      <xdr:nvSpPr>
        <xdr:cNvPr id="207" name="Shape 206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8</xdr:row>
      <xdr:rowOff>9525</xdr:rowOff>
    </xdr:from>
    <xdr:ext cx="323850" cy="180975"/>
    <xdr:sp macro="" textlink="">
      <xdr:nvSpPr>
        <xdr:cNvPr id="208" name="Shape 207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9</xdr:row>
      <xdr:rowOff>9525</xdr:rowOff>
    </xdr:from>
    <xdr:ext cx="323850" cy="180975"/>
    <xdr:sp macro="" textlink="">
      <xdr:nvSpPr>
        <xdr:cNvPr id="209" name="Shape 208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10</xdr:row>
      <xdr:rowOff>9525</xdr:rowOff>
    </xdr:from>
    <xdr:ext cx="323850" cy="180975"/>
    <xdr:sp macro="" textlink="">
      <xdr:nvSpPr>
        <xdr:cNvPr id="210" name="Shape 209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11</xdr:row>
      <xdr:rowOff>9525</xdr:rowOff>
    </xdr:from>
    <xdr:ext cx="323850" cy="180975"/>
    <xdr:sp macro="" textlink="">
      <xdr:nvSpPr>
        <xdr:cNvPr id="211" name="Shape 210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12</xdr:row>
      <xdr:rowOff>9525</xdr:rowOff>
    </xdr:from>
    <xdr:ext cx="323850" cy="180975"/>
    <xdr:sp macro="" textlink="">
      <xdr:nvSpPr>
        <xdr:cNvPr id="212" name="Shape 211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13</xdr:row>
      <xdr:rowOff>9525</xdr:rowOff>
    </xdr:from>
    <xdr:ext cx="323850" cy="180975"/>
    <xdr:sp macro="" textlink="">
      <xdr:nvSpPr>
        <xdr:cNvPr id="213" name="Shape 212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14</xdr:row>
      <xdr:rowOff>9525</xdr:rowOff>
    </xdr:from>
    <xdr:ext cx="323850" cy="180975"/>
    <xdr:sp macro="" textlink="">
      <xdr:nvSpPr>
        <xdr:cNvPr id="214" name="Shape 213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15</xdr:row>
      <xdr:rowOff>9525</xdr:rowOff>
    </xdr:from>
    <xdr:ext cx="323850" cy="180975"/>
    <xdr:sp macro="" textlink="">
      <xdr:nvSpPr>
        <xdr:cNvPr id="215" name="Shape 214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16</xdr:row>
      <xdr:rowOff>9525</xdr:rowOff>
    </xdr:from>
    <xdr:ext cx="323850" cy="180975"/>
    <xdr:sp macro="" textlink="">
      <xdr:nvSpPr>
        <xdr:cNvPr id="216" name="Shape 215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17</xdr:row>
      <xdr:rowOff>9525</xdr:rowOff>
    </xdr:from>
    <xdr:ext cx="323850" cy="180975"/>
    <xdr:sp macro="" textlink="">
      <xdr:nvSpPr>
        <xdr:cNvPr id="217" name="Shape 216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18</xdr:row>
      <xdr:rowOff>9525</xdr:rowOff>
    </xdr:from>
    <xdr:ext cx="323850" cy="180975"/>
    <xdr:sp macro="" textlink="">
      <xdr:nvSpPr>
        <xdr:cNvPr id="218" name="Shape 217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19</xdr:row>
      <xdr:rowOff>9525</xdr:rowOff>
    </xdr:from>
    <xdr:ext cx="323850" cy="180975"/>
    <xdr:sp macro="" textlink="">
      <xdr:nvSpPr>
        <xdr:cNvPr id="219" name="Shape 218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20</xdr:row>
      <xdr:rowOff>9525</xdr:rowOff>
    </xdr:from>
    <xdr:ext cx="323850" cy="180975"/>
    <xdr:sp macro="" textlink="">
      <xdr:nvSpPr>
        <xdr:cNvPr id="220" name="Shape 219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21</xdr:row>
      <xdr:rowOff>9525</xdr:rowOff>
    </xdr:from>
    <xdr:ext cx="323850" cy="180975"/>
    <xdr:sp macro="" textlink="">
      <xdr:nvSpPr>
        <xdr:cNvPr id="221" name="Shape 220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22</xdr:row>
      <xdr:rowOff>9525</xdr:rowOff>
    </xdr:from>
    <xdr:ext cx="323850" cy="180975"/>
    <xdr:sp macro="" textlink="">
      <xdr:nvSpPr>
        <xdr:cNvPr id="222" name="Shape 221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23</xdr:row>
      <xdr:rowOff>9525</xdr:rowOff>
    </xdr:from>
    <xdr:ext cx="323850" cy="180975"/>
    <xdr:sp macro="" textlink="">
      <xdr:nvSpPr>
        <xdr:cNvPr id="223" name="Shape 222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24</xdr:row>
      <xdr:rowOff>9525</xdr:rowOff>
    </xdr:from>
    <xdr:ext cx="323850" cy="180975"/>
    <xdr:sp macro="" textlink="">
      <xdr:nvSpPr>
        <xdr:cNvPr id="224" name="Shape 223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25</xdr:row>
      <xdr:rowOff>9525</xdr:rowOff>
    </xdr:from>
    <xdr:ext cx="323850" cy="180975"/>
    <xdr:sp macro="" textlink="">
      <xdr:nvSpPr>
        <xdr:cNvPr id="225" name="Shape 224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26</xdr:row>
      <xdr:rowOff>9525</xdr:rowOff>
    </xdr:from>
    <xdr:ext cx="323850" cy="180975"/>
    <xdr:sp macro="" textlink="">
      <xdr:nvSpPr>
        <xdr:cNvPr id="226" name="Shape 225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27</xdr:row>
      <xdr:rowOff>9525</xdr:rowOff>
    </xdr:from>
    <xdr:ext cx="323850" cy="180975"/>
    <xdr:sp macro="" textlink="">
      <xdr:nvSpPr>
        <xdr:cNvPr id="227" name="Shape 226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28</xdr:row>
      <xdr:rowOff>9525</xdr:rowOff>
    </xdr:from>
    <xdr:ext cx="323850" cy="180975"/>
    <xdr:sp macro="" textlink="">
      <xdr:nvSpPr>
        <xdr:cNvPr id="228" name="Shape 227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29</xdr:row>
      <xdr:rowOff>9525</xdr:rowOff>
    </xdr:from>
    <xdr:ext cx="323850" cy="180975"/>
    <xdr:sp macro="" textlink="">
      <xdr:nvSpPr>
        <xdr:cNvPr id="229" name="Shape 228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30</xdr:row>
      <xdr:rowOff>9525</xdr:rowOff>
    </xdr:from>
    <xdr:ext cx="323850" cy="180975"/>
    <xdr:sp macro="" textlink="">
      <xdr:nvSpPr>
        <xdr:cNvPr id="230" name="Shape 229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31</xdr:row>
      <xdr:rowOff>9525</xdr:rowOff>
    </xdr:from>
    <xdr:ext cx="323850" cy="180975"/>
    <xdr:sp macro="" textlink="">
      <xdr:nvSpPr>
        <xdr:cNvPr id="231" name="Shape 230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32</xdr:row>
      <xdr:rowOff>9525</xdr:rowOff>
    </xdr:from>
    <xdr:ext cx="323850" cy="180975"/>
    <xdr:sp macro="" textlink="">
      <xdr:nvSpPr>
        <xdr:cNvPr id="232" name="Shape 231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33</xdr:row>
      <xdr:rowOff>9525</xdr:rowOff>
    </xdr:from>
    <xdr:ext cx="323850" cy="180975"/>
    <xdr:sp macro="" textlink="">
      <xdr:nvSpPr>
        <xdr:cNvPr id="233" name="Shape 232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34</xdr:row>
      <xdr:rowOff>9525</xdr:rowOff>
    </xdr:from>
    <xdr:ext cx="323850" cy="180975"/>
    <xdr:sp macro="" textlink="">
      <xdr:nvSpPr>
        <xdr:cNvPr id="234" name="Shape 233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35</xdr:row>
      <xdr:rowOff>9525</xdr:rowOff>
    </xdr:from>
    <xdr:ext cx="323850" cy="180975"/>
    <xdr:sp macro="" textlink="">
      <xdr:nvSpPr>
        <xdr:cNvPr id="235" name="Shape 234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36</xdr:row>
      <xdr:rowOff>9525</xdr:rowOff>
    </xdr:from>
    <xdr:ext cx="323850" cy="180975"/>
    <xdr:sp macro="" textlink="">
      <xdr:nvSpPr>
        <xdr:cNvPr id="236" name="Shape 235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37</xdr:row>
      <xdr:rowOff>9525</xdr:rowOff>
    </xdr:from>
    <xdr:ext cx="323850" cy="180975"/>
    <xdr:sp macro="" textlink="">
      <xdr:nvSpPr>
        <xdr:cNvPr id="237" name="Shape 236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38</xdr:row>
      <xdr:rowOff>9525</xdr:rowOff>
    </xdr:from>
    <xdr:ext cx="323850" cy="180975"/>
    <xdr:sp macro="" textlink="">
      <xdr:nvSpPr>
        <xdr:cNvPr id="238" name="Shape 237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25</xdr:col>
      <xdr:colOff>0</xdr:colOff>
      <xdr:row>39</xdr:row>
      <xdr:rowOff>9525</xdr:rowOff>
    </xdr:from>
    <xdr:ext cx="323850" cy="180975"/>
    <xdr:sp macro="" textlink="">
      <xdr:nvSpPr>
        <xdr:cNvPr id="239" name="Shape 238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40</xdr:row>
      <xdr:rowOff>9525</xdr:rowOff>
    </xdr:from>
    <xdr:ext cx="323850" cy="180975"/>
    <xdr:sp macro="" textlink="">
      <xdr:nvSpPr>
        <xdr:cNvPr id="240" name="Shape 239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26</xdr:col>
      <xdr:colOff>0</xdr:colOff>
      <xdr:row>41</xdr:row>
      <xdr:rowOff>9525</xdr:rowOff>
    </xdr:from>
    <xdr:ext cx="323850" cy="180975"/>
    <xdr:sp macro="" textlink="">
      <xdr:nvSpPr>
        <xdr:cNvPr id="241" name="Shape 240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</xdr:row>
      <xdr:rowOff>9525</xdr:rowOff>
    </xdr:from>
    <xdr:ext cx="323850" cy="180975"/>
    <xdr:sp macro="" textlink="">
      <xdr:nvSpPr>
        <xdr:cNvPr id="242" name="Shape 24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</xdr:row>
      <xdr:rowOff>9525</xdr:rowOff>
    </xdr:from>
    <xdr:ext cx="323850" cy="180975"/>
    <xdr:sp macro="" textlink="">
      <xdr:nvSpPr>
        <xdr:cNvPr id="243" name="Shape 24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4</xdr:row>
      <xdr:rowOff>9525</xdr:rowOff>
    </xdr:from>
    <xdr:ext cx="323850" cy="180975"/>
    <xdr:sp macro="" textlink="">
      <xdr:nvSpPr>
        <xdr:cNvPr id="244" name="Shape 24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5</xdr:row>
      <xdr:rowOff>9525</xdr:rowOff>
    </xdr:from>
    <xdr:ext cx="323850" cy="180975"/>
    <xdr:sp macro="" textlink="">
      <xdr:nvSpPr>
        <xdr:cNvPr id="245" name="Shape 24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6</xdr:row>
      <xdr:rowOff>9525</xdr:rowOff>
    </xdr:from>
    <xdr:ext cx="323850" cy="180975"/>
    <xdr:sp macro="" textlink="">
      <xdr:nvSpPr>
        <xdr:cNvPr id="246" name="Shape 24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7</xdr:row>
      <xdr:rowOff>9525</xdr:rowOff>
    </xdr:from>
    <xdr:ext cx="323850" cy="180975"/>
    <xdr:sp macro="" textlink="">
      <xdr:nvSpPr>
        <xdr:cNvPr id="247" name="Shape 24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8</xdr:row>
      <xdr:rowOff>9525</xdr:rowOff>
    </xdr:from>
    <xdr:ext cx="323850" cy="180975"/>
    <xdr:sp macro="" textlink="">
      <xdr:nvSpPr>
        <xdr:cNvPr id="248" name="Shape 247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9</xdr:row>
      <xdr:rowOff>9525</xdr:rowOff>
    </xdr:from>
    <xdr:ext cx="323850" cy="180975"/>
    <xdr:sp macro="" textlink="">
      <xdr:nvSpPr>
        <xdr:cNvPr id="249" name="Shape 248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10</xdr:row>
      <xdr:rowOff>9525</xdr:rowOff>
    </xdr:from>
    <xdr:ext cx="323850" cy="180975"/>
    <xdr:sp macro="" textlink="">
      <xdr:nvSpPr>
        <xdr:cNvPr id="250" name="Shape 249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11</xdr:row>
      <xdr:rowOff>9525</xdr:rowOff>
    </xdr:from>
    <xdr:ext cx="323850" cy="180975"/>
    <xdr:sp macro="" textlink="">
      <xdr:nvSpPr>
        <xdr:cNvPr id="251" name="Shape 250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12</xdr:row>
      <xdr:rowOff>9525</xdr:rowOff>
    </xdr:from>
    <xdr:ext cx="323850" cy="180975"/>
    <xdr:sp macro="" textlink="">
      <xdr:nvSpPr>
        <xdr:cNvPr id="252" name="Shape 251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13</xdr:row>
      <xdr:rowOff>9525</xdr:rowOff>
    </xdr:from>
    <xdr:ext cx="323850" cy="180975"/>
    <xdr:sp macro="" textlink="">
      <xdr:nvSpPr>
        <xdr:cNvPr id="253" name="Shape 252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14</xdr:row>
      <xdr:rowOff>9525</xdr:rowOff>
    </xdr:from>
    <xdr:ext cx="323850" cy="180975"/>
    <xdr:sp macro="" textlink="">
      <xdr:nvSpPr>
        <xdr:cNvPr id="254" name="Shape 253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15</xdr:row>
      <xdr:rowOff>9525</xdr:rowOff>
    </xdr:from>
    <xdr:ext cx="323850" cy="180975"/>
    <xdr:sp macro="" textlink="">
      <xdr:nvSpPr>
        <xdr:cNvPr id="255" name="Shape 254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16</xdr:row>
      <xdr:rowOff>9525</xdr:rowOff>
    </xdr:from>
    <xdr:ext cx="323850" cy="180975"/>
    <xdr:sp macro="" textlink="">
      <xdr:nvSpPr>
        <xdr:cNvPr id="256" name="Shape 255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17</xdr:row>
      <xdr:rowOff>9525</xdr:rowOff>
    </xdr:from>
    <xdr:ext cx="323850" cy="180975"/>
    <xdr:sp macro="" textlink="">
      <xdr:nvSpPr>
        <xdr:cNvPr id="257" name="Shape 256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18</xdr:row>
      <xdr:rowOff>9525</xdr:rowOff>
    </xdr:from>
    <xdr:ext cx="323850" cy="180975"/>
    <xdr:sp macro="" textlink="">
      <xdr:nvSpPr>
        <xdr:cNvPr id="258" name="Shape 257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19</xdr:row>
      <xdr:rowOff>9525</xdr:rowOff>
    </xdr:from>
    <xdr:ext cx="323850" cy="180975"/>
    <xdr:sp macro="" textlink="">
      <xdr:nvSpPr>
        <xdr:cNvPr id="259" name="Shape 258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20</xdr:row>
      <xdr:rowOff>9525</xdr:rowOff>
    </xdr:from>
    <xdr:ext cx="323850" cy="180975"/>
    <xdr:sp macro="" textlink="">
      <xdr:nvSpPr>
        <xdr:cNvPr id="260" name="Shape 259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21</xdr:row>
      <xdr:rowOff>9525</xdr:rowOff>
    </xdr:from>
    <xdr:ext cx="323850" cy="180975"/>
    <xdr:sp macro="" textlink="">
      <xdr:nvSpPr>
        <xdr:cNvPr id="261" name="Shape 260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22</xdr:row>
      <xdr:rowOff>9525</xdr:rowOff>
    </xdr:from>
    <xdr:ext cx="323850" cy="180975"/>
    <xdr:sp macro="" textlink="">
      <xdr:nvSpPr>
        <xdr:cNvPr id="262" name="Shape 26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23</xdr:row>
      <xdr:rowOff>9525</xdr:rowOff>
    </xdr:from>
    <xdr:ext cx="323850" cy="180975"/>
    <xdr:sp macro="" textlink="">
      <xdr:nvSpPr>
        <xdr:cNvPr id="263" name="Shape 26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24</xdr:row>
      <xdr:rowOff>9525</xdr:rowOff>
    </xdr:from>
    <xdr:ext cx="323850" cy="180975"/>
    <xdr:sp macro="" textlink="">
      <xdr:nvSpPr>
        <xdr:cNvPr id="264" name="Shape 26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25</xdr:row>
      <xdr:rowOff>9525</xdr:rowOff>
    </xdr:from>
    <xdr:ext cx="323850" cy="180975"/>
    <xdr:sp macro="" textlink="">
      <xdr:nvSpPr>
        <xdr:cNvPr id="265" name="Shape 26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26</xdr:row>
      <xdr:rowOff>9525</xdr:rowOff>
    </xdr:from>
    <xdr:ext cx="323850" cy="180975"/>
    <xdr:sp macro="" textlink="">
      <xdr:nvSpPr>
        <xdr:cNvPr id="266" name="Shape 26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27</xdr:row>
      <xdr:rowOff>9525</xdr:rowOff>
    </xdr:from>
    <xdr:ext cx="323850" cy="180975"/>
    <xdr:sp macro="" textlink="">
      <xdr:nvSpPr>
        <xdr:cNvPr id="267" name="Shape 26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28</xdr:row>
      <xdr:rowOff>9525</xdr:rowOff>
    </xdr:from>
    <xdr:ext cx="323850" cy="180975"/>
    <xdr:sp macro="" textlink="">
      <xdr:nvSpPr>
        <xdr:cNvPr id="268" name="Shape 267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29</xdr:row>
      <xdr:rowOff>9525</xdr:rowOff>
    </xdr:from>
    <xdr:ext cx="323850" cy="180975"/>
    <xdr:sp macro="" textlink="">
      <xdr:nvSpPr>
        <xdr:cNvPr id="269" name="Shape 268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30</xdr:row>
      <xdr:rowOff>9525</xdr:rowOff>
    </xdr:from>
    <xdr:ext cx="323850" cy="180975"/>
    <xdr:sp macro="" textlink="">
      <xdr:nvSpPr>
        <xdr:cNvPr id="270" name="Shape 269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31</xdr:row>
      <xdr:rowOff>9525</xdr:rowOff>
    </xdr:from>
    <xdr:ext cx="323850" cy="180975"/>
    <xdr:sp macro="" textlink="">
      <xdr:nvSpPr>
        <xdr:cNvPr id="271" name="Shape 270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32</xdr:row>
      <xdr:rowOff>9525</xdr:rowOff>
    </xdr:from>
    <xdr:ext cx="323850" cy="180975"/>
    <xdr:sp macro="" textlink="">
      <xdr:nvSpPr>
        <xdr:cNvPr id="272" name="Shape 271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33</xdr:row>
      <xdr:rowOff>9525</xdr:rowOff>
    </xdr:from>
    <xdr:ext cx="323850" cy="180975"/>
    <xdr:sp macro="" textlink="">
      <xdr:nvSpPr>
        <xdr:cNvPr id="273" name="Shape 272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34</xdr:row>
      <xdr:rowOff>9525</xdr:rowOff>
    </xdr:from>
    <xdr:ext cx="323850" cy="180975"/>
    <xdr:sp macro="" textlink="">
      <xdr:nvSpPr>
        <xdr:cNvPr id="274" name="Shape 273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35</xdr:row>
      <xdr:rowOff>9525</xdr:rowOff>
    </xdr:from>
    <xdr:ext cx="323850" cy="180975"/>
    <xdr:sp macro="" textlink="">
      <xdr:nvSpPr>
        <xdr:cNvPr id="275" name="Shape 274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36</xdr:row>
      <xdr:rowOff>9525</xdr:rowOff>
    </xdr:from>
    <xdr:ext cx="323850" cy="180975"/>
    <xdr:sp macro="" textlink="">
      <xdr:nvSpPr>
        <xdr:cNvPr id="276" name="Shape 275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37</xdr:row>
      <xdr:rowOff>9525</xdr:rowOff>
    </xdr:from>
    <xdr:ext cx="323850" cy="180975"/>
    <xdr:sp macro="" textlink="">
      <xdr:nvSpPr>
        <xdr:cNvPr id="277" name="Shape 276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38</xdr:row>
      <xdr:rowOff>9525</xdr:rowOff>
    </xdr:from>
    <xdr:ext cx="323850" cy="180975"/>
    <xdr:sp macro="" textlink="">
      <xdr:nvSpPr>
        <xdr:cNvPr id="278" name="Shape 277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30</xdr:col>
      <xdr:colOff>0</xdr:colOff>
      <xdr:row>39</xdr:row>
      <xdr:rowOff>9525</xdr:rowOff>
    </xdr:from>
    <xdr:ext cx="323850" cy="180975"/>
    <xdr:sp macro="" textlink="">
      <xdr:nvSpPr>
        <xdr:cNvPr id="279" name="Shape 278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40</xdr:row>
      <xdr:rowOff>9525</xdr:rowOff>
    </xdr:from>
    <xdr:ext cx="323850" cy="180975"/>
    <xdr:sp macro="" textlink="">
      <xdr:nvSpPr>
        <xdr:cNvPr id="280" name="Shape 279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29</xdr:col>
      <xdr:colOff>0</xdr:colOff>
      <xdr:row>41</xdr:row>
      <xdr:rowOff>9525</xdr:rowOff>
    </xdr:from>
    <xdr:ext cx="323850" cy="180975"/>
    <xdr:sp macro="" textlink="">
      <xdr:nvSpPr>
        <xdr:cNvPr id="281" name="Shape 280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</xdr:row>
      <xdr:rowOff>9525</xdr:rowOff>
    </xdr:from>
    <xdr:ext cx="323850" cy="180975"/>
    <xdr:sp macro="" textlink="">
      <xdr:nvSpPr>
        <xdr:cNvPr id="282" name="Shape 281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</xdr:row>
      <xdr:rowOff>9525</xdr:rowOff>
    </xdr:from>
    <xdr:ext cx="323850" cy="180975"/>
    <xdr:sp macro="" textlink="">
      <xdr:nvSpPr>
        <xdr:cNvPr id="283" name="Shape 282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4</xdr:row>
      <xdr:rowOff>9525</xdr:rowOff>
    </xdr:from>
    <xdr:ext cx="323850" cy="180975"/>
    <xdr:sp macro="" textlink="">
      <xdr:nvSpPr>
        <xdr:cNvPr id="284" name="Shape 283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5</xdr:row>
      <xdr:rowOff>9525</xdr:rowOff>
    </xdr:from>
    <xdr:ext cx="323850" cy="180975"/>
    <xdr:sp macro="" textlink="">
      <xdr:nvSpPr>
        <xdr:cNvPr id="285" name="Shape 284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6</xdr:row>
      <xdr:rowOff>9525</xdr:rowOff>
    </xdr:from>
    <xdr:ext cx="323850" cy="180975"/>
    <xdr:sp macro="" textlink="">
      <xdr:nvSpPr>
        <xdr:cNvPr id="286" name="Shape 285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7</xdr:row>
      <xdr:rowOff>9525</xdr:rowOff>
    </xdr:from>
    <xdr:ext cx="323850" cy="180975"/>
    <xdr:sp macro="" textlink="">
      <xdr:nvSpPr>
        <xdr:cNvPr id="287" name="Shape 286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8</xdr:row>
      <xdr:rowOff>9525</xdr:rowOff>
    </xdr:from>
    <xdr:ext cx="323850" cy="180975"/>
    <xdr:sp macro="" textlink="">
      <xdr:nvSpPr>
        <xdr:cNvPr id="288" name="Shape 287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9</xdr:row>
      <xdr:rowOff>9525</xdr:rowOff>
    </xdr:from>
    <xdr:ext cx="323850" cy="180975"/>
    <xdr:sp macro="" textlink="">
      <xdr:nvSpPr>
        <xdr:cNvPr id="289" name="Shape 288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10</xdr:row>
      <xdr:rowOff>9525</xdr:rowOff>
    </xdr:from>
    <xdr:ext cx="323850" cy="180975"/>
    <xdr:sp macro="" textlink="">
      <xdr:nvSpPr>
        <xdr:cNvPr id="290" name="Shape 289">
          <a:extLst>
            <a:ext uri="{FF2B5EF4-FFF2-40B4-BE49-F238E27FC236}">
              <a16:creationId xmlns:a16="http://schemas.microsoft.com/office/drawing/2014/main" id="{00000000-0008-0000-0B00-00002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11</xdr:row>
      <xdr:rowOff>9525</xdr:rowOff>
    </xdr:from>
    <xdr:ext cx="323850" cy="180975"/>
    <xdr:sp macro="" textlink="">
      <xdr:nvSpPr>
        <xdr:cNvPr id="291" name="Shape 290">
          <a:extLst>
            <a:ext uri="{FF2B5EF4-FFF2-40B4-BE49-F238E27FC236}">
              <a16:creationId xmlns:a16="http://schemas.microsoft.com/office/drawing/2014/main" id="{00000000-0008-0000-0B00-00002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12</xdr:row>
      <xdr:rowOff>9525</xdr:rowOff>
    </xdr:from>
    <xdr:ext cx="323850" cy="180975"/>
    <xdr:sp macro="" textlink="">
      <xdr:nvSpPr>
        <xdr:cNvPr id="292" name="Shape 291">
          <a:extLst>
            <a:ext uri="{FF2B5EF4-FFF2-40B4-BE49-F238E27FC236}">
              <a16:creationId xmlns:a16="http://schemas.microsoft.com/office/drawing/2014/main" id="{00000000-0008-0000-0B00-00002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13</xdr:row>
      <xdr:rowOff>9525</xdr:rowOff>
    </xdr:from>
    <xdr:ext cx="323850" cy="180975"/>
    <xdr:sp macro="" textlink="">
      <xdr:nvSpPr>
        <xdr:cNvPr id="293" name="Shape 292">
          <a:extLst>
            <a:ext uri="{FF2B5EF4-FFF2-40B4-BE49-F238E27FC236}">
              <a16:creationId xmlns:a16="http://schemas.microsoft.com/office/drawing/2014/main" id="{00000000-0008-0000-0B00-00002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14</xdr:row>
      <xdr:rowOff>9525</xdr:rowOff>
    </xdr:from>
    <xdr:ext cx="323850" cy="180975"/>
    <xdr:sp macro="" textlink="">
      <xdr:nvSpPr>
        <xdr:cNvPr id="294" name="Shape 293">
          <a:extLst>
            <a:ext uri="{FF2B5EF4-FFF2-40B4-BE49-F238E27FC236}">
              <a16:creationId xmlns:a16="http://schemas.microsoft.com/office/drawing/2014/main" id="{00000000-0008-0000-0B00-00002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15</xdr:row>
      <xdr:rowOff>9525</xdr:rowOff>
    </xdr:from>
    <xdr:ext cx="323850" cy="180975"/>
    <xdr:sp macro="" textlink="">
      <xdr:nvSpPr>
        <xdr:cNvPr id="295" name="Shape 294">
          <a:extLst>
            <a:ext uri="{FF2B5EF4-FFF2-40B4-BE49-F238E27FC236}">
              <a16:creationId xmlns:a16="http://schemas.microsoft.com/office/drawing/2014/main" id="{00000000-0008-0000-0B00-00002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16</xdr:row>
      <xdr:rowOff>9525</xdr:rowOff>
    </xdr:from>
    <xdr:ext cx="323850" cy="180975"/>
    <xdr:sp macro="" textlink="">
      <xdr:nvSpPr>
        <xdr:cNvPr id="296" name="Shape 295">
          <a:extLst>
            <a:ext uri="{FF2B5EF4-FFF2-40B4-BE49-F238E27FC236}">
              <a16:creationId xmlns:a16="http://schemas.microsoft.com/office/drawing/2014/main" id="{00000000-0008-0000-0B00-00002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17</xdr:row>
      <xdr:rowOff>9525</xdr:rowOff>
    </xdr:from>
    <xdr:ext cx="323850" cy="180975"/>
    <xdr:sp macro="" textlink="">
      <xdr:nvSpPr>
        <xdr:cNvPr id="297" name="Shape 296">
          <a:extLst>
            <a:ext uri="{FF2B5EF4-FFF2-40B4-BE49-F238E27FC236}">
              <a16:creationId xmlns:a16="http://schemas.microsoft.com/office/drawing/2014/main" id="{00000000-0008-0000-0B00-00002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18</xdr:row>
      <xdr:rowOff>9525</xdr:rowOff>
    </xdr:from>
    <xdr:ext cx="323850" cy="180975"/>
    <xdr:sp macro="" textlink="">
      <xdr:nvSpPr>
        <xdr:cNvPr id="298" name="Shape 297">
          <a:extLst>
            <a:ext uri="{FF2B5EF4-FFF2-40B4-BE49-F238E27FC236}">
              <a16:creationId xmlns:a16="http://schemas.microsoft.com/office/drawing/2014/main" id="{00000000-0008-0000-0B00-00002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19</xdr:row>
      <xdr:rowOff>9525</xdr:rowOff>
    </xdr:from>
    <xdr:ext cx="323850" cy="180975"/>
    <xdr:sp macro="" textlink="">
      <xdr:nvSpPr>
        <xdr:cNvPr id="299" name="Shape 298">
          <a:extLst>
            <a:ext uri="{FF2B5EF4-FFF2-40B4-BE49-F238E27FC236}">
              <a16:creationId xmlns:a16="http://schemas.microsoft.com/office/drawing/2014/main" id="{00000000-0008-0000-0B00-00002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20</xdr:row>
      <xdr:rowOff>9525</xdr:rowOff>
    </xdr:from>
    <xdr:ext cx="323850" cy="180975"/>
    <xdr:sp macro="" textlink="">
      <xdr:nvSpPr>
        <xdr:cNvPr id="300" name="Shape 299">
          <a:extLst>
            <a:ext uri="{FF2B5EF4-FFF2-40B4-BE49-F238E27FC236}">
              <a16:creationId xmlns:a16="http://schemas.microsoft.com/office/drawing/2014/main" id="{00000000-0008-0000-0B00-00002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21</xdr:row>
      <xdr:rowOff>9525</xdr:rowOff>
    </xdr:from>
    <xdr:ext cx="323850" cy="180975"/>
    <xdr:sp macro="" textlink="">
      <xdr:nvSpPr>
        <xdr:cNvPr id="301" name="Shape 300">
          <a:extLst>
            <a:ext uri="{FF2B5EF4-FFF2-40B4-BE49-F238E27FC236}">
              <a16:creationId xmlns:a16="http://schemas.microsoft.com/office/drawing/2014/main" id="{00000000-0008-0000-0B00-00002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22</xdr:row>
      <xdr:rowOff>9525</xdr:rowOff>
    </xdr:from>
    <xdr:ext cx="323850" cy="180975"/>
    <xdr:sp macro="" textlink="">
      <xdr:nvSpPr>
        <xdr:cNvPr id="302" name="Shape 301">
          <a:extLst>
            <a:ext uri="{FF2B5EF4-FFF2-40B4-BE49-F238E27FC236}">
              <a16:creationId xmlns:a16="http://schemas.microsoft.com/office/drawing/2014/main" id="{00000000-0008-0000-0B00-00002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23</xdr:row>
      <xdr:rowOff>9525</xdr:rowOff>
    </xdr:from>
    <xdr:ext cx="323850" cy="180975"/>
    <xdr:sp macro="" textlink="">
      <xdr:nvSpPr>
        <xdr:cNvPr id="303" name="Shape 302">
          <a:extLst>
            <a:ext uri="{FF2B5EF4-FFF2-40B4-BE49-F238E27FC236}">
              <a16:creationId xmlns:a16="http://schemas.microsoft.com/office/drawing/2014/main" id="{00000000-0008-0000-0B00-00002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24</xdr:row>
      <xdr:rowOff>9525</xdr:rowOff>
    </xdr:from>
    <xdr:ext cx="323850" cy="180975"/>
    <xdr:sp macro="" textlink="">
      <xdr:nvSpPr>
        <xdr:cNvPr id="304" name="Shape 303">
          <a:extLst>
            <a:ext uri="{FF2B5EF4-FFF2-40B4-BE49-F238E27FC236}">
              <a16:creationId xmlns:a16="http://schemas.microsoft.com/office/drawing/2014/main" id="{00000000-0008-0000-0B00-00003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25</xdr:row>
      <xdr:rowOff>9525</xdr:rowOff>
    </xdr:from>
    <xdr:ext cx="323850" cy="180975"/>
    <xdr:sp macro="" textlink="">
      <xdr:nvSpPr>
        <xdr:cNvPr id="305" name="Shape 304">
          <a:extLst>
            <a:ext uri="{FF2B5EF4-FFF2-40B4-BE49-F238E27FC236}">
              <a16:creationId xmlns:a16="http://schemas.microsoft.com/office/drawing/2014/main" id="{00000000-0008-0000-0B00-00003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26</xdr:row>
      <xdr:rowOff>9525</xdr:rowOff>
    </xdr:from>
    <xdr:ext cx="323850" cy="180975"/>
    <xdr:sp macro="" textlink="">
      <xdr:nvSpPr>
        <xdr:cNvPr id="306" name="Shape 305">
          <a:extLst>
            <a:ext uri="{FF2B5EF4-FFF2-40B4-BE49-F238E27FC236}">
              <a16:creationId xmlns:a16="http://schemas.microsoft.com/office/drawing/2014/main" id="{00000000-0008-0000-0B00-00003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27</xdr:row>
      <xdr:rowOff>9525</xdr:rowOff>
    </xdr:from>
    <xdr:ext cx="323850" cy="180975"/>
    <xdr:sp macro="" textlink="">
      <xdr:nvSpPr>
        <xdr:cNvPr id="307" name="Shape 306">
          <a:extLst>
            <a:ext uri="{FF2B5EF4-FFF2-40B4-BE49-F238E27FC236}">
              <a16:creationId xmlns:a16="http://schemas.microsoft.com/office/drawing/2014/main" id="{00000000-0008-0000-0B00-00003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28</xdr:row>
      <xdr:rowOff>9525</xdr:rowOff>
    </xdr:from>
    <xdr:ext cx="323850" cy="180975"/>
    <xdr:sp macro="" textlink="">
      <xdr:nvSpPr>
        <xdr:cNvPr id="308" name="Shape 307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29</xdr:row>
      <xdr:rowOff>9525</xdr:rowOff>
    </xdr:from>
    <xdr:ext cx="323850" cy="180975"/>
    <xdr:sp macro="" textlink="">
      <xdr:nvSpPr>
        <xdr:cNvPr id="309" name="Shape 308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30</xdr:row>
      <xdr:rowOff>9525</xdr:rowOff>
    </xdr:from>
    <xdr:ext cx="323850" cy="180975"/>
    <xdr:sp macro="" textlink="">
      <xdr:nvSpPr>
        <xdr:cNvPr id="310" name="Shape 309">
          <a:extLst>
            <a:ext uri="{FF2B5EF4-FFF2-40B4-BE49-F238E27FC236}">
              <a16:creationId xmlns:a16="http://schemas.microsoft.com/office/drawing/2014/main" id="{00000000-0008-0000-0B00-00003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31</xdr:row>
      <xdr:rowOff>9525</xdr:rowOff>
    </xdr:from>
    <xdr:ext cx="323850" cy="180975"/>
    <xdr:sp macro="" textlink="">
      <xdr:nvSpPr>
        <xdr:cNvPr id="311" name="Shape 310">
          <a:extLst>
            <a:ext uri="{FF2B5EF4-FFF2-40B4-BE49-F238E27FC236}">
              <a16:creationId xmlns:a16="http://schemas.microsoft.com/office/drawing/2014/main" id="{00000000-0008-0000-0B00-00003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32</xdr:row>
      <xdr:rowOff>9525</xdr:rowOff>
    </xdr:from>
    <xdr:ext cx="323850" cy="180975"/>
    <xdr:sp macro="" textlink="">
      <xdr:nvSpPr>
        <xdr:cNvPr id="312" name="Shape 311">
          <a:extLst>
            <a:ext uri="{FF2B5EF4-FFF2-40B4-BE49-F238E27FC236}">
              <a16:creationId xmlns:a16="http://schemas.microsoft.com/office/drawing/2014/main" id="{00000000-0008-0000-0B00-00003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33</xdr:row>
      <xdr:rowOff>9525</xdr:rowOff>
    </xdr:from>
    <xdr:ext cx="323850" cy="180975"/>
    <xdr:sp macro="" textlink="">
      <xdr:nvSpPr>
        <xdr:cNvPr id="313" name="Shape 312">
          <a:extLst>
            <a:ext uri="{FF2B5EF4-FFF2-40B4-BE49-F238E27FC236}">
              <a16:creationId xmlns:a16="http://schemas.microsoft.com/office/drawing/2014/main" id="{00000000-0008-0000-0B00-00003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34</xdr:row>
      <xdr:rowOff>9525</xdr:rowOff>
    </xdr:from>
    <xdr:ext cx="323850" cy="180975"/>
    <xdr:sp macro="" textlink="">
      <xdr:nvSpPr>
        <xdr:cNvPr id="314" name="Shape 313">
          <a:extLst>
            <a:ext uri="{FF2B5EF4-FFF2-40B4-BE49-F238E27FC236}">
              <a16:creationId xmlns:a16="http://schemas.microsoft.com/office/drawing/2014/main" id="{00000000-0008-0000-0B00-00003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35</xdr:row>
      <xdr:rowOff>9525</xdr:rowOff>
    </xdr:from>
    <xdr:ext cx="323850" cy="180975"/>
    <xdr:sp macro="" textlink="">
      <xdr:nvSpPr>
        <xdr:cNvPr id="315" name="Shape 314">
          <a:extLst>
            <a:ext uri="{FF2B5EF4-FFF2-40B4-BE49-F238E27FC236}">
              <a16:creationId xmlns:a16="http://schemas.microsoft.com/office/drawing/2014/main" id="{00000000-0008-0000-0B00-00003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36</xdr:row>
      <xdr:rowOff>9525</xdr:rowOff>
    </xdr:from>
    <xdr:ext cx="323850" cy="180975"/>
    <xdr:sp macro="" textlink="">
      <xdr:nvSpPr>
        <xdr:cNvPr id="316" name="Shape 315">
          <a:extLst>
            <a:ext uri="{FF2B5EF4-FFF2-40B4-BE49-F238E27FC236}">
              <a16:creationId xmlns:a16="http://schemas.microsoft.com/office/drawing/2014/main" id="{00000000-0008-0000-0B00-00003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33</xdr:col>
      <xdr:colOff>0</xdr:colOff>
      <xdr:row>37</xdr:row>
      <xdr:rowOff>9525</xdr:rowOff>
    </xdr:from>
    <xdr:ext cx="323850" cy="180975"/>
    <xdr:sp macro="" textlink="">
      <xdr:nvSpPr>
        <xdr:cNvPr id="317" name="Shape 316">
          <a:extLst>
            <a:ext uri="{FF2B5EF4-FFF2-40B4-BE49-F238E27FC236}">
              <a16:creationId xmlns:a16="http://schemas.microsoft.com/office/drawing/2014/main" id="{00000000-0008-0000-0B00-00003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38</xdr:row>
      <xdr:rowOff>9525</xdr:rowOff>
    </xdr:from>
    <xdr:ext cx="323850" cy="180975"/>
    <xdr:sp macro="" textlink="">
      <xdr:nvSpPr>
        <xdr:cNvPr id="318" name="Shape 317">
          <a:extLst>
            <a:ext uri="{FF2B5EF4-FFF2-40B4-BE49-F238E27FC236}">
              <a16:creationId xmlns:a16="http://schemas.microsoft.com/office/drawing/2014/main" id="{00000000-0008-0000-0B00-00003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39</xdr:row>
      <xdr:rowOff>9525</xdr:rowOff>
    </xdr:from>
    <xdr:ext cx="323850" cy="180975"/>
    <xdr:sp macro="" textlink="">
      <xdr:nvSpPr>
        <xdr:cNvPr id="319" name="Shape 318">
          <a:extLst>
            <a:ext uri="{FF2B5EF4-FFF2-40B4-BE49-F238E27FC236}">
              <a16:creationId xmlns:a16="http://schemas.microsoft.com/office/drawing/2014/main" id="{00000000-0008-0000-0B00-00003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40</xdr:row>
      <xdr:rowOff>9525</xdr:rowOff>
    </xdr:from>
    <xdr:ext cx="323850" cy="180975"/>
    <xdr:sp macro="" textlink="">
      <xdr:nvSpPr>
        <xdr:cNvPr id="320" name="Shape 319">
          <a:extLst>
            <a:ext uri="{FF2B5EF4-FFF2-40B4-BE49-F238E27FC236}">
              <a16:creationId xmlns:a16="http://schemas.microsoft.com/office/drawing/2014/main" id="{00000000-0008-0000-0B00-00004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34</xdr:col>
      <xdr:colOff>0</xdr:colOff>
      <xdr:row>41</xdr:row>
      <xdr:rowOff>9525</xdr:rowOff>
    </xdr:from>
    <xdr:ext cx="323850" cy="180975"/>
    <xdr:sp macro="" textlink="">
      <xdr:nvSpPr>
        <xdr:cNvPr id="321" name="Shape 320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</xdr:row>
      <xdr:rowOff>9525</xdr:rowOff>
    </xdr:from>
    <xdr:ext cx="323850" cy="180975"/>
    <xdr:sp macro="" textlink="">
      <xdr:nvSpPr>
        <xdr:cNvPr id="322" name="Shape 321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</xdr:row>
      <xdr:rowOff>9525</xdr:rowOff>
    </xdr:from>
    <xdr:ext cx="323850" cy="180975"/>
    <xdr:sp macro="" textlink="">
      <xdr:nvSpPr>
        <xdr:cNvPr id="323" name="Shape 322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4</xdr:row>
      <xdr:rowOff>9525</xdr:rowOff>
    </xdr:from>
    <xdr:ext cx="323850" cy="180975"/>
    <xdr:sp macro="" textlink="">
      <xdr:nvSpPr>
        <xdr:cNvPr id="324" name="Shape 323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5</xdr:row>
      <xdr:rowOff>9525</xdr:rowOff>
    </xdr:from>
    <xdr:ext cx="323850" cy="180975"/>
    <xdr:sp macro="" textlink="">
      <xdr:nvSpPr>
        <xdr:cNvPr id="325" name="Shape 324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6</xdr:row>
      <xdr:rowOff>9525</xdr:rowOff>
    </xdr:from>
    <xdr:ext cx="323850" cy="180975"/>
    <xdr:sp macro="" textlink="">
      <xdr:nvSpPr>
        <xdr:cNvPr id="326" name="Shape 325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7</xdr:row>
      <xdr:rowOff>9525</xdr:rowOff>
    </xdr:from>
    <xdr:ext cx="323850" cy="180975"/>
    <xdr:sp macro="" textlink="">
      <xdr:nvSpPr>
        <xdr:cNvPr id="327" name="Shape 326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8</xdr:row>
      <xdr:rowOff>9525</xdr:rowOff>
    </xdr:from>
    <xdr:ext cx="323850" cy="180975"/>
    <xdr:sp macro="" textlink="">
      <xdr:nvSpPr>
        <xdr:cNvPr id="328" name="Shape 327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9</xdr:row>
      <xdr:rowOff>9525</xdr:rowOff>
    </xdr:from>
    <xdr:ext cx="323850" cy="180975"/>
    <xdr:sp macro="" textlink="">
      <xdr:nvSpPr>
        <xdr:cNvPr id="329" name="Shape 328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10</xdr:row>
      <xdr:rowOff>9525</xdr:rowOff>
    </xdr:from>
    <xdr:ext cx="323850" cy="180975"/>
    <xdr:sp macro="" textlink="">
      <xdr:nvSpPr>
        <xdr:cNvPr id="330" name="Shape 329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11</xdr:row>
      <xdr:rowOff>9525</xdr:rowOff>
    </xdr:from>
    <xdr:ext cx="323850" cy="180975"/>
    <xdr:sp macro="" textlink="">
      <xdr:nvSpPr>
        <xdr:cNvPr id="331" name="Shape 330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12</xdr:row>
      <xdr:rowOff>9525</xdr:rowOff>
    </xdr:from>
    <xdr:ext cx="323850" cy="180975"/>
    <xdr:sp macro="" textlink="">
      <xdr:nvSpPr>
        <xdr:cNvPr id="332" name="Shape 331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13</xdr:row>
      <xdr:rowOff>9525</xdr:rowOff>
    </xdr:from>
    <xdr:ext cx="323850" cy="180975"/>
    <xdr:sp macro="" textlink="">
      <xdr:nvSpPr>
        <xdr:cNvPr id="333" name="Shape 332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14</xdr:row>
      <xdr:rowOff>9525</xdr:rowOff>
    </xdr:from>
    <xdr:ext cx="323850" cy="180975"/>
    <xdr:sp macro="" textlink="">
      <xdr:nvSpPr>
        <xdr:cNvPr id="334" name="Shape 333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15</xdr:row>
      <xdr:rowOff>9525</xdr:rowOff>
    </xdr:from>
    <xdr:ext cx="323850" cy="180975"/>
    <xdr:sp macro="" textlink="">
      <xdr:nvSpPr>
        <xdr:cNvPr id="335" name="Shape 334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16</xdr:row>
      <xdr:rowOff>9525</xdr:rowOff>
    </xdr:from>
    <xdr:ext cx="323850" cy="180975"/>
    <xdr:sp macro="" textlink="">
      <xdr:nvSpPr>
        <xdr:cNvPr id="336" name="Shape 335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17</xdr:row>
      <xdr:rowOff>9525</xdr:rowOff>
    </xdr:from>
    <xdr:ext cx="323850" cy="180975"/>
    <xdr:sp macro="" textlink="">
      <xdr:nvSpPr>
        <xdr:cNvPr id="337" name="Shape 336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18</xdr:row>
      <xdr:rowOff>9525</xdr:rowOff>
    </xdr:from>
    <xdr:ext cx="323850" cy="180975"/>
    <xdr:sp macro="" textlink="">
      <xdr:nvSpPr>
        <xdr:cNvPr id="338" name="Shape 337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19</xdr:row>
      <xdr:rowOff>9525</xdr:rowOff>
    </xdr:from>
    <xdr:ext cx="323850" cy="180975"/>
    <xdr:sp macro="" textlink="">
      <xdr:nvSpPr>
        <xdr:cNvPr id="339" name="Shape 338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20</xdr:row>
      <xdr:rowOff>9525</xdr:rowOff>
    </xdr:from>
    <xdr:ext cx="323850" cy="180975"/>
    <xdr:sp macro="" textlink="">
      <xdr:nvSpPr>
        <xdr:cNvPr id="340" name="Shape 339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21</xdr:row>
      <xdr:rowOff>9525</xdr:rowOff>
    </xdr:from>
    <xdr:ext cx="323850" cy="180975"/>
    <xdr:sp macro="" textlink="">
      <xdr:nvSpPr>
        <xdr:cNvPr id="341" name="Shape 340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22</xdr:row>
      <xdr:rowOff>9525</xdr:rowOff>
    </xdr:from>
    <xdr:ext cx="323850" cy="180975"/>
    <xdr:sp macro="" textlink="">
      <xdr:nvSpPr>
        <xdr:cNvPr id="342" name="Shape 34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23</xdr:row>
      <xdr:rowOff>9525</xdr:rowOff>
    </xdr:from>
    <xdr:ext cx="323850" cy="180975"/>
    <xdr:sp macro="" textlink="">
      <xdr:nvSpPr>
        <xdr:cNvPr id="343" name="Shape 342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24</xdr:row>
      <xdr:rowOff>9525</xdr:rowOff>
    </xdr:from>
    <xdr:ext cx="323850" cy="180975"/>
    <xdr:sp macro="" textlink="">
      <xdr:nvSpPr>
        <xdr:cNvPr id="344" name="Shape 343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25</xdr:row>
      <xdr:rowOff>9525</xdr:rowOff>
    </xdr:from>
    <xdr:ext cx="323850" cy="180975"/>
    <xdr:sp macro="" textlink="">
      <xdr:nvSpPr>
        <xdr:cNvPr id="345" name="Shape 344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26</xdr:row>
      <xdr:rowOff>9525</xdr:rowOff>
    </xdr:from>
    <xdr:ext cx="323850" cy="180975"/>
    <xdr:sp macro="" textlink="">
      <xdr:nvSpPr>
        <xdr:cNvPr id="346" name="Shape 345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27</xdr:row>
      <xdr:rowOff>9525</xdr:rowOff>
    </xdr:from>
    <xdr:ext cx="323850" cy="180975"/>
    <xdr:sp macro="" textlink="">
      <xdr:nvSpPr>
        <xdr:cNvPr id="347" name="Shape 346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28</xdr:row>
      <xdr:rowOff>9525</xdr:rowOff>
    </xdr:from>
    <xdr:ext cx="323850" cy="180975"/>
    <xdr:sp macro="" textlink="">
      <xdr:nvSpPr>
        <xdr:cNvPr id="348" name="Shape 347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29</xdr:row>
      <xdr:rowOff>9525</xdr:rowOff>
    </xdr:from>
    <xdr:ext cx="323850" cy="180975"/>
    <xdr:sp macro="" textlink="">
      <xdr:nvSpPr>
        <xdr:cNvPr id="349" name="Shape 348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30</xdr:row>
      <xdr:rowOff>9525</xdr:rowOff>
    </xdr:from>
    <xdr:ext cx="323850" cy="180975"/>
    <xdr:sp macro="" textlink="">
      <xdr:nvSpPr>
        <xdr:cNvPr id="350" name="Shape 349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31</xdr:row>
      <xdr:rowOff>9525</xdr:rowOff>
    </xdr:from>
    <xdr:ext cx="323850" cy="180975"/>
    <xdr:sp macro="" textlink="">
      <xdr:nvSpPr>
        <xdr:cNvPr id="351" name="Shape 350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32</xdr:row>
      <xdr:rowOff>9525</xdr:rowOff>
    </xdr:from>
    <xdr:ext cx="323850" cy="180975"/>
    <xdr:sp macro="" textlink="">
      <xdr:nvSpPr>
        <xdr:cNvPr id="352" name="Shape 351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33</xdr:row>
      <xdr:rowOff>9525</xdr:rowOff>
    </xdr:from>
    <xdr:ext cx="323850" cy="180975"/>
    <xdr:sp macro="" textlink="">
      <xdr:nvSpPr>
        <xdr:cNvPr id="353" name="Shape 352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34</xdr:row>
      <xdr:rowOff>9525</xdr:rowOff>
    </xdr:from>
    <xdr:ext cx="323850" cy="180975"/>
    <xdr:sp macro="" textlink="">
      <xdr:nvSpPr>
        <xdr:cNvPr id="354" name="Shape 353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35</xdr:row>
      <xdr:rowOff>9525</xdr:rowOff>
    </xdr:from>
    <xdr:ext cx="323850" cy="180975"/>
    <xdr:sp macro="" textlink="">
      <xdr:nvSpPr>
        <xdr:cNvPr id="355" name="Shape 354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36</xdr:row>
      <xdr:rowOff>9525</xdr:rowOff>
    </xdr:from>
    <xdr:ext cx="323850" cy="180975"/>
    <xdr:sp macro="" textlink="">
      <xdr:nvSpPr>
        <xdr:cNvPr id="356" name="Shape 355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37</xdr:row>
      <xdr:rowOff>9525</xdr:rowOff>
    </xdr:from>
    <xdr:ext cx="323850" cy="180975"/>
    <xdr:sp macro="" textlink="">
      <xdr:nvSpPr>
        <xdr:cNvPr id="357" name="Shape 356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38</xdr:row>
      <xdr:rowOff>9525</xdr:rowOff>
    </xdr:from>
    <xdr:ext cx="323850" cy="180975"/>
    <xdr:sp macro="" textlink="">
      <xdr:nvSpPr>
        <xdr:cNvPr id="358" name="Shape 357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38</xdr:col>
      <xdr:colOff>0</xdr:colOff>
      <xdr:row>39</xdr:row>
      <xdr:rowOff>9525</xdr:rowOff>
    </xdr:from>
    <xdr:ext cx="323850" cy="180975"/>
    <xdr:sp macro="" textlink="">
      <xdr:nvSpPr>
        <xdr:cNvPr id="359" name="Shape 358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40</xdr:row>
      <xdr:rowOff>9525</xdr:rowOff>
    </xdr:from>
    <xdr:ext cx="323850" cy="180975"/>
    <xdr:sp macro="" textlink="">
      <xdr:nvSpPr>
        <xdr:cNvPr id="360" name="Shape 359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37</xdr:col>
      <xdr:colOff>0</xdr:colOff>
      <xdr:row>41</xdr:row>
      <xdr:rowOff>9525</xdr:rowOff>
    </xdr:from>
    <xdr:ext cx="323850" cy="180975"/>
    <xdr:sp macro="" textlink="">
      <xdr:nvSpPr>
        <xdr:cNvPr id="361" name="Shape 360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</xdr:row>
      <xdr:rowOff>9525</xdr:rowOff>
    </xdr:from>
    <xdr:ext cx="323850" cy="180975"/>
    <xdr:sp macro="" textlink="">
      <xdr:nvSpPr>
        <xdr:cNvPr id="362" name="Shape 361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</xdr:row>
      <xdr:rowOff>9525</xdr:rowOff>
    </xdr:from>
    <xdr:ext cx="323850" cy="180975"/>
    <xdr:sp macro="" textlink="">
      <xdr:nvSpPr>
        <xdr:cNvPr id="363" name="Shape 362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4</xdr:row>
      <xdr:rowOff>9525</xdr:rowOff>
    </xdr:from>
    <xdr:ext cx="323850" cy="180975"/>
    <xdr:sp macro="" textlink="">
      <xdr:nvSpPr>
        <xdr:cNvPr id="364" name="Shape 363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5</xdr:row>
      <xdr:rowOff>9525</xdr:rowOff>
    </xdr:from>
    <xdr:ext cx="323850" cy="180975"/>
    <xdr:sp macro="" textlink="">
      <xdr:nvSpPr>
        <xdr:cNvPr id="365" name="Shape 364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6</xdr:row>
      <xdr:rowOff>9525</xdr:rowOff>
    </xdr:from>
    <xdr:ext cx="323850" cy="180975"/>
    <xdr:sp macro="" textlink="">
      <xdr:nvSpPr>
        <xdr:cNvPr id="366" name="Shape 365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7</xdr:row>
      <xdr:rowOff>9525</xdr:rowOff>
    </xdr:from>
    <xdr:ext cx="323850" cy="180975"/>
    <xdr:sp macro="" textlink="">
      <xdr:nvSpPr>
        <xdr:cNvPr id="367" name="Shape 366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8</xdr:row>
      <xdr:rowOff>9525</xdr:rowOff>
    </xdr:from>
    <xdr:ext cx="323850" cy="180975"/>
    <xdr:sp macro="" textlink="">
      <xdr:nvSpPr>
        <xdr:cNvPr id="368" name="Shape 367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9</xdr:row>
      <xdr:rowOff>9525</xdr:rowOff>
    </xdr:from>
    <xdr:ext cx="323850" cy="180975"/>
    <xdr:sp macro="" textlink="">
      <xdr:nvSpPr>
        <xdr:cNvPr id="369" name="Shape 368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10</xdr:row>
      <xdr:rowOff>9525</xdr:rowOff>
    </xdr:from>
    <xdr:ext cx="323850" cy="180975"/>
    <xdr:sp macro="" textlink="">
      <xdr:nvSpPr>
        <xdr:cNvPr id="370" name="Shape 369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11</xdr:row>
      <xdr:rowOff>9525</xdr:rowOff>
    </xdr:from>
    <xdr:ext cx="323850" cy="180975"/>
    <xdr:sp macro="" textlink="">
      <xdr:nvSpPr>
        <xdr:cNvPr id="371" name="Shape 370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12</xdr:row>
      <xdr:rowOff>9525</xdr:rowOff>
    </xdr:from>
    <xdr:ext cx="323850" cy="180975"/>
    <xdr:sp macro="" textlink="">
      <xdr:nvSpPr>
        <xdr:cNvPr id="372" name="Shape 371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13</xdr:row>
      <xdr:rowOff>9525</xdr:rowOff>
    </xdr:from>
    <xdr:ext cx="323850" cy="180975"/>
    <xdr:sp macro="" textlink="">
      <xdr:nvSpPr>
        <xdr:cNvPr id="373" name="Shape 372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14</xdr:row>
      <xdr:rowOff>9525</xdr:rowOff>
    </xdr:from>
    <xdr:ext cx="323850" cy="180975"/>
    <xdr:sp macro="" textlink="">
      <xdr:nvSpPr>
        <xdr:cNvPr id="374" name="Shape 373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15</xdr:row>
      <xdr:rowOff>9525</xdr:rowOff>
    </xdr:from>
    <xdr:ext cx="323850" cy="180975"/>
    <xdr:sp macro="" textlink="">
      <xdr:nvSpPr>
        <xdr:cNvPr id="375" name="Shape 374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16</xdr:row>
      <xdr:rowOff>9525</xdr:rowOff>
    </xdr:from>
    <xdr:ext cx="323850" cy="180975"/>
    <xdr:sp macro="" textlink="">
      <xdr:nvSpPr>
        <xdr:cNvPr id="376" name="Shape 375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17</xdr:row>
      <xdr:rowOff>9525</xdr:rowOff>
    </xdr:from>
    <xdr:ext cx="323850" cy="180975"/>
    <xdr:sp macro="" textlink="">
      <xdr:nvSpPr>
        <xdr:cNvPr id="377" name="Shape 376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18</xdr:row>
      <xdr:rowOff>9525</xdr:rowOff>
    </xdr:from>
    <xdr:ext cx="323850" cy="180975"/>
    <xdr:sp macro="" textlink="">
      <xdr:nvSpPr>
        <xdr:cNvPr id="378" name="Shape 377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19</xdr:row>
      <xdr:rowOff>9525</xdr:rowOff>
    </xdr:from>
    <xdr:ext cx="323850" cy="180975"/>
    <xdr:sp macro="" textlink="">
      <xdr:nvSpPr>
        <xdr:cNvPr id="379" name="Shape 378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20</xdr:row>
      <xdr:rowOff>9525</xdr:rowOff>
    </xdr:from>
    <xdr:ext cx="323850" cy="180975"/>
    <xdr:sp macro="" textlink="">
      <xdr:nvSpPr>
        <xdr:cNvPr id="380" name="Shape 379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21</xdr:row>
      <xdr:rowOff>9525</xdr:rowOff>
    </xdr:from>
    <xdr:ext cx="323850" cy="180975"/>
    <xdr:sp macro="" textlink="">
      <xdr:nvSpPr>
        <xdr:cNvPr id="381" name="Shape 380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22</xdr:row>
      <xdr:rowOff>9525</xdr:rowOff>
    </xdr:from>
    <xdr:ext cx="323850" cy="180975"/>
    <xdr:sp macro="" textlink="">
      <xdr:nvSpPr>
        <xdr:cNvPr id="382" name="Shape 38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23</xdr:row>
      <xdr:rowOff>9525</xdr:rowOff>
    </xdr:from>
    <xdr:ext cx="323850" cy="180975"/>
    <xdr:sp macro="" textlink="">
      <xdr:nvSpPr>
        <xdr:cNvPr id="383" name="Shape 38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24</xdr:row>
      <xdr:rowOff>9525</xdr:rowOff>
    </xdr:from>
    <xdr:ext cx="323850" cy="180975"/>
    <xdr:sp macro="" textlink="">
      <xdr:nvSpPr>
        <xdr:cNvPr id="384" name="Shape 38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25</xdr:row>
      <xdr:rowOff>9525</xdr:rowOff>
    </xdr:from>
    <xdr:ext cx="323850" cy="180975"/>
    <xdr:sp macro="" textlink="">
      <xdr:nvSpPr>
        <xdr:cNvPr id="385" name="Shape 38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26</xdr:row>
      <xdr:rowOff>9525</xdr:rowOff>
    </xdr:from>
    <xdr:ext cx="323850" cy="180975"/>
    <xdr:sp macro="" textlink="">
      <xdr:nvSpPr>
        <xdr:cNvPr id="386" name="Shape 38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27</xdr:row>
      <xdr:rowOff>9525</xdr:rowOff>
    </xdr:from>
    <xdr:ext cx="323850" cy="180975"/>
    <xdr:sp macro="" textlink="">
      <xdr:nvSpPr>
        <xdr:cNvPr id="387" name="Shape 38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28</xdr:row>
      <xdr:rowOff>9525</xdr:rowOff>
    </xdr:from>
    <xdr:ext cx="323850" cy="180975"/>
    <xdr:sp macro="" textlink="">
      <xdr:nvSpPr>
        <xdr:cNvPr id="388" name="Shape 387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29</xdr:row>
      <xdr:rowOff>9525</xdr:rowOff>
    </xdr:from>
    <xdr:ext cx="323850" cy="180975"/>
    <xdr:sp macro="" textlink="">
      <xdr:nvSpPr>
        <xdr:cNvPr id="389" name="Shape 388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30</xdr:row>
      <xdr:rowOff>9525</xdr:rowOff>
    </xdr:from>
    <xdr:ext cx="323850" cy="180975"/>
    <xdr:sp macro="" textlink="">
      <xdr:nvSpPr>
        <xdr:cNvPr id="390" name="Shape 389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31</xdr:row>
      <xdr:rowOff>9525</xdr:rowOff>
    </xdr:from>
    <xdr:ext cx="323850" cy="180975"/>
    <xdr:sp macro="" textlink="">
      <xdr:nvSpPr>
        <xdr:cNvPr id="391" name="Shape 390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32</xdr:row>
      <xdr:rowOff>9525</xdr:rowOff>
    </xdr:from>
    <xdr:ext cx="323850" cy="180975"/>
    <xdr:sp macro="" textlink="">
      <xdr:nvSpPr>
        <xdr:cNvPr id="392" name="Shape 391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33</xdr:row>
      <xdr:rowOff>9525</xdr:rowOff>
    </xdr:from>
    <xdr:ext cx="323850" cy="180975"/>
    <xdr:sp macro="" textlink="">
      <xdr:nvSpPr>
        <xdr:cNvPr id="393" name="Shape 392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34</xdr:row>
      <xdr:rowOff>9525</xdr:rowOff>
    </xdr:from>
    <xdr:ext cx="323850" cy="180975"/>
    <xdr:sp macro="" textlink="">
      <xdr:nvSpPr>
        <xdr:cNvPr id="394" name="Shape 393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35</xdr:row>
      <xdr:rowOff>9525</xdr:rowOff>
    </xdr:from>
    <xdr:ext cx="323850" cy="180975"/>
    <xdr:sp macro="" textlink="">
      <xdr:nvSpPr>
        <xdr:cNvPr id="395" name="Shape 394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36</xdr:row>
      <xdr:rowOff>9525</xdr:rowOff>
    </xdr:from>
    <xdr:ext cx="323850" cy="180975"/>
    <xdr:sp macro="" textlink="">
      <xdr:nvSpPr>
        <xdr:cNvPr id="396" name="Shape 395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37</xdr:row>
      <xdr:rowOff>9525</xdr:rowOff>
    </xdr:from>
    <xdr:ext cx="323850" cy="180975"/>
    <xdr:sp macro="" textlink="">
      <xdr:nvSpPr>
        <xdr:cNvPr id="397" name="Shape 396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38</xdr:row>
      <xdr:rowOff>9525</xdr:rowOff>
    </xdr:from>
    <xdr:ext cx="323850" cy="180975"/>
    <xdr:sp macro="" textlink="">
      <xdr:nvSpPr>
        <xdr:cNvPr id="398" name="Shape 397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41</xdr:col>
      <xdr:colOff>0</xdr:colOff>
      <xdr:row>39</xdr:row>
      <xdr:rowOff>9525</xdr:rowOff>
    </xdr:from>
    <xdr:ext cx="323850" cy="180975"/>
    <xdr:sp macro="" textlink="">
      <xdr:nvSpPr>
        <xdr:cNvPr id="399" name="Shape 398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40</xdr:row>
      <xdr:rowOff>9525</xdr:rowOff>
    </xdr:from>
    <xdr:ext cx="323850" cy="180975"/>
    <xdr:sp macro="" textlink="">
      <xdr:nvSpPr>
        <xdr:cNvPr id="400" name="Shape 399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42</xdr:col>
      <xdr:colOff>0</xdr:colOff>
      <xdr:row>41</xdr:row>
      <xdr:rowOff>9525</xdr:rowOff>
    </xdr:from>
    <xdr:ext cx="323850" cy="180975"/>
    <xdr:sp macro="" textlink="">
      <xdr:nvSpPr>
        <xdr:cNvPr id="401" name="Shape 400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</xdr:row>
      <xdr:rowOff>9525</xdr:rowOff>
    </xdr:from>
    <xdr:ext cx="323850" cy="180975"/>
    <xdr:sp macro="" textlink="">
      <xdr:nvSpPr>
        <xdr:cNvPr id="402" name="Shape 401">
          <a:extLst>
            <a:ext uri="{FF2B5EF4-FFF2-40B4-BE49-F238E27FC236}">
              <a16:creationId xmlns:a16="http://schemas.microsoft.com/office/drawing/2014/main" id="{00000000-0008-0000-0B00-00009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</xdr:row>
      <xdr:rowOff>9525</xdr:rowOff>
    </xdr:from>
    <xdr:ext cx="323850" cy="180975"/>
    <xdr:sp macro="" textlink="">
      <xdr:nvSpPr>
        <xdr:cNvPr id="403" name="Shape 402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4</xdr:row>
      <xdr:rowOff>9525</xdr:rowOff>
    </xdr:from>
    <xdr:ext cx="323850" cy="180975"/>
    <xdr:sp macro="" textlink="">
      <xdr:nvSpPr>
        <xdr:cNvPr id="404" name="Shape 403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5</xdr:row>
      <xdr:rowOff>9525</xdr:rowOff>
    </xdr:from>
    <xdr:ext cx="323850" cy="180975"/>
    <xdr:sp macro="" textlink="">
      <xdr:nvSpPr>
        <xdr:cNvPr id="405" name="Shape 404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6</xdr:row>
      <xdr:rowOff>9525</xdr:rowOff>
    </xdr:from>
    <xdr:ext cx="323850" cy="180975"/>
    <xdr:sp macro="" textlink="">
      <xdr:nvSpPr>
        <xdr:cNvPr id="406" name="Shape 405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7</xdr:row>
      <xdr:rowOff>9525</xdr:rowOff>
    </xdr:from>
    <xdr:ext cx="323850" cy="180975"/>
    <xdr:sp macro="" textlink="">
      <xdr:nvSpPr>
        <xdr:cNvPr id="407" name="Shape 406">
          <a:extLst>
            <a:ext uri="{FF2B5EF4-FFF2-40B4-BE49-F238E27FC236}">
              <a16:creationId xmlns:a16="http://schemas.microsoft.com/office/drawing/2014/main" id="{00000000-0008-0000-0B00-00009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8</xdr:row>
      <xdr:rowOff>9525</xdr:rowOff>
    </xdr:from>
    <xdr:ext cx="323850" cy="180975"/>
    <xdr:sp macro="" textlink="">
      <xdr:nvSpPr>
        <xdr:cNvPr id="408" name="Shape 407">
          <a:extLst>
            <a:ext uri="{FF2B5EF4-FFF2-40B4-BE49-F238E27FC236}">
              <a16:creationId xmlns:a16="http://schemas.microsoft.com/office/drawing/2014/main" id="{00000000-0008-0000-0B00-00009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9</xdr:row>
      <xdr:rowOff>9525</xdr:rowOff>
    </xdr:from>
    <xdr:ext cx="323850" cy="180975"/>
    <xdr:sp macro="" textlink="">
      <xdr:nvSpPr>
        <xdr:cNvPr id="409" name="Shape 408">
          <a:extLst>
            <a:ext uri="{FF2B5EF4-FFF2-40B4-BE49-F238E27FC236}">
              <a16:creationId xmlns:a16="http://schemas.microsoft.com/office/drawing/2014/main" id="{00000000-0008-0000-0B00-00009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10</xdr:row>
      <xdr:rowOff>9525</xdr:rowOff>
    </xdr:from>
    <xdr:ext cx="323850" cy="180975"/>
    <xdr:sp macro="" textlink="">
      <xdr:nvSpPr>
        <xdr:cNvPr id="410" name="Shape 409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11</xdr:row>
      <xdr:rowOff>9525</xdr:rowOff>
    </xdr:from>
    <xdr:ext cx="323850" cy="180975"/>
    <xdr:sp macro="" textlink="">
      <xdr:nvSpPr>
        <xdr:cNvPr id="411" name="Shape 410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12</xdr:row>
      <xdr:rowOff>9525</xdr:rowOff>
    </xdr:from>
    <xdr:ext cx="323850" cy="180975"/>
    <xdr:sp macro="" textlink="">
      <xdr:nvSpPr>
        <xdr:cNvPr id="412" name="Shape 411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13</xdr:row>
      <xdr:rowOff>9525</xdr:rowOff>
    </xdr:from>
    <xdr:ext cx="323850" cy="180975"/>
    <xdr:sp macro="" textlink="">
      <xdr:nvSpPr>
        <xdr:cNvPr id="413" name="Shape 412">
          <a:extLst>
            <a:ext uri="{FF2B5EF4-FFF2-40B4-BE49-F238E27FC236}">
              <a16:creationId xmlns:a16="http://schemas.microsoft.com/office/drawing/2014/main" id="{00000000-0008-0000-0B00-00009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14</xdr:row>
      <xdr:rowOff>9525</xdr:rowOff>
    </xdr:from>
    <xdr:ext cx="323850" cy="180975"/>
    <xdr:sp macro="" textlink="">
      <xdr:nvSpPr>
        <xdr:cNvPr id="414" name="Shape 413">
          <a:extLst>
            <a:ext uri="{FF2B5EF4-FFF2-40B4-BE49-F238E27FC236}">
              <a16:creationId xmlns:a16="http://schemas.microsoft.com/office/drawing/2014/main" id="{00000000-0008-0000-0B00-00009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15</xdr:row>
      <xdr:rowOff>9525</xdr:rowOff>
    </xdr:from>
    <xdr:ext cx="323850" cy="180975"/>
    <xdr:sp macro="" textlink="">
      <xdr:nvSpPr>
        <xdr:cNvPr id="415" name="Shape 414">
          <a:extLst>
            <a:ext uri="{FF2B5EF4-FFF2-40B4-BE49-F238E27FC236}">
              <a16:creationId xmlns:a16="http://schemas.microsoft.com/office/drawing/2014/main" id="{00000000-0008-0000-0B00-00009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16</xdr:row>
      <xdr:rowOff>9525</xdr:rowOff>
    </xdr:from>
    <xdr:ext cx="323850" cy="180975"/>
    <xdr:sp macro="" textlink="">
      <xdr:nvSpPr>
        <xdr:cNvPr id="416" name="Shape 415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17</xdr:row>
      <xdr:rowOff>9525</xdr:rowOff>
    </xdr:from>
    <xdr:ext cx="323850" cy="180975"/>
    <xdr:sp macro="" textlink="">
      <xdr:nvSpPr>
        <xdr:cNvPr id="417" name="Shape 416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18</xdr:row>
      <xdr:rowOff>9525</xdr:rowOff>
    </xdr:from>
    <xdr:ext cx="323850" cy="180975"/>
    <xdr:sp macro="" textlink="">
      <xdr:nvSpPr>
        <xdr:cNvPr id="418" name="Shape 417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19</xdr:row>
      <xdr:rowOff>9525</xdr:rowOff>
    </xdr:from>
    <xdr:ext cx="323850" cy="180975"/>
    <xdr:sp macro="" textlink="">
      <xdr:nvSpPr>
        <xdr:cNvPr id="419" name="Shape 418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20</xdr:row>
      <xdr:rowOff>9525</xdr:rowOff>
    </xdr:from>
    <xdr:ext cx="323850" cy="180975"/>
    <xdr:sp macro="" textlink="">
      <xdr:nvSpPr>
        <xdr:cNvPr id="420" name="Shape 419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21</xdr:row>
      <xdr:rowOff>9525</xdr:rowOff>
    </xdr:from>
    <xdr:ext cx="323850" cy="180975"/>
    <xdr:sp macro="" textlink="">
      <xdr:nvSpPr>
        <xdr:cNvPr id="421" name="Shape 420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22</xdr:row>
      <xdr:rowOff>9525</xdr:rowOff>
    </xdr:from>
    <xdr:ext cx="323850" cy="180975"/>
    <xdr:sp macro="" textlink="">
      <xdr:nvSpPr>
        <xdr:cNvPr id="422" name="Shape 421">
          <a:extLst>
            <a:ext uri="{FF2B5EF4-FFF2-40B4-BE49-F238E27FC236}">
              <a16:creationId xmlns:a16="http://schemas.microsoft.com/office/drawing/2014/main" id="{00000000-0008-0000-0B00-0000A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23</xdr:row>
      <xdr:rowOff>9525</xdr:rowOff>
    </xdr:from>
    <xdr:ext cx="323850" cy="180975"/>
    <xdr:sp macro="" textlink="">
      <xdr:nvSpPr>
        <xdr:cNvPr id="423" name="Shape 422">
          <a:extLst>
            <a:ext uri="{FF2B5EF4-FFF2-40B4-BE49-F238E27FC236}">
              <a16:creationId xmlns:a16="http://schemas.microsoft.com/office/drawing/2014/main" id="{00000000-0008-0000-0B00-0000A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24</xdr:row>
      <xdr:rowOff>9525</xdr:rowOff>
    </xdr:from>
    <xdr:ext cx="323850" cy="180975"/>
    <xdr:sp macro="" textlink="">
      <xdr:nvSpPr>
        <xdr:cNvPr id="424" name="Shape 423">
          <a:extLst>
            <a:ext uri="{FF2B5EF4-FFF2-40B4-BE49-F238E27FC236}">
              <a16:creationId xmlns:a16="http://schemas.microsoft.com/office/drawing/2014/main" id="{00000000-0008-0000-0B00-0000A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25</xdr:row>
      <xdr:rowOff>9525</xdr:rowOff>
    </xdr:from>
    <xdr:ext cx="323850" cy="180975"/>
    <xdr:sp macro="" textlink="">
      <xdr:nvSpPr>
        <xdr:cNvPr id="425" name="Shape 424">
          <a:extLst>
            <a:ext uri="{FF2B5EF4-FFF2-40B4-BE49-F238E27FC236}">
              <a16:creationId xmlns:a16="http://schemas.microsoft.com/office/drawing/2014/main" id="{00000000-0008-0000-0B00-0000A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26</xdr:row>
      <xdr:rowOff>9525</xdr:rowOff>
    </xdr:from>
    <xdr:ext cx="323850" cy="180975"/>
    <xdr:sp macro="" textlink="">
      <xdr:nvSpPr>
        <xdr:cNvPr id="426" name="Shape 425">
          <a:extLst>
            <a:ext uri="{FF2B5EF4-FFF2-40B4-BE49-F238E27FC236}">
              <a16:creationId xmlns:a16="http://schemas.microsoft.com/office/drawing/2014/main" id="{00000000-0008-0000-0B00-0000A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27</xdr:row>
      <xdr:rowOff>9525</xdr:rowOff>
    </xdr:from>
    <xdr:ext cx="323850" cy="180975"/>
    <xdr:sp macro="" textlink="">
      <xdr:nvSpPr>
        <xdr:cNvPr id="427" name="Shape 426">
          <a:extLst>
            <a:ext uri="{FF2B5EF4-FFF2-40B4-BE49-F238E27FC236}">
              <a16:creationId xmlns:a16="http://schemas.microsoft.com/office/drawing/2014/main" id="{00000000-0008-0000-0B00-0000A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28</xdr:row>
      <xdr:rowOff>9525</xdr:rowOff>
    </xdr:from>
    <xdr:ext cx="323850" cy="180975"/>
    <xdr:sp macro="" textlink="">
      <xdr:nvSpPr>
        <xdr:cNvPr id="428" name="Shape 427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29</xdr:row>
      <xdr:rowOff>9525</xdr:rowOff>
    </xdr:from>
    <xdr:ext cx="323850" cy="180975"/>
    <xdr:sp macro="" textlink="">
      <xdr:nvSpPr>
        <xdr:cNvPr id="429" name="Shape 428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30</xdr:row>
      <xdr:rowOff>9525</xdr:rowOff>
    </xdr:from>
    <xdr:ext cx="323850" cy="180975"/>
    <xdr:sp macro="" textlink="">
      <xdr:nvSpPr>
        <xdr:cNvPr id="430" name="Shape 429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31</xdr:row>
      <xdr:rowOff>9525</xdr:rowOff>
    </xdr:from>
    <xdr:ext cx="323850" cy="180975"/>
    <xdr:sp macro="" textlink="">
      <xdr:nvSpPr>
        <xdr:cNvPr id="431" name="Shape 430">
          <a:extLst>
            <a:ext uri="{FF2B5EF4-FFF2-40B4-BE49-F238E27FC236}">
              <a16:creationId xmlns:a16="http://schemas.microsoft.com/office/drawing/2014/main" id="{00000000-0008-0000-0B00-0000A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32</xdr:row>
      <xdr:rowOff>9525</xdr:rowOff>
    </xdr:from>
    <xdr:ext cx="323850" cy="180975"/>
    <xdr:sp macro="" textlink="">
      <xdr:nvSpPr>
        <xdr:cNvPr id="432" name="Shape 431">
          <a:extLst>
            <a:ext uri="{FF2B5EF4-FFF2-40B4-BE49-F238E27FC236}">
              <a16:creationId xmlns:a16="http://schemas.microsoft.com/office/drawing/2014/main" id="{00000000-0008-0000-0B00-0000B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33</xdr:row>
      <xdr:rowOff>9525</xdr:rowOff>
    </xdr:from>
    <xdr:ext cx="323850" cy="180975"/>
    <xdr:sp macro="" textlink="">
      <xdr:nvSpPr>
        <xdr:cNvPr id="433" name="Shape 432">
          <a:extLst>
            <a:ext uri="{FF2B5EF4-FFF2-40B4-BE49-F238E27FC236}">
              <a16:creationId xmlns:a16="http://schemas.microsoft.com/office/drawing/2014/main" id="{00000000-0008-0000-0B00-0000B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34</xdr:row>
      <xdr:rowOff>9525</xdr:rowOff>
    </xdr:from>
    <xdr:ext cx="323850" cy="180975"/>
    <xdr:sp macro="" textlink="">
      <xdr:nvSpPr>
        <xdr:cNvPr id="434" name="Shape 433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35</xdr:row>
      <xdr:rowOff>9525</xdr:rowOff>
    </xdr:from>
    <xdr:ext cx="323850" cy="180975"/>
    <xdr:sp macro="" textlink="">
      <xdr:nvSpPr>
        <xdr:cNvPr id="435" name="Shape 434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36</xdr:row>
      <xdr:rowOff>9525</xdr:rowOff>
    </xdr:from>
    <xdr:ext cx="323850" cy="180975"/>
    <xdr:sp macro="" textlink="">
      <xdr:nvSpPr>
        <xdr:cNvPr id="436" name="Shape 435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37</xdr:row>
      <xdr:rowOff>9525</xdr:rowOff>
    </xdr:from>
    <xdr:ext cx="323850" cy="180975"/>
    <xdr:sp macro="" textlink="">
      <xdr:nvSpPr>
        <xdr:cNvPr id="437" name="Shape 436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38</xdr:row>
      <xdr:rowOff>9525</xdr:rowOff>
    </xdr:from>
    <xdr:ext cx="323850" cy="180975"/>
    <xdr:sp macro="" textlink="">
      <xdr:nvSpPr>
        <xdr:cNvPr id="438" name="Shape 437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47</xdr:col>
      <xdr:colOff>0</xdr:colOff>
      <xdr:row>39</xdr:row>
      <xdr:rowOff>9525</xdr:rowOff>
    </xdr:from>
    <xdr:ext cx="323850" cy="180975"/>
    <xdr:sp macro="" textlink="">
      <xdr:nvSpPr>
        <xdr:cNvPr id="439" name="Shape 438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40</xdr:row>
      <xdr:rowOff>9525</xdr:rowOff>
    </xdr:from>
    <xdr:ext cx="323850" cy="180975"/>
    <xdr:sp macro="" textlink="">
      <xdr:nvSpPr>
        <xdr:cNvPr id="440" name="Shape 439">
          <a:extLst>
            <a:ext uri="{FF2B5EF4-FFF2-40B4-BE49-F238E27FC236}">
              <a16:creationId xmlns:a16="http://schemas.microsoft.com/office/drawing/2014/main" id="{00000000-0008-0000-0B00-0000B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48</xdr:col>
      <xdr:colOff>0</xdr:colOff>
      <xdr:row>41</xdr:row>
      <xdr:rowOff>9525</xdr:rowOff>
    </xdr:from>
    <xdr:ext cx="323850" cy="180975"/>
    <xdr:sp macro="" textlink="">
      <xdr:nvSpPr>
        <xdr:cNvPr id="441" name="Shape 440">
          <a:extLst>
            <a:ext uri="{FF2B5EF4-FFF2-40B4-BE49-F238E27FC236}">
              <a16:creationId xmlns:a16="http://schemas.microsoft.com/office/drawing/2014/main" id="{00000000-0008-0000-0B00-0000B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</xdr:row>
      <xdr:rowOff>9525</xdr:rowOff>
    </xdr:from>
    <xdr:ext cx="323850" cy="180975"/>
    <xdr:sp macro="" textlink="">
      <xdr:nvSpPr>
        <xdr:cNvPr id="442" name="Shape 441">
          <a:extLst>
            <a:ext uri="{FF2B5EF4-FFF2-40B4-BE49-F238E27FC236}">
              <a16:creationId xmlns:a16="http://schemas.microsoft.com/office/drawing/2014/main" id="{00000000-0008-0000-0B00-0000B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</xdr:row>
      <xdr:rowOff>9525</xdr:rowOff>
    </xdr:from>
    <xdr:ext cx="323850" cy="180975"/>
    <xdr:sp macro="" textlink="">
      <xdr:nvSpPr>
        <xdr:cNvPr id="443" name="Shape 442">
          <a:extLst>
            <a:ext uri="{FF2B5EF4-FFF2-40B4-BE49-F238E27FC236}">
              <a16:creationId xmlns:a16="http://schemas.microsoft.com/office/drawing/2014/main" id="{00000000-0008-0000-0B00-0000B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4</xdr:row>
      <xdr:rowOff>9525</xdr:rowOff>
    </xdr:from>
    <xdr:ext cx="323850" cy="180975"/>
    <xdr:sp macro="" textlink="">
      <xdr:nvSpPr>
        <xdr:cNvPr id="444" name="Shape 443">
          <a:extLst>
            <a:ext uri="{FF2B5EF4-FFF2-40B4-BE49-F238E27FC236}">
              <a16:creationId xmlns:a16="http://schemas.microsoft.com/office/drawing/2014/main" id="{00000000-0008-0000-0B00-0000B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5</xdr:row>
      <xdr:rowOff>9525</xdr:rowOff>
    </xdr:from>
    <xdr:ext cx="323850" cy="180975"/>
    <xdr:sp macro="" textlink="">
      <xdr:nvSpPr>
        <xdr:cNvPr id="445" name="Shape 444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6</xdr:row>
      <xdr:rowOff>9525</xdr:rowOff>
    </xdr:from>
    <xdr:ext cx="323850" cy="180975"/>
    <xdr:sp macro="" textlink="">
      <xdr:nvSpPr>
        <xdr:cNvPr id="446" name="Shape 44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7</xdr:row>
      <xdr:rowOff>9525</xdr:rowOff>
    </xdr:from>
    <xdr:ext cx="323850" cy="180975"/>
    <xdr:sp macro="" textlink="">
      <xdr:nvSpPr>
        <xdr:cNvPr id="447" name="Shape 44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8</xdr:row>
      <xdr:rowOff>9525</xdr:rowOff>
    </xdr:from>
    <xdr:ext cx="323850" cy="180975"/>
    <xdr:sp macro="" textlink="">
      <xdr:nvSpPr>
        <xdr:cNvPr id="448" name="Shape 447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9</xdr:row>
      <xdr:rowOff>9525</xdr:rowOff>
    </xdr:from>
    <xdr:ext cx="323850" cy="180975"/>
    <xdr:sp macro="" textlink="">
      <xdr:nvSpPr>
        <xdr:cNvPr id="449" name="Shape 448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10</xdr:row>
      <xdr:rowOff>9525</xdr:rowOff>
    </xdr:from>
    <xdr:ext cx="323850" cy="180975"/>
    <xdr:sp macro="" textlink="">
      <xdr:nvSpPr>
        <xdr:cNvPr id="450" name="Shape 449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11</xdr:row>
      <xdr:rowOff>9525</xdr:rowOff>
    </xdr:from>
    <xdr:ext cx="323850" cy="180975"/>
    <xdr:sp macro="" textlink="">
      <xdr:nvSpPr>
        <xdr:cNvPr id="451" name="Shape 450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12</xdr:row>
      <xdr:rowOff>9525</xdr:rowOff>
    </xdr:from>
    <xdr:ext cx="323850" cy="180975"/>
    <xdr:sp macro="" textlink="">
      <xdr:nvSpPr>
        <xdr:cNvPr id="452" name="Shape 451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13</xdr:row>
      <xdr:rowOff>9525</xdr:rowOff>
    </xdr:from>
    <xdr:ext cx="323850" cy="180975"/>
    <xdr:sp macro="" textlink="">
      <xdr:nvSpPr>
        <xdr:cNvPr id="453" name="Shape 452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14</xdr:row>
      <xdr:rowOff>9525</xdr:rowOff>
    </xdr:from>
    <xdr:ext cx="323850" cy="180975"/>
    <xdr:sp macro="" textlink="">
      <xdr:nvSpPr>
        <xdr:cNvPr id="454" name="Shape 453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15</xdr:row>
      <xdr:rowOff>9525</xdr:rowOff>
    </xdr:from>
    <xdr:ext cx="323850" cy="180975"/>
    <xdr:sp macro="" textlink="">
      <xdr:nvSpPr>
        <xdr:cNvPr id="455" name="Shape 454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16</xdr:row>
      <xdr:rowOff>9525</xdr:rowOff>
    </xdr:from>
    <xdr:ext cx="323850" cy="180975"/>
    <xdr:sp macro="" textlink="">
      <xdr:nvSpPr>
        <xdr:cNvPr id="456" name="Shape 455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17</xdr:row>
      <xdr:rowOff>9525</xdr:rowOff>
    </xdr:from>
    <xdr:ext cx="323850" cy="180975"/>
    <xdr:sp macro="" textlink="">
      <xdr:nvSpPr>
        <xdr:cNvPr id="457" name="Shape 456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18</xdr:row>
      <xdr:rowOff>9525</xdr:rowOff>
    </xdr:from>
    <xdr:ext cx="323850" cy="180975"/>
    <xdr:sp macro="" textlink="">
      <xdr:nvSpPr>
        <xdr:cNvPr id="458" name="Shape 457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19</xdr:row>
      <xdr:rowOff>9525</xdr:rowOff>
    </xdr:from>
    <xdr:ext cx="323850" cy="180975"/>
    <xdr:sp macro="" textlink="">
      <xdr:nvSpPr>
        <xdr:cNvPr id="459" name="Shape 458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20</xdr:row>
      <xdr:rowOff>9525</xdr:rowOff>
    </xdr:from>
    <xdr:ext cx="323850" cy="180975"/>
    <xdr:sp macro="" textlink="">
      <xdr:nvSpPr>
        <xdr:cNvPr id="460" name="Shape 459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21</xdr:row>
      <xdr:rowOff>9525</xdr:rowOff>
    </xdr:from>
    <xdr:ext cx="323850" cy="180975"/>
    <xdr:sp macro="" textlink="">
      <xdr:nvSpPr>
        <xdr:cNvPr id="461" name="Shape 460">
          <a:extLst>
            <a:ext uri="{FF2B5EF4-FFF2-40B4-BE49-F238E27FC236}">
              <a16:creationId xmlns:a16="http://schemas.microsoft.com/office/drawing/2014/main" id="{00000000-0008-0000-0B00-0000C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22</xdr:row>
      <xdr:rowOff>9525</xdr:rowOff>
    </xdr:from>
    <xdr:ext cx="323850" cy="180975"/>
    <xdr:sp macro="" textlink="">
      <xdr:nvSpPr>
        <xdr:cNvPr id="462" name="Shape 46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23</xdr:row>
      <xdr:rowOff>9525</xdr:rowOff>
    </xdr:from>
    <xdr:ext cx="323850" cy="180975"/>
    <xdr:sp macro="" textlink="">
      <xdr:nvSpPr>
        <xdr:cNvPr id="463" name="Shape 462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24</xdr:row>
      <xdr:rowOff>9525</xdr:rowOff>
    </xdr:from>
    <xdr:ext cx="323850" cy="180975"/>
    <xdr:sp macro="" textlink="">
      <xdr:nvSpPr>
        <xdr:cNvPr id="464" name="Shape 463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25</xdr:row>
      <xdr:rowOff>9525</xdr:rowOff>
    </xdr:from>
    <xdr:ext cx="323850" cy="180975"/>
    <xdr:sp macro="" textlink="">
      <xdr:nvSpPr>
        <xdr:cNvPr id="465" name="Shape 464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26</xdr:row>
      <xdr:rowOff>9525</xdr:rowOff>
    </xdr:from>
    <xdr:ext cx="323850" cy="180975"/>
    <xdr:sp macro="" textlink="">
      <xdr:nvSpPr>
        <xdr:cNvPr id="466" name="Shape 46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27</xdr:row>
      <xdr:rowOff>9525</xdr:rowOff>
    </xdr:from>
    <xdr:ext cx="323850" cy="180975"/>
    <xdr:sp macro="" textlink="">
      <xdr:nvSpPr>
        <xdr:cNvPr id="467" name="Shape 46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28</xdr:row>
      <xdr:rowOff>9525</xdr:rowOff>
    </xdr:from>
    <xdr:ext cx="323850" cy="180975"/>
    <xdr:sp macro="" textlink="">
      <xdr:nvSpPr>
        <xdr:cNvPr id="468" name="Shape 467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29</xdr:row>
      <xdr:rowOff>9525</xdr:rowOff>
    </xdr:from>
    <xdr:ext cx="323850" cy="180975"/>
    <xdr:sp macro="" textlink="">
      <xdr:nvSpPr>
        <xdr:cNvPr id="469" name="Shape 468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30</xdr:row>
      <xdr:rowOff>9525</xdr:rowOff>
    </xdr:from>
    <xdr:ext cx="323850" cy="180975"/>
    <xdr:sp macro="" textlink="">
      <xdr:nvSpPr>
        <xdr:cNvPr id="470" name="Shape 469">
          <a:extLst>
            <a:ext uri="{FF2B5EF4-FFF2-40B4-BE49-F238E27FC236}">
              <a16:creationId xmlns:a16="http://schemas.microsoft.com/office/drawing/2014/main" id="{00000000-0008-0000-0B00-0000D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31</xdr:row>
      <xdr:rowOff>9525</xdr:rowOff>
    </xdr:from>
    <xdr:ext cx="323850" cy="180975"/>
    <xdr:sp macro="" textlink="">
      <xdr:nvSpPr>
        <xdr:cNvPr id="471" name="Shape 470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32</xdr:row>
      <xdr:rowOff>9525</xdr:rowOff>
    </xdr:from>
    <xdr:ext cx="323850" cy="180975"/>
    <xdr:sp macro="" textlink="">
      <xdr:nvSpPr>
        <xdr:cNvPr id="472" name="Shape 471">
          <a:extLst>
            <a:ext uri="{FF2B5EF4-FFF2-40B4-BE49-F238E27FC236}">
              <a16:creationId xmlns:a16="http://schemas.microsoft.com/office/drawing/2014/main" id="{00000000-0008-0000-0B00-0000D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33</xdr:row>
      <xdr:rowOff>9525</xdr:rowOff>
    </xdr:from>
    <xdr:ext cx="323850" cy="180975"/>
    <xdr:sp macro="" textlink="">
      <xdr:nvSpPr>
        <xdr:cNvPr id="473" name="Shape 472">
          <a:extLst>
            <a:ext uri="{FF2B5EF4-FFF2-40B4-BE49-F238E27FC236}">
              <a16:creationId xmlns:a16="http://schemas.microsoft.com/office/drawing/2014/main" id="{00000000-0008-0000-0B00-0000D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34</xdr:row>
      <xdr:rowOff>9525</xdr:rowOff>
    </xdr:from>
    <xdr:ext cx="323850" cy="180975"/>
    <xdr:sp macro="" textlink="">
      <xdr:nvSpPr>
        <xdr:cNvPr id="474" name="Shape 473">
          <a:extLst>
            <a:ext uri="{FF2B5EF4-FFF2-40B4-BE49-F238E27FC236}">
              <a16:creationId xmlns:a16="http://schemas.microsoft.com/office/drawing/2014/main" id="{00000000-0008-0000-0B00-0000D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35</xdr:row>
      <xdr:rowOff>9525</xdr:rowOff>
    </xdr:from>
    <xdr:ext cx="323850" cy="180975"/>
    <xdr:sp macro="" textlink="">
      <xdr:nvSpPr>
        <xdr:cNvPr id="475" name="Shape 474">
          <a:extLst>
            <a:ext uri="{FF2B5EF4-FFF2-40B4-BE49-F238E27FC236}">
              <a16:creationId xmlns:a16="http://schemas.microsoft.com/office/drawing/2014/main" id="{00000000-0008-0000-0B00-0000D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36</xdr:row>
      <xdr:rowOff>9525</xdr:rowOff>
    </xdr:from>
    <xdr:ext cx="323850" cy="180975"/>
    <xdr:sp macro="" textlink="">
      <xdr:nvSpPr>
        <xdr:cNvPr id="476" name="Shape 475">
          <a:extLst>
            <a:ext uri="{FF2B5EF4-FFF2-40B4-BE49-F238E27FC236}">
              <a16:creationId xmlns:a16="http://schemas.microsoft.com/office/drawing/2014/main" id="{00000000-0008-0000-0B00-0000D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37</xdr:row>
      <xdr:rowOff>9525</xdr:rowOff>
    </xdr:from>
    <xdr:ext cx="323850" cy="180975"/>
    <xdr:sp macro="" textlink="">
      <xdr:nvSpPr>
        <xdr:cNvPr id="477" name="Shape 476">
          <a:extLst>
            <a:ext uri="{FF2B5EF4-FFF2-40B4-BE49-F238E27FC236}">
              <a16:creationId xmlns:a16="http://schemas.microsoft.com/office/drawing/2014/main" id="{00000000-0008-0000-0B00-0000D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38</xdr:row>
      <xdr:rowOff>9525</xdr:rowOff>
    </xdr:from>
    <xdr:ext cx="323850" cy="180975"/>
    <xdr:sp macro="" textlink="">
      <xdr:nvSpPr>
        <xdr:cNvPr id="478" name="Shape 477">
          <a:extLst>
            <a:ext uri="{FF2B5EF4-FFF2-40B4-BE49-F238E27FC236}">
              <a16:creationId xmlns:a16="http://schemas.microsoft.com/office/drawing/2014/main" id="{00000000-0008-0000-0B00-0000D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52</xdr:col>
      <xdr:colOff>0</xdr:colOff>
      <xdr:row>39</xdr:row>
      <xdr:rowOff>9525</xdr:rowOff>
    </xdr:from>
    <xdr:ext cx="323850" cy="180975"/>
    <xdr:sp macro="" textlink="">
      <xdr:nvSpPr>
        <xdr:cNvPr id="479" name="Shape 478">
          <a:extLst>
            <a:ext uri="{FF2B5EF4-FFF2-40B4-BE49-F238E27FC236}">
              <a16:creationId xmlns:a16="http://schemas.microsoft.com/office/drawing/2014/main" id="{00000000-0008-0000-0B00-0000D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40</xdr:row>
      <xdr:rowOff>9525</xdr:rowOff>
    </xdr:from>
    <xdr:ext cx="323850" cy="180975"/>
    <xdr:sp macro="" textlink="">
      <xdr:nvSpPr>
        <xdr:cNvPr id="480" name="Shape 479">
          <a:extLst>
            <a:ext uri="{FF2B5EF4-FFF2-40B4-BE49-F238E27FC236}">
              <a16:creationId xmlns:a16="http://schemas.microsoft.com/office/drawing/2014/main" id="{00000000-0008-0000-0B00-0000E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51</xdr:col>
      <xdr:colOff>0</xdr:colOff>
      <xdr:row>41</xdr:row>
      <xdr:rowOff>9525</xdr:rowOff>
    </xdr:from>
    <xdr:ext cx="323850" cy="180975"/>
    <xdr:sp macro="" textlink="">
      <xdr:nvSpPr>
        <xdr:cNvPr id="481" name="Shape 480">
          <a:extLst>
            <a:ext uri="{FF2B5EF4-FFF2-40B4-BE49-F238E27FC236}">
              <a16:creationId xmlns:a16="http://schemas.microsoft.com/office/drawing/2014/main" id="{00000000-0008-0000-0B00-0000E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</xdr:row>
      <xdr:rowOff>9525</xdr:rowOff>
    </xdr:from>
    <xdr:ext cx="323850" cy="180975"/>
    <xdr:sp macro="" textlink="">
      <xdr:nvSpPr>
        <xdr:cNvPr id="482" name="Shape 481">
          <a:extLst>
            <a:ext uri="{FF2B5EF4-FFF2-40B4-BE49-F238E27FC236}">
              <a16:creationId xmlns:a16="http://schemas.microsoft.com/office/drawing/2014/main" id="{00000000-0008-0000-0B00-0000E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</xdr:row>
      <xdr:rowOff>9525</xdr:rowOff>
    </xdr:from>
    <xdr:ext cx="323850" cy="180975"/>
    <xdr:sp macro="" textlink="">
      <xdr:nvSpPr>
        <xdr:cNvPr id="483" name="Shape 482">
          <a:extLst>
            <a:ext uri="{FF2B5EF4-FFF2-40B4-BE49-F238E27FC236}">
              <a16:creationId xmlns:a16="http://schemas.microsoft.com/office/drawing/2014/main" id="{00000000-0008-0000-0B00-0000E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4</xdr:row>
      <xdr:rowOff>9525</xdr:rowOff>
    </xdr:from>
    <xdr:ext cx="323850" cy="180975"/>
    <xdr:sp macro="" textlink="">
      <xdr:nvSpPr>
        <xdr:cNvPr id="484" name="Shape 483">
          <a:extLst>
            <a:ext uri="{FF2B5EF4-FFF2-40B4-BE49-F238E27FC236}">
              <a16:creationId xmlns:a16="http://schemas.microsoft.com/office/drawing/2014/main" id="{00000000-0008-0000-0B00-0000E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5</xdr:row>
      <xdr:rowOff>9525</xdr:rowOff>
    </xdr:from>
    <xdr:ext cx="323850" cy="180975"/>
    <xdr:sp macro="" textlink="">
      <xdr:nvSpPr>
        <xdr:cNvPr id="485" name="Shape 484">
          <a:extLst>
            <a:ext uri="{FF2B5EF4-FFF2-40B4-BE49-F238E27FC236}">
              <a16:creationId xmlns:a16="http://schemas.microsoft.com/office/drawing/2014/main" id="{00000000-0008-0000-0B00-0000E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6</xdr:row>
      <xdr:rowOff>9525</xdr:rowOff>
    </xdr:from>
    <xdr:ext cx="323850" cy="180975"/>
    <xdr:sp macro="" textlink="">
      <xdr:nvSpPr>
        <xdr:cNvPr id="486" name="Shape 485">
          <a:extLst>
            <a:ext uri="{FF2B5EF4-FFF2-40B4-BE49-F238E27FC236}">
              <a16:creationId xmlns:a16="http://schemas.microsoft.com/office/drawing/2014/main" id="{00000000-0008-0000-0B00-0000E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7</xdr:row>
      <xdr:rowOff>9525</xdr:rowOff>
    </xdr:from>
    <xdr:ext cx="323850" cy="180975"/>
    <xdr:sp macro="" textlink="">
      <xdr:nvSpPr>
        <xdr:cNvPr id="487" name="Shape 486">
          <a:extLst>
            <a:ext uri="{FF2B5EF4-FFF2-40B4-BE49-F238E27FC236}">
              <a16:creationId xmlns:a16="http://schemas.microsoft.com/office/drawing/2014/main" id="{00000000-0008-0000-0B00-0000E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8</xdr:row>
      <xdr:rowOff>9525</xdr:rowOff>
    </xdr:from>
    <xdr:ext cx="323850" cy="180975"/>
    <xdr:sp macro="" textlink="">
      <xdr:nvSpPr>
        <xdr:cNvPr id="488" name="Shape 487">
          <a:extLst>
            <a:ext uri="{FF2B5EF4-FFF2-40B4-BE49-F238E27FC236}">
              <a16:creationId xmlns:a16="http://schemas.microsoft.com/office/drawing/2014/main" id="{00000000-0008-0000-0B00-0000E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9</xdr:row>
      <xdr:rowOff>9525</xdr:rowOff>
    </xdr:from>
    <xdr:ext cx="323850" cy="180975"/>
    <xdr:sp macro="" textlink="">
      <xdr:nvSpPr>
        <xdr:cNvPr id="489" name="Shape 488">
          <a:extLst>
            <a:ext uri="{FF2B5EF4-FFF2-40B4-BE49-F238E27FC236}">
              <a16:creationId xmlns:a16="http://schemas.microsoft.com/office/drawing/2014/main" id="{00000000-0008-0000-0B00-0000E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10</xdr:row>
      <xdr:rowOff>9525</xdr:rowOff>
    </xdr:from>
    <xdr:ext cx="323850" cy="180975"/>
    <xdr:sp macro="" textlink="">
      <xdr:nvSpPr>
        <xdr:cNvPr id="490" name="Shape 489">
          <a:extLst>
            <a:ext uri="{FF2B5EF4-FFF2-40B4-BE49-F238E27FC236}">
              <a16:creationId xmlns:a16="http://schemas.microsoft.com/office/drawing/2014/main" id="{00000000-0008-0000-0B00-0000E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11</xdr:row>
      <xdr:rowOff>9525</xdr:rowOff>
    </xdr:from>
    <xdr:ext cx="323850" cy="180975"/>
    <xdr:sp macro="" textlink="">
      <xdr:nvSpPr>
        <xdr:cNvPr id="491" name="Shape 490">
          <a:extLst>
            <a:ext uri="{FF2B5EF4-FFF2-40B4-BE49-F238E27FC236}">
              <a16:creationId xmlns:a16="http://schemas.microsoft.com/office/drawing/2014/main" id="{00000000-0008-0000-0B00-0000E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12</xdr:row>
      <xdr:rowOff>9525</xdr:rowOff>
    </xdr:from>
    <xdr:ext cx="323850" cy="180975"/>
    <xdr:sp macro="" textlink="">
      <xdr:nvSpPr>
        <xdr:cNvPr id="492" name="Shape 491">
          <a:extLst>
            <a:ext uri="{FF2B5EF4-FFF2-40B4-BE49-F238E27FC236}">
              <a16:creationId xmlns:a16="http://schemas.microsoft.com/office/drawing/2014/main" id="{00000000-0008-0000-0B00-0000E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13</xdr:row>
      <xdr:rowOff>9525</xdr:rowOff>
    </xdr:from>
    <xdr:ext cx="323850" cy="180975"/>
    <xdr:sp macro="" textlink="">
      <xdr:nvSpPr>
        <xdr:cNvPr id="493" name="Shape 492">
          <a:extLst>
            <a:ext uri="{FF2B5EF4-FFF2-40B4-BE49-F238E27FC236}">
              <a16:creationId xmlns:a16="http://schemas.microsoft.com/office/drawing/2014/main" id="{00000000-0008-0000-0B00-0000E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14</xdr:row>
      <xdr:rowOff>9525</xdr:rowOff>
    </xdr:from>
    <xdr:ext cx="323850" cy="180975"/>
    <xdr:sp macro="" textlink="">
      <xdr:nvSpPr>
        <xdr:cNvPr id="494" name="Shape 493">
          <a:extLst>
            <a:ext uri="{FF2B5EF4-FFF2-40B4-BE49-F238E27FC236}">
              <a16:creationId xmlns:a16="http://schemas.microsoft.com/office/drawing/2014/main" id="{00000000-0008-0000-0B00-0000E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15</xdr:row>
      <xdr:rowOff>9525</xdr:rowOff>
    </xdr:from>
    <xdr:ext cx="323850" cy="180975"/>
    <xdr:sp macro="" textlink="">
      <xdr:nvSpPr>
        <xdr:cNvPr id="495" name="Shape 494">
          <a:extLst>
            <a:ext uri="{FF2B5EF4-FFF2-40B4-BE49-F238E27FC236}">
              <a16:creationId xmlns:a16="http://schemas.microsoft.com/office/drawing/2014/main" id="{00000000-0008-0000-0B00-0000E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16</xdr:row>
      <xdr:rowOff>9525</xdr:rowOff>
    </xdr:from>
    <xdr:ext cx="323850" cy="180975"/>
    <xdr:sp macro="" textlink="">
      <xdr:nvSpPr>
        <xdr:cNvPr id="496" name="Shape 495">
          <a:extLst>
            <a:ext uri="{FF2B5EF4-FFF2-40B4-BE49-F238E27FC236}">
              <a16:creationId xmlns:a16="http://schemas.microsoft.com/office/drawing/2014/main" id="{00000000-0008-0000-0B00-0000F0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17</xdr:row>
      <xdr:rowOff>9525</xdr:rowOff>
    </xdr:from>
    <xdr:ext cx="323850" cy="180975"/>
    <xdr:sp macro="" textlink="">
      <xdr:nvSpPr>
        <xdr:cNvPr id="497" name="Shape 496">
          <a:extLst>
            <a:ext uri="{FF2B5EF4-FFF2-40B4-BE49-F238E27FC236}">
              <a16:creationId xmlns:a16="http://schemas.microsoft.com/office/drawing/2014/main" id="{00000000-0008-0000-0B00-0000F1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18</xdr:row>
      <xdr:rowOff>9525</xdr:rowOff>
    </xdr:from>
    <xdr:ext cx="323850" cy="180975"/>
    <xdr:sp macro="" textlink="">
      <xdr:nvSpPr>
        <xdr:cNvPr id="498" name="Shape 497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19</xdr:row>
      <xdr:rowOff>9525</xdr:rowOff>
    </xdr:from>
    <xdr:ext cx="323850" cy="180975"/>
    <xdr:sp macro="" textlink="">
      <xdr:nvSpPr>
        <xdr:cNvPr id="499" name="Shape 498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20</xdr:row>
      <xdr:rowOff>9525</xdr:rowOff>
    </xdr:from>
    <xdr:ext cx="323850" cy="180975"/>
    <xdr:sp macro="" textlink="">
      <xdr:nvSpPr>
        <xdr:cNvPr id="500" name="Shape 499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21</xdr:row>
      <xdr:rowOff>9525</xdr:rowOff>
    </xdr:from>
    <xdr:ext cx="323850" cy="180975"/>
    <xdr:sp macro="" textlink="">
      <xdr:nvSpPr>
        <xdr:cNvPr id="501" name="Shape 500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22</xdr:row>
      <xdr:rowOff>9525</xdr:rowOff>
    </xdr:from>
    <xdr:ext cx="323850" cy="180975"/>
    <xdr:sp macro="" textlink="">
      <xdr:nvSpPr>
        <xdr:cNvPr id="502" name="Shape 50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23</xdr:row>
      <xdr:rowOff>9525</xdr:rowOff>
    </xdr:from>
    <xdr:ext cx="323850" cy="180975"/>
    <xdr:sp macro="" textlink="">
      <xdr:nvSpPr>
        <xdr:cNvPr id="503" name="Shape 50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24</xdr:row>
      <xdr:rowOff>9525</xdr:rowOff>
    </xdr:from>
    <xdr:ext cx="323850" cy="180975"/>
    <xdr:sp macro="" textlink="">
      <xdr:nvSpPr>
        <xdr:cNvPr id="504" name="Shape 50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25</xdr:row>
      <xdr:rowOff>9525</xdr:rowOff>
    </xdr:from>
    <xdr:ext cx="323850" cy="180975"/>
    <xdr:sp macro="" textlink="">
      <xdr:nvSpPr>
        <xdr:cNvPr id="505" name="Shape 50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26</xdr:row>
      <xdr:rowOff>9525</xdr:rowOff>
    </xdr:from>
    <xdr:ext cx="323850" cy="180975"/>
    <xdr:sp macro="" textlink="">
      <xdr:nvSpPr>
        <xdr:cNvPr id="506" name="Shape 50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27</xdr:row>
      <xdr:rowOff>9525</xdr:rowOff>
    </xdr:from>
    <xdr:ext cx="323850" cy="180975"/>
    <xdr:sp macro="" textlink="">
      <xdr:nvSpPr>
        <xdr:cNvPr id="507" name="Shape 50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28</xdr:row>
      <xdr:rowOff>9525</xdr:rowOff>
    </xdr:from>
    <xdr:ext cx="323850" cy="180975"/>
    <xdr:sp macro="" textlink="">
      <xdr:nvSpPr>
        <xdr:cNvPr id="508" name="Shape 507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29</xdr:row>
      <xdr:rowOff>9525</xdr:rowOff>
    </xdr:from>
    <xdr:ext cx="323850" cy="180975"/>
    <xdr:sp macro="" textlink="">
      <xdr:nvSpPr>
        <xdr:cNvPr id="509" name="Shape 508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30</xdr:row>
      <xdr:rowOff>9525</xdr:rowOff>
    </xdr:from>
    <xdr:ext cx="323850" cy="180975"/>
    <xdr:sp macro="" textlink="">
      <xdr:nvSpPr>
        <xdr:cNvPr id="510" name="Shape 509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31</xdr:row>
      <xdr:rowOff>9525</xdr:rowOff>
    </xdr:from>
    <xdr:ext cx="323850" cy="180975"/>
    <xdr:sp macro="" textlink="">
      <xdr:nvSpPr>
        <xdr:cNvPr id="511" name="Shape 510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32</xdr:row>
      <xdr:rowOff>9525</xdr:rowOff>
    </xdr:from>
    <xdr:ext cx="323850" cy="180975"/>
    <xdr:sp macro="" textlink="">
      <xdr:nvSpPr>
        <xdr:cNvPr id="512" name="Shape 511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33</xdr:row>
      <xdr:rowOff>9525</xdr:rowOff>
    </xdr:from>
    <xdr:ext cx="323850" cy="180975"/>
    <xdr:sp macro="" textlink="">
      <xdr:nvSpPr>
        <xdr:cNvPr id="513" name="Shape 512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34</xdr:row>
      <xdr:rowOff>9525</xdr:rowOff>
    </xdr:from>
    <xdr:ext cx="323850" cy="180975"/>
    <xdr:sp macro="" textlink="">
      <xdr:nvSpPr>
        <xdr:cNvPr id="514" name="Shape 513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35</xdr:row>
      <xdr:rowOff>9525</xdr:rowOff>
    </xdr:from>
    <xdr:ext cx="323850" cy="180975"/>
    <xdr:sp macro="" textlink="">
      <xdr:nvSpPr>
        <xdr:cNvPr id="515" name="Shape 514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36</xdr:row>
      <xdr:rowOff>9525</xdr:rowOff>
    </xdr:from>
    <xdr:ext cx="323850" cy="180975"/>
    <xdr:sp macro="" textlink="">
      <xdr:nvSpPr>
        <xdr:cNvPr id="516" name="Shape 515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37</xdr:row>
      <xdr:rowOff>9525</xdr:rowOff>
    </xdr:from>
    <xdr:ext cx="323850" cy="180975"/>
    <xdr:sp macro="" textlink="">
      <xdr:nvSpPr>
        <xdr:cNvPr id="517" name="Shape 516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38</xdr:row>
      <xdr:rowOff>9525</xdr:rowOff>
    </xdr:from>
    <xdr:ext cx="323850" cy="180975"/>
    <xdr:sp macro="" textlink="">
      <xdr:nvSpPr>
        <xdr:cNvPr id="518" name="Shape 517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39</xdr:row>
      <xdr:rowOff>9525</xdr:rowOff>
    </xdr:from>
    <xdr:ext cx="323850" cy="180975"/>
    <xdr:sp macro="" textlink="">
      <xdr:nvSpPr>
        <xdr:cNvPr id="519" name="Shape 518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56</xdr:col>
      <xdr:colOff>0</xdr:colOff>
      <xdr:row>40</xdr:row>
      <xdr:rowOff>9525</xdr:rowOff>
    </xdr:from>
    <xdr:ext cx="323850" cy="180975"/>
    <xdr:sp macro="" textlink="">
      <xdr:nvSpPr>
        <xdr:cNvPr id="520" name="Shape 519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55</xdr:col>
      <xdr:colOff>0</xdr:colOff>
      <xdr:row>41</xdr:row>
      <xdr:rowOff>9525</xdr:rowOff>
    </xdr:from>
    <xdr:ext cx="323850" cy="180975"/>
    <xdr:sp macro="" textlink="">
      <xdr:nvSpPr>
        <xdr:cNvPr id="521" name="Shape 520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</xdr:row>
      <xdr:rowOff>9525</xdr:rowOff>
    </xdr:from>
    <xdr:ext cx="323850" cy="180975"/>
    <xdr:sp macro="" textlink="">
      <xdr:nvSpPr>
        <xdr:cNvPr id="522" name="Shape 521">
          <a:extLst>
            <a:ext uri="{FF2B5EF4-FFF2-40B4-BE49-F238E27FC236}">
              <a16:creationId xmlns:a16="http://schemas.microsoft.com/office/drawing/2014/main" id="{00000000-0008-0000-0B00-00000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</xdr:row>
      <xdr:rowOff>9525</xdr:rowOff>
    </xdr:from>
    <xdr:ext cx="323850" cy="180975"/>
    <xdr:sp macro="" textlink="">
      <xdr:nvSpPr>
        <xdr:cNvPr id="523" name="Shape 522">
          <a:extLst>
            <a:ext uri="{FF2B5EF4-FFF2-40B4-BE49-F238E27FC236}">
              <a16:creationId xmlns:a16="http://schemas.microsoft.com/office/drawing/2014/main" id="{00000000-0008-0000-0B00-00000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4</xdr:row>
      <xdr:rowOff>9525</xdr:rowOff>
    </xdr:from>
    <xdr:ext cx="323850" cy="180975"/>
    <xdr:sp macro="" textlink="">
      <xdr:nvSpPr>
        <xdr:cNvPr id="524" name="Shape 523">
          <a:extLst>
            <a:ext uri="{FF2B5EF4-FFF2-40B4-BE49-F238E27FC236}">
              <a16:creationId xmlns:a16="http://schemas.microsoft.com/office/drawing/2014/main" id="{00000000-0008-0000-0B00-00000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5</xdr:row>
      <xdr:rowOff>9525</xdr:rowOff>
    </xdr:from>
    <xdr:ext cx="323850" cy="180975"/>
    <xdr:sp macro="" textlink="">
      <xdr:nvSpPr>
        <xdr:cNvPr id="525" name="Shape 524">
          <a:extLst>
            <a:ext uri="{FF2B5EF4-FFF2-40B4-BE49-F238E27FC236}">
              <a16:creationId xmlns:a16="http://schemas.microsoft.com/office/drawing/2014/main" id="{00000000-0008-0000-0B00-00000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6</xdr:row>
      <xdr:rowOff>9525</xdr:rowOff>
    </xdr:from>
    <xdr:ext cx="323850" cy="180975"/>
    <xdr:sp macro="" textlink="">
      <xdr:nvSpPr>
        <xdr:cNvPr id="526" name="Shape 525">
          <a:extLst>
            <a:ext uri="{FF2B5EF4-FFF2-40B4-BE49-F238E27FC236}">
              <a16:creationId xmlns:a16="http://schemas.microsoft.com/office/drawing/2014/main" id="{00000000-0008-0000-0B00-00000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7</xdr:row>
      <xdr:rowOff>9525</xdr:rowOff>
    </xdr:from>
    <xdr:ext cx="323850" cy="180975"/>
    <xdr:sp macro="" textlink="">
      <xdr:nvSpPr>
        <xdr:cNvPr id="527" name="Shape 526">
          <a:extLst>
            <a:ext uri="{FF2B5EF4-FFF2-40B4-BE49-F238E27FC236}">
              <a16:creationId xmlns:a16="http://schemas.microsoft.com/office/drawing/2014/main" id="{00000000-0008-0000-0B00-00000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8</xdr:row>
      <xdr:rowOff>9525</xdr:rowOff>
    </xdr:from>
    <xdr:ext cx="323850" cy="180975"/>
    <xdr:sp macro="" textlink="">
      <xdr:nvSpPr>
        <xdr:cNvPr id="528" name="Shape 527">
          <a:extLst>
            <a:ext uri="{FF2B5EF4-FFF2-40B4-BE49-F238E27FC236}">
              <a16:creationId xmlns:a16="http://schemas.microsoft.com/office/drawing/2014/main" id="{00000000-0008-0000-0B00-00001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9</xdr:row>
      <xdr:rowOff>9525</xdr:rowOff>
    </xdr:from>
    <xdr:ext cx="323850" cy="180975"/>
    <xdr:sp macro="" textlink="">
      <xdr:nvSpPr>
        <xdr:cNvPr id="529" name="Shape 528">
          <a:extLst>
            <a:ext uri="{FF2B5EF4-FFF2-40B4-BE49-F238E27FC236}">
              <a16:creationId xmlns:a16="http://schemas.microsoft.com/office/drawing/2014/main" id="{00000000-0008-0000-0B00-00001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10</xdr:row>
      <xdr:rowOff>9525</xdr:rowOff>
    </xdr:from>
    <xdr:ext cx="323850" cy="180975"/>
    <xdr:sp macro="" textlink="">
      <xdr:nvSpPr>
        <xdr:cNvPr id="530" name="Shape 529">
          <a:extLst>
            <a:ext uri="{FF2B5EF4-FFF2-40B4-BE49-F238E27FC236}">
              <a16:creationId xmlns:a16="http://schemas.microsoft.com/office/drawing/2014/main" id="{00000000-0008-0000-0B00-00001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11</xdr:row>
      <xdr:rowOff>9525</xdr:rowOff>
    </xdr:from>
    <xdr:ext cx="323850" cy="180975"/>
    <xdr:sp macro="" textlink="">
      <xdr:nvSpPr>
        <xdr:cNvPr id="531" name="Shape 530">
          <a:extLst>
            <a:ext uri="{FF2B5EF4-FFF2-40B4-BE49-F238E27FC236}">
              <a16:creationId xmlns:a16="http://schemas.microsoft.com/office/drawing/2014/main" id="{00000000-0008-0000-0B00-00001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12</xdr:row>
      <xdr:rowOff>9525</xdr:rowOff>
    </xdr:from>
    <xdr:ext cx="323850" cy="180975"/>
    <xdr:sp macro="" textlink="">
      <xdr:nvSpPr>
        <xdr:cNvPr id="532" name="Shape 531">
          <a:extLst>
            <a:ext uri="{FF2B5EF4-FFF2-40B4-BE49-F238E27FC236}">
              <a16:creationId xmlns:a16="http://schemas.microsoft.com/office/drawing/2014/main" id="{00000000-0008-0000-0B00-00001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13</xdr:row>
      <xdr:rowOff>9525</xdr:rowOff>
    </xdr:from>
    <xdr:ext cx="323850" cy="180975"/>
    <xdr:sp macro="" textlink="">
      <xdr:nvSpPr>
        <xdr:cNvPr id="533" name="Shape 532">
          <a:extLst>
            <a:ext uri="{FF2B5EF4-FFF2-40B4-BE49-F238E27FC236}">
              <a16:creationId xmlns:a16="http://schemas.microsoft.com/office/drawing/2014/main" id="{00000000-0008-0000-0B00-00001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14</xdr:row>
      <xdr:rowOff>9525</xdr:rowOff>
    </xdr:from>
    <xdr:ext cx="323850" cy="180975"/>
    <xdr:sp macro="" textlink="">
      <xdr:nvSpPr>
        <xdr:cNvPr id="534" name="Shape 533">
          <a:extLst>
            <a:ext uri="{FF2B5EF4-FFF2-40B4-BE49-F238E27FC236}">
              <a16:creationId xmlns:a16="http://schemas.microsoft.com/office/drawing/2014/main" id="{00000000-0008-0000-0B00-00001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15</xdr:row>
      <xdr:rowOff>9525</xdr:rowOff>
    </xdr:from>
    <xdr:ext cx="323850" cy="180975"/>
    <xdr:sp macro="" textlink="">
      <xdr:nvSpPr>
        <xdr:cNvPr id="535" name="Shape 534">
          <a:extLst>
            <a:ext uri="{FF2B5EF4-FFF2-40B4-BE49-F238E27FC236}">
              <a16:creationId xmlns:a16="http://schemas.microsoft.com/office/drawing/2014/main" id="{00000000-0008-0000-0B00-00001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16</xdr:row>
      <xdr:rowOff>9525</xdr:rowOff>
    </xdr:from>
    <xdr:ext cx="323850" cy="180975"/>
    <xdr:sp macro="" textlink="">
      <xdr:nvSpPr>
        <xdr:cNvPr id="536" name="Shape 535">
          <a:extLst>
            <a:ext uri="{FF2B5EF4-FFF2-40B4-BE49-F238E27FC236}">
              <a16:creationId xmlns:a16="http://schemas.microsoft.com/office/drawing/2014/main" id="{00000000-0008-0000-0B00-00001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17</xdr:row>
      <xdr:rowOff>9525</xdr:rowOff>
    </xdr:from>
    <xdr:ext cx="323850" cy="180975"/>
    <xdr:sp macro="" textlink="">
      <xdr:nvSpPr>
        <xdr:cNvPr id="537" name="Shape 536">
          <a:extLst>
            <a:ext uri="{FF2B5EF4-FFF2-40B4-BE49-F238E27FC236}">
              <a16:creationId xmlns:a16="http://schemas.microsoft.com/office/drawing/2014/main" id="{00000000-0008-0000-0B00-00001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18</xdr:row>
      <xdr:rowOff>9525</xdr:rowOff>
    </xdr:from>
    <xdr:ext cx="323850" cy="180975"/>
    <xdr:sp macro="" textlink="">
      <xdr:nvSpPr>
        <xdr:cNvPr id="538" name="Shape 537">
          <a:extLst>
            <a:ext uri="{FF2B5EF4-FFF2-40B4-BE49-F238E27FC236}">
              <a16:creationId xmlns:a16="http://schemas.microsoft.com/office/drawing/2014/main" id="{00000000-0008-0000-0B00-00001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19</xdr:row>
      <xdr:rowOff>9525</xdr:rowOff>
    </xdr:from>
    <xdr:ext cx="323850" cy="180975"/>
    <xdr:sp macro="" textlink="">
      <xdr:nvSpPr>
        <xdr:cNvPr id="539" name="Shape 538">
          <a:extLst>
            <a:ext uri="{FF2B5EF4-FFF2-40B4-BE49-F238E27FC236}">
              <a16:creationId xmlns:a16="http://schemas.microsoft.com/office/drawing/2014/main" id="{00000000-0008-0000-0B00-00001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20</xdr:row>
      <xdr:rowOff>9525</xdr:rowOff>
    </xdr:from>
    <xdr:ext cx="323850" cy="180975"/>
    <xdr:sp macro="" textlink="">
      <xdr:nvSpPr>
        <xdr:cNvPr id="540" name="Shape 539">
          <a:extLst>
            <a:ext uri="{FF2B5EF4-FFF2-40B4-BE49-F238E27FC236}">
              <a16:creationId xmlns:a16="http://schemas.microsoft.com/office/drawing/2014/main" id="{00000000-0008-0000-0B00-00001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21</xdr:row>
      <xdr:rowOff>9525</xdr:rowOff>
    </xdr:from>
    <xdr:ext cx="323850" cy="180975"/>
    <xdr:sp macro="" textlink="">
      <xdr:nvSpPr>
        <xdr:cNvPr id="541" name="Shape 540">
          <a:extLst>
            <a:ext uri="{FF2B5EF4-FFF2-40B4-BE49-F238E27FC236}">
              <a16:creationId xmlns:a16="http://schemas.microsoft.com/office/drawing/2014/main" id="{00000000-0008-0000-0B00-00001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22</xdr:row>
      <xdr:rowOff>9525</xdr:rowOff>
    </xdr:from>
    <xdr:ext cx="323850" cy="180975"/>
    <xdr:sp macro="" textlink="">
      <xdr:nvSpPr>
        <xdr:cNvPr id="542" name="Shape 541">
          <a:extLst>
            <a:ext uri="{FF2B5EF4-FFF2-40B4-BE49-F238E27FC236}">
              <a16:creationId xmlns:a16="http://schemas.microsoft.com/office/drawing/2014/main" id="{00000000-0008-0000-0B00-00001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23</xdr:row>
      <xdr:rowOff>9525</xdr:rowOff>
    </xdr:from>
    <xdr:ext cx="323850" cy="180975"/>
    <xdr:sp macro="" textlink="">
      <xdr:nvSpPr>
        <xdr:cNvPr id="543" name="Shape 542">
          <a:extLst>
            <a:ext uri="{FF2B5EF4-FFF2-40B4-BE49-F238E27FC236}">
              <a16:creationId xmlns:a16="http://schemas.microsoft.com/office/drawing/2014/main" id="{00000000-0008-0000-0B00-00001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24</xdr:row>
      <xdr:rowOff>9525</xdr:rowOff>
    </xdr:from>
    <xdr:ext cx="323850" cy="180975"/>
    <xdr:sp macro="" textlink="">
      <xdr:nvSpPr>
        <xdr:cNvPr id="544" name="Shape 543">
          <a:extLst>
            <a:ext uri="{FF2B5EF4-FFF2-40B4-BE49-F238E27FC236}">
              <a16:creationId xmlns:a16="http://schemas.microsoft.com/office/drawing/2014/main" id="{00000000-0008-0000-0B00-00002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25</xdr:row>
      <xdr:rowOff>9525</xdr:rowOff>
    </xdr:from>
    <xdr:ext cx="323850" cy="180975"/>
    <xdr:sp macro="" textlink="">
      <xdr:nvSpPr>
        <xdr:cNvPr id="545" name="Shape 544">
          <a:extLst>
            <a:ext uri="{FF2B5EF4-FFF2-40B4-BE49-F238E27FC236}">
              <a16:creationId xmlns:a16="http://schemas.microsoft.com/office/drawing/2014/main" id="{00000000-0008-0000-0B00-00002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26</xdr:row>
      <xdr:rowOff>9525</xdr:rowOff>
    </xdr:from>
    <xdr:ext cx="323850" cy="180975"/>
    <xdr:sp macro="" textlink="">
      <xdr:nvSpPr>
        <xdr:cNvPr id="546" name="Shape 545">
          <a:extLst>
            <a:ext uri="{FF2B5EF4-FFF2-40B4-BE49-F238E27FC236}">
              <a16:creationId xmlns:a16="http://schemas.microsoft.com/office/drawing/2014/main" id="{00000000-0008-0000-0B00-00002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27</xdr:row>
      <xdr:rowOff>9525</xdr:rowOff>
    </xdr:from>
    <xdr:ext cx="323850" cy="180975"/>
    <xdr:sp macro="" textlink="">
      <xdr:nvSpPr>
        <xdr:cNvPr id="547" name="Shape 546">
          <a:extLst>
            <a:ext uri="{FF2B5EF4-FFF2-40B4-BE49-F238E27FC236}">
              <a16:creationId xmlns:a16="http://schemas.microsoft.com/office/drawing/2014/main" id="{00000000-0008-0000-0B00-00002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28</xdr:row>
      <xdr:rowOff>9525</xdr:rowOff>
    </xdr:from>
    <xdr:ext cx="323850" cy="180975"/>
    <xdr:sp macro="" textlink="">
      <xdr:nvSpPr>
        <xdr:cNvPr id="548" name="Shape 547">
          <a:extLst>
            <a:ext uri="{FF2B5EF4-FFF2-40B4-BE49-F238E27FC236}">
              <a16:creationId xmlns:a16="http://schemas.microsoft.com/office/drawing/2014/main" id="{00000000-0008-0000-0B00-00002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29</xdr:row>
      <xdr:rowOff>9525</xdr:rowOff>
    </xdr:from>
    <xdr:ext cx="323850" cy="180975"/>
    <xdr:sp macro="" textlink="">
      <xdr:nvSpPr>
        <xdr:cNvPr id="549" name="Shape 548">
          <a:extLst>
            <a:ext uri="{FF2B5EF4-FFF2-40B4-BE49-F238E27FC236}">
              <a16:creationId xmlns:a16="http://schemas.microsoft.com/office/drawing/2014/main" id="{00000000-0008-0000-0B00-00002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30</xdr:row>
      <xdr:rowOff>9525</xdr:rowOff>
    </xdr:from>
    <xdr:ext cx="323850" cy="180975"/>
    <xdr:sp macro="" textlink="">
      <xdr:nvSpPr>
        <xdr:cNvPr id="550" name="Shape 549">
          <a:extLst>
            <a:ext uri="{FF2B5EF4-FFF2-40B4-BE49-F238E27FC236}">
              <a16:creationId xmlns:a16="http://schemas.microsoft.com/office/drawing/2014/main" id="{00000000-0008-0000-0B00-00002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31</xdr:row>
      <xdr:rowOff>9525</xdr:rowOff>
    </xdr:from>
    <xdr:ext cx="323850" cy="180975"/>
    <xdr:sp macro="" textlink="">
      <xdr:nvSpPr>
        <xdr:cNvPr id="551" name="Shape 550">
          <a:extLst>
            <a:ext uri="{FF2B5EF4-FFF2-40B4-BE49-F238E27FC236}">
              <a16:creationId xmlns:a16="http://schemas.microsoft.com/office/drawing/2014/main" id="{00000000-0008-0000-0B00-00002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32</xdr:row>
      <xdr:rowOff>9525</xdr:rowOff>
    </xdr:from>
    <xdr:ext cx="323850" cy="180975"/>
    <xdr:sp macro="" textlink="">
      <xdr:nvSpPr>
        <xdr:cNvPr id="552" name="Shape 551">
          <a:extLst>
            <a:ext uri="{FF2B5EF4-FFF2-40B4-BE49-F238E27FC236}">
              <a16:creationId xmlns:a16="http://schemas.microsoft.com/office/drawing/2014/main" id="{00000000-0008-0000-0B00-00002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33</xdr:row>
      <xdr:rowOff>9525</xdr:rowOff>
    </xdr:from>
    <xdr:ext cx="323850" cy="180975"/>
    <xdr:sp macro="" textlink="">
      <xdr:nvSpPr>
        <xdr:cNvPr id="553" name="Shape 552">
          <a:extLst>
            <a:ext uri="{FF2B5EF4-FFF2-40B4-BE49-F238E27FC236}">
              <a16:creationId xmlns:a16="http://schemas.microsoft.com/office/drawing/2014/main" id="{00000000-0008-0000-0B00-00002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34</xdr:row>
      <xdr:rowOff>9525</xdr:rowOff>
    </xdr:from>
    <xdr:ext cx="323850" cy="180975"/>
    <xdr:sp macro="" textlink="">
      <xdr:nvSpPr>
        <xdr:cNvPr id="554" name="Shape 553">
          <a:extLst>
            <a:ext uri="{FF2B5EF4-FFF2-40B4-BE49-F238E27FC236}">
              <a16:creationId xmlns:a16="http://schemas.microsoft.com/office/drawing/2014/main" id="{00000000-0008-0000-0B00-00002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35</xdr:row>
      <xdr:rowOff>9525</xdr:rowOff>
    </xdr:from>
    <xdr:ext cx="323850" cy="180975"/>
    <xdr:sp macro="" textlink="">
      <xdr:nvSpPr>
        <xdr:cNvPr id="555" name="Shape 554">
          <a:extLst>
            <a:ext uri="{FF2B5EF4-FFF2-40B4-BE49-F238E27FC236}">
              <a16:creationId xmlns:a16="http://schemas.microsoft.com/office/drawing/2014/main" id="{00000000-0008-0000-0B00-00002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36</xdr:row>
      <xdr:rowOff>9525</xdr:rowOff>
    </xdr:from>
    <xdr:ext cx="323850" cy="180975"/>
    <xdr:sp macro="" textlink="">
      <xdr:nvSpPr>
        <xdr:cNvPr id="556" name="Shape 555">
          <a:extLst>
            <a:ext uri="{FF2B5EF4-FFF2-40B4-BE49-F238E27FC236}">
              <a16:creationId xmlns:a16="http://schemas.microsoft.com/office/drawing/2014/main" id="{00000000-0008-0000-0B00-00002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37</xdr:row>
      <xdr:rowOff>9525</xdr:rowOff>
    </xdr:from>
    <xdr:ext cx="323850" cy="180975"/>
    <xdr:sp macro="" textlink="">
      <xdr:nvSpPr>
        <xdr:cNvPr id="557" name="Shape 556">
          <a:extLst>
            <a:ext uri="{FF2B5EF4-FFF2-40B4-BE49-F238E27FC236}">
              <a16:creationId xmlns:a16="http://schemas.microsoft.com/office/drawing/2014/main" id="{00000000-0008-0000-0B00-00002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38</xdr:row>
      <xdr:rowOff>9525</xdr:rowOff>
    </xdr:from>
    <xdr:ext cx="323850" cy="180975"/>
    <xdr:sp macro="" textlink="">
      <xdr:nvSpPr>
        <xdr:cNvPr id="558" name="Shape 557">
          <a:extLst>
            <a:ext uri="{FF2B5EF4-FFF2-40B4-BE49-F238E27FC236}">
              <a16:creationId xmlns:a16="http://schemas.microsoft.com/office/drawing/2014/main" id="{00000000-0008-0000-0B00-00002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39</xdr:row>
      <xdr:rowOff>9525</xdr:rowOff>
    </xdr:from>
    <xdr:ext cx="323850" cy="180975"/>
    <xdr:sp macro="" textlink="">
      <xdr:nvSpPr>
        <xdr:cNvPr id="559" name="Shape 558">
          <a:extLst>
            <a:ext uri="{FF2B5EF4-FFF2-40B4-BE49-F238E27FC236}">
              <a16:creationId xmlns:a16="http://schemas.microsoft.com/office/drawing/2014/main" id="{00000000-0008-0000-0B00-00002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59</xdr:col>
      <xdr:colOff>0</xdr:colOff>
      <xdr:row>40</xdr:row>
      <xdr:rowOff>9525</xdr:rowOff>
    </xdr:from>
    <xdr:ext cx="323850" cy="180975"/>
    <xdr:sp macro="" textlink="">
      <xdr:nvSpPr>
        <xdr:cNvPr id="560" name="Shape 559">
          <a:extLst>
            <a:ext uri="{FF2B5EF4-FFF2-40B4-BE49-F238E27FC236}">
              <a16:creationId xmlns:a16="http://schemas.microsoft.com/office/drawing/2014/main" id="{00000000-0008-0000-0B00-00003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60</xdr:col>
      <xdr:colOff>0</xdr:colOff>
      <xdr:row>41</xdr:row>
      <xdr:rowOff>9525</xdr:rowOff>
    </xdr:from>
    <xdr:ext cx="323850" cy="180975"/>
    <xdr:sp macro="" textlink="">
      <xdr:nvSpPr>
        <xdr:cNvPr id="561" name="Shape 560">
          <a:extLst>
            <a:ext uri="{FF2B5EF4-FFF2-40B4-BE49-F238E27FC236}">
              <a16:creationId xmlns:a16="http://schemas.microsoft.com/office/drawing/2014/main" id="{00000000-0008-0000-0B00-00003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</xdr:row>
      <xdr:rowOff>9525</xdr:rowOff>
    </xdr:from>
    <xdr:ext cx="323850" cy="180975"/>
    <xdr:sp macro="" textlink="">
      <xdr:nvSpPr>
        <xdr:cNvPr id="562" name="Shape 561">
          <a:extLst>
            <a:ext uri="{FF2B5EF4-FFF2-40B4-BE49-F238E27FC236}">
              <a16:creationId xmlns:a16="http://schemas.microsoft.com/office/drawing/2014/main" id="{00000000-0008-0000-0B00-00003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</xdr:row>
      <xdr:rowOff>9525</xdr:rowOff>
    </xdr:from>
    <xdr:ext cx="323850" cy="180975"/>
    <xdr:sp macro="" textlink="">
      <xdr:nvSpPr>
        <xdr:cNvPr id="563" name="Shape 562">
          <a:extLst>
            <a:ext uri="{FF2B5EF4-FFF2-40B4-BE49-F238E27FC236}">
              <a16:creationId xmlns:a16="http://schemas.microsoft.com/office/drawing/2014/main" id="{00000000-0008-0000-0B00-00003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4</xdr:row>
      <xdr:rowOff>9525</xdr:rowOff>
    </xdr:from>
    <xdr:ext cx="323850" cy="180975"/>
    <xdr:sp macro="" textlink="">
      <xdr:nvSpPr>
        <xdr:cNvPr id="564" name="Shape 563">
          <a:extLst>
            <a:ext uri="{FF2B5EF4-FFF2-40B4-BE49-F238E27FC236}">
              <a16:creationId xmlns:a16="http://schemas.microsoft.com/office/drawing/2014/main" id="{00000000-0008-0000-0B00-00003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5</xdr:row>
      <xdr:rowOff>9525</xdr:rowOff>
    </xdr:from>
    <xdr:ext cx="323850" cy="180975"/>
    <xdr:sp macro="" textlink="">
      <xdr:nvSpPr>
        <xdr:cNvPr id="565" name="Shape 564">
          <a:extLst>
            <a:ext uri="{FF2B5EF4-FFF2-40B4-BE49-F238E27FC236}">
              <a16:creationId xmlns:a16="http://schemas.microsoft.com/office/drawing/2014/main" id="{00000000-0008-0000-0B00-00003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6</xdr:row>
      <xdr:rowOff>9525</xdr:rowOff>
    </xdr:from>
    <xdr:ext cx="323850" cy="180975"/>
    <xdr:sp macro="" textlink="">
      <xdr:nvSpPr>
        <xdr:cNvPr id="566" name="Shape 565">
          <a:extLst>
            <a:ext uri="{FF2B5EF4-FFF2-40B4-BE49-F238E27FC236}">
              <a16:creationId xmlns:a16="http://schemas.microsoft.com/office/drawing/2014/main" id="{00000000-0008-0000-0B00-00003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7</xdr:row>
      <xdr:rowOff>9525</xdr:rowOff>
    </xdr:from>
    <xdr:ext cx="323850" cy="180975"/>
    <xdr:sp macro="" textlink="">
      <xdr:nvSpPr>
        <xdr:cNvPr id="567" name="Shape 566">
          <a:extLst>
            <a:ext uri="{FF2B5EF4-FFF2-40B4-BE49-F238E27FC236}">
              <a16:creationId xmlns:a16="http://schemas.microsoft.com/office/drawing/2014/main" id="{00000000-0008-0000-0B00-00003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8</xdr:row>
      <xdr:rowOff>9525</xdr:rowOff>
    </xdr:from>
    <xdr:ext cx="323850" cy="180975"/>
    <xdr:sp macro="" textlink="">
      <xdr:nvSpPr>
        <xdr:cNvPr id="568" name="Shape 567">
          <a:extLst>
            <a:ext uri="{FF2B5EF4-FFF2-40B4-BE49-F238E27FC236}">
              <a16:creationId xmlns:a16="http://schemas.microsoft.com/office/drawing/2014/main" id="{00000000-0008-0000-0B00-00003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9</xdr:row>
      <xdr:rowOff>9525</xdr:rowOff>
    </xdr:from>
    <xdr:ext cx="323850" cy="180975"/>
    <xdr:sp macro="" textlink="">
      <xdr:nvSpPr>
        <xdr:cNvPr id="569" name="Shape 568">
          <a:extLst>
            <a:ext uri="{FF2B5EF4-FFF2-40B4-BE49-F238E27FC236}">
              <a16:creationId xmlns:a16="http://schemas.microsoft.com/office/drawing/2014/main" id="{00000000-0008-0000-0B00-00003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10</xdr:row>
      <xdr:rowOff>9525</xdr:rowOff>
    </xdr:from>
    <xdr:ext cx="323850" cy="180975"/>
    <xdr:sp macro="" textlink="">
      <xdr:nvSpPr>
        <xdr:cNvPr id="570" name="Shape 569">
          <a:extLst>
            <a:ext uri="{FF2B5EF4-FFF2-40B4-BE49-F238E27FC236}">
              <a16:creationId xmlns:a16="http://schemas.microsoft.com/office/drawing/2014/main" id="{00000000-0008-0000-0B00-00003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11</xdr:row>
      <xdr:rowOff>9525</xdr:rowOff>
    </xdr:from>
    <xdr:ext cx="323850" cy="180975"/>
    <xdr:sp macro="" textlink="">
      <xdr:nvSpPr>
        <xdr:cNvPr id="571" name="Shape 570">
          <a:extLst>
            <a:ext uri="{FF2B5EF4-FFF2-40B4-BE49-F238E27FC236}">
              <a16:creationId xmlns:a16="http://schemas.microsoft.com/office/drawing/2014/main" id="{00000000-0008-0000-0B00-00003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12</xdr:row>
      <xdr:rowOff>9525</xdr:rowOff>
    </xdr:from>
    <xdr:ext cx="323850" cy="180975"/>
    <xdr:sp macro="" textlink="">
      <xdr:nvSpPr>
        <xdr:cNvPr id="572" name="Shape 571">
          <a:extLst>
            <a:ext uri="{FF2B5EF4-FFF2-40B4-BE49-F238E27FC236}">
              <a16:creationId xmlns:a16="http://schemas.microsoft.com/office/drawing/2014/main" id="{00000000-0008-0000-0B00-00003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13</xdr:row>
      <xdr:rowOff>9525</xdr:rowOff>
    </xdr:from>
    <xdr:ext cx="323850" cy="180975"/>
    <xdr:sp macro="" textlink="">
      <xdr:nvSpPr>
        <xdr:cNvPr id="573" name="Shape 572">
          <a:extLst>
            <a:ext uri="{FF2B5EF4-FFF2-40B4-BE49-F238E27FC236}">
              <a16:creationId xmlns:a16="http://schemas.microsoft.com/office/drawing/2014/main" id="{00000000-0008-0000-0B00-00003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14</xdr:row>
      <xdr:rowOff>9525</xdr:rowOff>
    </xdr:from>
    <xdr:ext cx="323850" cy="180975"/>
    <xdr:sp macro="" textlink="">
      <xdr:nvSpPr>
        <xdr:cNvPr id="574" name="Shape 573">
          <a:extLst>
            <a:ext uri="{FF2B5EF4-FFF2-40B4-BE49-F238E27FC236}">
              <a16:creationId xmlns:a16="http://schemas.microsoft.com/office/drawing/2014/main" id="{00000000-0008-0000-0B00-00003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15</xdr:row>
      <xdr:rowOff>9525</xdr:rowOff>
    </xdr:from>
    <xdr:ext cx="323850" cy="180975"/>
    <xdr:sp macro="" textlink="">
      <xdr:nvSpPr>
        <xdr:cNvPr id="575" name="Shape 574">
          <a:extLst>
            <a:ext uri="{FF2B5EF4-FFF2-40B4-BE49-F238E27FC236}">
              <a16:creationId xmlns:a16="http://schemas.microsoft.com/office/drawing/2014/main" id="{00000000-0008-0000-0B00-00003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16</xdr:row>
      <xdr:rowOff>9525</xdr:rowOff>
    </xdr:from>
    <xdr:ext cx="323850" cy="180975"/>
    <xdr:sp macro="" textlink="">
      <xdr:nvSpPr>
        <xdr:cNvPr id="576" name="Shape 575">
          <a:extLst>
            <a:ext uri="{FF2B5EF4-FFF2-40B4-BE49-F238E27FC236}">
              <a16:creationId xmlns:a16="http://schemas.microsoft.com/office/drawing/2014/main" id="{00000000-0008-0000-0B00-00004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17</xdr:row>
      <xdr:rowOff>9525</xdr:rowOff>
    </xdr:from>
    <xdr:ext cx="323850" cy="180975"/>
    <xdr:sp macro="" textlink="">
      <xdr:nvSpPr>
        <xdr:cNvPr id="577" name="Shape 576">
          <a:extLst>
            <a:ext uri="{FF2B5EF4-FFF2-40B4-BE49-F238E27FC236}">
              <a16:creationId xmlns:a16="http://schemas.microsoft.com/office/drawing/2014/main" id="{00000000-0008-0000-0B00-00004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18</xdr:row>
      <xdr:rowOff>9525</xdr:rowOff>
    </xdr:from>
    <xdr:ext cx="323850" cy="180975"/>
    <xdr:sp macro="" textlink="">
      <xdr:nvSpPr>
        <xdr:cNvPr id="578" name="Shape 577">
          <a:extLst>
            <a:ext uri="{FF2B5EF4-FFF2-40B4-BE49-F238E27FC236}">
              <a16:creationId xmlns:a16="http://schemas.microsoft.com/office/drawing/2014/main" id="{00000000-0008-0000-0B00-00004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19</xdr:row>
      <xdr:rowOff>9525</xdr:rowOff>
    </xdr:from>
    <xdr:ext cx="323850" cy="180975"/>
    <xdr:sp macro="" textlink="">
      <xdr:nvSpPr>
        <xdr:cNvPr id="579" name="Shape 578">
          <a:extLst>
            <a:ext uri="{FF2B5EF4-FFF2-40B4-BE49-F238E27FC236}">
              <a16:creationId xmlns:a16="http://schemas.microsoft.com/office/drawing/2014/main" id="{00000000-0008-0000-0B00-00004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20</xdr:row>
      <xdr:rowOff>9525</xdr:rowOff>
    </xdr:from>
    <xdr:ext cx="323850" cy="180975"/>
    <xdr:sp macro="" textlink="">
      <xdr:nvSpPr>
        <xdr:cNvPr id="580" name="Shape 579">
          <a:extLst>
            <a:ext uri="{FF2B5EF4-FFF2-40B4-BE49-F238E27FC236}">
              <a16:creationId xmlns:a16="http://schemas.microsoft.com/office/drawing/2014/main" id="{00000000-0008-0000-0B00-00004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21</xdr:row>
      <xdr:rowOff>9525</xdr:rowOff>
    </xdr:from>
    <xdr:ext cx="323850" cy="180975"/>
    <xdr:sp macro="" textlink="">
      <xdr:nvSpPr>
        <xdr:cNvPr id="581" name="Shape 580">
          <a:extLst>
            <a:ext uri="{FF2B5EF4-FFF2-40B4-BE49-F238E27FC236}">
              <a16:creationId xmlns:a16="http://schemas.microsoft.com/office/drawing/2014/main" id="{00000000-0008-0000-0B00-00004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22</xdr:row>
      <xdr:rowOff>9525</xdr:rowOff>
    </xdr:from>
    <xdr:ext cx="323850" cy="180975"/>
    <xdr:sp macro="" textlink="">
      <xdr:nvSpPr>
        <xdr:cNvPr id="582" name="Shape 581">
          <a:extLst>
            <a:ext uri="{FF2B5EF4-FFF2-40B4-BE49-F238E27FC236}">
              <a16:creationId xmlns:a16="http://schemas.microsoft.com/office/drawing/2014/main" id="{00000000-0008-0000-0B00-00004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23</xdr:row>
      <xdr:rowOff>9525</xdr:rowOff>
    </xdr:from>
    <xdr:ext cx="323850" cy="180975"/>
    <xdr:sp macro="" textlink="">
      <xdr:nvSpPr>
        <xdr:cNvPr id="583" name="Shape 582">
          <a:extLst>
            <a:ext uri="{FF2B5EF4-FFF2-40B4-BE49-F238E27FC236}">
              <a16:creationId xmlns:a16="http://schemas.microsoft.com/office/drawing/2014/main" id="{00000000-0008-0000-0B00-00004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24</xdr:row>
      <xdr:rowOff>9525</xdr:rowOff>
    </xdr:from>
    <xdr:ext cx="323850" cy="180975"/>
    <xdr:sp macro="" textlink="">
      <xdr:nvSpPr>
        <xdr:cNvPr id="584" name="Shape 583">
          <a:extLst>
            <a:ext uri="{FF2B5EF4-FFF2-40B4-BE49-F238E27FC236}">
              <a16:creationId xmlns:a16="http://schemas.microsoft.com/office/drawing/2014/main" id="{00000000-0008-0000-0B00-00004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25</xdr:row>
      <xdr:rowOff>9525</xdr:rowOff>
    </xdr:from>
    <xdr:ext cx="323850" cy="180975"/>
    <xdr:sp macro="" textlink="">
      <xdr:nvSpPr>
        <xdr:cNvPr id="585" name="Shape 584">
          <a:extLst>
            <a:ext uri="{FF2B5EF4-FFF2-40B4-BE49-F238E27FC236}">
              <a16:creationId xmlns:a16="http://schemas.microsoft.com/office/drawing/2014/main" id="{00000000-0008-0000-0B00-00004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26</xdr:row>
      <xdr:rowOff>9525</xdr:rowOff>
    </xdr:from>
    <xdr:ext cx="323850" cy="180975"/>
    <xdr:sp macro="" textlink="">
      <xdr:nvSpPr>
        <xdr:cNvPr id="586" name="Shape 585">
          <a:extLst>
            <a:ext uri="{FF2B5EF4-FFF2-40B4-BE49-F238E27FC236}">
              <a16:creationId xmlns:a16="http://schemas.microsoft.com/office/drawing/2014/main" id="{00000000-0008-0000-0B00-00004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27</xdr:row>
      <xdr:rowOff>9525</xdr:rowOff>
    </xdr:from>
    <xdr:ext cx="323850" cy="180975"/>
    <xdr:sp macro="" textlink="">
      <xdr:nvSpPr>
        <xdr:cNvPr id="587" name="Shape 586">
          <a:extLst>
            <a:ext uri="{FF2B5EF4-FFF2-40B4-BE49-F238E27FC236}">
              <a16:creationId xmlns:a16="http://schemas.microsoft.com/office/drawing/2014/main" id="{00000000-0008-0000-0B00-00004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28</xdr:row>
      <xdr:rowOff>9525</xdr:rowOff>
    </xdr:from>
    <xdr:ext cx="323850" cy="180975"/>
    <xdr:sp macro="" textlink="">
      <xdr:nvSpPr>
        <xdr:cNvPr id="588" name="Shape 587">
          <a:extLst>
            <a:ext uri="{FF2B5EF4-FFF2-40B4-BE49-F238E27FC236}">
              <a16:creationId xmlns:a16="http://schemas.microsoft.com/office/drawing/2014/main" id="{00000000-0008-0000-0B00-00004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29</xdr:row>
      <xdr:rowOff>9525</xdr:rowOff>
    </xdr:from>
    <xdr:ext cx="323850" cy="180975"/>
    <xdr:sp macro="" textlink="">
      <xdr:nvSpPr>
        <xdr:cNvPr id="589" name="Shape 588">
          <a:extLst>
            <a:ext uri="{FF2B5EF4-FFF2-40B4-BE49-F238E27FC236}">
              <a16:creationId xmlns:a16="http://schemas.microsoft.com/office/drawing/2014/main" id="{00000000-0008-0000-0B00-00004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30</xdr:row>
      <xdr:rowOff>9525</xdr:rowOff>
    </xdr:from>
    <xdr:ext cx="323850" cy="180975"/>
    <xdr:sp macro="" textlink="">
      <xdr:nvSpPr>
        <xdr:cNvPr id="590" name="Shape 589">
          <a:extLst>
            <a:ext uri="{FF2B5EF4-FFF2-40B4-BE49-F238E27FC236}">
              <a16:creationId xmlns:a16="http://schemas.microsoft.com/office/drawing/2014/main" id="{00000000-0008-0000-0B00-00004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31</xdr:row>
      <xdr:rowOff>9525</xdr:rowOff>
    </xdr:from>
    <xdr:ext cx="323850" cy="180975"/>
    <xdr:sp macro="" textlink="">
      <xdr:nvSpPr>
        <xdr:cNvPr id="591" name="Shape 590">
          <a:extLst>
            <a:ext uri="{FF2B5EF4-FFF2-40B4-BE49-F238E27FC236}">
              <a16:creationId xmlns:a16="http://schemas.microsoft.com/office/drawing/2014/main" id="{00000000-0008-0000-0B00-00004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32</xdr:row>
      <xdr:rowOff>9525</xdr:rowOff>
    </xdr:from>
    <xdr:ext cx="323850" cy="180975"/>
    <xdr:sp macro="" textlink="">
      <xdr:nvSpPr>
        <xdr:cNvPr id="592" name="Shape 591">
          <a:extLst>
            <a:ext uri="{FF2B5EF4-FFF2-40B4-BE49-F238E27FC236}">
              <a16:creationId xmlns:a16="http://schemas.microsoft.com/office/drawing/2014/main" id="{00000000-0008-0000-0B00-00005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33</xdr:row>
      <xdr:rowOff>9525</xdr:rowOff>
    </xdr:from>
    <xdr:ext cx="323850" cy="180975"/>
    <xdr:sp macro="" textlink="">
      <xdr:nvSpPr>
        <xdr:cNvPr id="593" name="Shape 592">
          <a:extLst>
            <a:ext uri="{FF2B5EF4-FFF2-40B4-BE49-F238E27FC236}">
              <a16:creationId xmlns:a16="http://schemas.microsoft.com/office/drawing/2014/main" id="{00000000-0008-0000-0B00-00005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34</xdr:row>
      <xdr:rowOff>9525</xdr:rowOff>
    </xdr:from>
    <xdr:ext cx="323850" cy="180975"/>
    <xdr:sp macro="" textlink="">
      <xdr:nvSpPr>
        <xdr:cNvPr id="594" name="Shape 593">
          <a:extLst>
            <a:ext uri="{FF2B5EF4-FFF2-40B4-BE49-F238E27FC236}">
              <a16:creationId xmlns:a16="http://schemas.microsoft.com/office/drawing/2014/main" id="{00000000-0008-0000-0B00-00005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35</xdr:row>
      <xdr:rowOff>9525</xdr:rowOff>
    </xdr:from>
    <xdr:ext cx="323850" cy="180975"/>
    <xdr:sp macro="" textlink="">
      <xdr:nvSpPr>
        <xdr:cNvPr id="595" name="Shape 594">
          <a:extLst>
            <a:ext uri="{FF2B5EF4-FFF2-40B4-BE49-F238E27FC236}">
              <a16:creationId xmlns:a16="http://schemas.microsoft.com/office/drawing/2014/main" id="{00000000-0008-0000-0B00-00005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36</xdr:row>
      <xdr:rowOff>9525</xdr:rowOff>
    </xdr:from>
    <xdr:ext cx="323850" cy="180975"/>
    <xdr:sp macro="" textlink="">
      <xdr:nvSpPr>
        <xdr:cNvPr id="596" name="Shape 595">
          <a:extLst>
            <a:ext uri="{FF2B5EF4-FFF2-40B4-BE49-F238E27FC236}">
              <a16:creationId xmlns:a16="http://schemas.microsoft.com/office/drawing/2014/main" id="{00000000-0008-0000-0B00-00005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37</xdr:row>
      <xdr:rowOff>9525</xdr:rowOff>
    </xdr:from>
    <xdr:ext cx="323850" cy="180975"/>
    <xdr:sp macro="" textlink="">
      <xdr:nvSpPr>
        <xdr:cNvPr id="597" name="Shape 596">
          <a:extLst>
            <a:ext uri="{FF2B5EF4-FFF2-40B4-BE49-F238E27FC236}">
              <a16:creationId xmlns:a16="http://schemas.microsoft.com/office/drawing/2014/main" id="{00000000-0008-0000-0B00-00005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38</xdr:row>
      <xdr:rowOff>9525</xdr:rowOff>
    </xdr:from>
    <xdr:ext cx="323850" cy="180975"/>
    <xdr:sp macro="" textlink="">
      <xdr:nvSpPr>
        <xdr:cNvPr id="598" name="Shape 597">
          <a:extLst>
            <a:ext uri="{FF2B5EF4-FFF2-40B4-BE49-F238E27FC236}">
              <a16:creationId xmlns:a16="http://schemas.microsoft.com/office/drawing/2014/main" id="{00000000-0008-0000-0B00-00005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39</xdr:row>
      <xdr:rowOff>9525</xdr:rowOff>
    </xdr:from>
    <xdr:ext cx="323850" cy="180975"/>
    <xdr:sp macro="" textlink="">
      <xdr:nvSpPr>
        <xdr:cNvPr id="599" name="Shape 598">
          <a:extLst>
            <a:ext uri="{FF2B5EF4-FFF2-40B4-BE49-F238E27FC236}">
              <a16:creationId xmlns:a16="http://schemas.microsoft.com/office/drawing/2014/main" id="{00000000-0008-0000-0B00-00005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64</xdr:col>
      <xdr:colOff>0</xdr:colOff>
      <xdr:row>40</xdr:row>
      <xdr:rowOff>9525</xdr:rowOff>
    </xdr:from>
    <xdr:ext cx="323850" cy="180975"/>
    <xdr:sp macro="" textlink="">
      <xdr:nvSpPr>
        <xdr:cNvPr id="600" name="Shape 599">
          <a:extLst>
            <a:ext uri="{FF2B5EF4-FFF2-40B4-BE49-F238E27FC236}">
              <a16:creationId xmlns:a16="http://schemas.microsoft.com/office/drawing/2014/main" id="{00000000-0008-0000-0B00-00005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63</xdr:col>
      <xdr:colOff>0</xdr:colOff>
      <xdr:row>41</xdr:row>
      <xdr:rowOff>9525</xdr:rowOff>
    </xdr:from>
    <xdr:ext cx="323850" cy="180975"/>
    <xdr:sp macro="" textlink="">
      <xdr:nvSpPr>
        <xdr:cNvPr id="601" name="Shape 600">
          <a:extLst>
            <a:ext uri="{FF2B5EF4-FFF2-40B4-BE49-F238E27FC236}">
              <a16:creationId xmlns:a16="http://schemas.microsoft.com/office/drawing/2014/main" id="{00000000-0008-0000-0B00-00005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</xdr:row>
      <xdr:rowOff>9525</xdr:rowOff>
    </xdr:from>
    <xdr:ext cx="323850" cy="180975"/>
    <xdr:sp macro="" textlink="">
      <xdr:nvSpPr>
        <xdr:cNvPr id="602" name="Shape 601">
          <a:extLst>
            <a:ext uri="{FF2B5EF4-FFF2-40B4-BE49-F238E27FC236}">
              <a16:creationId xmlns:a16="http://schemas.microsoft.com/office/drawing/2014/main" id="{00000000-0008-0000-0B00-00005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</xdr:row>
      <xdr:rowOff>9525</xdr:rowOff>
    </xdr:from>
    <xdr:ext cx="323850" cy="180975"/>
    <xdr:sp macro="" textlink="">
      <xdr:nvSpPr>
        <xdr:cNvPr id="603" name="Shape 602">
          <a:extLst>
            <a:ext uri="{FF2B5EF4-FFF2-40B4-BE49-F238E27FC236}">
              <a16:creationId xmlns:a16="http://schemas.microsoft.com/office/drawing/2014/main" id="{00000000-0008-0000-0B00-00005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4</xdr:row>
      <xdr:rowOff>9525</xdr:rowOff>
    </xdr:from>
    <xdr:ext cx="323850" cy="180975"/>
    <xdr:sp macro="" textlink="">
      <xdr:nvSpPr>
        <xdr:cNvPr id="604" name="Shape 603">
          <a:extLst>
            <a:ext uri="{FF2B5EF4-FFF2-40B4-BE49-F238E27FC236}">
              <a16:creationId xmlns:a16="http://schemas.microsoft.com/office/drawing/2014/main" id="{00000000-0008-0000-0B00-00005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5</xdr:row>
      <xdr:rowOff>9525</xdr:rowOff>
    </xdr:from>
    <xdr:ext cx="323850" cy="180975"/>
    <xdr:sp macro="" textlink="">
      <xdr:nvSpPr>
        <xdr:cNvPr id="605" name="Shape 604">
          <a:extLst>
            <a:ext uri="{FF2B5EF4-FFF2-40B4-BE49-F238E27FC236}">
              <a16:creationId xmlns:a16="http://schemas.microsoft.com/office/drawing/2014/main" id="{00000000-0008-0000-0B00-00005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6</xdr:row>
      <xdr:rowOff>9525</xdr:rowOff>
    </xdr:from>
    <xdr:ext cx="323850" cy="180975"/>
    <xdr:sp macro="" textlink="">
      <xdr:nvSpPr>
        <xdr:cNvPr id="606" name="Shape 605">
          <a:extLst>
            <a:ext uri="{FF2B5EF4-FFF2-40B4-BE49-F238E27FC236}">
              <a16:creationId xmlns:a16="http://schemas.microsoft.com/office/drawing/2014/main" id="{00000000-0008-0000-0B00-00005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7</xdr:row>
      <xdr:rowOff>9525</xdr:rowOff>
    </xdr:from>
    <xdr:ext cx="323850" cy="180975"/>
    <xdr:sp macro="" textlink="">
      <xdr:nvSpPr>
        <xdr:cNvPr id="607" name="Shape 606">
          <a:extLst>
            <a:ext uri="{FF2B5EF4-FFF2-40B4-BE49-F238E27FC236}">
              <a16:creationId xmlns:a16="http://schemas.microsoft.com/office/drawing/2014/main" id="{00000000-0008-0000-0B00-00005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8</xdr:row>
      <xdr:rowOff>9525</xdr:rowOff>
    </xdr:from>
    <xdr:ext cx="323850" cy="180975"/>
    <xdr:sp macro="" textlink="">
      <xdr:nvSpPr>
        <xdr:cNvPr id="608" name="Shape 607">
          <a:extLst>
            <a:ext uri="{FF2B5EF4-FFF2-40B4-BE49-F238E27FC236}">
              <a16:creationId xmlns:a16="http://schemas.microsoft.com/office/drawing/2014/main" id="{00000000-0008-0000-0B00-00006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9</xdr:row>
      <xdr:rowOff>9525</xdr:rowOff>
    </xdr:from>
    <xdr:ext cx="323850" cy="180975"/>
    <xdr:sp macro="" textlink="">
      <xdr:nvSpPr>
        <xdr:cNvPr id="609" name="Shape 608">
          <a:extLst>
            <a:ext uri="{FF2B5EF4-FFF2-40B4-BE49-F238E27FC236}">
              <a16:creationId xmlns:a16="http://schemas.microsoft.com/office/drawing/2014/main" id="{00000000-0008-0000-0B00-00006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10</xdr:row>
      <xdr:rowOff>9525</xdr:rowOff>
    </xdr:from>
    <xdr:ext cx="323850" cy="180975"/>
    <xdr:sp macro="" textlink="">
      <xdr:nvSpPr>
        <xdr:cNvPr id="610" name="Shape 609">
          <a:extLst>
            <a:ext uri="{FF2B5EF4-FFF2-40B4-BE49-F238E27FC236}">
              <a16:creationId xmlns:a16="http://schemas.microsoft.com/office/drawing/2014/main" id="{00000000-0008-0000-0B00-00006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11</xdr:row>
      <xdr:rowOff>9525</xdr:rowOff>
    </xdr:from>
    <xdr:ext cx="323850" cy="180975"/>
    <xdr:sp macro="" textlink="">
      <xdr:nvSpPr>
        <xdr:cNvPr id="611" name="Shape 610">
          <a:extLst>
            <a:ext uri="{FF2B5EF4-FFF2-40B4-BE49-F238E27FC236}">
              <a16:creationId xmlns:a16="http://schemas.microsoft.com/office/drawing/2014/main" id="{00000000-0008-0000-0B00-00006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12</xdr:row>
      <xdr:rowOff>9525</xdr:rowOff>
    </xdr:from>
    <xdr:ext cx="323850" cy="180975"/>
    <xdr:sp macro="" textlink="">
      <xdr:nvSpPr>
        <xdr:cNvPr id="612" name="Shape 611">
          <a:extLst>
            <a:ext uri="{FF2B5EF4-FFF2-40B4-BE49-F238E27FC236}">
              <a16:creationId xmlns:a16="http://schemas.microsoft.com/office/drawing/2014/main" id="{00000000-0008-0000-0B00-00006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13</xdr:row>
      <xdr:rowOff>9525</xdr:rowOff>
    </xdr:from>
    <xdr:ext cx="323850" cy="180975"/>
    <xdr:sp macro="" textlink="">
      <xdr:nvSpPr>
        <xdr:cNvPr id="613" name="Shape 612">
          <a:extLst>
            <a:ext uri="{FF2B5EF4-FFF2-40B4-BE49-F238E27FC236}">
              <a16:creationId xmlns:a16="http://schemas.microsoft.com/office/drawing/2014/main" id="{00000000-0008-0000-0B00-00006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14</xdr:row>
      <xdr:rowOff>9525</xdr:rowOff>
    </xdr:from>
    <xdr:ext cx="323850" cy="180975"/>
    <xdr:sp macro="" textlink="">
      <xdr:nvSpPr>
        <xdr:cNvPr id="614" name="Shape 613">
          <a:extLst>
            <a:ext uri="{FF2B5EF4-FFF2-40B4-BE49-F238E27FC236}">
              <a16:creationId xmlns:a16="http://schemas.microsoft.com/office/drawing/2014/main" id="{00000000-0008-0000-0B00-00006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15</xdr:row>
      <xdr:rowOff>9525</xdr:rowOff>
    </xdr:from>
    <xdr:ext cx="323850" cy="180975"/>
    <xdr:sp macro="" textlink="">
      <xdr:nvSpPr>
        <xdr:cNvPr id="615" name="Shape 614">
          <a:extLst>
            <a:ext uri="{FF2B5EF4-FFF2-40B4-BE49-F238E27FC236}">
              <a16:creationId xmlns:a16="http://schemas.microsoft.com/office/drawing/2014/main" id="{00000000-0008-0000-0B00-00006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16</xdr:row>
      <xdr:rowOff>9525</xdr:rowOff>
    </xdr:from>
    <xdr:ext cx="323850" cy="180975"/>
    <xdr:sp macro="" textlink="">
      <xdr:nvSpPr>
        <xdr:cNvPr id="616" name="Shape 615">
          <a:extLst>
            <a:ext uri="{FF2B5EF4-FFF2-40B4-BE49-F238E27FC236}">
              <a16:creationId xmlns:a16="http://schemas.microsoft.com/office/drawing/2014/main" id="{00000000-0008-0000-0B00-00006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17</xdr:row>
      <xdr:rowOff>9525</xdr:rowOff>
    </xdr:from>
    <xdr:ext cx="323850" cy="180975"/>
    <xdr:sp macro="" textlink="">
      <xdr:nvSpPr>
        <xdr:cNvPr id="617" name="Shape 616">
          <a:extLst>
            <a:ext uri="{FF2B5EF4-FFF2-40B4-BE49-F238E27FC236}">
              <a16:creationId xmlns:a16="http://schemas.microsoft.com/office/drawing/2014/main" id="{00000000-0008-0000-0B00-00006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18</xdr:row>
      <xdr:rowOff>9525</xdr:rowOff>
    </xdr:from>
    <xdr:ext cx="323850" cy="180975"/>
    <xdr:sp macro="" textlink="">
      <xdr:nvSpPr>
        <xdr:cNvPr id="618" name="Shape 617">
          <a:extLst>
            <a:ext uri="{FF2B5EF4-FFF2-40B4-BE49-F238E27FC236}">
              <a16:creationId xmlns:a16="http://schemas.microsoft.com/office/drawing/2014/main" id="{00000000-0008-0000-0B00-00006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19</xdr:row>
      <xdr:rowOff>9525</xdr:rowOff>
    </xdr:from>
    <xdr:ext cx="323850" cy="180975"/>
    <xdr:sp macro="" textlink="">
      <xdr:nvSpPr>
        <xdr:cNvPr id="619" name="Shape 618">
          <a:extLst>
            <a:ext uri="{FF2B5EF4-FFF2-40B4-BE49-F238E27FC236}">
              <a16:creationId xmlns:a16="http://schemas.microsoft.com/office/drawing/2014/main" id="{00000000-0008-0000-0B00-00006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20</xdr:row>
      <xdr:rowOff>9525</xdr:rowOff>
    </xdr:from>
    <xdr:ext cx="323850" cy="180975"/>
    <xdr:sp macro="" textlink="">
      <xdr:nvSpPr>
        <xdr:cNvPr id="620" name="Shape 619">
          <a:extLst>
            <a:ext uri="{FF2B5EF4-FFF2-40B4-BE49-F238E27FC236}">
              <a16:creationId xmlns:a16="http://schemas.microsoft.com/office/drawing/2014/main" id="{00000000-0008-0000-0B00-00006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21</xdr:row>
      <xdr:rowOff>9525</xdr:rowOff>
    </xdr:from>
    <xdr:ext cx="323850" cy="180975"/>
    <xdr:sp macro="" textlink="">
      <xdr:nvSpPr>
        <xdr:cNvPr id="621" name="Shape 620">
          <a:extLst>
            <a:ext uri="{FF2B5EF4-FFF2-40B4-BE49-F238E27FC236}">
              <a16:creationId xmlns:a16="http://schemas.microsoft.com/office/drawing/2014/main" id="{00000000-0008-0000-0B00-00006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22</xdr:row>
      <xdr:rowOff>9525</xdr:rowOff>
    </xdr:from>
    <xdr:ext cx="323850" cy="180975"/>
    <xdr:sp macro="" textlink="">
      <xdr:nvSpPr>
        <xdr:cNvPr id="622" name="Shape 621">
          <a:extLst>
            <a:ext uri="{FF2B5EF4-FFF2-40B4-BE49-F238E27FC236}">
              <a16:creationId xmlns:a16="http://schemas.microsoft.com/office/drawing/2014/main" id="{00000000-0008-0000-0B00-00006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23</xdr:row>
      <xdr:rowOff>9525</xdr:rowOff>
    </xdr:from>
    <xdr:ext cx="323850" cy="180975"/>
    <xdr:sp macro="" textlink="">
      <xdr:nvSpPr>
        <xdr:cNvPr id="623" name="Shape 622">
          <a:extLst>
            <a:ext uri="{FF2B5EF4-FFF2-40B4-BE49-F238E27FC236}">
              <a16:creationId xmlns:a16="http://schemas.microsoft.com/office/drawing/2014/main" id="{00000000-0008-0000-0B00-00006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24</xdr:row>
      <xdr:rowOff>9525</xdr:rowOff>
    </xdr:from>
    <xdr:ext cx="323850" cy="180975"/>
    <xdr:sp macro="" textlink="">
      <xdr:nvSpPr>
        <xdr:cNvPr id="624" name="Shape 623">
          <a:extLst>
            <a:ext uri="{FF2B5EF4-FFF2-40B4-BE49-F238E27FC236}">
              <a16:creationId xmlns:a16="http://schemas.microsoft.com/office/drawing/2014/main" id="{00000000-0008-0000-0B00-00007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25</xdr:row>
      <xdr:rowOff>9525</xdr:rowOff>
    </xdr:from>
    <xdr:ext cx="323850" cy="180975"/>
    <xdr:sp macro="" textlink="">
      <xdr:nvSpPr>
        <xdr:cNvPr id="625" name="Shape 624">
          <a:extLst>
            <a:ext uri="{FF2B5EF4-FFF2-40B4-BE49-F238E27FC236}">
              <a16:creationId xmlns:a16="http://schemas.microsoft.com/office/drawing/2014/main" id="{00000000-0008-0000-0B00-00007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26</xdr:row>
      <xdr:rowOff>9525</xdr:rowOff>
    </xdr:from>
    <xdr:ext cx="323850" cy="180975"/>
    <xdr:sp macro="" textlink="">
      <xdr:nvSpPr>
        <xdr:cNvPr id="626" name="Shape 625">
          <a:extLst>
            <a:ext uri="{FF2B5EF4-FFF2-40B4-BE49-F238E27FC236}">
              <a16:creationId xmlns:a16="http://schemas.microsoft.com/office/drawing/2014/main" id="{00000000-0008-0000-0B00-00007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27</xdr:row>
      <xdr:rowOff>9525</xdr:rowOff>
    </xdr:from>
    <xdr:ext cx="323850" cy="180975"/>
    <xdr:sp macro="" textlink="">
      <xdr:nvSpPr>
        <xdr:cNvPr id="627" name="Shape 626">
          <a:extLst>
            <a:ext uri="{FF2B5EF4-FFF2-40B4-BE49-F238E27FC236}">
              <a16:creationId xmlns:a16="http://schemas.microsoft.com/office/drawing/2014/main" id="{00000000-0008-0000-0B00-00007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28</xdr:row>
      <xdr:rowOff>9525</xdr:rowOff>
    </xdr:from>
    <xdr:ext cx="323850" cy="180975"/>
    <xdr:sp macro="" textlink="">
      <xdr:nvSpPr>
        <xdr:cNvPr id="628" name="Shape 627">
          <a:extLst>
            <a:ext uri="{FF2B5EF4-FFF2-40B4-BE49-F238E27FC236}">
              <a16:creationId xmlns:a16="http://schemas.microsoft.com/office/drawing/2014/main" id="{00000000-0008-0000-0B00-00007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29</xdr:row>
      <xdr:rowOff>9525</xdr:rowOff>
    </xdr:from>
    <xdr:ext cx="323850" cy="180975"/>
    <xdr:sp macro="" textlink="">
      <xdr:nvSpPr>
        <xdr:cNvPr id="629" name="Shape 628">
          <a:extLst>
            <a:ext uri="{FF2B5EF4-FFF2-40B4-BE49-F238E27FC236}">
              <a16:creationId xmlns:a16="http://schemas.microsoft.com/office/drawing/2014/main" id="{00000000-0008-0000-0B00-00007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30</xdr:row>
      <xdr:rowOff>9525</xdr:rowOff>
    </xdr:from>
    <xdr:ext cx="323850" cy="180975"/>
    <xdr:sp macro="" textlink="">
      <xdr:nvSpPr>
        <xdr:cNvPr id="630" name="Shape 629">
          <a:extLst>
            <a:ext uri="{FF2B5EF4-FFF2-40B4-BE49-F238E27FC236}">
              <a16:creationId xmlns:a16="http://schemas.microsoft.com/office/drawing/2014/main" id="{00000000-0008-0000-0B00-00007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31</xdr:row>
      <xdr:rowOff>9525</xdr:rowOff>
    </xdr:from>
    <xdr:ext cx="323850" cy="180975"/>
    <xdr:sp macro="" textlink="">
      <xdr:nvSpPr>
        <xdr:cNvPr id="631" name="Shape 630">
          <a:extLst>
            <a:ext uri="{FF2B5EF4-FFF2-40B4-BE49-F238E27FC236}">
              <a16:creationId xmlns:a16="http://schemas.microsoft.com/office/drawing/2014/main" id="{00000000-0008-0000-0B00-00007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32</xdr:row>
      <xdr:rowOff>9525</xdr:rowOff>
    </xdr:from>
    <xdr:ext cx="323850" cy="180975"/>
    <xdr:sp macro="" textlink="">
      <xdr:nvSpPr>
        <xdr:cNvPr id="632" name="Shape 631">
          <a:extLst>
            <a:ext uri="{FF2B5EF4-FFF2-40B4-BE49-F238E27FC236}">
              <a16:creationId xmlns:a16="http://schemas.microsoft.com/office/drawing/2014/main" id="{00000000-0008-0000-0B00-00007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33</xdr:row>
      <xdr:rowOff>9525</xdr:rowOff>
    </xdr:from>
    <xdr:ext cx="323850" cy="180975"/>
    <xdr:sp macro="" textlink="">
      <xdr:nvSpPr>
        <xdr:cNvPr id="633" name="Shape 632">
          <a:extLst>
            <a:ext uri="{FF2B5EF4-FFF2-40B4-BE49-F238E27FC236}">
              <a16:creationId xmlns:a16="http://schemas.microsoft.com/office/drawing/2014/main" id="{00000000-0008-0000-0B00-00007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34</xdr:row>
      <xdr:rowOff>9525</xdr:rowOff>
    </xdr:from>
    <xdr:ext cx="323850" cy="180975"/>
    <xdr:sp macro="" textlink="">
      <xdr:nvSpPr>
        <xdr:cNvPr id="634" name="Shape 633">
          <a:extLst>
            <a:ext uri="{FF2B5EF4-FFF2-40B4-BE49-F238E27FC236}">
              <a16:creationId xmlns:a16="http://schemas.microsoft.com/office/drawing/2014/main" id="{00000000-0008-0000-0B00-00007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35</xdr:row>
      <xdr:rowOff>9525</xdr:rowOff>
    </xdr:from>
    <xdr:ext cx="323850" cy="180975"/>
    <xdr:sp macro="" textlink="">
      <xdr:nvSpPr>
        <xdr:cNvPr id="635" name="Shape 634">
          <a:extLst>
            <a:ext uri="{FF2B5EF4-FFF2-40B4-BE49-F238E27FC236}">
              <a16:creationId xmlns:a16="http://schemas.microsoft.com/office/drawing/2014/main" id="{00000000-0008-0000-0B00-00007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36</xdr:row>
      <xdr:rowOff>9525</xdr:rowOff>
    </xdr:from>
    <xdr:ext cx="323850" cy="180975"/>
    <xdr:sp macro="" textlink="">
      <xdr:nvSpPr>
        <xdr:cNvPr id="636" name="Shape 635">
          <a:extLst>
            <a:ext uri="{FF2B5EF4-FFF2-40B4-BE49-F238E27FC236}">
              <a16:creationId xmlns:a16="http://schemas.microsoft.com/office/drawing/2014/main" id="{00000000-0008-0000-0B00-00007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37</xdr:row>
      <xdr:rowOff>9525</xdr:rowOff>
    </xdr:from>
    <xdr:ext cx="323850" cy="180975"/>
    <xdr:sp macro="" textlink="">
      <xdr:nvSpPr>
        <xdr:cNvPr id="637" name="Shape 636">
          <a:extLst>
            <a:ext uri="{FF2B5EF4-FFF2-40B4-BE49-F238E27FC236}">
              <a16:creationId xmlns:a16="http://schemas.microsoft.com/office/drawing/2014/main" id="{00000000-0008-0000-0B00-00007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70</xdr:col>
      <xdr:colOff>0</xdr:colOff>
      <xdr:row>38</xdr:row>
      <xdr:rowOff>9525</xdr:rowOff>
    </xdr:from>
    <xdr:ext cx="323850" cy="180975"/>
    <xdr:sp macro="" textlink="">
      <xdr:nvSpPr>
        <xdr:cNvPr id="638" name="Shape 637">
          <a:extLst>
            <a:ext uri="{FF2B5EF4-FFF2-40B4-BE49-F238E27FC236}">
              <a16:creationId xmlns:a16="http://schemas.microsoft.com/office/drawing/2014/main" id="{00000000-0008-0000-0B00-00007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39</xdr:row>
      <xdr:rowOff>9525</xdr:rowOff>
    </xdr:from>
    <xdr:ext cx="323850" cy="180975"/>
    <xdr:sp macro="" textlink="">
      <xdr:nvSpPr>
        <xdr:cNvPr id="639" name="Shape 638">
          <a:extLst>
            <a:ext uri="{FF2B5EF4-FFF2-40B4-BE49-F238E27FC236}">
              <a16:creationId xmlns:a16="http://schemas.microsoft.com/office/drawing/2014/main" id="{00000000-0008-0000-0B00-00007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40</xdr:row>
      <xdr:rowOff>9525</xdr:rowOff>
    </xdr:from>
    <xdr:ext cx="323850" cy="180975"/>
    <xdr:sp macro="" textlink="">
      <xdr:nvSpPr>
        <xdr:cNvPr id="640" name="Shape 639">
          <a:extLst>
            <a:ext uri="{FF2B5EF4-FFF2-40B4-BE49-F238E27FC236}">
              <a16:creationId xmlns:a16="http://schemas.microsoft.com/office/drawing/2014/main" id="{00000000-0008-0000-0B00-00008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69</xdr:col>
      <xdr:colOff>0</xdr:colOff>
      <xdr:row>41</xdr:row>
      <xdr:rowOff>9525</xdr:rowOff>
    </xdr:from>
    <xdr:ext cx="323850" cy="180975"/>
    <xdr:sp macro="" textlink="">
      <xdr:nvSpPr>
        <xdr:cNvPr id="641" name="Shape 640">
          <a:extLst>
            <a:ext uri="{FF2B5EF4-FFF2-40B4-BE49-F238E27FC236}">
              <a16:creationId xmlns:a16="http://schemas.microsoft.com/office/drawing/2014/main" id="{00000000-0008-0000-0B00-00008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</xdr:row>
      <xdr:rowOff>9525</xdr:rowOff>
    </xdr:from>
    <xdr:ext cx="323850" cy="180975"/>
    <xdr:sp macro="" textlink="">
      <xdr:nvSpPr>
        <xdr:cNvPr id="642" name="Shape 641">
          <a:extLst>
            <a:ext uri="{FF2B5EF4-FFF2-40B4-BE49-F238E27FC236}">
              <a16:creationId xmlns:a16="http://schemas.microsoft.com/office/drawing/2014/main" id="{00000000-0008-0000-0B00-00008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</xdr:row>
      <xdr:rowOff>9525</xdr:rowOff>
    </xdr:from>
    <xdr:ext cx="323850" cy="180975"/>
    <xdr:sp macro="" textlink="">
      <xdr:nvSpPr>
        <xdr:cNvPr id="643" name="Shape 642">
          <a:extLst>
            <a:ext uri="{FF2B5EF4-FFF2-40B4-BE49-F238E27FC236}">
              <a16:creationId xmlns:a16="http://schemas.microsoft.com/office/drawing/2014/main" id="{00000000-0008-0000-0B00-00008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4</xdr:row>
      <xdr:rowOff>9525</xdr:rowOff>
    </xdr:from>
    <xdr:ext cx="323850" cy="180975"/>
    <xdr:sp macro="" textlink="">
      <xdr:nvSpPr>
        <xdr:cNvPr id="644" name="Shape 643">
          <a:extLst>
            <a:ext uri="{FF2B5EF4-FFF2-40B4-BE49-F238E27FC236}">
              <a16:creationId xmlns:a16="http://schemas.microsoft.com/office/drawing/2014/main" id="{00000000-0008-0000-0B00-00008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5</xdr:row>
      <xdr:rowOff>9525</xdr:rowOff>
    </xdr:from>
    <xdr:ext cx="323850" cy="180975"/>
    <xdr:sp macro="" textlink="">
      <xdr:nvSpPr>
        <xdr:cNvPr id="645" name="Shape 644">
          <a:extLst>
            <a:ext uri="{FF2B5EF4-FFF2-40B4-BE49-F238E27FC236}">
              <a16:creationId xmlns:a16="http://schemas.microsoft.com/office/drawing/2014/main" id="{00000000-0008-0000-0B00-00008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6</xdr:row>
      <xdr:rowOff>9525</xdr:rowOff>
    </xdr:from>
    <xdr:ext cx="323850" cy="180975"/>
    <xdr:sp macro="" textlink="">
      <xdr:nvSpPr>
        <xdr:cNvPr id="646" name="Shape 645">
          <a:extLst>
            <a:ext uri="{FF2B5EF4-FFF2-40B4-BE49-F238E27FC236}">
              <a16:creationId xmlns:a16="http://schemas.microsoft.com/office/drawing/2014/main" id="{00000000-0008-0000-0B00-00008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7</xdr:row>
      <xdr:rowOff>9525</xdr:rowOff>
    </xdr:from>
    <xdr:ext cx="323850" cy="180975"/>
    <xdr:sp macro="" textlink="">
      <xdr:nvSpPr>
        <xdr:cNvPr id="647" name="Shape 646">
          <a:extLst>
            <a:ext uri="{FF2B5EF4-FFF2-40B4-BE49-F238E27FC236}">
              <a16:creationId xmlns:a16="http://schemas.microsoft.com/office/drawing/2014/main" id="{00000000-0008-0000-0B00-00008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8</xdr:row>
      <xdr:rowOff>9525</xdr:rowOff>
    </xdr:from>
    <xdr:ext cx="323850" cy="180975"/>
    <xdr:sp macro="" textlink="">
      <xdr:nvSpPr>
        <xdr:cNvPr id="648" name="Shape 647">
          <a:extLst>
            <a:ext uri="{FF2B5EF4-FFF2-40B4-BE49-F238E27FC236}">
              <a16:creationId xmlns:a16="http://schemas.microsoft.com/office/drawing/2014/main" id="{00000000-0008-0000-0B00-00008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9</xdr:row>
      <xdr:rowOff>9525</xdr:rowOff>
    </xdr:from>
    <xdr:ext cx="323850" cy="180975"/>
    <xdr:sp macro="" textlink="">
      <xdr:nvSpPr>
        <xdr:cNvPr id="649" name="Shape 648">
          <a:extLst>
            <a:ext uri="{FF2B5EF4-FFF2-40B4-BE49-F238E27FC236}">
              <a16:creationId xmlns:a16="http://schemas.microsoft.com/office/drawing/2014/main" id="{00000000-0008-0000-0B00-00008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10</xdr:row>
      <xdr:rowOff>9525</xdr:rowOff>
    </xdr:from>
    <xdr:ext cx="323850" cy="180975"/>
    <xdr:sp macro="" textlink="">
      <xdr:nvSpPr>
        <xdr:cNvPr id="650" name="Shape 649">
          <a:extLst>
            <a:ext uri="{FF2B5EF4-FFF2-40B4-BE49-F238E27FC236}">
              <a16:creationId xmlns:a16="http://schemas.microsoft.com/office/drawing/2014/main" id="{00000000-0008-0000-0B00-00008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11</xdr:row>
      <xdr:rowOff>9525</xdr:rowOff>
    </xdr:from>
    <xdr:ext cx="323850" cy="180975"/>
    <xdr:sp macro="" textlink="">
      <xdr:nvSpPr>
        <xdr:cNvPr id="651" name="Shape 650">
          <a:extLst>
            <a:ext uri="{FF2B5EF4-FFF2-40B4-BE49-F238E27FC236}">
              <a16:creationId xmlns:a16="http://schemas.microsoft.com/office/drawing/2014/main" id="{00000000-0008-0000-0B00-00008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12</xdr:row>
      <xdr:rowOff>9525</xdr:rowOff>
    </xdr:from>
    <xdr:ext cx="323850" cy="180975"/>
    <xdr:sp macro="" textlink="">
      <xdr:nvSpPr>
        <xdr:cNvPr id="652" name="Shape 651">
          <a:extLst>
            <a:ext uri="{FF2B5EF4-FFF2-40B4-BE49-F238E27FC236}">
              <a16:creationId xmlns:a16="http://schemas.microsoft.com/office/drawing/2014/main" id="{00000000-0008-0000-0B00-00008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13</xdr:row>
      <xdr:rowOff>9525</xdr:rowOff>
    </xdr:from>
    <xdr:ext cx="323850" cy="180975"/>
    <xdr:sp macro="" textlink="">
      <xdr:nvSpPr>
        <xdr:cNvPr id="653" name="Shape 652">
          <a:extLst>
            <a:ext uri="{FF2B5EF4-FFF2-40B4-BE49-F238E27FC236}">
              <a16:creationId xmlns:a16="http://schemas.microsoft.com/office/drawing/2014/main" id="{00000000-0008-0000-0B00-00008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14</xdr:row>
      <xdr:rowOff>9525</xdr:rowOff>
    </xdr:from>
    <xdr:ext cx="323850" cy="180975"/>
    <xdr:sp macro="" textlink="">
      <xdr:nvSpPr>
        <xdr:cNvPr id="654" name="Shape 653">
          <a:extLst>
            <a:ext uri="{FF2B5EF4-FFF2-40B4-BE49-F238E27FC236}">
              <a16:creationId xmlns:a16="http://schemas.microsoft.com/office/drawing/2014/main" id="{00000000-0008-0000-0B00-00008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15</xdr:row>
      <xdr:rowOff>9525</xdr:rowOff>
    </xdr:from>
    <xdr:ext cx="323850" cy="180975"/>
    <xdr:sp macro="" textlink="">
      <xdr:nvSpPr>
        <xdr:cNvPr id="655" name="Shape 654">
          <a:extLst>
            <a:ext uri="{FF2B5EF4-FFF2-40B4-BE49-F238E27FC236}">
              <a16:creationId xmlns:a16="http://schemas.microsoft.com/office/drawing/2014/main" id="{00000000-0008-0000-0B00-00008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16</xdr:row>
      <xdr:rowOff>9525</xdr:rowOff>
    </xdr:from>
    <xdr:ext cx="323850" cy="180975"/>
    <xdr:sp macro="" textlink="">
      <xdr:nvSpPr>
        <xdr:cNvPr id="656" name="Shape 655">
          <a:extLst>
            <a:ext uri="{FF2B5EF4-FFF2-40B4-BE49-F238E27FC236}">
              <a16:creationId xmlns:a16="http://schemas.microsoft.com/office/drawing/2014/main" id="{00000000-0008-0000-0B00-00009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17</xdr:row>
      <xdr:rowOff>9525</xdr:rowOff>
    </xdr:from>
    <xdr:ext cx="323850" cy="180975"/>
    <xdr:sp macro="" textlink="">
      <xdr:nvSpPr>
        <xdr:cNvPr id="657" name="Shape 656">
          <a:extLst>
            <a:ext uri="{FF2B5EF4-FFF2-40B4-BE49-F238E27FC236}">
              <a16:creationId xmlns:a16="http://schemas.microsoft.com/office/drawing/2014/main" id="{00000000-0008-0000-0B00-00009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18</xdr:row>
      <xdr:rowOff>9525</xdr:rowOff>
    </xdr:from>
    <xdr:ext cx="323850" cy="180975"/>
    <xdr:sp macro="" textlink="">
      <xdr:nvSpPr>
        <xdr:cNvPr id="658" name="Shape 657">
          <a:extLst>
            <a:ext uri="{FF2B5EF4-FFF2-40B4-BE49-F238E27FC236}">
              <a16:creationId xmlns:a16="http://schemas.microsoft.com/office/drawing/2014/main" id="{00000000-0008-0000-0B00-00009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19</xdr:row>
      <xdr:rowOff>9525</xdr:rowOff>
    </xdr:from>
    <xdr:ext cx="323850" cy="180975"/>
    <xdr:sp macro="" textlink="">
      <xdr:nvSpPr>
        <xdr:cNvPr id="659" name="Shape 658">
          <a:extLst>
            <a:ext uri="{FF2B5EF4-FFF2-40B4-BE49-F238E27FC236}">
              <a16:creationId xmlns:a16="http://schemas.microsoft.com/office/drawing/2014/main" id="{00000000-0008-0000-0B00-00009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20</xdr:row>
      <xdr:rowOff>9525</xdr:rowOff>
    </xdr:from>
    <xdr:ext cx="323850" cy="180975"/>
    <xdr:sp macro="" textlink="">
      <xdr:nvSpPr>
        <xdr:cNvPr id="660" name="Shape 659">
          <a:extLst>
            <a:ext uri="{FF2B5EF4-FFF2-40B4-BE49-F238E27FC236}">
              <a16:creationId xmlns:a16="http://schemas.microsoft.com/office/drawing/2014/main" id="{00000000-0008-0000-0B00-00009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21</xdr:row>
      <xdr:rowOff>9525</xdr:rowOff>
    </xdr:from>
    <xdr:ext cx="323850" cy="180975"/>
    <xdr:sp macro="" textlink="">
      <xdr:nvSpPr>
        <xdr:cNvPr id="661" name="Shape 660">
          <a:extLst>
            <a:ext uri="{FF2B5EF4-FFF2-40B4-BE49-F238E27FC236}">
              <a16:creationId xmlns:a16="http://schemas.microsoft.com/office/drawing/2014/main" id="{00000000-0008-0000-0B00-00009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22</xdr:row>
      <xdr:rowOff>9525</xdr:rowOff>
    </xdr:from>
    <xdr:ext cx="323850" cy="180975"/>
    <xdr:sp macro="" textlink="">
      <xdr:nvSpPr>
        <xdr:cNvPr id="662" name="Shape 661">
          <a:extLst>
            <a:ext uri="{FF2B5EF4-FFF2-40B4-BE49-F238E27FC236}">
              <a16:creationId xmlns:a16="http://schemas.microsoft.com/office/drawing/2014/main" id="{00000000-0008-0000-0B00-00009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23</xdr:row>
      <xdr:rowOff>9525</xdr:rowOff>
    </xdr:from>
    <xdr:ext cx="323850" cy="180975"/>
    <xdr:sp macro="" textlink="">
      <xdr:nvSpPr>
        <xdr:cNvPr id="663" name="Shape 662">
          <a:extLst>
            <a:ext uri="{FF2B5EF4-FFF2-40B4-BE49-F238E27FC236}">
              <a16:creationId xmlns:a16="http://schemas.microsoft.com/office/drawing/2014/main" id="{00000000-0008-0000-0B00-00009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24</xdr:row>
      <xdr:rowOff>9525</xdr:rowOff>
    </xdr:from>
    <xdr:ext cx="323850" cy="180975"/>
    <xdr:sp macro="" textlink="">
      <xdr:nvSpPr>
        <xdr:cNvPr id="664" name="Shape 663">
          <a:extLst>
            <a:ext uri="{FF2B5EF4-FFF2-40B4-BE49-F238E27FC236}">
              <a16:creationId xmlns:a16="http://schemas.microsoft.com/office/drawing/2014/main" id="{00000000-0008-0000-0B00-00009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25</xdr:row>
      <xdr:rowOff>9525</xdr:rowOff>
    </xdr:from>
    <xdr:ext cx="323850" cy="180975"/>
    <xdr:sp macro="" textlink="">
      <xdr:nvSpPr>
        <xdr:cNvPr id="665" name="Shape 664">
          <a:extLst>
            <a:ext uri="{FF2B5EF4-FFF2-40B4-BE49-F238E27FC236}">
              <a16:creationId xmlns:a16="http://schemas.microsoft.com/office/drawing/2014/main" id="{00000000-0008-0000-0B00-00009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26</xdr:row>
      <xdr:rowOff>9525</xdr:rowOff>
    </xdr:from>
    <xdr:ext cx="323850" cy="180975"/>
    <xdr:sp macro="" textlink="">
      <xdr:nvSpPr>
        <xdr:cNvPr id="666" name="Shape 665">
          <a:extLst>
            <a:ext uri="{FF2B5EF4-FFF2-40B4-BE49-F238E27FC236}">
              <a16:creationId xmlns:a16="http://schemas.microsoft.com/office/drawing/2014/main" id="{00000000-0008-0000-0B00-00009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27</xdr:row>
      <xdr:rowOff>9525</xdr:rowOff>
    </xdr:from>
    <xdr:ext cx="323850" cy="180975"/>
    <xdr:sp macro="" textlink="">
      <xdr:nvSpPr>
        <xdr:cNvPr id="667" name="Shape 666">
          <a:extLst>
            <a:ext uri="{FF2B5EF4-FFF2-40B4-BE49-F238E27FC236}">
              <a16:creationId xmlns:a16="http://schemas.microsoft.com/office/drawing/2014/main" id="{00000000-0008-0000-0B00-00009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28</xdr:row>
      <xdr:rowOff>9525</xdr:rowOff>
    </xdr:from>
    <xdr:ext cx="323850" cy="180975"/>
    <xdr:sp macro="" textlink="">
      <xdr:nvSpPr>
        <xdr:cNvPr id="668" name="Shape 667">
          <a:extLst>
            <a:ext uri="{FF2B5EF4-FFF2-40B4-BE49-F238E27FC236}">
              <a16:creationId xmlns:a16="http://schemas.microsoft.com/office/drawing/2014/main" id="{00000000-0008-0000-0B00-00009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29</xdr:row>
      <xdr:rowOff>9525</xdr:rowOff>
    </xdr:from>
    <xdr:ext cx="323850" cy="180975"/>
    <xdr:sp macro="" textlink="">
      <xdr:nvSpPr>
        <xdr:cNvPr id="669" name="Shape 668">
          <a:extLst>
            <a:ext uri="{FF2B5EF4-FFF2-40B4-BE49-F238E27FC236}">
              <a16:creationId xmlns:a16="http://schemas.microsoft.com/office/drawing/2014/main" id="{00000000-0008-0000-0B00-00009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30</xdr:row>
      <xdr:rowOff>9525</xdr:rowOff>
    </xdr:from>
    <xdr:ext cx="323850" cy="180975"/>
    <xdr:sp macro="" textlink="">
      <xdr:nvSpPr>
        <xdr:cNvPr id="670" name="Shape 669">
          <a:extLst>
            <a:ext uri="{FF2B5EF4-FFF2-40B4-BE49-F238E27FC236}">
              <a16:creationId xmlns:a16="http://schemas.microsoft.com/office/drawing/2014/main" id="{00000000-0008-0000-0B00-00009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31</xdr:row>
      <xdr:rowOff>9525</xdr:rowOff>
    </xdr:from>
    <xdr:ext cx="323850" cy="180975"/>
    <xdr:sp macro="" textlink="">
      <xdr:nvSpPr>
        <xdr:cNvPr id="671" name="Shape 670">
          <a:extLst>
            <a:ext uri="{FF2B5EF4-FFF2-40B4-BE49-F238E27FC236}">
              <a16:creationId xmlns:a16="http://schemas.microsoft.com/office/drawing/2014/main" id="{00000000-0008-0000-0B00-00009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32</xdr:row>
      <xdr:rowOff>9525</xdr:rowOff>
    </xdr:from>
    <xdr:ext cx="323850" cy="180975"/>
    <xdr:sp macro="" textlink="">
      <xdr:nvSpPr>
        <xdr:cNvPr id="672" name="Shape 671">
          <a:extLst>
            <a:ext uri="{FF2B5EF4-FFF2-40B4-BE49-F238E27FC236}">
              <a16:creationId xmlns:a16="http://schemas.microsoft.com/office/drawing/2014/main" id="{00000000-0008-0000-0B00-0000A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33</xdr:row>
      <xdr:rowOff>9525</xdr:rowOff>
    </xdr:from>
    <xdr:ext cx="323850" cy="180975"/>
    <xdr:sp macro="" textlink="">
      <xdr:nvSpPr>
        <xdr:cNvPr id="673" name="Shape 672">
          <a:extLst>
            <a:ext uri="{FF2B5EF4-FFF2-40B4-BE49-F238E27FC236}">
              <a16:creationId xmlns:a16="http://schemas.microsoft.com/office/drawing/2014/main" id="{00000000-0008-0000-0B00-0000A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34</xdr:row>
      <xdr:rowOff>9525</xdr:rowOff>
    </xdr:from>
    <xdr:ext cx="323850" cy="180975"/>
    <xdr:sp macro="" textlink="">
      <xdr:nvSpPr>
        <xdr:cNvPr id="674" name="Shape 673">
          <a:extLst>
            <a:ext uri="{FF2B5EF4-FFF2-40B4-BE49-F238E27FC236}">
              <a16:creationId xmlns:a16="http://schemas.microsoft.com/office/drawing/2014/main" id="{00000000-0008-0000-0B00-0000A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35</xdr:row>
      <xdr:rowOff>9525</xdr:rowOff>
    </xdr:from>
    <xdr:ext cx="323850" cy="180975"/>
    <xdr:sp macro="" textlink="">
      <xdr:nvSpPr>
        <xdr:cNvPr id="675" name="Shape 674">
          <a:extLst>
            <a:ext uri="{FF2B5EF4-FFF2-40B4-BE49-F238E27FC236}">
              <a16:creationId xmlns:a16="http://schemas.microsoft.com/office/drawing/2014/main" id="{00000000-0008-0000-0B00-0000A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36</xdr:row>
      <xdr:rowOff>9525</xdr:rowOff>
    </xdr:from>
    <xdr:ext cx="323850" cy="180975"/>
    <xdr:sp macro="" textlink="">
      <xdr:nvSpPr>
        <xdr:cNvPr id="676" name="Shape 675">
          <a:extLst>
            <a:ext uri="{FF2B5EF4-FFF2-40B4-BE49-F238E27FC236}">
              <a16:creationId xmlns:a16="http://schemas.microsoft.com/office/drawing/2014/main" id="{00000000-0008-0000-0B00-0000A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37</xdr:row>
      <xdr:rowOff>9525</xdr:rowOff>
    </xdr:from>
    <xdr:ext cx="323850" cy="180975"/>
    <xdr:sp macro="" textlink="">
      <xdr:nvSpPr>
        <xdr:cNvPr id="677" name="Shape 676">
          <a:extLst>
            <a:ext uri="{FF2B5EF4-FFF2-40B4-BE49-F238E27FC236}">
              <a16:creationId xmlns:a16="http://schemas.microsoft.com/office/drawing/2014/main" id="{00000000-0008-0000-0B00-0000A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38</xdr:row>
      <xdr:rowOff>9525</xdr:rowOff>
    </xdr:from>
    <xdr:ext cx="323850" cy="180975"/>
    <xdr:sp macro="" textlink="">
      <xdr:nvSpPr>
        <xdr:cNvPr id="678" name="Shape 677">
          <a:extLst>
            <a:ext uri="{FF2B5EF4-FFF2-40B4-BE49-F238E27FC236}">
              <a16:creationId xmlns:a16="http://schemas.microsoft.com/office/drawing/2014/main" id="{00000000-0008-0000-0B00-0000A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73</xdr:col>
      <xdr:colOff>0</xdr:colOff>
      <xdr:row>39</xdr:row>
      <xdr:rowOff>9525</xdr:rowOff>
    </xdr:from>
    <xdr:ext cx="323850" cy="180975"/>
    <xdr:sp macro="" textlink="">
      <xdr:nvSpPr>
        <xdr:cNvPr id="679" name="Shape 678">
          <a:extLst>
            <a:ext uri="{FF2B5EF4-FFF2-40B4-BE49-F238E27FC236}">
              <a16:creationId xmlns:a16="http://schemas.microsoft.com/office/drawing/2014/main" id="{00000000-0008-0000-0B00-0000A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40</xdr:row>
      <xdr:rowOff>9525</xdr:rowOff>
    </xdr:from>
    <xdr:ext cx="323850" cy="180975"/>
    <xdr:sp macro="" textlink="">
      <xdr:nvSpPr>
        <xdr:cNvPr id="680" name="Shape 679">
          <a:extLst>
            <a:ext uri="{FF2B5EF4-FFF2-40B4-BE49-F238E27FC236}">
              <a16:creationId xmlns:a16="http://schemas.microsoft.com/office/drawing/2014/main" id="{00000000-0008-0000-0B00-0000A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74</xdr:col>
      <xdr:colOff>0</xdr:colOff>
      <xdr:row>41</xdr:row>
      <xdr:rowOff>9525</xdr:rowOff>
    </xdr:from>
    <xdr:ext cx="323850" cy="180975"/>
    <xdr:sp macro="" textlink="">
      <xdr:nvSpPr>
        <xdr:cNvPr id="681" name="Shape 680">
          <a:extLst>
            <a:ext uri="{FF2B5EF4-FFF2-40B4-BE49-F238E27FC236}">
              <a16:creationId xmlns:a16="http://schemas.microsoft.com/office/drawing/2014/main" id="{00000000-0008-0000-0B00-0000A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</xdr:row>
      <xdr:rowOff>9525</xdr:rowOff>
    </xdr:from>
    <xdr:ext cx="323850" cy="180975"/>
    <xdr:sp macro="" textlink="">
      <xdr:nvSpPr>
        <xdr:cNvPr id="682" name="Shape 681">
          <a:extLst>
            <a:ext uri="{FF2B5EF4-FFF2-40B4-BE49-F238E27FC236}">
              <a16:creationId xmlns:a16="http://schemas.microsoft.com/office/drawing/2014/main" id="{00000000-0008-0000-0B00-0000A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</xdr:row>
      <xdr:rowOff>9525</xdr:rowOff>
    </xdr:from>
    <xdr:ext cx="323850" cy="180975"/>
    <xdr:sp macro="" textlink="">
      <xdr:nvSpPr>
        <xdr:cNvPr id="683" name="Shape 682">
          <a:extLst>
            <a:ext uri="{FF2B5EF4-FFF2-40B4-BE49-F238E27FC236}">
              <a16:creationId xmlns:a16="http://schemas.microsoft.com/office/drawing/2014/main" id="{00000000-0008-0000-0B00-0000A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4</xdr:row>
      <xdr:rowOff>9525</xdr:rowOff>
    </xdr:from>
    <xdr:ext cx="323850" cy="180975"/>
    <xdr:sp macro="" textlink="">
      <xdr:nvSpPr>
        <xdr:cNvPr id="684" name="Shape 683">
          <a:extLst>
            <a:ext uri="{FF2B5EF4-FFF2-40B4-BE49-F238E27FC236}">
              <a16:creationId xmlns:a16="http://schemas.microsoft.com/office/drawing/2014/main" id="{00000000-0008-0000-0B00-0000A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5</xdr:row>
      <xdr:rowOff>9525</xdr:rowOff>
    </xdr:from>
    <xdr:ext cx="323850" cy="180975"/>
    <xdr:sp macro="" textlink="">
      <xdr:nvSpPr>
        <xdr:cNvPr id="685" name="Shape 684">
          <a:extLst>
            <a:ext uri="{FF2B5EF4-FFF2-40B4-BE49-F238E27FC236}">
              <a16:creationId xmlns:a16="http://schemas.microsoft.com/office/drawing/2014/main" id="{00000000-0008-0000-0B00-0000A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6</xdr:row>
      <xdr:rowOff>9525</xdr:rowOff>
    </xdr:from>
    <xdr:ext cx="323850" cy="180975"/>
    <xdr:sp macro="" textlink="">
      <xdr:nvSpPr>
        <xdr:cNvPr id="686" name="Shape 685">
          <a:extLst>
            <a:ext uri="{FF2B5EF4-FFF2-40B4-BE49-F238E27FC236}">
              <a16:creationId xmlns:a16="http://schemas.microsoft.com/office/drawing/2014/main" id="{00000000-0008-0000-0B00-0000A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7</xdr:row>
      <xdr:rowOff>9525</xdr:rowOff>
    </xdr:from>
    <xdr:ext cx="323850" cy="180975"/>
    <xdr:sp macro="" textlink="">
      <xdr:nvSpPr>
        <xdr:cNvPr id="687" name="Shape 686">
          <a:extLst>
            <a:ext uri="{FF2B5EF4-FFF2-40B4-BE49-F238E27FC236}">
              <a16:creationId xmlns:a16="http://schemas.microsoft.com/office/drawing/2014/main" id="{00000000-0008-0000-0B00-0000A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8</xdr:row>
      <xdr:rowOff>9525</xdr:rowOff>
    </xdr:from>
    <xdr:ext cx="323850" cy="180975"/>
    <xdr:sp macro="" textlink="">
      <xdr:nvSpPr>
        <xdr:cNvPr id="688" name="Shape 687">
          <a:extLst>
            <a:ext uri="{FF2B5EF4-FFF2-40B4-BE49-F238E27FC236}">
              <a16:creationId xmlns:a16="http://schemas.microsoft.com/office/drawing/2014/main" id="{00000000-0008-0000-0B00-0000B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9</xdr:row>
      <xdr:rowOff>9525</xdr:rowOff>
    </xdr:from>
    <xdr:ext cx="323850" cy="180975"/>
    <xdr:sp macro="" textlink="">
      <xdr:nvSpPr>
        <xdr:cNvPr id="689" name="Shape 688">
          <a:extLst>
            <a:ext uri="{FF2B5EF4-FFF2-40B4-BE49-F238E27FC236}">
              <a16:creationId xmlns:a16="http://schemas.microsoft.com/office/drawing/2014/main" id="{00000000-0008-0000-0B00-0000B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10</xdr:row>
      <xdr:rowOff>9525</xdr:rowOff>
    </xdr:from>
    <xdr:ext cx="323850" cy="180975"/>
    <xdr:sp macro="" textlink="">
      <xdr:nvSpPr>
        <xdr:cNvPr id="690" name="Shape 689">
          <a:extLst>
            <a:ext uri="{FF2B5EF4-FFF2-40B4-BE49-F238E27FC236}">
              <a16:creationId xmlns:a16="http://schemas.microsoft.com/office/drawing/2014/main" id="{00000000-0008-0000-0B00-0000B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11</xdr:row>
      <xdr:rowOff>9525</xdr:rowOff>
    </xdr:from>
    <xdr:ext cx="323850" cy="180975"/>
    <xdr:sp macro="" textlink="">
      <xdr:nvSpPr>
        <xdr:cNvPr id="691" name="Shape 690">
          <a:extLst>
            <a:ext uri="{FF2B5EF4-FFF2-40B4-BE49-F238E27FC236}">
              <a16:creationId xmlns:a16="http://schemas.microsoft.com/office/drawing/2014/main" id="{00000000-0008-0000-0B00-0000B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12</xdr:row>
      <xdr:rowOff>9525</xdr:rowOff>
    </xdr:from>
    <xdr:ext cx="323850" cy="180975"/>
    <xdr:sp macro="" textlink="">
      <xdr:nvSpPr>
        <xdr:cNvPr id="692" name="Shape 691">
          <a:extLst>
            <a:ext uri="{FF2B5EF4-FFF2-40B4-BE49-F238E27FC236}">
              <a16:creationId xmlns:a16="http://schemas.microsoft.com/office/drawing/2014/main" id="{00000000-0008-0000-0B00-0000B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13</xdr:row>
      <xdr:rowOff>9525</xdr:rowOff>
    </xdr:from>
    <xdr:ext cx="323850" cy="180975"/>
    <xdr:sp macro="" textlink="">
      <xdr:nvSpPr>
        <xdr:cNvPr id="693" name="Shape 692">
          <a:extLst>
            <a:ext uri="{FF2B5EF4-FFF2-40B4-BE49-F238E27FC236}">
              <a16:creationId xmlns:a16="http://schemas.microsoft.com/office/drawing/2014/main" id="{00000000-0008-0000-0B00-0000B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14</xdr:row>
      <xdr:rowOff>9525</xdr:rowOff>
    </xdr:from>
    <xdr:ext cx="323850" cy="180975"/>
    <xdr:sp macro="" textlink="">
      <xdr:nvSpPr>
        <xdr:cNvPr id="694" name="Shape 693">
          <a:extLst>
            <a:ext uri="{FF2B5EF4-FFF2-40B4-BE49-F238E27FC236}">
              <a16:creationId xmlns:a16="http://schemas.microsoft.com/office/drawing/2014/main" id="{00000000-0008-0000-0B00-0000B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15</xdr:row>
      <xdr:rowOff>9525</xdr:rowOff>
    </xdr:from>
    <xdr:ext cx="323850" cy="180975"/>
    <xdr:sp macro="" textlink="">
      <xdr:nvSpPr>
        <xdr:cNvPr id="695" name="Shape 694">
          <a:extLst>
            <a:ext uri="{FF2B5EF4-FFF2-40B4-BE49-F238E27FC236}">
              <a16:creationId xmlns:a16="http://schemas.microsoft.com/office/drawing/2014/main" id="{00000000-0008-0000-0B00-0000B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16</xdr:row>
      <xdr:rowOff>9525</xdr:rowOff>
    </xdr:from>
    <xdr:ext cx="323850" cy="180975"/>
    <xdr:sp macro="" textlink="">
      <xdr:nvSpPr>
        <xdr:cNvPr id="696" name="Shape 695">
          <a:extLst>
            <a:ext uri="{FF2B5EF4-FFF2-40B4-BE49-F238E27FC236}">
              <a16:creationId xmlns:a16="http://schemas.microsoft.com/office/drawing/2014/main" id="{00000000-0008-0000-0B00-0000B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17</xdr:row>
      <xdr:rowOff>9525</xdr:rowOff>
    </xdr:from>
    <xdr:ext cx="323850" cy="180975"/>
    <xdr:sp macro="" textlink="">
      <xdr:nvSpPr>
        <xdr:cNvPr id="697" name="Shape 696">
          <a:extLst>
            <a:ext uri="{FF2B5EF4-FFF2-40B4-BE49-F238E27FC236}">
              <a16:creationId xmlns:a16="http://schemas.microsoft.com/office/drawing/2014/main" id="{00000000-0008-0000-0B00-0000B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18</xdr:row>
      <xdr:rowOff>9525</xdr:rowOff>
    </xdr:from>
    <xdr:ext cx="323850" cy="180975"/>
    <xdr:sp macro="" textlink="">
      <xdr:nvSpPr>
        <xdr:cNvPr id="698" name="Shape 697">
          <a:extLst>
            <a:ext uri="{FF2B5EF4-FFF2-40B4-BE49-F238E27FC236}">
              <a16:creationId xmlns:a16="http://schemas.microsoft.com/office/drawing/2014/main" id="{00000000-0008-0000-0B00-0000B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19</xdr:row>
      <xdr:rowOff>9525</xdr:rowOff>
    </xdr:from>
    <xdr:ext cx="323850" cy="180975"/>
    <xdr:sp macro="" textlink="">
      <xdr:nvSpPr>
        <xdr:cNvPr id="699" name="Shape 698">
          <a:extLst>
            <a:ext uri="{FF2B5EF4-FFF2-40B4-BE49-F238E27FC236}">
              <a16:creationId xmlns:a16="http://schemas.microsoft.com/office/drawing/2014/main" id="{00000000-0008-0000-0B00-0000B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20</xdr:row>
      <xdr:rowOff>9525</xdr:rowOff>
    </xdr:from>
    <xdr:ext cx="323850" cy="180975"/>
    <xdr:sp macro="" textlink="">
      <xdr:nvSpPr>
        <xdr:cNvPr id="700" name="Shape 699">
          <a:extLst>
            <a:ext uri="{FF2B5EF4-FFF2-40B4-BE49-F238E27FC236}">
              <a16:creationId xmlns:a16="http://schemas.microsoft.com/office/drawing/2014/main" id="{00000000-0008-0000-0B00-0000B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21</xdr:row>
      <xdr:rowOff>9525</xdr:rowOff>
    </xdr:from>
    <xdr:ext cx="323850" cy="180975"/>
    <xdr:sp macro="" textlink="">
      <xdr:nvSpPr>
        <xdr:cNvPr id="701" name="Shape 700">
          <a:extLst>
            <a:ext uri="{FF2B5EF4-FFF2-40B4-BE49-F238E27FC236}">
              <a16:creationId xmlns:a16="http://schemas.microsoft.com/office/drawing/2014/main" id="{00000000-0008-0000-0B00-0000B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22</xdr:row>
      <xdr:rowOff>9525</xdr:rowOff>
    </xdr:from>
    <xdr:ext cx="323850" cy="180975"/>
    <xdr:sp macro="" textlink="">
      <xdr:nvSpPr>
        <xdr:cNvPr id="702" name="Shape 701">
          <a:extLst>
            <a:ext uri="{FF2B5EF4-FFF2-40B4-BE49-F238E27FC236}">
              <a16:creationId xmlns:a16="http://schemas.microsoft.com/office/drawing/2014/main" id="{00000000-0008-0000-0B00-0000B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23</xdr:row>
      <xdr:rowOff>9525</xdr:rowOff>
    </xdr:from>
    <xdr:ext cx="323850" cy="180975"/>
    <xdr:sp macro="" textlink="">
      <xdr:nvSpPr>
        <xdr:cNvPr id="703" name="Shape 702">
          <a:extLst>
            <a:ext uri="{FF2B5EF4-FFF2-40B4-BE49-F238E27FC236}">
              <a16:creationId xmlns:a16="http://schemas.microsoft.com/office/drawing/2014/main" id="{00000000-0008-0000-0B00-0000B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24</xdr:row>
      <xdr:rowOff>9525</xdr:rowOff>
    </xdr:from>
    <xdr:ext cx="323850" cy="180975"/>
    <xdr:sp macro="" textlink="">
      <xdr:nvSpPr>
        <xdr:cNvPr id="704" name="Shape 703">
          <a:extLst>
            <a:ext uri="{FF2B5EF4-FFF2-40B4-BE49-F238E27FC236}">
              <a16:creationId xmlns:a16="http://schemas.microsoft.com/office/drawing/2014/main" id="{00000000-0008-0000-0B00-0000C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25</xdr:row>
      <xdr:rowOff>9525</xdr:rowOff>
    </xdr:from>
    <xdr:ext cx="323850" cy="180975"/>
    <xdr:sp macro="" textlink="">
      <xdr:nvSpPr>
        <xdr:cNvPr id="705" name="Shape 704">
          <a:extLst>
            <a:ext uri="{FF2B5EF4-FFF2-40B4-BE49-F238E27FC236}">
              <a16:creationId xmlns:a16="http://schemas.microsoft.com/office/drawing/2014/main" id="{00000000-0008-0000-0B00-0000C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26</xdr:row>
      <xdr:rowOff>9525</xdr:rowOff>
    </xdr:from>
    <xdr:ext cx="323850" cy="180975"/>
    <xdr:sp macro="" textlink="">
      <xdr:nvSpPr>
        <xdr:cNvPr id="706" name="Shape 705">
          <a:extLst>
            <a:ext uri="{FF2B5EF4-FFF2-40B4-BE49-F238E27FC236}">
              <a16:creationId xmlns:a16="http://schemas.microsoft.com/office/drawing/2014/main" id="{00000000-0008-0000-0B00-0000C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27</xdr:row>
      <xdr:rowOff>9525</xdr:rowOff>
    </xdr:from>
    <xdr:ext cx="323850" cy="180975"/>
    <xdr:sp macro="" textlink="">
      <xdr:nvSpPr>
        <xdr:cNvPr id="707" name="Shape 706">
          <a:extLst>
            <a:ext uri="{FF2B5EF4-FFF2-40B4-BE49-F238E27FC236}">
              <a16:creationId xmlns:a16="http://schemas.microsoft.com/office/drawing/2014/main" id="{00000000-0008-0000-0B00-0000C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28</xdr:row>
      <xdr:rowOff>9525</xdr:rowOff>
    </xdr:from>
    <xdr:ext cx="323850" cy="180975"/>
    <xdr:sp macro="" textlink="">
      <xdr:nvSpPr>
        <xdr:cNvPr id="708" name="Shape 707">
          <a:extLst>
            <a:ext uri="{FF2B5EF4-FFF2-40B4-BE49-F238E27FC236}">
              <a16:creationId xmlns:a16="http://schemas.microsoft.com/office/drawing/2014/main" id="{00000000-0008-0000-0B00-0000C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29</xdr:row>
      <xdr:rowOff>9525</xdr:rowOff>
    </xdr:from>
    <xdr:ext cx="323850" cy="180975"/>
    <xdr:sp macro="" textlink="">
      <xdr:nvSpPr>
        <xdr:cNvPr id="709" name="Shape 708">
          <a:extLst>
            <a:ext uri="{FF2B5EF4-FFF2-40B4-BE49-F238E27FC236}">
              <a16:creationId xmlns:a16="http://schemas.microsoft.com/office/drawing/2014/main" id="{00000000-0008-0000-0B00-0000C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30</xdr:row>
      <xdr:rowOff>9525</xdr:rowOff>
    </xdr:from>
    <xdr:ext cx="323850" cy="180975"/>
    <xdr:sp macro="" textlink="">
      <xdr:nvSpPr>
        <xdr:cNvPr id="710" name="Shape 709">
          <a:extLst>
            <a:ext uri="{FF2B5EF4-FFF2-40B4-BE49-F238E27FC236}">
              <a16:creationId xmlns:a16="http://schemas.microsoft.com/office/drawing/2014/main" id="{00000000-0008-0000-0B00-0000C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31</xdr:row>
      <xdr:rowOff>9525</xdr:rowOff>
    </xdr:from>
    <xdr:ext cx="323850" cy="180975"/>
    <xdr:sp macro="" textlink="">
      <xdr:nvSpPr>
        <xdr:cNvPr id="711" name="Shape 710">
          <a:extLst>
            <a:ext uri="{FF2B5EF4-FFF2-40B4-BE49-F238E27FC236}">
              <a16:creationId xmlns:a16="http://schemas.microsoft.com/office/drawing/2014/main" id="{00000000-0008-0000-0B00-0000C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32</xdr:row>
      <xdr:rowOff>9525</xdr:rowOff>
    </xdr:from>
    <xdr:ext cx="323850" cy="180975"/>
    <xdr:sp macro="" textlink="">
      <xdr:nvSpPr>
        <xdr:cNvPr id="712" name="Shape 711">
          <a:extLst>
            <a:ext uri="{FF2B5EF4-FFF2-40B4-BE49-F238E27FC236}">
              <a16:creationId xmlns:a16="http://schemas.microsoft.com/office/drawing/2014/main" id="{00000000-0008-0000-0B00-0000C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33</xdr:row>
      <xdr:rowOff>9525</xdr:rowOff>
    </xdr:from>
    <xdr:ext cx="323850" cy="180975"/>
    <xdr:sp macro="" textlink="">
      <xdr:nvSpPr>
        <xdr:cNvPr id="713" name="Shape 712">
          <a:extLst>
            <a:ext uri="{FF2B5EF4-FFF2-40B4-BE49-F238E27FC236}">
              <a16:creationId xmlns:a16="http://schemas.microsoft.com/office/drawing/2014/main" id="{00000000-0008-0000-0B00-0000C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34</xdr:row>
      <xdr:rowOff>9525</xdr:rowOff>
    </xdr:from>
    <xdr:ext cx="323850" cy="180975"/>
    <xdr:sp macro="" textlink="">
      <xdr:nvSpPr>
        <xdr:cNvPr id="714" name="Shape 713">
          <a:extLst>
            <a:ext uri="{FF2B5EF4-FFF2-40B4-BE49-F238E27FC236}">
              <a16:creationId xmlns:a16="http://schemas.microsoft.com/office/drawing/2014/main" id="{00000000-0008-0000-0B00-0000C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35</xdr:row>
      <xdr:rowOff>9525</xdr:rowOff>
    </xdr:from>
    <xdr:ext cx="323850" cy="180975"/>
    <xdr:sp macro="" textlink="">
      <xdr:nvSpPr>
        <xdr:cNvPr id="715" name="Shape 714">
          <a:extLst>
            <a:ext uri="{FF2B5EF4-FFF2-40B4-BE49-F238E27FC236}">
              <a16:creationId xmlns:a16="http://schemas.microsoft.com/office/drawing/2014/main" id="{00000000-0008-0000-0B00-0000C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36</xdr:row>
      <xdr:rowOff>9525</xdr:rowOff>
    </xdr:from>
    <xdr:ext cx="323850" cy="180975"/>
    <xdr:sp macro="" textlink="">
      <xdr:nvSpPr>
        <xdr:cNvPr id="716" name="Shape 715">
          <a:extLst>
            <a:ext uri="{FF2B5EF4-FFF2-40B4-BE49-F238E27FC236}">
              <a16:creationId xmlns:a16="http://schemas.microsoft.com/office/drawing/2014/main" id="{00000000-0008-0000-0B00-0000C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37</xdr:row>
      <xdr:rowOff>9525</xdr:rowOff>
    </xdr:from>
    <xdr:ext cx="323850" cy="180975"/>
    <xdr:sp macro="" textlink="">
      <xdr:nvSpPr>
        <xdr:cNvPr id="717" name="Shape 716">
          <a:extLst>
            <a:ext uri="{FF2B5EF4-FFF2-40B4-BE49-F238E27FC236}">
              <a16:creationId xmlns:a16="http://schemas.microsoft.com/office/drawing/2014/main" id="{00000000-0008-0000-0B00-0000C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38</xdr:row>
      <xdr:rowOff>9525</xdr:rowOff>
    </xdr:from>
    <xdr:ext cx="323850" cy="180975"/>
    <xdr:sp macro="" textlink="">
      <xdr:nvSpPr>
        <xdr:cNvPr id="718" name="Shape 717">
          <a:extLst>
            <a:ext uri="{FF2B5EF4-FFF2-40B4-BE49-F238E27FC236}">
              <a16:creationId xmlns:a16="http://schemas.microsoft.com/office/drawing/2014/main" id="{00000000-0008-0000-0B00-0000C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39</xdr:row>
      <xdr:rowOff>9525</xdr:rowOff>
    </xdr:from>
    <xdr:ext cx="323850" cy="180975"/>
    <xdr:sp macro="" textlink="">
      <xdr:nvSpPr>
        <xdr:cNvPr id="719" name="Shape 718">
          <a:extLst>
            <a:ext uri="{FF2B5EF4-FFF2-40B4-BE49-F238E27FC236}">
              <a16:creationId xmlns:a16="http://schemas.microsoft.com/office/drawing/2014/main" id="{00000000-0008-0000-0B00-0000C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78</xdr:col>
      <xdr:colOff>0</xdr:colOff>
      <xdr:row>40</xdr:row>
      <xdr:rowOff>9525</xdr:rowOff>
    </xdr:from>
    <xdr:ext cx="323850" cy="180975"/>
    <xdr:sp macro="" textlink="">
      <xdr:nvSpPr>
        <xdr:cNvPr id="720" name="Shape 719">
          <a:extLst>
            <a:ext uri="{FF2B5EF4-FFF2-40B4-BE49-F238E27FC236}">
              <a16:creationId xmlns:a16="http://schemas.microsoft.com/office/drawing/2014/main" id="{00000000-0008-0000-0B00-0000D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77</xdr:col>
      <xdr:colOff>0</xdr:colOff>
      <xdr:row>41</xdr:row>
      <xdr:rowOff>9525</xdr:rowOff>
    </xdr:from>
    <xdr:ext cx="323850" cy="180975"/>
    <xdr:sp macro="" textlink="">
      <xdr:nvSpPr>
        <xdr:cNvPr id="721" name="Shape 720">
          <a:extLst>
            <a:ext uri="{FF2B5EF4-FFF2-40B4-BE49-F238E27FC236}">
              <a16:creationId xmlns:a16="http://schemas.microsoft.com/office/drawing/2014/main" id="{00000000-0008-0000-0B00-0000D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</xdr:row>
      <xdr:rowOff>9525</xdr:rowOff>
    </xdr:from>
    <xdr:ext cx="323850" cy="180975"/>
    <xdr:sp macro="" textlink="">
      <xdr:nvSpPr>
        <xdr:cNvPr id="722" name="Shape 721">
          <a:extLst>
            <a:ext uri="{FF2B5EF4-FFF2-40B4-BE49-F238E27FC236}">
              <a16:creationId xmlns:a16="http://schemas.microsoft.com/office/drawing/2014/main" id="{00000000-0008-0000-0B00-0000D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</xdr:row>
      <xdr:rowOff>9525</xdr:rowOff>
    </xdr:from>
    <xdr:ext cx="323850" cy="180975"/>
    <xdr:sp macro="" textlink="">
      <xdr:nvSpPr>
        <xdr:cNvPr id="723" name="Shape 722">
          <a:extLst>
            <a:ext uri="{FF2B5EF4-FFF2-40B4-BE49-F238E27FC236}">
              <a16:creationId xmlns:a16="http://schemas.microsoft.com/office/drawing/2014/main" id="{00000000-0008-0000-0B00-0000D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4</xdr:row>
      <xdr:rowOff>9525</xdr:rowOff>
    </xdr:from>
    <xdr:ext cx="323850" cy="180975"/>
    <xdr:sp macro="" textlink="">
      <xdr:nvSpPr>
        <xdr:cNvPr id="724" name="Shape 723">
          <a:extLst>
            <a:ext uri="{FF2B5EF4-FFF2-40B4-BE49-F238E27FC236}">
              <a16:creationId xmlns:a16="http://schemas.microsoft.com/office/drawing/2014/main" id="{00000000-0008-0000-0B00-0000D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5</xdr:row>
      <xdr:rowOff>9525</xdr:rowOff>
    </xdr:from>
    <xdr:ext cx="323850" cy="180975"/>
    <xdr:sp macro="" textlink="">
      <xdr:nvSpPr>
        <xdr:cNvPr id="725" name="Shape 724">
          <a:extLst>
            <a:ext uri="{FF2B5EF4-FFF2-40B4-BE49-F238E27FC236}">
              <a16:creationId xmlns:a16="http://schemas.microsoft.com/office/drawing/2014/main" id="{00000000-0008-0000-0B00-0000D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6</xdr:row>
      <xdr:rowOff>9525</xdr:rowOff>
    </xdr:from>
    <xdr:ext cx="323850" cy="180975"/>
    <xdr:sp macro="" textlink="">
      <xdr:nvSpPr>
        <xdr:cNvPr id="726" name="Shape 725">
          <a:extLst>
            <a:ext uri="{FF2B5EF4-FFF2-40B4-BE49-F238E27FC236}">
              <a16:creationId xmlns:a16="http://schemas.microsoft.com/office/drawing/2014/main" id="{00000000-0008-0000-0B00-0000D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7</xdr:row>
      <xdr:rowOff>9525</xdr:rowOff>
    </xdr:from>
    <xdr:ext cx="323850" cy="180975"/>
    <xdr:sp macro="" textlink="">
      <xdr:nvSpPr>
        <xdr:cNvPr id="727" name="Shape 726">
          <a:extLst>
            <a:ext uri="{FF2B5EF4-FFF2-40B4-BE49-F238E27FC236}">
              <a16:creationId xmlns:a16="http://schemas.microsoft.com/office/drawing/2014/main" id="{00000000-0008-0000-0B00-0000D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8</xdr:row>
      <xdr:rowOff>9525</xdr:rowOff>
    </xdr:from>
    <xdr:ext cx="323850" cy="180975"/>
    <xdr:sp macro="" textlink="">
      <xdr:nvSpPr>
        <xdr:cNvPr id="728" name="Shape 727">
          <a:extLst>
            <a:ext uri="{FF2B5EF4-FFF2-40B4-BE49-F238E27FC236}">
              <a16:creationId xmlns:a16="http://schemas.microsoft.com/office/drawing/2014/main" id="{00000000-0008-0000-0B00-0000D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9</xdr:row>
      <xdr:rowOff>9525</xdr:rowOff>
    </xdr:from>
    <xdr:ext cx="323850" cy="180975"/>
    <xdr:sp macro="" textlink="">
      <xdr:nvSpPr>
        <xdr:cNvPr id="729" name="Shape 728">
          <a:extLst>
            <a:ext uri="{FF2B5EF4-FFF2-40B4-BE49-F238E27FC236}">
              <a16:creationId xmlns:a16="http://schemas.microsoft.com/office/drawing/2014/main" id="{00000000-0008-0000-0B00-0000D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10</xdr:row>
      <xdr:rowOff>9525</xdr:rowOff>
    </xdr:from>
    <xdr:ext cx="323850" cy="180975"/>
    <xdr:sp macro="" textlink="">
      <xdr:nvSpPr>
        <xdr:cNvPr id="730" name="Shape 729">
          <a:extLst>
            <a:ext uri="{FF2B5EF4-FFF2-40B4-BE49-F238E27FC236}">
              <a16:creationId xmlns:a16="http://schemas.microsoft.com/office/drawing/2014/main" id="{00000000-0008-0000-0B00-0000D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11</xdr:row>
      <xdr:rowOff>9525</xdr:rowOff>
    </xdr:from>
    <xdr:ext cx="323850" cy="180975"/>
    <xdr:sp macro="" textlink="">
      <xdr:nvSpPr>
        <xdr:cNvPr id="731" name="Shape 730">
          <a:extLst>
            <a:ext uri="{FF2B5EF4-FFF2-40B4-BE49-F238E27FC236}">
              <a16:creationId xmlns:a16="http://schemas.microsoft.com/office/drawing/2014/main" id="{00000000-0008-0000-0B00-0000D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12</xdr:row>
      <xdr:rowOff>9525</xdr:rowOff>
    </xdr:from>
    <xdr:ext cx="323850" cy="180975"/>
    <xdr:sp macro="" textlink="">
      <xdr:nvSpPr>
        <xdr:cNvPr id="732" name="Shape 731">
          <a:extLst>
            <a:ext uri="{FF2B5EF4-FFF2-40B4-BE49-F238E27FC236}">
              <a16:creationId xmlns:a16="http://schemas.microsoft.com/office/drawing/2014/main" id="{00000000-0008-0000-0B00-0000D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13</xdr:row>
      <xdr:rowOff>9525</xdr:rowOff>
    </xdr:from>
    <xdr:ext cx="323850" cy="180975"/>
    <xdr:sp macro="" textlink="">
      <xdr:nvSpPr>
        <xdr:cNvPr id="733" name="Shape 732">
          <a:extLst>
            <a:ext uri="{FF2B5EF4-FFF2-40B4-BE49-F238E27FC236}">
              <a16:creationId xmlns:a16="http://schemas.microsoft.com/office/drawing/2014/main" id="{00000000-0008-0000-0B00-0000D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14</xdr:row>
      <xdr:rowOff>9525</xdr:rowOff>
    </xdr:from>
    <xdr:ext cx="323850" cy="180975"/>
    <xdr:sp macro="" textlink="">
      <xdr:nvSpPr>
        <xdr:cNvPr id="734" name="Shape 733">
          <a:extLst>
            <a:ext uri="{FF2B5EF4-FFF2-40B4-BE49-F238E27FC236}">
              <a16:creationId xmlns:a16="http://schemas.microsoft.com/office/drawing/2014/main" id="{00000000-0008-0000-0B00-0000D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15</xdr:row>
      <xdr:rowOff>9525</xdr:rowOff>
    </xdr:from>
    <xdr:ext cx="323850" cy="180975"/>
    <xdr:sp macro="" textlink="">
      <xdr:nvSpPr>
        <xdr:cNvPr id="735" name="Shape 734">
          <a:extLst>
            <a:ext uri="{FF2B5EF4-FFF2-40B4-BE49-F238E27FC236}">
              <a16:creationId xmlns:a16="http://schemas.microsoft.com/office/drawing/2014/main" id="{00000000-0008-0000-0B00-0000D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16</xdr:row>
      <xdr:rowOff>9525</xdr:rowOff>
    </xdr:from>
    <xdr:ext cx="323850" cy="180975"/>
    <xdr:sp macro="" textlink="">
      <xdr:nvSpPr>
        <xdr:cNvPr id="736" name="Shape 735">
          <a:extLst>
            <a:ext uri="{FF2B5EF4-FFF2-40B4-BE49-F238E27FC236}">
              <a16:creationId xmlns:a16="http://schemas.microsoft.com/office/drawing/2014/main" id="{00000000-0008-0000-0B00-0000E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17</xdr:row>
      <xdr:rowOff>9525</xdr:rowOff>
    </xdr:from>
    <xdr:ext cx="323850" cy="180975"/>
    <xdr:sp macro="" textlink="">
      <xdr:nvSpPr>
        <xdr:cNvPr id="737" name="Shape 736">
          <a:extLst>
            <a:ext uri="{FF2B5EF4-FFF2-40B4-BE49-F238E27FC236}">
              <a16:creationId xmlns:a16="http://schemas.microsoft.com/office/drawing/2014/main" id="{00000000-0008-0000-0B00-0000E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18</xdr:row>
      <xdr:rowOff>9525</xdr:rowOff>
    </xdr:from>
    <xdr:ext cx="323850" cy="180975"/>
    <xdr:sp macro="" textlink="">
      <xdr:nvSpPr>
        <xdr:cNvPr id="738" name="Shape 737">
          <a:extLst>
            <a:ext uri="{FF2B5EF4-FFF2-40B4-BE49-F238E27FC236}">
              <a16:creationId xmlns:a16="http://schemas.microsoft.com/office/drawing/2014/main" id="{00000000-0008-0000-0B00-0000E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19</xdr:row>
      <xdr:rowOff>9525</xdr:rowOff>
    </xdr:from>
    <xdr:ext cx="323850" cy="180975"/>
    <xdr:sp macro="" textlink="">
      <xdr:nvSpPr>
        <xdr:cNvPr id="739" name="Shape 738">
          <a:extLst>
            <a:ext uri="{FF2B5EF4-FFF2-40B4-BE49-F238E27FC236}">
              <a16:creationId xmlns:a16="http://schemas.microsoft.com/office/drawing/2014/main" id="{00000000-0008-0000-0B00-0000E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20</xdr:row>
      <xdr:rowOff>9525</xdr:rowOff>
    </xdr:from>
    <xdr:ext cx="323850" cy="180975"/>
    <xdr:sp macro="" textlink="">
      <xdr:nvSpPr>
        <xdr:cNvPr id="740" name="Shape 739">
          <a:extLst>
            <a:ext uri="{FF2B5EF4-FFF2-40B4-BE49-F238E27FC236}">
              <a16:creationId xmlns:a16="http://schemas.microsoft.com/office/drawing/2014/main" id="{00000000-0008-0000-0B00-0000E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21</xdr:row>
      <xdr:rowOff>9525</xdr:rowOff>
    </xdr:from>
    <xdr:ext cx="323850" cy="180975"/>
    <xdr:sp macro="" textlink="">
      <xdr:nvSpPr>
        <xdr:cNvPr id="741" name="Shape 740">
          <a:extLst>
            <a:ext uri="{FF2B5EF4-FFF2-40B4-BE49-F238E27FC236}">
              <a16:creationId xmlns:a16="http://schemas.microsoft.com/office/drawing/2014/main" id="{00000000-0008-0000-0B00-0000E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22</xdr:row>
      <xdr:rowOff>9525</xdr:rowOff>
    </xdr:from>
    <xdr:ext cx="323850" cy="180975"/>
    <xdr:sp macro="" textlink="">
      <xdr:nvSpPr>
        <xdr:cNvPr id="742" name="Shape 741">
          <a:extLst>
            <a:ext uri="{FF2B5EF4-FFF2-40B4-BE49-F238E27FC236}">
              <a16:creationId xmlns:a16="http://schemas.microsoft.com/office/drawing/2014/main" id="{00000000-0008-0000-0B00-0000E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23</xdr:row>
      <xdr:rowOff>9525</xdr:rowOff>
    </xdr:from>
    <xdr:ext cx="323850" cy="180975"/>
    <xdr:sp macro="" textlink="">
      <xdr:nvSpPr>
        <xdr:cNvPr id="743" name="Shape 742">
          <a:extLst>
            <a:ext uri="{FF2B5EF4-FFF2-40B4-BE49-F238E27FC236}">
              <a16:creationId xmlns:a16="http://schemas.microsoft.com/office/drawing/2014/main" id="{00000000-0008-0000-0B00-0000E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24</xdr:row>
      <xdr:rowOff>9525</xdr:rowOff>
    </xdr:from>
    <xdr:ext cx="323850" cy="180975"/>
    <xdr:sp macro="" textlink="">
      <xdr:nvSpPr>
        <xdr:cNvPr id="744" name="Shape 743">
          <a:extLst>
            <a:ext uri="{FF2B5EF4-FFF2-40B4-BE49-F238E27FC236}">
              <a16:creationId xmlns:a16="http://schemas.microsoft.com/office/drawing/2014/main" id="{00000000-0008-0000-0B00-0000E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25</xdr:row>
      <xdr:rowOff>9525</xdr:rowOff>
    </xdr:from>
    <xdr:ext cx="323850" cy="180975"/>
    <xdr:sp macro="" textlink="">
      <xdr:nvSpPr>
        <xdr:cNvPr id="745" name="Shape 744">
          <a:extLst>
            <a:ext uri="{FF2B5EF4-FFF2-40B4-BE49-F238E27FC236}">
              <a16:creationId xmlns:a16="http://schemas.microsoft.com/office/drawing/2014/main" id="{00000000-0008-0000-0B00-0000E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26</xdr:row>
      <xdr:rowOff>9525</xdr:rowOff>
    </xdr:from>
    <xdr:ext cx="323850" cy="180975"/>
    <xdr:sp macro="" textlink="">
      <xdr:nvSpPr>
        <xdr:cNvPr id="746" name="Shape 745">
          <a:extLst>
            <a:ext uri="{FF2B5EF4-FFF2-40B4-BE49-F238E27FC236}">
              <a16:creationId xmlns:a16="http://schemas.microsoft.com/office/drawing/2014/main" id="{00000000-0008-0000-0B00-0000E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27</xdr:row>
      <xdr:rowOff>9525</xdr:rowOff>
    </xdr:from>
    <xdr:ext cx="323850" cy="180975"/>
    <xdr:sp macro="" textlink="">
      <xdr:nvSpPr>
        <xdr:cNvPr id="747" name="Shape 746">
          <a:extLst>
            <a:ext uri="{FF2B5EF4-FFF2-40B4-BE49-F238E27FC236}">
              <a16:creationId xmlns:a16="http://schemas.microsoft.com/office/drawing/2014/main" id="{00000000-0008-0000-0B00-0000E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28</xdr:row>
      <xdr:rowOff>9525</xdr:rowOff>
    </xdr:from>
    <xdr:ext cx="323850" cy="180975"/>
    <xdr:sp macro="" textlink="">
      <xdr:nvSpPr>
        <xdr:cNvPr id="748" name="Shape 747">
          <a:extLst>
            <a:ext uri="{FF2B5EF4-FFF2-40B4-BE49-F238E27FC236}">
              <a16:creationId xmlns:a16="http://schemas.microsoft.com/office/drawing/2014/main" id="{00000000-0008-0000-0B00-0000E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29</xdr:row>
      <xdr:rowOff>9525</xdr:rowOff>
    </xdr:from>
    <xdr:ext cx="323850" cy="180975"/>
    <xdr:sp macro="" textlink="">
      <xdr:nvSpPr>
        <xdr:cNvPr id="749" name="Shape 748">
          <a:extLst>
            <a:ext uri="{FF2B5EF4-FFF2-40B4-BE49-F238E27FC236}">
              <a16:creationId xmlns:a16="http://schemas.microsoft.com/office/drawing/2014/main" id="{00000000-0008-0000-0B00-0000E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30</xdr:row>
      <xdr:rowOff>9525</xdr:rowOff>
    </xdr:from>
    <xdr:ext cx="323850" cy="180975"/>
    <xdr:sp macro="" textlink="">
      <xdr:nvSpPr>
        <xdr:cNvPr id="750" name="Shape 749">
          <a:extLst>
            <a:ext uri="{FF2B5EF4-FFF2-40B4-BE49-F238E27FC236}">
              <a16:creationId xmlns:a16="http://schemas.microsoft.com/office/drawing/2014/main" id="{00000000-0008-0000-0B00-0000E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31</xdr:row>
      <xdr:rowOff>9525</xdr:rowOff>
    </xdr:from>
    <xdr:ext cx="323850" cy="180975"/>
    <xdr:sp macro="" textlink="">
      <xdr:nvSpPr>
        <xdr:cNvPr id="751" name="Shape 750">
          <a:extLst>
            <a:ext uri="{FF2B5EF4-FFF2-40B4-BE49-F238E27FC236}">
              <a16:creationId xmlns:a16="http://schemas.microsoft.com/office/drawing/2014/main" id="{00000000-0008-0000-0B00-0000E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32</xdr:row>
      <xdr:rowOff>9525</xdr:rowOff>
    </xdr:from>
    <xdr:ext cx="323850" cy="180975"/>
    <xdr:sp macro="" textlink="">
      <xdr:nvSpPr>
        <xdr:cNvPr id="752" name="Shape 751">
          <a:extLst>
            <a:ext uri="{FF2B5EF4-FFF2-40B4-BE49-F238E27FC236}">
              <a16:creationId xmlns:a16="http://schemas.microsoft.com/office/drawing/2014/main" id="{00000000-0008-0000-0B00-0000F0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33</xdr:row>
      <xdr:rowOff>9525</xdr:rowOff>
    </xdr:from>
    <xdr:ext cx="323850" cy="180975"/>
    <xdr:sp macro="" textlink="">
      <xdr:nvSpPr>
        <xdr:cNvPr id="753" name="Shape 752">
          <a:extLst>
            <a:ext uri="{FF2B5EF4-FFF2-40B4-BE49-F238E27FC236}">
              <a16:creationId xmlns:a16="http://schemas.microsoft.com/office/drawing/2014/main" id="{00000000-0008-0000-0B00-0000F1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34</xdr:row>
      <xdr:rowOff>9525</xdr:rowOff>
    </xdr:from>
    <xdr:ext cx="323850" cy="180975"/>
    <xdr:sp macro="" textlink="">
      <xdr:nvSpPr>
        <xdr:cNvPr id="754" name="Shape 753">
          <a:extLst>
            <a:ext uri="{FF2B5EF4-FFF2-40B4-BE49-F238E27FC236}">
              <a16:creationId xmlns:a16="http://schemas.microsoft.com/office/drawing/2014/main" id="{00000000-0008-0000-0B00-0000F2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35</xdr:row>
      <xdr:rowOff>9525</xdr:rowOff>
    </xdr:from>
    <xdr:ext cx="323850" cy="180975"/>
    <xdr:sp macro="" textlink="">
      <xdr:nvSpPr>
        <xdr:cNvPr id="755" name="Shape 754">
          <a:extLst>
            <a:ext uri="{FF2B5EF4-FFF2-40B4-BE49-F238E27FC236}">
              <a16:creationId xmlns:a16="http://schemas.microsoft.com/office/drawing/2014/main" id="{00000000-0008-0000-0B00-0000F3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36</xdr:row>
      <xdr:rowOff>9525</xdr:rowOff>
    </xdr:from>
    <xdr:ext cx="323850" cy="180975"/>
    <xdr:sp macro="" textlink="">
      <xdr:nvSpPr>
        <xdr:cNvPr id="756" name="Shape 755">
          <a:extLst>
            <a:ext uri="{FF2B5EF4-FFF2-40B4-BE49-F238E27FC236}">
              <a16:creationId xmlns:a16="http://schemas.microsoft.com/office/drawing/2014/main" id="{00000000-0008-0000-0B00-0000F4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37</xdr:row>
      <xdr:rowOff>9525</xdr:rowOff>
    </xdr:from>
    <xdr:ext cx="323850" cy="180975"/>
    <xdr:sp macro="" textlink="">
      <xdr:nvSpPr>
        <xdr:cNvPr id="757" name="Shape 756">
          <a:extLst>
            <a:ext uri="{FF2B5EF4-FFF2-40B4-BE49-F238E27FC236}">
              <a16:creationId xmlns:a16="http://schemas.microsoft.com/office/drawing/2014/main" id="{00000000-0008-0000-0B00-0000F5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38</xdr:row>
      <xdr:rowOff>9525</xdr:rowOff>
    </xdr:from>
    <xdr:ext cx="323850" cy="180975"/>
    <xdr:sp macro="" textlink="">
      <xdr:nvSpPr>
        <xdr:cNvPr id="758" name="Shape 757">
          <a:extLst>
            <a:ext uri="{FF2B5EF4-FFF2-40B4-BE49-F238E27FC236}">
              <a16:creationId xmlns:a16="http://schemas.microsoft.com/office/drawing/2014/main" id="{00000000-0008-0000-0B00-0000F6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39</xdr:row>
      <xdr:rowOff>9525</xdr:rowOff>
    </xdr:from>
    <xdr:ext cx="323850" cy="180975"/>
    <xdr:sp macro="" textlink="">
      <xdr:nvSpPr>
        <xdr:cNvPr id="759" name="Shape 758">
          <a:extLst>
            <a:ext uri="{FF2B5EF4-FFF2-40B4-BE49-F238E27FC236}">
              <a16:creationId xmlns:a16="http://schemas.microsoft.com/office/drawing/2014/main" id="{00000000-0008-0000-0B00-0000F7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81</xdr:col>
      <xdr:colOff>0</xdr:colOff>
      <xdr:row>40</xdr:row>
      <xdr:rowOff>9525</xdr:rowOff>
    </xdr:from>
    <xdr:ext cx="323850" cy="180975"/>
    <xdr:sp macro="" textlink="">
      <xdr:nvSpPr>
        <xdr:cNvPr id="760" name="Shape 759">
          <a:extLst>
            <a:ext uri="{FF2B5EF4-FFF2-40B4-BE49-F238E27FC236}">
              <a16:creationId xmlns:a16="http://schemas.microsoft.com/office/drawing/2014/main" id="{00000000-0008-0000-0B00-0000F8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82</xdr:col>
      <xdr:colOff>0</xdr:colOff>
      <xdr:row>41</xdr:row>
      <xdr:rowOff>9525</xdr:rowOff>
    </xdr:from>
    <xdr:ext cx="323850" cy="180975"/>
    <xdr:sp macro="" textlink="">
      <xdr:nvSpPr>
        <xdr:cNvPr id="761" name="Shape 760">
          <a:extLst>
            <a:ext uri="{FF2B5EF4-FFF2-40B4-BE49-F238E27FC236}">
              <a16:creationId xmlns:a16="http://schemas.microsoft.com/office/drawing/2014/main" id="{00000000-0008-0000-0B00-0000F9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</xdr:row>
      <xdr:rowOff>9525</xdr:rowOff>
    </xdr:from>
    <xdr:ext cx="323850" cy="180975"/>
    <xdr:sp macro="" textlink="">
      <xdr:nvSpPr>
        <xdr:cNvPr id="762" name="Shape 761">
          <a:extLst>
            <a:ext uri="{FF2B5EF4-FFF2-40B4-BE49-F238E27FC236}">
              <a16:creationId xmlns:a16="http://schemas.microsoft.com/office/drawing/2014/main" id="{00000000-0008-0000-0B00-0000FA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</xdr:row>
      <xdr:rowOff>9525</xdr:rowOff>
    </xdr:from>
    <xdr:ext cx="323850" cy="180975"/>
    <xdr:sp macro="" textlink="">
      <xdr:nvSpPr>
        <xdr:cNvPr id="763" name="Shape 762">
          <a:extLst>
            <a:ext uri="{FF2B5EF4-FFF2-40B4-BE49-F238E27FC236}">
              <a16:creationId xmlns:a16="http://schemas.microsoft.com/office/drawing/2014/main" id="{00000000-0008-0000-0B00-0000FB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4</xdr:row>
      <xdr:rowOff>9525</xdr:rowOff>
    </xdr:from>
    <xdr:ext cx="323850" cy="180975"/>
    <xdr:sp macro="" textlink="">
      <xdr:nvSpPr>
        <xdr:cNvPr id="764" name="Shape 763">
          <a:extLst>
            <a:ext uri="{FF2B5EF4-FFF2-40B4-BE49-F238E27FC236}">
              <a16:creationId xmlns:a16="http://schemas.microsoft.com/office/drawing/2014/main" id="{00000000-0008-0000-0B00-0000FC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5</xdr:row>
      <xdr:rowOff>9525</xdr:rowOff>
    </xdr:from>
    <xdr:ext cx="323850" cy="180975"/>
    <xdr:sp macro="" textlink="">
      <xdr:nvSpPr>
        <xdr:cNvPr id="765" name="Shape 764">
          <a:extLst>
            <a:ext uri="{FF2B5EF4-FFF2-40B4-BE49-F238E27FC236}">
              <a16:creationId xmlns:a16="http://schemas.microsoft.com/office/drawing/2014/main" id="{00000000-0008-0000-0B00-0000FD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6</xdr:row>
      <xdr:rowOff>9525</xdr:rowOff>
    </xdr:from>
    <xdr:ext cx="323850" cy="180975"/>
    <xdr:sp macro="" textlink="">
      <xdr:nvSpPr>
        <xdr:cNvPr id="766" name="Shape 765">
          <a:extLst>
            <a:ext uri="{FF2B5EF4-FFF2-40B4-BE49-F238E27FC236}">
              <a16:creationId xmlns:a16="http://schemas.microsoft.com/office/drawing/2014/main" id="{00000000-0008-0000-0B00-0000FE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7</xdr:row>
      <xdr:rowOff>9525</xdr:rowOff>
    </xdr:from>
    <xdr:ext cx="323850" cy="180975"/>
    <xdr:sp macro="" textlink="">
      <xdr:nvSpPr>
        <xdr:cNvPr id="767" name="Shape 766">
          <a:extLst>
            <a:ext uri="{FF2B5EF4-FFF2-40B4-BE49-F238E27FC236}">
              <a16:creationId xmlns:a16="http://schemas.microsoft.com/office/drawing/2014/main" id="{00000000-0008-0000-0B00-0000FF02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8</xdr:row>
      <xdr:rowOff>9525</xdr:rowOff>
    </xdr:from>
    <xdr:ext cx="323850" cy="180975"/>
    <xdr:sp macro="" textlink="">
      <xdr:nvSpPr>
        <xdr:cNvPr id="768" name="Shape 767">
          <a:extLst>
            <a:ext uri="{FF2B5EF4-FFF2-40B4-BE49-F238E27FC236}">
              <a16:creationId xmlns:a16="http://schemas.microsoft.com/office/drawing/2014/main" id="{00000000-0008-0000-0B00-00000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9</xdr:row>
      <xdr:rowOff>9525</xdr:rowOff>
    </xdr:from>
    <xdr:ext cx="323850" cy="180975"/>
    <xdr:sp macro="" textlink="">
      <xdr:nvSpPr>
        <xdr:cNvPr id="769" name="Shape 768">
          <a:extLst>
            <a:ext uri="{FF2B5EF4-FFF2-40B4-BE49-F238E27FC236}">
              <a16:creationId xmlns:a16="http://schemas.microsoft.com/office/drawing/2014/main" id="{00000000-0008-0000-0B00-00000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10</xdr:row>
      <xdr:rowOff>9525</xdr:rowOff>
    </xdr:from>
    <xdr:ext cx="323850" cy="180975"/>
    <xdr:sp macro="" textlink="">
      <xdr:nvSpPr>
        <xdr:cNvPr id="770" name="Shape 769">
          <a:extLst>
            <a:ext uri="{FF2B5EF4-FFF2-40B4-BE49-F238E27FC236}">
              <a16:creationId xmlns:a16="http://schemas.microsoft.com/office/drawing/2014/main" id="{00000000-0008-0000-0B00-00000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11</xdr:row>
      <xdr:rowOff>9525</xdr:rowOff>
    </xdr:from>
    <xdr:ext cx="323850" cy="180975"/>
    <xdr:sp macro="" textlink="">
      <xdr:nvSpPr>
        <xdr:cNvPr id="771" name="Shape 770">
          <a:extLst>
            <a:ext uri="{FF2B5EF4-FFF2-40B4-BE49-F238E27FC236}">
              <a16:creationId xmlns:a16="http://schemas.microsoft.com/office/drawing/2014/main" id="{00000000-0008-0000-0B00-00000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12</xdr:row>
      <xdr:rowOff>9525</xdr:rowOff>
    </xdr:from>
    <xdr:ext cx="323850" cy="180975"/>
    <xdr:sp macro="" textlink="">
      <xdr:nvSpPr>
        <xdr:cNvPr id="772" name="Shape 771">
          <a:extLst>
            <a:ext uri="{FF2B5EF4-FFF2-40B4-BE49-F238E27FC236}">
              <a16:creationId xmlns:a16="http://schemas.microsoft.com/office/drawing/2014/main" id="{00000000-0008-0000-0B00-00000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13</xdr:row>
      <xdr:rowOff>9525</xdr:rowOff>
    </xdr:from>
    <xdr:ext cx="323850" cy="180975"/>
    <xdr:sp macro="" textlink="">
      <xdr:nvSpPr>
        <xdr:cNvPr id="773" name="Shape 772">
          <a:extLst>
            <a:ext uri="{FF2B5EF4-FFF2-40B4-BE49-F238E27FC236}">
              <a16:creationId xmlns:a16="http://schemas.microsoft.com/office/drawing/2014/main" id="{00000000-0008-0000-0B00-00000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14</xdr:row>
      <xdr:rowOff>9525</xdr:rowOff>
    </xdr:from>
    <xdr:ext cx="323850" cy="180975"/>
    <xdr:sp macro="" textlink="">
      <xdr:nvSpPr>
        <xdr:cNvPr id="774" name="Shape 773">
          <a:extLst>
            <a:ext uri="{FF2B5EF4-FFF2-40B4-BE49-F238E27FC236}">
              <a16:creationId xmlns:a16="http://schemas.microsoft.com/office/drawing/2014/main" id="{00000000-0008-0000-0B00-00000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15</xdr:row>
      <xdr:rowOff>9525</xdr:rowOff>
    </xdr:from>
    <xdr:ext cx="323850" cy="180975"/>
    <xdr:sp macro="" textlink="">
      <xdr:nvSpPr>
        <xdr:cNvPr id="775" name="Shape 774">
          <a:extLst>
            <a:ext uri="{FF2B5EF4-FFF2-40B4-BE49-F238E27FC236}">
              <a16:creationId xmlns:a16="http://schemas.microsoft.com/office/drawing/2014/main" id="{00000000-0008-0000-0B00-00000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16</xdr:row>
      <xdr:rowOff>9525</xdr:rowOff>
    </xdr:from>
    <xdr:ext cx="323850" cy="180975"/>
    <xdr:sp macro="" textlink="">
      <xdr:nvSpPr>
        <xdr:cNvPr id="776" name="Shape 775">
          <a:extLst>
            <a:ext uri="{FF2B5EF4-FFF2-40B4-BE49-F238E27FC236}">
              <a16:creationId xmlns:a16="http://schemas.microsoft.com/office/drawing/2014/main" id="{00000000-0008-0000-0B00-00000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17</xdr:row>
      <xdr:rowOff>9525</xdr:rowOff>
    </xdr:from>
    <xdr:ext cx="323850" cy="180975"/>
    <xdr:sp macro="" textlink="">
      <xdr:nvSpPr>
        <xdr:cNvPr id="777" name="Shape 776">
          <a:extLst>
            <a:ext uri="{FF2B5EF4-FFF2-40B4-BE49-F238E27FC236}">
              <a16:creationId xmlns:a16="http://schemas.microsoft.com/office/drawing/2014/main" id="{00000000-0008-0000-0B00-00000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18</xdr:row>
      <xdr:rowOff>9525</xdr:rowOff>
    </xdr:from>
    <xdr:ext cx="323850" cy="180975"/>
    <xdr:sp macro="" textlink="">
      <xdr:nvSpPr>
        <xdr:cNvPr id="778" name="Shape 777">
          <a:extLst>
            <a:ext uri="{FF2B5EF4-FFF2-40B4-BE49-F238E27FC236}">
              <a16:creationId xmlns:a16="http://schemas.microsoft.com/office/drawing/2014/main" id="{00000000-0008-0000-0B00-00000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19</xdr:row>
      <xdr:rowOff>9525</xdr:rowOff>
    </xdr:from>
    <xdr:ext cx="323850" cy="180975"/>
    <xdr:sp macro="" textlink="">
      <xdr:nvSpPr>
        <xdr:cNvPr id="779" name="Shape 778">
          <a:extLst>
            <a:ext uri="{FF2B5EF4-FFF2-40B4-BE49-F238E27FC236}">
              <a16:creationId xmlns:a16="http://schemas.microsoft.com/office/drawing/2014/main" id="{00000000-0008-0000-0B00-00000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20</xdr:row>
      <xdr:rowOff>9525</xdr:rowOff>
    </xdr:from>
    <xdr:ext cx="323850" cy="180975"/>
    <xdr:sp macro="" textlink="">
      <xdr:nvSpPr>
        <xdr:cNvPr id="780" name="Shape 779">
          <a:extLst>
            <a:ext uri="{FF2B5EF4-FFF2-40B4-BE49-F238E27FC236}">
              <a16:creationId xmlns:a16="http://schemas.microsoft.com/office/drawing/2014/main" id="{00000000-0008-0000-0B00-00000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21</xdr:row>
      <xdr:rowOff>9525</xdr:rowOff>
    </xdr:from>
    <xdr:ext cx="323850" cy="180975"/>
    <xdr:sp macro="" textlink="">
      <xdr:nvSpPr>
        <xdr:cNvPr id="781" name="Shape 780">
          <a:extLst>
            <a:ext uri="{FF2B5EF4-FFF2-40B4-BE49-F238E27FC236}">
              <a16:creationId xmlns:a16="http://schemas.microsoft.com/office/drawing/2014/main" id="{00000000-0008-0000-0B00-00000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22</xdr:row>
      <xdr:rowOff>9525</xdr:rowOff>
    </xdr:from>
    <xdr:ext cx="323850" cy="180975"/>
    <xdr:sp macro="" textlink="">
      <xdr:nvSpPr>
        <xdr:cNvPr id="782" name="Shape 781">
          <a:extLst>
            <a:ext uri="{FF2B5EF4-FFF2-40B4-BE49-F238E27FC236}">
              <a16:creationId xmlns:a16="http://schemas.microsoft.com/office/drawing/2014/main" id="{00000000-0008-0000-0B00-00000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23</xdr:row>
      <xdr:rowOff>9525</xdr:rowOff>
    </xdr:from>
    <xdr:ext cx="323850" cy="180975"/>
    <xdr:sp macro="" textlink="">
      <xdr:nvSpPr>
        <xdr:cNvPr id="783" name="Shape 782">
          <a:extLst>
            <a:ext uri="{FF2B5EF4-FFF2-40B4-BE49-F238E27FC236}">
              <a16:creationId xmlns:a16="http://schemas.microsoft.com/office/drawing/2014/main" id="{00000000-0008-0000-0B00-00000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24</xdr:row>
      <xdr:rowOff>9525</xdr:rowOff>
    </xdr:from>
    <xdr:ext cx="323850" cy="180975"/>
    <xdr:sp macro="" textlink="">
      <xdr:nvSpPr>
        <xdr:cNvPr id="784" name="Shape 783">
          <a:extLst>
            <a:ext uri="{FF2B5EF4-FFF2-40B4-BE49-F238E27FC236}">
              <a16:creationId xmlns:a16="http://schemas.microsoft.com/office/drawing/2014/main" id="{00000000-0008-0000-0B00-00001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25</xdr:row>
      <xdr:rowOff>9525</xdr:rowOff>
    </xdr:from>
    <xdr:ext cx="323850" cy="180975"/>
    <xdr:sp macro="" textlink="">
      <xdr:nvSpPr>
        <xdr:cNvPr id="785" name="Shape 784">
          <a:extLst>
            <a:ext uri="{FF2B5EF4-FFF2-40B4-BE49-F238E27FC236}">
              <a16:creationId xmlns:a16="http://schemas.microsoft.com/office/drawing/2014/main" id="{00000000-0008-0000-0B00-00001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26</xdr:row>
      <xdr:rowOff>9525</xdr:rowOff>
    </xdr:from>
    <xdr:ext cx="323850" cy="180975"/>
    <xdr:sp macro="" textlink="">
      <xdr:nvSpPr>
        <xdr:cNvPr id="786" name="Shape 785">
          <a:extLst>
            <a:ext uri="{FF2B5EF4-FFF2-40B4-BE49-F238E27FC236}">
              <a16:creationId xmlns:a16="http://schemas.microsoft.com/office/drawing/2014/main" id="{00000000-0008-0000-0B00-00001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27</xdr:row>
      <xdr:rowOff>9525</xdr:rowOff>
    </xdr:from>
    <xdr:ext cx="323850" cy="180975"/>
    <xdr:sp macro="" textlink="">
      <xdr:nvSpPr>
        <xdr:cNvPr id="787" name="Shape 786">
          <a:extLst>
            <a:ext uri="{FF2B5EF4-FFF2-40B4-BE49-F238E27FC236}">
              <a16:creationId xmlns:a16="http://schemas.microsoft.com/office/drawing/2014/main" id="{00000000-0008-0000-0B00-00001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28</xdr:row>
      <xdr:rowOff>9525</xdr:rowOff>
    </xdr:from>
    <xdr:ext cx="323850" cy="180975"/>
    <xdr:sp macro="" textlink="">
      <xdr:nvSpPr>
        <xdr:cNvPr id="788" name="Shape 787">
          <a:extLst>
            <a:ext uri="{FF2B5EF4-FFF2-40B4-BE49-F238E27FC236}">
              <a16:creationId xmlns:a16="http://schemas.microsoft.com/office/drawing/2014/main" id="{00000000-0008-0000-0B00-00001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29</xdr:row>
      <xdr:rowOff>9525</xdr:rowOff>
    </xdr:from>
    <xdr:ext cx="323850" cy="180975"/>
    <xdr:sp macro="" textlink="">
      <xdr:nvSpPr>
        <xdr:cNvPr id="789" name="Shape 788">
          <a:extLst>
            <a:ext uri="{FF2B5EF4-FFF2-40B4-BE49-F238E27FC236}">
              <a16:creationId xmlns:a16="http://schemas.microsoft.com/office/drawing/2014/main" id="{00000000-0008-0000-0B00-00001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30</xdr:row>
      <xdr:rowOff>9525</xdr:rowOff>
    </xdr:from>
    <xdr:ext cx="323850" cy="180975"/>
    <xdr:sp macro="" textlink="">
      <xdr:nvSpPr>
        <xdr:cNvPr id="790" name="Shape 789">
          <a:extLst>
            <a:ext uri="{FF2B5EF4-FFF2-40B4-BE49-F238E27FC236}">
              <a16:creationId xmlns:a16="http://schemas.microsoft.com/office/drawing/2014/main" id="{00000000-0008-0000-0B00-00001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31</xdr:row>
      <xdr:rowOff>9525</xdr:rowOff>
    </xdr:from>
    <xdr:ext cx="323850" cy="180975"/>
    <xdr:sp macro="" textlink="">
      <xdr:nvSpPr>
        <xdr:cNvPr id="791" name="Shape 790">
          <a:extLst>
            <a:ext uri="{FF2B5EF4-FFF2-40B4-BE49-F238E27FC236}">
              <a16:creationId xmlns:a16="http://schemas.microsoft.com/office/drawing/2014/main" id="{00000000-0008-0000-0B00-00001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32</xdr:row>
      <xdr:rowOff>9525</xdr:rowOff>
    </xdr:from>
    <xdr:ext cx="323850" cy="180975"/>
    <xdr:sp macro="" textlink="">
      <xdr:nvSpPr>
        <xdr:cNvPr id="792" name="Shape 791">
          <a:extLst>
            <a:ext uri="{FF2B5EF4-FFF2-40B4-BE49-F238E27FC236}">
              <a16:creationId xmlns:a16="http://schemas.microsoft.com/office/drawing/2014/main" id="{00000000-0008-0000-0B00-00001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33</xdr:row>
      <xdr:rowOff>9525</xdr:rowOff>
    </xdr:from>
    <xdr:ext cx="323850" cy="180975"/>
    <xdr:sp macro="" textlink="">
      <xdr:nvSpPr>
        <xdr:cNvPr id="793" name="Shape 792">
          <a:extLst>
            <a:ext uri="{FF2B5EF4-FFF2-40B4-BE49-F238E27FC236}">
              <a16:creationId xmlns:a16="http://schemas.microsoft.com/office/drawing/2014/main" id="{00000000-0008-0000-0B00-00001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34</xdr:row>
      <xdr:rowOff>9525</xdr:rowOff>
    </xdr:from>
    <xdr:ext cx="323850" cy="180975"/>
    <xdr:sp macro="" textlink="">
      <xdr:nvSpPr>
        <xdr:cNvPr id="794" name="Shape 793">
          <a:extLst>
            <a:ext uri="{FF2B5EF4-FFF2-40B4-BE49-F238E27FC236}">
              <a16:creationId xmlns:a16="http://schemas.microsoft.com/office/drawing/2014/main" id="{00000000-0008-0000-0B00-00001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35</xdr:row>
      <xdr:rowOff>9525</xdr:rowOff>
    </xdr:from>
    <xdr:ext cx="323850" cy="180975"/>
    <xdr:sp macro="" textlink="">
      <xdr:nvSpPr>
        <xdr:cNvPr id="795" name="Shape 794">
          <a:extLst>
            <a:ext uri="{FF2B5EF4-FFF2-40B4-BE49-F238E27FC236}">
              <a16:creationId xmlns:a16="http://schemas.microsoft.com/office/drawing/2014/main" id="{00000000-0008-0000-0B00-00001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36</xdr:row>
      <xdr:rowOff>9525</xdr:rowOff>
    </xdr:from>
    <xdr:ext cx="323850" cy="180975"/>
    <xdr:sp macro="" textlink="">
      <xdr:nvSpPr>
        <xdr:cNvPr id="796" name="Shape 795">
          <a:extLst>
            <a:ext uri="{FF2B5EF4-FFF2-40B4-BE49-F238E27FC236}">
              <a16:creationId xmlns:a16="http://schemas.microsoft.com/office/drawing/2014/main" id="{00000000-0008-0000-0B00-00001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37</xdr:row>
      <xdr:rowOff>9525</xdr:rowOff>
    </xdr:from>
    <xdr:ext cx="323850" cy="180975"/>
    <xdr:sp macro="" textlink="">
      <xdr:nvSpPr>
        <xdr:cNvPr id="797" name="Shape 796">
          <a:extLst>
            <a:ext uri="{FF2B5EF4-FFF2-40B4-BE49-F238E27FC236}">
              <a16:creationId xmlns:a16="http://schemas.microsoft.com/office/drawing/2014/main" id="{00000000-0008-0000-0B00-00001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38</xdr:row>
      <xdr:rowOff>9525</xdr:rowOff>
    </xdr:from>
    <xdr:ext cx="323850" cy="180975"/>
    <xdr:sp macro="" textlink="">
      <xdr:nvSpPr>
        <xdr:cNvPr id="798" name="Shape 797">
          <a:extLst>
            <a:ext uri="{FF2B5EF4-FFF2-40B4-BE49-F238E27FC236}">
              <a16:creationId xmlns:a16="http://schemas.microsoft.com/office/drawing/2014/main" id="{00000000-0008-0000-0B00-00001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86</xdr:col>
      <xdr:colOff>0</xdr:colOff>
      <xdr:row>39</xdr:row>
      <xdr:rowOff>9525</xdr:rowOff>
    </xdr:from>
    <xdr:ext cx="323850" cy="180975"/>
    <xdr:sp macro="" textlink="">
      <xdr:nvSpPr>
        <xdr:cNvPr id="799" name="Shape 798">
          <a:extLst>
            <a:ext uri="{FF2B5EF4-FFF2-40B4-BE49-F238E27FC236}">
              <a16:creationId xmlns:a16="http://schemas.microsoft.com/office/drawing/2014/main" id="{00000000-0008-0000-0B00-00001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40</xdr:row>
      <xdr:rowOff>9525</xdr:rowOff>
    </xdr:from>
    <xdr:ext cx="323850" cy="180975"/>
    <xdr:sp macro="" textlink="">
      <xdr:nvSpPr>
        <xdr:cNvPr id="800" name="Shape 799">
          <a:extLst>
            <a:ext uri="{FF2B5EF4-FFF2-40B4-BE49-F238E27FC236}">
              <a16:creationId xmlns:a16="http://schemas.microsoft.com/office/drawing/2014/main" id="{00000000-0008-0000-0B00-00002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85</xdr:col>
      <xdr:colOff>0</xdr:colOff>
      <xdr:row>41</xdr:row>
      <xdr:rowOff>9525</xdr:rowOff>
    </xdr:from>
    <xdr:ext cx="323850" cy="180975"/>
    <xdr:sp macro="" textlink="">
      <xdr:nvSpPr>
        <xdr:cNvPr id="801" name="Shape 800">
          <a:extLst>
            <a:ext uri="{FF2B5EF4-FFF2-40B4-BE49-F238E27FC236}">
              <a16:creationId xmlns:a16="http://schemas.microsoft.com/office/drawing/2014/main" id="{00000000-0008-0000-0B00-00002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</xdr:row>
      <xdr:rowOff>9525</xdr:rowOff>
    </xdr:from>
    <xdr:ext cx="323850" cy="180975"/>
    <xdr:sp macro="" textlink="">
      <xdr:nvSpPr>
        <xdr:cNvPr id="802" name="Shape 801">
          <a:extLst>
            <a:ext uri="{FF2B5EF4-FFF2-40B4-BE49-F238E27FC236}">
              <a16:creationId xmlns:a16="http://schemas.microsoft.com/office/drawing/2014/main" id="{00000000-0008-0000-0B00-00002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</xdr:row>
      <xdr:rowOff>9525</xdr:rowOff>
    </xdr:from>
    <xdr:ext cx="323850" cy="180975"/>
    <xdr:sp macro="" textlink="">
      <xdr:nvSpPr>
        <xdr:cNvPr id="803" name="Shape 802">
          <a:extLst>
            <a:ext uri="{FF2B5EF4-FFF2-40B4-BE49-F238E27FC236}">
              <a16:creationId xmlns:a16="http://schemas.microsoft.com/office/drawing/2014/main" id="{00000000-0008-0000-0B00-00002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4</xdr:row>
      <xdr:rowOff>9525</xdr:rowOff>
    </xdr:from>
    <xdr:ext cx="323850" cy="180975"/>
    <xdr:sp macro="" textlink="">
      <xdr:nvSpPr>
        <xdr:cNvPr id="804" name="Shape 803">
          <a:extLst>
            <a:ext uri="{FF2B5EF4-FFF2-40B4-BE49-F238E27FC236}">
              <a16:creationId xmlns:a16="http://schemas.microsoft.com/office/drawing/2014/main" id="{00000000-0008-0000-0B00-00002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5</xdr:row>
      <xdr:rowOff>9525</xdr:rowOff>
    </xdr:from>
    <xdr:ext cx="323850" cy="180975"/>
    <xdr:sp macro="" textlink="">
      <xdr:nvSpPr>
        <xdr:cNvPr id="805" name="Shape 804">
          <a:extLst>
            <a:ext uri="{FF2B5EF4-FFF2-40B4-BE49-F238E27FC236}">
              <a16:creationId xmlns:a16="http://schemas.microsoft.com/office/drawing/2014/main" id="{00000000-0008-0000-0B00-00002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6</xdr:row>
      <xdr:rowOff>9525</xdr:rowOff>
    </xdr:from>
    <xdr:ext cx="323850" cy="180975"/>
    <xdr:sp macro="" textlink="">
      <xdr:nvSpPr>
        <xdr:cNvPr id="806" name="Shape 805">
          <a:extLst>
            <a:ext uri="{FF2B5EF4-FFF2-40B4-BE49-F238E27FC236}">
              <a16:creationId xmlns:a16="http://schemas.microsoft.com/office/drawing/2014/main" id="{00000000-0008-0000-0B00-00002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7</xdr:row>
      <xdr:rowOff>9525</xdr:rowOff>
    </xdr:from>
    <xdr:ext cx="323850" cy="180975"/>
    <xdr:sp macro="" textlink="">
      <xdr:nvSpPr>
        <xdr:cNvPr id="807" name="Shape 806">
          <a:extLst>
            <a:ext uri="{FF2B5EF4-FFF2-40B4-BE49-F238E27FC236}">
              <a16:creationId xmlns:a16="http://schemas.microsoft.com/office/drawing/2014/main" id="{00000000-0008-0000-0B00-00002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8</xdr:row>
      <xdr:rowOff>9525</xdr:rowOff>
    </xdr:from>
    <xdr:ext cx="323850" cy="180975"/>
    <xdr:sp macro="" textlink="">
      <xdr:nvSpPr>
        <xdr:cNvPr id="808" name="Shape 807">
          <a:extLst>
            <a:ext uri="{FF2B5EF4-FFF2-40B4-BE49-F238E27FC236}">
              <a16:creationId xmlns:a16="http://schemas.microsoft.com/office/drawing/2014/main" id="{00000000-0008-0000-0B00-00002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9</xdr:row>
      <xdr:rowOff>9525</xdr:rowOff>
    </xdr:from>
    <xdr:ext cx="323850" cy="180975"/>
    <xdr:sp macro="" textlink="">
      <xdr:nvSpPr>
        <xdr:cNvPr id="809" name="Shape 808">
          <a:extLst>
            <a:ext uri="{FF2B5EF4-FFF2-40B4-BE49-F238E27FC236}">
              <a16:creationId xmlns:a16="http://schemas.microsoft.com/office/drawing/2014/main" id="{00000000-0008-0000-0B00-00002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10</xdr:row>
      <xdr:rowOff>9525</xdr:rowOff>
    </xdr:from>
    <xdr:ext cx="323850" cy="180975"/>
    <xdr:sp macro="" textlink="">
      <xdr:nvSpPr>
        <xdr:cNvPr id="810" name="Shape 809">
          <a:extLst>
            <a:ext uri="{FF2B5EF4-FFF2-40B4-BE49-F238E27FC236}">
              <a16:creationId xmlns:a16="http://schemas.microsoft.com/office/drawing/2014/main" id="{00000000-0008-0000-0B00-00002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11</xdr:row>
      <xdr:rowOff>9525</xdr:rowOff>
    </xdr:from>
    <xdr:ext cx="323850" cy="180975"/>
    <xdr:sp macro="" textlink="">
      <xdr:nvSpPr>
        <xdr:cNvPr id="811" name="Shape 810">
          <a:extLst>
            <a:ext uri="{FF2B5EF4-FFF2-40B4-BE49-F238E27FC236}">
              <a16:creationId xmlns:a16="http://schemas.microsoft.com/office/drawing/2014/main" id="{00000000-0008-0000-0B00-00002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12</xdr:row>
      <xdr:rowOff>9525</xdr:rowOff>
    </xdr:from>
    <xdr:ext cx="323850" cy="180975"/>
    <xdr:sp macro="" textlink="">
      <xdr:nvSpPr>
        <xdr:cNvPr id="812" name="Shape 811">
          <a:extLst>
            <a:ext uri="{FF2B5EF4-FFF2-40B4-BE49-F238E27FC236}">
              <a16:creationId xmlns:a16="http://schemas.microsoft.com/office/drawing/2014/main" id="{00000000-0008-0000-0B00-00002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13</xdr:row>
      <xdr:rowOff>9525</xdr:rowOff>
    </xdr:from>
    <xdr:ext cx="323850" cy="180975"/>
    <xdr:sp macro="" textlink="">
      <xdr:nvSpPr>
        <xdr:cNvPr id="813" name="Shape 812">
          <a:extLst>
            <a:ext uri="{FF2B5EF4-FFF2-40B4-BE49-F238E27FC236}">
              <a16:creationId xmlns:a16="http://schemas.microsoft.com/office/drawing/2014/main" id="{00000000-0008-0000-0B00-00002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14</xdr:row>
      <xdr:rowOff>9525</xdr:rowOff>
    </xdr:from>
    <xdr:ext cx="323850" cy="180975"/>
    <xdr:sp macro="" textlink="">
      <xdr:nvSpPr>
        <xdr:cNvPr id="814" name="Shape 813">
          <a:extLst>
            <a:ext uri="{FF2B5EF4-FFF2-40B4-BE49-F238E27FC236}">
              <a16:creationId xmlns:a16="http://schemas.microsoft.com/office/drawing/2014/main" id="{00000000-0008-0000-0B00-00002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15</xdr:row>
      <xdr:rowOff>9525</xdr:rowOff>
    </xdr:from>
    <xdr:ext cx="323850" cy="180975"/>
    <xdr:sp macro="" textlink="">
      <xdr:nvSpPr>
        <xdr:cNvPr id="815" name="Shape 814">
          <a:extLst>
            <a:ext uri="{FF2B5EF4-FFF2-40B4-BE49-F238E27FC236}">
              <a16:creationId xmlns:a16="http://schemas.microsoft.com/office/drawing/2014/main" id="{00000000-0008-0000-0B00-00002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16</xdr:row>
      <xdr:rowOff>9525</xdr:rowOff>
    </xdr:from>
    <xdr:ext cx="323850" cy="180975"/>
    <xdr:sp macro="" textlink="">
      <xdr:nvSpPr>
        <xdr:cNvPr id="816" name="Shape 815">
          <a:extLst>
            <a:ext uri="{FF2B5EF4-FFF2-40B4-BE49-F238E27FC236}">
              <a16:creationId xmlns:a16="http://schemas.microsoft.com/office/drawing/2014/main" id="{00000000-0008-0000-0B00-00003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17</xdr:row>
      <xdr:rowOff>9525</xdr:rowOff>
    </xdr:from>
    <xdr:ext cx="323850" cy="180975"/>
    <xdr:sp macro="" textlink="">
      <xdr:nvSpPr>
        <xdr:cNvPr id="817" name="Shape 816">
          <a:extLst>
            <a:ext uri="{FF2B5EF4-FFF2-40B4-BE49-F238E27FC236}">
              <a16:creationId xmlns:a16="http://schemas.microsoft.com/office/drawing/2014/main" id="{00000000-0008-0000-0B00-00003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18</xdr:row>
      <xdr:rowOff>9525</xdr:rowOff>
    </xdr:from>
    <xdr:ext cx="323850" cy="180975"/>
    <xdr:sp macro="" textlink="">
      <xdr:nvSpPr>
        <xdr:cNvPr id="818" name="Shape 817">
          <a:extLst>
            <a:ext uri="{FF2B5EF4-FFF2-40B4-BE49-F238E27FC236}">
              <a16:creationId xmlns:a16="http://schemas.microsoft.com/office/drawing/2014/main" id="{00000000-0008-0000-0B00-00003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19</xdr:row>
      <xdr:rowOff>9525</xdr:rowOff>
    </xdr:from>
    <xdr:ext cx="323850" cy="180975"/>
    <xdr:sp macro="" textlink="">
      <xdr:nvSpPr>
        <xdr:cNvPr id="819" name="Shape 818">
          <a:extLst>
            <a:ext uri="{FF2B5EF4-FFF2-40B4-BE49-F238E27FC236}">
              <a16:creationId xmlns:a16="http://schemas.microsoft.com/office/drawing/2014/main" id="{00000000-0008-0000-0B00-00003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20</xdr:row>
      <xdr:rowOff>9525</xdr:rowOff>
    </xdr:from>
    <xdr:ext cx="323850" cy="180975"/>
    <xdr:sp macro="" textlink="">
      <xdr:nvSpPr>
        <xdr:cNvPr id="820" name="Shape 819">
          <a:extLst>
            <a:ext uri="{FF2B5EF4-FFF2-40B4-BE49-F238E27FC236}">
              <a16:creationId xmlns:a16="http://schemas.microsoft.com/office/drawing/2014/main" id="{00000000-0008-0000-0B00-00003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21</xdr:row>
      <xdr:rowOff>9525</xdr:rowOff>
    </xdr:from>
    <xdr:ext cx="323850" cy="180975"/>
    <xdr:sp macro="" textlink="">
      <xdr:nvSpPr>
        <xdr:cNvPr id="821" name="Shape 820">
          <a:extLst>
            <a:ext uri="{FF2B5EF4-FFF2-40B4-BE49-F238E27FC236}">
              <a16:creationId xmlns:a16="http://schemas.microsoft.com/office/drawing/2014/main" id="{00000000-0008-0000-0B00-00003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22</xdr:row>
      <xdr:rowOff>9525</xdr:rowOff>
    </xdr:from>
    <xdr:ext cx="323850" cy="180975"/>
    <xdr:sp macro="" textlink="">
      <xdr:nvSpPr>
        <xdr:cNvPr id="822" name="Shape 821">
          <a:extLst>
            <a:ext uri="{FF2B5EF4-FFF2-40B4-BE49-F238E27FC236}">
              <a16:creationId xmlns:a16="http://schemas.microsoft.com/office/drawing/2014/main" id="{00000000-0008-0000-0B00-00003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23</xdr:row>
      <xdr:rowOff>9525</xdr:rowOff>
    </xdr:from>
    <xdr:ext cx="323850" cy="180975"/>
    <xdr:sp macro="" textlink="">
      <xdr:nvSpPr>
        <xdr:cNvPr id="823" name="Shape 822">
          <a:extLst>
            <a:ext uri="{FF2B5EF4-FFF2-40B4-BE49-F238E27FC236}">
              <a16:creationId xmlns:a16="http://schemas.microsoft.com/office/drawing/2014/main" id="{00000000-0008-0000-0B00-00003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24</xdr:row>
      <xdr:rowOff>9525</xdr:rowOff>
    </xdr:from>
    <xdr:ext cx="323850" cy="180975"/>
    <xdr:sp macro="" textlink="">
      <xdr:nvSpPr>
        <xdr:cNvPr id="824" name="Shape 823">
          <a:extLst>
            <a:ext uri="{FF2B5EF4-FFF2-40B4-BE49-F238E27FC236}">
              <a16:creationId xmlns:a16="http://schemas.microsoft.com/office/drawing/2014/main" id="{00000000-0008-0000-0B00-00003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25</xdr:row>
      <xdr:rowOff>9525</xdr:rowOff>
    </xdr:from>
    <xdr:ext cx="323850" cy="180975"/>
    <xdr:sp macro="" textlink="">
      <xdr:nvSpPr>
        <xdr:cNvPr id="825" name="Shape 824">
          <a:extLst>
            <a:ext uri="{FF2B5EF4-FFF2-40B4-BE49-F238E27FC236}">
              <a16:creationId xmlns:a16="http://schemas.microsoft.com/office/drawing/2014/main" id="{00000000-0008-0000-0B00-00003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26</xdr:row>
      <xdr:rowOff>9525</xdr:rowOff>
    </xdr:from>
    <xdr:ext cx="323850" cy="180975"/>
    <xdr:sp macro="" textlink="">
      <xdr:nvSpPr>
        <xdr:cNvPr id="826" name="Shape 825">
          <a:extLst>
            <a:ext uri="{FF2B5EF4-FFF2-40B4-BE49-F238E27FC236}">
              <a16:creationId xmlns:a16="http://schemas.microsoft.com/office/drawing/2014/main" id="{00000000-0008-0000-0B00-00003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27</xdr:row>
      <xdr:rowOff>9525</xdr:rowOff>
    </xdr:from>
    <xdr:ext cx="323850" cy="180975"/>
    <xdr:sp macro="" textlink="">
      <xdr:nvSpPr>
        <xdr:cNvPr id="827" name="Shape 826">
          <a:extLst>
            <a:ext uri="{FF2B5EF4-FFF2-40B4-BE49-F238E27FC236}">
              <a16:creationId xmlns:a16="http://schemas.microsoft.com/office/drawing/2014/main" id="{00000000-0008-0000-0B00-00003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28</xdr:row>
      <xdr:rowOff>9525</xdr:rowOff>
    </xdr:from>
    <xdr:ext cx="323850" cy="180975"/>
    <xdr:sp macro="" textlink="">
      <xdr:nvSpPr>
        <xdr:cNvPr id="828" name="Shape 827">
          <a:extLst>
            <a:ext uri="{FF2B5EF4-FFF2-40B4-BE49-F238E27FC236}">
              <a16:creationId xmlns:a16="http://schemas.microsoft.com/office/drawing/2014/main" id="{00000000-0008-0000-0B00-00003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29</xdr:row>
      <xdr:rowOff>9525</xdr:rowOff>
    </xdr:from>
    <xdr:ext cx="323850" cy="180975"/>
    <xdr:sp macro="" textlink="">
      <xdr:nvSpPr>
        <xdr:cNvPr id="829" name="Shape 828">
          <a:extLst>
            <a:ext uri="{FF2B5EF4-FFF2-40B4-BE49-F238E27FC236}">
              <a16:creationId xmlns:a16="http://schemas.microsoft.com/office/drawing/2014/main" id="{00000000-0008-0000-0B00-00003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30</xdr:row>
      <xdr:rowOff>9525</xdr:rowOff>
    </xdr:from>
    <xdr:ext cx="323850" cy="180975"/>
    <xdr:sp macro="" textlink="">
      <xdr:nvSpPr>
        <xdr:cNvPr id="830" name="Shape 829">
          <a:extLst>
            <a:ext uri="{FF2B5EF4-FFF2-40B4-BE49-F238E27FC236}">
              <a16:creationId xmlns:a16="http://schemas.microsoft.com/office/drawing/2014/main" id="{00000000-0008-0000-0B00-00003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31</xdr:row>
      <xdr:rowOff>9525</xdr:rowOff>
    </xdr:from>
    <xdr:ext cx="323850" cy="180975"/>
    <xdr:sp macro="" textlink="">
      <xdr:nvSpPr>
        <xdr:cNvPr id="831" name="Shape 830">
          <a:extLst>
            <a:ext uri="{FF2B5EF4-FFF2-40B4-BE49-F238E27FC236}">
              <a16:creationId xmlns:a16="http://schemas.microsoft.com/office/drawing/2014/main" id="{00000000-0008-0000-0B00-00003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32</xdr:row>
      <xdr:rowOff>9525</xdr:rowOff>
    </xdr:from>
    <xdr:ext cx="323850" cy="180975"/>
    <xdr:sp macro="" textlink="">
      <xdr:nvSpPr>
        <xdr:cNvPr id="832" name="Shape 831">
          <a:extLst>
            <a:ext uri="{FF2B5EF4-FFF2-40B4-BE49-F238E27FC236}">
              <a16:creationId xmlns:a16="http://schemas.microsoft.com/office/drawing/2014/main" id="{00000000-0008-0000-0B00-00004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33</xdr:row>
      <xdr:rowOff>9525</xdr:rowOff>
    </xdr:from>
    <xdr:ext cx="323850" cy="180975"/>
    <xdr:sp macro="" textlink="">
      <xdr:nvSpPr>
        <xdr:cNvPr id="833" name="Shape 832">
          <a:extLst>
            <a:ext uri="{FF2B5EF4-FFF2-40B4-BE49-F238E27FC236}">
              <a16:creationId xmlns:a16="http://schemas.microsoft.com/office/drawing/2014/main" id="{00000000-0008-0000-0B00-00004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34</xdr:row>
      <xdr:rowOff>9525</xdr:rowOff>
    </xdr:from>
    <xdr:ext cx="323850" cy="180975"/>
    <xdr:sp macro="" textlink="">
      <xdr:nvSpPr>
        <xdr:cNvPr id="834" name="Shape 833">
          <a:extLst>
            <a:ext uri="{FF2B5EF4-FFF2-40B4-BE49-F238E27FC236}">
              <a16:creationId xmlns:a16="http://schemas.microsoft.com/office/drawing/2014/main" id="{00000000-0008-0000-0B00-00004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35</xdr:row>
      <xdr:rowOff>9525</xdr:rowOff>
    </xdr:from>
    <xdr:ext cx="323850" cy="180975"/>
    <xdr:sp macro="" textlink="">
      <xdr:nvSpPr>
        <xdr:cNvPr id="835" name="Shape 834">
          <a:extLst>
            <a:ext uri="{FF2B5EF4-FFF2-40B4-BE49-F238E27FC236}">
              <a16:creationId xmlns:a16="http://schemas.microsoft.com/office/drawing/2014/main" id="{00000000-0008-0000-0B00-00004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36</xdr:row>
      <xdr:rowOff>9525</xdr:rowOff>
    </xdr:from>
    <xdr:ext cx="323850" cy="180975"/>
    <xdr:sp macro="" textlink="">
      <xdr:nvSpPr>
        <xdr:cNvPr id="836" name="Shape 835">
          <a:extLst>
            <a:ext uri="{FF2B5EF4-FFF2-40B4-BE49-F238E27FC236}">
              <a16:creationId xmlns:a16="http://schemas.microsoft.com/office/drawing/2014/main" id="{00000000-0008-0000-0B00-00004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37</xdr:row>
      <xdr:rowOff>9525</xdr:rowOff>
    </xdr:from>
    <xdr:ext cx="323850" cy="180975"/>
    <xdr:sp macro="" textlink="">
      <xdr:nvSpPr>
        <xdr:cNvPr id="837" name="Shape 836">
          <a:extLst>
            <a:ext uri="{FF2B5EF4-FFF2-40B4-BE49-F238E27FC236}">
              <a16:creationId xmlns:a16="http://schemas.microsoft.com/office/drawing/2014/main" id="{00000000-0008-0000-0B00-00004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38</xdr:row>
      <xdr:rowOff>9525</xdr:rowOff>
    </xdr:from>
    <xdr:ext cx="323850" cy="180975"/>
    <xdr:sp macro="" textlink="">
      <xdr:nvSpPr>
        <xdr:cNvPr id="838" name="Shape 837">
          <a:extLst>
            <a:ext uri="{FF2B5EF4-FFF2-40B4-BE49-F238E27FC236}">
              <a16:creationId xmlns:a16="http://schemas.microsoft.com/office/drawing/2014/main" id="{00000000-0008-0000-0B00-00004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39</xdr:row>
      <xdr:rowOff>9525</xdr:rowOff>
    </xdr:from>
    <xdr:ext cx="323850" cy="180975"/>
    <xdr:sp macro="" textlink="">
      <xdr:nvSpPr>
        <xdr:cNvPr id="839" name="Shape 838">
          <a:extLst>
            <a:ext uri="{FF2B5EF4-FFF2-40B4-BE49-F238E27FC236}">
              <a16:creationId xmlns:a16="http://schemas.microsoft.com/office/drawing/2014/main" id="{00000000-0008-0000-0B00-00004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91</xdr:col>
      <xdr:colOff>0</xdr:colOff>
      <xdr:row>40</xdr:row>
      <xdr:rowOff>9525</xdr:rowOff>
    </xdr:from>
    <xdr:ext cx="323850" cy="180975"/>
    <xdr:sp macro="" textlink="">
      <xdr:nvSpPr>
        <xdr:cNvPr id="840" name="Shape 839">
          <a:extLst>
            <a:ext uri="{FF2B5EF4-FFF2-40B4-BE49-F238E27FC236}">
              <a16:creationId xmlns:a16="http://schemas.microsoft.com/office/drawing/2014/main" id="{00000000-0008-0000-0B00-00004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92</xdr:col>
      <xdr:colOff>0</xdr:colOff>
      <xdr:row>41</xdr:row>
      <xdr:rowOff>9525</xdr:rowOff>
    </xdr:from>
    <xdr:ext cx="323850" cy="180975"/>
    <xdr:sp macro="" textlink="">
      <xdr:nvSpPr>
        <xdr:cNvPr id="841" name="Shape 840">
          <a:extLst>
            <a:ext uri="{FF2B5EF4-FFF2-40B4-BE49-F238E27FC236}">
              <a16:creationId xmlns:a16="http://schemas.microsoft.com/office/drawing/2014/main" id="{00000000-0008-0000-0B00-00004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</xdr:row>
      <xdr:rowOff>9525</xdr:rowOff>
    </xdr:from>
    <xdr:ext cx="323850" cy="180975"/>
    <xdr:sp macro="" textlink="">
      <xdr:nvSpPr>
        <xdr:cNvPr id="842" name="Shape 841">
          <a:extLst>
            <a:ext uri="{FF2B5EF4-FFF2-40B4-BE49-F238E27FC236}">
              <a16:creationId xmlns:a16="http://schemas.microsoft.com/office/drawing/2014/main" id="{00000000-0008-0000-0B00-00004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</xdr:row>
      <xdr:rowOff>9525</xdr:rowOff>
    </xdr:from>
    <xdr:ext cx="323850" cy="180975"/>
    <xdr:sp macro="" textlink="">
      <xdr:nvSpPr>
        <xdr:cNvPr id="843" name="Shape 842">
          <a:extLst>
            <a:ext uri="{FF2B5EF4-FFF2-40B4-BE49-F238E27FC236}">
              <a16:creationId xmlns:a16="http://schemas.microsoft.com/office/drawing/2014/main" id="{00000000-0008-0000-0B00-00004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4</xdr:row>
      <xdr:rowOff>9525</xdr:rowOff>
    </xdr:from>
    <xdr:ext cx="323850" cy="180975"/>
    <xdr:sp macro="" textlink="">
      <xdr:nvSpPr>
        <xdr:cNvPr id="844" name="Shape 843">
          <a:extLst>
            <a:ext uri="{FF2B5EF4-FFF2-40B4-BE49-F238E27FC236}">
              <a16:creationId xmlns:a16="http://schemas.microsoft.com/office/drawing/2014/main" id="{00000000-0008-0000-0B00-00004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5</xdr:row>
      <xdr:rowOff>9525</xdr:rowOff>
    </xdr:from>
    <xdr:ext cx="323850" cy="180975"/>
    <xdr:sp macro="" textlink="">
      <xdr:nvSpPr>
        <xdr:cNvPr id="845" name="Shape 844">
          <a:extLst>
            <a:ext uri="{FF2B5EF4-FFF2-40B4-BE49-F238E27FC236}">
              <a16:creationId xmlns:a16="http://schemas.microsoft.com/office/drawing/2014/main" id="{00000000-0008-0000-0B00-00004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6</xdr:row>
      <xdr:rowOff>9525</xdr:rowOff>
    </xdr:from>
    <xdr:ext cx="323850" cy="180975"/>
    <xdr:sp macro="" textlink="">
      <xdr:nvSpPr>
        <xdr:cNvPr id="846" name="Shape 845">
          <a:extLst>
            <a:ext uri="{FF2B5EF4-FFF2-40B4-BE49-F238E27FC236}">
              <a16:creationId xmlns:a16="http://schemas.microsoft.com/office/drawing/2014/main" id="{00000000-0008-0000-0B00-00004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7</xdr:row>
      <xdr:rowOff>9525</xdr:rowOff>
    </xdr:from>
    <xdr:ext cx="323850" cy="180975"/>
    <xdr:sp macro="" textlink="">
      <xdr:nvSpPr>
        <xdr:cNvPr id="847" name="Shape 846">
          <a:extLst>
            <a:ext uri="{FF2B5EF4-FFF2-40B4-BE49-F238E27FC236}">
              <a16:creationId xmlns:a16="http://schemas.microsoft.com/office/drawing/2014/main" id="{00000000-0008-0000-0B00-00004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8</xdr:row>
      <xdr:rowOff>9525</xdr:rowOff>
    </xdr:from>
    <xdr:ext cx="323850" cy="180975"/>
    <xdr:sp macro="" textlink="">
      <xdr:nvSpPr>
        <xdr:cNvPr id="848" name="Shape 847">
          <a:extLst>
            <a:ext uri="{FF2B5EF4-FFF2-40B4-BE49-F238E27FC236}">
              <a16:creationId xmlns:a16="http://schemas.microsoft.com/office/drawing/2014/main" id="{00000000-0008-0000-0B00-00005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9</xdr:row>
      <xdr:rowOff>9525</xdr:rowOff>
    </xdr:from>
    <xdr:ext cx="323850" cy="180975"/>
    <xdr:sp macro="" textlink="">
      <xdr:nvSpPr>
        <xdr:cNvPr id="849" name="Shape 848">
          <a:extLst>
            <a:ext uri="{FF2B5EF4-FFF2-40B4-BE49-F238E27FC236}">
              <a16:creationId xmlns:a16="http://schemas.microsoft.com/office/drawing/2014/main" id="{00000000-0008-0000-0B00-00005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10</xdr:row>
      <xdr:rowOff>9525</xdr:rowOff>
    </xdr:from>
    <xdr:ext cx="323850" cy="180975"/>
    <xdr:sp macro="" textlink="">
      <xdr:nvSpPr>
        <xdr:cNvPr id="850" name="Shape 849">
          <a:extLst>
            <a:ext uri="{FF2B5EF4-FFF2-40B4-BE49-F238E27FC236}">
              <a16:creationId xmlns:a16="http://schemas.microsoft.com/office/drawing/2014/main" id="{00000000-0008-0000-0B00-00005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11</xdr:row>
      <xdr:rowOff>9525</xdr:rowOff>
    </xdr:from>
    <xdr:ext cx="323850" cy="180975"/>
    <xdr:sp macro="" textlink="">
      <xdr:nvSpPr>
        <xdr:cNvPr id="851" name="Shape 850">
          <a:extLst>
            <a:ext uri="{FF2B5EF4-FFF2-40B4-BE49-F238E27FC236}">
              <a16:creationId xmlns:a16="http://schemas.microsoft.com/office/drawing/2014/main" id="{00000000-0008-0000-0B00-00005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12</xdr:row>
      <xdr:rowOff>9525</xdr:rowOff>
    </xdr:from>
    <xdr:ext cx="323850" cy="180975"/>
    <xdr:sp macro="" textlink="">
      <xdr:nvSpPr>
        <xdr:cNvPr id="852" name="Shape 851">
          <a:extLst>
            <a:ext uri="{FF2B5EF4-FFF2-40B4-BE49-F238E27FC236}">
              <a16:creationId xmlns:a16="http://schemas.microsoft.com/office/drawing/2014/main" id="{00000000-0008-0000-0B00-00005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13</xdr:row>
      <xdr:rowOff>9525</xdr:rowOff>
    </xdr:from>
    <xdr:ext cx="323850" cy="180975"/>
    <xdr:sp macro="" textlink="">
      <xdr:nvSpPr>
        <xdr:cNvPr id="853" name="Shape 852">
          <a:extLst>
            <a:ext uri="{FF2B5EF4-FFF2-40B4-BE49-F238E27FC236}">
              <a16:creationId xmlns:a16="http://schemas.microsoft.com/office/drawing/2014/main" id="{00000000-0008-0000-0B00-00005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14</xdr:row>
      <xdr:rowOff>9525</xdr:rowOff>
    </xdr:from>
    <xdr:ext cx="323850" cy="180975"/>
    <xdr:sp macro="" textlink="">
      <xdr:nvSpPr>
        <xdr:cNvPr id="854" name="Shape 853">
          <a:extLst>
            <a:ext uri="{FF2B5EF4-FFF2-40B4-BE49-F238E27FC236}">
              <a16:creationId xmlns:a16="http://schemas.microsoft.com/office/drawing/2014/main" id="{00000000-0008-0000-0B00-00005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15</xdr:row>
      <xdr:rowOff>9525</xdr:rowOff>
    </xdr:from>
    <xdr:ext cx="323850" cy="180975"/>
    <xdr:sp macro="" textlink="">
      <xdr:nvSpPr>
        <xdr:cNvPr id="855" name="Shape 854">
          <a:extLst>
            <a:ext uri="{FF2B5EF4-FFF2-40B4-BE49-F238E27FC236}">
              <a16:creationId xmlns:a16="http://schemas.microsoft.com/office/drawing/2014/main" id="{00000000-0008-0000-0B00-00005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16</xdr:row>
      <xdr:rowOff>9525</xdr:rowOff>
    </xdr:from>
    <xdr:ext cx="323850" cy="180975"/>
    <xdr:sp macro="" textlink="">
      <xdr:nvSpPr>
        <xdr:cNvPr id="856" name="Shape 855">
          <a:extLst>
            <a:ext uri="{FF2B5EF4-FFF2-40B4-BE49-F238E27FC236}">
              <a16:creationId xmlns:a16="http://schemas.microsoft.com/office/drawing/2014/main" id="{00000000-0008-0000-0B00-00005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17</xdr:row>
      <xdr:rowOff>9525</xdr:rowOff>
    </xdr:from>
    <xdr:ext cx="323850" cy="180975"/>
    <xdr:sp macro="" textlink="">
      <xdr:nvSpPr>
        <xdr:cNvPr id="857" name="Shape 856">
          <a:extLst>
            <a:ext uri="{FF2B5EF4-FFF2-40B4-BE49-F238E27FC236}">
              <a16:creationId xmlns:a16="http://schemas.microsoft.com/office/drawing/2014/main" id="{00000000-0008-0000-0B00-00005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18</xdr:row>
      <xdr:rowOff>9525</xdr:rowOff>
    </xdr:from>
    <xdr:ext cx="323850" cy="180975"/>
    <xdr:sp macro="" textlink="">
      <xdr:nvSpPr>
        <xdr:cNvPr id="858" name="Shape 857">
          <a:extLst>
            <a:ext uri="{FF2B5EF4-FFF2-40B4-BE49-F238E27FC236}">
              <a16:creationId xmlns:a16="http://schemas.microsoft.com/office/drawing/2014/main" id="{00000000-0008-0000-0B00-00005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19</xdr:row>
      <xdr:rowOff>9525</xdr:rowOff>
    </xdr:from>
    <xdr:ext cx="323850" cy="180975"/>
    <xdr:sp macro="" textlink="">
      <xdr:nvSpPr>
        <xdr:cNvPr id="859" name="Shape 858">
          <a:extLst>
            <a:ext uri="{FF2B5EF4-FFF2-40B4-BE49-F238E27FC236}">
              <a16:creationId xmlns:a16="http://schemas.microsoft.com/office/drawing/2014/main" id="{00000000-0008-0000-0B00-00005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20</xdr:row>
      <xdr:rowOff>9525</xdr:rowOff>
    </xdr:from>
    <xdr:ext cx="323850" cy="180975"/>
    <xdr:sp macro="" textlink="">
      <xdr:nvSpPr>
        <xdr:cNvPr id="860" name="Shape 859">
          <a:extLst>
            <a:ext uri="{FF2B5EF4-FFF2-40B4-BE49-F238E27FC236}">
              <a16:creationId xmlns:a16="http://schemas.microsoft.com/office/drawing/2014/main" id="{00000000-0008-0000-0B00-00005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21</xdr:row>
      <xdr:rowOff>9525</xdr:rowOff>
    </xdr:from>
    <xdr:ext cx="323850" cy="180975"/>
    <xdr:sp macro="" textlink="">
      <xdr:nvSpPr>
        <xdr:cNvPr id="861" name="Shape 860">
          <a:extLst>
            <a:ext uri="{FF2B5EF4-FFF2-40B4-BE49-F238E27FC236}">
              <a16:creationId xmlns:a16="http://schemas.microsoft.com/office/drawing/2014/main" id="{00000000-0008-0000-0B00-00005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22</xdr:row>
      <xdr:rowOff>9525</xdr:rowOff>
    </xdr:from>
    <xdr:ext cx="323850" cy="180975"/>
    <xdr:sp macro="" textlink="">
      <xdr:nvSpPr>
        <xdr:cNvPr id="862" name="Shape 861">
          <a:extLst>
            <a:ext uri="{FF2B5EF4-FFF2-40B4-BE49-F238E27FC236}">
              <a16:creationId xmlns:a16="http://schemas.microsoft.com/office/drawing/2014/main" id="{00000000-0008-0000-0B00-00005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23</xdr:row>
      <xdr:rowOff>9525</xdr:rowOff>
    </xdr:from>
    <xdr:ext cx="323850" cy="180975"/>
    <xdr:sp macro="" textlink="">
      <xdr:nvSpPr>
        <xdr:cNvPr id="863" name="Shape 862">
          <a:extLst>
            <a:ext uri="{FF2B5EF4-FFF2-40B4-BE49-F238E27FC236}">
              <a16:creationId xmlns:a16="http://schemas.microsoft.com/office/drawing/2014/main" id="{00000000-0008-0000-0B00-00005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24</xdr:row>
      <xdr:rowOff>9525</xdr:rowOff>
    </xdr:from>
    <xdr:ext cx="323850" cy="180975"/>
    <xdr:sp macro="" textlink="">
      <xdr:nvSpPr>
        <xdr:cNvPr id="864" name="Shape 863">
          <a:extLst>
            <a:ext uri="{FF2B5EF4-FFF2-40B4-BE49-F238E27FC236}">
              <a16:creationId xmlns:a16="http://schemas.microsoft.com/office/drawing/2014/main" id="{00000000-0008-0000-0B00-00006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25</xdr:row>
      <xdr:rowOff>9525</xdr:rowOff>
    </xdr:from>
    <xdr:ext cx="323850" cy="180975"/>
    <xdr:sp macro="" textlink="">
      <xdr:nvSpPr>
        <xdr:cNvPr id="865" name="Shape 864">
          <a:extLst>
            <a:ext uri="{FF2B5EF4-FFF2-40B4-BE49-F238E27FC236}">
              <a16:creationId xmlns:a16="http://schemas.microsoft.com/office/drawing/2014/main" id="{00000000-0008-0000-0B00-00006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26</xdr:row>
      <xdr:rowOff>9525</xdr:rowOff>
    </xdr:from>
    <xdr:ext cx="323850" cy="180975"/>
    <xdr:sp macro="" textlink="">
      <xdr:nvSpPr>
        <xdr:cNvPr id="866" name="Shape 865">
          <a:extLst>
            <a:ext uri="{FF2B5EF4-FFF2-40B4-BE49-F238E27FC236}">
              <a16:creationId xmlns:a16="http://schemas.microsoft.com/office/drawing/2014/main" id="{00000000-0008-0000-0B00-00006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27</xdr:row>
      <xdr:rowOff>9525</xdr:rowOff>
    </xdr:from>
    <xdr:ext cx="323850" cy="180975"/>
    <xdr:sp macro="" textlink="">
      <xdr:nvSpPr>
        <xdr:cNvPr id="867" name="Shape 866">
          <a:extLst>
            <a:ext uri="{FF2B5EF4-FFF2-40B4-BE49-F238E27FC236}">
              <a16:creationId xmlns:a16="http://schemas.microsoft.com/office/drawing/2014/main" id="{00000000-0008-0000-0B00-00006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28</xdr:row>
      <xdr:rowOff>9525</xdr:rowOff>
    </xdr:from>
    <xdr:ext cx="323850" cy="180975"/>
    <xdr:sp macro="" textlink="">
      <xdr:nvSpPr>
        <xdr:cNvPr id="868" name="Shape 867">
          <a:extLst>
            <a:ext uri="{FF2B5EF4-FFF2-40B4-BE49-F238E27FC236}">
              <a16:creationId xmlns:a16="http://schemas.microsoft.com/office/drawing/2014/main" id="{00000000-0008-0000-0B00-00006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29</xdr:row>
      <xdr:rowOff>9525</xdr:rowOff>
    </xdr:from>
    <xdr:ext cx="323850" cy="180975"/>
    <xdr:sp macro="" textlink="">
      <xdr:nvSpPr>
        <xdr:cNvPr id="869" name="Shape 868">
          <a:extLst>
            <a:ext uri="{FF2B5EF4-FFF2-40B4-BE49-F238E27FC236}">
              <a16:creationId xmlns:a16="http://schemas.microsoft.com/office/drawing/2014/main" id="{00000000-0008-0000-0B00-00006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30</xdr:row>
      <xdr:rowOff>9525</xdr:rowOff>
    </xdr:from>
    <xdr:ext cx="323850" cy="180975"/>
    <xdr:sp macro="" textlink="">
      <xdr:nvSpPr>
        <xdr:cNvPr id="870" name="Shape 869">
          <a:extLst>
            <a:ext uri="{FF2B5EF4-FFF2-40B4-BE49-F238E27FC236}">
              <a16:creationId xmlns:a16="http://schemas.microsoft.com/office/drawing/2014/main" id="{00000000-0008-0000-0B00-00006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31</xdr:row>
      <xdr:rowOff>9525</xdr:rowOff>
    </xdr:from>
    <xdr:ext cx="323850" cy="180975"/>
    <xdr:sp macro="" textlink="">
      <xdr:nvSpPr>
        <xdr:cNvPr id="871" name="Shape 870">
          <a:extLst>
            <a:ext uri="{FF2B5EF4-FFF2-40B4-BE49-F238E27FC236}">
              <a16:creationId xmlns:a16="http://schemas.microsoft.com/office/drawing/2014/main" id="{00000000-0008-0000-0B00-00006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32</xdr:row>
      <xdr:rowOff>9525</xdr:rowOff>
    </xdr:from>
    <xdr:ext cx="323850" cy="180975"/>
    <xdr:sp macro="" textlink="">
      <xdr:nvSpPr>
        <xdr:cNvPr id="872" name="Shape 871">
          <a:extLst>
            <a:ext uri="{FF2B5EF4-FFF2-40B4-BE49-F238E27FC236}">
              <a16:creationId xmlns:a16="http://schemas.microsoft.com/office/drawing/2014/main" id="{00000000-0008-0000-0B00-00006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33</xdr:row>
      <xdr:rowOff>9525</xdr:rowOff>
    </xdr:from>
    <xdr:ext cx="323850" cy="180975"/>
    <xdr:sp macro="" textlink="">
      <xdr:nvSpPr>
        <xdr:cNvPr id="873" name="Shape 872">
          <a:extLst>
            <a:ext uri="{FF2B5EF4-FFF2-40B4-BE49-F238E27FC236}">
              <a16:creationId xmlns:a16="http://schemas.microsoft.com/office/drawing/2014/main" id="{00000000-0008-0000-0B00-00006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34</xdr:row>
      <xdr:rowOff>9525</xdr:rowOff>
    </xdr:from>
    <xdr:ext cx="323850" cy="180975"/>
    <xdr:sp macro="" textlink="">
      <xdr:nvSpPr>
        <xdr:cNvPr id="874" name="Shape 873">
          <a:extLst>
            <a:ext uri="{FF2B5EF4-FFF2-40B4-BE49-F238E27FC236}">
              <a16:creationId xmlns:a16="http://schemas.microsoft.com/office/drawing/2014/main" id="{00000000-0008-0000-0B00-00006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35</xdr:row>
      <xdr:rowOff>9525</xdr:rowOff>
    </xdr:from>
    <xdr:ext cx="323850" cy="180975"/>
    <xdr:sp macro="" textlink="">
      <xdr:nvSpPr>
        <xdr:cNvPr id="875" name="Shape 874">
          <a:extLst>
            <a:ext uri="{FF2B5EF4-FFF2-40B4-BE49-F238E27FC236}">
              <a16:creationId xmlns:a16="http://schemas.microsoft.com/office/drawing/2014/main" id="{00000000-0008-0000-0B00-00006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36</xdr:row>
      <xdr:rowOff>9525</xdr:rowOff>
    </xdr:from>
    <xdr:ext cx="323850" cy="180975"/>
    <xdr:sp macro="" textlink="">
      <xdr:nvSpPr>
        <xdr:cNvPr id="876" name="Shape 875">
          <a:extLst>
            <a:ext uri="{FF2B5EF4-FFF2-40B4-BE49-F238E27FC236}">
              <a16:creationId xmlns:a16="http://schemas.microsoft.com/office/drawing/2014/main" id="{00000000-0008-0000-0B00-00006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37</xdr:row>
      <xdr:rowOff>9525</xdr:rowOff>
    </xdr:from>
    <xdr:ext cx="323850" cy="180975"/>
    <xdr:sp macro="" textlink="">
      <xdr:nvSpPr>
        <xdr:cNvPr id="877" name="Shape 876">
          <a:extLst>
            <a:ext uri="{FF2B5EF4-FFF2-40B4-BE49-F238E27FC236}">
              <a16:creationId xmlns:a16="http://schemas.microsoft.com/office/drawing/2014/main" id="{00000000-0008-0000-0B00-00006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38</xdr:row>
      <xdr:rowOff>9525</xdr:rowOff>
    </xdr:from>
    <xdr:ext cx="323850" cy="180975"/>
    <xdr:sp macro="" textlink="">
      <xdr:nvSpPr>
        <xdr:cNvPr id="878" name="Shape 877">
          <a:extLst>
            <a:ext uri="{FF2B5EF4-FFF2-40B4-BE49-F238E27FC236}">
              <a16:creationId xmlns:a16="http://schemas.microsoft.com/office/drawing/2014/main" id="{00000000-0008-0000-0B00-00006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39</xdr:row>
      <xdr:rowOff>9525</xdr:rowOff>
    </xdr:from>
    <xdr:ext cx="323850" cy="180975"/>
    <xdr:sp macro="" textlink="">
      <xdr:nvSpPr>
        <xdr:cNvPr id="879" name="Shape 878">
          <a:extLst>
            <a:ext uri="{FF2B5EF4-FFF2-40B4-BE49-F238E27FC236}">
              <a16:creationId xmlns:a16="http://schemas.microsoft.com/office/drawing/2014/main" id="{00000000-0008-0000-0B00-00006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96</xdr:col>
      <xdr:colOff>0</xdr:colOff>
      <xdr:row>40</xdr:row>
      <xdr:rowOff>9525</xdr:rowOff>
    </xdr:from>
    <xdr:ext cx="323850" cy="180975"/>
    <xdr:sp macro="" textlink="">
      <xdr:nvSpPr>
        <xdr:cNvPr id="880" name="Shape 879">
          <a:extLst>
            <a:ext uri="{FF2B5EF4-FFF2-40B4-BE49-F238E27FC236}">
              <a16:creationId xmlns:a16="http://schemas.microsoft.com/office/drawing/2014/main" id="{00000000-0008-0000-0B00-00007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95</xdr:col>
      <xdr:colOff>0</xdr:colOff>
      <xdr:row>41</xdr:row>
      <xdr:rowOff>9525</xdr:rowOff>
    </xdr:from>
    <xdr:ext cx="323850" cy="180975"/>
    <xdr:sp macro="" textlink="">
      <xdr:nvSpPr>
        <xdr:cNvPr id="881" name="Shape 880">
          <a:extLst>
            <a:ext uri="{FF2B5EF4-FFF2-40B4-BE49-F238E27FC236}">
              <a16:creationId xmlns:a16="http://schemas.microsoft.com/office/drawing/2014/main" id="{00000000-0008-0000-0B00-00007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</xdr:row>
      <xdr:rowOff>9525</xdr:rowOff>
    </xdr:from>
    <xdr:ext cx="323850" cy="180975"/>
    <xdr:sp macro="" textlink="">
      <xdr:nvSpPr>
        <xdr:cNvPr id="882" name="Shape 881">
          <a:extLst>
            <a:ext uri="{FF2B5EF4-FFF2-40B4-BE49-F238E27FC236}">
              <a16:creationId xmlns:a16="http://schemas.microsoft.com/office/drawing/2014/main" id="{00000000-0008-0000-0B00-00007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</xdr:row>
      <xdr:rowOff>9525</xdr:rowOff>
    </xdr:from>
    <xdr:ext cx="323850" cy="180975"/>
    <xdr:sp macro="" textlink="">
      <xdr:nvSpPr>
        <xdr:cNvPr id="883" name="Shape 882">
          <a:extLst>
            <a:ext uri="{FF2B5EF4-FFF2-40B4-BE49-F238E27FC236}">
              <a16:creationId xmlns:a16="http://schemas.microsoft.com/office/drawing/2014/main" id="{00000000-0008-0000-0B00-00007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4</xdr:row>
      <xdr:rowOff>9525</xdr:rowOff>
    </xdr:from>
    <xdr:ext cx="323850" cy="180975"/>
    <xdr:sp macro="" textlink="">
      <xdr:nvSpPr>
        <xdr:cNvPr id="884" name="Shape 883">
          <a:extLst>
            <a:ext uri="{FF2B5EF4-FFF2-40B4-BE49-F238E27FC236}">
              <a16:creationId xmlns:a16="http://schemas.microsoft.com/office/drawing/2014/main" id="{00000000-0008-0000-0B00-00007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5</xdr:row>
      <xdr:rowOff>9525</xdr:rowOff>
    </xdr:from>
    <xdr:ext cx="323850" cy="180975"/>
    <xdr:sp macro="" textlink="">
      <xdr:nvSpPr>
        <xdr:cNvPr id="885" name="Shape 884">
          <a:extLst>
            <a:ext uri="{FF2B5EF4-FFF2-40B4-BE49-F238E27FC236}">
              <a16:creationId xmlns:a16="http://schemas.microsoft.com/office/drawing/2014/main" id="{00000000-0008-0000-0B00-00007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6</xdr:row>
      <xdr:rowOff>9525</xdr:rowOff>
    </xdr:from>
    <xdr:ext cx="323850" cy="180975"/>
    <xdr:sp macro="" textlink="">
      <xdr:nvSpPr>
        <xdr:cNvPr id="886" name="Shape 885">
          <a:extLst>
            <a:ext uri="{FF2B5EF4-FFF2-40B4-BE49-F238E27FC236}">
              <a16:creationId xmlns:a16="http://schemas.microsoft.com/office/drawing/2014/main" id="{00000000-0008-0000-0B00-00007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7</xdr:row>
      <xdr:rowOff>9525</xdr:rowOff>
    </xdr:from>
    <xdr:ext cx="323850" cy="180975"/>
    <xdr:sp macro="" textlink="">
      <xdr:nvSpPr>
        <xdr:cNvPr id="887" name="Shape 886">
          <a:extLst>
            <a:ext uri="{FF2B5EF4-FFF2-40B4-BE49-F238E27FC236}">
              <a16:creationId xmlns:a16="http://schemas.microsoft.com/office/drawing/2014/main" id="{00000000-0008-0000-0B00-00007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8</xdr:row>
      <xdr:rowOff>9525</xdr:rowOff>
    </xdr:from>
    <xdr:ext cx="323850" cy="180975"/>
    <xdr:sp macro="" textlink="">
      <xdr:nvSpPr>
        <xdr:cNvPr id="888" name="Shape 887">
          <a:extLst>
            <a:ext uri="{FF2B5EF4-FFF2-40B4-BE49-F238E27FC236}">
              <a16:creationId xmlns:a16="http://schemas.microsoft.com/office/drawing/2014/main" id="{00000000-0008-0000-0B00-00007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9</xdr:row>
      <xdr:rowOff>9525</xdr:rowOff>
    </xdr:from>
    <xdr:ext cx="323850" cy="180975"/>
    <xdr:sp macro="" textlink="">
      <xdr:nvSpPr>
        <xdr:cNvPr id="889" name="Shape 888">
          <a:extLst>
            <a:ext uri="{FF2B5EF4-FFF2-40B4-BE49-F238E27FC236}">
              <a16:creationId xmlns:a16="http://schemas.microsoft.com/office/drawing/2014/main" id="{00000000-0008-0000-0B00-00007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10</xdr:row>
      <xdr:rowOff>9525</xdr:rowOff>
    </xdr:from>
    <xdr:ext cx="323850" cy="180975"/>
    <xdr:sp macro="" textlink="">
      <xdr:nvSpPr>
        <xdr:cNvPr id="890" name="Shape 889">
          <a:extLst>
            <a:ext uri="{FF2B5EF4-FFF2-40B4-BE49-F238E27FC236}">
              <a16:creationId xmlns:a16="http://schemas.microsoft.com/office/drawing/2014/main" id="{00000000-0008-0000-0B00-00007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11</xdr:row>
      <xdr:rowOff>9525</xdr:rowOff>
    </xdr:from>
    <xdr:ext cx="323850" cy="180975"/>
    <xdr:sp macro="" textlink="">
      <xdr:nvSpPr>
        <xdr:cNvPr id="891" name="Shape 890">
          <a:extLst>
            <a:ext uri="{FF2B5EF4-FFF2-40B4-BE49-F238E27FC236}">
              <a16:creationId xmlns:a16="http://schemas.microsoft.com/office/drawing/2014/main" id="{00000000-0008-0000-0B00-00007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12</xdr:row>
      <xdr:rowOff>9525</xdr:rowOff>
    </xdr:from>
    <xdr:ext cx="323850" cy="180975"/>
    <xdr:sp macro="" textlink="">
      <xdr:nvSpPr>
        <xdr:cNvPr id="892" name="Shape 891">
          <a:extLst>
            <a:ext uri="{FF2B5EF4-FFF2-40B4-BE49-F238E27FC236}">
              <a16:creationId xmlns:a16="http://schemas.microsoft.com/office/drawing/2014/main" id="{00000000-0008-0000-0B00-00007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13</xdr:row>
      <xdr:rowOff>9525</xdr:rowOff>
    </xdr:from>
    <xdr:ext cx="323850" cy="180975"/>
    <xdr:sp macro="" textlink="">
      <xdr:nvSpPr>
        <xdr:cNvPr id="893" name="Shape 892">
          <a:extLst>
            <a:ext uri="{FF2B5EF4-FFF2-40B4-BE49-F238E27FC236}">
              <a16:creationId xmlns:a16="http://schemas.microsoft.com/office/drawing/2014/main" id="{00000000-0008-0000-0B00-00007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14</xdr:row>
      <xdr:rowOff>9525</xdr:rowOff>
    </xdr:from>
    <xdr:ext cx="323850" cy="180975"/>
    <xdr:sp macro="" textlink="">
      <xdr:nvSpPr>
        <xdr:cNvPr id="894" name="Shape 893">
          <a:extLst>
            <a:ext uri="{FF2B5EF4-FFF2-40B4-BE49-F238E27FC236}">
              <a16:creationId xmlns:a16="http://schemas.microsoft.com/office/drawing/2014/main" id="{00000000-0008-0000-0B00-00007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15</xdr:row>
      <xdr:rowOff>9525</xdr:rowOff>
    </xdr:from>
    <xdr:ext cx="323850" cy="180975"/>
    <xdr:sp macro="" textlink="">
      <xdr:nvSpPr>
        <xdr:cNvPr id="895" name="Shape 894">
          <a:extLst>
            <a:ext uri="{FF2B5EF4-FFF2-40B4-BE49-F238E27FC236}">
              <a16:creationId xmlns:a16="http://schemas.microsoft.com/office/drawing/2014/main" id="{00000000-0008-0000-0B00-00007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16</xdr:row>
      <xdr:rowOff>9525</xdr:rowOff>
    </xdr:from>
    <xdr:ext cx="323850" cy="180975"/>
    <xdr:sp macro="" textlink="">
      <xdr:nvSpPr>
        <xdr:cNvPr id="896" name="Shape 895">
          <a:extLst>
            <a:ext uri="{FF2B5EF4-FFF2-40B4-BE49-F238E27FC236}">
              <a16:creationId xmlns:a16="http://schemas.microsoft.com/office/drawing/2014/main" id="{00000000-0008-0000-0B00-00008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17</xdr:row>
      <xdr:rowOff>9525</xdr:rowOff>
    </xdr:from>
    <xdr:ext cx="323850" cy="180975"/>
    <xdr:sp macro="" textlink="">
      <xdr:nvSpPr>
        <xdr:cNvPr id="897" name="Shape 896">
          <a:extLst>
            <a:ext uri="{FF2B5EF4-FFF2-40B4-BE49-F238E27FC236}">
              <a16:creationId xmlns:a16="http://schemas.microsoft.com/office/drawing/2014/main" id="{00000000-0008-0000-0B00-00008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18</xdr:row>
      <xdr:rowOff>9525</xdr:rowOff>
    </xdr:from>
    <xdr:ext cx="323850" cy="180975"/>
    <xdr:sp macro="" textlink="">
      <xdr:nvSpPr>
        <xdr:cNvPr id="898" name="Shape 897">
          <a:extLst>
            <a:ext uri="{FF2B5EF4-FFF2-40B4-BE49-F238E27FC236}">
              <a16:creationId xmlns:a16="http://schemas.microsoft.com/office/drawing/2014/main" id="{00000000-0008-0000-0B00-00008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19</xdr:row>
      <xdr:rowOff>9525</xdr:rowOff>
    </xdr:from>
    <xdr:ext cx="323850" cy="180975"/>
    <xdr:sp macro="" textlink="">
      <xdr:nvSpPr>
        <xdr:cNvPr id="899" name="Shape 898">
          <a:extLst>
            <a:ext uri="{FF2B5EF4-FFF2-40B4-BE49-F238E27FC236}">
              <a16:creationId xmlns:a16="http://schemas.microsoft.com/office/drawing/2014/main" id="{00000000-0008-0000-0B00-00008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20</xdr:row>
      <xdr:rowOff>9525</xdr:rowOff>
    </xdr:from>
    <xdr:ext cx="323850" cy="180975"/>
    <xdr:sp macro="" textlink="">
      <xdr:nvSpPr>
        <xdr:cNvPr id="900" name="Shape 899">
          <a:extLst>
            <a:ext uri="{FF2B5EF4-FFF2-40B4-BE49-F238E27FC236}">
              <a16:creationId xmlns:a16="http://schemas.microsoft.com/office/drawing/2014/main" id="{00000000-0008-0000-0B00-00008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21</xdr:row>
      <xdr:rowOff>9525</xdr:rowOff>
    </xdr:from>
    <xdr:ext cx="323850" cy="180975"/>
    <xdr:sp macro="" textlink="">
      <xdr:nvSpPr>
        <xdr:cNvPr id="901" name="Shape 900">
          <a:extLst>
            <a:ext uri="{FF2B5EF4-FFF2-40B4-BE49-F238E27FC236}">
              <a16:creationId xmlns:a16="http://schemas.microsoft.com/office/drawing/2014/main" id="{00000000-0008-0000-0B00-00008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22</xdr:row>
      <xdr:rowOff>9525</xdr:rowOff>
    </xdr:from>
    <xdr:ext cx="323850" cy="180975"/>
    <xdr:sp macro="" textlink="">
      <xdr:nvSpPr>
        <xdr:cNvPr id="902" name="Shape 901">
          <a:extLst>
            <a:ext uri="{FF2B5EF4-FFF2-40B4-BE49-F238E27FC236}">
              <a16:creationId xmlns:a16="http://schemas.microsoft.com/office/drawing/2014/main" id="{00000000-0008-0000-0B00-00008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23</xdr:row>
      <xdr:rowOff>9525</xdr:rowOff>
    </xdr:from>
    <xdr:ext cx="323850" cy="180975"/>
    <xdr:sp macro="" textlink="">
      <xdr:nvSpPr>
        <xdr:cNvPr id="903" name="Shape 902">
          <a:extLst>
            <a:ext uri="{FF2B5EF4-FFF2-40B4-BE49-F238E27FC236}">
              <a16:creationId xmlns:a16="http://schemas.microsoft.com/office/drawing/2014/main" id="{00000000-0008-0000-0B00-00008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24</xdr:row>
      <xdr:rowOff>9525</xdr:rowOff>
    </xdr:from>
    <xdr:ext cx="323850" cy="180975"/>
    <xdr:sp macro="" textlink="">
      <xdr:nvSpPr>
        <xdr:cNvPr id="904" name="Shape 903">
          <a:extLst>
            <a:ext uri="{FF2B5EF4-FFF2-40B4-BE49-F238E27FC236}">
              <a16:creationId xmlns:a16="http://schemas.microsoft.com/office/drawing/2014/main" id="{00000000-0008-0000-0B00-00008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25</xdr:row>
      <xdr:rowOff>9525</xdr:rowOff>
    </xdr:from>
    <xdr:ext cx="323850" cy="180975"/>
    <xdr:sp macro="" textlink="">
      <xdr:nvSpPr>
        <xdr:cNvPr id="905" name="Shape 904">
          <a:extLst>
            <a:ext uri="{FF2B5EF4-FFF2-40B4-BE49-F238E27FC236}">
              <a16:creationId xmlns:a16="http://schemas.microsoft.com/office/drawing/2014/main" id="{00000000-0008-0000-0B00-00008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26</xdr:row>
      <xdr:rowOff>9525</xdr:rowOff>
    </xdr:from>
    <xdr:ext cx="323850" cy="180975"/>
    <xdr:sp macro="" textlink="">
      <xdr:nvSpPr>
        <xdr:cNvPr id="906" name="Shape 905">
          <a:extLst>
            <a:ext uri="{FF2B5EF4-FFF2-40B4-BE49-F238E27FC236}">
              <a16:creationId xmlns:a16="http://schemas.microsoft.com/office/drawing/2014/main" id="{00000000-0008-0000-0B00-00008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27</xdr:row>
      <xdr:rowOff>9525</xdr:rowOff>
    </xdr:from>
    <xdr:ext cx="323850" cy="180975"/>
    <xdr:sp macro="" textlink="">
      <xdr:nvSpPr>
        <xdr:cNvPr id="907" name="Shape 906">
          <a:extLst>
            <a:ext uri="{FF2B5EF4-FFF2-40B4-BE49-F238E27FC236}">
              <a16:creationId xmlns:a16="http://schemas.microsoft.com/office/drawing/2014/main" id="{00000000-0008-0000-0B00-00008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28</xdr:row>
      <xdr:rowOff>9525</xdr:rowOff>
    </xdr:from>
    <xdr:ext cx="323850" cy="180975"/>
    <xdr:sp macro="" textlink="">
      <xdr:nvSpPr>
        <xdr:cNvPr id="908" name="Shape 907">
          <a:extLst>
            <a:ext uri="{FF2B5EF4-FFF2-40B4-BE49-F238E27FC236}">
              <a16:creationId xmlns:a16="http://schemas.microsoft.com/office/drawing/2014/main" id="{00000000-0008-0000-0B00-00008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29</xdr:row>
      <xdr:rowOff>9525</xdr:rowOff>
    </xdr:from>
    <xdr:ext cx="323850" cy="180975"/>
    <xdr:sp macro="" textlink="">
      <xdr:nvSpPr>
        <xdr:cNvPr id="909" name="Shape 908">
          <a:extLst>
            <a:ext uri="{FF2B5EF4-FFF2-40B4-BE49-F238E27FC236}">
              <a16:creationId xmlns:a16="http://schemas.microsoft.com/office/drawing/2014/main" id="{00000000-0008-0000-0B00-00008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30</xdr:row>
      <xdr:rowOff>9525</xdr:rowOff>
    </xdr:from>
    <xdr:ext cx="323850" cy="180975"/>
    <xdr:sp macro="" textlink="">
      <xdr:nvSpPr>
        <xdr:cNvPr id="910" name="Shape 909">
          <a:extLst>
            <a:ext uri="{FF2B5EF4-FFF2-40B4-BE49-F238E27FC236}">
              <a16:creationId xmlns:a16="http://schemas.microsoft.com/office/drawing/2014/main" id="{00000000-0008-0000-0B00-00008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31</xdr:row>
      <xdr:rowOff>9525</xdr:rowOff>
    </xdr:from>
    <xdr:ext cx="323850" cy="180975"/>
    <xdr:sp macro="" textlink="">
      <xdr:nvSpPr>
        <xdr:cNvPr id="911" name="Shape 910">
          <a:extLst>
            <a:ext uri="{FF2B5EF4-FFF2-40B4-BE49-F238E27FC236}">
              <a16:creationId xmlns:a16="http://schemas.microsoft.com/office/drawing/2014/main" id="{00000000-0008-0000-0B00-00008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32</xdr:row>
      <xdr:rowOff>9525</xdr:rowOff>
    </xdr:from>
    <xdr:ext cx="323850" cy="180975"/>
    <xdr:sp macro="" textlink="">
      <xdr:nvSpPr>
        <xdr:cNvPr id="912" name="Shape 911">
          <a:extLst>
            <a:ext uri="{FF2B5EF4-FFF2-40B4-BE49-F238E27FC236}">
              <a16:creationId xmlns:a16="http://schemas.microsoft.com/office/drawing/2014/main" id="{00000000-0008-0000-0B00-00009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33</xdr:row>
      <xdr:rowOff>9525</xdr:rowOff>
    </xdr:from>
    <xdr:ext cx="323850" cy="180975"/>
    <xdr:sp macro="" textlink="">
      <xdr:nvSpPr>
        <xdr:cNvPr id="913" name="Shape 912">
          <a:extLst>
            <a:ext uri="{FF2B5EF4-FFF2-40B4-BE49-F238E27FC236}">
              <a16:creationId xmlns:a16="http://schemas.microsoft.com/office/drawing/2014/main" id="{00000000-0008-0000-0B00-00009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34</xdr:row>
      <xdr:rowOff>9525</xdr:rowOff>
    </xdr:from>
    <xdr:ext cx="323850" cy="180975"/>
    <xdr:sp macro="" textlink="">
      <xdr:nvSpPr>
        <xdr:cNvPr id="914" name="Shape 913">
          <a:extLst>
            <a:ext uri="{FF2B5EF4-FFF2-40B4-BE49-F238E27FC236}">
              <a16:creationId xmlns:a16="http://schemas.microsoft.com/office/drawing/2014/main" id="{00000000-0008-0000-0B00-00009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35</xdr:row>
      <xdr:rowOff>9525</xdr:rowOff>
    </xdr:from>
    <xdr:ext cx="323850" cy="180975"/>
    <xdr:sp macro="" textlink="">
      <xdr:nvSpPr>
        <xdr:cNvPr id="915" name="Shape 914">
          <a:extLst>
            <a:ext uri="{FF2B5EF4-FFF2-40B4-BE49-F238E27FC236}">
              <a16:creationId xmlns:a16="http://schemas.microsoft.com/office/drawing/2014/main" id="{00000000-0008-0000-0B00-00009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36</xdr:row>
      <xdr:rowOff>9525</xdr:rowOff>
    </xdr:from>
    <xdr:ext cx="323850" cy="180975"/>
    <xdr:sp macro="" textlink="">
      <xdr:nvSpPr>
        <xdr:cNvPr id="916" name="Shape 915">
          <a:extLst>
            <a:ext uri="{FF2B5EF4-FFF2-40B4-BE49-F238E27FC236}">
              <a16:creationId xmlns:a16="http://schemas.microsoft.com/office/drawing/2014/main" id="{00000000-0008-0000-0B00-00009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37</xdr:row>
      <xdr:rowOff>9525</xdr:rowOff>
    </xdr:from>
    <xdr:ext cx="323850" cy="180975"/>
    <xdr:sp macro="" textlink="">
      <xdr:nvSpPr>
        <xdr:cNvPr id="917" name="Shape 916">
          <a:extLst>
            <a:ext uri="{FF2B5EF4-FFF2-40B4-BE49-F238E27FC236}">
              <a16:creationId xmlns:a16="http://schemas.microsoft.com/office/drawing/2014/main" id="{00000000-0008-0000-0B00-00009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38</xdr:row>
      <xdr:rowOff>9525</xdr:rowOff>
    </xdr:from>
    <xdr:ext cx="323850" cy="180975"/>
    <xdr:sp macro="" textlink="">
      <xdr:nvSpPr>
        <xdr:cNvPr id="918" name="Shape 917">
          <a:extLst>
            <a:ext uri="{FF2B5EF4-FFF2-40B4-BE49-F238E27FC236}">
              <a16:creationId xmlns:a16="http://schemas.microsoft.com/office/drawing/2014/main" id="{00000000-0008-0000-0B00-00009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39</xdr:row>
      <xdr:rowOff>9525</xdr:rowOff>
    </xdr:from>
    <xdr:ext cx="323850" cy="180975"/>
    <xdr:sp macro="" textlink="">
      <xdr:nvSpPr>
        <xdr:cNvPr id="919" name="Shape 918">
          <a:extLst>
            <a:ext uri="{FF2B5EF4-FFF2-40B4-BE49-F238E27FC236}">
              <a16:creationId xmlns:a16="http://schemas.microsoft.com/office/drawing/2014/main" id="{00000000-0008-0000-0B00-00009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99</xdr:col>
      <xdr:colOff>0</xdr:colOff>
      <xdr:row>40</xdr:row>
      <xdr:rowOff>9525</xdr:rowOff>
    </xdr:from>
    <xdr:ext cx="323850" cy="180975"/>
    <xdr:sp macro="" textlink="">
      <xdr:nvSpPr>
        <xdr:cNvPr id="920" name="Shape 919">
          <a:extLst>
            <a:ext uri="{FF2B5EF4-FFF2-40B4-BE49-F238E27FC236}">
              <a16:creationId xmlns:a16="http://schemas.microsoft.com/office/drawing/2014/main" id="{00000000-0008-0000-0B00-00009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100</xdr:col>
      <xdr:colOff>0</xdr:colOff>
      <xdr:row>41</xdr:row>
      <xdr:rowOff>9525</xdr:rowOff>
    </xdr:from>
    <xdr:ext cx="323850" cy="180975"/>
    <xdr:sp macro="" textlink="">
      <xdr:nvSpPr>
        <xdr:cNvPr id="921" name="Shape 920">
          <a:extLst>
            <a:ext uri="{FF2B5EF4-FFF2-40B4-BE49-F238E27FC236}">
              <a16:creationId xmlns:a16="http://schemas.microsoft.com/office/drawing/2014/main" id="{00000000-0008-0000-0B00-00009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</xdr:row>
      <xdr:rowOff>9525</xdr:rowOff>
    </xdr:from>
    <xdr:ext cx="323850" cy="180975"/>
    <xdr:sp macro="" textlink="">
      <xdr:nvSpPr>
        <xdr:cNvPr id="922" name="Shape 921">
          <a:extLst>
            <a:ext uri="{FF2B5EF4-FFF2-40B4-BE49-F238E27FC236}">
              <a16:creationId xmlns:a16="http://schemas.microsoft.com/office/drawing/2014/main" id="{00000000-0008-0000-0B00-00009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</xdr:row>
      <xdr:rowOff>9525</xdr:rowOff>
    </xdr:from>
    <xdr:ext cx="323850" cy="180975"/>
    <xdr:sp macro="" textlink="">
      <xdr:nvSpPr>
        <xdr:cNvPr id="923" name="Shape 922">
          <a:extLst>
            <a:ext uri="{FF2B5EF4-FFF2-40B4-BE49-F238E27FC236}">
              <a16:creationId xmlns:a16="http://schemas.microsoft.com/office/drawing/2014/main" id="{00000000-0008-0000-0B00-00009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4</xdr:row>
      <xdr:rowOff>9525</xdr:rowOff>
    </xdr:from>
    <xdr:ext cx="323850" cy="180975"/>
    <xdr:sp macro="" textlink="">
      <xdr:nvSpPr>
        <xdr:cNvPr id="924" name="Shape 923">
          <a:extLst>
            <a:ext uri="{FF2B5EF4-FFF2-40B4-BE49-F238E27FC236}">
              <a16:creationId xmlns:a16="http://schemas.microsoft.com/office/drawing/2014/main" id="{00000000-0008-0000-0B00-00009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5</xdr:row>
      <xdr:rowOff>9525</xdr:rowOff>
    </xdr:from>
    <xdr:ext cx="323850" cy="180975"/>
    <xdr:sp macro="" textlink="">
      <xdr:nvSpPr>
        <xdr:cNvPr id="925" name="Shape 924">
          <a:extLst>
            <a:ext uri="{FF2B5EF4-FFF2-40B4-BE49-F238E27FC236}">
              <a16:creationId xmlns:a16="http://schemas.microsoft.com/office/drawing/2014/main" id="{00000000-0008-0000-0B00-00009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6</xdr:row>
      <xdr:rowOff>9525</xdr:rowOff>
    </xdr:from>
    <xdr:ext cx="323850" cy="180975"/>
    <xdr:sp macro="" textlink="">
      <xdr:nvSpPr>
        <xdr:cNvPr id="926" name="Shape 925">
          <a:extLst>
            <a:ext uri="{FF2B5EF4-FFF2-40B4-BE49-F238E27FC236}">
              <a16:creationId xmlns:a16="http://schemas.microsoft.com/office/drawing/2014/main" id="{00000000-0008-0000-0B00-00009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7</xdr:row>
      <xdr:rowOff>9525</xdr:rowOff>
    </xdr:from>
    <xdr:ext cx="323850" cy="180975"/>
    <xdr:sp macro="" textlink="">
      <xdr:nvSpPr>
        <xdr:cNvPr id="927" name="Shape 926">
          <a:extLst>
            <a:ext uri="{FF2B5EF4-FFF2-40B4-BE49-F238E27FC236}">
              <a16:creationId xmlns:a16="http://schemas.microsoft.com/office/drawing/2014/main" id="{00000000-0008-0000-0B00-00009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8</xdr:row>
      <xdr:rowOff>9525</xdr:rowOff>
    </xdr:from>
    <xdr:ext cx="323850" cy="180975"/>
    <xdr:sp macro="" textlink="">
      <xdr:nvSpPr>
        <xdr:cNvPr id="928" name="Shape 927">
          <a:extLst>
            <a:ext uri="{FF2B5EF4-FFF2-40B4-BE49-F238E27FC236}">
              <a16:creationId xmlns:a16="http://schemas.microsoft.com/office/drawing/2014/main" id="{00000000-0008-0000-0B00-0000A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9</xdr:row>
      <xdr:rowOff>9525</xdr:rowOff>
    </xdr:from>
    <xdr:ext cx="323850" cy="180975"/>
    <xdr:sp macro="" textlink="">
      <xdr:nvSpPr>
        <xdr:cNvPr id="929" name="Shape 928">
          <a:extLst>
            <a:ext uri="{FF2B5EF4-FFF2-40B4-BE49-F238E27FC236}">
              <a16:creationId xmlns:a16="http://schemas.microsoft.com/office/drawing/2014/main" id="{00000000-0008-0000-0B00-0000A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10</xdr:row>
      <xdr:rowOff>9525</xdr:rowOff>
    </xdr:from>
    <xdr:ext cx="323850" cy="180975"/>
    <xdr:sp macro="" textlink="">
      <xdr:nvSpPr>
        <xdr:cNvPr id="930" name="Shape 929">
          <a:extLst>
            <a:ext uri="{FF2B5EF4-FFF2-40B4-BE49-F238E27FC236}">
              <a16:creationId xmlns:a16="http://schemas.microsoft.com/office/drawing/2014/main" id="{00000000-0008-0000-0B00-0000A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11</xdr:row>
      <xdr:rowOff>9525</xdr:rowOff>
    </xdr:from>
    <xdr:ext cx="323850" cy="180975"/>
    <xdr:sp macro="" textlink="">
      <xdr:nvSpPr>
        <xdr:cNvPr id="931" name="Shape 930">
          <a:extLst>
            <a:ext uri="{FF2B5EF4-FFF2-40B4-BE49-F238E27FC236}">
              <a16:creationId xmlns:a16="http://schemas.microsoft.com/office/drawing/2014/main" id="{00000000-0008-0000-0B00-0000A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12</xdr:row>
      <xdr:rowOff>9525</xdr:rowOff>
    </xdr:from>
    <xdr:ext cx="323850" cy="180975"/>
    <xdr:sp macro="" textlink="">
      <xdr:nvSpPr>
        <xdr:cNvPr id="932" name="Shape 931">
          <a:extLst>
            <a:ext uri="{FF2B5EF4-FFF2-40B4-BE49-F238E27FC236}">
              <a16:creationId xmlns:a16="http://schemas.microsoft.com/office/drawing/2014/main" id="{00000000-0008-0000-0B00-0000A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13</xdr:row>
      <xdr:rowOff>9525</xdr:rowOff>
    </xdr:from>
    <xdr:ext cx="323850" cy="180975"/>
    <xdr:sp macro="" textlink="">
      <xdr:nvSpPr>
        <xdr:cNvPr id="933" name="Shape 932">
          <a:extLst>
            <a:ext uri="{FF2B5EF4-FFF2-40B4-BE49-F238E27FC236}">
              <a16:creationId xmlns:a16="http://schemas.microsoft.com/office/drawing/2014/main" id="{00000000-0008-0000-0B00-0000A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14</xdr:row>
      <xdr:rowOff>9525</xdr:rowOff>
    </xdr:from>
    <xdr:ext cx="323850" cy="180975"/>
    <xdr:sp macro="" textlink="">
      <xdr:nvSpPr>
        <xdr:cNvPr id="934" name="Shape 933">
          <a:extLst>
            <a:ext uri="{FF2B5EF4-FFF2-40B4-BE49-F238E27FC236}">
              <a16:creationId xmlns:a16="http://schemas.microsoft.com/office/drawing/2014/main" id="{00000000-0008-0000-0B00-0000A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15</xdr:row>
      <xdr:rowOff>9525</xdr:rowOff>
    </xdr:from>
    <xdr:ext cx="323850" cy="180975"/>
    <xdr:sp macro="" textlink="">
      <xdr:nvSpPr>
        <xdr:cNvPr id="935" name="Shape 934">
          <a:extLst>
            <a:ext uri="{FF2B5EF4-FFF2-40B4-BE49-F238E27FC236}">
              <a16:creationId xmlns:a16="http://schemas.microsoft.com/office/drawing/2014/main" id="{00000000-0008-0000-0B00-0000A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16</xdr:row>
      <xdr:rowOff>9525</xdr:rowOff>
    </xdr:from>
    <xdr:ext cx="323850" cy="180975"/>
    <xdr:sp macro="" textlink="">
      <xdr:nvSpPr>
        <xdr:cNvPr id="936" name="Shape 935">
          <a:extLst>
            <a:ext uri="{FF2B5EF4-FFF2-40B4-BE49-F238E27FC236}">
              <a16:creationId xmlns:a16="http://schemas.microsoft.com/office/drawing/2014/main" id="{00000000-0008-0000-0B00-0000A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17</xdr:row>
      <xdr:rowOff>9525</xdr:rowOff>
    </xdr:from>
    <xdr:ext cx="323850" cy="180975"/>
    <xdr:sp macro="" textlink="">
      <xdr:nvSpPr>
        <xdr:cNvPr id="937" name="Shape 936">
          <a:extLst>
            <a:ext uri="{FF2B5EF4-FFF2-40B4-BE49-F238E27FC236}">
              <a16:creationId xmlns:a16="http://schemas.microsoft.com/office/drawing/2014/main" id="{00000000-0008-0000-0B00-0000A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18</xdr:row>
      <xdr:rowOff>9525</xdr:rowOff>
    </xdr:from>
    <xdr:ext cx="323850" cy="180975"/>
    <xdr:sp macro="" textlink="">
      <xdr:nvSpPr>
        <xdr:cNvPr id="938" name="Shape 937">
          <a:extLst>
            <a:ext uri="{FF2B5EF4-FFF2-40B4-BE49-F238E27FC236}">
              <a16:creationId xmlns:a16="http://schemas.microsoft.com/office/drawing/2014/main" id="{00000000-0008-0000-0B00-0000A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19</xdr:row>
      <xdr:rowOff>9525</xdr:rowOff>
    </xdr:from>
    <xdr:ext cx="323850" cy="180975"/>
    <xdr:sp macro="" textlink="">
      <xdr:nvSpPr>
        <xdr:cNvPr id="939" name="Shape 938">
          <a:extLst>
            <a:ext uri="{FF2B5EF4-FFF2-40B4-BE49-F238E27FC236}">
              <a16:creationId xmlns:a16="http://schemas.microsoft.com/office/drawing/2014/main" id="{00000000-0008-0000-0B00-0000A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20</xdr:row>
      <xdr:rowOff>9525</xdr:rowOff>
    </xdr:from>
    <xdr:ext cx="323850" cy="180975"/>
    <xdr:sp macro="" textlink="">
      <xdr:nvSpPr>
        <xdr:cNvPr id="940" name="Shape 939">
          <a:extLst>
            <a:ext uri="{FF2B5EF4-FFF2-40B4-BE49-F238E27FC236}">
              <a16:creationId xmlns:a16="http://schemas.microsoft.com/office/drawing/2014/main" id="{00000000-0008-0000-0B00-0000A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21</xdr:row>
      <xdr:rowOff>9525</xdr:rowOff>
    </xdr:from>
    <xdr:ext cx="323850" cy="180975"/>
    <xdr:sp macro="" textlink="">
      <xdr:nvSpPr>
        <xdr:cNvPr id="941" name="Shape 940">
          <a:extLst>
            <a:ext uri="{FF2B5EF4-FFF2-40B4-BE49-F238E27FC236}">
              <a16:creationId xmlns:a16="http://schemas.microsoft.com/office/drawing/2014/main" id="{00000000-0008-0000-0B00-0000A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22</xdr:row>
      <xdr:rowOff>9525</xdr:rowOff>
    </xdr:from>
    <xdr:ext cx="323850" cy="180975"/>
    <xdr:sp macro="" textlink="">
      <xdr:nvSpPr>
        <xdr:cNvPr id="942" name="Shape 941">
          <a:extLst>
            <a:ext uri="{FF2B5EF4-FFF2-40B4-BE49-F238E27FC236}">
              <a16:creationId xmlns:a16="http://schemas.microsoft.com/office/drawing/2014/main" id="{00000000-0008-0000-0B00-0000A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23</xdr:row>
      <xdr:rowOff>9525</xdr:rowOff>
    </xdr:from>
    <xdr:ext cx="323850" cy="180975"/>
    <xdr:sp macro="" textlink="">
      <xdr:nvSpPr>
        <xdr:cNvPr id="943" name="Shape 942">
          <a:extLst>
            <a:ext uri="{FF2B5EF4-FFF2-40B4-BE49-F238E27FC236}">
              <a16:creationId xmlns:a16="http://schemas.microsoft.com/office/drawing/2014/main" id="{00000000-0008-0000-0B00-0000A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24</xdr:row>
      <xdr:rowOff>9525</xdr:rowOff>
    </xdr:from>
    <xdr:ext cx="323850" cy="180975"/>
    <xdr:sp macro="" textlink="">
      <xdr:nvSpPr>
        <xdr:cNvPr id="944" name="Shape 943">
          <a:extLst>
            <a:ext uri="{FF2B5EF4-FFF2-40B4-BE49-F238E27FC236}">
              <a16:creationId xmlns:a16="http://schemas.microsoft.com/office/drawing/2014/main" id="{00000000-0008-0000-0B00-0000B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25</xdr:row>
      <xdr:rowOff>9525</xdr:rowOff>
    </xdr:from>
    <xdr:ext cx="323850" cy="180975"/>
    <xdr:sp macro="" textlink="">
      <xdr:nvSpPr>
        <xdr:cNvPr id="945" name="Shape 944">
          <a:extLst>
            <a:ext uri="{FF2B5EF4-FFF2-40B4-BE49-F238E27FC236}">
              <a16:creationId xmlns:a16="http://schemas.microsoft.com/office/drawing/2014/main" id="{00000000-0008-0000-0B00-0000B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26</xdr:row>
      <xdr:rowOff>9525</xdr:rowOff>
    </xdr:from>
    <xdr:ext cx="323850" cy="180975"/>
    <xdr:sp macro="" textlink="">
      <xdr:nvSpPr>
        <xdr:cNvPr id="946" name="Shape 945">
          <a:extLst>
            <a:ext uri="{FF2B5EF4-FFF2-40B4-BE49-F238E27FC236}">
              <a16:creationId xmlns:a16="http://schemas.microsoft.com/office/drawing/2014/main" id="{00000000-0008-0000-0B00-0000B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27</xdr:row>
      <xdr:rowOff>9525</xdr:rowOff>
    </xdr:from>
    <xdr:ext cx="323850" cy="180975"/>
    <xdr:sp macro="" textlink="">
      <xdr:nvSpPr>
        <xdr:cNvPr id="947" name="Shape 946">
          <a:extLst>
            <a:ext uri="{FF2B5EF4-FFF2-40B4-BE49-F238E27FC236}">
              <a16:creationId xmlns:a16="http://schemas.microsoft.com/office/drawing/2014/main" id="{00000000-0008-0000-0B00-0000B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28</xdr:row>
      <xdr:rowOff>9525</xdr:rowOff>
    </xdr:from>
    <xdr:ext cx="323850" cy="180975"/>
    <xdr:sp macro="" textlink="">
      <xdr:nvSpPr>
        <xdr:cNvPr id="948" name="Shape 947">
          <a:extLst>
            <a:ext uri="{FF2B5EF4-FFF2-40B4-BE49-F238E27FC236}">
              <a16:creationId xmlns:a16="http://schemas.microsoft.com/office/drawing/2014/main" id="{00000000-0008-0000-0B00-0000B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29</xdr:row>
      <xdr:rowOff>9525</xdr:rowOff>
    </xdr:from>
    <xdr:ext cx="323850" cy="180975"/>
    <xdr:sp macro="" textlink="">
      <xdr:nvSpPr>
        <xdr:cNvPr id="949" name="Shape 948">
          <a:extLst>
            <a:ext uri="{FF2B5EF4-FFF2-40B4-BE49-F238E27FC236}">
              <a16:creationId xmlns:a16="http://schemas.microsoft.com/office/drawing/2014/main" id="{00000000-0008-0000-0B00-0000B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30</xdr:row>
      <xdr:rowOff>9525</xdr:rowOff>
    </xdr:from>
    <xdr:ext cx="323850" cy="180975"/>
    <xdr:sp macro="" textlink="">
      <xdr:nvSpPr>
        <xdr:cNvPr id="950" name="Shape 949">
          <a:extLst>
            <a:ext uri="{FF2B5EF4-FFF2-40B4-BE49-F238E27FC236}">
              <a16:creationId xmlns:a16="http://schemas.microsoft.com/office/drawing/2014/main" id="{00000000-0008-0000-0B00-0000B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31</xdr:row>
      <xdr:rowOff>9525</xdr:rowOff>
    </xdr:from>
    <xdr:ext cx="323850" cy="180975"/>
    <xdr:sp macro="" textlink="">
      <xdr:nvSpPr>
        <xdr:cNvPr id="951" name="Shape 950">
          <a:extLst>
            <a:ext uri="{FF2B5EF4-FFF2-40B4-BE49-F238E27FC236}">
              <a16:creationId xmlns:a16="http://schemas.microsoft.com/office/drawing/2014/main" id="{00000000-0008-0000-0B00-0000B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32</xdr:row>
      <xdr:rowOff>9525</xdr:rowOff>
    </xdr:from>
    <xdr:ext cx="323850" cy="180975"/>
    <xdr:sp macro="" textlink="">
      <xdr:nvSpPr>
        <xdr:cNvPr id="952" name="Shape 951">
          <a:extLst>
            <a:ext uri="{FF2B5EF4-FFF2-40B4-BE49-F238E27FC236}">
              <a16:creationId xmlns:a16="http://schemas.microsoft.com/office/drawing/2014/main" id="{00000000-0008-0000-0B00-0000B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33</xdr:row>
      <xdr:rowOff>9525</xdr:rowOff>
    </xdr:from>
    <xdr:ext cx="323850" cy="180975"/>
    <xdr:sp macro="" textlink="">
      <xdr:nvSpPr>
        <xdr:cNvPr id="953" name="Shape 952">
          <a:extLst>
            <a:ext uri="{FF2B5EF4-FFF2-40B4-BE49-F238E27FC236}">
              <a16:creationId xmlns:a16="http://schemas.microsoft.com/office/drawing/2014/main" id="{00000000-0008-0000-0B00-0000B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34</xdr:row>
      <xdr:rowOff>9525</xdr:rowOff>
    </xdr:from>
    <xdr:ext cx="323850" cy="180975"/>
    <xdr:sp macro="" textlink="">
      <xdr:nvSpPr>
        <xdr:cNvPr id="954" name="Shape 953">
          <a:extLst>
            <a:ext uri="{FF2B5EF4-FFF2-40B4-BE49-F238E27FC236}">
              <a16:creationId xmlns:a16="http://schemas.microsoft.com/office/drawing/2014/main" id="{00000000-0008-0000-0B00-0000B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35</xdr:row>
      <xdr:rowOff>9525</xdr:rowOff>
    </xdr:from>
    <xdr:ext cx="323850" cy="180975"/>
    <xdr:sp macro="" textlink="">
      <xdr:nvSpPr>
        <xdr:cNvPr id="955" name="Shape 954">
          <a:extLst>
            <a:ext uri="{FF2B5EF4-FFF2-40B4-BE49-F238E27FC236}">
              <a16:creationId xmlns:a16="http://schemas.microsoft.com/office/drawing/2014/main" id="{00000000-0008-0000-0B00-0000B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36</xdr:row>
      <xdr:rowOff>9525</xdr:rowOff>
    </xdr:from>
    <xdr:ext cx="323850" cy="180975"/>
    <xdr:sp macro="" textlink="">
      <xdr:nvSpPr>
        <xdr:cNvPr id="956" name="Shape 955">
          <a:extLst>
            <a:ext uri="{FF2B5EF4-FFF2-40B4-BE49-F238E27FC236}">
              <a16:creationId xmlns:a16="http://schemas.microsoft.com/office/drawing/2014/main" id="{00000000-0008-0000-0B00-0000B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37</xdr:row>
      <xdr:rowOff>9525</xdr:rowOff>
    </xdr:from>
    <xdr:ext cx="323850" cy="180975"/>
    <xdr:sp macro="" textlink="">
      <xdr:nvSpPr>
        <xdr:cNvPr id="957" name="Shape 956">
          <a:extLst>
            <a:ext uri="{FF2B5EF4-FFF2-40B4-BE49-F238E27FC236}">
              <a16:creationId xmlns:a16="http://schemas.microsoft.com/office/drawing/2014/main" id="{00000000-0008-0000-0B00-0000B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38</xdr:row>
      <xdr:rowOff>9525</xdr:rowOff>
    </xdr:from>
    <xdr:ext cx="323850" cy="180975"/>
    <xdr:sp macro="" textlink="">
      <xdr:nvSpPr>
        <xdr:cNvPr id="958" name="Shape 957">
          <a:extLst>
            <a:ext uri="{FF2B5EF4-FFF2-40B4-BE49-F238E27FC236}">
              <a16:creationId xmlns:a16="http://schemas.microsoft.com/office/drawing/2014/main" id="{00000000-0008-0000-0B00-0000B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39</xdr:row>
      <xdr:rowOff>9525</xdr:rowOff>
    </xdr:from>
    <xdr:ext cx="323850" cy="180975"/>
    <xdr:sp macro="" textlink="">
      <xdr:nvSpPr>
        <xdr:cNvPr id="959" name="Shape 958">
          <a:extLst>
            <a:ext uri="{FF2B5EF4-FFF2-40B4-BE49-F238E27FC236}">
              <a16:creationId xmlns:a16="http://schemas.microsoft.com/office/drawing/2014/main" id="{00000000-0008-0000-0B00-0000B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104</xdr:col>
      <xdr:colOff>0</xdr:colOff>
      <xdr:row>40</xdr:row>
      <xdr:rowOff>9525</xdr:rowOff>
    </xdr:from>
    <xdr:ext cx="323850" cy="180975"/>
    <xdr:sp macro="" textlink="">
      <xdr:nvSpPr>
        <xdr:cNvPr id="960" name="Shape 959">
          <a:extLst>
            <a:ext uri="{FF2B5EF4-FFF2-40B4-BE49-F238E27FC236}">
              <a16:creationId xmlns:a16="http://schemas.microsoft.com/office/drawing/2014/main" id="{00000000-0008-0000-0B00-0000C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103</xdr:col>
      <xdr:colOff>0</xdr:colOff>
      <xdr:row>41</xdr:row>
      <xdr:rowOff>9525</xdr:rowOff>
    </xdr:from>
    <xdr:ext cx="323850" cy="180975"/>
    <xdr:sp macro="" textlink="">
      <xdr:nvSpPr>
        <xdr:cNvPr id="961" name="Shape 960">
          <a:extLst>
            <a:ext uri="{FF2B5EF4-FFF2-40B4-BE49-F238E27FC236}">
              <a16:creationId xmlns:a16="http://schemas.microsoft.com/office/drawing/2014/main" id="{00000000-0008-0000-0B00-0000C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</xdr:row>
      <xdr:rowOff>9525</xdr:rowOff>
    </xdr:from>
    <xdr:ext cx="323850" cy="180975"/>
    <xdr:sp macro="" textlink="">
      <xdr:nvSpPr>
        <xdr:cNvPr id="962" name="Shape 961">
          <a:extLst>
            <a:ext uri="{FF2B5EF4-FFF2-40B4-BE49-F238E27FC236}">
              <a16:creationId xmlns:a16="http://schemas.microsoft.com/office/drawing/2014/main" id="{00000000-0008-0000-0B00-0000C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</xdr:row>
      <xdr:rowOff>9525</xdr:rowOff>
    </xdr:from>
    <xdr:ext cx="323850" cy="180975"/>
    <xdr:sp macro="" textlink="">
      <xdr:nvSpPr>
        <xdr:cNvPr id="963" name="Shape 962">
          <a:extLst>
            <a:ext uri="{FF2B5EF4-FFF2-40B4-BE49-F238E27FC236}">
              <a16:creationId xmlns:a16="http://schemas.microsoft.com/office/drawing/2014/main" id="{00000000-0008-0000-0B00-0000C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4</xdr:row>
      <xdr:rowOff>9525</xdr:rowOff>
    </xdr:from>
    <xdr:ext cx="323850" cy="180975"/>
    <xdr:sp macro="" textlink="">
      <xdr:nvSpPr>
        <xdr:cNvPr id="964" name="Shape 963">
          <a:extLst>
            <a:ext uri="{FF2B5EF4-FFF2-40B4-BE49-F238E27FC236}">
              <a16:creationId xmlns:a16="http://schemas.microsoft.com/office/drawing/2014/main" id="{00000000-0008-0000-0B00-0000C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5</xdr:row>
      <xdr:rowOff>9525</xdr:rowOff>
    </xdr:from>
    <xdr:ext cx="323850" cy="180975"/>
    <xdr:sp macro="" textlink="">
      <xdr:nvSpPr>
        <xdr:cNvPr id="965" name="Shape 964">
          <a:extLst>
            <a:ext uri="{FF2B5EF4-FFF2-40B4-BE49-F238E27FC236}">
              <a16:creationId xmlns:a16="http://schemas.microsoft.com/office/drawing/2014/main" id="{00000000-0008-0000-0B00-0000C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6</xdr:row>
      <xdr:rowOff>9525</xdr:rowOff>
    </xdr:from>
    <xdr:ext cx="323850" cy="180975"/>
    <xdr:sp macro="" textlink="">
      <xdr:nvSpPr>
        <xdr:cNvPr id="966" name="Shape 965">
          <a:extLst>
            <a:ext uri="{FF2B5EF4-FFF2-40B4-BE49-F238E27FC236}">
              <a16:creationId xmlns:a16="http://schemas.microsoft.com/office/drawing/2014/main" id="{00000000-0008-0000-0B00-0000C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7</xdr:row>
      <xdr:rowOff>9525</xdr:rowOff>
    </xdr:from>
    <xdr:ext cx="323850" cy="180975"/>
    <xdr:sp macro="" textlink="">
      <xdr:nvSpPr>
        <xdr:cNvPr id="967" name="Shape 966">
          <a:extLst>
            <a:ext uri="{FF2B5EF4-FFF2-40B4-BE49-F238E27FC236}">
              <a16:creationId xmlns:a16="http://schemas.microsoft.com/office/drawing/2014/main" id="{00000000-0008-0000-0B00-0000C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8</xdr:row>
      <xdr:rowOff>9525</xdr:rowOff>
    </xdr:from>
    <xdr:ext cx="323850" cy="180975"/>
    <xdr:sp macro="" textlink="">
      <xdr:nvSpPr>
        <xdr:cNvPr id="968" name="Shape 967">
          <a:extLst>
            <a:ext uri="{FF2B5EF4-FFF2-40B4-BE49-F238E27FC236}">
              <a16:creationId xmlns:a16="http://schemas.microsoft.com/office/drawing/2014/main" id="{00000000-0008-0000-0B00-0000C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9</xdr:row>
      <xdr:rowOff>9525</xdr:rowOff>
    </xdr:from>
    <xdr:ext cx="323850" cy="180975"/>
    <xdr:sp macro="" textlink="">
      <xdr:nvSpPr>
        <xdr:cNvPr id="969" name="Shape 968">
          <a:extLst>
            <a:ext uri="{FF2B5EF4-FFF2-40B4-BE49-F238E27FC236}">
              <a16:creationId xmlns:a16="http://schemas.microsoft.com/office/drawing/2014/main" id="{00000000-0008-0000-0B00-0000C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10</xdr:row>
      <xdr:rowOff>9525</xdr:rowOff>
    </xdr:from>
    <xdr:ext cx="323850" cy="180975"/>
    <xdr:sp macro="" textlink="">
      <xdr:nvSpPr>
        <xdr:cNvPr id="970" name="Shape 969">
          <a:extLst>
            <a:ext uri="{FF2B5EF4-FFF2-40B4-BE49-F238E27FC236}">
              <a16:creationId xmlns:a16="http://schemas.microsoft.com/office/drawing/2014/main" id="{00000000-0008-0000-0B00-0000C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11</xdr:row>
      <xdr:rowOff>9525</xdr:rowOff>
    </xdr:from>
    <xdr:ext cx="323850" cy="180975"/>
    <xdr:sp macro="" textlink="">
      <xdr:nvSpPr>
        <xdr:cNvPr id="971" name="Shape 970">
          <a:extLst>
            <a:ext uri="{FF2B5EF4-FFF2-40B4-BE49-F238E27FC236}">
              <a16:creationId xmlns:a16="http://schemas.microsoft.com/office/drawing/2014/main" id="{00000000-0008-0000-0B00-0000C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12</xdr:row>
      <xdr:rowOff>9525</xdr:rowOff>
    </xdr:from>
    <xdr:ext cx="323850" cy="180975"/>
    <xdr:sp macro="" textlink="">
      <xdr:nvSpPr>
        <xdr:cNvPr id="972" name="Shape 971">
          <a:extLst>
            <a:ext uri="{FF2B5EF4-FFF2-40B4-BE49-F238E27FC236}">
              <a16:creationId xmlns:a16="http://schemas.microsoft.com/office/drawing/2014/main" id="{00000000-0008-0000-0B00-0000C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13</xdr:row>
      <xdr:rowOff>9525</xdr:rowOff>
    </xdr:from>
    <xdr:ext cx="323850" cy="180975"/>
    <xdr:sp macro="" textlink="">
      <xdr:nvSpPr>
        <xdr:cNvPr id="973" name="Shape 972">
          <a:extLst>
            <a:ext uri="{FF2B5EF4-FFF2-40B4-BE49-F238E27FC236}">
              <a16:creationId xmlns:a16="http://schemas.microsoft.com/office/drawing/2014/main" id="{00000000-0008-0000-0B00-0000C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14</xdr:row>
      <xdr:rowOff>9525</xdr:rowOff>
    </xdr:from>
    <xdr:ext cx="323850" cy="180975"/>
    <xdr:sp macro="" textlink="">
      <xdr:nvSpPr>
        <xdr:cNvPr id="974" name="Shape 973">
          <a:extLst>
            <a:ext uri="{FF2B5EF4-FFF2-40B4-BE49-F238E27FC236}">
              <a16:creationId xmlns:a16="http://schemas.microsoft.com/office/drawing/2014/main" id="{00000000-0008-0000-0B00-0000C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15</xdr:row>
      <xdr:rowOff>9525</xdr:rowOff>
    </xdr:from>
    <xdr:ext cx="323850" cy="180975"/>
    <xdr:sp macro="" textlink="">
      <xdr:nvSpPr>
        <xdr:cNvPr id="975" name="Shape 974">
          <a:extLst>
            <a:ext uri="{FF2B5EF4-FFF2-40B4-BE49-F238E27FC236}">
              <a16:creationId xmlns:a16="http://schemas.microsoft.com/office/drawing/2014/main" id="{00000000-0008-0000-0B00-0000C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16</xdr:row>
      <xdr:rowOff>9525</xdr:rowOff>
    </xdr:from>
    <xdr:ext cx="323850" cy="180975"/>
    <xdr:sp macro="" textlink="">
      <xdr:nvSpPr>
        <xdr:cNvPr id="976" name="Shape 975">
          <a:extLst>
            <a:ext uri="{FF2B5EF4-FFF2-40B4-BE49-F238E27FC236}">
              <a16:creationId xmlns:a16="http://schemas.microsoft.com/office/drawing/2014/main" id="{00000000-0008-0000-0B00-0000D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17</xdr:row>
      <xdr:rowOff>9525</xdr:rowOff>
    </xdr:from>
    <xdr:ext cx="323850" cy="180975"/>
    <xdr:sp macro="" textlink="">
      <xdr:nvSpPr>
        <xdr:cNvPr id="977" name="Shape 976">
          <a:extLst>
            <a:ext uri="{FF2B5EF4-FFF2-40B4-BE49-F238E27FC236}">
              <a16:creationId xmlns:a16="http://schemas.microsoft.com/office/drawing/2014/main" id="{00000000-0008-0000-0B00-0000D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18</xdr:row>
      <xdr:rowOff>9525</xdr:rowOff>
    </xdr:from>
    <xdr:ext cx="323850" cy="180975"/>
    <xdr:sp macro="" textlink="">
      <xdr:nvSpPr>
        <xdr:cNvPr id="978" name="Shape 977">
          <a:extLst>
            <a:ext uri="{FF2B5EF4-FFF2-40B4-BE49-F238E27FC236}">
              <a16:creationId xmlns:a16="http://schemas.microsoft.com/office/drawing/2014/main" id="{00000000-0008-0000-0B00-0000D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19</xdr:row>
      <xdr:rowOff>9525</xdr:rowOff>
    </xdr:from>
    <xdr:ext cx="323850" cy="180975"/>
    <xdr:sp macro="" textlink="">
      <xdr:nvSpPr>
        <xdr:cNvPr id="979" name="Shape 978">
          <a:extLst>
            <a:ext uri="{FF2B5EF4-FFF2-40B4-BE49-F238E27FC236}">
              <a16:creationId xmlns:a16="http://schemas.microsoft.com/office/drawing/2014/main" id="{00000000-0008-0000-0B00-0000D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20</xdr:row>
      <xdr:rowOff>9525</xdr:rowOff>
    </xdr:from>
    <xdr:ext cx="323850" cy="180975"/>
    <xdr:sp macro="" textlink="">
      <xdr:nvSpPr>
        <xdr:cNvPr id="980" name="Shape 979">
          <a:extLst>
            <a:ext uri="{FF2B5EF4-FFF2-40B4-BE49-F238E27FC236}">
              <a16:creationId xmlns:a16="http://schemas.microsoft.com/office/drawing/2014/main" id="{00000000-0008-0000-0B00-0000D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21</xdr:row>
      <xdr:rowOff>9525</xdr:rowOff>
    </xdr:from>
    <xdr:ext cx="323850" cy="180975"/>
    <xdr:sp macro="" textlink="">
      <xdr:nvSpPr>
        <xdr:cNvPr id="981" name="Shape 980">
          <a:extLst>
            <a:ext uri="{FF2B5EF4-FFF2-40B4-BE49-F238E27FC236}">
              <a16:creationId xmlns:a16="http://schemas.microsoft.com/office/drawing/2014/main" id="{00000000-0008-0000-0B00-0000D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22</xdr:row>
      <xdr:rowOff>9525</xdr:rowOff>
    </xdr:from>
    <xdr:ext cx="323850" cy="180975"/>
    <xdr:sp macro="" textlink="">
      <xdr:nvSpPr>
        <xdr:cNvPr id="982" name="Shape 981">
          <a:extLst>
            <a:ext uri="{FF2B5EF4-FFF2-40B4-BE49-F238E27FC236}">
              <a16:creationId xmlns:a16="http://schemas.microsoft.com/office/drawing/2014/main" id="{00000000-0008-0000-0B00-0000D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23</xdr:row>
      <xdr:rowOff>9525</xdr:rowOff>
    </xdr:from>
    <xdr:ext cx="323850" cy="180975"/>
    <xdr:sp macro="" textlink="">
      <xdr:nvSpPr>
        <xdr:cNvPr id="983" name="Shape 982">
          <a:extLst>
            <a:ext uri="{FF2B5EF4-FFF2-40B4-BE49-F238E27FC236}">
              <a16:creationId xmlns:a16="http://schemas.microsoft.com/office/drawing/2014/main" id="{00000000-0008-0000-0B00-0000D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24</xdr:row>
      <xdr:rowOff>9525</xdr:rowOff>
    </xdr:from>
    <xdr:ext cx="323850" cy="180975"/>
    <xdr:sp macro="" textlink="">
      <xdr:nvSpPr>
        <xdr:cNvPr id="984" name="Shape 983">
          <a:extLst>
            <a:ext uri="{FF2B5EF4-FFF2-40B4-BE49-F238E27FC236}">
              <a16:creationId xmlns:a16="http://schemas.microsoft.com/office/drawing/2014/main" id="{00000000-0008-0000-0B00-0000D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25</xdr:row>
      <xdr:rowOff>9525</xdr:rowOff>
    </xdr:from>
    <xdr:ext cx="323850" cy="180975"/>
    <xdr:sp macro="" textlink="">
      <xdr:nvSpPr>
        <xdr:cNvPr id="985" name="Shape 984">
          <a:extLst>
            <a:ext uri="{FF2B5EF4-FFF2-40B4-BE49-F238E27FC236}">
              <a16:creationId xmlns:a16="http://schemas.microsoft.com/office/drawing/2014/main" id="{00000000-0008-0000-0B00-0000D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26</xdr:row>
      <xdr:rowOff>9525</xdr:rowOff>
    </xdr:from>
    <xdr:ext cx="323850" cy="180975"/>
    <xdr:sp macro="" textlink="">
      <xdr:nvSpPr>
        <xdr:cNvPr id="986" name="Shape 985">
          <a:extLst>
            <a:ext uri="{FF2B5EF4-FFF2-40B4-BE49-F238E27FC236}">
              <a16:creationId xmlns:a16="http://schemas.microsoft.com/office/drawing/2014/main" id="{00000000-0008-0000-0B00-0000D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27</xdr:row>
      <xdr:rowOff>9525</xdr:rowOff>
    </xdr:from>
    <xdr:ext cx="323850" cy="180975"/>
    <xdr:sp macro="" textlink="">
      <xdr:nvSpPr>
        <xdr:cNvPr id="987" name="Shape 986">
          <a:extLst>
            <a:ext uri="{FF2B5EF4-FFF2-40B4-BE49-F238E27FC236}">
              <a16:creationId xmlns:a16="http://schemas.microsoft.com/office/drawing/2014/main" id="{00000000-0008-0000-0B00-0000D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28</xdr:row>
      <xdr:rowOff>9525</xdr:rowOff>
    </xdr:from>
    <xdr:ext cx="323850" cy="180975"/>
    <xdr:sp macro="" textlink="">
      <xdr:nvSpPr>
        <xdr:cNvPr id="988" name="Shape 987">
          <a:extLst>
            <a:ext uri="{FF2B5EF4-FFF2-40B4-BE49-F238E27FC236}">
              <a16:creationId xmlns:a16="http://schemas.microsoft.com/office/drawing/2014/main" id="{00000000-0008-0000-0B00-0000D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29</xdr:row>
      <xdr:rowOff>9525</xdr:rowOff>
    </xdr:from>
    <xdr:ext cx="323850" cy="180975"/>
    <xdr:sp macro="" textlink="">
      <xdr:nvSpPr>
        <xdr:cNvPr id="989" name="Shape 988">
          <a:extLst>
            <a:ext uri="{FF2B5EF4-FFF2-40B4-BE49-F238E27FC236}">
              <a16:creationId xmlns:a16="http://schemas.microsoft.com/office/drawing/2014/main" id="{00000000-0008-0000-0B00-0000D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30</xdr:row>
      <xdr:rowOff>9525</xdr:rowOff>
    </xdr:from>
    <xdr:ext cx="323850" cy="180975"/>
    <xdr:sp macro="" textlink="">
      <xdr:nvSpPr>
        <xdr:cNvPr id="990" name="Shape 989">
          <a:extLst>
            <a:ext uri="{FF2B5EF4-FFF2-40B4-BE49-F238E27FC236}">
              <a16:creationId xmlns:a16="http://schemas.microsoft.com/office/drawing/2014/main" id="{00000000-0008-0000-0B00-0000D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31</xdr:row>
      <xdr:rowOff>9525</xdr:rowOff>
    </xdr:from>
    <xdr:ext cx="323850" cy="180975"/>
    <xdr:sp macro="" textlink="">
      <xdr:nvSpPr>
        <xdr:cNvPr id="991" name="Shape 990">
          <a:extLst>
            <a:ext uri="{FF2B5EF4-FFF2-40B4-BE49-F238E27FC236}">
              <a16:creationId xmlns:a16="http://schemas.microsoft.com/office/drawing/2014/main" id="{00000000-0008-0000-0B00-0000D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32</xdr:row>
      <xdr:rowOff>9525</xdr:rowOff>
    </xdr:from>
    <xdr:ext cx="323850" cy="180975"/>
    <xdr:sp macro="" textlink="">
      <xdr:nvSpPr>
        <xdr:cNvPr id="992" name="Shape 991">
          <a:extLst>
            <a:ext uri="{FF2B5EF4-FFF2-40B4-BE49-F238E27FC236}">
              <a16:creationId xmlns:a16="http://schemas.microsoft.com/office/drawing/2014/main" id="{00000000-0008-0000-0B00-0000E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33</xdr:row>
      <xdr:rowOff>9525</xdr:rowOff>
    </xdr:from>
    <xdr:ext cx="323850" cy="180975"/>
    <xdr:sp macro="" textlink="">
      <xdr:nvSpPr>
        <xdr:cNvPr id="993" name="Shape 992">
          <a:extLst>
            <a:ext uri="{FF2B5EF4-FFF2-40B4-BE49-F238E27FC236}">
              <a16:creationId xmlns:a16="http://schemas.microsoft.com/office/drawing/2014/main" id="{00000000-0008-0000-0B00-0000E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34</xdr:row>
      <xdr:rowOff>9525</xdr:rowOff>
    </xdr:from>
    <xdr:ext cx="323850" cy="180975"/>
    <xdr:sp macro="" textlink="">
      <xdr:nvSpPr>
        <xdr:cNvPr id="994" name="Shape 993">
          <a:extLst>
            <a:ext uri="{FF2B5EF4-FFF2-40B4-BE49-F238E27FC236}">
              <a16:creationId xmlns:a16="http://schemas.microsoft.com/office/drawing/2014/main" id="{00000000-0008-0000-0B00-0000E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35</xdr:row>
      <xdr:rowOff>9525</xdr:rowOff>
    </xdr:from>
    <xdr:ext cx="323850" cy="180975"/>
    <xdr:sp macro="" textlink="">
      <xdr:nvSpPr>
        <xdr:cNvPr id="995" name="Shape 994">
          <a:extLst>
            <a:ext uri="{FF2B5EF4-FFF2-40B4-BE49-F238E27FC236}">
              <a16:creationId xmlns:a16="http://schemas.microsoft.com/office/drawing/2014/main" id="{00000000-0008-0000-0B00-0000E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36</xdr:row>
      <xdr:rowOff>9525</xdr:rowOff>
    </xdr:from>
    <xdr:ext cx="323850" cy="180975"/>
    <xdr:sp macro="" textlink="">
      <xdr:nvSpPr>
        <xdr:cNvPr id="996" name="Shape 995">
          <a:extLst>
            <a:ext uri="{FF2B5EF4-FFF2-40B4-BE49-F238E27FC236}">
              <a16:creationId xmlns:a16="http://schemas.microsoft.com/office/drawing/2014/main" id="{00000000-0008-0000-0B00-0000E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37</xdr:row>
      <xdr:rowOff>9525</xdr:rowOff>
    </xdr:from>
    <xdr:ext cx="323850" cy="180975"/>
    <xdr:sp macro="" textlink="">
      <xdr:nvSpPr>
        <xdr:cNvPr id="997" name="Shape 996">
          <a:extLst>
            <a:ext uri="{FF2B5EF4-FFF2-40B4-BE49-F238E27FC236}">
              <a16:creationId xmlns:a16="http://schemas.microsoft.com/office/drawing/2014/main" id="{00000000-0008-0000-0B00-0000E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38</xdr:row>
      <xdr:rowOff>9525</xdr:rowOff>
    </xdr:from>
    <xdr:ext cx="323850" cy="180975"/>
    <xdr:sp macro="" textlink="">
      <xdr:nvSpPr>
        <xdr:cNvPr id="998" name="Shape 997">
          <a:extLst>
            <a:ext uri="{FF2B5EF4-FFF2-40B4-BE49-F238E27FC236}">
              <a16:creationId xmlns:a16="http://schemas.microsoft.com/office/drawing/2014/main" id="{00000000-0008-0000-0B00-0000E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107</xdr:col>
      <xdr:colOff>0</xdr:colOff>
      <xdr:row>39</xdr:row>
      <xdr:rowOff>9525</xdr:rowOff>
    </xdr:from>
    <xdr:ext cx="323850" cy="180975"/>
    <xdr:sp macro="" textlink="">
      <xdr:nvSpPr>
        <xdr:cNvPr id="999" name="Shape 998">
          <a:extLst>
            <a:ext uri="{FF2B5EF4-FFF2-40B4-BE49-F238E27FC236}">
              <a16:creationId xmlns:a16="http://schemas.microsoft.com/office/drawing/2014/main" id="{00000000-0008-0000-0B00-0000E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40</xdr:row>
      <xdr:rowOff>9525</xdr:rowOff>
    </xdr:from>
    <xdr:ext cx="323850" cy="180975"/>
    <xdr:sp macro="" textlink="">
      <xdr:nvSpPr>
        <xdr:cNvPr id="1000" name="Shape 999">
          <a:extLst>
            <a:ext uri="{FF2B5EF4-FFF2-40B4-BE49-F238E27FC236}">
              <a16:creationId xmlns:a16="http://schemas.microsoft.com/office/drawing/2014/main" id="{00000000-0008-0000-0B00-0000E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108</xdr:col>
      <xdr:colOff>0</xdr:colOff>
      <xdr:row>41</xdr:row>
      <xdr:rowOff>9525</xdr:rowOff>
    </xdr:from>
    <xdr:ext cx="323850" cy="180975"/>
    <xdr:sp macro="" textlink="">
      <xdr:nvSpPr>
        <xdr:cNvPr id="1001" name="Shape 1000">
          <a:extLst>
            <a:ext uri="{FF2B5EF4-FFF2-40B4-BE49-F238E27FC236}">
              <a16:creationId xmlns:a16="http://schemas.microsoft.com/office/drawing/2014/main" id="{00000000-0008-0000-0B00-0000E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</xdr:row>
      <xdr:rowOff>9525</xdr:rowOff>
    </xdr:from>
    <xdr:ext cx="323850" cy="180975"/>
    <xdr:sp macro="" textlink="">
      <xdr:nvSpPr>
        <xdr:cNvPr id="1002" name="Shape 1001">
          <a:extLst>
            <a:ext uri="{FF2B5EF4-FFF2-40B4-BE49-F238E27FC236}">
              <a16:creationId xmlns:a16="http://schemas.microsoft.com/office/drawing/2014/main" id="{00000000-0008-0000-0B00-0000E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</xdr:row>
      <xdr:rowOff>9525</xdr:rowOff>
    </xdr:from>
    <xdr:ext cx="323850" cy="180975"/>
    <xdr:sp macro="" textlink="">
      <xdr:nvSpPr>
        <xdr:cNvPr id="1003" name="Shape 1002">
          <a:extLst>
            <a:ext uri="{FF2B5EF4-FFF2-40B4-BE49-F238E27FC236}">
              <a16:creationId xmlns:a16="http://schemas.microsoft.com/office/drawing/2014/main" id="{00000000-0008-0000-0B00-0000E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4</xdr:row>
      <xdr:rowOff>9525</xdr:rowOff>
    </xdr:from>
    <xdr:ext cx="323850" cy="180975"/>
    <xdr:sp macro="" textlink="">
      <xdr:nvSpPr>
        <xdr:cNvPr id="1004" name="Shape 1003">
          <a:extLst>
            <a:ext uri="{FF2B5EF4-FFF2-40B4-BE49-F238E27FC236}">
              <a16:creationId xmlns:a16="http://schemas.microsoft.com/office/drawing/2014/main" id="{00000000-0008-0000-0B00-0000E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5</xdr:row>
      <xdr:rowOff>9525</xdr:rowOff>
    </xdr:from>
    <xdr:ext cx="323850" cy="180975"/>
    <xdr:sp macro="" textlink="">
      <xdr:nvSpPr>
        <xdr:cNvPr id="1005" name="Shape 1004">
          <a:extLst>
            <a:ext uri="{FF2B5EF4-FFF2-40B4-BE49-F238E27FC236}">
              <a16:creationId xmlns:a16="http://schemas.microsoft.com/office/drawing/2014/main" id="{00000000-0008-0000-0B00-0000E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6</xdr:row>
      <xdr:rowOff>9525</xdr:rowOff>
    </xdr:from>
    <xdr:ext cx="323850" cy="180975"/>
    <xdr:sp macro="" textlink="">
      <xdr:nvSpPr>
        <xdr:cNvPr id="1006" name="Shape 1005">
          <a:extLst>
            <a:ext uri="{FF2B5EF4-FFF2-40B4-BE49-F238E27FC236}">
              <a16:creationId xmlns:a16="http://schemas.microsoft.com/office/drawing/2014/main" id="{00000000-0008-0000-0B00-0000E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7</xdr:row>
      <xdr:rowOff>9525</xdr:rowOff>
    </xdr:from>
    <xdr:ext cx="323850" cy="180975"/>
    <xdr:sp macro="" textlink="">
      <xdr:nvSpPr>
        <xdr:cNvPr id="1007" name="Shape 1006">
          <a:extLst>
            <a:ext uri="{FF2B5EF4-FFF2-40B4-BE49-F238E27FC236}">
              <a16:creationId xmlns:a16="http://schemas.microsoft.com/office/drawing/2014/main" id="{00000000-0008-0000-0B00-0000E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8</xdr:row>
      <xdr:rowOff>9525</xdr:rowOff>
    </xdr:from>
    <xdr:ext cx="323850" cy="180975"/>
    <xdr:sp macro="" textlink="">
      <xdr:nvSpPr>
        <xdr:cNvPr id="1008" name="Shape 1007">
          <a:extLst>
            <a:ext uri="{FF2B5EF4-FFF2-40B4-BE49-F238E27FC236}">
              <a16:creationId xmlns:a16="http://schemas.microsoft.com/office/drawing/2014/main" id="{00000000-0008-0000-0B00-0000F0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9</xdr:row>
      <xdr:rowOff>9525</xdr:rowOff>
    </xdr:from>
    <xdr:ext cx="323850" cy="180975"/>
    <xdr:sp macro="" textlink="">
      <xdr:nvSpPr>
        <xdr:cNvPr id="1009" name="Shape 1008">
          <a:extLst>
            <a:ext uri="{FF2B5EF4-FFF2-40B4-BE49-F238E27FC236}">
              <a16:creationId xmlns:a16="http://schemas.microsoft.com/office/drawing/2014/main" id="{00000000-0008-0000-0B00-0000F1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10</xdr:row>
      <xdr:rowOff>9525</xdr:rowOff>
    </xdr:from>
    <xdr:ext cx="323850" cy="180975"/>
    <xdr:sp macro="" textlink="">
      <xdr:nvSpPr>
        <xdr:cNvPr id="1010" name="Shape 1009">
          <a:extLst>
            <a:ext uri="{FF2B5EF4-FFF2-40B4-BE49-F238E27FC236}">
              <a16:creationId xmlns:a16="http://schemas.microsoft.com/office/drawing/2014/main" id="{00000000-0008-0000-0B00-0000F2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11</xdr:row>
      <xdr:rowOff>9525</xdr:rowOff>
    </xdr:from>
    <xdr:ext cx="323850" cy="180975"/>
    <xdr:sp macro="" textlink="">
      <xdr:nvSpPr>
        <xdr:cNvPr id="1011" name="Shape 1010">
          <a:extLst>
            <a:ext uri="{FF2B5EF4-FFF2-40B4-BE49-F238E27FC236}">
              <a16:creationId xmlns:a16="http://schemas.microsoft.com/office/drawing/2014/main" id="{00000000-0008-0000-0B00-0000F3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12</xdr:row>
      <xdr:rowOff>9525</xdr:rowOff>
    </xdr:from>
    <xdr:ext cx="323850" cy="180975"/>
    <xdr:sp macro="" textlink="">
      <xdr:nvSpPr>
        <xdr:cNvPr id="1012" name="Shape 1011">
          <a:extLst>
            <a:ext uri="{FF2B5EF4-FFF2-40B4-BE49-F238E27FC236}">
              <a16:creationId xmlns:a16="http://schemas.microsoft.com/office/drawing/2014/main" id="{00000000-0008-0000-0B00-0000F4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13</xdr:row>
      <xdr:rowOff>9525</xdr:rowOff>
    </xdr:from>
    <xdr:ext cx="323850" cy="180975"/>
    <xdr:sp macro="" textlink="">
      <xdr:nvSpPr>
        <xdr:cNvPr id="1013" name="Shape 1012">
          <a:extLst>
            <a:ext uri="{FF2B5EF4-FFF2-40B4-BE49-F238E27FC236}">
              <a16:creationId xmlns:a16="http://schemas.microsoft.com/office/drawing/2014/main" id="{00000000-0008-0000-0B00-0000F5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14</xdr:row>
      <xdr:rowOff>9525</xdr:rowOff>
    </xdr:from>
    <xdr:ext cx="323850" cy="180975"/>
    <xdr:sp macro="" textlink="">
      <xdr:nvSpPr>
        <xdr:cNvPr id="1014" name="Shape 1013">
          <a:extLst>
            <a:ext uri="{FF2B5EF4-FFF2-40B4-BE49-F238E27FC236}">
              <a16:creationId xmlns:a16="http://schemas.microsoft.com/office/drawing/2014/main" id="{00000000-0008-0000-0B00-0000F6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15</xdr:row>
      <xdr:rowOff>9525</xdr:rowOff>
    </xdr:from>
    <xdr:ext cx="323850" cy="180975"/>
    <xdr:sp macro="" textlink="">
      <xdr:nvSpPr>
        <xdr:cNvPr id="1015" name="Shape 1014">
          <a:extLst>
            <a:ext uri="{FF2B5EF4-FFF2-40B4-BE49-F238E27FC236}">
              <a16:creationId xmlns:a16="http://schemas.microsoft.com/office/drawing/2014/main" id="{00000000-0008-0000-0B00-0000F7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16</xdr:row>
      <xdr:rowOff>9525</xdr:rowOff>
    </xdr:from>
    <xdr:ext cx="323850" cy="180975"/>
    <xdr:sp macro="" textlink="">
      <xdr:nvSpPr>
        <xdr:cNvPr id="1016" name="Shape 1015">
          <a:extLst>
            <a:ext uri="{FF2B5EF4-FFF2-40B4-BE49-F238E27FC236}">
              <a16:creationId xmlns:a16="http://schemas.microsoft.com/office/drawing/2014/main" id="{00000000-0008-0000-0B00-0000F8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17</xdr:row>
      <xdr:rowOff>9525</xdr:rowOff>
    </xdr:from>
    <xdr:ext cx="323850" cy="180975"/>
    <xdr:sp macro="" textlink="">
      <xdr:nvSpPr>
        <xdr:cNvPr id="1017" name="Shape 1016">
          <a:extLst>
            <a:ext uri="{FF2B5EF4-FFF2-40B4-BE49-F238E27FC236}">
              <a16:creationId xmlns:a16="http://schemas.microsoft.com/office/drawing/2014/main" id="{00000000-0008-0000-0B00-0000F9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18</xdr:row>
      <xdr:rowOff>9525</xdr:rowOff>
    </xdr:from>
    <xdr:ext cx="323850" cy="180975"/>
    <xdr:sp macro="" textlink="">
      <xdr:nvSpPr>
        <xdr:cNvPr id="1018" name="Shape 1017">
          <a:extLst>
            <a:ext uri="{FF2B5EF4-FFF2-40B4-BE49-F238E27FC236}">
              <a16:creationId xmlns:a16="http://schemas.microsoft.com/office/drawing/2014/main" id="{00000000-0008-0000-0B00-0000FA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19</xdr:row>
      <xdr:rowOff>9525</xdr:rowOff>
    </xdr:from>
    <xdr:ext cx="323850" cy="180975"/>
    <xdr:sp macro="" textlink="">
      <xdr:nvSpPr>
        <xdr:cNvPr id="1019" name="Shape 1018">
          <a:extLst>
            <a:ext uri="{FF2B5EF4-FFF2-40B4-BE49-F238E27FC236}">
              <a16:creationId xmlns:a16="http://schemas.microsoft.com/office/drawing/2014/main" id="{00000000-0008-0000-0B00-0000FB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20</xdr:row>
      <xdr:rowOff>9525</xdr:rowOff>
    </xdr:from>
    <xdr:ext cx="323850" cy="180975"/>
    <xdr:sp macro="" textlink="">
      <xdr:nvSpPr>
        <xdr:cNvPr id="1020" name="Shape 1019">
          <a:extLst>
            <a:ext uri="{FF2B5EF4-FFF2-40B4-BE49-F238E27FC236}">
              <a16:creationId xmlns:a16="http://schemas.microsoft.com/office/drawing/2014/main" id="{00000000-0008-0000-0B00-0000FC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21</xdr:row>
      <xdr:rowOff>9525</xdr:rowOff>
    </xdr:from>
    <xdr:ext cx="323850" cy="180975"/>
    <xdr:sp macro="" textlink="">
      <xdr:nvSpPr>
        <xdr:cNvPr id="1021" name="Shape 1020">
          <a:extLst>
            <a:ext uri="{FF2B5EF4-FFF2-40B4-BE49-F238E27FC236}">
              <a16:creationId xmlns:a16="http://schemas.microsoft.com/office/drawing/2014/main" id="{00000000-0008-0000-0B00-0000FD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22</xdr:row>
      <xdr:rowOff>9525</xdr:rowOff>
    </xdr:from>
    <xdr:ext cx="323850" cy="180975"/>
    <xdr:sp macro="" textlink="">
      <xdr:nvSpPr>
        <xdr:cNvPr id="1022" name="Shape 1021">
          <a:extLst>
            <a:ext uri="{FF2B5EF4-FFF2-40B4-BE49-F238E27FC236}">
              <a16:creationId xmlns:a16="http://schemas.microsoft.com/office/drawing/2014/main" id="{00000000-0008-0000-0B00-0000FE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23</xdr:row>
      <xdr:rowOff>9525</xdr:rowOff>
    </xdr:from>
    <xdr:ext cx="323850" cy="180975"/>
    <xdr:sp macro="" textlink="">
      <xdr:nvSpPr>
        <xdr:cNvPr id="1023" name="Shape 1022">
          <a:extLst>
            <a:ext uri="{FF2B5EF4-FFF2-40B4-BE49-F238E27FC236}">
              <a16:creationId xmlns:a16="http://schemas.microsoft.com/office/drawing/2014/main" id="{00000000-0008-0000-0B00-0000FF03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24</xdr:row>
      <xdr:rowOff>9525</xdr:rowOff>
    </xdr:from>
    <xdr:ext cx="323850" cy="180975"/>
    <xdr:sp macro="" textlink="">
      <xdr:nvSpPr>
        <xdr:cNvPr id="1024" name="Shape 1023">
          <a:extLst>
            <a:ext uri="{FF2B5EF4-FFF2-40B4-BE49-F238E27FC236}">
              <a16:creationId xmlns:a16="http://schemas.microsoft.com/office/drawing/2014/main" id="{00000000-0008-0000-0B00-00000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25</xdr:row>
      <xdr:rowOff>9525</xdr:rowOff>
    </xdr:from>
    <xdr:ext cx="323850" cy="180975"/>
    <xdr:sp macro="" textlink="">
      <xdr:nvSpPr>
        <xdr:cNvPr id="1025" name="Shape 1024">
          <a:extLst>
            <a:ext uri="{FF2B5EF4-FFF2-40B4-BE49-F238E27FC236}">
              <a16:creationId xmlns:a16="http://schemas.microsoft.com/office/drawing/2014/main" id="{00000000-0008-0000-0B00-00000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26</xdr:row>
      <xdr:rowOff>9525</xdr:rowOff>
    </xdr:from>
    <xdr:ext cx="323850" cy="180975"/>
    <xdr:sp macro="" textlink="">
      <xdr:nvSpPr>
        <xdr:cNvPr id="1026" name="Shape 1025">
          <a:extLst>
            <a:ext uri="{FF2B5EF4-FFF2-40B4-BE49-F238E27FC236}">
              <a16:creationId xmlns:a16="http://schemas.microsoft.com/office/drawing/2014/main" id="{00000000-0008-0000-0B00-00000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27</xdr:row>
      <xdr:rowOff>9525</xdr:rowOff>
    </xdr:from>
    <xdr:ext cx="323850" cy="180975"/>
    <xdr:sp macro="" textlink="">
      <xdr:nvSpPr>
        <xdr:cNvPr id="1027" name="Shape 1026">
          <a:extLst>
            <a:ext uri="{FF2B5EF4-FFF2-40B4-BE49-F238E27FC236}">
              <a16:creationId xmlns:a16="http://schemas.microsoft.com/office/drawing/2014/main" id="{00000000-0008-0000-0B00-00000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28</xdr:row>
      <xdr:rowOff>9525</xdr:rowOff>
    </xdr:from>
    <xdr:ext cx="323850" cy="180975"/>
    <xdr:sp macro="" textlink="">
      <xdr:nvSpPr>
        <xdr:cNvPr id="1028" name="Shape 1027">
          <a:extLst>
            <a:ext uri="{FF2B5EF4-FFF2-40B4-BE49-F238E27FC236}">
              <a16:creationId xmlns:a16="http://schemas.microsoft.com/office/drawing/2014/main" id="{00000000-0008-0000-0B00-00000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29</xdr:row>
      <xdr:rowOff>9525</xdr:rowOff>
    </xdr:from>
    <xdr:ext cx="323850" cy="180975"/>
    <xdr:sp macro="" textlink="">
      <xdr:nvSpPr>
        <xdr:cNvPr id="1029" name="Shape 1028">
          <a:extLst>
            <a:ext uri="{FF2B5EF4-FFF2-40B4-BE49-F238E27FC236}">
              <a16:creationId xmlns:a16="http://schemas.microsoft.com/office/drawing/2014/main" id="{00000000-0008-0000-0B00-00000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30</xdr:row>
      <xdr:rowOff>9525</xdr:rowOff>
    </xdr:from>
    <xdr:ext cx="323850" cy="180975"/>
    <xdr:sp macro="" textlink="">
      <xdr:nvSpPr>
        <xdr:cNvPr id="1030" name="Shape 1029">
          <a:extLst>
            <a:ext uri="{FF2B5EF4-FFF2-40B4-BE49-F238E27FC236}">
              <a16:creationId xmlns:a16="http://schemas.microsoft.com/office/drawing/2014/main" id="{00000000-0008-0000-0B00-00000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31</xdr:row>
      <xdr:rowOff>9525</xdr:rowOff>
    </xdr:from>
    <xdr:ext cx="323850" cy="180975"/>
    <xdr:sp macro="" textlink="">
      <xdr:nvSpPr>
        <xdr:cNvPr id="1031" name="Shape 1030">
          <a:extLst>
            <a:ext uri="{FF2B5EF4-FFF2-40B4-BE49-F238E27FC236}">
              <a16:creationId xmlns:a16="http://schemas.microsoft.com/office/drawing/2014/main" id="{00000000-0008-0000-0B00-00000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32</xdr:row>
      <xdr:rowOff>9525</xdr:rowOff>
    </xdr:from>
    <xdr:ext cx="323850" cy="180975"/>
    <xdr:sp macro="" textlink="">
      <xdr:nvSpPr>
        <xdr:cNvPr id="1032" name="Shape 1031">
          <a:extLst>
            <a:ext uri="{FF2B5EF4-FFF2-40B4-BE49-F238E27FC236}">
              <a16:creationId xmlns:a16="http://schemas.microsoft.com/office/drawing/2014/main" id="{00000000-0008-0000-0B00-00000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33</xdr:row>
      <xdr:rowOff>9525</xdr:rowOff>
    </xdr:from>
    <xdr:ext cx="323850" cy="180975"/>
    <xdr:sp macro="" textlink="">
      <xdr:nvSpPr>
        <xdr:cNvPr id="1033" name="Shape 1032">
          <a:extLst>
            <a:ext uri="{FF2B5EF4-FFF2-40B4-BE49-F238E27FC236}">
              <a16:creationId xmlns:a16="http://schemas.microsoft.com/office/drawing/2014/main" id="{00000000-0008-0000-0B00-00000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34</xdr:row>
      <xdr:rowOff>9525</xdr:rowOff>
    </xdr:from>
    <xdr:ext cx="323850" cy="180975"/>
    <xdr:sp macro="" textlink="">
      <xdr:nvSpPr>
        <xdr:cNvPr id="1034" name="Shape 1033">
          <a:extLst>
            <a:ext uri="{FF2B5EF4-FFF2-40B4-BE49-F238E27FC236}">
              <a16:creationId xmlns:a16="http://schemas.microsoft.com/office/drawing/2014/main" id="{00000000-0008-0000-0B00-00000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35</xdr:row>
      <xdr:rowOff>9525</xdr:rowOff>
    </xdr:from>
    <xdr:ext cx="323850" cy="180975"/>
    <xdr:sp macro="" textlink="">
      <xdr:nvSpPr>
        <xdr:cNvPr id="1035" name="Shape 1034">
          <a:extLst>
            <a:ext uri="{FF2B5EF4-FFF2-40B4-BE49-F238E27FC236}">
              <a16:creationId xmlns:a16="http://schemas.microsoft.com/office/drawing/2014/main" id="{00000000-0008-0000-0B00-00000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36</xdr:row>
      <xdr:rowOff>9525</xdr:rowOff>
    </xdr:from>
    <xdr:ext cx="323850" cy="180975"/>
    <xdr:sp macro="" textlink="">
      <xdr:nvSpPr>
        <xdr:cNvPr id="1036" name="Shape 1035">
          <a:extLst>
            <a:ext uri="{FF2B5EF4-FFF2-40B4-BE49-F238E27FC236}">
              <a16:creationId xmlns:a16="http://schemas.microsoft.com/office/drawing/2014/main" id="{00000000-0008-0000-0B00-00000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37</xdr:row>
      <xdr:rowOff>9525</xdr:rowOff>
    </xdr:from>
    <xdr:ext cx="323850" cy="180975"/>
    <xdr:sp macro="" textlink="">
      <xdr:nvSpPr>
        <xdr:cNvPr id="1037" name="Shape 1036">
          <a:extLst>
            <a:ext uri="{FF2B5EF4-FFF2-40B4-BE49-F238E27FC236}">
              <a16:creationId xmlns:a16="http://schemas.microsoft.com/office/drawing/2014/main" id="{00000000-0008-0000-0B00-00000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38</xdr:row>
      <xdr:rowOff>9525</xdr:rowOff>
    </xdr:from>
    <xdr:ext cx="323850" cy="180975"/>
    <xdr:sp macro="" textlink="">
      <xdr:nvSpPr>
        <xdr:cNvPr id="1038" name="Shape 1037">
          <a:extLst>
            <a:ext uri="{FF2B5EF4-FFF2-40B4-BE49-F238E27FC236}">
              <a16:creationId xmlns:a16="http://schemas.microsoft.com/office/drawing/2014/main" id="{00000000-0008-0000-0B00-00000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39</xdr:row>
      <xdr:rowOff>9525</xdr:rowOff>
    </xdr:from>
    <xdr:ext cx="323850" cy="180975"/>
    <xdr:sp macro="" textlink="">
      <xdr:nvSpPr>
        <xdr:cNvPr id="1039" name="Shape 1038">
          <a:extLst>
            <a:ext uri="{FF2B5EF4-FFF2-40B4-BE49-F238E27FC236}">
              <a16:creationId xmlns:a16="http://schemas.microsoft.com/office/drawing/2014/main" id="{00000000-0008-0000-0B00-00000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113</xdr:col>
      <xdr:colOff>0</xdr:colOff>
      <xdr:row>40</xdr:row>
      <xdr:rowOff>9525</xdr:rowOff>
    </xdr:from>
    <xdr:ext cx="323850" cy="180975"/>
    <xdr:sp macro="" textlink="">
      <xdr:nvSpPr>
        <xdr:cNvPr id="1040" name="Shape 1039">
          <a:extLst>
            <a:ext uri="{FF2B5EF4-FFF2-40B4-BE49-F238E27FC236}">
              <a16:creationId xmlns:a16="http://schemas.microsoft.com/office/drawing/2014/main" id="{00000000-0008-0000-0B00-00001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114</xdr:col>
      <xdr:colOff>0</xdr:colOff>
      <xdr:row>41</xdr:row>
      <xdr:rowOff>9525</xdr:rowOff>
    </xdr:from>
    <xdr:ext cx="323850" cy="180975"/>
    <xdr:sp macro="" textlink="">
      <xdr:nvSpPr>
        <xdr:cNvPr id="1041" name="Shape 1040">
          <a:extLst>
            <a:ext uri="{FF2B5EF4-FFF2-40B4-BE49-F238E27FC236}">
              <a16:creationId xmlns:a16="http://schemas.microsoft.com/office/drawing/2014/main" id="{00000000-0008-0000-0B00-00001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</xdr:row>
      <xdr:rowOff>9525</xdr:rowOff>
    </xdr:from>
    <xdr:ext cx="323850" cy="180975"/>
    <xdr:sp macro="" textlink="">
      <xdr:nvSpPr>
        <xdr:cNvPr id="1042" name="Shape 1041">
          <a:extLst>
            <a:ext uri="{FF2B5EF4-FFF2-40B4-BE49-F238E27FC236}">
              <a16:creationId xmlns:a16="http://schemas.microsoft.com/office/drawing/2014/main" id="{00000000-0008-0000-0B00-00001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</xdr:row>
      <xdr:rowOff>9525</xdr:rowOff>
    </xdr:from>
    <xdr:ext cx="323850" cy="180975"/>
    <xdr:sp macro="" textlink="">
      <xdr:nvSpPr>
        <xdr:cNvPr id="1043" name="Shape 1042">
          <a:extLst>
            <a:ext uri="{FF2B5EF4-FFF2-40B4-BE49-F238E27FC236}">
              <a16:creationId xmlns:a16="http://schemas.microsoft.com/office/drawing/2014/main" id="{00000000-0008-0000-0B00-00001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4</xdr:row>
      <xdr:rowOff>9525</xdr:rowOff>
    </xdr:from>
    <xdr:ext cx="323850" cy="180975"/>
    <xdr:sp macro="" textlink="">
      <xdr:nvSpPr>
        <xdr:cNvPr id="1044" name="Shape 1043">
          <a:extLst>
            <a:ext uri="{FF2B5EF4-FFF2-40B4-BE49-F238E27FC236}">
              <a16:creationId xmlns:a16="http://schemas.microsoft.com/office/drawing/2014/main" id="{00000000-0008-0000-0B00-00001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5</xdr:row>
      <xdr:rowOff>9525</xdr:rowOff>
    </xdr:from>
    <xdr:ext cx="323850" cy="180975"/>
    <xdr:sp macro="" textlink="">
      <xdr:nvSpPr>
        <xdr:cNvPr id="1045" name="Shape 1044">
          <a:extLst>
            <a:ext uri="{FF2B5EF4-FFF2-40B4-BE49-F238E27FC236}">
              <a16:creationId xmlns:a16="http://schemas.microsoft.com/office/drawing/2014/main" id="{00000000-0008-0000-0B00-00001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6</xdr:row>
      <xdr:rowOff>9525</xdr:rowOff>
    </xdr:from>
    <xdr:ext cx="323850" cy="180975"/>
    <xdr:sp macro="" textlink="">
      <xdr:nvSpPr>
        <xdr:cNvPr id="1046" name="Shape 1045">
          <a:extLst>
            <a:ext uri="{FF2B5EF4-FFF2-40B4-BE49-F238E27FC236}">
              <a16:creationId xmlns:a16="http://schemas.microsoft.com/office/drawing/2014/main" id="{00000000-0008-0000-0B00-00001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7</xdr:row>
      <xdr:rowOff>9525</xdr:rowOff>
    </xdr:from>
    <xdr:ext cx="323850" cy="180975"/>
    <xdr:sp macro="" textlink="">
      <xdr:nvSpPr>
        <xdr:cNvPr id="1047" name="Shape 1046">
          <a:extLst>
            <a:ext uri="{FF2B5EF4-FFF2-40B4-BE49-F238E27FC236}">
              <a16:creationId xmlns:a16="http://schemas.microsoft.com/office/drawing/2014/main" id="{00000000-0008-0000-0B00-00001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8</xdr:row>
      <xdr:rowOff>9525</xdr:rowOff>
    </xdr:from>
    <xdr:ext cx="323850" cy="180975"/>
    <xdr:sp macro="" textlink="">
      <xdr:nvSpPr>
        <xdr:cNvPr id="1048" name="Shape 1047">
          <a:extLst>
            <a:ext uri="{FF2B5EF4-FFF2-40B4-BE49-F238E27FC236}">
              <a16:creationId xmlns:a16="http://schemas.microsoft.com/office/drawing/2014/main" id="{00000000-0008-0000-0B00-00001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9</xdr:row>
      <xdr:rowOff>9525</xdr:rowOff>
    </xdr:from>
    <xdr:ext cx="323850" cy="180975"/>
    <xdr:sp macro="" textlink="">
      <xdr:nvSpPr>
        <xdr:cNvPr id="1049" name="Shape 1048">
          <a:extLst>
            <a:ext uri="{FF2B5EF4-FFF2-40B4-BE49-F238E27FC236}">
              <a16:creationId xmlns:a16="http://schemas.microsoft.com/office/drawing/2014/main" id="{00000000-0008-0000-0B00-00001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10</xdr:row>
      <xdr:rowOff>9525</xdr:rowOff>
    </xdr:from>
    <xdr:ext cx="323850" cy="180975"/>
    <xdr:sp macro="" textlink="">
      <xdr:nvSpPr>
        <xdr:cNvPr id="1050" name="Shape 1049">
          <a:extLst>
            <a:ext uri="{FF2B5EF4-FFF2-40B4-BE49-F238E27FC236}">
              <a16:creationId xmlns:a16="http://schemas.microsoft.com/office/drawing/2014/main" id="{00000000-0008-0000-0B00-00001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11</xdr:row>
      <xdr:rowOff>9525</xdr:rowOff>
    </xdr:from>
    <xdr:ext cx="323850" cy="180975"/>
    <xdr:sp macro="" textlink="">
      <xdr:nvSpPr>
        <xdr:cNvPr id="1051" name="Shape 1050">
          <a:extLst>
            <a:ext uri="{FF2B5EF4-FFF2-40B4-BE49-F238E27FC236}">
              <a16:creationId xmlns:a16="http://schemas.microsoft.com/office/drawing/2014/main" id="{00000000-0008-0000-0B00-00001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12</xdr:row>
      <xdr:rowOff>9525</xdr:rowOff>
    </xdr:from>
    <xdr:ext cx="323850" cy="180975"/>
    <xdr:sp macro="" textlink="">
      <xdr:nvSpPr>
        <xdr:cNvPr id="1052" name="Shape 1051">
          <a:extLst>
            <a:ext uri="{FF2B5EF4-FFF2-40B4-BE49-F238E27FC236}">
              <a16:creationId xmlns:a16="http://schemas.microsoft.com/office/drawing/2014/main" id="{00000000-0008-0000-0B00-00001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13</xdr:row>
      <xdr:rowOff>9525</xdr:rowOff>
    </xdr:from>
    <xdr:ext cx="323850" cy="180975"/>
    <xdr:sp macro="" textlink="">
      <xdr:nvSpPr>
        <xdr:cNvPr id="1053" name="Shape 1052">
          <a:extLst>
            <a:ext uri="{FF2B5EF4-FFF2-40B4-BE49-F238E27FC236}">
              <a16:creationId xmlns:a16="http://schemas.microsoft.com/office/drawing/2014/main" id="{00000000-0008-0000-0B00-00001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14</xdr:row>
      <xdr:rowOff>9525</xdr:rowOff>
    </xdr:from>
    <xdr:ext cx="323850" cy="180975"/>
    <xdr:sp macro="" textlink="">
      <xdr:nvSpPr>
        <xdr:cNvPr id="1054" name="Shape 1053">
          <a:extLst>
            <a:ext uri="{FF2B5EF4-FFF2-40B4-BE49-F238E27FC236}">
              <a16:creationId xmlns:a16="http://schemas.microsoft.com/office/drawing/2014/main" id="{00000000-0008-0000-0B00-00001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15</xdr:row>
      <xdr:rowOff>9525</xdr:rowOff>
    </xdr:from>
    <xdr:ext cx="323850" cy="180975"/>
    <xdr:sp macro="" textlink="">
      <xdr:nvSpPr>
        <xdr:cNvPr id="1055" name="Shape 1054">
          <a:extLst>
            <a:ext uri="{FF2B5EF4-FFF2-40B4-BE49-F238E27FC236}">
              <a16:creationId xmlns:a16="http://schemas.microsoft.com/office/drawing/2014/main" id="{00000000-0008-0000-0B00-00001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16</xdr:row>
      <xdr:rowOff>9525</xdr:rowOff>
    </xdr:from>
    <xdr:ext cx="323850" cy="180975"/>
    <xdr:sp macro="" textlink="">
      <xdr:nvSpPr>
        <xdr:cNvPr id="1056" name="Shape 1055">
          <a:extLst>
            <a:ext uri="{FF2B5EF4-FFF2-40B4-BE49-F238E27FC236}">
              <a16:creationId xmlns:a16="http://schemas.microsoft.com/office/drawing/2014/main" id="{00000000-0008-0000-0B00-00002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17</xdr:row>
      <xdr:rowOff>9525</xdr:rowOff>
    </xdr:from>
    <xdr:ext cx="323850" cy="180975"/>
    <xdr:sp macro="" textlink="">
      <xdr:nvSpPr>
        <xdr:cNvPr id="1057" name="Shape 1056">
          <a:extLst>
            <a:ext uri="{FF2B5EF4-FFF2-40B4-BE49-F238E27FC236}">
              <a16:creationId xmlns:a16="http://schemas.microsoft.com/office/drawing/2014/main" id="{00000000-0008-0000-0B00-00002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18</xdr:row>
      <xdr:rowOff>9525</xdr:rowOff>
    </xdr:from>
    <xdr:ext cx="323850" cy="180975"/>
    <xdr:sp macro="" textlink="">
      <xdr:nvSpPr>
        <xdr:cNvPr id="1058" name="Shape 1057">
          <a:extLst>
            <a:ext uri="{FF2B5EF4-FFF2-40B4-BE49-F238E27FC236}">
              <a16:creationId xmlns:a16="http://schemas.microsoft.com/office/drawing/2014/main" id="{00000000-0008-0000-0B00-00002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19</xdr:row>
      <xdr:rowOff>9525</xdr:rowOff>
    </xdr:from>
    <xdr:ext cx="323850" cy="180975"/>
    <xdr:sp macro="" textlink="">
      <xdr:nvSpPr>
        <xdr:cNvPr id="1059" name="Shape 1058">
          <a:extLst>
            <a:ext uri="{FF2B5EF4-FFF2-40B4-BE49-F238E27FC236}">
              <a16:creationId xmlns:a16="http://schemas.microsoft.com/office/drawing/2014/main" id="{00000000-0008-0000-0B00-00002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20</xdr:row>
      <xdr:rowOff>9525</xdr:rowOff>
    </xdr:from>
    <xdr:ext cx="323850" cy="180975"/>
    <xdr:sp macro="" textlink="">
      <xdr:nvSpPr>
        <xdr:cNvPr id="1060" name="Shape 1059">
          <a:extLst>
            <a:ext uri="{FF2B5EF4-FFF2-40B4-BE49-F238E27FC236}">
              <a16:creationId xmlns:a16="http://schemas.microsoft.com/office/drawing/2014/main" id="{00000000-0008-0000-0B00-00002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21</xdr:row>
      <xdr:rowOff>9525</xdr:rowOff>
    </xdr:from>
    <xdr:ext cx="323850" cy="180975"/>
    <xdr:sp macro="" textlink="">
      <xdr:nvSpPr>
        <xdr:cNvPr id="1061" name="Shape 1060">
          <a:extLst>
            <a:ext uri="{FF2B5EF4-FFF2-40B4-BE49-F238E27FC236}">
              <a16:creationId xmlns:a16="http://schemas.microsoft.com/office/drawing/2014/main" id="{00000000-0008-0000-0B00-00002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22</xdr:row>
      <xdr:rowOff>9525</xdr:rowOff>
    </xdr:from>
    <xdr:ext cx="323850" cy="180975"/>
    <xdr:sp macro="" textlink="">
      <xdr:nvSpPr>
        <xdr:cNvPr id="1062" name="Shape 1061">
          <a:extLst>
            <a:ext uri="{FF2B5EF4-FFF2-40B4-BE49-F238E27FC236}">
              <a16:creationId xmlns:a16="http://schemas.microsoft.com/office/drawing/2014/main" id="{00000000-0008-0000-0B00-00002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23</xdr:row>
      <xdr:rowOff>9525</xdr:rowOff>
    </xdr:from>
    <xdr:ext cx="323850" cy="180975"/>
    <xdr:sp macro="" textlink="">
      <xdr:nvSpPr>
        <xdr:cNvPr id="1063" name="Shape 1062">
          <a:extLst>
            <a:ext uri="{FF2B5EF4-FFF2-40B4-BE49-F238E27FC236}">
              <a16:creationId xmlns:a16="http://schemas.microsoft.com/office/drawing/2014/main" id="{00000000-0008-0000-0B00-00002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24</xdr:row>
      <xdr:rowOff>9525</xdr:rowOff>
    </xdr:from>
    <xdr:ext cx="323850" cy="180975"/>
    <xdr:sp macro="" textlink="">
      <xdr:nvSpPr>
        <xdr:cNvPr id="1064" name="Shape 1063">
          <a:extLst>
            <a:ext uri="{FF2B5EF4-FFF2-40B4-BE49-F238E27FC236}">
              <a16:creationId xmlns:a16="http://schemas.microsoft.com/office/drawing/2014/main" id="{00000000-0008-0000-0B00-00002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25</xdr:row>
      <xdr:rowOff>9525</xdr:rowOff>
    </xdr:from>
    <xdr:ext cx="323850" cy="180975"/>
    <xdr:sp macro="" textlink="">
      <xdr:nvSpPr>
        <xdr:cNvPr id="1065" name="Shape 1064">
          <a:extLst>
            <a:ext uri="{FF2B5EF4-FFF2-40B4-BE49-F238E27FC236}">
              <a16:creationId xmlns:a16="http://schemas.microsoft.com/office/drawing/2014/main" id="{00000000-0008-0000-0B00-00002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26</xdr:row>
      <xdr:rowOff>9525</xdr:rowOff>
    </xdr:from>
    <xdr:ext cx="323850" cy="180975"/>
    <xdr:sp macro="" textlink="">
      <xdr:nvSpPr>
        <xdr:cNvPr id="1066" name="Shape 1065">
          <a:extLst>
            <a:ext uri="{FF2B5EF4-FFF2-40B4-BE49-F238E27FC236}">
              <a16:creationId xmlns:a16="http://schemas.microsoft.com/office/drawing/2014/main" id="{00000000-0008-0000-0B00-00002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27</xdr:row>
      <xdr:rowOff>9525</xdr:rowOff>
    </xdr:from>
    <xdr:ext cx="323850" cy="180975"/>
    <xdr:sp macro="" textlink="">
      <xdr:nvSpPr>
        <xdr:cNvPr id="1067" name="Shape 1066">
          <a:extLst>
            <a:ext uri="{FF2B5EF4-FFF2-40B4-BE49-F238E27FC236}">
              <a16:creationId xmlns:a16="http://schemas.microsoft.com/office/drawing/2014/main" id="{00000000-0008-0000-0B00-00002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28</xdr:row>
      <xdr:rowOff>9525</xdr:rowOff>
    </xdr:from>
    <xdr:ext cx="323850" cy="180975"/>
    <xdr:sp macro="" textlink="">
      <xdr:nvSpPr>
        <xdr:cNvPr id="1068" name="Shape 1067">
          <a:extLst>
            <a:ext uri="{FF2B5EF4-FFF2-40B4-BE49-F238E27FC236}">
              <a16:creationId xmlns:a16="http://schemas.microsoft.com/office/drawing/2014/main" id="{00000000-0008-0000-0B00-00002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29</xdr:row>
      <xdr:rowOff>9525</xdr:rowOff>
    </xdr:from>
    <xdr:ext cx="323850" cy="180975"/>
    <xdr:sp macro="" textlink="">
      <xdr:nvSpPr>
        <xdr:cNvPr id="1069" name="Shape 1068">
          <a:extLst>
            <a:ext uri="{FF2B5EF4-FFF2-40B4-BE49-F238E27FC236}">
              <a16:creationId xmlns:a16="http://schemas.microsoft.com/office/drawing/2014/main" id="{00000000-0008-0000-0B00-00002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30</xdr:row>
      <xdr:rowOff>9525</xdr:rowOff>
    </xdr:from>
    <xdr:ext cx="323850" cy="180975"/>
    <xdr:sp macro="" textlink="">
      <xdr:nvSpPr>
        <xdr:cNvPr id="1070" name="Shape 1069">
          <a:extLst>
            <a:ext uri="{FF2B5EF4-FFF2-40B4-BE49-F238E27FC236}">
              <a16:creationId xmlns:a16="http://schemas.microsoft.com/office/drawing/2014/main" id="{00000000-0008-0000-0B00-00002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31</xdr:row>
      <xdr:rowOff>9525</xdr:rowOff>
    </xdr:from>
    <xdr:ext cx="323850" cy="180975"/>
    <xdr:sp macro="" textlink="">
      <xdr:nvSpPr>
        <xdr:cNvPr id="1071" name="Shape 1070">
          <a:extLst>
            <a:ext uri="{FF2B5EF4-FFF2-40B4-BE49-F238E27FC236}">
              <a16:creationId xmlns:a16="http://schemas.microsoft.com/office/drawing/2014/main" id="{00000000-0008-0000-0B00-00002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32</xdr:row>
      <xdr:rowOff>9525</xdr:rowOff>
    </xdr:from>
    <xdr:ext cx="323850" cy="180975"/>
    <xdr:sp macro="" textlink="">
      <xdr:nvSpPr>
        <xdr:cNvPr id="1072" name="Shape 1071">
          <a:extLst>
            <a:ext uri="{FF2B5EF4-FFF2-40B4-BE49-F238E27FC236}">
              <a16:creationId xmlns:a16="http://schemas.microsoft.com/office/drawing/2014/main" id="{00000000-0008-0000-0B00-00003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33</xdr:row>
      <xdr:rowOff>9525</xdr:rowOff>
    </xdr:from>
    <xdr:ext cx="323850" cy="180975"/>
    <xdr:sp macro="" textlink="">
      <xdr:nvSpPr>
        <xdr:cNvPr id="1073" name="Shape 1072">
          <a:extLst>
            <a:ext uri="{FF2B5EF4-FFF2-40B4-BE49-F238E27FC236}">
              <a16:creationId xmlns:a16="http://schemas.microsoft.com/office/drawing/2014/main" id="{00000000-0008-0000-0B00-00003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34</xdr:row>
      <xdr:rowOff>9525</xdr:rowOff>
    </xdr:from>
    <xdr:ext cx="323850" cy="180975"/>
    <xdr:sp macro="" textlink="">
      <xdr:nvSpPr>
        <xdr:cNvPr id="1074" name="Shape 1073">
          <a:extLst>
            <a:ext uri="{FF2B5EF4-FFF2-40B4-BE49-F238E27FC236}">
              <a16:creationId xmlns:a16="http://schemas.microsoft.com/office/drawing/2014/main" id="{00000000-0008-0000-0B00-00003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35</xdr:row>
      <xdr:rowOff>9525</xdr:rowOff>
    </xdr:from>
    <xdr:ext cx="323850" cy="180975"/>
    <xdr:sp macro="" textlink="">
      <xdr:nvSpPr>
        <xdr:cNvPr id="1075" name="Shape 1074">
          <a:extLst>
            <a:ext uri="{FF2B5EF4-FFF2-40B4-BE49-F238E27FC236}">
              <a16:creationId xmlns:a16="http://schemas.microsoft.com/office/drawing/2014/main" id="{00000000-0008-0000-0B00-00003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36</xdr:row>
      <xdr:rowOff>9525</xdr:rowOff>
    </xdr:from>
    <xdr:ext cx="323850" cy="180975"/>
    <xdr:sp macro="" textlink="">
      <xdr:nvSpPr>
        <xdr:cNvPr id="1076" name="Shape 1075">
          <a:extLst>
            <a:ext uri="{FF2B5EF4-FFF2-40B4-BE49-F238E27FC236}">
              <a16:creationId xmlns:a16="http://schemas.microsoft.com/office/drawing/2014/main" id="{00000000-0008-0000-0B00-00003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37</xdr:row>
      <xdr:rowOff>9525</xdr:rowOff>
    </xdr:from>
    <xdr:ext cx="323850" cy="180975"/>
    <xdr:sp macro="" textlink="">
      <xdr:nvSpPr>
        <xdr:cNvPr id="1077" name="Shape 1076">
          <a:extLst>
            <a:ext uri="{FF2B5EF4-FFF2-40B4-BE49-F238E27FC236}">
              <a16:creationId xmlns:a16="http://schemas.microsoft.com/office/drawing/2014/main" id="{00000000-0008-0000-0B00-00003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38</xdr:row>
      <xdr:rowOff>9525</xdr:rowOff>
    </xdr:from>
    <xdr:ext cx="323850" cy="180975"/>
    <xdr:sp macro="" textlink="">
      <xdr:nvSpPr>
        <xdr:cNvPr id="1078" name="Shape 1077">
          <a:extLst>
            <a:ext uri="{FF2B5EF4-FFF2-40B4-BE49-F238E27FC236}">
              <a16:creationId xmlns:a16="http://schemas.microsoft.com/office/drawing/2014/main" id="{00000000-0008-0000-0B00-00003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39</xdr:row>
      <xdr:rowOff>9525</xdr:rowOff>
    </xdr:from>
    <xdr:ext cx="323850" cy="180975"/>
    <xdr:sp macro="" textlink="">
      <xdr:nvSpPr>
        <xdr:cNvPr id="1079" name="Shape 1078">
          <a:extLst>
            <a:ext uri="{FF2B5EF4-FFF2-40B4-BE49-F238E27FC236}">
              <a16:creationId xmlns:a16="http://schemas.microsoft.com/office/drawing/2014/main" id="{00000000-0008-0000-0B00-00003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118</xdr:col>
      <xdr:colOff>0</xdr:colOff>
      <xdr:row>40</xdr:row>
      <xdr:rowOff>9525</xdr:rowOff>
    </xdr:from>
    <xdr:ext cx="323850" cy="180975"/>
    <xdr:sp macro="" textlink="">
      <xdr:nvSpPr>
        <xdr:cNvPr id="1080" name="Shape 1079">
          <a:extLst>
            <a:ext uri="{FF2B5EF4-FFF2-40B4-BE49-F238E27FC236}">
              <a16:creationId xmlns:a16="http://schemas.microsoft.com/office/drawing/2014/main" id="{00000000-0008-0000-0B00-00003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117</xdr:col>
      <xdr:colOff>0</xdr:colOff>
      <xdr:row>41</xdr:row>
      <xdr:rowOff>9525</xdr:rowOff>
    </xdr:from>
    <xdr:ext cx="323850" cy="180975"/>
    <xdr:sp macro="" textlink="">
      <xdr:nvSpPr>
        <xdr:cNvPr id="1081" name="Shape 1080">
          <a:extLst>
            <a:ext uri="{FF2B5EF4-FFF2-40B4-BE49-F238E27FC236}">
              <a16:creationId xmlns:a16="http://schemas.microsoft.com/office/drawing/2014/main" id="{00000000-0008-0000-0B00-00003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</xdr:row>
      <xdr:rowOff>9525</xdr:rowOff>
    </xdr:from>
    <xdr:ext cx="323850" cy="180975"/>
    <xdr:sp macro="" textlink="">
      <xdr:nvSpPr>
        <xdr:cNvPr id="1082" name="Shape 1081">
          <a:extLst>
            <a:ext uri="{FF2B5EF4-FFF2-40B4-BE49-F238E27FC236}">
              <a16:creationId xmlns:a16="http://schemas.microsoft.com/office/drawing/2014/main" id="{00000000-0008-0000-0B00-00003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</xdr:row>
      <xdr:rowOff>9525</xdr:rowOff>
    </xdr:from>
    <xdr:ext cx="323850" cy="180975"/>
    <xdr:sp macro="" textlink="">
      <xdr:nvSpPr>
        <xdr:cNvPr id="1083" name="Shape 1082">
          <a:extLst>
            <a:ext uri="{FF2B5EF4-FFF2-40B4-BE49-F238E27FC236}">
              <a16:creationId xmlns:a16="http://schemas.microsoft.com/office/drawing/2014/main" id="{00000000-0008-0000-0B00-00003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4</xdr:row>
      <xdr:rowOff>9525</xdr:rowOff>
    </xdr:from>
    <xdr:ext cx="323850" cy="180975"/>
    <xdr:sp macro="" textlink="">
      <xdr:nvSpPr>
        <xdr:cNvPr id="1084" name="Shape 1083">
          <a:extLst>
            <a:ext uri="{FF2B5EF4-FFF2-40B4-BE49-F238E27FC236}">
              <a16:creationId xmlns:a16="http://schemas.microsoft.com/office/drawing/2014/main" id="{00000000-0008-0000-0B00-00003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5</xdr:row>
      <xdr:rowOff>9525</xdr:rowOff>
    </xdr:from>
    <xdr:ext cx="323850" cy="180975"/>
    <xdr:sp macro="" textlink="">
      <xdr:nvSpPr>
        <xdr:cNvPr id="1085" name="Shape 1084">
          <a:extLst>
            <a:ext uri="{FF2B5EF4-FFF2-40B4-BE49-F238E27FC236}">
              <a16:creationId xmlns:a16="http://schemas.microsoft.com/office/drawing/2014/main" id="{00000000-0008-0000-0B00-00003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6</xdr:row>
      <xdr:rowOff>9525</xdr:rowOff>
    </xdr:from>
    <xdr:ext cx="323850" cy="180975"/>
    <xdr:sp macro="" textlink="">
      <xdr:nvSpPr>
        <xdr:cNvPr id="1086" name="Shape 1085">
          <a:extLst>
            <a:ext uri="{FF2B5EF4-FFF2-40B4-BE49-F238E27FC236}">
              <a16:creationId xmlns:a16="http://schemas.microsoft.com/office/drawing/2014/main" id="{00000000-0008-0000-0B00-00003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7</xdr:row>
      <xdr:rowOff>9525</xdr:rowOff>
    </xdr:from>
    <xdr:ext cx="323850" cy="180975"/>
    <xdr:sp macro="" textlink="">
      <xdr:nvSpPr>
        <xdr:cNvPr id="1087" name="Shape 1086">
          <a:extLst>
            <a:ext uri="{FF2B5EF4-FFF2-40B4-BE49-F238E27FC236}">
              <a16:creationId xmlns:a16="http://schemas.microsoft.com/office/drawing/2014/main" id="{00000000-0008-0000-0B00-00003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8</xdr:row>
      <xdr:rowOff>9525</xdr:rowOff>
    </xdr:from>
    <xdr:ext cx="323850" cy="180975"/>
    <xdr:sp macro="" textlink="">
      <xdr:nvSpPr>
        <xdr:cNvPr id="1088" name="Shape 1087">
          <a:extLst>
            <a:ext uri="{FF2B5EF4-FFF2-40B4-BE49-F238E27FC236}">
              <a16:creationId xmlns:a16="http://schemas.microsoft.com/office/drawing/2014/main" id="{00000000-0008-0000-0B00-00004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9</xdr:row>
      <xdr:rowOff>9525</xdr:rowOff>
    </xdr:from>
    <xdr:ext cx="323850" cy="180975"/>
    <xdr:sp macro="" textlink="">
      <xdr:nvSpPr>
        <xdr:cNvPr id="1089" name="Shape 1088">
          <a:extLst>
            <a:ext uri="{FF2B5EF4-FFF2-40B4-BE49-F238E27FC236}">
              <a16:creationId xmlns:a16="http://schemas.microsoft.com/office/drawing/2014/main" id="{00000000-0008-0000-0B00-00004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10</xdr:row>
      <xdr:rowOff>9525</xdr:rowOff>
    </xdr:from>
    <xdr:ext cx="323850" cy="180975"/>
    <xdr:sp macro="" textlink="">
      <xdr:nvSpPr>
        <xdr:cNvPr id="1090" name="Shape 1089">
          <a:extLst>
            <a:ext uri="{FF2B5EF4-FFF2-40B4-BE49-F238E27FC236}">
              <a16:creationId xmlns:a16="http://schemas.microsoft.com/office/drawing/2014/main" id="{00000000-0008-0000-0B00-00004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11</xdr:row>
      <xdr:rowOff>9525</xdr:rowOff>
    </xdr:from>
    <xdr:ext cx="323850" cy="180975"/>
    <xdr:sp macro="" textlink="">
      <xdr:nvSpPr>
        <xdr:cNvPr id="1091" name="Shape 1090">
          <a:extLst>
            <a:ext uri="{FF2B5EF4-FFF2-40B4-BE49-F238E27FC236}">
              <a16:creationId xmlns:a16="http://schemas.microsoft.com/office/drawing/2014/main" id="{00000000-0008-0000-0B00-00004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12</xdr:row>
      <xdr:rowOff>9525</xdr:rowOff>
    </xdr:from>
    <xdr:ext cx="323850" cy="180975"/>
    <xdr:sp macro="" textlink="">
      <xdr:nvSpPr>
        <xdr:cNvPr id="1092" name="Shape 1091">
          <a:extLst>
            <a:ext uri="{FF2B5EF4-FFF2-40B4-BE49-F238E27FC236}">
              <a16:creationId xmlns:a16="http://schemas.microsoft.com/office/drawing/2014/main" id="{00000000-0008-0000-0B00-00004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13</xdr:row>
      <xdr:rowOff>9525</xdr:rowOff>
    </xdr:from>
    <xdr:ext cx="323850" cy="180975"/>
    <xdr:sp macro="" textlink="">
      <xdr:nvSpPr>
        <xdr:cNvPr id="1093" name="Shape 1092">
          <a:extLst>
            <a:ext uri="{FF2B5EF4-FFF2-40B4-BE49-F238E27FC236}">
              <a16:creationId xmlns:a16="http://schemas.microsoft.com/office/drawing/2014/main" id="{00000000-0008-0000-0B00-00004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14</xdr:row>
      <xdr:rowOff>9525</xdr:rowOff>
    </xdr:from>
    <xdr:ext cx="323850" cy="180975"/>
    <xdr:sp macro="" textlink="">
      <xdr:nvSpPr>
        <xdr:cNvPr id="1094" name="Shape 1093">
          <a:extLst>
            <a:ext uri="{FF2B5EF4-FFF2-40B4-BE49-F238E27FC236}">
              <a16:creationId xmlns:a16="http://schemas.microsoft.com/office/drawing/2014/main" id="{00000000-0008-0000-0B00-00004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15</xdr:row>
      <xdr:rowOff>9525</xdr:rowOff>
    </xdr:from>
    <xdr:ext cx="323850" cy="180975"/>
    <xdr:sp macro="" textlink="">
      <xdr:nvSpPr>
        <xdr:cNvPr id="1095" name="Shape 1094">
          <a:extLst>
            <a:ext uri="{FF2B5EF4-FFF2-40B4-BE49-F238E27FC236}">
              <a16:creationId xmlns:a16="http://schemas.microsoft.com/office/drawing/2014/main" id="{00000000-0008-0000-0B00-00004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16</xdr:row>
      <xdr:rowOff>9525</xdr:rowOff>
    </xdr:from>
    <xdr:ext cx="323850" cy="180975"/>
    <xdr:sp macro="" textlink="">
      <xdr:nvSpPr>
        <xdr:cNvPr id="1096" name="Shape 1095">
          <a:extLst>
            <a:ext uri="{FF2B5EF4-FFF2-40B4-BE49-F238E27FC236}">
              <a16:creationId xmlns:a16="http://schemas.microsoft.com/office/drawing/2014/main" id="{00000000-0008-0000-0B00-00004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17</xdr:row>
      <xdr:rowOff>9525</xdr:rowOff>
    </xdr:from>
    <xdr:ext cx="323850" cy="180975"/>
    <xdr:sp macro="" textlink="">
      <xdr:nvSpPr>
        <xdr:cNvPr id="1097" name="Shape 1096">
          <a:extLst>
            <a:ext uri="{FF2B5EF4-FFF2-40B4-BE49-F238E27FC236}">
              <a16:creationId xmlns:a16="http://schemas.microsoft.com/office/drawing/2014/main" id="{00000000-0008-0000-0B00-00004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18</xdr:row>
      <xdr:rowOff>9525</xdr:rowOff>
    </xdr:from>
    <xdr:ext cx="323850" cy="180975"/>
    <xdr:sp macro="" textlink="">
      <xdr:nvSpPr>
        <xdr:cNvPr id="1098" name="Shape 1097">
          <a:extLst>
            <a:ext uri="{FF2B5EF4-FFF2-40B4-BE49-F238E27FC236}">
              <a16:creationId xmlns:a16="http://schemas.microsoft.com/office/drawing/2014/main" id="{00000000-0008-0000-0B00-00004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19</xdr:row>
      <xdr:rowOff>9525</xdr:rowOff>
    </xdr:from>
    <xdr:ext cx="323850" cy="180975"/>
    <xdr:sp macro="" textlink="">
      <xdr:nvSpPr>
        <xdr:cNvPr id="1099" name="Shape 1098">
          <a:extLst>
            <a:ext uri="{FF2B5EF4-FFF2-40B4-BE49-F238E27FC236}">
              <a16:creationId xmlns:a16="http://schemas.microsoft.com/office/drawing/2014/main" id="{00000000-0008-0000-0B00-00004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20</xdr:row>
      <xdr:rowOff>9525</xdr:rowOff>
    </xdr:from>
    <xdr:ext cx="323850" cy="180975"/>
    <xdr:sp macro="" textlink="">
      <xdr:nvSpPr>
        <xdr:cNvPr id="1100" name="Shape 1099">
          <a:extLst>
            <a:ext uri="{FF2B5EF4-FFF2-40B4-BE49-F238E27FC236}">
              <a16:creationId xmlns:a16="http://schemas.microsoft.com/office/drawing/2014/main" id="{00000000-0008-0000-0B00-00004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21</xdr:row>
      <xdr:rowOff>9525</xdr:rowOff>
    </xdr:from>
    <xdr:ext cx="323850" cy="180975"/>
    <xdr:sp macro="" textlink="">
      <xdr:nvSpPr>
        <xdr:cNvPr id="1101" name="Shape 1100">
          <a:extLst>
            <a:ext uri="{FF2B5EF4-FFF2-40B4-BE49-F238E27FC236}">
              <a16:creationId xmlns:a16="http://schemas.microsoft.com/office/drawing/2014/main" id="{00000000-0008-0000-0B00-00004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22</xdr:row>
      <xdr:rowOff>9525</xdr:rowOff>
    </xdr:from>
    <xdr:ext cx="323850" cy="180975"/>
    <xdr:sp macro="" textlink="">
      <xdr:nvSpPr>
        <xdr:cNvPr id="1102" name="Shape 1101">
          <a:extLst>
            <a:ext uri="{FF2B5EF4-FFF2-40B4-BE49-F238E27FC236}">
              <a16:creationId xmlns:a16="http://schemas.microsoft.com/office/drawing/2014/main" id="{00000000-0008-0000-0B00-00004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23</xdr:row>
      <xdr:rowOff>9525</xdr:rowOff>
    </xdr:from>
    <xdr:ext cx="323850" cy="180975"/>
    <xdr:sp macro="" textlink="">
      <xdr:nvSpPr>
        <xdr:cNvPr id="1103" name="Shape 1102">
          <a:extLst>
            <a:ext uri="{FF2B5EF4-FFF2-40B4-BE49-F238E27FC236}">
              <a16:creationId xmlns:a16="http://schemas.microsoft.com/office/drawing/2014/main" id="{00000000-0008-0000-0B00-00004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24</xdr:row>
      <xdr:rowOff>9525</xdr:rowOff>
    </xdr:from>
    <xdr:ext cx="323850" cy="180975"/>
    <xdr:sp macro="" textlink="">
      <xdr:nvSpPr>
        <xdr:cNvPr id="1104" name="Shape 1103">
          <a:extLst>
            <a:ext uri="{FF2B5EF4-FFF2-40B4-BE49-F238E27FC236}">
              <a16:creationId xmlns:a16="http://schemas.microsoft.com/office/drawing/2014/main" id="{00000000-0008-0000-0B00-00005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25</xdr:row>
      <xdr:rowOff>9525</xdr:rowOff>
    </xdr:from>
    <xdr:ext cx="323850" cy="180975"/>
    <xdr:sp macro="" textlink="">
      <xdr:nvSpPr>
        <xdr:cNvPr id="1105" name="Shape 1104">
          <a:extLst>
            <a:ext uri="{FF2B5EF4-FFF2-40B4-BE49-F238E27FC236}">
              <a16:creationId xmlns:a16="http://schemas.microsoft.com/office/drawing/2014/main" id="{00000000-0008-0000-0B00-00005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26</xdr:row>
      <xdr:rowOff>9525</xdr:rowOff>
    </xdr:from>
    <xdr:ext cx="323850" cy="180975"/>
    <xdr:sp macro="" textlink="">
      <xdr:nvSpPr>
        <xdr:cNvPr id="1106" name="Shape 1105">
          <a:extLst>
            <a:ext uri="{FF2B5EF4-FFF2-40B4-BE49-F238E27FC236}">
              <a16:creationId xmlns:a16="http://schemas.microsoft.com/office/drawing/2014/main" id="{00000000-0008-0000-0B00-00005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27</xdr:row>
      <xdr:rowOff>9525</xdr:rowOff>
    </xdr:from>
    <xdr:ext cx="323850" cy="180975"/>
    <xdr:sp macro="" textlink="">
      <xdr:nvSpPr>
        <xdr:cNvPr id="1107" name="Shape 1106">
          <a:extLst>
            <a:ext uri="{FF2B5EF4-FFF2-40B4-BE49-F238E27FC236}">
              <a16:creationId xmlns:a16="http://schemas.microsoft.com/office/drawing/2014/main" id="{00000000-0008-0000-0B00-00005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28</xdr:row>
      <xdr:rowOff>9525</xdr:rowOff>
    </xdr:from>
    <xdr:ext cx="323850" cy="180975"/>
    <xdr:sp macro="" textlink="">
      <xdr:nvSpPr>
        <xdr:cNvPr id="1108" name="Shape 1107">
          <a:extLst>
            <a:ext uri="{FF2B5EF4-FFF2-40B4-BE49-F238E27FC236}">
              <a16:creationId xmlns:a16="http://schemas.microsoft.com/office/drawing/2014/main" id="{00000000-0008-0000-0B00-00005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29</xdr:row>
      <xdr:rowOff>9525</xdr:rowOff>
    </xdr:from>
    <xdr:ext cx="323850" cy="180975"/>
    <xdr:sp macro="" textlink="">
      <xdr:nvSpPr>
        <xdr:cNvPr id="1109" name="Shape 1108">
          <a:extLst>
            <a:ext uri="{FF2B5EF4-FFF2-40B4-BE49-F238E27FC236}">
              <a16:creationId xmlns:a16="http://schemas.microsoft.com/office/drawing/2014/main" id="{00000000-0008-0000-0B00-00005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30</xdr:row>
      <xdr:rowOff>9525</xdr:rowOff>
    </xdr:from>
    <xdr:ext cx="323850" cy="180975"/>
    <xdr:sp macro="" textlink="">
      <xdr:nvSpPr>
        <xdr:cNvPr id="1110" name="Shape 1109">
          <a:extLst>
            <a:ext uri="{FF2B5EF4-FFF2-40B4-BE49-F238E27FC236}">
              <a16:creationId xmlns:a16="http://schemas.microsoft.com/office/drawing/2014/main" id="{00000000-0008-0000-0B00-00005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31</xdr:row>
      <xdr:rowOff>9525</xdr:rowOff>
    </xdr:from>
    <xdr:ext cx="323850" cy="180975"/>
    <xdr:sp macro="" textlink="">
      <xdr:nvSpPr>
        <xdr:cNvPr id="1111" name="Shape 1110">
          <a:extLst>
            <a:ext uri="{FF2B5EF4-FFF2-40B4-BE49-F238E27FC236}">
              <a16:creationId xmlns:a16="http://schemas.microsoft.com/office/drawing/2014/main" id="{00000000-0008-0000-0B00-00005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32</xdr:row>
      <xdr:rowOff>9525</xdr:rowOff>
    </xdr:from>
    <xdr:ext cx="323850" cy="180975"/>
    <xdr:sp macro="" textlink="">
      <xdr:nvSpPr>
        <xdr:cNvPr id="1112" name="Shape 1111">
          <a:extLst>
            <a:ext uri="{FF2B5EF4-FFF2-40B4-BE49-F238E27FC236}">
              <a16:creationId xmlns:a16="http://schemas.microsoft.com/office/drawing/2014/main" id="{00000000-0008-0000-0B00-00005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33</xdr:row>
      <xdr:rowOff>9525</xdr:rowOff>
    </xdr:from>
    <xdr:ext cx="323850" cy="180975"/>
    <xdr:sp macro="" textlink="">
      <xdr:nvSpPr>
        <xdr:cNvPr id="1113" name="Shape 1112">
          <a:extLst>
            <a:ext uri="{FF2B5EF4-FFF2-40B4-BE49-F238E27FC236}">
              <a16:creationId xmlns:a16="http://schemas.microsoft.com/office/drawing/2014/main" id="{00000000-0008-0000-0B00-00005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34</xdr:row>
      <xdr:rowOff>9525</xdr:rowOff>
    </xdr:from>
    <xdr:ext cx="323850" cy="180975"/>
    <xdr:sp macro="" textlink="">
      <xdr:nvSpPr>
        <xdr:cNvPr id="1114" name="Shape 1113">
          <a:extLst>
            <a:ext uri="{FF2B5EF4-FFF2-40B4-BE49-F238E27FC236}">
              <a16:creationId xmlns:a16="http://schemas.microsoft.com/office/drawing/2014/main" id="{00000000-0008-0000-0B00-00005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35</xdr:row>
      <xdr:rowOff>9525</xdr:rowOff>
    </xdr:from>
    <xdr:ext cx="323850" cy="180975"/>
    <xdr:sp macro="" textlink="">
      <xdr:nvSpPr>
        <xdr:cNvPr id="1115" name="Shape 1114">
          <a:extLst>
            <a:ext uri="{FF2B5EF4-FFF2-40B4-BE49-F238E27FC236}">
              <a16:creationId xmlns:a16="http://schemas.microsoft.com/office/drawing/2014/main" id="{00000000-0008-0000-0B00-00005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36</xdr:row>
      <xdr:rowOff>9525</xdr:rowOff>
    </xdr:from>
    <xdr:ext cx="323850" cy="180975"/>
    <xdr:sp macro="" textlink="">
      <xdr:nvSpPr>
        <xdr:cNvPr id="1116" name="Shape 1115">
          <a:extLst>
            <a:ext uri="{FF2B5EF4-FFF2-40B4-BE49-F238E27FC236}">
              <a16:creationId xmlns:a16="http://schemas.microsoft.com/office/drawing/2014/main" id="{00000000-0008-0000-0B00-00005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37</xdr:row>
      <xdr:rowOff>9525</xdr:rowOff>
    </xdr:from>
    <xdr:ext cx="323850" cy="180975"/>
    <xdr:sp macro="" textlink="">
      <xdr:nvSpPr>
        <xdr:cNvPr id="1117" name="Shape 1116">
          <a:extLst>
            <a:ext uri="{FF2B5EF4-FFF2-40B4-BE49-F238E27FC236}">
              <a16:creationId xmlns:a16="http://schemas.microsoft.com/office/drawing/2014/main" id="{00000000-0008-0000-0B00-00005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38</xdr:row>
      <xdr:rowOff>9525</xdr:rowOff>
    </xdr:from>
    <xdr:ext cx="323850" cy="180975"/>
    <xdr:sp macro="" textlink="">
      <xdr:nvSpPr>
        <xdr:cNvPr id="1118" name="Shape 1117">
          <a:extLst>
            <a:ext uri="{FF2B5EF4-FFF2-40B4-BE49-F238E27FC236}">
              <a16:creationId xmlns:a16="http://schemas.microsoft.com/office/drawing/2014/main" id="{00000000-0008-0000-0B00-00005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39</xdr:row>
      <xdr:rowOff>9525</xdr:rowOff>
    </xdr:from>
    <xdr:ext cx="323850" cy="180975"/>
    <xdr:sp macro="" textlink="">
      <xdr:nvSpPr>
        <xdr:cNvPr id="1119" name="Shape 1118">
          <a:extLst>
            <a:ext uri="{FF2B5EF4-FFF2-40B4-BE49-F238E27FC236}">
              <a16:creationId xmlns:a16="http://schemas.microsoft.com/office/drawing/2014/main" id="{00000000-0008-0000-0B00-00005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121</xdr:col>
      <xdr:colOff>0</xdr:colOff>
      <xdr:row>40</xdr:row>
      <xdr:rowOff>9525</xdr:rowOff>
    </xdr:from>
    <xdr:ext cx="323850" cy="180975"/>
    <xdr:sp macro="" textlink="">
      <xdr:nvSpPr>
        <xdr:cNvPr id="1120" name="Shape 1119">
          <a:extLst>
            <a:ext uri="{FF2B5EF4-FFF2-40B4-BE49-F238E27FC236}">
              <a16:creationId xmlns:a16="http://schemas.microsoft.com/office/drawing/2014/main" id="{00000000-0008-0000-0B00-00006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122</xdr:col>
      <xdr:colOff>0</xdr:colOff>
      <xdr:row>41</xdr:row>
      <xdr:rowOff>9525</xdr:rowOff>
    </xdr:from>
    <xdr:ext cx="323850" cy="180975"/>
    <xdr:sp macro="" textlink="">
      <xdr:nvSpPr>
        <xdr:cNvPr id="1121" name="Shape 1120">
          <a:extLst>
            <a:ext uri="{FF2B5EF4-FFF2-40B4-BE49-F238E27FC236}">
              <a16:creationId xmlns:a16="http://schemas.microsoft.com/office/drawing/2014/main" id="{00000000-0008-0000-0B00-00006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</xdr:row>
      <xdr:rowOff>9525</xdr:rowOff>
    </xdr:from>
    <xdr:ext cx="323850" cy="180975"/>
    <xdr:sp macro="" textlink="">
      <xdr:nvSpPr>
        <xdr:cNvPr id="1122" name="Shape 1121">
          <a:extLst>
            <a:ext uri="{FF2B5EF4-FFF2-40B4-BE49-F238E27FC236}">
              <a16:creationId xmlns:a16="http://schemas.microsoft.com/office/drawing/2014/main" id="{00000000-0008-0000-0B00-00006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3</xdr:row>
      <xdr:rowOff>9525</xdr:rowOff>
    </xdr:from>
    <xdr:ext cx="323850" cy="180975"/>
    <xdr:sp macro="" textlink="">
      <xdr:nvSpPr>
        <xdr:cNvPr id="1123" name="Shape 1122">
          <a:extLst>
            <a:ext uri="{FF2B5EF4-FFF2-40B4-BE49-F238E27FC236}">
              <a16:creationId xmlns:a16="http://schemas.microsoft.com/office/drawing/2014/main" id="{00000000-0008-0000-0B00-00006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4</xdr:row>
      <xdr:rowOff>9525</xdr:rowOff>
    </xdr:from>
    <xdr:ext cx="323850" cy="180975"/>
    <xdr:sp macro="" textlink="">
      <xdr:nvSpPr>
        <xdr:cNvPr id="1124" name="Shape 1123">
          <a:extLst>
            <a:ext uri="{FF2B5EF4-FFF2-40B4-BE49-F238E27FC236}">
              <a16:creationId xmlns:a16="http://schemas.microsoft.com/office/drawing/2014/main" id="{00000000-0008-0000-0B00-00006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5</xdr:row>
      <xdr:rowOff>9525</xdr:rowOff>
    </xdr:from>
    <xdr:ext cx="323850" cy="180975"/>
    <xdr:sp macro="" textlink="">
      <xdr:nvSpPr>
        <xdr:cNvPr id="1125" name="Shape 1124">
          <a:extLst>
            <a:ext uri="{FF2B5EF4-FFF2-40B4-BE49-F238E27FC236}">
              <a16:creationId xmlns:a16="http://schemas.microsoft.com/office/drawing/2014/main" id="{00000000-0008-0000-0B00-00006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6</xdr:row>
      <xdr:rowOff>9525</xdr:rowOff>
    </xdr:from>
    <xdr:ext cx="323850" cy="180975"/>
    <xdr:sp macro="" textlink="">
      <xdr:nvSpPr>
        <xdr:cNvPr id="1126" name="Shape 1125">
          <a:extLst>
            <a:ext uri="{FF2B5EF4-FFF2-40B4-BE49-F238E27FC236}">
              <a16:creationId xmlns:a16="http://schemas.microsoft.com/office/drawing/2014/main" id="{00000000-0008-0000-0B00-00006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7</xdr:row>
      <xdr:rowOff>9525</xdr:rowOff>
    </xdr:from>
    <xdr:ext cx="323850" cy="180975"/>
    <xdr:sp macro="" textlink="">
      <xdr:nvSpPr>
        <xdr:cNvPr id="1127" name="Shape 1126">
          <a:extLst>
            <a:ext uri="{FF2B5EF4-FFF2-40B4-BE49-F238E27FC236}">
              <a16:creationId xmlns:a16="http://schemas.microsoft.com/office/drawing/2014/main" id="{00000000-0008-0000-0B00-00006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8</xdr:row>
      <xdr:rowOff>9525</xdr:rowOff>
    </xdr:from>
    <xdr:ext cx="323850" cy="180975"/>
    <xdr:sp macro="" textlink="">
      <xdr:nvSpPr>
        <xdr:cNvPr id="1128" name="Shape 1127">
          <a:extLst>
            <a:ext uri="{FF2B5EF4-FFF2-40B4-BE49-F238E27FC236}">
              <a16:creationId xmlns:a16="http://schemas.microsoft.com/office/drawing/2014/main" id="{00000000-0008-0000-0B00-00006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9</xdr:row>
      <xdr:rowOff>9525</xdr:rowOff>
    </xdr:from>
    <xdr:ext cx="323850" cy="180975"/>
    <xdr:sp macro="" textlink="">
      <xdr:nvSpPr>
        <xdr:cNvPr id="1129" name="Shape 1128">
          <a:extLst>
            <a:ext uri="{FF2B5EF4-FFF2-40B4-BE49-F238E27FC236}">
              <a16:creationId xmlns:a16="http://schemas.microsoft.com/office/drawing/2014/main" id="{00000000-0008-0000-0B00-00006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10</xdr:row>
      <xdr:rowOff>9525</xdr:rowOff>
    </xdr:from>
    <xdr:ext cx="323850" cy="180975"/>
    <xdr:sp macro="" textlink="">
      <xdr:nvSpPr>
        <xdr:cNvPr id="1130" name="Shape 1129">
          <a:extLst>
            <a:ext uri="{FF2B5EF4-FFF2-40B4-BE49-F238E27FC236}">
              <a16:creationId xmlns:a16="http://schemas.microsoft.com/office/drawing/2014/main" id="{00000000-0008-0000-0B00-00006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11</xdr:row>
      <xdr:rowOff>9525</xdr:rowOff>
    </xdr:from>
    <xdr:ext cx="323850" cy="180975"/>
    <xdr:sp macro="" textlink="">
      <xdr:nvSpPr>
        <xdr:cNvPr id="1131" name="Shape 1130">
          <a:extLst>
            <a:ext uri="{FF2B5EF4-FFF2-40B4-BE49-F238E27FC236}">
              <a16:creationId xmlns:a16="http://schemas.microsoft.com/office/drawing/2014/main" id="{00000000-0008-0000-0B00-00006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12</xdr:row>
      <xdr:rowOff>9525</xdr:rowOff>
    </xdr:from>
    <xdr:ext cx="323850" cy="180975"/>
    <xdr:sp macro="" textlink="">
      <xdr:nvSpPr>
        <xdr:cNvPr id="1132" name="Shape 1131">
          <a:extLst>
            <a:ext uri="{FF2B5EF4-FFF2-40B4-BE49-F238E27FC236}">
              <a16:creationId xmlns:a16="http://schemas.microsoft.com/office/drawing/2014/main" id="{00000000-0008-0000-0B00-00006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13</xdr:row>
      <xdr:rowOff>9525</xdr:rowOff>
    </xdr:from>
    <xdr:ext cx="323850" cy="180975"/>
    <xdr:sp macro="" textlink="">
      <xdr:nvSpPr>
        <xdr:cNvPr id="1133" name="Shape 1132">
          <a:extLst>
            <a:ext uri="{FF2B5EF4-FFF2-40B4-BE49-F238E27FC236}">
              <a16:creationId xmlns:a16="http://schemas.microsoft.com/office/drawing/2014/main" id="{00000000-0008-0000-0B00-00006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14</xdr:row>
      <xdr:rowOff>9525</xdr:rowOff>
    </xdr:from>
    <xdr:ext cx="323850" cy="180975"/>
    <xdr:sp macro="" textlink="">
      <xdr:nvSpPr>
        <xdr:cNvPr id="1134" name="Shape 1133">
          <a:extLst>
            <a:ext uri="{FF2B5EF4-FFF2-40B4-BE49-F238E27FC236}">
              <a16:creationId xmlns:a16="http://schemas.microsoft.com/office/drawing/2014/main" id="{00000000-0008-0000-0B00-00006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15</xdr:row>
      <xdr:rowOff>9525</xdr:rowOff>
    </xdr:from>
    <xdr:ext cx="323850" cy="180975"/>
    <xdr:sp macro="" textlink="">
      <xdr:nvSpPr>
        <xdr:cNvPr id="1135" name="Shape 1134">
          <a:extLst>
            <a:ext uri="{FF2B5EF4-FFF2-40B4-BE49-F238E27FC236}">
              <a16:creationId xmlns:a16="http://schemas.microsoft.com/office/drawing/2014/main" id="{00000000-0008-0000-0B00-00006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16</xdr:row>
      <xdr:rowOff>9525</xdr:rowOff>
    </xdr:from>
    <xdr:ext cx="323850" cy="180975"/>
    <xdr:sp macro="" textlink="">
      <xdr:nvSpPr>
        <xdr:cNvPr id="1136" name="Shape 1135">
          <a:extLst>
            <a:ext uri="{FF2B5EF4-FFF2-40B4-BE49-F238E27FC236}">
              <a16:creationId xmlns:a16="http://schemas.microsoft.com/office/drawing/2014/main" id="{00000000-0008-0000-0B00-00007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17</xdr:row>
      <xdr:rowOff>9525</xdr:rowOff>
    </xdr:from>
    <xdr:ext cx="323850" cy="180975"/>
    <xdr:sp macro="" textlink="">
      <xdr:nvSpPr>
        <xdr:cNvPr id="1137" name="Shape 1136">
          <a:extLst>
            <a:ext uri="{FF2B5EF4-FFF2-40B4-BE49-F238E27FC236}">
              <a16:creationId xmlns:a16="http://schemas.microsoft.com/office/drawing/2014/main" id="{00000000-0008-0000-0B00-00007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18</xdr:row>
      <xdr:rowOff>9525</xdr:rowOff>
    </xdr:from>
    <xdr:ext cx="323850" cy="180975"/>
    <xdr:sp macro="" textlink="">
      <xdr:nvSpPr>
        <xdr:cNvPr id="1138" name="Shape 1137">
          <a:extLst>
            <a:ext uri="{FF2B5EF4-FFF2-40B4-BE49-F238E27FC236}">
              <a16:creationId xmlns:a16="http://schemas.microsoft.com/office/drawing/2014/main" id="{00000000-0008-0000-0B00-00007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19</xdr:row>
      <xdr:rowOff>9525</xdr:rowOff>
    </xdr:from>
    <xdr:ext cx="323850" cy="180975"/>
    <xdr:sp macro="" textlink="">
      <xdr:nvSpPr>
        <xdr:cNvPr id="1139" name="Shape 1138">
          <a:extLst>
            <a:ext uri="{FF2B5EF4-FFF2-40B4-BE49-F238E27FC236}">
              <a16:creationId xmlns:a16="http://schemas.microsoft.com/office/drawing/2014/main" id="{00000000-0008-0000-0B00-00007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20</xdr:row>
      <xdr:rowOff>9525</xdr:rowOff>
    </xdr:from>
    <xdr:ext cx="323850" cy="180975"/>
    <xdr:sp macro="" textlink="">
      <xdr:nvSpPr>
        <xdr:cNvPr id="1140" name="Shape 1139">
          <a:extLst>
            <a:ext uri="{FF2B5EF4-FFF2-40B4-BE49-F238E27FC236}">
              <a16:creationId xmlns:a16="http://schemas.microsoft.com/office/drawing/2014/main" id="{00000000-0008-0000-0B00-00007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21</xdr:row>
      <xdr:rowOff>9525</xdr:rowOff>
    </xdr:from>
    <xdr:ext cx="323850" cy="180975"/>
    <xdr:sp macro="" textlink="">
      <xdr:nvSpPr>
        <xdr:cNvPr id="1141" name="Shape 1140">
          <a:extLst>
            <a:ext uri="{FF2B5EF4-FFF2-40B4-BE49-F238E27FC236}">
              <a16:creationId xmlns:a16="http://schemas.microsoft.com/office/drawing/2014/main" id="{00000000-0008-0000-0B00-00007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22</xdr:row>
      <xdr:rowOff>9525</xdr:rowOff>
    </xdr:from>
    <xdr:ext cx="323850" cy="180975"/>
    <xdr:sp macro="" textlink="">
      <xdr:nvSpPr>
        <xdr:cNvPr id="1142" name="Shape 1141">
          <a:extLst>
            <a:ext uri="{FF2B5EF4-FFF2-40B4-BE49-F238E27FC236}">
              <a16:creationId xmlns:a16="http://schemas.microsoft.com/office/drawing/2014/main" id="{00000000-0008-0000-0B00-00007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23</xdr:row>
      <xdr:rowOff>9525</xdr:rowOff>
    </xdr:from>
    <xdr:ext cx="323850" cy="180975"/>
    <xdr:sp macro="" textlink="">
      <xdr:nvSpPr>
        <xdr:cNvPr id="1143" name="Shape 1142">
          <a:extLst>
            <a:ext uri="{FF2B5EF4-FFF2-40B4-BE49-F238E27FC236}">
              <a16:creationId xmlns:a16="http://schemas.microsoft.com/office/drawing/2014/main" id="{00000000-0008-0000-0B00-00007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24</xdr:row>
      <xdr:rowOff>9525</xdr:rowOff>
    </xdr:from>
    <xdr:ext cx="323850" cy="180975"/>
    <xdr:sp macro="" textlink="">
      <xdr:nvSpPr>
        <xdr:cNvPr id="1144" name="Shape 1143">
          <a:extLst>
            <a:ext uri="{FF2B5EF4-FFF2-40B4-BE49-F238E27FC236}">
              <a16:creationId xmlns:a16="http://schemas.microsoft.com/office/drawing/2014/main" id="{00000000-0008-0000-0B00-00007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25</xdr:row>
      <xdr:rowOff>9525</xdr:rowOff>
    </xdr:from>
    <xdr:ext cx="323850" cy="180975"/>
    <xdr:sp macro="" textlink="">
      <xdr:nvSpPr>
        <xdr:cNvPr id="1145" name="Shape 1144">
          <a:extLst>
            <a:ext uri="{FF2B5EF4-FFF2-40B4-BE49-F238E27FC236}">
              <a16:creationId xmlns:a16="http://schemas.microsoft.com/office/drawing/2014/main" id="{00000000-0008-0000-0B00-00007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26</xdr:row>
      <xdr:rowOff>9525</xdr:rowOff>
    </xdr:from>
    <xdr:ext cx="323850" cy="180975"/>
    <xdr:sp macro="" textlink="">
      <xdr:nvSpPr>
        <xdr:cNvPr id="1146" name="Shape 1145">
          <a:extLst>
            <a:ext uri="{FF2B5EF4-FFF2-40B4-BE49-F238E27FC236}">
              <a16:creationId xmlns:a16="http://schemas.microsoft.com/office/drawing/2014/main" id="{00000000-0008-0000-0B00-00007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27</xdr:row>
      <xdr:rowOff>9525</xdr:rowOff>
    </xdr:from>
    <xdr:ext cx="323850" cy="180975"/>
    <xdr:sp macro="" textlink="">
      <xdr:nvSpPr>
        <xdr:cNvPr id="1147" name="Shape 1146">
          <a:extLst>
            <a:ext uri="{FF2B5EF4-FFF2-40B4-BE49-F238E27FC236}">
              <a16:creationId xmlns:a16="http://schemas.microsoft.com/office/drawing/2014/main" id="{00000000-0008-0000-0B00-00007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28</xdr:row>
      <xdr:rowOff>9525</xdr:rowOff>
    </xdr:from>
    <xdr:ext cx="323850" cy="180975"/>
    <xdr:sp macro="" textlink="">
      <xdr:nvSpPr>
        <xdr:cNvPr id="1148" name="Shape 1147">
          <a:extLst>
            <a:ext uri="{FF2B5EF4-FFF2-40B4-BE49-F238E27FC236}">
              <a16:creationId xmlns:a16="http://schemas.microsoft.com/office/drawing/2014/main" id="{00000000-0008-0000-0B00-00007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29</xdr:row>
      <xdr:rowOff>9525</xdr:rowOff>
    </xdr:from>
    <xdr:ext cx="323850" cy="180975"/>
    <xdr:sp macro="" textlink="">
      <xdr:nvSpPr>
        <xdr:cNvPr id="1149" name="Shape 1148">
          <a:extLst>
            <a:ext uri="{FF2B5EF4-FFF2-40B4-BE49-F238E27FC236}">
              <a16:creationId xmlns:a16="http://schemas.microsoft.com/office/drawing/2014/main" id="{00000000-0008-0000-0B00-00007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30</xdr:row>
      <xdr:rowOff>9525</xdr:rowOff>
    </xdr:from>
    <xdr:ext cx="323850" cy="180975"/>
    <xdr:sp macro="" textlink="">
      <xdr:nvSpPr>
        <xdr:cNvPr id="1150" name="Shape 1149">
          <a:extLst>
            <a:ext uri="{FF2B5EF4-FFF2-40B4-BE49-F238E27FC236}">
              <a16:creationId xmlns:a16="http://schemas.microsoft.com/office/drawing/2014/main" id="{00000000-0008-0000-0B00-00007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31</xdr:row>
      <xdr:rowOff>9525</xdr:rowOff>
    </xdr:from>
    <xdr:ext cx="323850" cy="180975"/>
    <xdr:sp macro="" textlink="">
      <xdr:nvSpPr>
        <xdr:cNvPr id="1151" name="Shape 1150">
          <a:extLst>
            <a:ext uri="{FF2B5EF4-FFF2-40B4-BE49-F238E27FC236}">
              <a16:creationId xmlns:a16="http://schemas.microsoft.com/office/drawing/2014/main" id="{00000000-0008-0000-0B00-00007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32</xdr:row>
      <xdr:rowOff>9525</xdr:rowOff>
    </xdr:from>
    <xdr:ext cx="323850" cy="180975"/>
    <xdr:sp macro="" textlink="">
      <xdr:nvSpPr>
        <xdr:cNvPr id="1152" name="Shape 1151">
          <a:extLst>
            <a:ext uri="{FF2B5EF4-FFF2-40B4-BE49-F238E27FC236}">
              <a16:creationId xmlns:a16="http://schemas.microsoft.com/office/drawing/2014/main" id="{00000000-0008-0000-0B00-00008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33</xdr:row>
      <xdr:rowOff>9525</xdr:rowOff>
    </xdr:from>
    <xdr:ext cx="323850" cy="180975"/>
    <xdr:sp macro="" textlink="">
      <xdr:nvSpPr>
        <xdr:cNvPr id="1153" name="Shape 1152">
          <a:extLst>
            <a:ext uri="{FF2B5EF4-FFF2-40B4-BE49-F238E27FC236}">
              <a16:creationId xmlns:a16="http://schemas.microsoft.com/office/drawing/2014/main" id="{00000000-0008-0000-0B00-00008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34</xdr:row>
      <xdr:rowOff>9525</xdr:rowOff>
    </xdr:from>
    <xdr:ext cx="323850" cy="180975"/>
    <xdr:sp macro="" textlink="">
      <xdr:nvSpPr>
        <xdr:cNvPr id="1154" name="Shape 1153">
          <a:extLst>
            <a:ext uri="{FF2B5EF4-FFF2-40B4-BE49-F238E27FC236}">
              <a16:creationId xmlns:a16="http://schemas.microsoft.com/office/drawing/2014/main" id="{00000000-0008-0000-0B00-00008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35</xdr:row>
      <xdr:rowOff>9525</xdr:rowOff>
    </xdr:from>
    <xdr:ext cx="323850" cy="180975"/>
    <xdr:sp macro="" textlink="">
      <xdr:nvSpPr>
        <xdr:cNvPr id="1155" name="Shape 1154">
          <a:extLst>
            <a:ext uri="{FF2B5EF4-FFF2-40B4-BE49-F238E27FC236}">
              <a16:creationId xmlns:a16="http://schemas.microsoft.com/office/drawing/2014/main" id="{00000000-0008-0000-0B00-00008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36</xdr:row>
      <xdr:rowOff>9525</xdr:rowOff>
    </xdr:from>
    <xdr:ext cx="323850" cy="180975"/>
    <xdr:sp macro="" textlink="">
      <xdr:nvSpPr>
        <xdr:cNvPr id="1156" name="Shape 1155">
          <a:extLst>
            <a:ext uri="{FF2B5EF4-FFF2-40B4-BE49-F238E27FC236}">
              <a16:creationId xmlns:a16="http://schemas.microsoft.com/office/drawing/2014/main" id="{00000000-0008-0000-0B00-00008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37</xdr:row>
      <xdr:rowOff>9525</xdr:rowOff>
    </xdr:from>
    <xdr:ext cx="323850" cy="180975"/>
    <xdr:sp macro="" textlink="">
      <xdr:nvSpPr>
        <xdr:cNvPr id="1157" name="Shape 1156">
          <a:extLst>
            <a:ext uri="{FF2B5EF4-FFF2-40B4-BE49-F238E27FC236}">
              <a16:creationId xmlns:a16="http://schemas.microsoft.com/office/drawing/2014/main" id="{00000000-0008-0000-0B00-00008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38</xdr:row>
      <xdr:rowOff>9525</xdr:rowOff>
    </xdr:from>
    <xdr:ext cx="323850" cy="180975"/>
    <xdr:sp macro="" textlink="">
      <xdr:nvSpPr>
        <xdr:cNvPr id="1158" name="Shape 1157">
          <a:extLst>
            <a:ext uri="{FF2B5EF4-FFF2-40B4-BE49-F238E27FC236}">
              <a16:creationId xmlns:a16="http://schemas.microsoft.com/office/drawing/2014/main" id="{00000000-0008-0000-0B00-00008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39</xdr:row>
      <xdr:rowOff>9525</xdr:rowOff>
    </xdr:from>
    <xdr:ext cx="323850" cy="180975"/>
    <xdr:sp macro="" textlink="">
      <xdr:nvSpPr>
        <xdr:cNvPr id="1159" name="Shape 1158">
          <a:extLst>
            <a:ext uri="{FF2B5EF4-FFF2-40B4-BE49-F238E27FC236}">
              <a16:creationId xmlns:a16="http://schemas.microsoft.com/office/drawing/2014/main" id="{00000000-0008-0000-0B00-00008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126</xdr:col>
      <xdr:colOff>0</xdr:colOff>
      <xdr:row>40</xdr:row>
      <xdr:rowOff>9525</xdr:rowOff>
    </xdr:from>
    <xdr:ext cx="323850" cy="180975"/>
    <xdr:sp macro="" textlink="">
      <xdr:nvSpPr>
        <xdr:cNvPr id="1160" name="Shape 1159">
          <a:extLst>
            <a:ext uri="{FF2B5EF4-FFF2-40B4-BE49-F238E27FC236}">
              <a16:creationId xmlns:a16="http://schemas.microsoft.com/office/drawing/2014/main" id="{00000000-0008-0000-0B00-00008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125</xdr:col>
      <xdr:colOff>0</xdr:colOff>
      <xdr:row>41</xdr:row>
      <xdr:rowOff>9525</xdr:rowOff>
    </xdr:from>
    <xdr:ext cx="323850" cy="180975"/>
    <xdr:sp macro="" textlink="">
      <xdr:nvSpPr>
        <xdr:cNvPr id="1161" name="Shape 1160">
          <a:extLst>
            <a:ext uri="{FF2B5EF4-FFF2-40B4-BE49-F238E27FC236}">
              <a16:creationId xmlns:a16="http://schemas.microsoft.com/office/drawing/2014/main" id="{00000000-0008-0000-0B00-00008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</xdr:row>
      <xdr:rowOff>9525</xdr:rowOff>
    </xdr:from>
    <xdr:ext cx="323850" cy="180975"/>
    <xdr:sp macro="" textlink="">
      <xdr:nvSpPr>
        <xdr:cNvPr id="1162" name="Shape 1161">
          <a:extLst>
            <a:ext uri="{FF2B5EF4-FFF2-40B4-BE49-F238E27FC236}">
              <a16:creationId xmlns:a16="http://schemas.microsoft.com/office/drawing/2014/main" id="{00000000-0008-0000-0B00-00008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</xdr:row>
      <xdr:rowOff>9525</xdr:rowOff>
    </xdr:from>
    <xdr:ext cx="323850" cy="180975"/>
    <xdr:sp macro="" textlink="">
      <xdr:nvSpPr>
        <xdr:cNvPr id="1163" name="Shape 1162">
          <a:extLst>
            <a:ext uri="{FF2B5EF4-FFF2-40B4-BE49-F238E27FC236}">
              <a16:creationId xmlns:a16="http://schemas.microsoft.com/office/drawing/2014/main" id="{00000000-0008-0000-0B00-00008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4</xdr:row>
      <xdr:rowOff>9525</xdr:rowOff>
    </xdr:from>
    <xdr:ext cx="323850" cy="180975"/>
    <xdr:sp macro="" textlink="">
      <xdr:nvSpPr>
        <xdr:cNvPr id="1164" name="Shape 1163">
          <a:extLst>
            <a:ext uri="{FF2B5EF4-FFF2-40B4-BE49-F238E27FC236}">
              <a16:creationId xmlns:a16="http://schemas.microsoft.com/office/drawing/2014/main" id="{00000000-0008-0000-0B00-00008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5</xdr:row>
      <xdr:rowOff>9525</xdr:rowOff>
    </xdr:from>
    <xdr:ext cx="323850" cy="180975"/>
    <xdr:sp macro="" textlink="">
      <xdr:nvSpPr>
        <xdr:cNvPr id="1165" name="Shape 1164">
          <a:extLst>
            <a:ext uri="{FF2B5EF4-FFF2-40B4-BE49-F238E27FC236}">
              <a16:creationId xmlns:a16="http://schemas.microsoft.com/office/drawing/2014/main" id="{00000000-0008-0000-0B00-00008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6</xdr:row>
      <xdr:rowOff>9525</xdr:rowOff>
    </xdr:from>
    <xdr:ext cx="323850" cy="180975"/>
    <xdr:sp macro="" textlink="">
      <xdr:nvSpPr>
        <xdr:cNvPr id="1166" name="Shape 1165">
          <a:extLst>
            <a:ext uri="{FF2B5EF4-FFF2-40B4-BE49-F238E27FC236}">
              <a16:creationId xmlns:a16="http://schemas.microsoft.com/office/drawing/2014/main" id="{00000000-0008-0000-0B00-00008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7</xdr:row>
      <xdr:rowOff>9525</xdr:rowOff>
    </xdr:from>
    <xdr:ext cx="323850" cy="180975"/>
    <xdr:sp macro="" textlink="">
      <xdr:nvSpPr>
        <xdr:cNvPr id="1167" name="Shape 1166">
          <a:extLst>
            <a:ext uri="{FF2B5EF4-FFF2-40B4-BE49-F238E27FC236}">
              <a16:creationId xmlns:a16="http://schemas.microsoft.com/office/drawing/2014/main" id="{00000000-0008-0000-0B00-00008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8</xdr:row>
      <xdr:rowOff>9525</xdr:rowOff>
    </xdr:from>
    <xdr:ext cx="323850" cy="180975"/>
    <xdr:sp macro="" textlink="">
      <xdr:nvSpPr>
        <xdr:cNvPr id="1168" name="Shape 1167">
          <a:extLst>
            <a:ext uri="{FF2B5EF4-FFF2-40B4-BE49-F238E27FC236}">
              <a16:creationId xmlns:a16="http://schemas.microsoft.com/office/drawing/2014/main" id="{00000000-0008-0000-0B00-00009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9</xdr:row>
      <xdr:rowOff>9525</xdr:rowOff>
    </xdr:from>
    <xdr:ext cx="323850" cy="180975"/>
    <xdr:sp macro="" textlink="">
      <xdr:nvSpPr>
        <xdr:cNvPr id="1169" name="Shape 1168">
          <a:extLst>
            <a:ext uri="{FF2B5EF4-FFF2-40B4-BE49-F238E27FC236}">
              <a16:creationId xmlns:a16="http://schemas.microsoft.com/office/drawing/2014/main" id="{00000000-0008-0000-0B00-00009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10</xdr:row>
      <xdr:rowOff>9525</xdr:rowOff>
    </xdr:from>
    <xdr:ext cx="323850" cy="180975"/>
    <xdr:sp macro="" textlink="">
      <xdr:nvSpPr>
        <xdr:cNvPr id="1170" name="Shape 1169">
          <a:extLst>
            <a:ext uri="{FF2B5EF4-FFF2-40B4-BE49-F238E27FC236}">
              <a16:creationId xmlns:a16="http://schemas.microsoft.com/office/drawing/2014/main" id="{00000000-0008-0000-0B00-00009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11</xdr:row>
      <xdr:rowOff>9525</xdr:rowOff>
    </xdr:from>
    <xdr:ext cx="323850" cy="180975"/>
    <xdr:sp macro="" textlink="">
      <xdr:nvSpPr>
        <xdr:cNvPr id="1171" name="Shape 1170">
          <a:extLst>
            <a:ext uri="{FF2B5EF4-FFF2-40B4-BE49-F238E27FC236}">
              <a16:creationId xmlns:a16="http://schemas.microsoft.com/office/drawing/2014/main" id="{00000000-0008-0000-0B00-00009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12</xdr:row>
      <xdr:rowOff>9525</xdr:rowOff>
    </xdr:from>
    <xdr:ext cx="323850" cy="180975"/>
    <xdr:sp macro="" textlink="">
      <xdr:nvSpPr>
        <xdr:cNvPr id="1172" name="Shape 1171">
          <a:extLst>
            <a:ext uri="{FF2B5EF4-FFF2-40B4-BE49-F238E27FC236}">
              <a16:creationId xmlns:a16="http://schemas.microsoft.com/office/drawing/2014/main" id="{00000000-0008-0000-0B00-00009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13</xdr:row>
      <xdr:rowOff>9525</xdr:rowOff>
    </xdr:from>
    <xdr:ext cx="323850" cy="180975"/>
    <xdr:sp macro="" textlink="">
      <xdr:nvSpPr>
        <xdr:cNvPr id="1173" name="Shape 1172">
          <a:extLst>
            <a:ext uri="{FF2B5EF4-FFF2-40B4-BE49-F238E27FC236}">
              <a16:creationId xmlns:a16="http://schemas.microsoft.com/office/drawing/2014/main" id="{00000000-0008-0000-0B00-00009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14</xdr:row>
      <xdr:rowOff>9525</xdr:rowOff>
    </xdr:from>
    <xdr:ext cx="323850" cy="180975"/>
    <xdr:sp macro="" textlink="">
      <xdr:nvSpPr>
        <xdr:cNvPr id="1174" name="Shape 1173">
          <a:extLst>
            <a:ext uri="{FF2B5EF4-FFF2-40B4-BE49-F238E27FC236}">
              <a16:creationId xmlns:a16="http://schemas.microsoft.com/office/drawing/2014/main" id="{00000000-0008-0000-0B00-00009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15</xdr:row>
      <xdr:rowOff>9525</xdr:rowOff>
    </xdr:from>
    <xdr:ext cx="323850" cy="180975"/>
    <xdr:sp macro="" textlink="">
      <xdr:nvSpPr>
        <xdr:cNvPr id="1175" name="Shape 1174">
          <a:extLst>
            <a:ext uri="{FF2B5EF4-FFF2-40B4-BE49-F238E27FC236}">
              <a16:creationId xmlns:a16="http://schemas.microsoft.com/office/drawing/2014/main" id="{00000000-0008-0000-0B00-00009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16</xdr:row>
      <xdr:rowOff>9525</xdr:rowOff>
    </xdr:from>
    <xdr:ext cx="323850" cy="180975"/>
    <xdr:sp macro="" textlink="">
      <xdr:nvSpPr>
        <xdr:cNvPr id="1176" name="Shape 1175">
          <a:extLst>
            <a:ext uri="{FF2B5EF4-FFF2-40B4-BE49-F238E27FC236}">
              <a16:creationId xmlns:a16="http://schemas.microsoft.com/office/drawing/2014/main" id="{00000000-0008-0000-0B00-00009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17</xdr:row>
      <xdr:rowOff>9525</xdr:rowOff>
    </xdr:from>
    <xdr:ext cx="323850" cy="180975"/>
    <xdr:sp macro="" textlink="">
      <xdr:nvSpPr>
        <xdr:cNvPr id="1177" name="Shape 1176">
          <a:extLst>
            <a:ext uri="{FF2B5EF4-FFF2-40B4-BE49-F238E27FC236}">
              <a16:creationId xmlns:a16="http://schemas.microsoft.com/office/drawing/2014/main" id="{00000000-0008-0000-0B00-00009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18</xdr:row>
      <xdr:rowOff>9525</xdr:rowOff>
    </xdr:from>
    <xdr:ext cx="323850" cy="180975"/>
    <xdr:sp macro="" textlink="">
      <xdr:nvSpPr>
        <xdr:cNvPr id="1178" name="Shape 1177">
          <a:extLst>
            <a:ext uri="{FF2B5EF4-FFF2-40B4-BE49-F238E27FC236}">
              <a16:creationId xmlns:a16="http://schemas.microsoft.com/office/drawing/2014/main" id="{00000000-0008-0000-0B00-00009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19</xdr:row>
      <xdr:rowOff>9525</xdr:rowOff>
    </xdr:from>
    <xdr:ext cx="323850" cy="180975"/>
    <xdr:sp macro="" textlink="">
      <xdr:nvSpPr>
        <xdr:cNvPr id="1179" name="Shape 1178">
          <a:extLst>
            <a:ext uri="{FF2B5EF4-FFF2-40B4-BE49-F238E27FC236}">
              <a16:creationId xmlns:a16="http://schemas.microsoft.com/office/drawing/2014/main" id="{00000000-0008-0000-0B00-00009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20</xdr:row>
      <xdr:rowOff>9525</xdr:rowOff>
    </xdr:from>
    <xdr:ext cx="323850" cy="180975"/>
    <xdr:sp macro="" textlink="">
      <xdr:nvSpPr>
        <xdr:cNvPr id="1180" name="Shape 1179">
          <a:extLst>
            <a:ext uri="{FF2B5EF4-FFF2-40B4-BE49-F238E27FC236}">
              <a16:creationId xmlns:a16="http://schemas.microsoft.com/office/drawing/2014/main" id="{00000000-0008-0000-0B00-00009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21</xdr:row>
      <xdr:rowOff>9525</xdr:rowOff>
    </xdr:from>
    <xdr:ext cx="323850" cy="180975"/>
    <xdr:sp macro="" textlink="">
      <xdr:nvSpPr>
        <xdr:cNvPr id="1181" name="Shape 1180">
          <a:extLst>
            <a:ext uri="{FF2B5EF4-FFF2-40B4-BE49-F238E27FC236}">
              <a16:creationId xmlns:a16="http://schemas.microsoft.com/office/drawing/2014/main" id="{00000000-0008-0000-0B00-00009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22</xdr:row>
      <xdr:rowOff>9525</xdr:rowOff>
    </xdr:from>
    <xdr:ext cx="323850" cy="180975"/>
    <xdr:sp macro="" textlink="">
      <xdr:nvSpPr>
        <xdr:cNvPr id="1182" name="Shape 1181">
          <a:extLst>
            <a:ext uri="{FF2B5EF4-FFF2-40B4-BE49-F238E27FC236}">
              <a16:creationId xmlns:a16="http://schemas.microsoft.com/office/drawing/2014/main" id="{00000000-0008-0000-0B00-00009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23</xdr:row>
      <xdr:rowOff>9525</xdr:rowOff>
    </xdr:from>
    <xdr:ext cx="323850" cy="180975"/>
    <xdr:sp macro="" textlink="">
      <xdr:nvSpPr>
        <xdr:cNvPr id="1183" name="Shape 1182">
          <a:extLst>
            <a:ext uri="{FF2B5EF4-FFF2-40B4-BE49-F238E27FC236}">
              <a16:creationId xmlns:a16="http://schemas.microsoft.com/office/drawing/2014/main" id="{00000000-0008-0000-0B00-00009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24</xdr:row>
      <xdr:rowOff>9525</xdr:rowOff>
    </xdr:from>
    <xdr:ext cx="323850" cy="180975"/>
    <xdr:sp macro="" textlink="">
      <xdr:nvSpPr>
        <xdr:cNvPr id="1184" name="Shape 1183">
          <a:extLst>
            <a:ext uri="{FF2B5EF4-FFF2-40B4-BE49-F238E27FC236}">
              <a16:creationId xmlns:a16="http://schemas.microsoft.com/office/drawing/2014/main" id="{00000000-0008-0000-0B00-0000A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25</xdr:row>
      <xdr:rowOff>9525</xdr:rowOff>
    </xdr:from>
    <xdr:ext cx="323850" cy="180975"/>
    <xdr:sp macro="" textlink="">
      <xdr:nvSpPr>
        <xdr:cNvPr id="1185" name="Shape 1184">
          <a:extLst>
            <a:ext uri="{FF2B5EF4-FFF2-40B4-BE49-F238E27FC236}">
              <a16:creationId xmlns:a16="http://schemas.microsoft.com/office/drawing/2014/main" id="{00000000-0008-0000-0B00-0000A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26</xdr:row>
      <xdr:rowOff>9525</xdr:rowOff>
    </xdr:from>
    <xdr:ext cx="323850" cy="180975"/>
    <xdr:sp macro="" textlink="">
      <xdr:nvSpPr>
        <xdr:cNvPr id="1186" name="Shape 1185">
          <a:extLst>
            <a:ext uri="{FF2B5EF4-FFF2-40B4-BE49-F238E27FC236}">
              <a16:creationId xmlns:a16="http://schemas.microsoft.com/office/drawing/2014/main" id="{00000000-0008-0000-0B00-0000A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27</xdr:row>
      <xdr:rowOff>9525</xdr:rowOff>
    </xdr:from>
    <xdr:ext cx="323850" cy="180975"/>
    <xdr:sp macro="" textlink="">
      <xdr:nvSpPr>
        <xdr:cNvPr id="1187" name="Shape 1186">
          <a:extLst>
            <a:ext uri="{FF2B5EF4-FFF2-40B4-BE49-F238E27FC236}">
              <a16:creationId xmlns:a16="http://schemas.microsoft.com/office/drawing/2014/main" id="{00000000-0008-0000-0B00-0000A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28</xdr:row>
      <xdr:rowOff>9525</xdr:rowOff>
    </xdr:from>
    <xdr:ext cx="323850" cy="180975"/>
    <xdr:sp macro="" textlink="">
      <xdr:nvSpPr>
        <xdr:cNvPr id="1188" name="Shape 1187">
          <a:extLst>
            <a:ext uri="{FF2B5EF4-FFF2-40B4-BE49-F238E27FC236}">
              <a16:creationId xmlns:a16="http://schemas.microsoft.com/office/drawing/2014/main" id="{00000000-0008-0000-0B00-0000A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29</xdr:row>
      <xdr:rowOff>9525</xdr:rowOff>
    </xdr:from>
    <xdr:ext cx="323850" cy="180975"/>
    <xdr:sp macro="" textlink="">
      <xdr:nvSpPr>
        <xdr:cNvPr id="1189" name="Shape 1188">
          <a:extLst>
            <a:ext uri="{FF2B5EF4-FFF2-40B4-BE49-F238E27FC236}">
              <a16:creationId xmlns:a16="http://schemas.microsoft.com/office/drawing/2014/main" id="{00000000-0008-0000-0B00-0000A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30</xdr:row>
      <xdr:rowOff>9525</xdr:rowOff>
    </xdr:from>
    <xdr:ext cx="323850" cy="180975"/>
    <xdr:sp macro="" textlink="">
      <xdr:nvSpPr>
        <xdr:cNvPr id="1190" name="Shape 1189">
          <a:extLst>
            <a:ext uri="{FF2B5EF4-FFF2-40B4-BE49-F238E27FC236}">
              <a16:creationId xmlns:a16="http://schemas.microsoft.com/office/drawing/2014/main" id="{00000000-0008-0000-0B00-0000A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31</xdr:row>
      <xdr:rowOff>9525</xdr:rowOff>
    </xdr:from>
    <xdr:ext cx="323850" cy="180975"/>
    <xdr:sp macro="" textlink="">
      <xdr:nvSpPr>
        <xdr:cNvPr id="1191" name="Shape 1190">
          <a:extLst>
            <a:ext uri="{FF2B5EF4-FFF2-40B4-BE49-F238E27FC236}">
              <a16:creationId xmlns:a16="http://schemas.microsoft.com/office/drawing/2014/main" id="{00000000-0008-0000-0B00-0000A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32</xdr:row>
      <xdr:rowOff>9525</xdr:rowOff>
    </xdr:from>
    <xdr:ext cx="323850" cy="180975"/>
    <xdr:sp macro="" textlink="">
      <xdr:nvSpPr>
        <xdr:cNvPr id="1192" name="Shape 1191">
          <a:extLst>
            <a:ext uri="{FF2B5EF4-FFF2-40B4-BE49-F238E27FC236}">
              <a16:creationId xmlns:a16="http://schemas.microsoft.com/office/drawing/2014/main" id="{00000000-0008-0000-0B00-0000A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33</xdr:row>
      <xdr:rowOff>9525</xdr:rowOff>
    </xdr:from>
    <xdr:ext cx="323850" cy="180975"/>
    <xdr:sp macro="" textlink="">
      <xdr:nvSpPr>
        <xdr:cNvPr id="1193" name="Shape 1192">
          <a:extLst>
            <a:ext uri="{FF2B5EF4-FFF2-40B4-BE49-F238E27FC236}">
              <a16:creationId xmlns:a16="http://schemas.microsoft.com/office/drawing/2014/main" id="{00000000-0008-0000-0B00-0000A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34</xdr:row>
      <xdr:rowOff>9525</xdr:rowOff>
    </xdr:from>
    <xdr:ext cx="323850" cy="180975"/>
    <xdr:sp macro="" textlink="">
      <xdr:nvSpPr>
        <xdr:cNvPr id="1194" name="Shape 1193">
          <a:extLst>
            <a:ext uri="{FF2B5EF4-FFF2-40B4-BE49-F238E27FC236}">
              <a16:creationId xmlns:a16="http://schemas.microsoft.com/office/drawing/2014/main" id="{00000000-0008-0000-0B00-0000A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35</xdr:row>
      <xdr:rowOff>9525</xdr:rowOff>
    </xdr:from>
    <xdr:ext cx="323850" cy="180975"/>
    <xdr:sp macro="" textlink="">
      <xdr:nvSpPr>
        <xdr:cNvPr id="1195" name="Shape 1194">
          <a:extLst>
            <a:ext uri="{FF2B5EF4-FFF2-40B4-BE49-F238E27FC236}">
              <a16:creationId xmlns:a16="http://schemas.microsoft.com/office/drawing/2014/main" id="{00000000-0008-0000-0B00-0000A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36</xdr:row>
      <xdr:rowOff>9525</xdr:rowOff>
    </xdr:from>
    <xdr:ext cx="323850" cy="180975"/>
    <xdr:sp macro="" textlink="">
      <xdr:nvSpPr>
        <xdr:cNvPr id="1196" name="Shape 1195">
          <a:extLst>
            <a:ext uri="{FF2B5EF4-FFF2-40B4-BE49-F238E27FC236}">
              <a16:creationId xmlns:a16="http://schemas.microsoft.com/office/drawing/2014/main" id="{00000000-0008-0000-0B00-0000A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37</xdr:row>
      <xdr:rowOff>9525</xdr:rowOff>
    </xdr:from>
    <xdr:ext cx="323850" cy="180975"/>
    <xdr:sp macro="" textlink="">
      <xdr:nvSpPr>
        <xdr:cNvPr id="1197" name="Shape 1196">
          <a:extLst>
            <a:ext uri="{FF2B5EF4-FFF2-40B4-BE49-F238E27FC236}">
              <a16:creationId xmlns:a16="http://schemas.microsoft.com/office/drawing/2014/main" id="{00000000-0008-0000-0B00-0000A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130</xdr:col>
      <xdr:colOff>0</xdr:colOff>
      <xdr:row>38</xdr:row>
      <xdr:rowOff>9525</xdr:rowOff>
    </xdr:from>
    <xdr:ext cx="323850" cy="180975"/>
    <xdr:sp macro="" textlink="">
      <xdr:nvSpPr>
        <xdr:cNvPr id="1198" name="Shape 1197">
          <a:extLst>
            <a:ext uri="{FF2B5EF4-FFF2-40B4-BE49-F238E27FC236}">
              <a16:creationId xmlns:a16="http://schemas.microsoft.com/office/drawing/2014/main" id="{00000000-0008-0000-0B00-0000A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39</xdr:row>
      <xdr:rowOff>9525</xdr:rowOff>
    </xdr:from>
    <xdr:ext cx="323850" cy="180975"/>
    <xdr:sp macro="" textlink="">
      <xdr:nvSpPr>
        <xdr:cNvPr id="1199" name="Shape 1198">
          <a:extLst>
            <a:ext uri="{FF2B5EF4-FFF2-40B4-BE49-F238E27FC236}">
              <a16:creationId xmlns:a16="http://schemas.microsoft.com/office/drawing/2014/main" id="{00000000-0008-0000-0B00-0000A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40</xdr:row>
      <xdr:rowOff>9525</xdr:rowOff>
    </xdr:from>
    <xdr:ext cx="323850" cy="180975"/>
    <xdr:sp macro="" textlink="">
      <xdr:nvSpPr>
        <xdr:cNvPr id="1200" name="Shape 1199">
          <a:extLst>
            <a:ext uri="{FF2B5EF4-FFF2-40B4-BE49-F238E27FC236}">
              <a16:creationId xmlns:a16="http://schemas.microsoft.com/office/drawing/2014/main" id="{00000000-0008-0000-0B00-0000B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129</xdr:col>
      <xdr:colOff>0</xdr:colOff>
      <xdr:row>41</xdr:row>
      <xdr:rowOff>9525</xdr:rowOff>
    </xdr:from>
    <xdr:ext cx="323850" cy="180975"/>
    <xdr:sp macro="" textlink="">
      <xdr:nvSpPr>
        <xdr:cNvPr id="1201" name="Shape 1200">
          <a:extLst>
            <a:ext uri="{FF2B5EF4-FFF2-40B4-BE49-F238E27FC236}">
              <a16:creationId xmlns:a16="http://schemas.microsoft.com/office/drawing/2014/main" id="{00000000-0008-0000-0B00-0000B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</xdr:row>
      <xdr:rowOff>9525</xdr:rowOff>
    </xdr:from>
    <xdr:ext cx="323850" cy="180975"/>
    <xdr:sp macro="" textlink="">
      <xdr:nvSpPr>
        <xdr:cNvPr id="1202" name="Shape 1201">
          <a:extLst>
            <a:ext uri="{FF2B5EF4-FFF2-40B4-BE49-F238E27FC236}">
              <a16:creationId xmlns:a16="http://schemas.microsoft.com/office/drawing/2014/main" id="{00000000-0008-0000-0B00-0000B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</xdr:row>
      <xdr:rowOff>9525</xdr:rowOff>
    </xdr:from>
    <xdr:ext cx="323850" cy="180975"/>
    <xdr:sp macro="" textlink="">
      <xdr:nvSpPr>
        <xdr:cNvPr id="1203" name="Shape 1202">
          <a:extLst>
            <a:ext uri="{FF2B5EF4-FFF2-40B4-BE49-F238E27FC236}">
              <a16:creationId xmlns:a16="http://schemas.microsoft.com/office/drawing/2014/main" id="{00000000-0008-0000-0B00-0000B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4</xdr:row>
      <xdr:rowOff>9525</xdr:rowOff>
    </xdr:from>
    <xdr:ext cx="323850" cy="180975"/>
    <xdr:sp macro="" textlink="">
      <xdr:nvSpPr>
        <xdr:cNvPr id="1204" name="Shape 1203">
          <a:extLst>
            <a:ext uri="{FF2B5EF4-FFF2-40B4-BE49-F238E27FC236}">
              <a16:creationId xmlns:a16="http://schemas.microsoft.com/office/drawing/2014/main" id="{00000000-0008-0000-0B00-0000B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5</xdr:row>
      <xdr:rowOff>9525</xdr:rowOff>
    </xdr:from>
    <xdr:ext cx="323850" cy="180975"/>
    <xdr:sp macro="" textlink="">
      <xdr:nvSpPr>
        <xdr:cNvPr id="1205" name="Shape 1204">
          <a:extLst>
            <a:ext uri="{FF2B5EF4-FFF2-40B4-BE49-F238E27FC236}">
              <a16:creationId xmlns:a16="http://schemas.microsoft.com/office/drawing/2014/main" id="{00000000-0008-0000-0B00-0000B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6</xdr:row>
      <xdr:rowOff>9525</xdr:rowOff>
    </xdr:from>
    <xdr:ext cx="323850" cy="180975"/>
    <xdr:sp macro="" textlink="">
      <xdr:nvSpPr>
        <xdr:cNvPr id="1206" name="Shape 1205">
          <a:extLst>
            <a:ext uri="{FF2B5EF4-FFF2-40B4-BE49-F238E27FC236}">
              <a16:creationId xmlns:a16="http://schemas.microsoft.com/office/drawing/2014/main" id="{00000000-0008-0000-0B00-0000B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7</xdr:row>
      <xdr:rowOff>9525</xdr:rowOff>
    </xdr:from>
    <xdr:ext cx="323850" cy="180975"/>
    <xdr:sp macro="" textlink="">
      <xdr:nvSpPr>
        <xdr:cNvPr id="1207" name="Shape 1206">
          <a:extLst>
            <a:ext uri="{FF2B5EF4-FFF2-40B4-BE49-F238E27FC236}">
              <a16:creationId xmlns:a16="http://schemas.microsoft.com/office/drawing/2014/main" id="{00000000-0008-0000-0B00-0000B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8</xdr:row>
      <xdr:rowOff>9525</xdr:rowOff>
    </xdr:from>
    <xdr:ext cx="323850" cy="180975"/>
    <xdr:sp macro="" textlink="">
      <xdr:nvSpPr>
        <xdr:cNvPr id="1208" name="Shape 1207">
          <a:extLst>
            <a:ext uri="{FF2B5EF4-FFF2-40B4-BE49-F238E27FC236}">
              <a16:creationId xmlns:a16="http://schemas.microsoft.com/office/drawing/2014/main" id="{00000000-0008-0000-0B00-0000B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9</xdr:row>
      <xdr:rowOff>9525</xdr:rowOff>
    </xdr:from>
    <xdr:ext cx="323850" cy="180975"/>
    <xdr:sp macro="" textlink="">
      <xdr:nvSpPr>
        <xdr:cNvPr id="1209" name="Shape 1208">
          <a:extLst>
            <a:ext uri="{FF2B5EF4-FFF2-40B4-BE49-F238E27FC236}">
              <a16:creationId xmlns:a16="http://schemas.microsoft.com/office/drawing/2014/main" id="{00000000-0008-0000-0B00-0000B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10</xdr:row>
      <xdr:rowOff>9525</xdr:rowOff>
    </xdr:from>
    <xdr:ext cx="323850" cy="180975"/>
    <xdr:sp macro="" textlink="">
      <xdr:nvSpPr>
        <xdr:cNvPr id="1210" name="Shape 1209">
          <a:extLst>
            <a:ext uri="{FF2B5EF4-FFF2-40B4-BE49-F238E27FC236}">
              <a16:creationId xmlns:a16="http://schemas.microsoft.com/office/drawing/2014/main" id="{00000000-0008-0000-0B00-0000B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11</xdr:row>
      <xdr:rowOff>9525</xdr:rowOff>
    </xdr:from>
    <xdr:ext cx="323850" cy="180975"/>
    <xdr:sp macro="" textlink="">
      <xdr:nvSpPr>
        <xdr:cNvPr id="1211" name="Shape 1210">
          <a:extLst>
            <a:ext uri="{FF2B5EF4-FFF2-40B4-BE49-F238E27FC236}">
              <a16:creationId xmlns:a16="http://schemas.microsoft.com/office/drawing/2014/main" id="{00000000-0008-0000-0B00-0000B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12</xdr:row>
      <xdr:rowOff>9525</xdr:rowOff>
    </xdr:from>
    <xdr:ext cx="323850" cy="180975"/>
    <xdr:sp macro="" textlink="">
      <xdr:nvSpPr>
        <xdr:cNvPr id="1212" name="Shape 1211">
          <a:extLst>
            <a:ext uri="{FF2B5EF4-FFF2-40B4-BE49-F238E27FC236}">
              <a16:creationId xmlns:a16="http://schemas.microsoft.com/office/drawing/2014/main" id="{00000000-0008-0000-0B00-0000B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13</xdr:row>
      <xdr:rowOff>9525</xdr:rowOff>
    </xdr:from>
    <xdr:ext cx="323850" cy="180975"/>
    <xdr:sp macro="" textlink="">
      <xdr:nvSpPr>
        <xdr:cNvPr id="1213" name="Shape 1212">
          <a:extLst>
            <a:ext uri="{FF2B5EF4-FFF2-40B4-BE49-F238E27FC236}">
              <a16:creationId xmlns:a16="http://schemas.microsoft.com/office/drawing/2014/main" id="{00000000-0008-0000-0B00-0000B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14</xdr:row>
      <xdr:rowOff>9525</xdr:rowOff>
    </xdr:from>
    <xdr:ext cx="323850" cy="180975"/>
    <xdr:sp macro="" textlink="">
      <xdr:nvSpPr>
        <xdr:cNvPr id="1214" name="Shape 1213">
          <a:extLst>
            <a:ext uri="{FF2B5EF4-FFF2-40B4-BE49-F238E27FC236}">
              <a16:creationId xmlns:a16="http://schemas.microsoft.com/office/drawing/2014/main" id="{00000000-0008-0000-0B00-0000B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15</xdr:row>
      <xdr:rowOff>9525</xdr:rowOff>
    </xdr:from>
    <xdr:ext cx="323850" cy="180975"/>
    <xdr:sp macro="" textlink="">
      <xdr:nvSpPr>
        <xdr:cNvPr id="1215" name="Shape 1214">
          <a:extLst>
            <a:ext uri="{FF2B5EF4-FFF2-40B4-BE49-F238E27FC236}">
              <a16:creationId xmlns:a16="http://schemas.microsoft.com/office/drawing/2014/main" id="{00000000-0008-0000-0B00-0000B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16</xdr:row>
      <xdr:rowOff>9525</xdr:rowOff>
    </xdr:from>
    <xdr:ext cx="323850" cy="180975"/>
    <xdr:sp macro="" textlink="">
      <xdr:nvSpPr>
        <xdr:cNvPr id="1216" name="Shape 1215">
          <a:extLst>
            <a:ext uri="{FF2B5EF4-FFF2-40B4-BE49-F238E27FC236}">
              <a16:creationId xmlns:a16="http://schemas.microsoft.com/office/drawing/2014/main" id="{00000000-0008-0000-0B00-0000C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17</xdr:row>
      <xdr:rowOff>9525</xdr:rowOff>
    </xdr:from>
    <xdr:ext cx="323850" cy="180975"/>
    <xdr:sp macro="" textlink="">
      <xdr:nvSpPr>
        <xdr:cNvPr id="1217" name="Shape 1216">
          <a:extLst>
            <a:ext uri="{FF2B5EF4-FFF2-40B4-BE49-F238E27FC236}">
              <a16:creationId xmlns:a16="http://schemas.microsoft.com/office/drawing/2014/main" id="{00000000-0008-0000-0B00-0000C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18</xdr:row>
      <xdr:rowOff>9525</xdr:rowOff>
    </xdr:from>
    <xdr:ext cx="323850" cy="180975"/>
    <xdr:sp macro="" textlink="">
      <xdr:nvSpPr>
        <xdr:cNvPr id="1218" name="Shape 1217">
          <a:extLst>
            <a:ext uri="{FF2B5EF4-FFF2-40B4-BE49-F238E27FC236}">
              <a16:creationId xmlns:a16="http://schemas.microsoft.com/office/drawing/2014/main" id="{00000000-0008-0000-0B00-0000C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19</xdr:row>
      <xdr:rowOff>9525</xdr:rowOff>
    </xdr:from>
    <xdr:ext cx="323850" cy="180975"/>
    <xdr:sp macro="" textlink="">
      <xdr:nvSpPr>
        <xdr:cNvPr id="1219" name="Shape 1218">
          <a:extLst>
            <a:ext uri="{FF2B5EF4-FFF2-40B4-BE49-F238E27FC236}">
              <a16:creationId xmlns:a16="http://schemas.microsoft.com/office/drawing/2014/main" id="{00000000-0008-0000-0B00-0000C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20</xdr:row>
      <xdr:rowOff>9525</xdr:rowOff>
    </xdr:from>
    <xdr:ext cx="323850" cy="180975"/>
    <xdr:sp macro="" textlink="">
      <xdr:nvSpPr>
        <xdr:cNvPr id="1220" name="Shape 1219">
          <a:extLst>
            <a:ext uri="{FF2B5EF4-FFF2-40B4-BE49-F238E27FC236}">
              <a16:creationId xmlns:a16="http://schemas.microsoft.com/office/drawing/2014/main" id="{00000000-0008-0000-0B00-0000C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21</xdr:row>
      <xdr:rowOff>9525</xdr:rowOff>
    </xdr:from>
    <xdr:ext cx="323850" cy="180975"/>
    <xdr:sp macro="" textlink="">
      <xdr:nvSpPr>
        <xdr:cNvPr id="1221" name="Shape 1220">
          <a:extLst>
            <a:ext uri="{FF2B5EF4-FFF2-40B4-BE49-F238E27FC236}">
              <a16:creationId xmlns:a16="http://schemas.microsoft.com/office/drawing/2014/main" id="{00000000-0008-0000-0B00-0000C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22</xdr:row>
      <xdr:rowOff>9525</xdr:rowOff>
    </xdr:from>
    <xdr:ext cx="323850" cy="180975"/>
    <xdr:sp macro="" textlink="">
      <xdr:nvSpPr>
        <xdr:cNvPr id="1222" name="Shape 1221">
          <a:extLst>
            <a:ext uri="{FF2B5EF4-FFF2-40B4-BE49-F238E27FC236}">
              <a16:creationId xmlns:a16="http://schemas.microsoft.com/office/drawing/2014/main" id="{00000000-0008-0000-0B00-0000C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23</xdr:row>
      <xdr:rowOff>9525</xdr:rowOff>
    </xdr:from>
    <xdr:ext cx="323850" cy="180975"/>
    <xdr:sp macro="" textlink="">
      <xdr:nvSpPr>
        <xdr:cNvPr id="1223" name="Shape 1222">
          <a:extLst>
            <a:ext uri="{FF2B5EF4-FFF2-40B4-BE49-F238E27FC236}">
              <a16:creationId xmlns:a16="http://schemas.microsoft.com/office/drawing/2014/main" id="{00000000-0008-0000-0B00-0000C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24</xdr:row>
      <xdr:rowOff>9525</xdr:rowOff>
    </xdr:from>
    <xdr:ext cx="323850" cy="180975"/>
    <xdr:sp macro="" textlink="">
      <xdr:nvSpPr>
        <xdr:cNvPr id="1224" name="Shape 1223">
          <a:extLst>
            <a:ext uri="{FF2B5EF4-FFF2-40B4-BE49-F238E27FC236}">
              <a16:creationId xmlns:a16="http://schemas.microsoft.com/office/drawing/2014/main" id="{00000000-0008-0000-0B00-0000C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25</xdr:row>
      <xdr:rowOff>9525</xdr:rowOff>
    </xdr:from>
    <xdr:ext cx="323850" cy="180975"/>
    <xdr:sp macro="" textlink="">
      <xdr:nvSpPr>
        <xdr:cNvPr id="1225" name="Shape 1224">
          <a:extLst>
            <a:ext uri="{FF2B5EF4-FFF2-40B4-BE49-F238E27FC236}">
              <a16:creationId xmlns:a16="http://schemas.microsoft.com/office/drawing/2014/main" id="{00000000-0008-0000-0B00-0000C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26</xdr:row>
      <xdr:rowOff>9525</xdr:rowOff>
    </xdr:from>
    <xdr:ext cx="323850" cy="180975"/>
    <xdr:sp macro="" textlink="">
      <xdr:nvSpPr>
        <xdr:cNvPr id="1226" name="Shape 1225">
          <a:extLst>
            <a:ext uri="{FF2B5EF4-FFF2-40B4-BE49-F238E27FC236}">
              <a16:creationId xmlns:a16="http://schemas.microsoft.com/office/drawing/2014/main" id="{00000000-0008-0000-0B00-0000C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27</xdr:row>
      <xdr:rowOff>9525</xdr:rowOff>
    </xdr:from>
    <xdr:ext cx="323850" cy="180975"/>
    <xdr:sp macro="" textlink="">
      <xdr:nvSpPr>
        <xdr:cNvPr id="1227" name="Shape 1226">
          <a:extLst>
            <a:ext uri="{FF2B5EF4-FFF2-40B4-BE49-F238E27FC236}">
              <a16:creationId xmlns:a16="http://schemas.microsoft.com/office/drawing/2014/main" id="{00000000-0008-0000-0B00-0000C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28</xdr:row>
      <xdr:rowOff>9525</xdr:rowOff>
    </xdr:from>
    <xdr:ext cx="323850" cy="180975"/>
    <xdr:sp macro="" textlink="">
      <xdr:nvSpPr>
        <xdr:cNvPr id="1228" name="Shape 1227">
          <a:extLst>
            <a:ext uri="{FF2B5EF4-FFF2-40B4-BE49-F238E27FC236}">
              <a16:creationId xmlns:a16="http://schemas.microsoft.com/office/drawing/2014/main" id="{00000000-0008-0000-0B00-0000C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29</xdr:row>
      <xdr:rowOff>9525</xdr:rowOff>
    </xdr:from>
    <xdr:ext cx="323850" cy="180975"/>
    <xdr:sp macro="" textlink="">
      <xdr:nvSpPr>
        <xdr:cNvPr id="1229" name="Shape 1228">
          <a:extLst>
            <a:ext uri="{FF2B5EF4-FFF2-40B4-BE49-F238E27FC236}">
              <a16:creationId xmlns:a16="http://schemas.microsoft.com/office/drawing/2014/main" id="{00000000-0008-0000-0B00-0000C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30</xdr:row>
      <xdr:rowOff>9525</xdr:rowOff>
    </xdr:from>
    <xdr:ext cx="323850" cy="180975"/>
    <xdr:sp macro="" textlink="">
      <xdr:nvSpPr>
        <xdr:cNvPr id="1230" name="Shape 1229">
          <a:extLst>
            <a:ext uri="{FF2B5EF4-FFF2-40B4-BE49-F238E27FC236}">
              <a16:creationId xmlns:a16="http://schemas.microsoft.com/office/drawing/2014/main" id="{00000000-0008-0000-0B00-0000C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31</xdr:row>
      <xdr:rowOff>9525</xdr:rowOff>
    </xdr:from>
    <xdr:ext cx="323850" cy="180975"/>
    <xdr:sp macro="" textlink="">
      <xdr:nvSpPr>
        <xdr:cNvPr id="1231" name="Shape 1230">
          <a:extLst>
            <a:ext uri="{FF2B5EF4-FFF2-40B4-BE49-F238E27FC236}">
              <a16:creationId xmlns:a16="http://schemas.microsoft.com/office/drawing/2014/main" id="{00000000-0008-0000-0B00-0000C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32</xdr:row>
      <xdr:rowOff>9525</xdr:rowOff>
    </xdr:from>
    <xdr:ext cx="323850" cy="180975"/>
    <xdr:sp macro="" textlink="">
      <xdr:nvSpPr>
        <xdr:cNvPr id="1232" name="Shape 1231">
          <a:extLst>
            <a:ext uri="{FF2B5EF4-FFF2-40B4-BE49-F238E27FC236}">
              <a16:creationId xmlns:a16="http://schemas.microsoft.com/office/drawing/2014/main" id="{00000000-0008-0000-0B00-0000D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33</xdr:row>
      <xdr:rowOff>9525</xdr:rowOff>
    </xdr:from>
    <xdr:ext cx="323850" cy="180975"/>
    <xdr:sp macro="" textlink="">
      <xdr:nvSpPr>
        <xdr:cNvPr id="1233" name="Shape 1232">
          <a:extLst>
            <a:ext uri="{FF2B5EF4-FFF2-40B4-BE49-F238E27FC236}">
              <a16:creationId xmlns:a16="http://schemas.microsoft.com/office/drawing/2014/main" id="{00000000-0008-0000-0B00-0000D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34</xdr:row>
      <xdr:rowOff>9525</xdr:rowOff>
    </xdr:from>
    <xdr:ext cx="323850" cy="180975"/>
    <xdr:sp macro="" textlink="">
      <xdr:nvSpPr>
        <xdr:cNvPr id="1234" name="Shape 1233">
          <a:extLst>
            <a:ext uri="{FF2B5EF4-FFF2-40B4-BE49-F238E27FC236}">
              <a16:creationId xmlns:a16="http://schemas.microsoft.com/office/drawing/2014/main" id="{00000000-0008-0000-0B00-0000D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35</xdr:row>
      <xdr:rowOff>9525</xdr:rowOff>
    </xdr:from>
    <xdr:ext cx="323850" cy="180975"/>
    <xdr:sp macro="" textlink="">
      <xdr:nvSpPr>
        <xdr:cNvPr id="1235" name="Shape 1234">
          <a:extLst>
            <a:ext uri="{FF2B5EF4-FFF2-40B4-BE49-F238E27FC236}">
              <a16:creationId xmlns:a16="http://schemas.microsoft.com/office/drawing/2014/main" id="{00000000-0008-0000-0B00-0000D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36</xdr:row>
      <xdr:rowOff>9525</xdr:rowOff>
    </xdr:from>
    <xdr:ext cx="323850" cy="180975"/>
    <xdr:sp macro="" textlink="">
      <xdr:nvSpPr>
        <xdr:cNvPr id="1236" name="Shape 1235">
          <a:extLst>
            <a:ext uri="{FF2B5EF4-FFF2-40B4-BE49-F238E27FC236}">
              <a16:creationId xmlns:a16="http://schemas.microsoft.com/office/drawing/2014/main" id="{00000000-0008-0000-0B00-0000D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37</xdr:row>
      <xdr:rowOff>9525</xdr:rowOff>
    </xdr:from>
    <xdr:ext cx="323850" cy="180975"/>
    <xdr:sp macro="" textlink="">
      <xdr:nvSpPr>
        <xdr:cNvPr id="1237" name="Shape 1236">
          <a:extLst>
            <a:ext uri="{FF2B5EF4-FFF2-40B4-BE49-F238E27FC236}">
              <a16:creationId xmlns:a16="http://schemas.microsoft.com/office/drawing/2014/main" id="{00000000-0008-0000-0B00-0000D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38</xdr:row>
      <xdr:rowOff>9525</xdr:rowOff>
    </xdr:from>
    <xdr:ext cx="323850" cy="180975"/>
    <xdr:sp macro="" textlink="">
      <xdr:nvSpPr>
        <xdr:cNvPr id="1238" name="Shape 1237">
          <a:extLst>
            <a:ext uri="{FF2B5EF4-FFF2-40B4-BE49-F238E27FC236}">
              <a16:creationId xmlns:a16="http://schemas.microsoft.com/office/drawing/2014/main" id="{00000000-0008-0000-0B00-0000D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39</xdr:row>
      <xdr:rowOff>9525</xdr:rowOff>
    </xdr:from>
    <xdr:ext cx="323850" cy="180975"/>
    <xdr:sp macro="" textlink="">
      <xdr:nvSpPr>
        <xdr:cNvPr id="1239" name="Shape 1238">
          <a:extLst>
            <a:ext uri="{FF2B5EF4-FFF2-40B4-BE49-F238E27FC236}">
              <a16:creationId xmlns:a16="http://schemas.microsoft.com/office/drawing/2014/main" id="{00000000-0008-0000-0B00-0000D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135</xdr:col>
      <xdr:colOff>0</xdr:colOff>
      <xdr:row>40</xdr:row>
      <xdr:rowOff>9525</xdr:rowOff>
    </xdr:from>
    <xdr:ext cx="323850" cy="180975"/>
    <xdr:sp macro="" textlink="">
      <xdr:nvSpPr>
        <xdr:cNvPr id="1240" name="Shape 1239">
          <a:extLst>
            <a:ext uri="{FF2B5EF4-FFF2-40B4-BE49-F238E27FC236}">
              <a16:creationId xmlns:a16="http://schemas.microsoft.com/office/drawing/2014/main" id="{00000000-0008-0000-0B00-0000D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136</xdr:col>
      <xdr:colOff>0</xdr:colOff>
      <xdr:row>41</xdr:row>
      <xdr:rowOff>9525</xdr:rowOff>
    </xdr:from>
    <xdr:ext cx="323850" cy="180975"/>
    <xdr:sp macro="" textlink="">
      <xdr:nvSpPr>
        <xdr:cNvPr id="1241" name="Shape 1240">
          <a:extLst>
            <a:ext uri="{FF2B5EF4-FFF2-40B4-BE49-F238E27FC236}">
              <a16:creationId xmlns:a16="http://schemas.microsoft.com/office/drawing/2014/main" id="{00000000-0008-0000-0B00-0000D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</xdr:row>
      <xdr:rowOff>9525</xdr:rowOff>
    </xdr:from>
    <xdr:ext cx="323850" cy="180975"/>
    <xdr:sp macro="" textlink="">
      <xdr:nvSpPr>
        <xdr:cNvPr id="1242" name="Shape 1241">
          <a:extLst>
            <a:ext uri="{FF2B5EF4-FFF2-40B4-BE49-F238E27FC236}">
              <a16:creationId xmlns:a16="http://schemas.microsoft.com/office/drawing/2014/main" id="{00000000-0008-0000-0B00-0000D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</xdr:row>
      <xdr:rowOff>9525</xdr:rowOff>
    </xdr:from>
    <xdr:ext cx="323850" cy="180975"/>
    <xdr:sp macro="" textlink="">
      <xdr:nvSpPr>
        <xdr:cNvPr id="1243" name="Shape 1242">
          <a:extLst>
            <a:ext uri="{FF2B5EF4-FFF2-40B4-BE49-F238E27FC236}">
              <a16:creationId xmlns:a16="http://schemas.microsoft.com/office/drawing/2014/main" id="{00000000-0008-0000-0B00-0000D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4</xdr:row>
      <xdr:rowOff>9525</xdr:rowOff>
    </xdr:from>
    <xdr:ext cx="323850" cy="180975"/>
    <xdr:sp macro="" textlink="">
      <xdr:nvSpPr>
        <xdr:cNvPr id="1244" name="Shape 1243">
          <a:extLst>
            <a:ext uri="{FF2B5EF4-FFF2-40B4-BE49-F238E27FC236}">
              <a16:creationId xmlns:a16="http://schemas.microsoft.com/office/drawing/2014/main" id="{00000000-0008-0000-0B00-0000D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5</xdr:row>
      <xdr:rowOff>9525</xdr:rowOff>
    </xdr:from>
    <xdr:ext cx="323850" cy="180975"/>
    <xdr:sp macro="" textlink="">
      <xdr:nvSpPr>
        <xdr:cNvPr id="1245" name="Shape 1244">
          <a:extLst>
            <a:ext uri="{FF2B5EF4-FFF2-40B4-BE49-F238E27FC236}">
              <a16:creationId xmlns:a16="http://schemas.microsoft.com/office/drawing/2014/main" id="{00000000-0008-0000-0B00-0000D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6</xdr:row>
      <xdr:rowOff>9525</xdr:rowOff>
    </xdr:from>
    <xdr:ext cx="323850" cy="180975"/>
    <xdr:sp macro="" textlink="">
      <xdr:nvSpPr>
        <xdr:cNvPr id="1246" name="Shape 1245">
          <a:extLst>
            <a:ext uri="{FF2B5EF4-FFF2-40B4-BE49-F238E27FC236}">
              <a16:creationId xmlns:a16="http://schemas.microsoft.com/office/drawing/2014/main" id="{00000000-0008-0000-0B00-0000D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7</xdr:row>
      <xdr:rowOff>9525</xdr:rowOff>
    </xdr:from>
    <xdr:ext cx="323850" cy="180975"/>
    <xdr:sp macro="" textlink="">
      <xdr:nvSpPr>
        <xdr:cNvPr id="1247" name="Shape 1246">
          <a:extLst>
            <a:ext uri="{FF2B5EF4-FFF2-40B4-BE49-F238E27FC236}">
              <a16:creationId xmlns:a16="http://schemas.microsoft.com/office/drawing/2014/main" id="{00000000-0008-0000-0B00-0000D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8</xdr:row>
      <xdr:rowOff>9525</xdr:rowOff>
    </xdr:from>
    <xdr:ext cx="323850" cy="180975"/>
    <xdr:sp macro="" textlink="">
      <xdr:nvSpPr>
        <xdr:cNvPr id="1248" name="Shape 1247">
          <a:extLst>
            <a:ext uri="{FF2B5EF4-FFF2-40B4-BE49-F238E27FC236}">
              <a16:creationId xmlns:a16="http://schemas.microsoft.com/office/drawing/2014/main" id="{00000000-0008-0000-0B00-0000E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9</xdr:row>
      <xdr:rowOff>9525</xdr:rowOff>
    </xdr:from>
    <xdr:ext cx="323850" cy="180975"/>
    <xdr:sp macro="" textlink="">
      <xdr:nvSpPr>
        <xdr:cNvPr id="1249" name="Shape 1248">
          <a:extLst>
            <a:ext uri="{FF2B5EF4-FFF2-40B4-BE49-F238E27FC236}">
              <a16:creationId xmlns:a16="http://schemas.microsoft.com/office/drawing/2014/main" id="{00000000-0008-0000-0B00-0000E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10</xdr:row>
      <xdr:rowOff>9525</xdr:rowOff>
    </xdr:from>
    <xdr:ext cx="323850" cy="180975"/>
    <xdr:sp macro="" textlink="">
      <xdr:nvSpPr>
        <xdr:cNvPr id="1250" name="Shape 1249">
          <a:extLst>
            <a:ext uri="{FF2B5EF4-FFF2-40B4-BE49-F238E27FC236}">
              <a16:creationId xmlns:a16="http://schemas.microsoft.com/office/drawing/2014/main" id="{00000000-0008-0000-0B00-0000E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11</xdr:row>
      <xdr:rowOff>9525</xdr:rowOff>
    </xdr:from>
    <xdr:ext cx="323850" cy="180975"/>
    <xdr:sp macro="" textlink="">
      <xdr:nvSpPr>
        <xdr:cNvPr id="1251" name="Shape 1250">
          <a:extLst>
            <a:ext uri="{FF2B5EF4-FFF2-40B4-BE49-F238E27FC236}">
              <a16:creationId xmlns:a16="http://schemas.microsoft.com/office/drawing/2014/main" id="{00000000-0008-0000-0B00-0000E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12</xdr:row>
      <xdr:rowOff>9525</xdr:rowOff>
    </xdr:from>
    <xdr:ext cx="323850" cy="180975"/>
    <xdr:sp macro="" textlink="">
      <xdr:nvSpPr>
        <xdr:cNvPr id="1252" name="Shape 1251">
          <a:extLst>
            <a:ext uri="{FF2B5EF4-FFF2-40B4-BE49-F238E27FC236}">
              <a16:creationId xmlns:a16="http://schemas.microsoft.com/office/drawing/2014/main" id="{00000000-0008-0000-0B00-0000E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13</xdr:row>
      <xdr:rowOff>9525</xdr:rowOff>
    </xdr:from>
    <xdr:ext cx="323850" cy="180975"/>
    <xdr:sp macro="" textlink="">
      <xdr:nvSpPr>
        <xdr:cNvPr id="1253" name="Shape 1252">
          <a:extLst>
            <a:ext uri="{FF2B5EF4-FFF2-40B4-BE49-F238E27FC236}">
              <a16:creationId xmlns:a16="http://schemas.microsoft.com/office/drawing/2014/main" id="{00000000-0008-0000-0B00-0000E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14</xdr:row>
      <xdr:rowOff>9525</xdr:rowOff>
    </xdr:from>
    <xdr:ext cx="323850" cy="180975"/>
    <xdr:sp macro="" textlink="">
      <xdr:nvSpPr>
        <xdr:cNvPr id="1254" name="Shape 1253">
          <a:extLst>
            <a:ext uri="{FF2B5EF4-FFF2-40B4-BE49-F238E27FC236}">
              <a16:creationId xmlns:a16="http://schemas.microsoft.com/office/drawing/2014/main" id="{00000000-0008-0000-0B00-0000E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15</xdr:row>
      <xdr:rowOff>9525</xdr:rowOff>
    </xdr:from>
    <xdr:ext cx="323850" cy="180975"/>
    <xdr:sp macro="" textlink="">
      <xdr:nvSpPr>
        <xdr:cNvPr id="1255" name="Shape 1254">
          <a:extLst>
            <a:ext uri="{FF2B5EF4-FFF2-40B4-BE49-F238E27FC236}">
              <a16:creationId xmlns:a16="http://schemas.microsoft.com/office/drawing/2014/main" id="{00000000-0008-0000-0B00-0000E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16</xdr:row>
      <xdr:rowOff>9525</xdr:rowOff>
    </xdr:from>
    <xdr:ext cx="323850" cy="180975"/>
    <xdr:sp macro="" textlink="">
      <xdr:nvSpPr>
        <xdr:cNvPr id="1256" name="Shape 1255">
          <a:extLst>
            <a:ext uri="{FF2B5EF4-FFF2-40B4-BE49-F238E27FC236}">
              <a16:creationId xmlns:a16="http://schemas.microsoft.com/office/drawing/2014/main" id="{00000000-0008-0000-0B00-0000E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17</xdr:row>
      <xdr:rowOff>9525</xdr:rowOff>
    </xdr:from>
    <xdr:ext cx="323850" cy="180975"/>
    <xdr:sp macro="" textlink="">
      <xdr:nvSpPr>
        <xdr:cNvPr id="1257" name="Shape 1256">
          <a:extLst>
            <a:ext uri="{FF2B5EF4-FFF2-40B4-BE49-F238E27FC236}">
              <a16:creationId xmlns:a16="http://schemas.microsoft.com/office/drawing/2014/main" id="{00000000-0008-0000-0B00-0000E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18</xdr:row>
      <xdr:rowOff>9525</xdr:rowOff>
    </xdr:from>
    <xdr:ext cx="323850" cy="180975"/>
    <xdr:sp macro="" textlink="">
      <xdr:nvSpPr>
        <xdr:cNvPr id="1258" name="Shape 1257">
          <a:extLst>
            <a:ext uri="{FF2B5EF4-FFF2-40B4-BE49-F238E27FC236}">
              <a16:creationId xmlns:a16="http://schemas.microsoft.com/office/drawing/2014/main" id="{00000000-0008-0000-0B00-0000E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19</xdr:row>
      <xdr:rowOff>9525</xdr:rowOff>
    </xdr:from>
    <xdr:ext cx="323850" cy="180975"/>
    <xdr:sp macro="" textlink="">
      <xdr:nvSpPr>
        <xdr:cNvPr id="1259" name="Shape 1258">
          <a:extLst>
            <a:ext uri="{FF2B5EF4-FFF2-40B4-BE49-F238E27FC236}">
              <a16:creationId xmlns:a16="http://schemas.microsoft.com/office/drawing/2014/main" id="{00000000-0008-0000-0B00-0000E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20</xdr:row>
      <xdr:rowOff>9525</xdr:rowOff>
    </xdr:from>
    <xdr:ext cx="323850" cy="180975"/>
    <xdr:sp macro="" textlink="">
      <xdr:nvSpPr>
        <xdr:cNvPr id="1260" name="Shape 1259">
          <a:extLst>
            <a:ext uri="{FF2B5EF4-FFF2-40B4-BE49-F238E27FC236}">
              <a16:creationId xmlns:a16="http://schemas.microsoft.com/office/drawing/2014/main" id="{00000000-0008-0000-0B00-0000E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21</xdr:row>
      <xdr:rowOff>9525</xdr:rowOff>
    </xdr:from>
    <xdr:ext cx="323850" cy="180975"/>
    <xdr:sp macro="" textlink="">
      <xdr:nvSpPr>
        <xdr:cNvPr id="1261" name="Shape 1260">
          <a:extLst>
            <a:ext uri="{FF2B5EF4-FFF2-40B4-BE49-F238E27FC236}">
              <a16:creationId xmlns:a16="http://schemas.microsoft.com/office/drawing/2014/main" id="{00000000-0008-0000-0B00-0000E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22</xdr:row>
      <xdr:rowOff>9525</xdr:rowOff>
    </xdr:from>
    <xdr:ext cx="323850" cy="180975"/>
    <xdr:sp macro="" textlink="">
      <xdr:nvSpPr>
        <xdr:cNvPr id="1262" name="Shape 1261">
          <a:extLst>
            <a:ext uri="{FF2B5EF4-FFF2-40B4-BE49-F238E27FC236}">
              <a16:creationId xmlns:a16="http://schemas.microsoft.com/office/drawing/2014/main" id="{00000000-0008-0000-0B00-0000E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23</xdr:row>
      <xdr:rowOff>9525</xdr:rowOff>
    </xdr:from>
    <xdr:ext cx="323850" cy="180975"/>
    <xdr:sp macro="" textlink="">
      <xdr:nvSpPr>
        <xdr:cNvPr id="1263" name="Shape 1262">
          <a:extLst>
            <a:ext uri="{FF2B5EF4-FFF2-40B4-BE49-F238E27FC236}">
              <a16:creationId xmlns:a16="http://schemas.microsoft.com/office/drawing/2014/main" id="{00000000-0008-0000-0B00-0000E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24</xdr:row>
      <xdr:rowOff>9525</xdr:rowOff>
    </xdr:from>
    <xdr:ext cx="323850" cy="180975"/>
    <xdr:sp macro="" textlink="">
      <xdr:nvSpPr>
        <xdr:cNvPr id="1264" name="Shape 1263">
          <a:extLst>
            <a:ext uri="{FF2B5EF4-FFF2-40B4-BE49-F238E27FC236}">
              <a16:creationId xmlns:a16="http://schemas.microsoft.com/office/drawing/2014/main" id="{00000000-0008-0000-0B00-0000F0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25</xdr:row>
      <xdr:rowOff>9525</xdr:rowOff>
    </xdr:from>
    <xdr:ext cx="323850" cy="180975"/>
    <xdr:sp macro="" textlink="">
      <xdr:nvSpPr>
        <xdr:cNvPr id="1265" name="Shape 1264">
          <a:extLst>
            <a:ext uri="{FF2B5EF4-FFF2-40B4-BE49-F238E27FC236}">
              <a16:creationId xmlns:a16="http://schemas.microsoft.com/office/drawing/2014/main" id="{00000000-0008-0000-0B00-0000F1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26</xdr:row>
      <xdr:rowOff>9525</xdr:rowOff>
    </xdr:from>
    <xdr:ext cx="323850" cy="180975"/>
    <xdr:sp macro="" textlink="">
      <xdr:nvSpPr>
        <xdr:cNvPr id="1266" name="Shape 1265">
          <a:extLst>
            <a:ext uri="{FF2B5EF4-FFF2-40B4-BE49-F238E27FC236}">
              <a16:creationId xmlns:a16="http://schemas.microsoft.com/office/drawing/2014/main" id="{00000000-0008-0000-0B00-0000F2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27</xdr:row>
      <xdr:rowOff>9525</xdr:rowOff>
    </xdr:from>
    <xdr:ext cx="323850" cy="180975"/>
    <xdr:sp macro="" textlink="">
      <xdr:nvSpPr>
        <xdr:cNvPr id="1267" name="Shape 1266">
          <a:extLst>
            <a:ext uri="{FF2B5EF4-FFF2-40B4-BE49-F238E27FC236}">
              <a16:creationId xmlns:a16="http://schemas.microsoft.com/office/drawing/2014/main" id="{00000000-0008-0000-0B00-0000F3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28</xdr:row>
      <xdr:rowOff>9525</xdr:rowOff>
    </xdr:from>
    <xdr:ext cx="323850" cy="180975"/>
    <xdr:sp macro="" textlink="">
      <xdr:nvSpPr>
        <xdr:cNvPr id="1268" name="Shape 1267">
          <a:extLst>
            <a:ext uri="{FF2B5EF4-FFF2-40B4-BE49-F238E27FC236}">
              <a16:creationId xmlns:a16="http://schemas.microsoft.com/office/drawing/2014/main" id="{00000000-0008-0000-0B00-0000F4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29</xdr:row>
      <xdr:rowOff>9525</xdr:rowOff>
    </xdr:from>
    <xdr:ext cx="323850" cy="180975"/>
    <xdr:sp macro="" textlink="">
      <xdr:nvSpPr>
        <xdr:cNvPr id="1269" name="Shape 1268">
          <a:extLst>
            <a:ext uri="{FF2B5EF4-FFF2-40B4-BE49-F238E27FC236}">
              <a16:creationId xmlns:a16="http://schemas.microsoft.com/office/drawing/2014/main" id="{00000000-0008-0000-0B00-0000F5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30</xdr:row>
      <xdr:rowOff>9525</xdr:rowOff>
    </xdr:from>
    <xdr:ext cx="323850" cy="180975"/>
    <xdr:sp macro="" textlink="">
      <xdr:nvSpPr>
        <xdr:cNvPr id="1270" name="Shape 1269">
          <a:extLst>
            <a:ext uri="{FF2B5EF4-FFF2-40B4-BE49-F238E27FC236}">
              <a16:creationId xmlns:a16="http://schemas.microsoft.com/office/drawing/2014/main" id="{00000000-0008-0000-0B00-0000F6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31</xdr:row>
      <xdr:rowOff>9525</xdr:rowOff>
    </xdr:from>
    <xdr:ext cx="323850" cy="180975"/>
    <xdr:sp macro="" textlink="">
      <xdr:nvSpPr>
        <xdr:cNvPr id="1271" name="Shape 1270">
          <a:extLst>
            <a:ext uri="{FF2B5EF4-FFF2-40B4-BE49-F238E27FC236}">
              <a16:creationId xmlns:a16="http://schemas.microsoft.com/office/drawing/2014/main" id="{00000000-0008-0000-0B00-0000F7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32</xdr:row>
      <xdr:rowOff>9525</xdr:rowOff>
    </xdr:from>
    <xdr:ext cx="323850" cy="180975"/>
    <xdr:sp macro="" textlink="">
      <xdr:nvSpPr>
        <xdr:cNvPr id="1272" name="Shape 1271">
          <a:extLst>
            <a:ext uri="{FF2B5EF4-FFF2-40B4-BE49-F238E27FC236}">
              <a16:creationId xmlns:a16="http://schemas.microsoft.com/office/drawing/2014/main" id="{00000000-0008-0000-0B00-0000F8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33</xdr:row>
      <xdr:rowOff>9525</xdr:rowOff>
    </xdr:from>
    <xdr:ext cx="323850" cy="180975"/>
    <xdr:sp macro="" textlink="">
      <xdr:nvSpPr>
        <xdr:cNvPr id="1273" name="Shape 1272">
          <a:extLst>
            <a:ext uri="{FF2B5EF4-FFF2-40B4-BE49-F238E27FC236}">
              <a16:creationId xmlns:a16="http://schemas.microsoft.com/office/drawing/2014/main" id="{00000000-0008-0000-0B00-0000F9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34</xdr:row>
      <xdr:rowOff>9525</xdr:rowOff>
    </xdr:from>
    <xdr:ext cx="323850" cy="180975"/>
    <xdr:sp macro="" textlink="">
      <xdr:nvSpPr>
        <xdr:cNvPr id="1274" name="Shape 1273">
          <a:extLst>
            <a:ext uri="{FF2B5EF4-FFF2-40B4-BE49-F238E27FC236}">
              <a16:creationId xmlns:a16="http://schemas.microsoft.com/office/drawing/2014/main" id="{00000000-0008-0000-0B00-0000FA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35</xdr:row>
      <xdr:rowOff>9525</xdr:rowOff>
    </xdr:from>
    <xdr:ext cx="323850" cy="180975"/>
    <xdr:sp macro="" textlink="">
      <xdr:nvSpPr>
        <xdr:cNvPr id="1275" name="Shape 1274">
          <a:extLst>
            <a:ext uri="{FF2B5EF4-FFF2-40B4-BE49-F238E27FC236}">
              <a16:creationId xmlns:a16="http://schemas.microsoft.com/office/drawing/2014/main" id="{00000000-0008-0000-0B00-0000FB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36</xdr:row>
      <xdr:rowOff>9525</xdr:rowOff>
    </xdr:from>
    <xdr:ext cx="323850" cy="180975"/>
    <xdr:sp macro="" textlink="">
      <xdr:nvSpPr>
        <xdr:cNvPr id="1276" name="Shape 1275">
          <a:extLst>
            <a:ext uri="{FF2B5EF4-FFF2-40B4-BE49-F238E27FC236}">
              <a16:creationId xmlns:a16="http://schemas.microsoft.com/office/drawing/2014/main" id="{00000000-0008-0000-0B00-0000FC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37</xdr:row>
      <xdr:rowOff>9525</xdr:rowOff>
    </xdr:from>
    <xdr:ext cx="323850" cy="180975"/>
    <xdr:sp macro="" textlink="">
      <xdr:nvSpPr>
        <xdr:cNvPr id="1277" name="Shape 1276">
          <a:extLst>
            <a:ext uri="{FF2B5EF4-FFF2-40B4-BE49-F238E27FC236}">
              <a16:creationId xmlns:a16="http://schemas.microsoft.com/office/drawing/2014/main" id="{00000000-0008-0000-0B00-0000FD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38</xdr:row>
      <xdr:rowOff>9525</xdr:rowOff>
    </xdr:from>
    <xdr:ext cx="323850" cy="180975"/>
    <xdr:sp macro="" textlink="">
      <xdr:nvSpPr>
        <xdr:cNvPr id="1278" name="Shape 1277">
          <a:extLst>
            <a:ext uri="{FF2B5EF4-FFF2-40B4-BE49-F238E27FC236}">
              <a16:creationId xmlns:a16="http://schemas.microsoft.com/office/drawing/2014/main" id="{00000000-0008-0000-0B00-0000FE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39</xdr:row>
      <xdr:rowOff>9525</xdr:rowOff>
    </xdr:from>
    <xdr:ext cx="323850" cy="180975"/>
    <xdr:sp macro="" textlink="">
      <xdr:nvSpPr>
        <xdr:cNvPr id="1279" name="Shape 1278">
          <a:extLst>
            <a:ext uri="{FF2B5EF4-FFF2-40B4-BE49-F238E27FC236}">
              <a16:creationId xmlns:a16="http://schemas.microsoft.com/office/drawing/2014/main" id="{00000000-0008-0000-0B00-0000FF04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140</xdr:col>
      <xdr:colOff>0</xdr:colOff>
      <xdr:row>40</xdr:row>
      <xdr:rowOff>9525</xdr:rowOff>
    </xdr:from>
    <xdr:ext cx="323850" cy="180975"/>
    <xdr:sp macro="" textlink="">
      <xdr:nvSpPr>
        <xdr:cNvPr id="1280" name="Shape 1279">
          <a:extLst>
            <a:ext uri="{FF2B5EF4-FFF2-40B4-BE49-F238E27FC236}">
              <a16:creationId xmlns:a16="http://schemas.microsoft.com/office/drawing/2014/main" id="{00000000-0008-0000-0B00-00000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139</xdr:col>
      <xdr:colOff>0</xdr:colOff>
      <xdr:row>41</xdr:row>
      <xdr:rowOff>9525</xdr:rowOff>
    </xdr:from>
    <xdr:ext cx="323850" cy="180975"/>
    <xdr:sp macro="" textlink="">
      <xdr:nvSpPr>
        <xdr:cNvPr id="1281" name="Shape 1280">
          <a:extLst>
            <a:ext uri="{FF2B5EF4-FFF2-40B4-BE49-F238E27FC236}">
              <a16:creationId xmlns:a16="http://schemas.microsoft.com/office/drawing/2014/main" id="{00000000-0008-0000-0B00-00000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</xdr:row>
      <xdr:rowOff>9525</xdr:rowOff>
    </xdr:from>
    <xdr:ext cx="323850" cy="180975"/>
    <xdr:sp macro="" textlink="">
      <xdr:nvSpPr>
        <xdr:cNvPr id="1282" name="Shape 1281">
          <a:extLst>
            <a:ext uri="{FF2B5EF4-FFF2-40B4-BE49-F238E27FC236}">
              <a16:creationId xmlns:a16="http://schemas.microsoft.com/office/drawing/2014/main" id="{00000000-0008-0000-0B00-00000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</xdr:row>
      <xdr:rowOff>9525</xdr:rowOff>
    </xdr:from>
    <xdr:ext cx="323850" cy="180975"/>
    <xdr:sp macro="" textlink="">
      <xdr:nvSpPr>
        <xdr:cNvPr id="1283" name="Shape 1282">
          <a:extLst>
            <a:ext uri="{FF2B5EF4-FFF2-40B4-BE49-F238E27FC236}">
              <a16:creationId xmlns:a16="http://schemas.microsoft.com/office/drawing/2014/main" id="{00000000-0008-0000-0B00-00000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4</xdr:row>
      <xdr:rowOff>9525</xdr:rowOff>
    </xdr:from>
    <xdr:ext cx="323850" cy="180975"/>
    <xdr:sp macro="" textlink="">
      <xdr:nvSpPr>
        <xdr:cNvPr id="1284" name="Shape 1283">
          <a:extLst>
            <a:ext uri="{FF2B5EF4-FFF2-40B4-BE49-F238E27FC236}">
              <a16:creationId xmlns:a16="http://schemas.microsoft.com/office/drawing/2014/main" id="{00000000-0008-0000-0B00-00000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5</xdr:row>
      <xdr:rowOff>9525</xdr:rowOff>
    </xdr:from>
    <xdr:ext cx="323850" cy="180975"/>
    <xdr:sp macro="" textlink="">
      <xdr:nvSpPr>
        <xdr:cNvPr id="1285" name="Shape 1284">
          <a:extLst>
            <a:ext uri="{FF2B5EF4-FFF2-40B4-BE49-F238E27FC236}">
              <a16:creationId xmlns:a16="http://schemas.microsoft.com/office/drawing/2014/main" id="{00000000-0008-0000-0B00-00000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6</xdr:row>
      <xdr:rowOff>9525</xdr:rowOff>
    </xdr:from>
    <xdr:ext cx="323850" cy="180975"/>
    <xdr:sp macro="" textlink="">
      <xdr:nvSpPr>
        <xdr:cNvPr id="1286" name="Shape 1285">
          <a:extLst>
            <a:ext uri="{FF2B5EF4-FFF2-40B4-BE49-F238E27FC236}">
              <a16:creationId xmlns:a16="http://schemas.microsoft.com/office/drawing/2014/main" id="{00000000-0008-0000-0B00-00000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7</xdr:row>
      <xdr:rowOff>9525</xdr:rowOff>
    </xdr:from>
    <xdr:ext cx="323850" cy="180975"/>
    <xdr:sp macro="" textlink="">
      <xdr:nvSpPr>
        <xdr:cNvPr id="1287" name="Shape 1286">
          <a:extLst>
            <a:ext uri="{FF2B5EF4-FFF2-40B4-BE49-F238E27FC236}">
              <a16:creationId xmlns:a16="http://schemas.microsoft.com/office/drawing/2014/main" id="{00000000-0008-0000-0B00-00000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8</xdr:row>
      <xdr:rowOff>9525</xdr:rowOff>
    </xdr:from>
    <xdr:ext cx="323850" cy="180975"/>
    <xdr:sp macro="" textlink="">
      <xdr:nvSpPr>
        <xdr:cNvPr id="1288" name="Shape 1287">
          <a:extLst>
            <a:ext uri="{FF2B5EF4-FFF2-40B4-BE49-F238E27FC236}">
              <a16:creationId xmlns:a16="http://schemas.microsoft.com/office/drawing/2014/main" id="{00000000-0008-0000-0B00-00000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9</xdr:row>
      <xdr:rowOff>9525</xdr:rowOff>
    </xdr:from>
    <xdr:ext cx="323850" cy="180975"/>
    <xdr:sp macro="" textlink="">
      <xdr:nvSpPr>
        <xdr:cNvPr id="1289" name="Shape 1288">
          <a:extLst>
            <a:ext uri="{FF2B5EF4-FFF2-40B4-BE49-F238E27FC236}">
              <a16:creationId xmlns:a16="http://schemas.microsoft.com/office/drawing/2014/main" id="{00000000-0008-0000-0B00-00000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10</xdr:row>
      <xdr:rowOff>9525</xdr:rowOff>
    </xdr:from>
    <xdr:ext cx="323850" cy="180975"/>
    <xdr:sp macro="" textlink="">
      <xdr:nvSpPr>
        <xdr:cNvPr id="1290" name="Shape 1289">
          <a:extLst>
            <a:ext uri="{FF2B5EF4-FFF2-40B4-BE49-F238E27FC236}">
              <a16:creationId xmlns:a16="http://schemas.microsoft.com/office/drawing/2014/main" id="{00000000-0008-0000-0B00-00000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11</xdr:row>
      <xdr:rowOff>9525</xdr:rowOff>
    </xdr:from>
    <xdr:ext cx="323850" cy="180975"/>
    <xdr:sp macro="" textlink="">
      <xdr:nvSpPr>
        <xdr:cNvPr id="1291" name="Shape 1290">
          <a:extLst>
            <a:ext uri="{FF2B5EF4-FFF2-40B4-BE49-F238E27FC236}">
              <a16:creationId xmlns:a16="http://schemas.microsoft.com/office/drawing/2014/main" id="{00000000-0008-0000-0B00-00000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12</xdr:row>
      <xdr:rowOff>9525</xdr:rowOff>
    </xdr:from>
    <xdr:ext cx="323850" cy="180975"/>
    <xdr:sp macro="" textlink="">
      <xdr:nvSpPr>
        <xdr:cNvPr id="1292" name="Shape 1291">
          <a:extLst>
            <a:ext uri="{FF2B5EF4-FFF2-40B4-BE49-F238E27FC236}">
              <a16:creationId xmlns:a16="http://schemas.microsoft.com/office/drawing/2014/main" id="{00000000-0008-0000-0B00-00000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13</xdr:row>
      <xdr:rowOff>9525</xdr:rowOff>
    </xdr:from>
    <xdr:ext cx="323850" cy="180975"/>
    <xdr:sp macro="" textlink="">
      <xdr:nvSpPr>
        <xdr:cNvPr id="1293" name="Shape 1292">
          <a:extLst>
            <a:ext uri="{FF2B5EF4-FFF2-40B4-BE49-F238E27FC236}">
              <a16:creationId xmlns:a16="http://schemas.microsoft.com/office/drawing/2014/main" id="{00000000-0008-0000-0B00-00000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14</xdr:row>
      <xdr:rowOff>9525</xdr:rowOff>
    </xdr:from>
    <xdr:ext cx="323850" cy="180975"/>
    <xdr:sp macro="" textlink="">
      <xdr:nvSpPr>
        <xdr:cNvPr id="1294" name="Shape 1293">
          <a:extLst>
            <a:ext uri="{FF2B5EF4-FFF2-40B4-BE49-F238E27FC236}">
              <a16:creationId xmlns:a16="http://schemas.microsoft.com/office/drawing/2014/main" id="{00000000-0008-0000-0B00-00000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15</xdr:row>
      <xdr:rowOff>9525</xdr:rowOff>
    </xdr:from>
    <xdr:ext cx="323850" cy="180975"/>
    <xdr:sp macro="" textlink="">
      <xdr:nvSpPr>
        <xdr:cNvPr id="1295" name="Shape 1294">
          <a:extLst>
            <a:ext uri="{FF2B5EF4-FFF2-40B4-BE49-F238E27FC236}">
              <a16:creationId xmlns:a16="http://schemas.microsoft.com/office/drawing/2014/main" id="{00000000-0008-0000-0B00-00000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16</xdr:row>
      <xdr:rowOff>9525</xdr:rowOff>
    </xdr:from>
    <xdr:ext cx="323850" cy="180975"/>
    <xdr:sp macro="" textlink="">
      <xdr:nvSpPr>
        <xdr:cNvPr id="1296" name="Shape 1295">
          <a:extLst>
            <a:ext uri="{FF2B5EF4-FFF2-40B4-BE49-F238E27FC236}">
              <a16:creationId xmlns:a16="http://schemas.microsoft.com/office/drawing/2014/main" id="{00000000-0008-0000-0B00-00001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17</xdr:row>
      <xdr:rowOff>9525</xdr:rowOff>
    </xdr:from>
    <xdr:ext cx="323850" cy="180975"/>
    <xdr:sp macro="" textlink="">
      <xdr:nvSpPr>
        <xdr:cNvPr id="1297" name="Shape 1296">
          <a:extLst>
            <a:ext uri="{FF2B5EF4-FFF2-40B4-BE49-F238E27FC236}">
              <a16:creationId xmlns:a16="http://schemas.microsoft.com/office/drawing/2014/main" id="{00000000-0008-0000-0B00-00001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18</xdr:row>
      <xdr:rowOff>9525</xdr:rowOff>
    </xdr:from>
    <xdr:ext cx="323850" cy="180975"/>
    <xdr:sp macro="" textlink="">
      <xdr:nvSpPr>
        <xdr:cNvPr id="1298" name="Shape 1297">
          <a:extLst>
            <a:ext uri="{FF2B5EF4-FFF2-40B4-BE49-F238E27FC236}">
              <a16:creationId xmlns:a16="http://schemas.microsoft.com/office/drawing/2014/main" id="{00000000-0008-0000-0B00-00001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19</xdr:row>
      <xdr:rowOff>9525</xdr:rowOff>
    </xdr:from>
    <xdr:ext cx="323850" cy="180975"/>
    <xdr:sp macro="" textlink="">
      <xdr:nvSpPr>
        <xdr:cNvPr id="1299" name="Shape 1298">
          <a:extLst>
            <a:ext uri="{FF2B5EF4-FFF2-40B4-BE49-F238E27FC236}">
              <a16:creationId xmlns:a16="http://schemas.microsoft.com/office/drawing/2014/main" id="{00000000-0008-0000-0B00-00001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20</xdr:row>
      <xdr:rowOff>9525</xdr:rowOff>
    </xdr:from>
    <xdr:ext cx="323850" cy="180975"/>
    <xdr:sp macro="" textlink="">
      <xdr:nvSpPr>
        <xdr:cNvPr id="1300" name="Shape 1299">
          <a:extLst>
            <a:ext uri="{FF2B5EF4-FFF2-40B4-BE49-F238E27FC236}">
              <a16:creationId xmlns:a16="http://schemas.microsoft.com/office/drawing/2014/main" id="{00000000-0008-0000-0B00-00001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21</xdr:row>
      <xdr:rowOff>9525</xdr:rowOff>
    </xdr:from>
    <xdr:ext cx="323850" cy="180975"/>
    <xdr:sp macro="" textlink="">
      <xdr:nvSpPr>
        <xdr:cNvPr id="1301" name="Shape 1300">
          <a:extLst>
            <a:ext uri="{FF2B5EF4-FFF2-40B4-BE49-F238E27FC236}">
              <a16:creationId xmlns:a16="http://schemas.microsoft.com/office/drawing/2014/main" id="{00000000-0008-0000-0B00-00001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22</xdr:row>
      <xdr:rowOff>9525</xdr:rowOff>
    </xdr:from>
    <xdr:ext cx="323850" cy="180975"/>
    <xdr:sp macro="" textlink="">
      <xdr:nvSpPr>
        <xdr:cNvPr id="1302" name="Shape 1301">
          <a:extLst>
            <a:ext uri="{FF2B5EF4-FFF2-40B4-BE49-F238E27FC236}">
              <a16:creationId xmlns:a16="http://schemas.microsoft.com/office/drawing/2014/main" id="{00000000-0008-0000-0B00-00001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23</xdr:row>
      <xdr:rowOff>9525</xdr:rowOff>
    </xdr:from>
    <xdr:ext cx="323850" cy="180975"/>
    <xdr:sp macro="" textlink="">
      <xdr:nvSpPr>
        <xdr:cNvPr id="1303" name="Shape 1302">
          <a:extLst>
            <a:ext uri="{FF2B5EF4-FFF2-40B4-BE49-F238E27FC236}">
              <a16:creationId xmlns:a16="http://schemas.microsoft.com/office/drawing/2014/main" id="{00000000-0008-0000-0B00-00001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24</xdr:row>
      <xdr:rowOff>9525</xdr:rowOff>
    </xdr:from>
    <xdr:ext cx="323850" cy="180975"/>
    <xdr:sp macro="" textlink="">
      <xdr:nvSpPr>
        <xdr:cNvPr id="1304" name="Shape 1303">
          <a:extLst>
            <a:ext uri="{FF2B5EF4-FFF2-40B4-BE49-F238E27FC236}">
              <a16:creationId xmlns:a16="http://schemas.microsoft.com/office/drawing/2014/main" id="{00000000-0008-0000-0B00-00001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25</xdr:row>
      <xdr:rowOff>9525</xdr:rowOff>
    </xdr:from>
    <xdr:ext cx="323850" cy="180975"/>
    <xdr:sp macro="" textlink="">
      <xdr:nvSpPr>
        <xdr:cNvPr id="1305" name="Shape 1304">
          <a:extLst>
            <a:ext uri="{FF2B5EF4-FFF2-40B4-BE49-F238E27FC236}">
              <a16:creationId xmlns:a16="http://schemas.microsoft.com/office/drawing/2014/main" id="{00000000-0008-0000-0B00-00001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26</xdr:row>
      <xdr:rowOff>9525</xdr:rowOff>
    </xdr:from>
    <xdr:ext cx="323850" cy="180975"/>
    <xdr:sp macro="" textlink="">
      <xdr:nvSpPr>
        <xdr:cNvPr id="1306" name="Shape 1305">
          <a:extLst>
            <a:ext uri="{FF2B5EF4-FFF2-40B4-BE49-F238E27FC236}">
              <a16:creationId xmlns:a16="http://schemas.microsoft.com/office/drawing/2014/main" id="{00000000-0008-0000-0B00-00001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27</xdr:row>
      <xdr:rowOff>9525</xdr:rowOff>
    </xdr:from>
    <xdr:ext cx="323850" cy="180975"/>
    <xdr:sp macro="" textlink="">
      <xdr:nvSpPr>
        <xdr:cNvPr id="1307" name="Shape 1306">
          <a:extLst>
            <a:ext uri="{FF2B5EF4-FFF2-40B4-BE49-F238E27FC236}">
              <a16:creationId xmlns:a16="http://schemas.microsoft.com/office/drawing/2014/main" id="{00000000-0008-0000-0B00-00001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28</xdr:row>
      <xdr:rowOff>9525</xdr:rowOff>
    </xdr:from>
    <xdr:ext cx="323850" cy="180975"/>
    <xdr:sp macro="" textlink="">
      <xdr:nvSpPr>
        <xdr:cNvPr id="1308" name="Shape 1307">
          <a:extLst>
            <a:ext uri="{FF2B5EF4-FFF2-40B4-BE49-F238E27FC236}">
              <a16:creationId xmlns:a16="http://schemas.microsoft.com/office/drawing/2014/main" id="{00000000-0008-0000-0B00-00001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29</xdr:row>
      <xdr:rowOff>9525</xdr:rowOff>
    </xdr:from>
    <xdr:ext cx="323850" cy="180975"/>
    <xdr:sp macro="" textlink="">
      <xdr:nvSpPr>
        <xdr:cNvPr id="1309" name="Shape 1308">
          <a:extLst>
            <a:ext uri="{FF2B5EF4-FFF2-40B4-BE49-F238E27FC236}">
              <a16:creationId xmlns:a16="http://schemas.microsoft.com/office/drawing/2014/main" id="{00000000-0008-0000-0B00-00001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30</xdr:row>
      <xdr:rowOff>9525</xdr:rowOff>
    </xdr:from>
    <xdr:ext cx="323850" cy="180975"/>
    <xdr:sp macro="" textlink="">
      <xdr:nvSpPr>
        <xdr:cNvPr id="1310" name="Shape 1309">
          <a:extLst>
            <a:ext uri="{FF2B5EF4-FFF2-40B4-BE49-F238E27FC236}">
              <a16:creationId xmlns:a16="http://schemas.microsoft.com/office/drawing/2014/main" id="{00000000-0008-0000-0B00-00001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31</xdr:row>
      <xdr:rowOff>9525</xdr:rowOff>
    </xdr:from>
    <xdr:ext cx="323850" cy="180975"/>
    <xdr:sp macro="" textlink="">
      <xdr:nvSpPr>
        <xdr:cNvPr id="1311" name="Shape 1310">
          <a:extLst>
            <a:ext uri="{FF2B5EF4-FFF2-40B4-BE49-F238E27FC236}">
              <a16:creationId xmlns:a16="http://schemas.microsoft.com/office/drawing/2014/main" id="{00000000-0008-0000-0B00-00001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32</xdr:row>
      <xdr:rowOff>9525</xdr:rowOff>
    </xdr:from>
    <xdr:ext cx="323850" cy="180975"/>
    <xdr:sp macro="" textlink="">
      <xdr:nvSpPr>
        <xdr:cNvPr id="1312" name="Shape 1311">
          <a:extLst>
            <a:ext uri="{FF2B5EF4-FFF2-40B4-BE49-F238E27FC236}">
              <a16:creationId xmlns:a16="http://schemas.microsoft.com/office/drawing/2014/main" id="{00000000-0008-0000-0B00-00002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144</xdr:col>
      <xdr:colOff>0</xdr:colOff>
      <xdr:row>33</xdr:row>
      <xdr:rowOff>9525</xdr:rowOff>
    </xdr:from>
    <xdr:ext cx="323850" cy="180975"/>
    <xdr:sp macro="" textlink="">
      <xdr:nvSpPr>
        <xdr:cNvPr id="1313" name="Shape 1312">
          <a:extLst>
            <a:ext uri="{FF2B5EF4-FFF2-40B4-BE49-F238E27FC236}">
              <a16:creationId xmlns:a16="http://schemas.microsoft.com/office/drawing/2014/main" id="{00000000-0008-0000-0B00-00002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34</xdr:row>
      <xdr:rowOff>9525</xdr:rowOff>
    </xdr:from>
    <xdr:ext cx="323850" cy="180975"/>
    <xdr:sp macro="" textlink="">
      <xdr:nvSpPr>
        <xdr:cNvPr id="1314" name="Shape 1313">
          <a:extLst>
            <a:ext uri="{FF2B5EF4-FFF2-40B4-BE49-F238E27FC236}">
              <a16:creationId xmlns:a16="http://schemas.microsoft.com/office/drawing/2014/main" id="{00000000-0008-0000-0B00-00002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35</xdr:row>
      <xdr:rowOff>9525</xdr:rowOff>
    </xdr:from>
    <xdr:ext cx="323850" cy="180975"/>
    <xdr:sp macro="" textlink="">
      <xdr:nvSpPr>
        <xdr:cNvPr id="1315" name="Shape 1314">
          <a:extLst>
            <a:ext uri="{FF2B5EF4-FFF2-40B4-BE49-F238E27FC236}">
              <a16:creationId xmlns:a16="http://schemas.microsoft.com/office/drawing/2014/main" id="{00000000-0008-0000-0B00-00002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36</xdr:row>
      <xdr:rowOff>9525</xdr:rowOff>
    </xdr:from>
    <xdr:ext cx="323850" cy="180975"/>
    <xdr:sp macro="" textlink="">
      <xdr:nvSpPr>
        <xdr:cNvPr id="1316" name="Shape 1315">
          <a:extLst>
            <a:ext uri="{FF2B5EF4-FFF2-40B4-BE49-F238E27FC236}">
              <a16:creationId xmlns:a16="http://schemas.microsoft.com/office/drawing/2014/main" id="{00000000-0008-0000-0B00-00002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37</xdr:row>
      <xdr:rowOff>9525</xdr:rowOff>
    </xdr:from>
    <xdr:ext cx="323850" cy="180975"/>
    <xdr:sp macro="" textlink="">
      <xdr:nvSpPr>
        <xdr:cNvPr id="1317" name="Shape 1316">
          <a:extLst>
            <a:ext uri="{FF2B5EF4-FFF2-40B4-BE49-F238E27FC236}">
              <a16:creationId xmlns:a16="http://schemas.microsoft.com/office/drawing/2014/main" id="{00000000-0008-0000-0B00-00002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38</xdr:row>
      <xdr:rowOff>9525</xdr:rowOff>
    </xdr:from>
    <xdr:ext cx="323850" cy="180975"/>
    <xdr:sp macro="" textlink="">
      <xdr:nvSpPr>
        <xdr:cNvPr id="1318" name="Shape 1317">
          <a:extLst>
            <a:ext uri="{FF2B5EF4-FFF2-40B4-BE49-F238E27FC236}">
              <a16:creationId xmlns:a16="http://schemas.microsoft.com/office/drawing/2014/main" id="{00000000-0008-0000-0B00-00002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39</xdr:row>
      <xdr:rowOff>9525</xdr:rowOff>
    </xdr:from>
    <xdr:ext cx="323850" cy="180975"/>
    <xdr:sp macro="" textlink="">
      <xdr:nvSpPr>
        <xdr:cNvPr id="1319" name="Shape 1318">
          <a:extLst>
            <a:ext uri="{FF2B5EF4-FFF2-40B4-BE49-F238E27FC236}">
              <a16:creationId xmlns:a16="http://schemas.microsoft.com/office/drawing/2014/main" id="{00000000-0008-0000-0B00-00002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40</xdr:row>
      <xdr:rowOff>9525</xdr:rowOff>
    </xdr:from>
    <xdr:ext cx="323850" cy="180975"/>
    <xdr:sp macro="" textlink="">
      <xdr:nvSpPr>
        <xdr:cNvPr id="1320" name="Shape 1319">
          <a:extLst>
            <a:ext uri="{FF2B5EF4-FFF2-40B4-BE49-F238E27FC236}">
              <a16:creationId xmlns:a16="http://schemas.microsoft.com/office/drawing/2014/main" id="{00000000-0008-0000-0B00-00002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143</xdr:col>
      <xdr:colOff>0</xdr:colOff>
      <xdr:row>41</xdr:row>
      <xdr:rowOff>9525</xdr:rowOff>
    </xdr:from>
    <xdr:ext cx="323850" cy="180975"/>
    <xdr:sp macro="" textlink="">
      <xdr:nvSpPr>
        <xdr:cNvPr id="1321" name="Shape 1320">
          <a:extLst>
            <a:ext uri="{FF2B5EF4-FFF2-40B4-BE49-F238E27FC236}">
              <a16:creationId xmlns:a16="http://schemas.microsoft.com/office/drawing/2014/main" id="{00000000-0008-0000-0B00-00002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</xdr:row>
      <xdr:rowOff>9525</xdr:rowOff>
    </xdr:from>
    <xdr:ext cx="323850" cy="180975"/>
    <xdr:sp macro="" textlink="">
      <xdr:nvSpPr>
        <xdr:cNvPr id="1322" name="Shape 1321">
          <a:extLst>
            <a:ext uri="{FF2B5EF4-FFF2-40B4-BE49-F238E27FC236}">
              <a16:creationId xmlns:a16="http://schemas.microsoft.com/office/drawing/2014/main" id="{00000000-0008-0000-0B00-00002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</xdr:row>
      <xdr:rowOff>9525</xdr:rowOff>
    </xdr:from>
    <xdr:ext cx="323850" cy="180975"/>
    <xdr:sp macro="" textlink="">
      <xdr:nvSpPr>
        <xdr:cNvPr id="1323" name="Shape 1322">
          <a:extLst>
            <a:ext uri="{FF2B5EF4-FFF2-40B4-BE49-F238E27FC236}">
              <a16:creationId xmlns:a16="http://schemas.microsoft.com/office/drawing/2014/main" id="{00000000-0008-0000-0B00-00002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4</xdr:row>
      <xdr:rowOff>9525</xdr:rowOff>
    </xdr:from>
    <xdr:ext cx="323850" cy="180975"/>
    <xdr:sp macro="" textlink="">
      <xdr:nvSpPr>
        <xdr:cNvPr id="1324" name="Shape 1323">
          <a:extLst>
            <a:ext uri="{FF2B5EF4-FFF2-40B4-BE49-F238E27FC236}">
              <a16:creationId xmlns:a16="http://schemas.microsoft.com/office/drawing/2014/main" id="{00000000-0008-0000-0B00-00002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5</xdr:row>
      <xdr:rowOff>9525</xdr:rowOff>
    </xdr:from>
    <xdr:ext cx="323850" cy="180975"/>
    <xdr:sp macro="" textlink="">
      <xdr:nvSpPr>
        <xdr:cNvPr id="1325" name="Shape 1324">
          <a:extLst>
            <a:ext uri="{FF2B5EF4-FFF2-40B4-BE49-F238E27FC236}">
              <a16:creationId xmlns:a16="http://schemas.microsoft.com/office/drawing/2014/main" id="{00000000-0008-0000-0B00-00002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6</xdr:row>
      <xdr:rowOff>9525</xdr:rowOff>
    </xdr:from>
    <xdr:ext cx="323850" cy="180975"/>
    <xdr:sp macro="" textlink="">
      <xdr:nvSpPr>
        <xdr:cNvPr id="1326" name="Shape 1325">
          <a:extLst>
            <a:ext uri="{FF2B5EF4-FFF2-40B4-BE49-F238E27FC236}">
              <a16:creationId xmlns:a16="http://schemas.microsoft.com/office/drawing/2014/main" id="{00000000-0008-0000-0B00-00002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7</xdr:row>
      <xdr:rowOff>9525</xdr:rowOff>
    </xdr:from>
    <xdr:ext cx="323850" cy="180975"/>
    <xdr:sp macro="" textlink="">
      <xdr:nvSpPr>
        <xdr:cNvPr id="1327" name="Shape 1326">
          <a:extLst>
            <a:ext uri="{FF2B5EF4-FFF2-40B4-BE49-F238E27FC236}">
              <a16:creationId xmlns:a16="http://schemas.microsoft.com/office/drawing/2014/main" id="{00000000-0008-0000-0B00-00002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8</xdr:row>
      <xdr:rowOff>9525</xdr:rowOff>
    </xdr:from>
    <xdr:ext cx="323850" cy="180975"/>
    <xdr:sp macro="" textlink="">
      <xdr:nvSpPr>
        <xdr:cNvPr id="1328" name="Shape 1327">
          <a:extLst>
            <a:ext uri="{FF2B5EF4-FFF2-40B4-BE49-F238E27FC236}">
              <a16:creationId xmlns:a16="http://schemas.microsoft.com/office/drawing/2014/main" id="{00000000-0008-0000-0B00-00003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9</xdr:row>
      <xdr:rowOff>9525</xdr:rowOff>
    </xdr:from>
    <xdr:ext cx="323850" cy="180975"/>
    <xdr:sp macro="" textlink="">
      <xdr:nvSpPr>
        <xdr:cNvPr id="1329" name="Shape 1328">
          <a:extLst>
            <a:ext uri="{FF2B5EF4-FFF2-40B4-BE49-F238E27FC236}">
              <a16:creationId xmlns:a16="http://schemas.microsoft.com/office/drawing/2014/main" id="{00000000-0008-0000-0B00-00003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10</xdr:row>
      <xdr:rowOff>9525</xdr:rowOff>
    </xdr:from>
    <xdr:ext cx="323850" cy="180975"/>
    <xdr:sp macro="" textlink="">
      <xdr:nvSpPr>
        <xdr:cNvPr id="1330" name="Shape 1329">
          <a:extLst>
            <a:ext uri="{FF2B5EF4-FFF2-40B4-BE49-F238E27FC236}">
              <a16:creationId xmlns:a16="http://schemas.microsoft.com/office/drawing/2014/main" id="{00000000-0008-0000-0B00-00003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11</xdr:row>
      <xdr:rowOff>9525</xdr:rowOff>
    </xdr:from>
    <xdr:ext cx="323850" cy="180975"/>
    <xdr:sp macro="" textlink="">
      <xdr:nvSpPr>
        <xdr:cNvPr id="1331" name="Shape 1330">
          <a:extLst>
            <a:ext uri="{FF2B5EF4-FFF2-40B4-BE49-F238E27FC236}">
              <a16:creationId xmlns:a16="http://schemas.microsoft.com/office/drawing/2014/main" id="{00000000-0008-0000-0B00-00003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12</xdr:row>
      <xdr:rowOff>9525</xdr:rowOff>
    </xdr:from>
    <xdr:ext cx="323850" cy="180975"/>
    <xdr:sp macro="" textlink="">
      <xdr:nvSpPr>
        <xdr:cNvPr id="1332" name="Shape 1331">
          <a:extLst>
            <a:ext uri="{FF2B5EF4-FFF2-40B4-BE49-F238E27FC236}">
              <a16:creationId xmlns:a16="http://schemas.microsoft.com/office/drawing/2014/main" id="{00000000-0008-0000-0B00-00003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13</xdr:row>
      <xdr:rowOff>9525</xdr:rowOff>
    </xdr:from>
    <xdr:ext cx="323850" cy="180975"/>
    <xdr:sp macro="" textlink="">
      <xdr:nvSpPr>
        <xdr:cNvPr id="1333" name="Shape 1332">
          <a:extLst>
            <a:ext uri="{FF2B5EF4-FFF2-40B4-BE49-F238E27FC236}">
              <a16:creationId xmlns:a16="http://schemas.microsoft.com/office/drawing/2014/main" id="{00000000-0008-0000-0B00-00003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14</xdr:row>
      <xdr:rowOff>9525</xdr:rowOff>
    </xdr:from>
    <xdr:ext cx="323850" cy="180975"/>
    <xdr:sp macro="" textlink="">
      <xdr:nvSpPr>
        <xdr:cNvPr id="1334" name="Shape 1333">
          <a:extLst>
            <a:ext uri="{FF2B5EF4-FFF2-40B4-BE49-F238E27FC236}">
              <a16:creationId xmlns:a16="http://schemas.microsoft.com/office/drawing/2014/main" id="{00000000-0008-0000-0B00-00003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15</xdr:row>
      <xdr:rowOff>9525</xdr:rowOff>
    </xdr:from>
    <xdr:ext cx="323850" cy="180975"/>
    <xdr:sp macro="" textlink="">
      <xdr:nvSpPr>
        <xdr:cNvPr id="1335" name="Shape 1334">
          <a:extLst>
            <a:ext uri="{FF2B5EF4-FFF2-40B4-BE49-F238E27FC236}">
              <a16:creationId xmlns:a16="http://schemas.microsoft.com/office/drawing/2014/main" id="{00000000-0008-0000-0B00-00003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16</xdr:row>
      <xdr:rowOff>9525</xdr:rowOff>
    </xdr:from>
    <xdr:ext cx="323850" cy="180975"/>
    <xdr:sp macro="" textlink="">
      <xdr:nvSpPr>
        <xdr:cNvPr id="1336" name="Shape 1335">
          <a:extLst>
            <a:ext uri="{FF2B5EF4-FFF2-40B4-BE49-F238E27FC236}">
              <a16:creationId xmlns:a16="http://schemas.microsoft.com/office/drawing/2014/main" id="{00000000-0008-0000-0B00-00003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17</xdr:row>
      <xdr:rowOff>9525</xdr:rowOff>
    </xdr:from>
    <xdr:ext cx="323850" cy="180975"/>
    <xdr:sp macro="" textlink="">
      <xdr:nvSpPr>
        <xdr:cNvPr id="1337" name="Shape 1336">
          <a:extLst>
            <a:ext uri="{FF2B5EF4-FFF2-40B4-BE49-F238E27FC236}">
              <a16:creationId xmlns:a16="http://schemas.microsoft.com/office/drawing/2014/main" id="{00000000-0008-0000-0B00-00003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18</xdr:row>
      <xdr:rowOff>9525</xdr:rowOff>
    </xdr:from>
    <xdr:ext cx="323850" cy="180975"/>
    <xdr:sp macro="" textlink="">
      <xdr:nvSpPr>
        <xdr:cNvPr id="1338" name="Shape 1337">
          <a:extLst>
            <a:ext uri="{FF2B5EF4-FFF2-40B4-BE49-F238E27FC236}">
              <a16:creationId xmlns:a16="http://schemas.microsoft.com/office/drawing/2014/main" id="{00000000-0008-0000-0B00-00003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19</xdr:row>
      <xdr:rowOff>9525</xdr:rowOff>
    </xdr:from>
    <xdr:ext cx="323850" cy="180975"/>
    <xdr:sp macro="" textlink="">
      <xdr:nvSpPr>
        <xdr:cNvPr id="1339" name="Shape 1338">
          <a:extLst>
            <a:ext uri="{FF2B5EF4-FFF2-40B4-BE49-F238E27FC236}">
              <a16:creationId xmlns:a16="http://schemas.microsoft.com/office/drawing/2014/main" id="{00000000-0008-0000-0B00-00003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20</xdr:row>
      <xdr:rowOff>9525</xdr:rowOff>
    </xdr:from>
    <xdr:ext cx="323850" cy="180975"/>
    <xdr:sp macro="" textlink="">
      <xdr:nvSpPr>
        <xdr:cNvPr id="1340" name="Shape 1339">
          <a:extLst>
            <a:ext uri="{FF2B5EF4-FFF2-40B4-BE49-F238E27FC236}">
              <a16:creationId xmlns:a16="http://schemas.microsoft.com/office/drawing/2014/main" id="{00000000-0008-0000-0B00-00003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21</xdr:row>
      <xdr:rowOff>9525</xdr:rowOff>
    </xdr:from>
    <xdr:ext cx="323850" cy="180975"/>
    <xdr:sp macro="" textlink="">
      <xdr:nvSpPr>
        <xdr:cNvPr id="1341" name="Shape 1340">
          <a:extLst>
            <a:ext uri="{FF2B5EF4-FFF2-40B4-BE49-F238E27FC236}">
              <a16:creationId xmlns:a16="http://schemas.microsoft.com/office/drawing/2014/main" id="{00000000-0008-0000-0B00-00003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22</xdr:row>
      <xdr:rowOff>9525</xdr:rowOff>
    </xdr:from>
    <xdr:ext cx="323850" cy="180975"/>
    <xdr:sp macro="" textlink="">
      <xdr:nvSpPr>
        <xdr:cNvPr id="1342" name="Shape 1341">
          <a:extLst>
            <a:ext uri="{FF2B5EF4-FFF2-40B4-BE49-F238E27FC236}">
              <a16:creationId xmlns:a16="http://schemas.microsoft.com/office/drawing/2014/main" id="{00000000-0008-0000-0B00-00003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23</xdr:row>
      <xdr:rowOff>9525</xdr:rowOff>
    </xdr:from>
    <xdr:ext cx="323850" cy="180975"/>
    <xdr:sp macro="" textlink="">
      <xdr:nvSpPr>
        <xdr:cNvPr id="1343" name="Shape 1342">
          <a:extLst>
            <a:ext uri="{FF2B5EF4-FFF2-40B4-BE49-F238E27FC236}">
              <a16:creationId xmlns:a16="http://schemas.microsoft.com/office/drawing/2014/main" id="{00000000-0008-0000-0B00-00003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24</xdr:row>
      <xdr:rowOff>9525</xdr:rowOff>
    </xdr:from>
    <xdr:ext cx="323850" cy="180975"/>
    <xdr:sp macro="" textlink="">
      <xdr:nvSpPr>
        <xdr:cNvPr id="1344" name="Shape 1343">
          <a:extLst>
            <a:ext uri="{FF2B5EF4-FFF2-40B4-BE49-F238E27FC236}">
              <a16:creationId xmlns:a16="http://schemas.microsoft.com/office/drawing/2014/main" id="{00000000-0008-0000-0B00-00004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25</xdr:row>
      <xdr:rowOff>9525</xdr:rowOff>
    </xdr:from>
    <xdr:ext cx="323850" cy="180975"/>
    <xdr:sp macro="" textlink="">
      <xdr:nvSpPr>
        <xdr:cNvPr id="1345" name="Shape 1344">
          <a:extLst>
            <a:ext uri="{FF2B5EF4-FFF2-40B4-BE49-F238E27FC236}">
              <a16:creationId xmlns:a16="http://schemas.microsoft.com/office/drawing/2014/main" id="{00000000-0008-0000-0B00-00004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26</xdr:row>
      <xdr:rowOff>9525</xdr:rowOff>
    </xdr:from>
    <xdr:ext cx="323850" cy="180975"/>
    <xdr:sp macro="" textlink="">
      <xdr:nvSpPr>
        <xdr:cNvPr id="1346" name="Shape 1345">
          <a:extLst>
            <a:ext uri="{FF2B5EF4-FFF2-40B4-BE49-F238E27FC236}">
              <a16:creationId xmlns:a16="http://schemas.microsoft.com/office/drawing/2014/main" id="{00000000-0008-0000-0B00-00004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27</xdr:row>
      <xdr:rowOff>9525</xdr:rowOff>
    </xdr:from>
    <xdr:ext cx="323850" cy="180975"/>
    <xdr:sp macro="" textlink="">
      <xdr:nvSpPr>
        <xdr:cNvPr id="1347" name="Shape 1346">
          <a:extLst>
            <a:ext uri="{FF2B5EF4-FFF2-40B4-BE49-F238E27FC236}">
              <a16:creationId xmlns:a16="http://schemas.microsoft.com/office/drawing/2014/main" id="{00000000-0008-0000-0B00-00004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28</xdr:row>
      <xdr:rowOff>9525</xdr:rowOff>
    </xdr:from>
    <xdr:ext cx="323850" cy="180975"/>
    <xdr:sp macro="" textlink="">
      <xdr:nvSpPr>
        <xdr:cNvPr id="1348" name="Shape 1347">
          <a:extLst>
            <a:ext uri="{FF2B5EF4-FFF2-40B4-BE49-F238E27FC236}">
              <a16:creationId xmlns:a16="http://schemas.microsoft.com/office/drawing/2014/main" id="{00000000-0008-0000-0B00-00004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29</xdr:row>
      <xdr:rowOff>9525</xdr:rowOff>
    </xdr:from>
    <xdr:ext cx="323850" cy="180975"/>
    <xdr:sp macro="" textlink="">
      <xdr:nvSpPr>
        <xdr:cNvPr id="1349" name="Shape 1348">
          <a:extLst>
            <a:ext uri="{FF2B5EF4-FFF2-40B4-BE49-F238E27FC236}">
              <a16:creationId xmlns:a16="http://schemas.microsoft.com/office/drawing/2014/main" id="{00000000-0008-0000-0B00-00004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30</xdr:row>
      <xdr:rowOff>9525</xdr:rowOff>
    </xdr:from>
    <xdr:ext cx="323850" cy="180975"/>
    <xdr:sp macro="" textlink="">
      <xdr:nvSpPr>
        <xdr:cNvPr id="1350" name="Shape 1349">
          <a:extLst>
            <a:ext uri="{FF2B5EF4-FFF2-40B4-BE49-F238E27FC236}">
              <a16:creationId xmlns:a16="http://schemas.microsoft.com/office/drawing/2014/main" id="{00000000-0008-0000-0B00-00004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31</xdr:row>
      <xdr:rowOff>9525</xdr:rowOff>
    </xdr:from>
    <xdr:ext cx="323850" cy="180975"/>
    <xdr:sp macro="" textlink="">
      <xdr:nvSpPr>
        <xdr:cNvPr id="1351" name="Shape 1350">
          <a:extLst>
            <a:ext uri="{FF2B5EF4-FFF2-40B4-BE49-F238E27FC236}">
              <a16:creationId xmlns:a16="http://schemas.microsoft.com/office/drawing/2014/main" id="{00000000-0008-0000-0B00-00004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32</xdr:row>
      <xdr:rowOff>9525</xdr:rowOff>
    </xdr:from>
    <xdr:ext cx="323850" cy="180975"/>
    <xdr:sp macro="" textlink="">
      <xdr:nvSpPr>
        <xdr:cNvPr id="1352" name="Shape 1351">
          <a:extLst>
            <a:ext uri="{FF2B5EF4-FFF2-40B4-BE49-F238E27FC236}">
              <a16:creationId xmlns:a16="http://schemas.microsoft.com/office/drawing/2014/main" id="{00000000-0008-0000-0B00-00004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33</xdr:row>
      <xdr:rowOff>9525</xdr:rowOff>
    </xdr:from>
    <xdr:ext cx="323850" cy="180975"/>
    <xdr:sp macro="" textlink="">
      <xdr:nvSpPr>
        <xdr:cNvPr id="1353" name="Shape 1352">
          <a:extLst>
            <a:ext uri="{FF2B5EF4-FFF2-40B4-BE49-F238E27FC236}">
              <a16:creationId xmlns:a16="http://schemas.microsoft.com/office/drawing/2014/main" id="{00000000-0008-0000-0B00-00004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34</xdr:row>
      <xdr:rowOff>9525</xdr:rowOff>
    </xdr:from>
    <xdr:ext cx="323850" cy="180975"/>
    <xdr:sp macro="" textlink="">
      <xdr:nvSpPr>
        <xdr:cNvPr id="1354" name="Shape 1353">
          <a:extLst>
            <a:ext uri="{FF2B5EF4-FFF2-40B4-BE49-F238E27FC236}">
              <a16:creationId xmlns:a16="http://schemas.microsoft.com/office/drawing/2014/main" id="{00000000-0008-0000-0B00-00004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35</xdr:row>
      <xdr:rowOff>9525</xdr:rowOff>
    </xdr:from>
    <xdr:ext cx="323850" cy="180975"/>
    <xdr:sp macro="" textlink="">
      <xdr:nvSpPr>
        <xdr:cNvPr id="1355" name="Shape 1354">
          <a:extLst>
            <a:ext uri="{FF2B5EF4-FFF2-40B4-BE49-F238E27FC236}">
              <a16:creationId xmlns:a16="http://schemas.microsoft.com/office/drawing/2014/main" id="{00000000-0008-0000-0B00-00004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36</xdr:row>
      <xdr:rowOff>9525</xdr:rowOff>
    </xdr:from>
    <xdr:ext cx="323850" cy="180975"/>
    <xdr:sp macro="" textlink="">
      <xdr:nvSpPr>
        <xdr:cNvPr id="1356" name="Shape 1355">
          <a:extLst>
            <a:ext uri="{FF2B5EF4-FFF2-40B4-BE49-F238E27FC236}">
              <a16:creationId xmlns:a16="http://schemas.microsoft.com/office/drawing/2014/main" id="{00000000-0008-0000-0B00-00004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37</xdr:row>
      <xdr:rowOff>9525</xdr:rowOff>
    </xdr:from>
    <xdr:ext cx="323850" cy="180975"/>
    <xdr:sp macro="" textlink="">
      <xdr:nvSpPr>
        <xdr:cNvPr id="1357" name="Shape 1356">
          <a:extLst>
            <a:ext uri="{FF2B5EF4-FFF2-40B4-BE49-F238E27FC236}">
              <a16:creationId xmlns:a16="http://schemas.microsoft.com/office/drawing/2014/main" id="{00000000-0008-0000-0B00-00004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147</xdr:col>
      <xdr:colOff>0</xdr:colOff>
      <xdr:row>38</xdr:row>
      <xdr:rowOff>9525</xdr:rowOff>
    </xdr:from>
    <xdr:ext cx="323850" cy="180975"/>
    <xdr:sp macro="" textlink="">
      <xdr:nvSpPr>
        <xdr:cNvPr id="1358" name="Shape 1357">
          <a:extLst>
            <a:ext uri="{FF2B5EF4-FFF2-40B4-BE49-F238E27FC236}">
              <a16:creationId xmlns:a16="http://schemas.microsoft.com/office/drawing/2014/main" id="{00000000-0008-0000-0B00-00004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39</xdr:row>
      <xdr:rowOff>9525</xdr:rowOff>
    </xdr:from>
    <xdr:ext cx="323850" cy="180975"/>
    <xdr:sp macro="" textlink="">
      <xdr:nvSpPr>
        <xdr:cNvPr id="1359" name="Shape 1358">
          <a:extLst>
            <a:ext uri="{FF2B5EF4-FFF2-40B4-BE49-F238E27FC236}">
              <a16:creationId xmlns:a16="http://schemas.microsoft.com/office/drawing/2014/main" id="{00000000-0008-0000-0B00-00004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40</xdr:row>
      <xdr:rowOff>9525</xdr:rowOff>
    </xdr:from>
    <xdr:ext cx="323850" cy="180975"/>
    <xdr:sp macro="" textlink="">
      <xdr:nvSpPr>
        <xdr:cNvPr id="1360" name="Shape 1359">
          <a:extLst>
            <a:ext uri="{FF2B5EF4-FFF2-40B4-BE49-F238E27FC236}">
              <a16:creationId xmlns:a16="http://schemas.microsoft.com/office/drawing/2014/main" id="{00000000-0008-0000-0B00-00005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148</xdr:col>
      <xdr:colOff>0</xdr:colOff>
      <xdr:row>41</xdr:row>
      <xdr:rowOff>9525</xdr:rowOff>
    </xdr:from>
    <xdr:ext cx="323850" cy="180975"/>
    <xdr:sp macro="" textlink="">
      <xdr:nvSpPr>
        <xdr:cNvPr id="1361" name="Shape 1360">
          <a:extLst>
            <a:ext uri="{FF2B5EF4-FFF2-40B4-BE49-F238E27FC236}">
              <a16:creationId xmlns:a16="http://schemas.microsoft.com/office/drawing/2014/main" id="{00000000-0008-0000-0B00-00005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</xdr:row>
      <xdr:rowOff>9525</xdr:rowOff>
    </xdr:from>
    <xdr:ext cx="323850" cy="180975"/>
    <xdr:sp macro="" textlink="">
      <xdr:nvSpPr>
        <xdr:cNvPr id="1362" name="Shape 1361">
          <a:extLst>
            <a:ext uri="{FF2B5EF4-FFF2-40B4-BE49-F238E27FC236}">
              <a16:creationId xmlns:a16="http://schemas.microsoft.com/office/drawing/2014/main" id="{00000000-0008-0000-0B00-00005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</xdr:row>
      <xdr:rowOff>9525</xdr:rowOff>
    </xdr:from>
    <xdr:ext cx="323850" cy="180975"/>
    <xdr:sp macro="" textlink="">
      <xdr:nvSpPr>
        <xdr:cNvPr id="1363" name="Shape 1362">
          <a:extLst>
            <a:ext uri="{FF2B5EF4-FFF2-40B4-BE49-F238E27FC236}">
              <a16:creationId xmlns:a16="http://schemas.microsoft.com/office/drawing/2014/main" id="{00000000-0008-0000-0B00-00005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4</xdr:row>
      <xdr:rowOff>9525</xdr:rowOff>
    </xdr:from>
    <xdr:ext cx="323850" cy="180975"/>
    <xdr:sp macro="" textlink="">
      <xdr:nvSpPr>
        <xdr:cNvPr id="1364" name="Shape 1363">
          <a:extLst>
            <a:ext uri="{FF2B5EF4-FFF2-40B4-BE49-F238E27FC236}">
              <a16:creationId xmlns:a16="http://schemas.microsoft.com/office/drawing/2014/main" id="{00000000-0008-0000-0B00-00005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5</xdr:row>
      <xdr:rowOff>9525</xdr:rowOff>
    </xdr:from>
    <xdr:ext cx="323850" cy="180975"/>
    <xdr:sp macro="" textlink="">
      <xdr:nvSpPr>
        <xdr:cNvPr id="1365" name="Shape 1364">
          <a:extLst>
            <a:ext uri="{FF2B5EF4-FFF2-40B4-BE49-F238E27FC236}">
              <a16:creationId xmlns:a16="http://schemas.microsoft.com/office/drawing/2014/main" id="{00000000-0008-0000-0B00-00005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6</xdr:row>
      <xdr:rowOff>9525</xdr:rowOff>
    </xdr:from>
    <xdr:ext cx="323850" cy="180975"/>
    <xdr:sp macro="" textlink="">
      <xdr:nvSpPr>
        <xdr:cNvPr id="1366" name="Shape 1365">
          <a:extLst>
            <a:ext uri="{FF2B5EF4-FFF2-40B4-BE49-F238E27FC236}">
              <a16:creationId xmlns:a16="http://schemas.microsoft.com/office/drawing/2014/main" id="{00000000-0008-0000-0B00-00005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7</xdr:row>
      <xdr:rowOff>9525</xdr:rowOff>
    </xdr:from>
    <xdr:ext cx="323850" cy="180975"/>
    <xdr:sp macro="" textlink="">
      <xdr:nvSpPr>
        <xdr:cNvPr id="1367" name="Shape 1366">
          <a:extLst>
            <a:ext uri="{FF2B5EF4-FFF2-40B4-BE49-F238E27FC236}">
              <a16:creationId xmlns:a16="http://schemas.microsoft.com/office/drawing/2014/main" id="{00000000-0008-0000-0B00-00005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8</xdr:row>
      <xdr:rowOff>9525</xdr:rowOff>
    </xdr:from>
    <xdr:ext cx="323850" cy="180975"/>
    <xdr:sp macro="" textlink="">
      <xdr:nvSpPr>
        <xdr:cNvPr id="1368" name="Shape 1367">
          <a:extLst>
            <a:ext uri="{FF2B5EF4-FFF2-40B4-BE49-F238E27FC236}">
              <a16:creationId xmlns:a16="http://schemas.microsoft.com/office/drawing/2014/main" id="{00000000-0008-0000-0B00-00005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9</xdr:row>
      <xdr:rowOff>9525</xdr:rowOff>
    </xdr:from>
    <xdr:ext cx="323850" cy="180975"/>
    <xdr:sp macro="" textlink="">
      <xdr:nvSpPr>
        <xdr:cNvPr id="1369" name="Shape 1368">
          <a:extLst>
            <a:ext uri="{FF2B5EF4-FFF2-40B4-BE49-F238E27FC236}">
              <a16:creationId xmlns:a16="http://schemas.microsoft.com/office/drawing/2014/main" id="{00000000-0008-0000-0B00-00005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10</xdr:row>
      <xdr:rowOff>9525</xdr:rowOff>
    </xdr:from>
    <xdr:ext cx="323850" cy="180975"/>
    <xdr:sp macro="" textlink="">
      <xdr:nvSpPr>
        <xdr:cNvPr id="1370" name="Shape 1369">
          <a:extLst>
            <a:ext uri="{FF2B5EF4-FFF2-40B4-BE49-F238E27FC236}">
              <a16:creationId xmlns:a16="http://schemas.microsoft.com/office/drawing/2014/main" id="{00000000-0008-0000-0B00-00005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11</xdr:row>
      <xdr:rowOff>9525</xdr:rowOff>
    </xdr:from>
    <xdr:ext cx="323850" cy="180975"/>
    <xdr:sp macro="" textlink="">
      <xdr:nvSpPr>
        <xdr:cNvPr id="1371" name="Shape 1370">
          <a:extLst>
            <a:ext uri="{FF2B5EF4-FFF2-40B4-BE49-F238E27FC236}">
              <a16:creationId xmlns:a16="http://schemas.microsoft.com/office/drawing/2014/main" id="{00000000-0008-0000-0B00-00005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12</xdr:row>
      <xdr:rowOff>9525</xdr:rowOff>
    </xdr:from>
    <xdr:ext cx="323850" cy="180975"/>
    <xdr:sp macro="" textlink="">
      <xdr:nvSpPr>
        <xdr:cNvPr id="1372" name="Shape 1371">
          <a:extLst>
            <a:ext uri="{FF2B5EF4-FFF2-40B4-BE49-F238E27FC236}">
              <a16:creationId xmlns:a16="http://schemas.microsoft.com/office/drawing/2014/main" id="{00000000-0008-0000-0B00-00005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13</xdr:row>
      <xdr:rowOff>9525</xdr:rowOff>
    </xdr:from>
    <xdr:ext cx="323850" cy="180975"/>
    <xdr:sp macro="" textlink="">
      <xdr:nvSpPr>
        <xdr:cNvPr id="1373" name="Shape 1372">
          <a:extLst>
            <a:ext uri="{FF2B5EF4-FFF2-40B4-BE49-F238E27FC236}">
              <a16:creationId xmlns:a16="http://schemas.microsoft.com/office/drawing/2014/main" id="{00000000-0008-0000-0B00-00005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14</xdr:row>
      <xdr:rowOff>9525</xdr:rowOff>
    </xdr:from>
    <xdr:ext cx="323850" cy="180975"/>
    <xdr:sp macro="" textlink="">
      <xdr:nvSpPr>
        <xdr:cNvPr id="1374" name="Shape 1373">
          <a:extLst>
            <a:ext uri="{FF2B5EF4-FFF2-40B4-BE49-F238E27FC236}">
              <a16:creationId xmlns:a16="http://schemas.microsoft.com/office/drawing/2014/main" id="{00000000-0008-0000-0B00-00005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15</xdr:row>
      <xdr:rowOff>9525</xdr:rowOff>
    </xdr:from>
    <xdr:ext cx="323850" cy="180975"/>
    <xdr:sp macro="" textlink="">
      <xdr:nvSpPr>
        <xdr:cNvPr id="1375" name="Shape 1374">
          <a:extLst>
            <a:ext uri="{FF2B5EF4-FFF2-40B4-BE49-F238E27FC236}">
              <a16:creationId xmlns:a16="http://schemas.microsoft.com/office/drawing/2014/main" id="{00000000-0008-0000-0B00-00005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16</xdr:row>
      <xdr:rowOff>9525</xdr:rowOff>
    </xdr:from>
    <xdr:ext cx="323850" cy="180975"/>
    <xdr:sp macro="" textlink="">
      <xdr:nvSpPr>
        <xdr:cNvPr id="1376" name="Shape 1375">
          <a:extLst>
            <a:ext uri="{FF2B5EF4-FFF2-40B4-BE49-F238E27FC236}">
              <a16:creationId xmlns:a16="http://schemas.microsoft.com/office/drawing/2014/main" id="{00000000-0008-0000-0B00-00006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17</xdr:row>
      <xdr:rowOff>9525</xdr:rowOff>
    </xdr:from>
    <xdr:ext cx="323850" cy="180975"/>
    <xdr:sp macro="" textlink="">
      <xdr:nvSpPr>
        <xdr:cNvPr id="1377" name="Shape 1376">
          <a:extLst>
            <a:ext uri="{FF2B5EF4-FFF2-40B4-BE49-F238E27FC236}">
              <a16:creationId xmlns:a16="http://schemas.microsoft.com/office/drawing/2014/main" id="{00000000-0008-0000-0B00-00006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18</xdr:row>
      <xdr:rowOff>9525</xdr:rowOff>
    </xdr:from>
    <xdr:ext cx="323850" cy="180975"/>
    <xdr:sp macro="" textlink="">
      <xdr:nvSpPr>
        <xdr:cNvPr id="1378" name="Shape 1377">
          <a:extLst>
            <a:ext uri="{FF2B5EF4-FFF2-40B4-BE49-F238E27FC236}">
              <a16:creationId xmlns:a16="http://schemas.microsoft.com/office/drawing/2014/main" id="{00000000-0008-0000-0B00-00006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19</xdr:row>
      <xdr:rowOff>9525</xdr:rowOff>
    </xdr:from>
    <xdr:ext cx="323850" cy="180975"/>
    <xdr:sp macro="" textlink="">
      <xdr:nvSpPr>
        <xdr:cNvPr id="1379" name="Shape 1378">
          <a:extLst>
            <a:ext uri="{FF2B5EF4-FFF2-40B4-BE49-F238E27FC236}">
              <a16:creationId xmlns:a16="http://schemas.microsoft.com/office/drawing/2014/main" id="{00000000-0008-0000-0B00-00006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20</xdr:row>
      <xdr:rowOff>9525</xdr:rowOff>
    </xdr:from>
    <xdr:ext cx="323850" cy="180975"/>
    <xdr:sp macro="" textlink="">
      <xdr:nvSpPr>
        <xdr:cNvPr id="1380" name="Shape 1379">
          <a:extLst>
            <a:ext uri="{FF2B5EF4-FFF2-40B4-BE49-F238E27FC236}">
              <a16:creationId xmlns:a16="http://schemas.microsoft.com/office/drawing/2014/main" id="{00000000-0008-0000-0B00-00006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21</xdr:row>
      <xdr:rowOff>9525</xdr:rowOff>
    </xdr:from>
    <xdr:ext cx="323850" cy="180975"/>
    <xdr:sp macro="" textlink="">
      <xdr:nvSpPr>
        <xdr:cNvPr id="1381" name="Shape 1380">
          <a:extLst>
            <a:ext uri="{FF2B5EF4-FFF2-40B4-BE49-F238E27FC236}">
              <a16:creationId xmlns:a16="http://schemas.microsoft.com/office/drawing/2014/main" id="{00000000-0008-0000-0B00-00006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22</xdr:row>
      <xdr:rowOff>9525</xdr:rowOff>
    </xdr:from>
    <xdr:ext cx="323850" cy="180975"/>
    <xdr:sp macro="" textlink="">
      <xdr:nvSpPr>
        <xdr:cNvPr id="1382" name="Shape 1381">
          <a:extLst>
            <a:ext uri="{FF2B5EF4-FFF2-40B4-BE49-F238E27FC236}">
              <a16:creationId xmlns:a16="http://schemas.microsoft.com/office/drawing/2014/main" id="{00000000-0008-0000-0B00-00006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23</xdr:row>
      <xdr:rowOff>9525</xdr:rowOff>
    </xdr:from>
    <xdr:ext cx="323850" cy="180975"/>
    <xdr:sp macro="" textlink="">
      <xdr:nvSpPr>
        <xdr:cNvPr id="1383" name="Shape 1382">
          <a:extLst>
            <a:ext uri="{FF2B5EF4-FFF2-40B4-BE49-F238E27FC236}">
              <a16:creationId xmlns:a16="http://schemas.microsoft.com/office/drawing/2014/main" id="{00000000-0008-0000-0B00-00006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24</xdr:row>
      <xdr:rowOff>9525</xdr:rowOff>
    </xdr:from>
    <xdr:ext cx="323850" cy="180975"/>
    <xdr:sp macro="" textlink="">
      <xdr:nvSpPr>
        <xdr:cNvPr id="1384" name="Shape 1383">
          <a:extLst>
            <a:ext uri="{FF2B5EF4-FFF2-40B4-BE49-F238E27FC236}">
              <a16:creationId xmlns:a16="http://schemas.microsoft.com/office/drawing/2014/main" id="{00000000-0008-0000-0B00-00006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25</xdr:row>
      <xdr:rowOff>9525</xdr:rowOff>
    </xdr:from>
    <xdr:ext cx="323850" cy="180975"/>
    <xdr:sp macro="" textlink="">
      <xdr:nvSpPr>
        <xdr:cNvPr id="1385" name="Shape 1384">
          <a:extLst>
            <a:ext uri="{FF2B5EF4-FFF2-40B4-BE49-F238E27FC236}">
              <a16:creationId xmlns:a16="http://schemas.microsoft.com/office/drawing/2014/main" id="{00000000-0008-0000-0B00-00006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26</xdr:row>
      <xdr:rowOff>9525</xdr:rowOff>
    </xdr:from>
    <xdr:ext cx="323850" cy="180975"/>
    <xdr:sp macro="" textlink="">
      <xdr:nvSpPr>
        <xdr:cNvPr id="1386" name="Shape 1385">
          <a:extLst>
            <a:ext uri="{FF2B5EF4-FFF2-40B4-BE49-F238E27FC236}">
              <a16:creationId xmlns:a16="http://schemas.microsoft.com/office/drawing/2014/main" id="{00000000-0008-0000-0B00-00006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27</xdr:row>
      <xdr:rowOff>9525</xdr:rowOff>
    </xdr:from>
    <xdr:ext cx="323850" cy="180975"/>
    <xdr:sp macro="" textlink="">
      <xdr:nvSpPr>
        <xdr:cNvPr id="1387" name="Shape 1386">
          <a:extLst>
            <a:ext uri="{FF2B5EF4-FFF2-40B4-BE49-F238E27FC236}">
              <a16:creationId xmlns:a16="http://schemas.microsoft.com/office/drawing/2014/main" id="{00000000-0008-0000-0B00-00006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28</xdr:row>
      <xdr:rowOff>9525</xdr:rowOff>
    </xdr:from>
    <xdr:ext cx="323850" cy="180975"/>
    <xdr:sp macro="" textlink="">
      <xdr:nvSpPr>
        <xdr:cNvPr id="1388" name="Shape 1387">
          <a:extLst>
            <a:ext uri="{FF2B5EF4-FFF2-40B4-BE49-F238E27FC236}">
              <a16:creationId xmlns:a16="http://schemas.microsoft.com/office/drawing/2014/main" id="{00000000-0008-0000-0B00-00006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29</xdr:row>
      <xdr:rowOff>9525</xdr:rowOff>
    </xdr:from>
    <xdr:ext cx="323850" cy="180975"/>
    <xdr:sp macro="" textlink="">
      <xdr:nvSpPr>
        <xdr:cNvPr id="1389" name="Shape 1388">
          <a:extLst>
            <a:ext uri="{FF2B5EF4-FFF2-40B4-BE49-F238E27FC236}">
              <a16:creationId xmlns:a16="http://schemas.microsoft.com/office/drawing/2014/main" id="{00000000-0008-0000-0B00-00006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30</xdr:row>
      <xdr:rowOff>9525</xdr:rowOff>
    </xdr:from>
    <xdr:ext cx="323850" cy="180975"/>
    <xdr:sp macro="" textlink="">
      <xdr:nvSpPr>
        <xdr:cNvPr id="1390" name="Shape 1389">
          <a:extLst>
            <a:ext uri="{FF2B5EF4-FFF2-40B4-BE49-F238E27FC236}">
              <a16:creationId xmlns:a16="http://schemas.microsoft.com/office/drawing/2014/main" id="{00000000-0008-0000-0B00-00006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31</xdr:row>
      <xdr:rowOff>9525</xdr:rowOff>
    </xdr:from>
    <xdr:ext cx="323850" cy="180975"/>
    <xdr:sp macro="" textlink="">
      <xdr:nvSpPr>
        <xdr:cNvPr id="1391" name="Shape 1390">
          <a:extLst>
            <a:ext uri="{FF2B5EF4-FFF2-40B4-BE49-F238E27FC236}">
              <a16:creationId xmlns:a16="http://schemas.microsoft.com/office/drawing/2014/main" id="{00000000-0008-0000-0B00-00006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32</xdr:row>
      <xdr:rowOff>9525</xdr:rowOff>
    </xdr:from>
    <xdr:ext cx="323850" cy="180975"/>
    <xdr:sp macro="" textlink="">
      <xdr:nvSpPr>
        <xdr:cNvPr id="1392" name="Shape 1391">
          <a:extLst>
            <a:ext uri="{FF2B5EF4-FFF2-40B4-BE49-F238E27FC236}">
              <a16:creationId xmlns:a16="http://schemas.microsoft.com/office/drawing/2014/main" id="{00000000-0008-0000-0B00-00007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33</xdr:row>
      <xdr:rowOff>9525</xdr:rowOff>
    </xdr:from>
    <xdr:ext cx="323850" cy="180975"/>
    <xdr:sp macro="" textlink="">
      <xdr:nvSpPr>
        <xdr:cNvPr id="1393" name="Shape 1392">
          <a:extLst>
            <a:ext uri="{FF2B5EF4-FFF2-40B4-BE49-F238E27FC236}">
              <a16:creationId xmlns:a16="http://schemas.microsoft.com/office/drawing/2014/main" id="{00000000-0008-0000-0B00-00007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34</xdr:row>
      <xdr:rowOff>9525</xdr:rowOff>
    </xdr:from>
    <xdr:ext cx="323850" cy="180975"/>
    <xdr:sp macro="" textlink="">
      <xdr:nvSpPr>
        <xdr:cNvPr id="1394" name="Shape 1393">
          <a:extLst>
            <a:ext uri="{FF2B5EF4-FFF2-40B4-BE49-F238E27FC236}">
              <a16:creationId xmlns:a16="http://schemas.microsoft.com/office/drawing/2014/main" id="{00000000-0008-0000-0B00-00007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35</xdr:row>
      <xdr:rowOff>9525</xdr:rowOff>
    </xdr:from>
    <xdr:ext cx="323850" cy="180975"/>
    <xdr:sp macro="" textlink="">
      <xdr:nvSpPr>
        <xdr:cNvPr id="1395" name="Shape 1394">
          <a:extLst>
            <a:ext uri="{FF2B5EF4-FFF2-40B4-BE49-F238E27FC236}">
              <a16:creationId xmlns:a16="http://schemas.microsoft.com/office/drawing/2014/main" id="{00000000-0008-0000-0B00-00007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36</xdr:row>
      <xdr:rowOff>9525</xdr:rowOff>
    </xdr:from>
    <xdr:ext cx="323850" cy="180975"/>
    <xdr:sp macro="" textlink="">
      <xdr:nvSpPr>
        <xdr:cNvPr id="1396" name="Shape 1395">
          <a:extLst>
            <a:ext uri="{FF2B5EF4-FFF2-40B4-BE49-F238E27FC236}">
              <a16:creationId xmlns:a16="http://schemas.microsoft.com/office/drawing/2014/main" id="{00000000-0008-0000-0B00-00007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37</xdr:row>
      <xdr:rowOff>9525</xdr:rowOff>
    </xdr:from>
    <xdr:ext cx="323850" cy="180975"/>
    <xdr:sp macro="" textlink="">
      <xdr:nvSpPr>
        <xdr:cNvPr id="1397" name="Shape 1396">
          <a:extLst>
            <a:ext uri="{FF2B5EF4-FFF2-40B4-BE49-F238E27FC236}">
              <a16:creationId xmlns:a16="http://schemas.microsoft.com/office/drawing/2014/main" id="{00000000-0008-0000-0B00-00007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151</xdr:col>
      <xdr:colOff>0</xdr:colOff>
      <xdr:row>38</xdr:row>
      <xdr:rowOff>9525</xdr:rowOff>
    </xdr:from>
    <xdr:ext cx="323850" cy="180975"/>
    <xdr:sp macro="" textlink="">
      <xdr:nvSpPr>
        <xdr:cNvPr id="1398" name="Shape 1397">
          <a:extLst>
            <a:ext uri="{FF2B5EF4-FFF2-40B4-BE49-F238E27FC236}">
              <a16:creationId xmlns:a16="http://schemas.microsoft.com/office/drawing/2014/main" id="{00000000-0008-0000-0B00-00007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39</xdr:row>
      <xdr:rowOff>9525</xdr:rowOff>
    </xdr:from>
    <xdr:ext cx="323850" cy="180975"/>
    <xdr:sp macro="" textlink="">
      <xdr:nvSpPr>
        <xdr:cNvPr id="1399" name="Shape 1398">
          <a:extLst>
            <a:ext uri="{FF2B5EF4-FFF2-40B4-BE49-F238E27FC236}">
              <a16:creationId xmlns:a16="http://schemas.microsoft.com/office/drawing/2014/main" id="{00000000-0008-0000-0B00-00007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40</xdr:row>
      <xdr:rowOff>9525</xdr:rowOff>
    </xdr:from>
    <xdr:ext cx="323850" cy="180975"/>
    <xdr:sp macro="" textlink="">
      <xdr:nvSpPr>
        <xdr:cNvPr id="1400" name="Shape 1399">
          <a:extLst>
            <a:ext uri="{FF2B5EF4-FFF2-40B4-BE49-F238E27FC236}">
              <a16:creationId xmlns:a16="http://schemas.microsoft.com/office/drawing/2014/main" id="{00000000-0008-0000-0B00-00007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152</xdr:col>
      <xdr:colOff>0</xdr:colOff>
      <xdr:row>41</xdr:row>
      <xdr:rowOff>9525</xdr:rowOff>
    </xdr:from>
    <xdr:ext cx="323850" cy="180975"/>
    <xdr:sp macro="" textlink="">
      <xdr:nvSpPr>
        <xdr:cNvPr id="1401" name="Shape 1400">
          <a:extLst>
            <a:ext uri="{FF2B5EF4-FFF2-40B4-BE49-F238E27FC236}">
              <a16:creationId xmlns:a16="http://schemas.microsoft.com/office/drawing/2014/main" id="{00000000-0008-0000-0B00-00007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</xdr:row>
      <xdr:rowOff>9525</xdr:rowOff>
    </xdr:from>
    <xdr:ext cx="323850" cy="180975"/>
    <xdr:sp macro="" textlink="">
      <xdr:nvSpPr>
        <xdr:cNvPr id="1402" name="Shape 1401">
          <a:extLst>
            <a:ext uri="{FF2B5EF4-FFF2-40B4-BE49-F238E27FC236}">
              <a16:creationId xmlns:a16="http://schemas.microsoft.com/office/drawing/2014/main" id="{00000000-0008-0000-0B00-00007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</xdr:row>
      <xdr:rowOff>9525</xdr:rowOff>
    </xdr:from>
    <xdr:ext cx="323850" cy="180975"/>
    <xdr:sp macro="" textlink="">
      <xdr:nvSpPr>
        <xdr:cNvPr id="1403" name="Shape 1402">
          <a:extLst>
            <a:ext uri="{FF2B5EF4-FFF2-40B4-BE49-F238E27FC236}">
              <a16:creationId xmlns:a16="http://schemas.microsoft.com/office/drawing/2014/main" id="{00000000-0008-0000-0B00-00007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4</xdr:row>
      <xdr:rowOff>9525</xdr:rowOff>
    </xdr:from>
    <xdr:ext cx="323850" cy="180975"/>
    <xdr:sp macro="" textlink="">
      <xdr:nvSpPr>
        <xdr:cNvPr id="1404" name="Shape 1403">
          <a:extLst>
            <a:ext uri="{FF2B5EF4-FFF2-40B4-BE49-F238E27FC236}">
              <a16:creationId xmlns:a16="http://schemas.microsoft.com/office/drawing/2014/main" id="{00000000-0008-0000-0B00-00007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5</xdr:row>
      <xdr:rowOff>9525</xdr:rowOff>
    </xdr:from>
    <xdr:ext cx="323850" cy="180975"/>
    <xdr:sp macro="" textlink="">
      <xdr:nvSpPr>
        <xdr:cNvPr id="1405" name="Shape 1404">
          <a:extLst>
            <a:ext uri="{FF2B5EF4-FFF2-40B4-BE49-F238E27FC236}">
              <a16:creationId xmlns:a16="http://schemas.microsoft.com/office/drawing/2014/main" id="{00000000-0008-0000-0B00-00007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6</xdr:row>
      <xdr:rowOff>9525</xdr:rowOff>
    </xdr:from>
    <xdr:ext cx="323850" cy="180975"/>
    <xdr:sp macro="" textlink="">
      <xdr:nvSpPr>
        <xdr:cNvPr id="1406" name="Shape 1405">
          <a:extLst>
            <a:ext uri="{FF2B5EF4-FFF2-40B4-BE49-F238E27FC236}">
              <a16:creationId xmlns:a16="http://schemas.microsoft.com/office/drawing/2014/main" id="{00000000-0008-0000-0B00-00007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7</xdr:row>
      <xdr:rowOff>9525</xdr:rowOff>
    </xdr:from>
    <xdr:ext cx="323850" cy="180975"/>
    <xdr:sp macro="" textlink="">
      <xdr:nvSpPr>
        <xdr:cNvPr id="1407" name="Shape 1406">
          <a:extLst>
            <a:ext uri="{FF2B5EF4-FFF2-40B4-BE49-F238E27FC236}">
              <a16:creationId xmlns:a16="http://schemas.microsoft.com/office/drawing/2014/main" id="{00000000-0008-0000-0B00-00007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8</xdr:row>
      <xdr:rowOff>9525</xdr:rowOff>
    </xdr:from>
    <xdr:ext cx="323850" cy="180975"/>
    <xdr:sp macro="" textlink="">
      <xdr:nvSpPr>
        <xdr:cNvPr id="1408" name="Shape 1407">
          <a:extLst>
            <a:ext uri="{FF2B5EF4-FFF2-40B4-BE49-F238E27FC236}">
              <a16:creationId xmlns:a16="http://schemas.microsoft.com/office/drawing/2014/main" id="{00000000-0008-0000-0B00-00008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9</xdr:row>
      <xdr:rowOff>9525</xdr:rowOff>
    </xdr:from>
    <xdr:ext cx="323850" cy="180975"/>
    <xdr:sp macro="" textlink="">
      <xdr:nvSpPr>
        <xdr:cNvPr id="1409" name="Shape 1408">
          <a:extLst>
            <a:ext uri="{FF2B5EF4-FFF2-40B4-BE49-F238E27FC236}">
              <a16:creationId xmlns:a16="http://schemas.microsoft.com/office/drawing/2014/main" id="{00000000-0008-0000-0B00-00008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10</xdr:row>
      <xdr:rowOff>9525</xdr:rowOff>
    </xdr:from>
    <xdr:ext cx="323850" cy="180975"/>
    <xdr:sp macro="" textlink="">
      <xdr:nvSpPr>
        <xdr:cNvPr id="1410" name="Shape 1409">
          <a:extLst>
            <a:ext uri="{FF2B5EF4-FFF2-40B4-BE49-F238E27FC236}">
              <a16:creationId xmlns:a16="http://schemas.microsoft.com/office/drawing/2014/main" id="{00000000-0008-0000-0B00-00008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11</xdr:row>
      <xdr:rowOff>9525</xdr:rowOff>
    </xdr:from>
    <xdr:ext cx="323850" cy="180975"/>
    <xdr:sp macro="" textlink="">
      <xdr:nvSpPr>
        <xdr:cNvPr id="1411" name="Shape 1410">
          <a:extLst>
            <a:ext uri="{FF2B5EF4-FFF2-40B4-BE49-F238E27FC236}">
              <a16:creationId xmlns:a16="http://schemas.microsoft.com/office/drawing/2014/main" id="{00000000-0008-0000-0B00-00008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12</xdr:row>
      <xdr:rowOff>9525</xdr:rowOff>
    </xdr:from>
    <xdr:ext cx="323850" cy="180975"/>
    <xdr:sp macro="" textlink="">
      <xdr:nvSpPr>
        <xdr:cNvPr id="1412" name="Shape 1411">
          <a:extLst>
            <a:ext uri="{FF2B5EF4-FFF2-40B4-BE49-F238E27FC236}">
              <a16:creationId xmlns:a16="http://schemas.microsoft.com/office/drawing/2014/main" id="{00000000-0008-0000-0B00-00008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13</xdr:row>
      <xdr:rowOff>9525</xdr:rowOff>
    </xdr:from>
    <xdr:ext cx="323850" cy="180975"/>
    <xdr:sp macro="" textlink="">
      <xdr:nvSpPr>
        <xdr:cNvPr id="1413" name="Shape 1412">
          <a:extLst>
            <a:ext uri="{FF2B5EF4-FFF2-40B4-BE49-F238E27FC236}">
              <a16:creationId xmlns:a16="http://schemas.microsoft.com/office/drawing/2014/main" id="{00000000-0008-0000-0B00-00008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14</xdr:row>
      <xdr:rowOff>9525</xdr:rowOff>
    </xdr:from>
    <xdr:ext cx="323850" cy="180975"/>
    <xdr:sp macro="" textlink="">
      <xdr:nvSpPr>
        <xdr:cNvPr id="1414" name="Shape 1413">
          <a:extLst>
            <a:ext uri="{FF2B5EF4-FFF2-40B4-BE49-F238E27FC236}">
              <a16:creationId xmlns:a16="http://schemas.microsoft.com/office/drawing/2014/main" id="{00000000-0008-0000-0B00-00008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15</xdr:row>
      <xdr:rowOff>9525</xdr:rowOff>
    </xdr:from>
    <xdr:ext cx="323850" cy="180975"/>
    <xdr:sp macro="" textlink="">
      <xdr:nvSpPr>
        <xdr:cNvPr id="1415" name="Shape 1414">
          <a:extLst>
            <a:ext uri="{FF2B5EF4-FFF2-40B4-BE49-F238E27FC236}">
              <a16:creationId xmlns:a16="http://schemas.microsoft.com/office/drawing/2014/main" id="{00000000-0008-0000-0B00-00008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16</xdr:row>
      <xdr:rowOff>9525</xdr:rowOff>
    </xdr:from>
    <xdr:ext cx="323850" cy="180975"/>
    <xdr:sp macro="" textlink="">
      <xdr:nvSpPr>
        <xdr:cNvPr id="1416" name="Shape 1415">
          <a:extLst>
            <a:ext uri="{FF2B5EF4-FFF2-40B4-BE49-F238E27FC236}">
              <a16:creationId xmlns:a16="http://schemas.microsoft.com/office/drawing/2014/main" id="{00000000-0008-0000-0B00-00008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17</xdr:row>
      <xdr:rowOff>9525</xdr:rowOff>
    </xdr:from>
    <xdr:ext cx="323850" cy="180975"/>
    <xdr:sp macro="" textlink="">
      <xdr:nvSpPr>
        <xdr:cNvPr id="1417" name="Shape 1416">
          <a:extLst>
            <a:ext uri="{FF2B5EF4-FFF2-40B4-BE49-F238E27FC236}">
              <a16:creationId xmlns:a16="http://schemas.microsoft.com/office/drawing/2014/main" id="{00000000-0008-0000-0B00-00008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18</xdr:row>
      <xdr:rowOff>9525</xdr:rowOff>
    </xdr:from>
    <xdr:ext cx="323850" cy="180975"/>
    <xdr:sp macro="" textlink="">
      <xdr:nvSpPr>
        <xdr:cNvPr id="1418" name="Shape 1417">
          <a:extLst>
            <a:ext uri="{FF2B5EF4-FFF2-40B4-BE49-F238E27FC236}">
              <a16:creationId xmlns:a16="http://schemas.microsoft.com/office/drawing/2014/main" id="{00000000-0008-0000-0B00-00008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19</xdr:row>
      <xdr:rowOff>9525</xdr:rowOff>
    </xdr:from>
    <xdr:ext cx="323850" cy="180975"/>
    <xdr:sp macro="" textlink="">
      <xdr:nvSpPr>
        <xdr:cNvPr id="1419" name="Shape 1418">
          <a:extLst>
            <a:ext uri="{FF2B5EF4-FFF2-40B4-BE49-F238E27FC236}">
              <a16:creationId xmlns:a16="http://schemas.microsoft.com/office/drawing/2014/main" id="{00000000-0008-0000-0B00-00008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20</xdr:row>
      <xdr:rowOff>9525</xdr:rowOff>
    </xdr:from>
    <xdr:ext cx="323850" cy="180975"/>
    <xdr:sp macro="" textlink="">
      <xdr:nvSpPr>
        <xdr:cNvPr id="1420" name="Shape 1419">
          <a:extLst>
            <a:ext uri="{FF2B5EF4-FFF2-40B4-BE49-F238E27FC236}">
              <a16:creationId xmlns:a16="http://schemas.microsoft.com/office/drawing/2014/main" id="{00000000-0008-0000-0B00-00008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21</xdr:row>
      <xdr:rowOff>9525</xdr:rowOff>
    </xdr:from>
    <xdr:ext cx="323850" cy="180975"/>
    <xdr:sp macro="" textlink="">
      <xdr:nvSpPr>
        <xdr:cNvPr id="1421" name="Shape 1420">
          <a:extLst>
            <a:ext uri="{FF2B5EF4-FFF2-40B4-BE49-F238E27FC236}">
              <a16:creationId xmlns:a16="http://schemas.microsoft.com/office/drawing/2014/main" id="{00000000-0008-0000-0B00-00008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22</xdr:row>
      <xdr:rowOff>9525</xdr:rowOff>
    </xdr:from>
    <xdr:ext cx="323850" cy="180975"/>
    <xdr:sp macro="" textlink="">
      <xdr:nvSpPr>
        <xdr:cNvPr id="1422" name="Shape 1421">
          <a:extLst>
            <a:ext uri="{FF2B5EF4-FFF2-40B4-BE49-F238E27FC236}">
              <a16:creationId xmlns:a16="http://schemas.microsoft.com/office/drawing/2014/main" id="{00000000-0008-0000-0B00-00008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23</xdr:row>
      <xdr:rowOff>9525</xdr:rowOff>
    </xdr:from>
    <xdr:ext cx="323850" cy="180975"/>
    <xdr:sp macro="" textlink="">
      <xdr:nvSpPr>
        <xdr:cNvPr id="1423" name="Shape 1422">
          <a:extLst>
            <a:ext uri="{FF2B5EF4-FFF2-40B4-BE49-F238E27FC236}">
              <a16:creationId xmlns:a16="http://schemas.microsoft.com/office/drawing/2014/main" id="{00000000-0008-0000-0B00-00008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24</xdr:row>
      <xdr:rowOff>9525</xdr:rowOff>
    </xdr:from>
    <xdr:ext cx="323850" cy="180975"/>
    <xdr:sp macro="" textlink="">
      <xdr:nvSpPr>
        <xdr:cNvPr id="1424" name="Shape 1423">
          <a:extLst>
            <a:ext uri="{FF2B5EF4-FFF2-40B4-BE49-F238E27FC236}">
              <a16:creationId xmlns:a16="http://schemas.microsoft.com/office/drawing/2014/main" id="{00000000-0008-0000-0B00-00009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25</xdr:row>
      <xdr:rowOff>9525</xdr:rowOff>
    </xdr:from>
    <xdr:ext cx="323850" cy="180975"/>
    <xdr:sp macro="" textlink="">
      <xdr:nvSpPr>
        <xdr:cNvPr id="1425" name="Shape 1424">
          <a:extLst>
            <a:ext uri="{FF2B5EF4-FFF2-40B4-BE49-F238E27FC236}">
              <a16:creationId xmlns:a16="http://schemas.microsoft.com/office/drawing/2014/main" id="{00000000-0008-0000-0B00-00009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26</xdr:row>
      <xdr:rowOff>9525</xdr:rowOff>
    </xdr:from>
    <xdr:ext cx="323850" cy="180975"/>
    <xdr:sp macro="" textlink="">
      <xdr:nvSpPr>
        <xdr:cNvPr id="1426" name="Shape 1425">
          <a:extLst>
            <a:ext uri="{FF2B5EF4-FFF2-40B4-BE49-F238E27FC236}">
              <a16:creationId xmlns:a16="http://schemas.microsoft.com/office/drawing/2014/main" id="{00000000-0008-0000-0B00-00009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27</xdr:row>
      <xdr:rowOff>9525</xdr:rowOff>
    </xdr:from>
    <xdr:ext cx="323850" cy="180975"/>
    <xdr:sp macro="" textlink="">
      <xdr:nvSpPr>
        <xdr:cNvPr id="1427" name="Shape 1426">
          <a:extLst>
            <a:ext uri="{FF2B5EF4-FFF2-40B4-BE49-F238E27FC236}">
              <a16:creationId xmlns:a16="http://schemas.microsoft.com/office/drawing/2014/main" id="{00000000-0008-0000-0B00-00009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28</xdr:row>
      <xdr:rowOff>9525</xdr:rowOff>
    </xdr:from>
    <xdr:ext cx="323850" cy="180975"/>
    <xdr:sp macro="" textlink="">
      <xdr:nvSpPr>
        <xdr:cNvPr id="1428" name="Shape 1427">
          <a:extLst>
            <a:ext uri="{FF2B5EF4-FFF2-40B4-BE49-F238E27FC236}">
              <a16:creationId xmlns:a16="http://schemas.microsoft.com/office/drawing/2014/main" id="{00000000-0008-0000-0B00-00009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29</xdr:row>
      <xdr:rowOff>9525</xdr:rowOff>
    </xdr:from>
    <xdr:ext cx="323850" cy="180975"/>
    <xdr:sp macro="" textlink="">
      <xdr:nvSpPr>
        <xdr:cNvPr id="1429" name="Shape 1428">
          <a:extLst>
            <a:ext uri="{FF2B5EF4-FFF2-40B4-BE49-F238E27FC236}">
              <a16:creationId xmlns:a16="http://schemas.microsoft.com/office/drawing/2014/main" id="{00000000-0008-0000-0B00-00009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30</xdr:row>
      <xdr:rowOff>9525</xdr:rowOff>
    </xdr:from>
    <xdr:ext cx="323850" cy="180975"/>
    <xdr:sp macro="" textlink="">
      <xdr:nvSpPr>
        <xdr:cNvPr id="1430" name="Shape 1429">
          <a:extLst>
            <a:ext uri="{FF2B5EF4-FFF2-40B4-BE49-F238E27FC236}">
              <a16:creationId xmlns:a16="http://schemas.microsoft.com/office/drawing/2014/main" id="{00000000-0008-0000-0B00-00009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31</xdr:row>
      <xdr:rowOff>9525</xdr:rowOff>
    </xdr:from>
    <xdr:ext cx="323850" cy="180975"/>
    <xdr:sp macro="" textlink="">
      <xdr:nvSpPr>
        <xdr:cNvPr id="1431" name="Shape 1430">
          <a:extLst>
            <a:ext uri="{FF2B5EF4-FFF2-40B4-BE49-F238E27FC236}">
              <a16:creationId xmlns:a16="http://schemas.microsoft.com/office/drawing/2014/main" id="{00000000-0008-0000-0B00-00009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32</xdr:row>
      <xdr:rowOff>9525</xdr:rowOff>
    </xdr:from>
    <xdr:ext cx="323850" cy="180975"/>
    <xdr:sp macro="" textlink="">
      <xdr:nvSpPr>
        <xdr:cNvPr id="1432" name="Shape 1431">
          <a:extLst>
            <a:ext uri="{FF2B5EF4-FFF2-40B4-BE49-F238E27FC236}">
              <a16:creationId xmlns:a16="http://schemas.microsoft.com/office/drawing/2014/main" id="{00000000-0008-0000-0B00-00009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33</xdr:row>
      <xdr:rowOff>9525</xdr:rowOff>
    </xdr:from>
    <xdr:ext cx="323850" cy="180975"/>
    <xdr:sp macro="" textlink="">
      <xdr:nvSpPr>
        <xdr:cNvPr id="1433" name="Shape 1432">
          <a:extLst>
            <a:ext uri="{FF2B5EF4-FFF2-40B4-BE49-F238E27FC236}">
              <a16:creationId xmlns:a16="http://schemas.microsoft.com/office/drawing/2014/main" id="{00000000-0008-0000-0B00-00009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34</xdr:row>
      <xdr:rowOff>9525</xdr:rowOff>
    </xdr:from>
    <xdr:ext cx="323850" cy="180975"/>
    <xdr:sp macro="" textlink="">
      <xdr:nvSpPr>
        <xdr:cNvPr id="1434" name="Shape 1433">
          <a:extLst>
            <a:ext uri="{FF2B5EF4-FFF2-40B4-BE49-F238E27FC236}">
              <a16:creationId xmlns:a16="http://schemas.microsoft.com/office/drawing/2014/main" id="{00000000-0008-0000-0B00-00009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35</xdr:row>
      <xdr:rowOff>9525</xdr:rowOff>
    </xdr:from>
    <xdr:ext cx="323850" cy="180975"/>
    <xdr:sp macro="" textlink="">
      <xdr:nvSpPr>
        <xdr:cNvPr id="1435" name="Shape 1434">
          <a:extLst>
            <a:ext uri="{FF2B5EF4-FFF2-40B4-BE49-F238E27FC236}">
              <a16:creationId xmlns:a16="http://schemas.microsoft.com/office/drawing/2014/main" id="{00000000-0008-0000-0B00-00009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36</xdr:row>
      <xdr:rowOff>9525</xdr:rowOff>
    </xdr:from>
    <xdr:ext cx="323850" cy="180975"/>
    <xdr:sp macro="" textlink="">
      <xdr:nvSpPr>
        <xdr:cNvPr id="1436" name="Shape 1435">
          <a:extLst>
            <a:ext uri="{FF2B5EF4-FFF2-40B4-BE49-F238E27FC236}">
              <a16:creationId xmlns:a16="http://schemas.microsoft.com/office/drawing/2014/main" id="{00000000-0008-0000-0B00-00009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37</xdr:row>
      <xdr:rowOff>9525</xdr:rowOff>
    </xdr:from>
    <xdr:ext cx="323850" cy="180975"/>
    <xdr:sp macro="" textlink="">
      <xdr:nvSpPr>
        <xdr:cNvPr id="1437" name="Shape 1436">
          <a:extLst>
            <a:ext uri="{FF2B5EF4-FFF2-40B4-BE49-F238E27FC236}">
              <a16:creationId xmlns:a16="http://schemas.microsoft.com/office/drawing/2014/main" id="{00000000-0008-0000-0B00-00009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38</xdr:row>
      <xdr:rowOff>9525</xdr:rowOff>
    </xdr:from>
    <xdr:ext cx="323850" cy="180975"/>
    <xdr:sp macro="" textlink="">
      <xdr:nvSpPr>
        <xdr:cNvPr id="1438" name="Shape 1437">
          <a:extLst>
            <a:ext uri="{FF2B5EF4-FFF2-40B4-BE49-F238E27FC236}">
              <a16:creationId xmlns:a16="http://schemas.microsoft.com/office/drawing/2014/main" id="{00000000-0008-0000-0B00-00009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39</xdr:row>
      <xdr:rowOff>9525</xdr:rowOff>
    </xdr:from>
    <xdr:ext cx="323850" cy="180975"/>
    <xdr:sp macro="" textlink="">
      <xdr:nvSpPr>
        <xdr:cNvPr id="1439" name="Shape 1438">
          <a:extLst>
            <a:ext uri="{FF2B5EF4-FFF2-40B4-BE49-F238E27FC236}">
              <a16:creationId xmlns:a16="http://schemas.microsoft.com/office/drawing/2014/main" id="{00000000-0008-0000-0B00-00009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158</xdr:col>
      <xdr:colOff>0</xdr:colOff>
      <xdr:row>40</xdr:row>
      <xdr:rowOff>9525</xdr:rowOff>
    </xdr:from>
    <xdr:ext cx="323850" cy="180975"/>
    <xdr:sp macro="" textlink="">
      <xdr:nvSpPr>
        <xdr:cNvPr id="1440" name="Shape 1439">
          <a:extLst>
            <a:ext uri="{FF2B5EF4-FFF2-40B4-BE49-F238E27FC236}">
              <a16:creationId xmlns:a16="http://schemas.microsoft.com/office/drawing/2014/main" id="{00000000-0008-0000-0B00-0000A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157</xdr:col>
      <xdr:colOff>0</xdr:colOff>
      <xdr:row>41</xdr:row>
      <xdr:rowOff>9525</xdr:rowOff>
    </xdr:from>
    <xdr:ext cx="323850" cy="180975"/>
    <xdr:sp macro="" textlink="">
      <xdr:nvSpPr>
        <xdr:cNvPr id="1441" name="Shape 1440">
          <a:extLst>
            <a:ext uri="{FF2B5EF4-FFF2-40B4-BE49-F238E27FC236}">
              <a16:creationId xmlns:a16="http://schemas.microsoft.com/office/drawing/2014/main" id="{00000000-0008-0000-0B00-0000A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</xdr:row>
      <xdr:rowOff>9525</xdr:rowOff>
    </xdr:from>
    <xdr:ext cx="323850" cy="180975"/>
    <xdr:sp macro="" textlink="">
      <xdr:nvSpPr>
        <xdr:cNvPr id="1442" name="Shape 1441">
          <a:extLst>
            <a:ext uri="{FF2B5EF4-FFF2-40B4-BE49-F238E27FC236}">
              <a16:creationId xmlns:a16="http://schemas.microsoft.com/office/drawing/2014/main" id="{00000000-0008-0000-0B00-0000A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</xdr:row>
      <xdr:rowOff>9525</xdr:rowOff>
    </xdr:from>
    <xdr:ext cx="323850" cy="180975"/>
    <xdr:sp macro="" textlink="">
      <xdr:nvSpPr>
        <xdr:cNvPr id="1443" name="Shape 1442">
          <a:extLst>
            <a:ext uri="{FF2B5EF4-FFF2-40B4-BE49-F238E27FC236}">
              <a16:creationId xmlns:a16="http://schemas.microsoft.com/office/drawing/2014/main" id="{00000000-0008-0000-0B00-0000A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4</xdr:row>
      <xdr:rowOff>9525</xdr:rowOff>
    </xdr:from>
    <xdr:ext cx="323850" cy="180975"/>
    <xdr:sp macro="" textlink="">
      <xdr:nvSpPr>
        <xdr:cNvPr id="1444" name="Shape 1443">
          <a:extLst>
            <a:ext uri="{FF2B5EF4-FFF2-40B4-BE49-F238E27FC236}">
              <a16:creationId xmlns:a16="http://schemas.microsoft.com/office/drawing/2014/main" id="{00000000-0008-0000-0B00-0000A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5</xdr:row>
      <xdr:rowOff>9525</xdr:rowOff>
    </xdr:from>
    <xdr:ext cx="323850" cy="180975"/>
    <xdr:sp macro="" textlink="">
      <xdr:nvSpPr>
        <xdr:cNvPr id="1445" name="Shape 1444">
          <a:extLst>
            <a:ext uri="{FF2B5EF4-FFF2-40B4-BE49-F238E27FC236}">
              <a16:creationId xmlns:a16="http://schemas.microsoft.com/office/drawing/2014/main" id="{00000000-0008-0000-0B00-0000A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6</xdr:row>
      <xdr:rowOff>9525</xdr:rowOff>
    </xdr:from>
    <xdr:ext cx="323850" cy="180975"/>
    <xdr:sp macro="" textlink="">
      <xdr:nvSpPr>
        <xdr:cNvPr id="1446" name="Shape 1445">
          <a:extLst>
            <a:ext uri="{FF2B5EF4-FFF2-40B4-BE49-F238E27FC236}">
              <a16:creationId xmlns:a16="http://schemas.microsoft.com/office/drawing/2014/main" id="{00000000-0008-0000-0B00-0000A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7</xdr:row>
      <xdr:rowOff>9525</xdr:rowOff>
    </xdr:from>
    <xdr:ext cx="323850" cy="180975"/>
    <xdr:sp macro="" textlink="">
      <xdr:nvSpPr>
        <xdr:cNvPr id="1447" name="Shape 1446">
          <a:extLst>
            <a:ext uri="{FF2B5EF4-FFF2-40B4-BE49-F238E27FC236}">
              <a16:creationId xmlns:a16="http://schemas.microsoft.com/office/drawing/2014/main" id="{00000000-0008-0000-0B00-0000A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8</xdr:row>
      <xdr:rowOff>9525</xdr:rowOff>
    </xdr:from>
    <xdr:ext cx="323850" cy="180975"/>
    <xdr:sp macro="" textlink="">
      <xdr:nvSpPr>
        <xdr:cNvPr id="1448" name="Shape 1447">
          <a:extLst>
            <a:ext uri="{FF2B5EF4-FFF2-40B4-BE49-F238E27FC236}">
              <a16:creationId xmlns:a16="http://schemas.microsoft.com/office/drawing/2014/main" id="{00000000-0008-0000-0B00-0000A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9</xdr:row>
      <xdr:rowOff>9525</xdr:rowOff>
    </xdr:from>
    <xdr:ext cx="323850" cy="180975"/>
    <xdr:sp macro="" textlink="">
      <xdr:nvSpPr>
        <xdr:cNvPr id="1449" name="Shape 1448">
          <a:extLst>
            <a:ext uri="{FF2B5EF4-FFF2-40B4-BE49-F238E27FC236}">
              <a16:creationId xmlns:a16="http://schemas.microsoft.com/office/drawing/2014/main" id="{00000000-0008-0000-0B00-0000A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10</xdr:row>
      <xdr:rowOff>9525</xdr:rowOff>
    </xdr:from>
    <xdr:ext cx="323850" cy="180975"/>
    <xdr:sp macro="" textlink="">
      <xdr:nvSpPr>
        <xdr:cNvPr id="1450" name="Shape 1449">
          <a:extLst>
            <a:ext uri="{FF2B5EF4-FFF2-40B4-BE49-F238E27FC236}">
              <a16:creationId xmlns:a16="http://schemas.microsoft.com/office/drawing/2014/main" id="{00000000-0008-0000-0B00-0000A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11</xdr:row>
      <xdr:rowOff>9525</xdr:rowOff>
    </xdr:from>
    <xdr:ext cx="323850" cy="180975"/>
    <xdr:sp macro="" textlink="">
      <xdr:nvSpPr>
        <xdr:cNvPr id="1451" name="Shape 1450">
          <a:extLst>
            <a:ext uri="{FF2B5EF4-FFF2-40B4-BE49-F238E27FC236}">
              <a16:creationId xmlns:a16="http://schemas.microsoft.com/office/drawing/2014/main" id="{00000000-0008-0000-0B00-0000A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12</xdr:row>
      <xdr:rowOff>9525</xdr:rowOff>
    </xdr:from>
    <xdr:ext cx="323850" cy="180975"/>
    <xdr:sp macro="" textlink="">
      <xdr:nvSpPr>
        <xdr:cNvPr id="1452" name="Shape 1451">
          <a:extLst>
            <a:ext uri="{FF2B5EF4-FFF2-40B4-BE49-F238E27FC236}">
              <a16:creationId xmlns:a16="http://schemas.microsoft.com/office/drawing/2014/main" id="{00000000-0008-0000-0B00-0000A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13</xdr:row>
      <xdr:rowOff>9525</xdr:rowOff>
    </xdr:from>
    <xdr:ext cx="323850" cy="180975"/>
    <xdr:sp macro="" textlink="">
      <xdr:nvSpPr>
        <xdr:cNvPr id="1453" name="Shape 1452">
          <a:extLst>
            <a:ext uri="{FF2B5EF4-FFF2-40B4-BE49-F238E27FC236}">
              <a16:creationId xmlns:a16="http://schemas.microsoft.com/office/drawing/2014/main" id="{00000000-0008-0000-0B00-0000A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14</xdr:row>
      <xdr:rowOff>9525</xdr:rowOff>
    </xdr:from>
    <xdr:ext cx="323850" cy="180975"/>
    <xdr:sp macro="" textlink="">
      <xdr:nvSpPr>
        <xdr:cNvPr id="1454" name="Shape 1453">
          <a:extLst>
            <a:ext uri="{FF2B5EF4-FFF2-40B4-BE49-F238E27FC236}">
              <a16:creationId xmlns:a16="http://schemas.microsoft.com/office/drawing/2014/main" id="{00000000-0008-0000-0B00-0000A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15</xdr:row>
      <xdr:rowOff>9525</xdr:rowOff>
    </xdr:from>
    <xdr:ext cx="323850" cy="180975"/>
    <xdr:sp macro="" textlink="">
      <xdr:nvSpPr>
        <xdr:cNvPr id="1455" name="Shape 1454">
          <a:extLst>
            <a:ext uri="{FF2B5EF4-FFF2-40B4-BE49-F238E27FC236}">
              <a16:creationId xmlns:a16="http://schemas.microsoft.com/office/drawing/2014/main" id="{00000000-0008-0000-0B00-0000A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16</xdr:row>
      <xdr:rowOff>9525</xdr:rowOff>
    </xdr:from>
    <xdr:ext cx="323850" cy="180975"/>
    <xdr:sp macro="" textlink="">
      <xdr:nvSpPr>
        <xdr:cNvPr id="1456" name="Shape 1455">
          <a:extLst>
            <a:ext uri="{FF2B5EF4-FFF2-40B4-BE49-F238E27FC236}">
              <a16:creationId xmlns:a16="http://schemas.microsoft.com/office/drawing/2014/main" id="{00000000-0008-0000-0B00-0000B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17</xdr:row>
      <xdr:rowOff>9525</xdr:rowOff>
    </xdr:from>
    <xdr:ext cx="323850" cy="180975"/>
    <xdr:sp macro="" textlink="">
      <xdr:nvSpPr>
        <xdr:cNvPr id="1457" name="Shape 1456">
          <a:extLst>
            <a:ext uri="{FF2B5EF4-FFF2-40B4-BE49-F238E27FC236}">
              <a16:creationId xmlns:a16="http://schemas.microsoft.com/office/drawing/2014/main" id="{00000000-0008-0000-0B00-0000B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18</xdr:row>
      <xdr:rowOff>9525</xdr:rowOff>
    </xdr:from>
    <xdr:ext cx="323850" cy="180975"/>
    <xdr:sp macro="" textlink="">
      <xdr:nvSpPr>
        <xdr:cNvPr id="1458" name="Shape 1457">
          <a:extLst>
            <a:ext uri="{FF2B5EF4-FFF2-40B4-BE49-F238E27FC236}">
              <a16:creationId xmlns:a16="http://schemas.microsoft.com/office/drawing/2014/main" id="{00000000-0008-0000-0B00-0000B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19</xdr:row>
      <xdr:rowOff>9525</xdr:rowOff>
    </xdr:from>
    <xdr:ext cx="323850" cy="180975"/>
    <xdr:sp macro="" textlink="">
      <xdr:nvSpPr>
        <xdr:cNvPr id="1459" name="Shape 1458">
          <a:extLst>
            <a:ext uri="{FF2B5EF4-FFF2-40B4-BE49-F238E27FC236}">
              <a16:creationId xmlns:a16="http://schemas.microsoft.com/office/drawing/2014/main" id="{00000000-0008-0000-0B00-0000B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20</xdr:row>
      <xdr:rowOff>9525</xdr:rowOff>
    </xdr:from>
    <xdr:ext cx="323850" cy="180975"/>
    <xdr:sp macro="" textlink="">
      <xdr:nvSpPr>
        <xdr:cNvPr id="1460" name="Shape 1459">
          <a:extLst>
            <a:ext uri="{FF2B5EF4-FFF2-40B4-BE49-F238E27FC236}">
              <a16:creationId xmlns:a16="http://schemas.microsoft.com/office/drawing/2014/main" id="{00000000-0008-0000-0B00-0000B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21</xdr:row>
      <xdr:rowOff>9525</xdr:rowOff>
    </xdr:from>
    <xdr:ext cx="323850" cy="180975"/>
    <xdr:sp macro="" textlink="">
      <xdr:nvSpPr>
        <xdr:cNvPr id="1461" name="Shape 1460">
          <a:extLst>
            <a:ext uri="{FF2B5EF4-FFF2-40B4-BE49-F238E27FC236}">
              <a16:creationId xmlns:a16="http://schemas.microsoft.com/office/drawing/2014/main" id="{00000000-0008-0000-0B00-0000B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22</xdr:row>
      <xdr:rowOff>9525</xdr:rowOff>
    </xdr:from>
    <xdr:ext cx="323850" cy="180975"/>
    <xdr:sp macro="" textlink="">
      <xdr:nvSpPr>
        <xdr:cNvPr id="1462" name="Shape 1461">
          <a:extLst>
            <a:ext uri="{FF2B5EF4-FFF2-40B4-BE49-F238E27FC236}">
              <a16:creationId xmlns:a16="http://schemas.microsoft.com/office/drawing/2014/main" id="{00000000-0008-0000-0B00-0000B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23</xdr:row>
      <xdr:rowOff>9525</xdr:rowOff>
    </xdr:from>
    <xdr:ext cx="323850" cy="180975"/>
    <xdr:sp macro="" textlink="">
      <xdr:nvSpPr>
        <xdr:cNvPr id="1463" name="Shape 1462">
          <a:extLst>
            <a:ext uri="{FF2B5EF4-FFF2-40B4-BE49-F238E27FC236}">
              <a16:creationId xmlns:a16="http://schemas.microsoft.com/office/drawing/2014/main" id="{00000000-0008-0000-0B00-0000B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24</xdr:row>
      <xdr:rowOff>9525</xdr:rowOff>
    </xdr:from>
    <xdr:ext cx="323850" cy="180975"/>
    <xdr:sp macro="" textlink="">
      <xdr:nvSpPr>
        <xdr:cNvPr id="1464" name="Shape 1463">
          <a:extLst>
            <a:ext uri="{FF2B5EF4-FFF2-40B4-BE49-F238E27FC236}">
              <a16:creationId xmlns:a16="http://schemas.microsoft.com/office/drawing/2014/main" id="{00000000-0008-0000-0B00-0000B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25</xdr:row>
      <xdr:rowOff>9525</xdr:rowOff>
    </xdr:from>
    <xdr:ext cx="323850" cy="180975"/>
    <xdr:sp macro="" textlink="">
      <xdr:nvSpPr>
        <xdr:cNvPr id="1465" name="Shape 1464">
          <a:extLst>
            <a:ext uri="{FF2B5EF4-FFF2-40B4-BE49-F238E27FC236}">
              <a16:creationId xmlns:a16="http://schemas.microsoft.com/office/drawing/2014/main" id="{00000000-0008-0000-0B00-0000B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26</xdr:row>
      <xdr:rowOff>9525</xdr:rowOff>
    </xdr:from>
    <xdr:ext cx="323850" cy="180975"/>
    <xdr:sp macro="" textlink="">
      <xdr:nvSpPr>
        <xdr:cNvPr id="1466" name="Shape 1465">
          <a:extLst>
            <a:ext uri="{FF2B5EF4-FFF2-40B4-BE49-F238E27FC236}">
              <a16:creationId xmlns:a16="http://schemas.microsoft.com/office/drawing/2014/main" id="{00000000-0008-0000-0B00-0000B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27</xdr:row>
      <xdr:rowOff>9525</xdr:rowOff>
    </xdr:from>
    <xdr:ext cx="323850" cy="180975"/>
    <xdr:sp macro="" textlink="">
      <xdr:nvSpPr>
        <xdr:cNvPr id="1467" name="Shape 1466">
          <a:extLst>
            <a:ext uri="{FF2B5EF4-FFF2-40B4-BE49-F238E27FC236}">
              <a16:creationId xmlns:a16="http://schemas.microsoft.com/office/drawing/2014/main" id="{00000000-0008-0000-0B00-0000B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28</xdr:row>
      <xdr:rowOff>9525</xdr:rowOff>
    </xdr:from>
    <xdr:ext cx="323850" cy="180975"/>
    <xdr:sp macro="" textlink="">
      <xdr:nvSpPr>
        <xdr:cNvPr id="1468" name="Shape 1467">
          <a:extLst>
            <a:ext uri="{FF2B5EF4-FFF2-40B4-BE49-F238E27FC236}">
              <a16:creationId xmlns:a16="http://schemas.microsoft.com/office/drawing/2014/main" id="{00000000-0008-0000-0B00-0000B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29</xdr:row>
      <xdr:rowOff>9525</xdr:rowOff>
    </xdr:from>
    <xdr:ext cx="323850" cy="180975"/>
    <xdr:sp macro="" textlink="">
      <xdr:nvSpPr>
        <xdr:cNvPr id="1469" name="Shape 1468">
          <a:extLst>
            <a:ext uri="{FF2B5EF4-FFF2-40B4-BE49-F238E27FC236}">
              <a16:creationId xmlns:a16="http://schemas.microsoft.com/office/drawing/2014/main" id="{00000000-0008-0000-0B00-0000B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30</xdr:row>
      <xdr:rowOff>9525</xdr:rowOff>
    </xdr:from>
    <xdr:ext cx="323850" cy="180975"/>
    <xdr:sp macro="" textlink="">
      <xdr:nvSpPr>
        <xdr:cNvPr id="1470" name="Shape 1469">
          <a:extLst>
            <a:ext uri="{FF2B5EF4-FFF2-40B4-BE49-F238E27FC236}">
              <a16:creationId xmlns:a16="http://schemas.microsoft.com/office/drawing/2014/main" id="{00000000-0008-0000-0B00-0000B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31</xdr:row>
      <xdr:rowOff>9525</xdr:rowOff>
    </xdr:from>
    <xdr:ext cx="323850" cy="180975"/>
    <xdr:sp macro="" textlink="">
      <xdr:nvSpPr>
        <xdr:cNvPr id="1471" name="Shape 1470">
          <a:extLst>
            <a:ext uri="{FF2B5EF4-FFF2-40B4-BE49-F238E27FC236}">
              <a16:creationId xmlns:a16="http://schemas.microsoft.com/office/drawing/2014/main" id="{00000000-0008-0000-0B00-0000B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32</xdr:row>
      <xdr:rowOff>9525</xdr:rowOff>
    </xdr:from>
    <xdr:ext cx="323850" cy="180975"/>
    <xdr:sp macro="" textlink="">
      <xdr:nvSpPr>
        <xdr:cNvPr id="1472" name="Shape 1471">
          <a:extLst>
            <a:ext uri="{FF2B5EF4-FFF2-40B4-BE49-F238E27FC236}">
              <a16:creationId xmlns:a16="http://schemas.microsoft.com/office/drawing/2014/main" id="{00000000-0008-0000-0B00-0000C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33</xdr:row>
      <xdr:rowOff>9525</xdr:rowOff>
    </xdr:from>
    <xdr:ext cx="323850" cy="180975"/>
    <xdr:sp macro="" textlink="">
      <xdr:nvSpPr>
        <xdr:cNvPr id="1473" name="Shape 1472">
          <a:extLst>
            <a:ext uri="{FF2B5EF4-FFF2-40B4-BE49-F238E27FC236}">
              <a16:creationId xmlns:a16="http://schemas.microsoft.com/office/drawing/2014/main" id="{00000000-0008-0000-0B00-0000C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34</xdr:row>
      <xdr:rowOff>9525</xdr:rowOff>
    </xdr:from>
    <xdr:ext cx="323850" cy="180975"/>
    <xdr:sp macro="" textlink="">
      <xdr:nvSpPr>
        <xdr:cNvPr id="1474" name="Shape 1473">
          <a:extLst>
            <a:ext uri="{FF2B5EF4-FFF2-40B4-BE49-F238E27FC236}">
              <a16:creationId xmlns:a16="http://schemas.microsoft.com/office/drawing/2014/main" id="{00000000-0008-0000-0B00-0000C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35</xdr:row>
      <xdr:rowOff>9525</xdr:rowOff>
    </xdr:from>
    <xdr:ext cx="323850" cy="180975"/>
    <xdr:sp macro="" textlink="">
      <xdr:nvSpPr>
        <xdr:cNvPr id="1475" name="Shape 1474">
          <a:extLst>
            <a:ext uri="{FF2B5EF4-FFF2-40B4-BE49-F238E27FC236}">
              <a16:creationId xmlns:a16="http://schemas.microsoft.com/office/drawing/2014/main" id="{00000000-0008-0000-0B00-0000C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36</xdr:row>
      <xdr:rowOff>9525</xdr:rowOff>
    </xdr:from>
    <xdr:ext cx="323850" cy="180975"/>
    <xdr:sp macro="" textlink="">
      <xdr:nvSpPr>
        <xdr:cNvPr id="1476" name="Shape 1475">
          <a:extLst>
            <a:ext uri="{FF2B5EF4-FFF2-40B4-BE49-F238E27FC236}">
              <a16:creationId xmlns:a16="http://schemas.microsoft.com/office/drawing/2014/main" id="{00000000-0008-0000-0B00-0000C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37</xdr:row>
      <xdr:rowOff>9525</xdr:rowOff>
    </xdr:from>
    <xdr:ext cx="323850" cy="180975"/>
    <xdr:sp macro="" textlink="">
      <xdr:nvSpPr>
        <xdr:cNvPr id="1477" name="Shape 1476">
          <a:extLst>
            <a:ext uri="{FF2B5EF4-FFF2-40B4-BE49-F238E27FC236}">
              <a16:creationId xmlns:a16="http://schemas.microsoft.com/office/drawing/2014/main" id="{00000000-0008-0000-0B00-0000C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38</xdr:row>
      <xdr:rowOff>9525</xdr:rowOff>
    </xdr:from>
    <xdr:ext cx="323850" cy="180975"/>
    <xdr:sp macro="" textlink="">
      <xdr:nvSpPr>
        <xdr:cNvPr id="1478" name="Shape 1477">
          <a:extLst>
            <a:ext uri="{FF2B5EF4-FFF2-40B4-BE49-F238E27FC236}">
              <a16:creationId xmlns:a16="http://schemas.microsoft.com/office/drawing/2014/main" id="{00000000-0008-0000-0B00-0000C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39</xdr:row>
      <xdr:rowOff>9525</xdr:rowOff>
    </xdr:from>
    <xdr:ext cx="323850" cy="180975"/>
    <xdr:sp macro="" textlink="">
      <xdr:nvSpPr>
        <xdr:cNvPr id="1479" name="Shape 1478">
          <a:extLst>
            <a:ext uri="{FF2B5EF4-FFF2-40B4-BE49-F238E27FC236}">
              <a16:creationId xmlns:a16="http://schemas.microsoft.com/office/drawing/2014/main" id="{00000000-0008-0000-0B00-0000C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161</xdr:col>
      <xdr:colOff>0</xdr:colOff>
      <xdr:row>40</xdr:row>
      <xdr:rowOff>9525</xdr:rowOff>
    </xdr:from>
    <xdr:ext cx="323850" cy="180975"/>
    <xdr:sp macro="" textlink="">
      <xdr:nvSpPr>
        <xdr:cNvPr id="1480" name="Shape 1479">
          <a:extLst>
            <a:ext uri="{FF2B5EF4-FFF2-40B4-BE49-F238E27FC236}">
              <a16:creationId xmlns:a16="http://schemas.microsoft.com/office/drawing/2014/main" id="{00000000-0008-0000-0B00-0000C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162</xdr:col>
      <xdr:colOff>0</xdr:colOff>
      <xdr:row>41</xdr:row>
      <xdr:rowOff>9525</xdr:rowOff>
    </xdr:from>
    <xdr:ext cx="323850" cy="180975"/>
    <xdr:sp macro="" textlink="">
      <xdr:nvSpPr>
        <xdr:cNvPr id="1481" name="Shape 1480">
          <a:extLst>
            <a:ext uri="{FF2B5EF4-FFF2-40B4-BE49-F238E27FC236}">
              <a16:creationId xmlns:a16="http://schemas.microsoft.com/office/drawing/2014/main" id="{00000000-0008-0000-0B00-0000C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</xdr:row>
      <xdr:rowOff>9525</xdr:rowOff>
    </xdr:from>
    <xdr:ext cx="323850" cy="180975"/>
    <xdr:sp macro="" textlink="">
      <xdr:nvSpPr>
        <xdr:cNvPr id="1482" name="Shape 1481">
          <a:extLst>
            <a:ext uri="{FF2B5EF4-FFF2-40B4-BE49-F238E27FC236}">
              <a16:creationId xmlns:a16="http://schemas.microsoft.com/office/drawing/2014/main" id="{00000000-0008-0000-0B00-0000C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</xdr:row>
      <xdr:rowOff>9525</xdr:rowOff>
    </xdr:from>
    <xdr:ext cx="323850" cy="180975"/>
    <xdr:sp macro="" textlink="">
      <xdr:nvSpPr>
        <xdr:cNvPr id="1483" name="Shape 1482">
          <a:extLst>
            <a:ext uri="{FF2B5EF4-FFF2-40B4-BE49-F238E27FC236}">
              <a16:creationId xmlns:a16="http://schemas.microsoft.com/office/drawing/2014/main" id="{00000000-0008-0000-0B00-0000C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4</xdr:row>
      <xdr:rowOff>9525</xdr:rowOff>
    </xdr:from>
    <xdr:ext cx="323850" cy="180975"/>
    <xdr:sp macro="" textlink="">
      <xdr:nvSpPr>
        <xdr:cNvPr id="1484" name="Shape 1483">
          <a:extLst>
            <a:ext uri="{FF2B5EF4-FFF2-40B4-BE49-F238E27FC236}">
              <a16:creationId xmlns:a16="http://schemas.microsoft.com/office/drawing/2014/main" id="{00000000-0008-0000-0B00-0000C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5</xdr:row>
      <xdr:rowOff>9525</xdr:rowOff>
    </xdr:from>
    <xdr:ext cx="323850" cy="180975"/>
    <xdr:sp macro="" textlink="">
      <xdr:nvSpPr>
        <xdr:cNvPr id="1485" name="Shape 1484">
          <a:extLst>
            <a:ext uri="{FF2B5EF4-FFF2-40B4-BE49-F238E27FC236}">
              <a16:creationId xmlns:a16="http://schemas.microsoft.com/office/drawing/2014/main" id="{00000000-0008-0000-0B00-0000C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6</xdr:row>
      <xdr:rowOff>9525</xdr:rowOff>
    </xdr:from>
    <xdr:ext cx="323850" cy="180975"/>
    <xdr:sp macro="" textlink="">
      <xdr:nvSpPr>
        <xdr:cNvPr id="1486" name="Shape 1485">
          <a:extLst>
            <a:ext uri="{FF2B5EF4-FFF2-40B4-BE49-F238E27FC236}">
              <a16:creationId xmlns:a16="http://schemas.microsoft.com/office/drawing/2014/main" id="{00000000-0008-0000-0B00-0000C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7</xdr:row>
      <xdr:rowOff>9525</xdr:rowOff>
    </xdr:from>
    <xdr:ext cx="323850" cy="180975"/>
    <xdr:sp macro="" textlink="">
      <xdr:nvSpPr>
        <xdr:cNvPr id="1487" name="Shape 1486">
          <a:extLst>
            <a:ext uri="{FF2B5EF4-FFF2-40B4-BE49-F238E27FC236}">
              <a16:creationId xmlns:a16="http://schemas.microsoft.com/office/drawing/2014/main" id="{00000000-0008-0000-0B00-0000C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8</xdr:row>
      <xdr:rowOff>9525</xdr:rowOff>
    </xdr:from>
    <xdr:ext cx="323850" cy="180975"/>
    <xdr:sp macro="" textlink="">
      <xdr:nvSpPr>
        <xdr:cNvPr id="1488" name="Shape 1487">
          <a:extLst>
            <a:ext uri="{FF2B5EF4-FFF2-40B4-BE49-F238E27FC236}">
              <a16:creationId xmlns:a16="http://schemas.microsoft.com/office/drawing/2014/main" id="{00000000-0008-0000-0B00-0000D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9</xdr:row>
      <xdr:rowOff>9525</xdr:rowOff>
    </xdr:from>
    <xdr:ext cx="323850" cy="180975"/>
    <xdr:sp macro="" textlink="">
      <xdr:nvSpPr>
        <xdr:cNvPr id="1489" name="Shape 1488">
          <a:extLst>
            <a:ext uri="{FF2B5EF4-FFF2-40B4-BE49-F238E27FC236}">
              <a16:creationId xmlns:a16="http://schemas.microsoft.com/office/drawing/2014/main" id="{00000000-0008-0000-0B00-0000D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10</xdr:row>
      <xdr:rowOff>9525</xdr:rowOff>
    </xdr:from>
    <xdr:ext cx="323850" cy="180975"/>
    <xdr:sp macro="" textlink="">
      <xdr:nvSpPr>
        <xdr:cNvPr id="1490" name="Shape 1489">
          <a:extLst>
            <a:ext uri="{FF2B5EF4-FFF2-40B4-BE49-F238E27FC236}">
              <a16:creationId xmlns:a16="http://schemas.microsoft.com/office/drawing/2014/main" id="{00000000-0008-0000-0B00-0000D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11</xdr:row>
      <xdr:rowOff>9525</xdr:rowOff>
    </xdr:from>
    <xdr:ext cx="323850" cy="180975"/>
    <xdr:sp macro="" textlink="">
      <xdr:nvSpPr>
        <xdr:cNvPr id="1491" name="Shape 1490">
          <a:extLst>
            <a:ext uri="{FF2B5EF4-FFF2-40B4-BE49-F238E27FC236}">
              <a16:creationId xmlns:a16="http://schemas.microsoft.com/office/drawing/2014/main" id="{00000000-0008-0000-0B00-0000D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12</xdr:row>
      <xdr:rowOff>9525</xdr:rowOff>
    </xdr:from>
    <xdr:ext cx="323850" cy="180975"/>
    <xdr:sp macro="" textlink="">
      <xdr:nvSpPr>
        <xdr:cNvPr id="1492" name="Shape 1491">
          <a:extLst>
            <a:ext uri="{FF2B5EF4-FFF2-40B4-BE49-F238E27FC236}">
              <a16:creationId xmlns:a16="http://schemas.microsoft.com/office/drawing/2014/main" id="{00000000-0008-0000-0B00-0000D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13</xdr:row>
      <xdr:rowOff>9525</xdr:rowOff>
    </xdr:from>
    <xdr:ext cx="323850" cy="180975"/>
    <xdr:sp macro="" textlink="">
      <xdr:nvSpPr>
        <xdr:cNvPr id="1493" name="Shape 1492">
          <a:extLst>
            <a:ext uri="{FF2B5EF4-FFF2-40B4-BE49-F238E27FC236}">
              <a16:creationId xmlns:a16="http://schemas.microsoft.com/office/drawing/2014/main" id="{00000000-0008-0000-0B00-0000D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14</xdr:row>
      <xdr:rowOff>9525</xdr:rowOff>
    </xdr:from>
    <xdr:ext cx="323850" cy="180975"/>
    <xdr:sp macro="" textlink="">
      <xdr:nvSpPr>
        <xdr:cNvPr id="1494" name="Shape 1493">
          <a:extLst>
            <a:ext uri="{FF2B5EF4-FFF2-40B4-BE49-F238E27FC236}">
              <a16:creationId xmlns:a16="http://schemas.microsoft.com/office/drawing/2014/main" id="{00000000-0008-0000-0B00-0000D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15</xdr:row>
      <xdr:rowOff>9525</xdr:rowOff>
    </xdr:from>
    <xdr:ext cx="323850" cy="180975"/>
    <xdr:sp macro="" textlink="">
      <xdr:nvSpPr>
        <xdr:cNvPr id="1495" name="Shape 1494">
          <a:extLst>
            <a:ext uri="{FF2B5EF4-FFF2-40B4-BE49-F238E27FC236}">
              <a16:creationId xmlns:a16="http://schemas.microsoft.com/office/drawing/2014/main" id="{00000000-0008-0000-0B00-0000D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16</xdr:row>
      <xdr:rowOff>9525</xdr:rowOff>
    </xdr:from>
    <xdr:ext cx="323850" cy="180975"/>
    <xdr:sp macro="" textlink="">
      <xdr:nvSpPr>
        <xdr:cNvPr id="1496" name="Shape 1495">
          <a:extLst>
            <a:ext uri="{FF2B5EF4-FFF2-40B4-BE49-F238E27FC236}">
              <a16:creationId xmlns:a16="http://schemas.microsoft.com/office/drawing/2014/main" id="{00000000-0008-0000-0B00-0000D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17</xdr:row>
      <xdr:rowOff>9525</xdr:rowOff>
    </xdr:from>
    <xdr:ext cx="323850" cy="180975"/>
    <xdr:sp macro="" textlink="">
      <xdr:nvSpPr>
        <xdr:cNvPr id="1497" name="Shape 1496">
          <a:extLst>
            <a:ext uri="{FF2B5EF4-FFF2-40B4-BE49-F238E27FC236}">
              <a16:creationId xmlns:a16="http://schemas.microsoft.com/office/drawing/2014/main" id="{00000000-0008-0000-0B00-0000D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18</xdr:row>
      <xdr:rowOff>9525</xdr:rowOff>
    </xdr:from>
    <xdr:ext cx="323850" cy="180975"/>
    <xdr:sp macro="" textlink="">
      <xdr:nvSpPr>
        <xdr:cNvPr id="1498" name="Shape 1497">
          <a:extLst>
            <a:ext uri="{FF2B5EF4-FFF2-40B4-BE49-F238E27FC236}">
              <a16:creationId xmlns:a16="http://schemas.microsoft.com/office/drawing/2014/main" id="{00000000-0008-0000-0B00-0000D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19</xdr:row>
      <xdr:rowOff>9525</xdr:rowOff>
    </xdr:from>
    <xdr:ext cx="323850" cy="180975"/>
    <xdr:sp macro="" textlink="">
      <xdr:nvSpPr>
        <xdr:cNvPr id="1499" name="Shape 1498">
          <a:extLst>
            <a:ext uri="{FF2B5EF4-FFF2-40B4-BE49-F238E27FC236}">
              <a16:creationId xmlns:a16="http://schemas.microsoft.com/office/drawing/2014/main" id="{00000000-0008-0000-0B00-0000D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20</xdr:row>
      <xdr:rowOff>9525</xdr:rowOff>
    </xdr:from>
    <xdr:ext cx="323850" cy="180975"/>
    <xdr:sp macro="" textlink="">
      <xdr:nvSpPr>
        <xdr:cNvPr id="1500" name="Shape 1499">
          <a:extLst>
            <a:ext uri="{FF2B5EF4-FFF2-40B4-BE49-F238E27FC236}">
              <a16:creationId xmlns:a16="http://schemas.microsoft.com/office/drawing/2014/main" id="{00000000-0008-0000-0B00-0000D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21</xdr:row>
      <xdr:rowOff>9525</xdr:rowOff>
    </xdr:from>
    <xdr:ext cx="323850" cy="180975"/>
    <xdr:sp macro="" textlink="">
      <xdr:nvSpPr>
        <xdr:cNvPr id="1501" name="Shape 1500">
          <a:extLst>
            <a:ext uri="{FF2B5EF4-FFF2-40B4-BE49-F238E27FC236}">
              <a16:creationId xmlns:a16="http://schemas.microsoft.com/office/drawing/2014/main" id="{00000000-0008-0000-0B00-0000D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22</xdr:row>
      <xdr:rowOff>9525</xdr:rowOff>
    </xdr:from>
    <xdr:ext cx="323850" cy="180975"/>
    <xdr:sp macro="" textlink="">
      <xdr:nvSpPr>
        <xdr:cNvPr id="1502" name="Shape 1501">
          <a:extLst>
            <a:ext uri="{FF2B5EF4-FFF2-40B4-BE49-F238E27FC236}">
              <a16:creationId xmlns:a16="http://schemas.microsoft.com/office/drawing/2014/main" id="{00000000-0008-0000-0B00-0000D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23</xdr:row>
      <xdr:rowOff>9525</xdr:rowOff>
    </xdr:from>
    <xdr:ext cx="323850" cy="180975"/>
    <xdr:sp macro="" textlink="">
      <xdr:nvSpPr>
        <xdr:cNvPr id="1503" name="Shape 1502">
          <a:extLst>
            <a:ext uri="{FF2B5EF4-FFF2-40B4-BE49-F238E27FC236}">
              <a16:creationId xmlns:a16="http://schemas.microsoft.com/office/drawing/2014/main" id="{00000000-0008-0000-0B00-0000D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24</xdr:row>
      <xdr:rowOff>9525</xdr:rowOff>
    </xdr:from>
    <xdr:ext cx="323850" cy="180975"/>
    <xdr:sp macro="" textlink="">
      <xdr:nvSpPr>
        <xdr:cNvPr id="1504" name="Shape 1503">
          <a:extLst>
            <a:ext uri="{FF2B5EF4-FFF2-40B4-BE49-F238E27FC236}">
              <a16:creationId xmlns:a16="http://schemas.microsoft.com/office/drawing/2014/main" id="{00000000-0008-0000-0B00-0000E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25</xdr:row>
      <xdr:rowOff>9525</xdr:rowOff>
    </xdr:from>
    <xdr:ext cx="323850" cy="180975"/>
    <xdr:sp macro="" textlink="">
      <xdr:nvSpPr>
        <xdr:cNvPr id="1505" name="Shape 1504">
          <a:extLst>
            <a:ext uri="{FF2B5EF4-FFF2-40B4-BE49-F238E27FC236}">
              <a16:creationId xmlns:a16="http://schemas.microsoft.com/office/drawing/2014/main" id="{00000000-0008-0000-0B00-0000E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26</xdr:row>
      <xdr:rowOff>9525</xdr:rowOff>
    </xdr:from>
    <xdr:ext cx="323850" cy="180975"/>
    <xdr:sp macro="" textlink="">
      <xdr:nvSpPr>
        <xdr:cNvPr id="1506" name="Shape 1505">
          <a:extLst>
            <a:ext uri="{FF2B5EF4-FFF2-40B4-BE49-F238E27FC236}">
              <a16:creationId xmlns:a16="http://schemas.microsoft.com/office/drawing/2014/main" id="{00000000-0008-0000-0B00-0000E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27</xdr:row>
      <xdr:rowOff>9525</xdr:rowOff>
    </xdr:from>
    <xdr:ext cx="323850" cy="180975"/>
    <xdr:sp macro="" textlink="">
      <xdr:nvSpPr>
        <xdr:cNvPr id="1507" name="Shape 1506">
          <a:extLst>
            <a:ext uri="{FF2B5EF4-FFF2-40B4-BE49-F238E27FC236}">
              <a16:creationId xmlns:a16="http://schemas.microsoft.com/office/drawing/2014/main" id="{00000000-0008-0000-0B00-0000E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28</xdr:row>
      <xdr:rowOff>9525</xdr:rowOff>
    </xdr:from>
    <xdr:ext cx="323850" cy="180975"/>
    <xdr:sp macro="" textlink="">
      <xdr:nvSpPr>
        <xdr:cNvPr id="1508" name="Shape 1507">
          <a:extLst>
            <a:ext uri="{FF2B5EF4-FFF2-40B4-BE49-F238E27FC236}">
              <a16:creationId xmlns:a16="http://schemas.microsoft.com/office/drawing/2014/main" id="{00000000-0008-0000-0B00-0000E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29</xdr:row>
      <xdr:rowOff>9525</xdr:rowOff>
    </xdr:from>
    <xdr:ext cx="323850" cy="180975"/>
    <xdr:sp macro="" textlink="">
      <xdr:nvSpPr>
        <xdr:cNvPr id="1509" name="Shape 1508">
          <a:extLst>
            <a:ext uri="{FF2B5EF4-FFF2-40B4-BE49-F238E27FC236}">
              <a16:creationId xmlns:a16="http://schemas.microsoft.com/office/drawing/2014/main" id="{00000000-0008-0000-0B00-0000E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30</xdr:row>
      <xdr:rowOff>9525</xdr:rowOff>
    </xdr:from>
    <xdr:ext cx="323850" cy="180975"/>
    <xdr:sp macro="" textlink="">
      <xdr:nvSpPr>
        <xdr:cNvPr id="1510" name="Shape 1509">
          <a:extLst>
            <a:ext uri="{FF2B5EF4-FFF2-40B4-BE49-F238E27FC236}">
              <a16:creationId xmlns:a16="http://schemas.microsoft.com/office/drawing/2014/main" id="{00000000-0008-0000-0B00-0000E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31</xdr:row>
      <xdr:rowOff>9525</xdr:rowOff>
    </xdr:from>
    <xdr:ext cx="323850" cy="180975"/>
    <xdr:sp macro="" textlink="">
      <xdr:nvSpPr>
        <xdr:cNvPr id="1511" name="Shape 1510">
          <a:extLst>
            <a:ext uri="{FF2B5EF4-FFF2-40B4-BE49-F238E27FC236}">
              <a16:creationId xmlns:a16="http://schemas.microsoft.com/office/drawing/2014/main" id="{00000000-0008-0000-0B00-0000E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32</xdr:row>
      <xdr:rowOff>9525</xdr:rowOff>
    </xdr:from>
    <xdr:ext cx="323850" cy="180975"/>
    <xdr:sp macro="" textlink="">
      <xdr:nvSpPr>
        <xdr:cNvPr id="1512" name="Shape 1511">
          <a:extLst>
            <a:ext uri="{FF2B5EF4-FFF2-40B4-BE49-F238E27FC236}">
              <a16:creationId xmlns:a16="http://schemas.microsoft.com/office/drawing/2014/main" id="{00000000-0008-0000-0B00-0000E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33</xdr:row>
      <xdr:rowOff>9525</xdr:rowOff>
    </xdr:from>
    <xdr:ext cx="323850" cy="180975"/>
    <xdr:sp macro="" textlink="">
      <xdr:nvSpPr>
        <xdr:cNvPr id="1513" name="Shape 1512">
          <a:extLst>
            <a:ext uri="{FF2B5EF4-FFF2-40B4-BE49-F238E27FC236}">
              <a16:creationId xmlns:a16="http://schemas.microsoft.com/office/drawing/2014/main" id="{00000000-0008-0000-0B00-0000E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34</xdr:row>
      <xdr:rowOff>9525</xdr:rowOff>
    </xdr:from>
    <xdr:ext cx="323850" cy="180975"/>
    <xdr:sp macro="" textlink="">
      <xdr:nvSpPr>
        <xdr:cNvPr id="1514" name="Shape 1513">
          <a:extLst>
            <a:ext uri="{FF2B5EF4-FFF2-40B4-BE49-F238E27FC236}">
              <a16:creationId xmlns:a16="http://schemas.microsoft.com/office/drawing/2014/main" id="{00000000-0008-0000-0B00-0000E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35</xdr:row>
      <xdr:rowOff>9525</xdr:rowOff>
    </xdr:from>
    <xdr:ext cx="323850" cy="180975"/>
    <xdr:sp macro="" textlink="">
      <xdr:nvSpPr>
        <xdr:cNvPr id="1515" name="Shape 1514">
          <a:extLst>
            <a:ext uri="{FF2B5EF4-FFF2-40B4-BE49-F238E27FC236}">
              <a16:creationId xmlns:a16="http://schemas.microsoft.com/office/drawing/2014/main" id="{00000000-0008-0000-0B00-0000E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36</xdr:row>
      <xdr:rowOff>9525</xdr:rowOff>
    </xdr:from>
    <xdr:ext cx="323850" cy="180975"/>
    <xdr:sp macro="" textlink="">
      <xdr:nvSpPr>
        <xdr:cNvPr id="1516" name="Shape 1515">
          <a:extLst>
            <a:ext uri="{FF2B5EF4-FFF2-40B4-BE49-F238E27FC236}">
              <a16:creationId xmlns:a16="http://schemas.microsoft.com/office/drawing/2014/main" id="{00000000-0008-0000-0B00-0000E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166</xdr:col>
      <xdr:colOff>0</xdr:colOff>
      <xdr:row>37</xdr:row>
      <xdr:rowOff>9525</xdr:rowOff>
    </xdr:from>
    <xdr:ext cx="323850" cy="180975"/>
    <xdr:sp macro="" textlink="">
      <xdr:nvSpPr>
        <xdr:cNvPr id="1517" name="Shape 1516">
          <a:extLst>
            <a:ext uri="{FF2B5EF4-FFF2-40B4-BE49-F238E27FC236}">
              <a16:creationId xmlns:a16="http://schemas.microsoft.com/office/drawing/2014/main" id="{00000000-0008-0000-0B00-0000E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38</xdr:row>
      <xdr:rowOff>9525</xdr:rowOff>
    </xdr:from>
    <xdr:ext cx="323850" cy="180975"/>
    <xdr:sp macro="" textlink="">
      <xdr:nvSpPr>
        <xdr:cNvPr id="1518" name="Shape 1517">
          <a:extLst>
            <a:ext uri="{FF2B5EF4-FFF2-40B4-BE49-F238E27FC236}">
              <a16:creationId xmlns:a16="http://schemas.microsoft.com/office/drawing/2014/main" id="{00000000-0008-0000-0B00-0000E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39</xdr:row>
      <xdr:rowOff>9525</xdr:rowOff>
    </xdr:from>
    <xdr:ext cx="323850" cy="180975"/>
    <xdr:sp macro="" textlink="">
      <xdr:nvSpPr>
        <xdr:cNvPr id="1519" name="Shape 1518">
          <a:extLst>
            <a:ext uri="{FF2B5EF4-FFF2-40B4-BE49-F238E27FC236}">
              <a16:creationId xmlns:a16="http://schemas.microsoft.com/office/drawing/2014/main" id="{00000000-0008-0000-0B00-0000E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40</xdr:row>
      <xdr:rowOff>9525</xdr:rowOff>
    </xdr:from>
    <xdr:ext cx="323850" cy="180975"/>
    <xdr:sp macro="" textlink="">
      <xdr:nvSpPr>
        <xdr:cNvPr id="1520" name="Shape 1519">
          <a:extLst>
            <a:ext uri="{FF2B5EF4-FFF2-40B4-BE49-F238E27FC236}">
              <a16:creationId xmlns:a16="http://schemas.microsoft.com/office/drawing/2014/main" id="{00000000-0008-0000-0B00-0000F0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165</xdr:col>
      <xdr:colOff>0</xdr:colOff>
      <xdr:row>41</xdr:row>
      <xdr:rowOff>9525</xdr:rowOff>
    </xdr:from>
    <xdr:ext cx="323850" cy="180975"/>
    <xdr:sp macro="" textlink="">
      <xdr:nvSpPr>
        <xdr:cNvPr id="1521" name="Shape 1520">
          <a:extLst>
            <a:ext uri="{FF2B5EF4-FFF2-40B4-BE49-F238E27FC236}">
              <a16:creationId xmlns:a16="http://schemas.microsoft.com/office/drawing/2014/main" id="{00000000-0008-0000-0B00-0000F1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</xdr:row>
      <xdr:rowOff>9525</xdr:rowOff>
    </xdr:from>
    <xdr:ext cx="323850" cy="180975"/>
    <xdr:sp macro="" textlink="">
      <xdr:nvSpPr>
        <xdr:cNvPr id="1522" name="Shape 1521">
          <a:extLst>
            <a:ext uri="{FF2B5EF4-FFF2-40B4-BE49-F238E27FC236}">
              <a16:creationId xmlns:a16="http://schemas.microsoft.com/office/drawing/2014/main" id="{00000000-0008-0000-0B00-0000F2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</xdr:row>
      <xdr:rowOff>9525</xdr:rowOff>
    </xdr:from>
    <xdr:ext cx="323850" cy="180975"/>
    <xdr:sp macro="" textlink="">
      <xdr:nvSpPr>
        <xdr:cNvPr id="1523" name="Shape 1522">
          <a:extLst>
            <a:ext uri="{FF2B5EF4-FFF2-40B4-BE49-F238E27FC236}">
              <a16:creationId xmlns:a16="http://schemas.microsoft.com/office/drawing/2014/main" id="{00000000-0008-0000-0B00-0000F3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4</xdr:row>
      <xdr:rowOff>9525</xdr:rowOff>
    </xdr:from>
    <xdr:ext cx="323850" cy="180975"/>
    <xdr:sp macro="" textlink="">
      <xdr:nvSpPr>
        <xdr:cNvPr id="1524" name="Shape 1523">
          <a:extLst>
            <a:ext uri="{FF2B5EF4-FFF2-40B4-BE49-F238E27FC236}">
              <a16:creationId xmlns:a16="http://schemas.microsoft.com/office/drawing/2014/main" id="{00000000-0008-0000-0B00-0000F4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5</xdr:row>
      <xdr:rowOff>9525</xdr:rowOff>
    </xdr:from>
    <xdr:ext cx="323850" cy="180975"/>
    <xdr:sp macro="" textlink="">
      <xdr:nvSpPr>
        <xdr:cNvPr id="1525" name="Shape 1524">
          <a:extLst>
            <a:ext uri="{FF2B5EF4-FFF2-40B4-BE49-F238E27FC236}">
              <a16:creationId xmlns:a16="http://schemas.microsoft.com/office/drawing/2014/main" id="{00000000-0008-0000-0B00-0000F5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6</xdr:row>
      <xdr:rowOff>9525</xdr:rowOff>
    </xdr:from>
    <xdr:ext cx="323850" cy="180975"/>
    <xdr:sp macro="" textlink="">
      <xdr:nvSpPr>
        <xdr:cNvPr id="1526" name="Shape 1525">
          <a:extLst>
            <a:ext uri="{FF2B5EF4-FFF2-40B4-BE49-F238E27FC236}">
              <a16:creationId xmlns:a16="http://schemas.microsoft.com/office/drawing/2014/main" id="{00000000-0008-0000-0B00-0000F6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7</xdr:row>
      <xdr:rowOff>9525</xdr:rowOff>
    </xdr:from>
    <xdr:ext cx="323850" cy="180975"/>
    <xdr:sp macro="" textlink="">
      <xdr:nvSpPr>
        <xdr:cNvPr id="1527" name="Shape 1526">
          <a:extLst>
            <a:ext uri="{FF2B5EF4-FFF2-40B4-BE49-F238E27FC236}">
              <a16:creationId xmlns:a16="http://schemas.microsoft.com/office/drawing/2014/main" id="{00000000-0008-0000-0B00-0000F7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8</xdr:row>
      <xdr:rowOff>9525</xdr:rowOff>
    </xdr:from>
    <xdr:ext cx="323850" cy="180975"/>
    <xdr:sp macro="" textlink="">
      <xdr:nvSpPr>
        <xdr:cNvPr id="1528" name="Shape 1527">
          <a:extLst>
            <a:ext uri="{FF2B5EF4-FFF2-40B4-BE49-F238E27FC236}">
              <a16:creationId xmlns:a16="http://schemas.microsoft.com/office/drawing/2014/main" id="{00000000-0008-0000-0B00-0000F8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9</xdr:row>
      <xdr:rowOff>9525</xdr:rowOff>
    </xdr:from>
    <xdr:ext cx="323850" cy="180975"/>
    <xdr:sp macro="" textlink="">
      <xdr:nvSpPr>
        <xdr:cNvPr id="1529" name="Shape 1528">
          <a:extLst>
            <a:ext uri="{FF2B5EF4-FFF2-40B4-BE49-F238E27FC236}">
              <a16:creationId xmlns:a16="http://schemas.microsoft.com/office/drawing/2014/main" id="{00000000-0008-0000-0B00-0000F9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10</xdr:row>
      <xdr:rowOff>9525</xdr:rowOff>
    </xdr:from>
    <xdr:ext cx="323850" cy="180975"/>
    <xdr:sp macro="" textlink="">
      <xdr:nvSpPr>
        <xdr:cNvPr id="1530" name="Shape 1529">
          <a:extLst>
            <a:ext uri="{FF2B5EF4-FFF2-40B4-BE49-F238E27FC236}">
              <a16:creationId xmlns:a16="http://schemas.microsoft.com/office/drawing/2014/main" id="{00000000-0008-0000-0B00-0000FA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11</xdr:row>
      <xdr:rowOff>9525</xdr:rowOff>
    </xdr:from>
    <xdr:ext cx="323850" cy="180975"/>
    <xdr:sp macro="" textlink="">
      <xdr:nvSpPr>
        <xdr:cNvPr id="1531" name="Shape 1530">
          <a:extLst>
            <a:ext uri="{FF2B5EF4-FFF2-40B4-BE49-F238E27FC236}">
              <a16:creationId xmlns:a16="http://schemas.microsoft.com/office/drawing/2014/main" id="{00000000-0008-0000-0B00-0000FB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12</xdr:row>
      <xdr:rowOff>9525</xdr:rowOff>
    </xdr:from>
    <xdr:ext cx="323850" cy="180975"/>
    <xdr:sp macro="" textlink="">
      <xdr:nvSpPr>
        <xdr:cNvPr id="1532" name="Shape 1531">
          <a:extLst>
            <a:ext uri="{FF2B5EF4-FFF2-40B4-BE49-F238E27FC236}">
              <a16:creationId xmlns:a16="http://schemas.microsoft.com/office/drawing/2014/main" id="{00000000-0008-0000-0B00-0000FC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13</xdr:row>
      <xdr:rowOff>9525</xdr:rowOff>
    </xdr:from>
    <xdr:ext cx="323850" cy="180975"/>
    <xdr:sp macro="" textlink="">
      <xdr:nvSpPr>
        <xdr:cNvPr id="1533" name="Shape 1532">
          <a:extLst>
            <a:ext uri="{FF2B5EF4-FFF2-40B4-BE49-F238E27FC236}">
              <a16:creationId xmlns:a16="http://schemas.microsoft.com/office/drawing/2014/main" id="{00000000-0008-0000-0B00-0000FD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14</xdr:row>
      <xdr:rowOff>9525</xdr:rowOff>
    </xdr:from>
    <xdr:ext cx="323850" cy="180975"/>
    <xdr:sp macro="" textlink="">
      <xdr:nvSpPr>
        <xdr:cNvPr id="1534" name="Shape 1533">
          <a:extLst>
            <a:ext uri="{FF2B5EF4-FFF2-40B4-BE49-F238E27FC236}">
              <a16:creationId xmlns:a16="http://schemas.microsoft.com/office/drawing/2014/main" id="{00000000-0008-0000-0B00-0000FE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15</xdr:row>
      <xdr:rowOff>9525</xdr:rowOff>
    </xdr:from>
    <xdr:ext cx="323850" cy="180975"/>
    <xdr:sp macro="" textlink="">
      <xdr:nvSpPr>
        <xdr:cNvPr id="1535" name="Shape 1534">
          <a:extLst>
            <a:ext uri="{FF2B5EF4-FFF2-40B4-BE49-F238E27FC236}">
              <a16:creationId xmlns:a16="http://schemas.microsoft.com/office/drawing/2014/main" id="{00000000-0008-0000-0B00-0000FF05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16</xdr:row>
      <xdr:rowOff>9525</xdr:rowOff>
    </xdr:from>
    <xdr:ext cx="323850" cy="180975"/>
    <xdr:sp macro="" textlink="">
      <xdr:nvSpPr>
        <xdr:cNvPr id="1536" name="Shape 1535">
          <a:extLst>
            <a:ext uri="{FF2B5EF4-FFF2-40B4-BE49-F238E27FC236}">
              <a16:creationId xmlns:a16="http://schemas.microsoft.com/office/drawing/2014/main" id="{00000000-0008-0000-0B00-00000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17</xdr:row>
      <xdr:rowOff>9525</xdr:rowOff>
    </xdr:from>
    <xdr:ext cx="323850" cy="180975"/>
    <xdr:sp macro="" textlink="">
      <xdr:nvSpPr>
        <xdr:cNvPr id="1537" name="Shape 1536">
          <a:extLst>
            <a:ext uri="{FF2B5EF4-FFF2-40B4-BE49-F238E27FC236}">
              <a16:creationId xmlns:a16="http://schemas.microsoft.com/office/drawing/2014/main" id="{00000000-0008-0000-0B00-00000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18</xdr:row>
      <xdr:rowOff>9525</xdr:rowOff>
    </xdr:from>
    <xdr:ext cx="323850" cy="180975"/>
    <xdr:sp macro="" textlink="">
      <xdr:nvSpPr>
        <xdr:cNvPr id="1538" name="Shape 1537">
          <a:extLst>
            <a:ext uri="{FF2B5EF4-FFF2-40B4-BE49-F238E27FC236}">
              <a16:creationId xmlns:a16="http://schemas.microsoft.com/office/drawing/2014/main" id="{00000000-0008-0000-0B00-00000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19</xdr:row>
      <xdr:rowOff>9525</xdr:rowOff>
    </xdr:from>
    <xdr:ext cx="323850" cy="180975"/>
    <xdr:sp macro="" textlink="">
      <xdr:nvSpPr>
        <xdr:cNvPr id="1539" name="Shape 1538">
          <a:extLst>
            <a:ext uri="{FF2B5EF4-FFF2-40B4-BE49-F238E27FC236}">
              <a16:creationId xmlns:a16="http://schemas.microsoft.com/office/drawing/2014/main" id="{00000000-0008-0000-0B00-00000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20</xdr:row>
      <xdr:rowOff>9525</xdr:rowOff>
    </xdr:from>
    <xdr:ext cx="323850" cy="180975"/>
    <xdr:sp macro="" textlink="">
      <xdr:nvSpPr>
        <xdr:cNvPr id="1540" name="Shape 1539">
          <a:extLst>
            <a:ext uri="{FF2B5EF4-FFF2-40B4-BE49-F238E27FC236}">
              <a16:creationId xmlns:a16="http://schemas.microsoft.com/office/drawing/2014/main" id="{00000000-0008-0000-0B00-00000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21</xdr:row>
      <xdr:rowOff>9525</xdr:rowOff>
    </xdr:from>
    <xdr:ext cx="323850" cy="180975"/>
    <xdr:sp macro="" textlink="">
      <xdr:nvSpPr>
        <xdr:cNvPr id="1541" name="Shape 1540">
          <a:extLst>
            <a:ext uri="{FF2B5EF4-FFF2-40B4-BE49-F238E27FC236}">
              <a16:creationId xmlns:a16="http://schemas.microsoft.com/office/drawing/2014/main" id="{00000000-0008-0000-0B00-00000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22</xdr:row>
      <xdr:rowOff>9525</xdr:rowOff>
    </xdr:from>
    <xdr:ext cx="323850" cy="180975"/>
    <xdr:sp macro="" textlink="">
      <xdr:nvSpPr>
        <xdr:cNvPr id="1542" name="Shape 1541">
          <a:extLst>
            <a:ext uri="{FF2B5EF4-FFF2-40B4-BE49-F238E27FC236}">
              <a16:creationId xmlns:a16="http://schemas.microsoft.com/office/drawing/2014/main" id="{00000000-0008-0000-0B00-00000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23</xdr:row>
      <xdr:rowOff>9525</xdr:rowOff>
    </xdr:from>
    <xdr:ext cx="323850" cy="180975"/>
    <xdr:sp macro="" textlink="">
      <xdr:nvSpPr>
        <xdr:cNvPr id="1543" name="Shape 1542">
          <a:extLst>
            <a:ext uri="{FF2B5EF4-FFF2-40B4-BE49-F238E27FC236}">
              <a16:creationId xmlns:a16="http://schemas.microsoft.com/office/drawing/2014/main" id="{00000000-0008-0000-0B00-00000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24</xdr:row>
      <xdr:rowOff>9525</xdr:rowOff>
    </xdr:from>
    <xdr:ext cx="323850" cy="180975"/>
    <xdr:sp macro="" textlink="">
      <xdr:nvSpPr>
        <xdr:cNvPr id="1544" name="Shape 1543">
          <a:extLst>
            <a:ext uri="{FF2B5EF4-FFF2-40B4-BE49-F238E27FC236}">
              <a16:creationId xmlns:a16="http://schemas.microsoft.com/office/drawing/2014/main" id="{00000000-0008-0000-0B00-00000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25</xdr:row>
      <xdr:rowOff>9525</xdr:rowOff>
    </xdr:from>
    <xdr:ext cx="323850" cy="180975"/>
    <xdr:sp macro="" textlink="">
      <xdr:nvSpPr>
        <xdr:cNvPr id="1545" name="Shape 1544">
          <a:extLst>
            <a:ext uri="{FF2B5EF4-FFF2-40B4-BE49-F238E27FC236}">
              <a16:creationId xmlns:a16="http://schemas.microsoft.com/office/drawing/2014/main" id="{00000000-0008-0000-0B00-00000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26</xdr:row>
      <xdr:rowOff>9525</xdr:rowOff>
    </xdr:from>
    <xdr:ext cx="323850" cy="180975"/>
    <xdr:sp macro="" textlink="">
      <xdr:nvSpPr>
        <xdr:cNvPr id="1546" name="Shape 1545">
          <a:extLst>
            <a:ext uri="{FF2B5EF4-FFF2-40B4-BE49-F238E27FC236}">
              <a16:creationId xmlns:a16="http://schemas.microsoft.com/office/drawing/2014/main" id="{00000000-0008-0000-0B00-00000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27</xdr:row>
      <xdr:rowOff>9525</xdr:rowOff>
    </xdr:from>
    <xdr:ext cx="323850" cy="180975"/>
    <xdr:sp macro="" textlink="">
      <xdr:nvSpPr>
        <xdr:cNvPr id="1547" name="Shape 1546">
          <a:extLst>
            <a:ext uri="{FF2B5EF4-FFF2-40B4-BE49-F238E27FC236}">
              <a16:creationId xmlns:a16="http://schemas.microsoft.com/office/drawing/2014/main" id="{00000000-0008-0000-0B00-00000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28</xdr:row>
      <xdr:rowOff>9525</xdr:rowOff>
    </xdr:from>
    <xdr:ext cx="323850" cy="180975"/>
    <xdr:sp macro="" textlink="">
      <xdr:nvSpPr>
        <xdr:cNvPr id="1548" name="Shape 1547">
          <a:extLst>
            <a:ext uri="{FF2B5EF4-FFF2-40B4-BE49-F238E27FC236}">
              <a16:creationId xmlns:a16="http://schemas.microsoft.com/office/drawing/2014/main" id="{00000000-0008-0000-0B00-00000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29</xdr:row>
      <xdr:rowOff>9525</xdr:rowOff>
    </xdr:from>
    <xdr:ext cx="323850" cy="180975"/>
    <xdr:sp macro="" textlink="">
      <xdr:nvSpPr>
        <xdr:cNvPr id="1549" name="Shape 1548">
          <a:extLst>
            <a:ext uri="{FF2B5EF4-FFF2-40B4-BE49-F238E27FC236}">
              <a16:creationId xmlns:a16="http://schemas.microsoft.com/office/drawing/2014/main" id="{00000000-0008-0000-0B00-00000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30</xdr:row>
      <xdr:rowOff>9525</xdr:rowOff>
    </xdr:from>
    <xdr:ext cx="323850" cy="180975"/>
    <xdr:sp macro="" textlink="">
      <xdr:nvSpPr>
        <xdr:cNvPr id="1550" name="Shape 1549">
          <a:extLst>
            <a:ext uri="{FF2B5EF4-FFF2-40B4-BE49-F238E27FC236}">
              <a16:creationId xmlns:a16="http://schemas.microsoft.com/office/drawing/2014/main" id="{00000000-0008-0000-0B00-00000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31</xdr:row>
      <xdr:rowOff>9525</xdr:rowOff>
    </xdr:from>
    <xdr:ext cx="323850" cy="180975"/>
    <xdr:sp macro="" textlink="">
      <xdr:nvSpPr>
        <xdr:cNvPr id="1551" name="Shape 1550">
          <a:extLst>
            <a:ext uri="{FF2B5EF4-FFF2-40B4-BE49-F238E27FC236}">
              <a16:creationId xmlns:a16="http://schemas.microsoft.com/office/drawing/2014/main" id="{00000000-0008-0000-0B00-00000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32</xdr:row>
      <xdr:rowOff>9525</xdr:rowOff>
    </xdr:from>
    <xdr:ext cx="323850" cy="180975"/>
    <xdr:sp macro="" textlink="">
      <xdr:nvSpPr>
        <xdr:cNvPr id="1552" name="Shape 1551">
          <a:extLst>
            <a:ext uri="{FF2B5EF4-FFF2-40B4-BE49-F238E27FC236}">
              <a16:creationId xmlns:a16="http://schemas.microsoft.com/office/drawing/2014/main" id="{00000000-0008-0000-0B00-00001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33</xdr:row>
      <xdr:rowOff>9525</xdr:rowOff>
    </xdr:from>
    <xdr:ext cx="323850" cy="180975"/>
    <xdr:sp macro="" textlink="">
      <xdr:nvSpPr>
        <xdr:cNvPr id="1553" name="Shape 1552">
          <a:extLst>
            <a:ext uri="{FF2B5EF4-FFF2-40B4-BE49-F238E27FC236}">
              <a16:creationId xmlns:a16="http://schemas.microsoft.com/office/drawing/2014/main" id="{00000000-0008-0000-0B00-00001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34</xdr:row>
      <xdr:rowOff>9525</xdr:rowOff>
    </xdr:from>
    <xdr:ext cx="323850" cy="180975"/>
    <xdr:sp macro="" textlink="">
      <xdr:nvSpPr>
        <xdr:cNvPr id="1554" name="Shape 1553">
          <a:extLst>
            <a:ext uri="{FF2B5EF4-FFF2-40B4-BE49-F238E27FC236}">
              <a16:creationId xmlns:a16="http://schemas.microsoft.com/office/drawing/2014/main" id="{00000000-0008-0000-0B00-00001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35</xdr:row>
      <xdr:rowOff>9525</xdr:rowOff>
    </xdr:from>
    <xdr:ext cx="323850" cy="180975"/>
    <xdr:sp macro="" textlink="">
      <xdr:nvSpPr>
        <xdr:cNvPr id="1555" name="Shape 1554">
          <a:extLst>
            <a:ext uri="{FF2B5EF4-FFF2-40B4-BE49-F238E27FC236}">
              <a16:creationId xmlns:a16="http://schemas.microsoft.com/office/drawing/2014/main" id="{00000000-0008-0000-0B00-00001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36</xdr:row>
      <xdr:rowOff>9525</xdr:rowOff>
    </xdr:from>
    <xdr:ext cx="323850" cy="180975"/>
    <xdr:sp macro="" textlink="">
      <xdr:nvSpPr>
        <xdr:cNvPr id="1556" name="Shape 1555">
          <a:extLst>
            <a:ext uri="{FF2B5EF4-FFF2-40B4-BE49-F238E27FC236}">
              <a16:creationId xmlns:a16="http://schemas.microsoft.com/office/drawing/2014/main" id="{00000000-0008-0000-0B00-00001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37</xdr:row>
      <xdr:rowOff>9525</xdr:rowOff>
    </xdr:from>
    <xdr:ext cx="323850" cy="180975"/>
    <xdr:sp macro="" textlink="">
      <xdr:nvSpPr>
        <xdr:cNvPr id="1557" name="Shape 1556">
          <a:extLst>
            <a:ext uri="{FF2B5EF4-FFF2-40B4-BE49-F238E27FC236}">
              <a16:creationId xmlns:a16="http://schemas.microsoft.com/office/drawing/2014/main" id="{00000000-0008-0000-0B00-00001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38</xdr:row>
      <xdr:rowOff>9525</xdr:rowOff>
    </xdr:from>
    <xdr:ext cx="323850" cy="180975"/>
    <xdr:sp macro="" textlink="">
      <xdr:nvSpPr>
        <xdr:cNvPr id="1558" name="Shape 1557">
          <a:extLst>
            <a:ext uri="{FF2B5EF4-FFF2-40B4-BE49-F238E27FC236}">
              <a16:creationId xmlns:a16="http://schemas.microsoft.com/office/drawing/2014/main" id="{00000000-0008-0000-0B00-00001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169</xdr:col>
      <xdr:colOff>0</xdr:colOff>
      <xdr:row>39</xdr:row>
      <xdr:rowOff>9525</xdr:rowOff>
    </xdr:from>
    <xdr:ext cx="323850" cy="180975"/>
    <xdr:sp macro="" textlink="">
      <xdr:nvSpPr>
        <xdr:cNvPr id="1559" name="Shape 1558">
          <a:extLst>
            <a:ext uri="{FF2B5EF4-FFF2-40B4-BE49-F238E27FC236}">
              <a16:creationId xmlns:a16="http://schemas.microsoft.com/office/drawing/2014/main" id="{00000000-0008-0000-0B00-00001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40</xdr:row>
      <xdr:rowOff>9525</xdr:rowOff>
    </xdr:from>
    <xdr:ext cx="323850" cy="180975"/>
    <xdr:sp macro="" textlink="">
      <xdr:nvSpPr>
        <xdr:cNvPr id="1560" name="Shape 1559">
          <a:extLst>
            <a:ext uri="{FF2B5EF4-FFF2-40B4-BE49-F238E27FC236}">
              <a16:creationId xmlns:a16="http://schemas.microsoft.com/office/drawing/2014/main" id="{00000000-0008-0000-0B00-00001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170</xdr:col>
      <xdr:colOff>0</xdr:colOff>
      <xdr:row>41</xdr:row>
      <xdr:rowOff>9525</xdr:rowOff>
    </xdr:from>
    <xdr:ext cx="323850" cy="180975"/>
    <xdr:sp macro="" textlink="">
      <xdr:nvSpPr>
        <xdr:cNvPr id="1561" name="Shape 1560">
          <a:extLst>
            <a:ext uri="{FF2B5EF4-FFF2-40B4-BE49-F238E27FC236}">
              <a16:creationId xmlns:a16="http://schemas.microsoft.com/office/drawing/2014/main" id="{00000000-0008-0000-0B00-00001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</xdr:row>
      <xdr:rowOff>9525</xdr:rowOff>
    </xdr:from>
    <xdr:ext cx="323850" cy="180975"/>
    <xdr:sp macro="" textlink="">
      <xdr:nvSpPr>
        <xdr:cNvPr id="1562" name="Shape 1561">
          <a:extLst>
            <a:ext uri="{FF2B5EF4-FFF2-40B4-BE49-F238E27FC236}">
              <a16:creationId xmlns:a16="http://schemas.microsoft.com/office/drawing/2014/main" id="{00000000-0008-0000-0B00-00001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</xdr:row>
      <xdr:rowOff>9525</xdr:rowOff>
    </xdr:from>
    <xdr:ext cx="323850" cy="180975"/>
    <xdr:sp macro="" textlink="">
      <xdr:nvSpPr>
        <xdr:cNvPr id="1563" name="Shape 1562">
          <a:extLst>
            <a:ext uri="{FF2B5EF4-FFF2-40B4-BE49-F238E27FC236}">
              <a16:creationId xmlns:a16="http://schemas.microsoft.com/office/drawing/2014/main" id="{00000000-0008-0000-0B00-00001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4</xdr:row>
      <xdr:rowOff>9525</xdr:rowOff>
    </xdr:from>
    <xdr:ext cx="323850" cy="180975"/>
    <xdr:sp macro="" textlink="">
      <xdr:nvSpPr>
        <xdr:cNvPr id="1564" name="Shape 1563">
          <a:extLst>
            <a:ext uri="{FF2B5EF4-FFF2-40B4-BE49-F238E27FC236}">
              <a16:creationId xmlns:a16="http://schemas.microsoft.com/office/drawing/2014/main" id="{00000000-0008-0000-0B00-00001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5</xdr:row>
      <xdr:rowOff>9525</xdr:rowOff>
    </xdr:from>
    <xdr:ext cx="323850" cy="180975"/>
    <xdr:sp macro="" textlink="">
      <xdr:nvSpPr>
        <xdr:cNvPr id="1565" name="Shape 1564">
          <a:extLst>
            <a:ext uri="{FF2B5EF4-FFF2-40B4-BE49-F238E27FC236}">
              <a16:creationId xmlns:a16="http://schemas.microsoft.com/office/drawing/2014/main" id="{00000000-0008-0000-0B00-00001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6</xdr:row>
      <xdr:rowOff>9525</xdr:rowOff>
    </xdr:from>
    <xdr:ext cx="323850" cy="180975"/>
    <xdr:sp macro="" textlink="">
      <xdr:nvSpPr>
        <xdr:cNvPr id="1566" name="Shape 1565">
          <a:extLst>
            <a:ext uri="{FF2B5EF4-FFF2-40B4-BE49-F238E27FC236}">
              <a16:creationId xmlns:a16="http://schemas.microsoft.com/office/drawing/2014/main" id="{00000000-0008-0000-0B00-00001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7</xdr:row>
      <xdr:rowOff>9525</xdr:rowOff>
    </xdr:from>
    <xdr:ext cx="323850" cy="180975"/>
    <xdr:sp macro="" textlink="">
      <xdr:nvSpPr>
        <xdr:cNvPr id="1567" name="Shape 1566">
          <a:extLst>
            <a:ext uri="{FF2B5EF4-FFF2-40B4-BE49-F238E27FC236}">
              <a16:creationId xmlns:a16="http://schemas.microsoft.com/office/drawing/2014/main" id="{00000000-0008-0000-0B00-00001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8</xdr:row>
      <xdr:rowOff>9525</xdr:rowOff>
    </xdr:from>
    <xdr:ext cx="323850" cy="180975"/>
    <xdr:sp macro="" textlink="">
      <xdr:nvSpPr>
        <xdr:cNvPr id="1568" name="Shape 1567">
          <a:extLst>
            <a:ext uri="{FF2B5EF4-FFF2-40B4-BE49-F238E27FC236}">
              <a16:creationId xmlns:a16="http://schemas.microsoft.com/office/drawing/2014/main" id="{00000000-0008-0000-0B00-00002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9</xdr:row>
      <xdr:rowOff>9525</xdr:rowOff>
    </xdr:from>
    <xdr:ext cx="323850" cy="180975"/>
    <xdr:sp macro="" textlink="">
      <xdr:nvSpPr>
        <xdr:cNvPr id="1569" name="Shape 1568">
          <a:extLst>
            <a:ext uri="{FF2B5EF4-FFF2-40B4-BE49-F238E27FC236}">
              <a16:creationId xmlns:a16="http://schemas.microsoft.com/office/drawing/2014/main" id="{00000000-0008-0000-0B00-00002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10</xdr:row>
      <xdr:rowOff>9525</xdr:rowOff>
    </xdr:from>
    <xdr:ext cx="323850" cy="180975"/>
    <xdr:sp macro="" textlink="">
      <xdr:nvSpPr>
        <xdr:cNvPr id="1570" name="Shape 1569">
          <a:extLst>
            <a:ext uri="{FF2B5EF4-FFF2-40B4-BE49-F238E27FC236}">
              <a16:creationId xmlns:a16="http://schemas.microsoft.com/office/drawing/2014/main" id="{00000000-0008-0000-0B00-00002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11</xdr:row>
      <xdr:rowOff>9525</xdr:rowOff>
    </xdr:from>
    <xdr:ext cx="323850" cy="180975"/>
    <xdr:sp macro="" textlink="">
      <xdr:nvSpPr>
        <xdr:cNvPr id="1571" name="Shape 1570">
          <a:extLst>
            <a:ext uri="{FF2B5EF4-FFF2-40B4-BE49-F238E27FC236}">
              <a16:creationId xmlns:a16="http://schemas.microsoft.com/office/drawing/2014/main" id="{00000000-0008-0000-0B00-00002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12</xdr:row>
      <xdr:rowOff>9525</xdr:rowOff>
    </xdr:from>
    <xdr:ext cx="323850" cy="180975"/>
    <xdr:sp macro="" textlink="">
      <xdr:nvSpPr>
        <xdr:cNvPr id="1572" name="Shape 1571">
          <a:extLst>
            <a:ext uri="{FF2B5EF4-FFF2-40B4-BE49-F238E27FC236}">
              <a16:creationId xmlns:a16="http://schemas.microsoft.com/office/drawing/2014/main" id="{00000000-0008-0000-0B00-00002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13</xdr:row>
      <xdr:rowOff>9525</xdr:rowOff>
    </xdr:from>
    <xdr:ext cx="323850" cy="180975"/>
    <xdr:sp macro="" textlink="">
      <xdr:nvSpPr>
        <xdr:cNvPr id="1573" name="Shape 1572">
          <a:extLst>
            <a:ext uri="{FF2B5EF4-FFF2-40B4-BE49-F238E27FC236}">
              <a16:creationId xmlns:a16="http://schemas.microsoft.com/office/drawing/2014/main" id="{00000000-0008-0000-0B00-00002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14</xdr:row>
      <xdr:rowOff>9525</xdr:rowOff>
    </xdr:from>
    <xdr:ext cx="323850" cy="180975"/>
    <xdr:sp macro="" textlink="">
      <xdr:nvSpPr>
        <xdr:cNvPr id="1574" name="Shape 1573">
          <a:extLst>
            <a:ext uri="{FF2B5EF4-FFF2-40B4-BE49-F238E27FC236}">
              <a16:creationId xmlns:a16="http://schemas.microsoft.com/office/drawing/2014/main" id="{00000000-0008-0000-0B00-00002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15</xdr:row>
      <xdr:rowOff>9525</xdr:rowOff>
    </xdr:from>
    <xdr:ext cx="323850" cy="180975"/>
    <xdr:sp macro="" textlink="">
      <xdr:nvSpPr>
        <xdr:cNvPr id="1575" name="Shape 1574">
          <a:extLst>
            <a:ext uri="{FF2B5EF4-FFF2-40B4-BE49-F238E27FC236}">
              <a16:creationId xmlns:a16="http://schemas.microsoft.com/office/drawing/2014/main" id="{00000000-0008-0000-0B00-00002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16</xdr:row>
      <xdr:rowOff>9525</xdr:rowOff>
    </xdr:from>
    <xdr:ext cx="323850" cy="180975"/>
    <xdr:sp macro="" textlink="">
      <xdr:nvSpPr>
        <xdr:cNvPr id="1576" name="Shape 1575">
          <a:extLst>
            <a:ext uri="{FF2B5EF4-FFF2-40B4-BE49-F238E27FC236}">
              <a16:creationId xmlns:a16="http://schemas.microsoft.com/office/drawing/2014/main" id="{00000000-0008-0000-0B00-00002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17</xdr:row>
      <xdr:rowOff>9525</xdr:rowOff>
    </xdr:from>
    <xdr:ext cx="323850" cy="180975"/>
    <xdr:sp macro="" textlink="">
      <xdr:nvSpPr>
        <xdr:cNvPr id="1577" name="Shape 1576">
          <a:extLst>
            <a:ext uri="{FF2B5EF4-FFF2-40B4-BE49-F238E27FC236}">
              <a16:creationId xmlns:a16="http://schemas.microsoft.com/office/drawing/2014/main" id="{00000000-0008-0000-0B00-00002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18</xdr:row>
      <xdr:rowOff>9525</xdr:rowOff>
    </xdr:from>
    <xdr:ext cx="323850" cy="180975"/>
    <xdr:sp macro="" textlink="">
      <xdr:nvSpPr>
        <xdr:cNvPr id="1578" name="Shape 1577">
          <a:extLst>
            <a:ext uri="{FF2B5EF4-FFF2-40B4-BE49-F238E27FC236}">
              <a16:creationId xmlns:a16="http://schemas.microsoft.com/office/drawing/2014/main" id="{00000000-0008-0000-0B00-00002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19</xdr:row>
      <xdr:rowOff>9525</xdr:rowOff>
    </xdr:from>
    <xdr:ext cx="323850" cy="180975"/>
    <xdr:sp macro="" textlink="">
      <xdr:nvSpPr>
        <xdr:cNvPr id="1579" name="Shape 1578">
          <a:extLst>
            <a:ext uri="{FF2B5EF4-FFF2-40B4-BE49-F238E27FC236}">
              <a16:creationId xmlns:a16="http://schemas.microsoft.com/office/drawing/2014/main" id="{00000000-0008-0000-0B00-00002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20</xdr:row>
      <xdr:rowOff>9525</xdr:rowOff>
    </xdr:from>
    <xdr:ext cx="323850" cy="180975"/>
    <xdr:sp macro="" textlink="">
      <xdr:nvSpPr>
        <xdr:cNvPr id="1580" name="Shape 1579">
          <a:extLst>
            <a:ext uri="{FF2B5EF4-FFF2-40B4-BE49-F238E27FC236}">
              <a16:creationId xmlns:a16="http://schemas.microsoft.com/office/drawing/2014/main" id="{00000000-0008-0000-0B00-00002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21</xdr:row>
      <xdr:rowOff>9525</xdr:rowOff>
    </xdr:from>
    <xdr:ext cx="323850" cy="180975"/>
    <xdr:sp macro="" textlink="">
      <xdr:nvSpPr>
        <xdr:cNvPr id="1581" name="Shape 1580">
          <a:extLst>
            <a:ext uri="{FF2B5EF4-FFF2-40B4-BE49-F238E27FC236}">
              <a16:creationId xmlns:a16="http://schemas.microsoft.com/office/drawing/2014/main" id="{00000000-0008-0000-0B00-00002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22</xdr:row>
      <xdr:rowOff>9525</xdr:rowOff>
    </xdr:from>
    <xdr:ext cx="323850" cy="180975"/>
    <xdr:sp macro="" textlink="">
      <xdr:nvSpPr>
        <xdr:cNvPr id="1582" name="Shape 1581">
          <a:extLst>
            <a:ext uri="{FF2B5EF4-FFF2-40B4-BE49-F238E27FC236}">
              <a16:creationId xmlns:a16="http://schemas.microsoft.com/office/drawing/2014/main" id="{00000000-0008-0000-0B00-00002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23</xdr:row>
      <xdr:rowOff>9525</xdr:rowOff>
    </xdr:from>
    <xdr:ext cx="323850" cy="180975"/>
    <xdr:sp macro="" textlink="">
      <xdr:nvSpPr>
        <xdr:cNvPr id="1583" name="Shape 1582">
          <a:extLst>
            <a:ext uri="{FF2B5EF4-FFF2-40B4-BE49-F238E27FC236}">
              <a16:creationId xmlns:a16="http://schemas.microsoft.com/office/drawing/2014/main" id="{00000000-0008-0000-0B00-00002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24</xdr:row>
      <xdr:rowOff>9525</xdr:rowOff>
    </xdr:from>
    <xdr:ext cx="323850" cy="180975"/>
    <xdr:sp macro="" textlink="">
      <xdr:nvSpPr>
        <xdr:cNvPr id="1584" name="Shape 1583">
          <a:extLst>
            <a:ext uri="{FF2B5EF4-FFF2-40B4-BE49-F238E27FC236}">
              <a16:creationId xmlns:a16="http://schemas.microsoft.com/office/drawing/2014/main" id="{00000000-0008-0000-0B00-00003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25</xdr:row>
      <xdr:rowOff>9525</xdr:rowOff>
    </xdr:from>
    <xdr:ext cx="323850" cy="180975"/>
    <xdr:sp macro="" textlink="">
      <xdr:nvSpPr>
        <xdr:cNvPr id="1585" name="Shape 1584">
          <a:extLst>
            <a:ext uri="{FF2B5EF4-FFF2-40B4-BE49-F238E27FC236}">
              <a16:creationId xmlns:a16="http://schemas.microsoft.com/office/drawing/2014/main" id="{00000000-0008-0000-0B00-00003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26</xdr:row>
      <xdr:rowOff>9525</xdr:rowOff>
    </xdr:from>
    <xdr:ext cx="323850" cy="180975"/>
    <xdr:sp macro="" textlink="">
      <xdr:nvSpPr>
        <xdr:cNvPr id="1586" name="Shape 1585">
          <a:extLst>
            <a:ext uri="{FF2B5EF4-FFF2-40B4-BE49-F238E27FC236}">
              <a16:creationId xmlns:a16="http://schemas.microsoft.com/office/drawing/2014/main" id="{00000000-0008-0000-0B00-00003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27</xdr:row>
      <xdr:rowOff>9525</xdr:rowOff>
    </xdr:from>
    <xdr:ext cx="323850" cy="180975"/>
    <xdr:sp macro="" textlink="">
      <xdr:nvSpPr>
        <xdr:cNvPr id="1587" name="Shape 1586">
          <a:extLst>
            <a:ext uri="{FF2B5EF4-FFF2-40B4-BE49-F238E27FC236}">
              <a16:creationId xmlns:a16="http://schemas.microsoft.com/office/drawing/2014/main" id="{00000000-0008-0000-0B00-00003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28</xdr:row>
      <xdr:rowOff>9525</xdr:rowOff>
    </xdr:from>
    <xdr:ext cx="323850" cy="180975"/>
    <xdr:sp macro="" textlink="">
      <xdr:nvSpPr>
        <xdr:cNvPr id="1588" name="Shape 1587">
          <a:extLst>
            <a:ext uri="{FF2B5EF4-FFF2-40B4-BE49-F238E27FC236}">
              <a16:creationId xmlns:a16="http://schemas.microsoft.com/office/drawing/2014/main" id="{00000000-0008-0000-0B00-00003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29</xdr:row>
      <xdr:rowOff>9525</xdr:rowOff>
    </xdr:from>
    <xdr:ext cx="323850" cy="180975"/>
    <xdr:sp macro="" textlink="">
      <xdr:nvSpPr>
        <xdr:cNvPr id="1589" name="Shape 1588">
          <a:extLst>
            <a:ext uri="{FF2B5EF4-FFF2-40B4-BE49-F238E27FC236}">
              <a16:creationId xmlns:a16="http://schemas.microsoft.com/office/drawing/2014/main" id="{00000000-0008-0000-0B00-00003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30</xdr:row>
      <xdr:rowOff>9525</xdr:rowOff>
    </xdr:from>
    <xdr:ext cx="323850" cy="180975"/>
    <xdr:sp macro="" textlink="">
      <xdr:nvSpPr>
        <xdr:cNvPr id="1590" name="Shape 1589">
          <a:extLst>
            <a:ext uri="{FF2B5EF4-FFF2-40B4-BE49-F238E27FC236}">
              <a16:creationId xmlns:a16="http://schemas.microsoft.com/office/drawing/2014/main" id="{00000000-0008-0000-0B00-00003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31</xdr:row>
      <xdr:rowOff>9525</xdr:rowOff>
    </xdr:from>
    <xdr:ext cx="323850" cy="180975"/>
    <xdr:sp macro="" textlink="">
      <xdr:nvSpPr>
        <xdr:cNvPr id="1591" name="Shape 1590">
          <a:extLst>
            <a:ext uri="{FF2B5EF4-FFF2-40B4-BE49-F238E27FC236}">
              <a16:creationId xmlns:a16="http://schemas.microsoft.com/office/drawing/2014/main" id="{00000000-0008-0000-0B00-00003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32</xdr:row>
      <xdr:rowOff>9525</xdr:rowOff>
    </xdr:from>
    <xdr:ext cx="323850" cy="180975"/>
    <xdr:sp macro="" textlink="">
      <xdr:nvSpPr>
        <xdr:cNvPr id="1592" name="Shape 1591">
          <a:extLst>
            <a:ext uri="{FF2B5EF4-FFF2-40B4-BE49-F238E27FC236}">
              <a16:creationId xmlns:a16="http://schemas.microsoft.com/office/drawing/2014/main" id="{00000000-0008-0000-0B00-00003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33</xdr:row>
      <xdr:rowOff>9525</xdr:rowOff>
    </xdr:from>
    <xdr:ext cx="323850" cy="180975"/>
    <xdr:sp macro="" textlink="">
      <xdr:nvSpPr>
        <xdr:cNvPr id="1593" name="Shape 1592">
          <a:extLst>
            <a:ext uri="{FF2B5EF4-FFF2-40B4-BE49-F238E27FC236}">
              <a16:creationId xmlns:a16="http://schemas.microsoft.com/office/drawing/2014/main" id="{00000000-0008-0000-0B00-00003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34</xdr:row>
      <xdr:rowOff>9525</xdr:rowOff>
    </xdr:from>
    <xdr:ext cx="323850" cy="180975"/>
    <xdr:sp macro="" textlink="">
      <xdr:nvSpPr>
        <xdr:cNvPr id="1594" name="Shape 1593">
          <a:extLst>
            <a:ext uri="{FF2B5EF4-FFF2-40B4-BE49-F238E27FC236}">
              <a16:creationId xmlns:a16="http://schemas.microsoft.com/office/drawing/2014/main" id="{00000000-0008-0000-0B00-00003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35</xdr:row>
      <xdr:rowOff>9525</xdr:rowOff>
    </xdr:from>
    <xdr:ext cx="323850" cy="180975"/>
    <xdr:sp macro="" textlink="">
      <xdr:nvSpPr>
        <xdr:cNvPr id="1595" name="Shape 1594">
          <a:extLst>
            <a:ext uri="{FF2B5EF4-FFF2-40B4-BE49-F238E27FC236}">
              <a16:creationId xmlns:a16="http://schemas.microsoft.com/office/drawing/2014/main" id="{00000000-0008-0000-0B00-00003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174</xdr:col>
      <xdr:colOff>0</xdr:colOff>
      <xdr:row>36</xdr:row>
      <xdr:rowOff>9525</xdr:rowOff>
    </xdr:from>
    <xdr:ext cx="323850" cy="180975"/>
    <xdr:sp macro="" textlink="">
      <xdr:nvSpPr>
        <xdr:cNvPr id="1596" name="Shape 1595">
          <a:extLst>
            <a:ext uri="{FF2B5EF4-FFF2-40B4-BE49-F238E27FC236}">
              <a16:creationId xmlns:a16="http://schemas.microsoft.com/office/drawing/2014/main" id="{00000000-0008-0000-0B00-00003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37</xdr:row>
      <xdr:rowOff>9525</xdr:rowOff>
    </xdr:from>
    <xdr:ext cx="323850" cy="180975"/>
    <xdr:sp macro="" textlink="">
      <xdr:nvSpPr>
        <xdr:cNvPr id="1597" name="Shape 1596">
          <a:extLst>
            <a:ext uri="{FF2B5EF4-FFF2-40B4-BE49-F238E27FC236}">
              <a16:creationId xmlns:a16="http://schemas.microsoft.com/office/drawing/2014/main" id="{00000000-0008-0000-0B00-00003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38</xdr:row>
      <xdr:rowOff>9525</xdr:rowOff>
    </xdr:from>
    <xdr:ext cx="323850" cy="180975"/>
    <xdr:sp macro="" textlink="">
      <xdr:nvSpPr>
        <xdr:cNvPr id="1598" name="Shape 1597">
          <a:extLst>
            <a:ext uri="{FF2B5EF4-FFF2-40B4-BE49-F238E27FC236}">
              <a16:creationId xmlns:a16="http://schemas.microsoft.com/office/drawing/2014/main" id="{00000000-0008-0000-0B00-00003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39</xdr:row>
      <xdr:rowOff>9525</xdr:rowOff>
    </xdr:from>
    <xdr:ext cx="323850" cy="180975"/>
    <xdr:sp macro="" textlink="">
      <xdr:nvSpPr>
        <xdr:cNvPr id="1599" name="Shape 1598">
          <a:extLst>
            <a:ext uri="{FF2B5EF4-FFF2-40B4-BE49-F238E27FC236}">
              <a16:creationId xmlns:a16="http://schemas.microsoft.com/office/drawing/2014/main" id="{00000000-0008-0000-0B00-00003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40</xdr:row>
      <xdr:rowOff>9525</xdr:rowOff>
    </xdr:from>
    <xdr:ext cx="323850" cy="180975"/>
    <xdr:sp macro="" textlink="">
      <xdr:nvSpPr>
        <xdr:cNvPr id="1600" name="Shape 1599">
          <a:extLst>
            <a:ext uri="{FF2B5EF4-FFF2-40B4-BE49-F238E27FC236}">
              <a16:creationId xmlns:a16="http://schemas.microsoft.com/office/drawing/2014/main" id="{00000000-0008-0000-0B00-00004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173</xdr:col>
      <xdr:colOff>0</xdr:colOff>
      <xdr:row>41</xdr:row>
      <xdr:rowOff>9525</xdr:rowOff>
    </xdr:from>
    <xdr:ext cx="323850" cy="180975"/>
    <xdr:sp macro="" textlink="">
      <xdr:nvSpPr>
        <xdr:cNvPr id="1601" name="Shape 1600">
          <a:extLst>
            <a:ext uri="{FF2B5EF4-FFF2-40B4-BE49-F238E27FC236}">
              <a16:creationId xmlns:a16="http://schemas.microsoft.com/office/drawing/2014/main" id="{00000000-0008-0000-0B00-00004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</xdr:row>
      <xdr:rowOff>9525</xdr:rowOff>
    </xdr:from>
    <xdr:ext cx="323850" cy="180975"/>
    <xdr:sp macro="" textlink="">
      <xdr:nvSpPr>
        <xdr:cNvPr id="1602" name="Shape 1601">
          <a:extLst>
            <a:ext uri="{FF2B5EF4-FFF2-40B4-BE49-F238E27FC236}">
              <a16:creationId xmlns:a16="http://schemas.microsoft.com/office/drawing/2014/main" id="{00000000-0008-0000-0B00-00004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</xdr:row>
      <xdr:rowOff>9525</xdr:rowOff>
    </xdr:from>
    <xdr:ext cx="323850" cy="180975"/>
    <xdr:sp macro="" textlink="">
      <xdr:nvSpPr>
        <xdr:cNvPr id="1603" name="Shape 1602">
          <a:extLst>
            <a:ext uri="{FF2B5EF4-FFF2-40B4-BE49-F238E27FC236}">
              <a16:creationId xmlns:a16="http://schemas.microsoft.com/office/drawing/2014/main" id="{00000000-0008-0000-0B00-00004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4</xdr:row>
      <xdr:rowOff>9525</xdr:rowOff>
    </xdr:from>
    <xdr:ext cx="323850" cy="180975"/>
    <xdr:sp macro="" textlink="">
      <xdr:nvSpPr>
        <xdr:cNvPr id="1604" name="Shape 1603">
          <a:extLst>
            <a:ext uri="{FF2B5EF4-FFF2-40B4-BE49-F238E27FC236}">
              <a16:creationId xmlns:a16="http://schemas.microsoft.com/office/drawing/2014/main" id="{00000000-0008-0000-0B00-00004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5</xdr:row>
      <xdr:rowOff>9525</xdr:rowOff>
    </xdr:from>
    <xdr:ext cx="323850" cy="180975"/>
    <xdr:sp macro="" textlink="">
      <xdr:nvSpPr>
        <xdr:cNvPr id="1605" name="Shape 1604">
          <a:extLst>
            <a:ext uri="{FF2B5EF4-FFF2-40B4-BE49-F238E27FC236}">
              <a16:creationId xmlns:a16="http://schemas.microsoft.com/office/drawing/2014/main" id="{00000000-0008-0000-0B00-00004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6</xdr:row>
      <xdr:rowOff>9525</xdr:rowOff>
    </xdr:from>
    <xdr:ext cx="323850" cy="180975"/>
    <xdr:sp macro="" textlink="">
      <xdr:nvSpPr>
        <xdr:cNvPr id="1606" name="Shape 1605">
          <a:extLst>
            <a:ext uri="{FF2B5EF4-FFF2-40B4-BE49-F238E27FC236}">
              <a16:creationId xmlns:a16="http://schemas.microsoft.com/office/drawing/2014/main" id="{00000000-0008-0000-0B00-00004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7</xdr:row>
      <xdr:rowOff>9525</xdr:rowOff>
    </xdr:from>
    <xdr:ext cx="323850" cy="180975"/>
    <xdr:sp macro="" textlink="">
      <xdr:nvSpPr>
        <xdr:cNvPr id="1607" name="Shape 1606">
          <a:extLst>
            <a:ext uri="{FF2B5EF4-FFF2-40B4-BE49-F238E27FC236}">
              <a16:creationId xmlns:a16="http://schemas.microsoft.com/office/drawing/2014/main" id="{00000000-0008-0000-0B00-00004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8</xdr:row>
      <xdr:rowOff>9525</xdr:rowOff>
    </xdr:from>
    <xdr:ext cx="323850" cy="180975"/>
    <xdr:sp macro="" textlink="">
      <xdr:nvSpPr>
        <xdr:cNvPr id="1608" name="Shape 1607">
          <a:extLst>
            <a:ext uri="{FF2B5EF4-FFF2-40B4-BE49-F238E27FC236}">
              <a16:creationId xmlns:a16="http://schemas.microsoft.com/office/drawing/2014/main" id="{00000000-0008-0000-0B00-00004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9</xdr:row>
      <xdr:rowOff>9525</xdr:rowOff>
    </xdr:from>
    <xdr:ext cx="323850" cy="180975"/>
    <xdr:sp macro="" textlink="">
      <xdr:nvSpPr>
        <xdr:cNvPr id="1609" name="Shape 1608">
          <a:extLst>
            <a:ext uri="{FF2B5EF4-FFF2-40B4-BE49-F238E27FC236}">
              <a16:creationId xmlns:a16="http://schemas.microsoft.com/office/drawing/2014/main" id="{00000000-0008-0000-0B00-00004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10</xdr:row>
      <xdr:rowOff>9525</xdr:rowOff>
    </xdr:from>
    <xdr:ext cx="323850" cy="180975"/>
    <xdr:sp macro="" textlink="">
      <xdr:nvSpPr>
        <xdr:cNvPr id="1610" name="Shape 1609">
          <a:extLst>
            <a:ext uri="{FF2B5EF4-FFF2-40B4-BE49-F238E27FC236}">
              <a16:creationId xmlns:a16="http://schemas.microsoft.com/office/drawing/2014/main" id="{00000000-0008-0000-0B00-00004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11</xdr:row>
      <xdr:rowOff>9525</xdr:rowOff>
    </xdr:from>
    <xdr:ext cx="323850" cy="180975"/>
    <xdr:sp macro="" textlink="">
      <xdr:nvSpPr>
        <xdr:cNvPr id="1611" name="Shape 1610">
          <a:extLst>
            <a:ext uri="{FF2B5EF4-FFF2-40B4-BE49-F238E27FC236}">
              <a16:creationId xmlns:a16="http://schemas.microsoft.com/office/drawing/2014/main" id="{00000000-0008-0000-0B00-00004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12</xdr:row>
      <xdr:rowOff>9525</xdr:rowOff>
    </xdr:from>
    <xdr:ext cx="323850" cy="180975"/>
    <xdr:sp macro="" textlink="">
      <xdr:nvSpPr>
        <xdr:cNvPr id="1612" name="Shape 1611">
          <a:extLst>
            <a:ext uri="{FF2B5EF4-FFF2-40B4-BE49-F238E27FC236}">
              <a16:creationId xmlns:a16="http://schemas.microsoft.com/office/drawing/2014/main" id="{00000000-0008-0000-0B00-00004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13</xdr:row>
      <xdr:rowOff>9525</xdr:rowOff>
    </xdr:from>
    <xdr:ext cx="323850" cy="180975"/>
    <xdr:sp macro="" textlink="">
      <xdr:nvSpPr>
        <xdr:cNvPr id="1613" name="Shape 1612">
          <a:extLst>
            <a:ext uri="{FF2B5EF4-FFF2-40B4-BE49-F238E27FC236}">
              <a16:creationId xmlns:a16="http://schemas.microsoft.com/office/drawing/2014/main" id="{00000000-0008-0000-0B00-00004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14</xdr:row>
      <xdr:rowOff>9525</xdr:rowOff>
    </xdr:from>
    <xdr:ext cx="323850" cy="180975"/>
    <xdr:sp macro="" textlink="">
      <xdr:nvSpPr>
        <xdr:cNvPr id="1614" name="Shape 1613">
          <a:extLst>
            <a:ext uri="{FF2B5EF4-FFF2-40B4-BE49-F238E27FC236}">
              <a16:creationId xmlns:a16="http://schemas.microsoft.com/office/drawing/2014/main" id="{00000000-0008-0000-0B00-00004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15</xdr:row>
      <xdr:rowOff>9525</xdr:rowOff>
    </xdr:from>
    <xdr:ext cx="323850" cy="180975"/>
    <xdr:sp macro="" textlink="">
      <xdr:nvSpPr>
        <xdr:cNvPr id="1615" name="Shape 1614">
          <a:extLst>
            <a:ext uri="{FF2B5EF4-FFF2-40B4-BE49-F238E27FC236}">
              <a16:creationId xmlns:a16="http://schemas.microsoft.com/office/drawing/2014/main" id="{00000000-0008-0000-0B00-00004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16</xdr:row>
      <xdr:rowOff>9525</xdr:rowOff>
    </xdr:from>
    <xdr:ext cx="323850" cy="180975"/>
    <xdr:sp macro="" textlink="">
      <xdr:nvSpPr>
        <xdr:cNvPr id="1616" name="Shape 1615">
          <a:extLst>
            <a:ext uri="{FF2B5EF4-FFF2-40B4-BE49-F238E27FC236}">
              <a16:creationId xmlns:a16="http://schemas.microsoft.com/office/drawing/2014/main" id="{00000000-0008-0000-0B00-00005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17</xdr:row>
      <xdr:rowOff>9525</xdr:rowOff>
    </xdr:from>
    <xdr:ext cx="323850" cy="180975"/>
    <xdr:sp macro="" textlink="">
      <xdr:nvSpPr>
        <xdr:cNvPr id="1617" name="Shape 1616">
          <a:extLst>
            <a:ext uri="{FF2B5EF4-FFF2-40B4-BE49-F238E27FC236}">
              <a16:creationId xmlns:a16="http://schemas.microsoft.com/office/drawing/2014/main" id="{00000000-0008-0000-0B00-00005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18</xdr:row>
      <xdr:rowOff>9525</xdr:rowOff>
    </xdr:from>
    <xdr:ext cx="323850" cy="180975"/>
    <xdr:sp macro="" textlink="">
      <xdr:nvSpPr>
        <xdr:cNvPr id="1618" name="Shape 1617">
          <a:extLst>
            <a:ext uri="{FF2B5EF4-FFF2-40B4-BE49-F238E27FC236}">
              <a16:creationId xmlns:a16="http://schemas.microsoft.com/office/drawing/2014/main" id="{00000000-0008-0000-0B00-00005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19</xdr:row>
      <xdr:rowOff>9525</xdr:rowOff>
    </xdr:from>
    <xdr:ext cx="323850" cy="180975"/>
    <xdr:sp macro="" textlink="">
      <xdr:nvSpPr>
        <xdr:cNvPr id="1619" name="Shape 1618">
          <a:extLst>
            <a:ext uri="{FF2B5EF4-FFF2-40B4-BE49-F238E27FC236}">
              <a16:creationId xmlns:a16="http://schemas.microsoft.com/office/drawing/2014/main" id="{00000000-0008-0000-0B00-00005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20</xdr:row>
      <xdr:rowOff>9525</xdr:rowOff>
    </xdr:from>
    <xdr:ext cx="323850" cy="180975"/>
    <xdr:sp macro="" textlink="">
      <xdr:nvSpPr>
        <xdr:cNvPr id="1620" name="Shape 1619">
          <a:extLst>
            <a:ext uri="{FF2B5EF4-FFF2-40B4-BE49-F238E27FC236}">
              <a16:creationId xmlns:a16="http://schemas.microsoft.com/office/drawing/2014/main" id="{00000000-0008-0000-0B00-00005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21</xdr:row>
      <xdr:rowOff>9525</xdr:rowOff>
    </xdr:from>
    <xdr:ext cx="323850" cy="180975"/>
    <xdr:sp macro="" textlink="">
      <xdr:nvSpPr>
        <xdr:cNvPr id="1621" name="Shape 1620">
          <a:extLst>
            <a:ext uri="{FF2B5EF4-FFF2-40B4-BE49-F238E27FC236}">
              <a16:creationId xmlns:a16="http://schemas.microsoft.com/office/drawing/2014/main" id="{00000000-0008-0000-0B00-00005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22</xdr:row>
      <xdr:rowOff>9525</xdr:rowOff>
    </xdr:from>
    <xdr:ext cx="323850" cy="180975"/>
    <xdr:sp macro="" textlink="">
      <xdr:nvSpPr>
        <xdr:cNvPr id="1622" name="Shape 1621">
          <a:extLst>
            <a:ext uri="{FF2B5EF4-FFF2-40B4-BE49-F238E27FC236}">
              <a16:creationId xmlns:a16="http://schemas.microsoft.com/office/drawing/2014/main" id="{00000000-0008-0000-0B00-00005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23</xdr:row>
      <xdr:rowOff>9525</xdr:rowOff>
    </xdr:from>
    <xdr:ext cx="323850" cy="180975"/>
    <xdr:sp macro="" textlink="">
      <xdr:nvSpPr>
        <xdr:cNvPr id="1623" name="Shape 1622">
          <a:extLst>
            <a:ext uri="{FF2B5EF4-FFF2-40B4-BE49-F238E27FC236}">
              <a16:creationId xmlns:a16="http://schemas.microsoft.com/office/drawing/2014/main" id="{00000000-0008-0000-0B00-00005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24</xdr:row>
      <xdr:rowOff>9525</xdr:rowOff>
    </xdr:from>
    <xdr:ext cx="323850" cy="180975"/>
    <xdr:sp macro="" textlink="">
      <xdr:nvSpPr>
        <xdr:cNvPr id="1624" name="Shape 1623">
          <a:extLst>
            <a:ext uri="{FF2B5EF4-FFF2-40B4-BE49-F238E27FC236}">
              <a16:creationId xmlns:a16="http://schemas.microsoft.com/office/drawing/2014/main" id="{00000000-0008-0000-0B00-00005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25</xdr:row>
      <xdr:rowOff>9525</xdr:rowOff>
    </xdr:from>
    <xdr:ext cx="323850" cy="180975"/>
    <xdr:sp macro="" textlink="">
      <xdr:nvSpPr>
        <xdr:cNvPr id="1625" name="Shape 1624">
          <a:extLst>
            <a:ext uri="{FF2B5EF4-FFF2-40B4-BE49-F238E27FC236}">
              <a16:creationId xmlns:a16="http://schemas.microsoft.com/office/drawing/2014/main" id="{00000000-0008-0000-0B00-00005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26</xdr:row>
      <xdr:rowOff>9525</xdr:rowOff>
    </xdr:from>
    <xdr:ext cx="323850" cy="180975"/>
    <xdr:sp macro="" textlink="">
      <xdr:nvSpPr>
        <xdr:cNvPr id="1626" name="Shape 1625">
          <a:extLst>
            <a:ext uri="{FF2B5EF4-FFF2-40B4-BE49-F238E27FC236}">
              <a16:creationId xmlns:a16="http://schemas.microsoft.com/office/drawing/2014/main" id="{00000000-0008-0000-0B00-00005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27</xdr:row>
      <xdr:rowOff>9525</xdr:rowOff>
    </xdr:from>
    <xdr:ext cx="323850" cy="180975"/>
    <xdr:sp macro="" textlink="">
      <xdr:nvSpPr>
        <xdr:cNvPr id="1627" name="Shape 1626">
          <a:extLst>
            <a:ext uri="{FF2B5EF4-FFF2-40B4-BE49-F238E27FC236}">
              <a16:creationId xmlns:a16="http://schemas.microsoft.com/office/drawing/2014/main" id="{00000000-0008-0000-0B00-00005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28</xdr:row>
      <xdr:rowOff>9525</xdr:rowOff>
    </xdr:from>
    <xdr:ext cx="323850" cy="180975"/>
    <xdr:sp macro="" textlink="">
      <xdr:nvSpPr>
        <xdr:cNvPr id="1628" name="Shape 1627">
          <a:extLst>
            <a:ext uri="{FF2B5EF4-FFF2-40B4-BE49-F238E27FC236}">
              <a16:creationId xmlns:a16="http://schemas.microsoft.com/office/drawing/2014/main" id="{00000000-0008-0000-0B00-00005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29</xdr:row>
      <xdr:rowOff>9525</xdr:rowOff>
    </xdr:from>
    <xdr:ext cx="323850" cy="180975"/>
    <xdr:sp macro="" textlink="">
      <xdr:nvSpPr>
        <xdr:cNvPr id="1629" name="Shape 1628">
          <a:extLst>
            <a:ext uri="{FF2B5EF4-FFF2-40B4-BE49-F238E27FC236}">
              <a16:creationId xmlns:a16="http://schemas.microsoft.com/office/drawing/2014/main" id="{00000000-0008-0000-0B00-00005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30</xdr:row>
      <xdr:rowOff>9525</xdr:rowOff>
    </xdr:from>
    <xdr:ext cx="323850" cy="180975"/>
    <xdr:sp macro="" textlink="">
      <xdr:nvSpPr>
        <xdr:cNvPr id="1630" name="Shape 1629">
          <a:extLst>
            <a:ext uri="{FF2B5EF4-FFF2-40B4-BE49-F238E27FC236}">
              <a16:creationId xmlns:a16="http://schemas.microsoft.com/office/drawing/2014/main" id="{00000000-0008-0000-0B00-00005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31</xdr:row>
      <xdr:rowOff>9525</xdr:rowOff>
    </xdr:from>
    <xdr:ext cx="323850" cy="180975"/>
    <xdr:sp macro="" textlink="">
      <xdr:nvSpPr>
        <xdr:cNvPr id="1631" name="Shape 1630">
          <a:extLst>
            <a:ext uri="{FF2B5EF4-FFF2-40B4-BE49-F238E27FC236}">
              <a16:creationId xmlns:a16="http://schemas.microsoft.com/office/drawing/2014/main" id="{00000000-0008-0000-0B00-00005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32</xdr:row>
      <xdr:rowOff>9525</xdr:rowOff>
    </xdr:from>
    <xdr:ext cx="323850" cy="180975"/>
    <xdr:sp macro="" textlink="">
      <xdr:nvSpPr>
        <xdr:cNvPr id="1632" name="Shape 1631">
          <a:extLst>
            <a:ext uri="{FF2B5EF4-FFF2-40B4-BE49-F238E27FC236}">
              <a16:creationId xmlns:a16="http://schemas.microsoft.com/office/drawing/2014/main" id="{00000000-0008-0000-0B00-00006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33</xdr:row>
      <xdr:rowOff>9525</xdr:rowOff>
    </xdr:from>
    <xdr:ext cx="323850" cy="180975"/>
    <xdr:sp macro="" textlink="">
      <xdr:nvSpPr>
        <xdr:cNvPr id="1633" name="Shape 1632">
          <a:extLst>
            <a:ext uri="{FF2B5EF4-FFF2-40B4-BE49-F238E27FC236}">
              <a16:creationId xmlns:a16="http://schemas.microsoft.com/office/drawing/2014/main" id="{00000000-0008-0000-0B00-00006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34</xdr:row>
      <xdr:rowOff>9525</xdr:rowOff>
    </xdr:from>
    <xdr:ext cx="323850" cy="180975"/>
    <xdr:sp macro="" textlink="">
      <xdr:nvSpPr>
        <xdr:cNvPr id="1634" name="Shape 1633">
          <a:extLst>
            <a:ext uri="{FF2B5EF4-FFF2-40B4-BE49-F238E27FC236}">
              <a16:creationId xmlns:a16="http://schemas.microsoft.com/office/drawing/2014/main" id="{00000000-0008-0000-0B00-00006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35</xdr:row>
      <xdr:rowOff>9525</xdr:rowOff>
    </xdr:from>
    <xdr:ext cx="323850" cy="180975"/>
    <xdr:sp macro="" textlink="">
      <xdr:nvSpPr>
        <xdr:cNvPr id="1635" name="Shape 1634">
          <a:extLst>
            <a:ext uri="{FF2B5EF4-FFF2-40B4-BE49-F238E27FC236}">
              <a16:creationId xmlns:a16="http://schemas.microsoft.com/office/drawing/2014/main" id="{00000000-0008-0000-0B00-00006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36</xdr:row>
      <xdr:rowOff>9525</xdr:rowOff>
    </xdr:from>
    <xdr:ext cx="323850" cy="180975"/>
    <xdr:sp macro="" textlink="">
      <xdr:nvSpPr>
        <xdr:cNvPr id="1636" name="Shape 1635">
          <a:extLst>
            <a:ext uri="{FF2B5EF4-FFF2-40B4-BE49-F238E27FC236}">
              <a16:creationId xmlns:a16="http://schemas.microsoft.com/office/drawing/2014/main" id="{00000000-0008-0000-0B00-00006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37</xdr:row>
      <xdr:rowOff>9525</xdr:rowOff>
    </xdr:from>
    <xdr:ext cx="323850" cy="180975"/>
    <xdr:sp macro="" textlink="">
      <xdr:nvSpPr>
        <xdr:cNvPr id="1637" name="Shape 1636">
          <a:extLst>
            <a:ext uri="{FF2B5EF4-FFF2-40B4-BE49-F238E27FC236}">
              <a16:creationId xmlns:a16="http://schemas.microsoft.com/office/drawing/2014/main" id="{00000000-0008-0000-0B00-00006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38</xdr:row>
      <xdr:rowOff>9525</xdr:rowOff>
    </xdr:from>
    <xdr:ext cx="323850" cy="180975"/>
    <xdr:sp macro="" textlink="">
      <xdr:nvSpPr>
        <xdr:cNvPr id="1638" name="Shape 1637">
          <a:extLst>
            <a:ext uri="{FF2B5EF4-FFF2-40B4-BE49-F238E27FC236}">
              <a16:creationId xmlns:a16="http://schemas.microsoft.com/office/drawing/2014/main" id="{00000000-0008-0000-0B00-00006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39</xdr:row>
      <xdr:rowOff>9525</xdr:rowOff>
    </xdr:from>
    <xdr:ext cx="323850" cy="180975"/>
    <xdr:sp macro="" textlink="">
      <xdr:nvSpPr>
        <xdr:cNvPr id="1639" name="Shape 1638">
          <a:extLst>
            <a:ext uri="{FF2B5EF4-FFF2-40B4-BE49-F238E27FC236}">
              <a16:creationId xmlns:a16="http://schemas.microsoft.com/office/drawing/2014/main" id="{00000000-0008-0000-0B00-00006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179</xdr:col>
      <xdr:colOff>0</xdr:colOff>
      <xdr:row>40</xdr:row>
      <xdr:rowOff>9525</xdr:rowOff>
    </xdr:from>
    <xdr:ext cx="323850" cy="180975"/>
    <xdr:sp macro="" textlink="">
      <xdr:nvSpPr>
        <xdr:cNvPr id="1640" name="Shape 1639">
          <a:extLst>
            <a:ext uri="{FF2B5EF4-FFF2-40B4-BE49-F238E27FC236}">
              <a16:creationId xmlns:a16="http://schemas.microsoft.com/office/drawing/2014/main" id="{00000000-0008-0000-0B00-00006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180</xdr:col>
      <xdr:colOff>0</xdr:colOff>
      <xdr:row>41</xdr:row>
      <xdr:rowOff>9525</xdr:rowOff>
    </xdr:from>
    <xdr:ext cx="323850" cy="180975"/>
    <xdr:sp macro="" textlink="">
      <xdr:nvSpPr>
        <xdr:cNvPr id="1641" name="Shape 1640">
          <a:extLst>
            <a:ext uri="{FF2B5EF4-FFF2-40B4-BE49-F238E27FC236}">
              <a16:creationId xmlns:a16="http://schemas.microsoft.com/office/drawing/2014/main" id="{00000000-0008-0000-0B00-00006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</xdr:row>
      <xdr:rowOff>9525</xdr:rowOff>
    </xdr:from>
    <xdr:ext cx="323850" cy="180975"/>
    <xdr:sp macro="" textlink="">
      <xdr:nvSpPr>
        <xdr:cNvPr id="1642" name="Shape 1641">
          <a:extLst>
            <a:ext uri="{FF2B5EF4-FFF2-40B4-BE49-F238E27FC236}">
              <a16:creationId xmlns:a16="http://schemas.microsoft.com/office/drawing/2014/main" id="{00000000-0008-0000-0B00-00006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</xdr:row>
      <xdr:rowOff>9525</xdr:rowOff>
    </xdr:from>
    <xdr:ext cx="323850" cy="180975"/>
    <xdr:sp macro="" textlink="">
      <xdr:nvSpPr>
        <xdr:cNvPr id="1643" name="Shape 1642">
          <a:extLst>
            <a:ext uri="{FF2B5EF4-FFF2-40B4-BE49-F238E27FC236}">
              <a16:creationId xmlns:a16="http://schemas.microsoft.com/office/drawing/2014/main" id="{00000000-0008-0000-0B00-00006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4</xdr:row>
      <xdr:rowOff>9525</xdr:rowOff>
    </xdr:from>
    <xdr:ext cx="323850" cy="180975"/>
    <xdr:sp macro="" textlink="">
      <xdr:nvSpPr>
        <xdr:cNvPr id="1644" name="Shape 1643">
          <a:extLst>
            <a:ext uri="{FF2B5EF4-FFF2-40B4-BE49-F238E27FC236}">
              <a16:creationId xmlns:a16="http://schemas.microsoft.com/office/drawing/2014/main" id="{00000000-0008-0000-0B00-00006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5</xdr:row>
      <xdr:rowOff>9525</xdr:rowOff>
    </xdr:from>
    <xdr:ext cx="323850" cy="180975"/>
    <xdr:sp macro="" textlink="">
      <xdr:nvSpPr>
        <xdr:cNvPr id="1645" name="Shape 1644">
          <a:extLst>
            <a:ext uri="{FF2B5EF4-FFF2-40B4-BE49-F238E27FC236}">
              <a16:creationId xmlns:a16="http://schemas.microsoft.com/office/drawing/2014/main" id="{00000000-0008-0000-0B00-00006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6</xdr:row>
      <xdr:rowOff>9525</xdr:rowOff>
    </xdr:from>
    <xdr:ext cx="323850" cy="180975"/>
    <xdr:sp macro="" textlink="">
      <xdr:nvSpPr>
        <xdr:cNvPr id="1646" name="Shape 1645">
          <a:extLst>
            <a:ext uri="{FF2B5EF4-FFF2-40B4-BE49-F238E27FC236}">
              <a16:creationId xmlns:a16="http://schemas.microsoft.com/office/drawing/2014/main" id="{00000000-0008-0000-0B00-00006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7</xdr:row>
      <xdr:rowOff>9525</xdr:rowOff>
    </xdr:from>
    <xdr:ext cx="323850" cy="180975"/>
    <xdr:sp macro="" textlink="">
      <xdr:nvSpPr>
        <xdr:cNvPr id="1647" name="Shape 1646">
          <a:extLst>
            <a:ext uri="{FF2B5EF4-FFF2-40B4-BE49-F238E27FC236}">
              <a16:creationId xmlns:a16="http://schemas.microsoft.com/office/drawing/2014/main" id="{00000000-0008-0000-0B00-00006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8</xdr:row>
      <xdr:rowOff>9525</xdr:rowOff>
    </xdr:from>
    <xdr:ext cx="323850" cy="180975"/>
    <xdr:sp macro="" textlink="">
      <xdr:nvSpPr>
        <xdr:cNvPr id="1648" name="Shape 1647">
          <a:extLst>
            <a:ext uri="{FF2B5EF4-FFF2-40B4-BE49-F238E27FC236}">
              <a16:creationId xmlns:a16="http://schemas.microsoft.com/office/drawing/2014/main" id="{00000000-0008-0000-0B00-00007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9</xdr:row>
      <xdr:rowOff>9525</xdr:rowOff>
    </xdr:from>
    <xdr:ext cx="323850" cy="180975"/>
    <xdr:sp macro="" textlink="">
      <xdr:nvSpPr>
        <xdr:cNvPr id="1649" name="Shape 1648">
          <a:extLst>
            <a:ext uri="{FF2B5EF4-FFF2-40B4-BE49-F238E27FC236}">
              <a16:creationId xmlns:a16="http://schemas.microsoft.com/office/drawing/2014/main" id="{00000000-0008-0000-0B00-00007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10</xdr:row>
      <xdr:rowOff>9525</xdr:rowOff>
    </xdr:from>
    <xdr:ext cx="323850" cy="180975"/>
    <xdr:sp macro="" textlink="">
      <xdr:nvSpPr>
        <xdr:cNvPr id="1650" name="Shape 1649">
          <a:extLst>
            <a:ext uri="{FF2B5EF4-FFF2-40B4-BE49-F238E27FC236}">
              <a16:creationId xmlns:a16="http://schemas.microsoft.com/office/drawing/2014/main" id="{00000000-0008-0000-0B00-00007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11</xdr:row>
      <xdr:rowOff>9525</xdr:rowOff>
    </xdr:from>
    <xdr:ext cx="323850" cy="180975"/>
    <xdr:sp macro="" textlink="">
      <xdr:nvSpPr>
        <xdr:cNvPr id="1651" name="Shape 1650">
          <a:extLst>
            <a:ext uri="{FF2B5EF4-FFF2-40B4-BE49-F238E27FC236}">
              <a16:creationId xmlns:a16="http://schemas.microsoft.com/office/drawing/2014/main" id="{00000000-0008-0000-0B00-00007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12</xdr:row>
      <xdr:rowOff>9525</xdr:rowOff>
    </xdr:from>
    <xdr:ext cx="323850" cy="180975"/>
    <xdr:sp macro="" textlink="">
      <xdr:nvSpPr>
        <xdr:cNvPr id="1652" name="Shape 1651">
          <a:extLst>
            <a:ext uri="{FF2B5EF4-FFF2-40B4-BE49-F238E27FC236}">
              <a16:creationId xmlns:a16="http://schemas.microsoft.com/office/drawing/2014/main" id="{00000000-0008-0000-0B00-00007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13</xdr:row>
      <xdr:rowOff>9525</xdr:rowOff>
    </xdr:from>
    <xdr:ext cx="323850" cy="180975"/>
    <xdr:sp macro="" textlink="">
      <xdr:nvSpPr>
        <xdr:cNvPr id="1653" name="Shape 1652">
          <a:extLst>
            <a:ext uri="{FF2B5EF4-FFF2-40B4-BE49-F238E27FC236}">
              <a16:creationId xmlns:a16="http://schemas.microsoft.com/office/drawing/2014/main" id="{00000000-0008-0000-0B00-00007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14</xdr:row>
      <xdr:rowOff>9525</xdr:rowOff>
    </xdr:from>
    <xdr:ext cx="323850" cy="180975"/>
    <xdr:sp macro="" textlink="">
      <xdr:nvSpPr>
        <xdr:cNvPr id="1654" name="Shape 1653">
          <a:extLst>
            <a:ext uri="{FF2B5EF4-FFF2-40B4-BE49-F238E27FC236}">
              <a16:creationId xmlns:a16="http://schemas.microsoft.com/office/drawing/2014/main" id="{00000000-0008-0000-0B00-00007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15</xdr:row>
      <xdr:rowOff>9525</xdr:rowOff>
    </xdr:from>
    <xdr:ext cx="323850" cy="180975"/>
    <xdr:sp macro="" textlink="">
      <xdr:nvSpPr>
        <xdr:cNvPr id="1655" name="Shape 1654">
          <a:extLst>
            <a:ext uri="{FF2B5EF4-FFF2-40B4-BE49-F238E27FC236}">
              <a16:creationId xmlns:a16="http://schemas.microsoft.com/office/drawing/2014/main" id="{00000000-0008-0000-0B00-00007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16</xdr:row>
      <xdr:rowOff>9525</xdr:rowOff>
    </xdr:from>
    <xdr:ext cx="323850" cy="180975"/>
    <xdr:sp macro="" textlink="">
      <xdr:nvSpPr>
        <xdr:cNvPr id="1656" name="Shape 1655">
          <a:extLst>
            <a:ext uri="{FF2B5EF4-FFF2-40B4-BE49-F238E27FC236}">
              <a16:creationId xmlns:a16="http://schemas.microsoft.com/office/drawing/2014/main" id="{00000000-0008-0000-0B00-00007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17</xdr:row>
      <xdr:rowOff>9525</xdr:rowOff>
    </xdr:from>
    <xdr:ext cx="323850" cy="180975"/>
    <xdr:sp macro="" textlink="">
      <xdr:nvSpPr>
        <xdr:cNvPr id="1657" name="Shape 1656">
          <a:extLst>
            <a:ext uri="{FF2B5EF4-FFF2-40B4-BE49-F238E27FC236}">
              <a16:creationId xmlns:a16="http://schemas.microsoft.com/office/drawing/2014/main" id="{00000000-0008-0000-0B00-00007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18</xdr:row>
      <xdr:rowOff>9525</xdr:rowOff>
    </xdr:from>
    <xdr:ext cx="323850" cy="180975"/>
    <xdr:sp macro="" textlink="">
      <xdr:nvSpPr>
        <xdr:cNvPr id="1658" name="Shape 1657">
          <a:extLst>
            <a:ext uri="{FF2B5EF4-FFF2-40B4-BE49-F238E27FC236}">
              <a16:creationId xmlns:a16="http://schemas.microsoft.com/office/drawing/2014/main" id="{00000000-0008-0000-0B00-00007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19</xdr:row>
      <xdr:rowOff>9525</xdr:rowOff>
    </xdr:from>
    <xdr:ext cx="323850" cy="180975"/>
    <xdr:sp macro="" textlink="">
      <xdr:nvSpPr>
        <xdr:cNvPr id="1659" name="Shape 1658">
          <a:extLst>
            <a:ext uri="{FF2B5EF4-FFF2-40B4-BE49-F238E27FC236}">
              <a16:creationId xmlns:a16="http://schemas.microsoft.com/office/drawing/2014/main" id="{00000000-0008-0000-0B00-00007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20</xdr:row>
      <xdr:rowOff>9525</xdr:rowOff>
    </xdr:from>
    <xdr:ext cx="323850" cy="180975"/>
    <xdr:sp macro="" textlink="">
      <xdr:nvSpPr>
        <xdr:cNvPr id="1660" name="Shape 1659">
          <a:extLst>
            <a:ext uri="{FF2B5EF4-FFF2-40B4-BE49-F238E27FC236}">
              <a16:creationId xmlns:a16="http://schemas.microsoft.com/office/drawing/2014/main" id="{00000000-0008-0000-0B00-00007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21</xdr:row>
      <xdr:rowOff>9525</xdr:rowOff>
    </xdr:from>
    <xdr:ext cx="323850" cy="180975"/>
    <xdr:sp macro="" textlink="">
      <xdr:nvSpPr>
        <xdr:cNvPr id="1661" name="Shape 1660">
          <a:extLst>
            <a:ext uri="{FF2B5EF4-FFF2-40B4-BE49-F238E27FC236}">
              <a16:creationId xmlns:a16="http://schemas.microsoft.com/office/drawing/2014/main" id="{00000000-0008-0000-0B00-00007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22</xdr:row>
      <xdr:rowOff>9525</xdr:rowOff>
    </xdr:from>
    <xdr:ext cx="323850" cy="180975"/>
    <xdr:sp macro="" textlink="">
      <xdr:nvSpPr>
        <xdr:cNvPr id="1662" name="Shape 1661">
          <a:extLst>
            <a:ext uri="{FF2B5EF4-FFF2-40B4-BE49-F238E27FC236}">
              <a16:creationId xmlns:a16="http://schemas.microsoft.com/office/drawing/2014/main" id="{00000000-0008-0000-0B00-00007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23</xdr:row>
      <xdr:rowOff>9525</xdr:rowOff>
    </xdr:from>
    <xdr:ext cx="323850" cy="180975"/>
    <xdr:sp macro="" textlink="">
      <xdr:nvSpPr>
        <xdr:cNvPr id="1663" name="Shape 1662">
          <a:extLst>
            <a:ext uri="{FF2B5EF4-FFF2-40B4-BE49-F238E27FC236}">
              <a16:creationId xmlns:a16="http://schemas.microsoft.com/office/drawing/2014/main" id="{00000000-0008-0000-0B00-00007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24</xdr:row>
      <xdr:rowOff>9525</xdr:rowOff>
    </xdr:from>
    <xdr:ext cx="323850" cy="180975"/>
    <xdr:sp macro="" textlink="">
      <xdr:nvSpPr>
        <xdr:cNvPr id="1664" name="Shape 1663">
          <a:extLst>
            <a:ext uri="{FF2B5EF4-FFF2-40B4-BE49-F238E27FC236}">
              <a16:creationId xmlns:a16="http://schemas.microsoft.com/office/drawing/2014/main" id="{00000000-0008-0000-0B00-00008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25</xdr:row>
      <xdr:rowOff>9525</xdr:rowOff>
    </xdr:from>
    <xdr:ext cx="323850" cy="180975"/>
    <xdr:sp macro="" textlink="">
      <xdr:nvSpPr>
        <xdr:cNvPr id="1665" name="Shape 1664">
          <a:extLst>
            <a:ext uri="{FF2B5EF4-FFF2-40B4-BE49-F238E27FC236}">
              <a16:creationId xmlns:a16="http://schemas.microsoft.com/office/drawing/2014/main" id="{00000000-0008-0000-0B00-00008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26</xdr:row>
      <xdr:rowOff>9525</xdr:rowOff>
    </xdr:from>
    <xdr:ext cx="323850" cy="180975"/>
    <xdr:sp macro="" textlink="">
      <xdr:nvSpPr>
        <xdr:cNvPr id="1666" name="Shape 1665">
          <a:extLst>
            <a:ext uri="{FF2B5EF4-FFF2-40B4-BE49-F238E27FC236}">
              <a16:creationId xmlns:a16="http://schemas.microsoft.com/office/drawing/2014/main" id="{00000000-0008-0000-0B00-00008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27</xdr:row>
      <xdr:rowOff>9525</xdr:rowOff>
    </xdr:from>
    <xdr:ext cx="323850" cy="180975"/>
    <xdr:sp macro="" textlink="">
      <xdr:nvSpPr>
        <xdr:cNvPr id="1667" name="Shape 1666">
          <a:extLst>
            <a:ext uri="{FF2B5EF4-FFF2-40B4-BE49-F238E27FC236}">
              <a16:creationId xmlns:a16="http://schemas.microsoft.com/office/drawing/2014/main" id="{00000000-0008-0000-0B00-00008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28</xdr:row>
      <xdr:rowOff>9525</xdr:rowOff>
    </xdr:from>
    <xdr:ext cx="323850" cy="180975"/>
    <xdr:sp macro="" textlink="">
      <xdr:nvSpPr>
        <xdr:cNvPr id="1668" name="Shape 1667">
          <a:extLst>
            <a:ext uri="{FF2B5EF4-FFF2-40B4-BE49-F238E27FC236}">
              <a16:creationId xmlns:a16="http://schemas.microsoft.com/office/drawing/2014/main" id="{00000000-0008-0000-0B00-00008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29</xdr:row>
      <xdr:rowOff>9525</xdr:rowOff>
    </xdr:from>
    <xdr:ext cx="323850" cy="180975"/>
    <xdr:sp macro="" textlink="">
      <xdr:nvSpPr>
        <xdr:cNvPr id="1669" name="Shape 1668">
          <a:extLst>
            <a:ext uri="{FF2B5EF4-FFF2-40B4-BE49-F238E27FC236}">
              <a16:creationId xmlns:a16="http://schemas.microsoft.com/office/drawing/2014/main" id="{00000000-0008-0000-0B00-00008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30</xdr:row>
      <xdr:rowOff>9525</xdr:rowOff>
    </xdr:from>
    <xdr:ext cx="323850" cy="180975"/>
    <xdr:sp macro="" textlink="">
      <xdr:nvSpPr>
        <xdr:cNvPr id="1670" name="Shape 1669">
          <a:extLst>
            <a:ext uri="{FF2B5EF4-FFF2-40B4-BE49-F238E27FC236}">
              <a16:creationId xmlns:a16="http://schemas.microsoft.com/office/drawing/2014/main" id="{00000000-0008-0000-0B00-00008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31</xdr:row>
      <xdr:rowOff>9525</xdr:rowOff>
    </xdr:from>
    <xdr:ext cx="323850" cy="180975"/>
    <xdr:sp macro="" textlink="">
      <xdr:nvSpPr>
        <xdr:cNvPr id="1671" name="Shape 1670">
          <a:extLst>
            <a:ext uri="{FF2B5EF4-FFF2-40B4-BE49-F238E27FC236}">
              <a16:creationId xmlns:a16="http://schemas.microsoft.com/office/drawing/2014/main" id="{00000000-0008-0000-0B00-00008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32</xdr:row>
      <xdr:rowOff>9525</xdr:rowOff>
    </xdr:from>
    <xdr:ext cx="323850" cy="180975"/>
    <xdr:sp macro="" textlink="">
      <xdr:nvSpPr>
        <xdr:cNvPr id="1672" name="Shape 1671">
          <a:extLst>
            <a:ext uri="{FF2B5EF4-FFF2-40B4-BE49-F238E27FC236}">
              <a16:creationId xmlns:a16="http://schemas.microsoft.com/office/drawing/2014/main" id="{00000000-0008-0000-0B00-00008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33</xdr:row>
      <xdr:rowOff>9525</xdr:rowOff>
    </xdr:from>
    <xdr:ext cx="323850" cy="180975"/>
    <xdr:sp macro="" textlink="">
      <xdr:nvSpPr>
        <xdr:cNvPr id="1673" name="Shape 1672">
          <a:extLst>
            <a:ext uri="{FF2B5EF4-FFF2-40B4-BE49-F238E27FC236}">
              <a16:creationId xmlns:a16="http://schemas.microsoft.com/office/drawing/2014/main" id="{00000000-0008-0000-0B00-00008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34</xdr:row>
      <xdr:rowOff>9525</xdr:rowOff>
    </xdr:from>
    <xdr:ext cx="323850" cy="180975"/>
    <xdr:sp macro="" textlink="">
      <xdr:nvSpPr>
        <xdr:cNvPr id="1674" name="Shape 1673">
          <a:extLst>
            <a:ext uri="{FF2B5EF4-FFF2-40B4-BE49-F238E27FC236}">
              <a16:creationId xmlns:a16="http://schemas.microsoft.com/office/drawing/2014/main" id="{00000000-0008-0000-0B00-00008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35</xdr:row>
      <xdr:rowOff>9525</xdr:rowOff>
    </xdr:from>
    <xdr:ext cx="323850" cy="180975"/>
    <xdr:sp macro="" textlink="">
      <xdr:nvSpPr>
        <xdr:cNvPr id="1675" name="Shape 1674">
          <a:extLst>
            <a:ext uri="{FF2B5EF4-FFF2-40B4-BE49-F238E27FC236}">
              <a16:creationId xmlns:a16="http://schemas.microsoft.com/office/drawing/2014/main" id="{00000000-0008-0000-0B00-00008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36</xdr:row>
      <xdr:rowOff>9525</xdr:rowOff>
    </xdr:from>
    <xdr:ext cx="323850" cy="180975"/>
    <xdr:sp macro="" textlink="">
      <xdr:nvSpPr>
        <xdr:cNvPr id="1676" name="Shape 1675">
          <a:extLst>
            <a:ext uri="{FF2B5EF4-FFF2-40B4-BE49-F238E27FC236}">
              <a16:creationId xmlns:a16="http://schemas.microsoft.com/office/drawing/2014/main" id="{00000000-0008-0000-0B00-00008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37</xdr:row>
      <xdr:rowOff>9525</xdr:rowOff>
    </xdr:from>
    <xdr:ext cx="323850" cy="180975"/>
    <xdr:sp macro="" textlink="">
      <xdr:nvSpPr>
        <xdr:cNvPr id="1677" name="Shape 1676">
          <a:extLst>
            <a:ext uri="{FF2B5EF4-FFF2-40B4-BE49-F238E27FC236}">
              <a16:creationId xmlns:a16="http://schemas.microsoft.com/office/drawing/2014/main" id="{00000000-0008-0000-0B00-00008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38</xdr:row>
      <xdr:rowOff>9525</xdr:rowOff>
    </xdr:from>
    <xdr:ext cx="323850" cy="180975"/>
    <xdr:sp macro="" textlink="">
      <xdr:nvSpPr>
        <xdr:cNvPr id="1678" name="Shape 1677">
          <a:extLst>
            <a:ext uri="{FF2B5EF4-FFF2-40B4-BE49-F238E27FC236}">
              <a16:creationId xmlns:a16="http://schemas.microsoft.com/office/drawing/2014/main" id="{00000000-0008-0000-0B00-00008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39</xdr:row>
      <xdr:rowOff>9525</xdr:rowOff>
    </xdr:from>
    <xdr:ext cx="323850" cy="180975"/>
    <xdr:sp macro="" textlink="">
      <xdr:nvSpPr>
        <xdr:cNvPr id="1679" name="Shape 1678">
          <a:extLst>
            <a:ext uri="{FF2B5EF4-FFF2-40B4-BE49-F238E27FC236}">
              <a16:creationId xmlns:a16="http://schemas.microsoft.com/office/drawing/2014/main" id="{00000000-0008-0000-0B00-00008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184</xdr:col>
      <xdr:colOff>0</xdr:colOff>
      <xdr:row>40</xdr:row>
      <xdr:rowOff>9525</xdr:rowOff>
    </xdr:from>
    <xdr:ext cx="323850" cy="180975"/>
    <xdr:sp macro="" textlink="">
      <xdr:nvSpPr>
        <xdr:cNvPr id="1680" name="Shape 1679">
          <a:extLst>
            <a:ext uri="{FF2B5EF4-FFF2-40B4-BE49-F238E27FC236}">
              <a16:creationId xmlns:a16="http://schemas.microsoft.com/office/drawing/2014/main" id="{00000000-0008-0000-0B00-00009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183</xdr:col>
      <xdr:colOff>0</xdr:colOff>
      <xdr:row>41</xdr:row>
      <xdr:rowOff>9525</xdr:rowOff>
    </xdr:from>
    <xdr:ext cx="323850" cy="180975"/>
    <xdr:sp macro="" textlink="">
      <xdr:nvSpPr>
        <xdr:cNvPr id="1681" name="Shape 1680">
          <a:extLst>
            <a:ext uri="{FF2B5EF4-FFF2-40B4-BE49-F238E27FC236}">
              <a16:creationId xmlns:a16="http://schemas.microsoft.com/office/drawing/2014/main" id="{00000000-0008-0000-0B00-00009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</xdr:row>
      <xdr:rowOff>9525</xdr:rowOff>
    </xdr:from>
    <xdr:ext cx="323850" cy="180975"/>
    <xdr:sp macro="" textlink="">
      <xdr:nvSpPr>
        <xdr:cNvPr id="1682" name="Shape 1681">
          <a:extLst>
            <a:ext uri="{FF2B5EF4-FFF2-40B4-BE49-F238E27FC236}">
              <a16:creationId xmlns:a16="http://schemas.microsoft.com/office/drawing/2014/main" id="{00000000-0008-0000-0B00-00009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</xdr:row>
      <xdr:rowOff>9525</xdr:rowOff>
    </xdr:from>
    <xdr:ext cx="323850" cy="180975"/>
    <xdr:sp macro="" textlink="">
      <xdr:nvSpPr>
        <xdr:cNvPr id="1683" name="Shape 1682">
          <a:extLst>
            <a:ext uri="{FF2B5EF4-FFF2-40B4-BE49-F238E27FC236}">
              <a16:creationId xmlns:a16="http://schemas.microsoft.com/office/drawing/2014/main" id="{00000000-0008-0000-0B00-00009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4</xdr:row>
      <xdr:rowOff>9525</xdr:rowOff>
    </xdr:from>
    <xdr:ext cx="323850" cy="180975"/>
    <xdr:sp macro="" textlink="">
      <xdr:nvSpPr>
        <xdr:cNvPr id="1684" name="Shape 1683">
          <a:extLst>
            <a:ext uri="{FF2B5EF4-FFF2-40B4-BE49-F238E27FC236}">
              <a16:creationId xmlns:a16="http://schemas.microsoft.com/office/drawing/2014/main" id="{00000000-0008-0000-0B00-00009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5</xdr:row>
      <xdr:rowOff>9525</xdr:rowOff>
    </xdr:from>
    <xdr:ext cx="323850" cy="180975"/>
    <xdr:sp macro="" textlink="">
      <xdr:nvSpPr>
        <xdr:cNvPr id="1685" name="Shape 1684">
          <a:extLst>
            <a:ext uri="{FF2B5EF4-FFF2-40B4-BE49-F238E27FC236}">
              <a16:creationId xmlns:a16="http://schemas.microsoft.com/office/drawing/2014/main" id="{00000000-0008-0000-0B00-00009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6</xdr:row>
      <xdr:rowOff>9525</xdr:rowOff>
    </xdr:from>
    <xdr:ext cx="323850" cy="180975"/>
    <xdr:sp macro="" textlink="">
      <xdr:nvSpPr>
        <xdr:cNvPr id="1686" name="Shape 1685">
          <a:extLst>
            <a:ext uri="{FF2B5EF4-FFF2-40B4-BE49-F238E27FC236}">
              <a16:creationId xmlns:a16="http://schemas.microsoft.com/office/drawing/2014/main" id="{00000000-0008-0000-0B00-00009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7</xdr:row>
      <xdr:rowOff>9525</xdr:rowOff>
    </xdr:from>
    <xdr:ext cx="323850" cy="180975"/>
    <xdr:sp macro="" textlink="">
      <xdr:nvSpPr>
        <xdr:cNvPr id="1687" name="Shape 1686">
          <a:extLst>
            <a:ext uri="{FF2B5EF4-FFF2-40B4-BE49-F238E27FC236}">
              <a16:creationId xmlns:a16="http://schemas.microsoft.com/office/drawing/2014/main" id="{00000000-0008-0000-0B00-00009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8</xdr:row>
      <xdr:rowOff>9525</xdr:rowOff>
    </xdr:from>
    <xdr:ext cx="323850" cy="180975"/>
    <xdr:sp macro="" textlink="">
      <xdr:nvSpPr>
        <xdr:cNvPr id="1688" name="Shape 1687">
          <a:extLst>
            <a:ext uri="{FF2B5EF4-FFF2-40B4-BE49-F238E27FC236}">
              <a16:creationId xmlns:a16="http://schemas.microsoft.com/office/drawing/2014/main" id="{00000000-0008-0000-0B00-00009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9</xdr:row>
      <xdr:rowOff>9525</xdr:rowOff>
    </xdr:from>
    <xdr:ext cx="323850" cy="180975"/>
    <xdr:sp macro="" textlink="">
      <xdr:nvSpPr>
        <xdr:cNvPr id="1689" name="Shape 1688">
          <a:extLst>
            <a:ext uri="{FF2B5EF4-FFF2-40B4-BE49-F238E27FC236}">
              <a16:creationId xmlns:a16="http://schemas.microsoft.com/office/drawing/2014/main" id="{00000000-0008-0000-0B00-00009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10</xdr:row>
      <xdr:rowOff>9525</xdr:rowOff>
    </xdr:from>
    <xdr:ext cx="323850" cy="180975"/>
    <xdr:sp macro="" textlink="">
      <xdr:nvSpPr>
        <xdr:cNvPr id="1690" name="Shape 1689">
          <a:extLst>
            <a:ext uri="{FF2B5EF4-FFF2-40B4-BE49-F238E27FC236}">
              <a16:creationId xmlns:a16="http://schemas.microsoft.com/office/drawing/2014/main" id="{00000000-0008-0000-0B00-00009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11</xdr:row>
      <xdr:rowOff>9525</xdr:rowOff>
    </xdr:from>
    <xdr:ext cx="323850" cy="180975"/>
    <xdr:sp macro="" textlink="">
      <xdr:nvSpPr>
        <xdr:cNvPr id="1691" name="Shape 1690">
          <a:extLst>
            <a:ext uri="{FF2B5EF4-FFF2-40B4-BE49-F238E27FC236}">
              <a16:creationId xmlns:a16="http://schemas.microsoft.com/office/drawing/2014/main" id="{00000000-0008-0000-0B00-00009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12</xdr:row>
      <xdr:rowOff>9525</xdr:rowOff>
    </xdr:from>
    <xdr:ext cx="323850" cy="180975"/>
    <xdr:sp macro="" textlink="">
      <xdr:nvSpPr>
        <xdr:cNvPr id="1692" name="Shape 1691">
          <a:extLst>
            <a:ext uri="{FF2B5EF4-FFF2-40B4-BE49-F238E27FC236}">
              <a16:creationId xmlns:a16="http://schemas.microsoft.com/office/drawing/2014/main" id="{00000000-0008-0000-0B00-00009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13</xdr:row>
      <xdr:rowOff>9525</xdr:rowOff>
    </xdr:from>
    <xdr:ext cx="323850" cy="180975"/>
    <xdr:sp macro="" textlink="">
      <xdr:nvSpPr>
        <xdr:cNvPr id="1693" name="Shape 1692">
          <a:extLst>
            <a:ext uri="{FF2B5EF4-FFF2-40B4-BE49-F238E27FC236}">
              <a16:creationId xmlns:a16="http://schemas.microsoft.com/office/drawing/2014/main" id="{00000000-0008-0000-0B00-00009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14</xdr:row>
      <xdr:rowOff>9525</xdr:rowOff>
    </xdr:from>
    <xdr:ext cx="323850" cy="180975"/>
    <xdr:sp macro="" textlink="">
      <xdr:nvSpPr>
        <xdr:cNvPr id="1694" name="Shape 1693">
          <a:extLst>
            <a:ext uri="{FF2B5EF4-FFF2-40B4-BE49-F238E27FC236}">
              <a16:creationId xmlns:a16="http://schemas.microsoft.com/office/drawing/2014/main" id="{00000000-0008-0000-0B00-00009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15</xdr:row>
      <xdr:rowOff>9525</xdr:rowOff>
    </xdr:from>
    <xdr:ext cx="323850" cy="180975"/>
    <xdr:sp macro="" textlink="">
      <xdr:nvSpPr>
        <xdr:cNvPr id="1695" name="Shape 1694">
          <a:extLst>
            <a:ext uri="{FF2B5EF4-FFF2-40B4-BE49-F238E27FC236}">
              <a16:creationId xmlns:a16="http://schemas.microsoft.com/office/drawing/2014/main" id="{00000000-0008-0000-0B00-00009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16</xdr:row>
      <xdr:rowOff>9525</xdr:rowOff>
    </xdr:from>
    <xdr:ext cx="323850" cy="180975"/>
    <xdr:sp macro="" textlink="">
      <xdr:nvSpPr>
        <xdr:cNvPr id="1696" name="Shape 1695">
          <a:extLst>
            <a:ext uri="{FF2B5EF4-FFF2-40B4-BE49-F238E27FC236}">
              <a16:creationId xmlns:a16="http://schemas.microsoft.com/office/drawing/2014/main" id="{00000000-0008-0000-0B00-0000A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17</xdr:row>
      <xdr:rowOff>9525</xdr:rowOff>
    </xdr:from>
    <xdr:ext cx="323850" cy="180975"/>
    <xdr:sp macro="" textlink="">
      <xdr:nvSpPr>
        <xdr:cNvPr id="1697" name="Shape 1696">
          <a:extLst>
            <a:ext uri="{FF2B5EF4-FFF2-40B4-BE49-F238E27FC236}">
              <a16:creationId xmlns:a16="http://schemas.microsoft.com/office/drawing/2014/main" id="{00000000-0008-0000-0B00-0000A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18</xdr:row>
      <xdr:rowOff>9525</xdr:rowOff>
    </xdr:from>
    <xdr:ext cx="323850" cy="180975"/>
    <xdr:sp macro="" textlink="">
      <xdr:nvSpPr>
        <xdr:cNvPr id="1698" name="Shape 1697">
          <a:extLst>
            <a:ext uri="{FF2B5EF4-FFF2-40B4-BE49-F238E27FC236}">
              <a16:creationId xmlns:a16="http://schemas.microsoft.com/office/drawing/2014/main" id="{00000000-0008-0000-0B00-0000A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19</xdr:row>
      <xdr:rowOff>9525</xdr:rowOff>
    </xdr:from>
    <xdr:ext cx="323850" cy="180975"/>
    <xdr:sp macro="" textlink="">
      <xdr:nvSpPr>
        <xdr:cNvPr id="1699" name="Shape 1698">
          <a:extLst>
            <a:ext uri="{FF2B5EF4-FFF2-40B4-BE49-F238E27FC236}">
              <a16:creationId xmlns:a16="http://schemas.microsoft.com/office/drawing/2014/main" id="{00000000-0008-0000-0B00-0000A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20</xdr:row>
      <xdr:rowOff>9525</xdr:rowOff>
    </xdr:from>
    <xdr:ext cx="323850" cy="180975"/>
    <xdr:sp macro="" textlink="">
      <xdr:nvSpPr>
        <xdr:cNvPr id="1700" name="Shape 1699">
          <a:extLst>
            <a:ext uri="{FF2B5EF4-FFF2-40B4-BE49-F238E27FC236}">
              <a16:creationId xmlns:a16="http://schemas.microsoft.com/office/drawing/2014/main" id="{00000000-0008-0000-0B00-0000A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21</xdr:row>
      <xdr:rowOff>9525</xdr:rowOff>
    </xdr:from>
    <xdr:ext cx="323850" cy="180975"/>
    <xdr:sp macro="" textlink="">
      <xdr:nvSpPr>
        <xdr:cNvPr id="1701" name="Shape 1700">
          <a:extLst>
            <a:ext uri="{FF2B5EF4-FFF2-40B4-BE49-F238E27FC236}">
              <a16:creationId xmlns:a16="http://schemas.microsoft.com/office/drawing/2014/main" id="{00000000-0008-0000-0B00-0000A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22</xdr:row>
      <xdr:rowOff>9525</xdr:rowOff>
    </xdr:from>
    <xdr:ext cx="323850" cy="180975"/>
    <xdr:sp macro="" textlink="">
      <xdr:nvSpPr>
        <xdr:cNvPr id="1702" name="Shape 1701">
          <a:extLst>
            <a:ext uri="{FF2B5EF4-FFF2-40B4-BE49-F238E27FC236}">
              <a16:creationId xmlns:a16="http://schemas.microsoft.com/office/drawing/2014/main" id="{00000000-0008-0000-0B00-0000A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23</xdr:row>
      <xdr:rowOff>9525</xdr:rowOff>
    </xdr:from>
    <xdr:ext cx="323850" cy="180975"/>
    <xdr:sp macro="" textlink="">
      <xdr:nvSpPr>
        <xdr:cNvPr id="1703" name="Shape 1702">
          <a:extLst>
            <a:ext uri="{FF2B5EF4-FFF2-40B4-BE49-F238E27FC236}">
              <a16:creationId xmlns:a16="http://schemas.microsoft.com/office/drawing/2014/main" id="{00000000-0008-0000-0B00-0000A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24</xdr:row>
      <xdr:rowOff>9525</xdr:rowOff>
    </xdr:from>
    <xdr:ext cx="323850" cy="180975"/>
    <xdr:sp macro="" textlink="">
      <xdr:nvSpPr>
        <xdr:cNvPr id="1704" name="Shape 1703">
          <a:extLst>
            <a:ext uri="{FF2B5EF4-FFF2-40B4-BE49-F238E27FC236}">
              <a16:creationId xmlns:a16="http://schemas.microsoft.com/office/drawing/2014/main" id="{00000000-0008-0000-0B00-0000A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25</xdr:row>
      <xdr:rowOff>9525</xdr:rowOff>
    </xdr:from>
    <xdr:ext cx="323850" cy="180975"/>
    <xdr:sp macro="" textlink="">
      <xdr:nvSpPr>
        <xdr:cNvPr id="1705" name="Shape 1704">
          <a:extLst>
            <a:ext uri="{FF2B5EF4-FFF2-40B4-BE49-F238E27FC236}">
              <a16:creationId xmlns:a16="http://schemas.microsoft.com/office/drawing/2014/main" id="{00000000-0008-0000-0B00-0000A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26</xdr:row>
      <xdr:rowOff>9525</xdr:rowOff>
    </xdr:from>
    <xdr:ext cx="323850" cy="180975"/>
    <xdr:sp macro="" textlink="">
      <xdr:nvSpPr>
        <xdr:cNvPr id="1706" name="Shape 1705">
          <a:extLst>
            <a:ext uri="{FF2B5EF4-FFF2-40B4-BE49-F238E27FC236}">
              <a16:creationId xmlns:a16="http://schemas.microsoft.com/office/drawing/2014/main" id="{00000000-0008-0000-0B00-0000A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27</xdr:row>
      <xdr:rowOff>9525</xdr:rowOff>
    </xdr:from>
    <xdr:ext cx="323850" cy="180975"/>
    <xdr:sp macro="" textlink="">
      <xdr:nvSpPr>
        <xdr:cNvPr id="1707" name="Shape 1706">
          <a:extLst>
            <a:ext uri="{FF2B5EF4-FFF2-40B4-BE49-F238E27FC236}">
              <a16:creationId xmlns:a16="http://schemas.microsoft.com/office/drawing/2014/main" id="{00000000-0008-0000-0B00-0000A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28</xdr:row>
      <xdr:rowOff>9525</xdr:rowOff>
    </xdr:from>
    <xdr:ext cx="323850" cy="180975"/>
    <xdr:sp macro="" textlink="">
      <xdr:nvSpPr>
        <xdr:cNvPr id="1708" name="Shape 1707">
          <a:extLst>
            <a:ext uri="{FF2B5EF4-FFF2-40B4-BE49-F238E27FC236}">
              <a16:creationId xmlns:a16="http://schemas.microsoft.com/office/drawing/2014/main" id="{00000000-0008-0000-0B00-0000A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29</xdr:row>
      <xdr:rowOff>9525</xdr:rowOff>
    </xdr:from>
    <xdr:ext cx="323850" cy="180975"/>
    <xdr:sp macro="" textlink="">
      <xdr:nvSpPr>
        <xdr:cNvPr id="1709" name="Shape 1708">
          <a:extLst>
            <a:ext uri="{FF2B5EF4-FFF2-40B4-BE49-F238E27FC236}">
              <a16:creationId xmlns:a16="http://schemas.microsoft.com/office/drawing/2014/main" id="{00000000-0008-0000-0B00-0000A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30</xdr:row>
      <xdr:rowOff>9525</xdr:rowOff>
    </xdr:from>
    <xdr:ext cx="323850" cy="180975"/>
    <xdr:sp macro="" textlink="">
      <xdr:nvSpPr>
        <xdr:cNvPr id="1710" name="Shape 1709">
          <a:extLst>
            <a:ext uri="{FF2B5EF4-FFF2-40B4-BE49-F238E27FC236}">
              <a16:creationId xmlns:a16="http://schemas.microsoft.com/office/drawing/2014/main" id="{00000000-0008-0000-0B00-0000A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31</xdr:row>
      <xdr:rowOff>9525</xdr:rowOff>
    </xdr:from>
    <xdr:ext cx="323850" cy="180975"/>
    <xdr:sp macro="" textlink="">
      <xdr:nvSpPr>
        <xdr:cNvPr id="1711" name="Shape 1710">
          <a:extLst>
            <a:ext uri="{FF2B5EF4-FFF2-40B4-BE49-F238E27FC236}">
              <a16:creationId xmlns:a16="http://schemas.microsoft.com/office/drawing/2014/main" id="{00000000-0008-0000-0B00-0000A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32</xdr:row>
      <xdr:rowOff>9525</xdr:rowOff>
    </xdr:from>
    <xdr:ext cx="323850" cy="180975"/>
    <xdr:sp macro="" textlink="">
      <xdr:nvSpPr>
        <xdr:cNvPr id="1712" name="Shape 1711">
          <a:extLst>
            <a:ext uri="{FF2B5EF4-FFF2-40B4-BE49-F238E27FC236}">
              <a16:creationId xmlns:a16="http://schemas.microsoft.com/office/drawing/2014/main" id="{00000000-0008-0000-0B00-0000B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33</xdr:row>
      <xdr:rowOff>9525</xdr:rowOff>
    </xdr:from>
    <xdr:ext cx="323850" cy="180975"/>
    <xdr:sp macro="" textlink="">
      <xdr:nvSpPr>
        <xdr:cNvPr id="1713" name="Shape 1712">
          <a:extLst>
            <a:ext uri="{FF2B5EF4-FFF2-40B4-BE49-F238E27FC236}">
              <a16:creationId xmlns:a16="http://schemas.microsoft.com/office/drawing/2014/main" id="{00000000-0008-0000-0B00-0000B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34</xdr:row>
      <xdr:rowOff>9525</xdr:rowOff>
    </xdr:from>
    <xdr:ext cx="323850" cy="180975"/>
    <xdr:sp macro="" textlink="">
      <xdr:nvSpPr>
        <xdr:cNvPr id="1714" name="Shape 1713">
          <a:extLst>
            <a:ext uri="{FF2B5EF4-FFF2-40B4-BE49-F238E27FC236}">
              <a16:creationId xmlns:a16="http://schemas.microsoft.com/office/drawing/2014/main" id="{00000000-0008-0000-0B00-0000B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35</xdr:row>
      <xdr:rowOff>9525</xdr:rowOff>
    </xdr:from>
    <xdr:ext cx="323850" cy="180975"/>
    <xdr:sp macro="" textlink="">
      <xdr:nvSpPr>
        <xdr:cNvPr id="1715" name="Shape 1714">
          <a:extLst>
            <a:ext uri="{FF2B5EF4-FFF2-40B4-BE49-F238E27FC236}">
              <a16:creationId xmlns:a16="http://schemas.microsoft.com/office/drawing/2014/main" id="{00000000-0008-0000-0B00-0000B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36</xdr:row>
      <xdr:rowOff>9525</xdr:rowOff>
    </xdr:from>
    <xdr:ext cx="323850" cy="180975"/>
    <xdr:sp macro="" textlink="">
      <xdr:nvSpPr>
        <xdr:cNvPr id="1716" name="Shape 1715">
          <a:extLst>
            <a:ext uri="{FF2B5EF4-FFF2-40B4-BE49-F238E27FC236}">
              <a16:creationId xmlns:a16="http://schemas.microsoft.com/office/drawing/2014/main" id="{00000000-0008-0000-0B00-0000B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37</xdr:row>
      <xdr:rowOff>9525</xdr:rowOff>
    </xdr:from>
    <xdr:ext cx="323850" cy="180975"/>
    <xdr:sp macro="" textlink="">
      <xdr:nvSpPr>
        <xdr:cNvPr id="1717" name="Shape 1716">
          <a:extLst>
            <a:ext uri="{FF2B5EF4-FFF2-40B4-BE49-F238E27FC236}">
              <a16:creationId xmlns:a16="http://schemas.microsoft.com/office/drawing/2014/main" id="{00000000-0008-0000-0B00-0000B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38</xdr:row>
      <xdr:rowOff>9525</xdr:rowOff>
    </xdr:from>
    <xdr:ext cx="323850" cy="180975"/>
    <xdr:sp macro="" textlink="">
      <xdr:nvSpPr>
        <xdr:cNvPr id="1718" name="Shape 1717">
          <a:extLst>
            <a:ext uri="{FF2B5EF4-FFF2-40B4-BE49-F238E27FC236}">
              <a16:creationId xmlns:a16="http://schemas.microsoft.com/office/drawing/2014/main" id="{00000000-0008-0000-0B00-0000B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39</xdr:row>
      <xdr:rowOff>9525</xdr:rowOff>
    </xdr:from>
    <xdr:ext cx="323850" cy="180975"/>
    <xdr:sp macro="" textlink="">
      <xdr:nvSpPr>
        <xdr:cNvPr id="1719" name="Shape 1718">
          <a:extLst>
            <a:ext uri="{FF2B5EF4-FFF2-40B4-BE49-F238E27FC236}">
              <a16:creationId xmlns:a16="http://schemas.microsoft.com/office/drawing/2014/main" id="{00000000-0008-0000-0B00-0000B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188</xdr:col>
      <xdr:colOff>0</xdr:colOff>
      <xdr:row>40</xdr:row>
      <xdr:rowOff>9525</xdr:rowOff>
    </xdr:from>
    <xdr:ext cx="323850" cy="180975"/>
    <xdr:sp macro="" textlink="">
      <xdr:nvSpPr>
        <xdr:cNvPr id="1720" name="Shape 1719">
          <a:extLst>
            <a:ext uri="{FF2B5EF4-FFF2-40B4-BE49-F238E27FC236}">
              <a16:creationId xmlns:a16="http://schemas.microsoft.com/office/drawing/2014/main" id="{00000000-0008-0000-0B00-0000B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187</xdr:col>
      <xdr:colOff>0</xdr:colOff>
      <xdr:row>41</xdr:row>
      <xdr:rowOff>9525</xdr:rowOff>
    </xdr:from>
    <xdr:ext cx="323850" cy="180975"/>
    <xdr:sp macro="" textlink="">
      <xdr:nvSpPr>
        <xdr:cNvPr id="1721" name="Shape 1720">
          <a:extLst>
            <a:ext uri="{FF2B5EF4-FFF2-40B4-BE49-F238E27FC236}">
              <a16:creationId xmlns:a16="http://schemas.microsoft.com/office/drawing/2014/main" id="{00000000-0008-0000-0B00-0000B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</xdr:row>
      <xdr:rowOff>9525</xdr:rowOff>
    </xdr:from>
    <xdr:ext cx="323850" cy="180975"/>
    <xdr:sp macro="" textlink="">
      <xdr:nvSpPr>
        <xdr:cNvPr id="1722" name="Shape 1721">
          <a:extLst>
            <a:ext uri="{FF2B5EF4-FFF2-40B4-BE49-F238E27FC236}">
              <a16:creationId xmlns:a16="http://schemas.microsoft.com/office/drawing/2014/main" id="{00000000-0008-0000-0B00-0000B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</xdr:row>
      <xdr:rowOff>9525</xdr:rowOff>
    </xdr:from>
    <xdr:ext cx="323850" cy="180975"/>
    <xdr:sp macro="" textlink="">
      <xdr:nvSpPr>
        <xdr:cNvPr id="1723" name="Shape 1722">
          <a:extLst>
            <a:ext uri="{FF2B5EF4-FFF2-40B4-BE49-F238E27FC236}">
              <a16:creationId xmlns:a16="http://schemas.microsoft.com/office/drawing/2014/main" id="{00000000-0008-0000-0B00-0000B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4</xdr:row>
      <xdr:rowOff>9525</xdr:rowOff>
    </xdr:from>
    <xdr:ext cx="323850" cy="180975"/>
    <xdr:sp macro="" textlink="">
      <xdr:nvSpPr>
        <xdr:cNvPr id="1724" name="Shape 1723">
          <a:extLst>
            <a:ext uri="{FF2B5EF4-FFF2-40B4-BE49-F238E27FC236}">
              <a16:creationId xmlns:a16="http://schemas.microsoft.com/office/drawing/2014/main" id="{00000000-0008-0000-0B00-0000B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5</xdr:row>
      <xdr:rowOff>9525</xdr:rowOff>
    </xdr:from>
    <xdr:ext cx="323850" cy="180975"/>
    <xdr:sp macro="" textlink="">
      <xdr:nvSpPr>
        <xdr:cNvPr id="1725" name="Shape 1724">
          <a:extLst>
            <a:ext uri="{FF2B5EF4-FFF2-40B4-BE49-F238E27FC236}">
              <a16:creationId xmlns:a16="http://schemas.microsoft.com/office/drawing/2014/main" id="{00000000-0008-0000-0B00-0000B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6</xdr:row>
      <xdr:rowOff>9525</xdr:rowOff>
    </xdr:from>
    <xdr:ext cx="323850" cy="180975"/>
    <xdr:sp macro="" textlink="">
      <xdr:nvSpPr>
        <xdr:cNvPr id="1726" name="Shape 1725">
          <a:extLst>
            <a:ext uri="{FF2B5EF4-FFF2-40B4-BE49-F238E27FC236}">
              <a16:creationId xmlns:a16="http://schemas.microsoft.com/office/drawing/2014/main" id="{00000000-0008-0000-0B00-0000B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7</xdr:row>
      <xdr:rowOff>9525</xdr:rowOff>
    </xdr:from>
    <xdr:ext cx="323850" cy="180975"/>
    <xdr:sp macro="" textlink="">
      <xdr:nvSpPr>
        <xdr:cNvPr id="1727" name="Shape 1726">
          <a:extLst>
            <a:ext uri="{FF2B5EF4-FFF2-40B4-BE49-F238E27FC236}">
              <a16:creationId xmlns:a16="http://schemas.microsoft.com/office/drawing/2014/main" id="{00000000-0008-0000-0B00-0000B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8</xdr:row>
      <xdr:rowOff>9525</xdr:rowOff>
    </xdr:from>
    <xdr:ext cx="323850" cy="180975"/>
    <xdr:sp macro="" textlink="">
      <xdr:nvSpPr>
        <xdr:cNvPr id="1728" name="Shape 1727">
          <a:extLst>
            <a:ext uri="{FF2B5EF4-FFF2-40B4-BE49-F238E27FC236}">
              <a16:creationId xmlns:a16="http://schemas.microsoft.com/office/drawing/2014/main" id="{00000000-0008-0000-0B00-0000C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9</xdr:row>
      <xdr:rowOff>9525</xdr:rowOff>
    </xdr:from>
    <xdr:ext cx="323850" cy="180975"/>
    <xdr:sp macro="" textlink="">
      <xdr:nvSpPr>
        <xdr:cNvPr id="1729" name="Shape 1728">
          <a:extLst>
            <a:ext uri="{FF2B5EF4-FFF2-40B4-BE49-F238E27FC236}">
              <a16:creationId xmlns:a16="http://schemas.microsoft.com/office/drawing/2014/main" id="{00000000-0008-0000-0B00-0000C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10</xdr:row>
      <xdr:rowOff>9525</xdr:rowOff>
    </xdr:from>
    <xdr:ext cx="323850" cy="180975"/>
    <xdr:sp macro="" textlink="">
      <xdr:nvSpPr>
        <xdr:cNvPr id="1730" name="Shape 1729">
          <a:extLst>
            <a:ext uri="{FF2B5EF4-FFF2-40B4-BE49-F238E27FC236}">
              <a16:creationId xmlns:a16="http://schemas.microsoft.com/office/drawing/2014/main" id="{00000000-0008-0000-0B00-0000C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11</xdr:row>
      <xdr:rowOff>9525</xdr:rowOff>
    </xdr:from>
    <xdr:ext cx="323850" cy="180975"/>
    <xdr:sp macro="" textlink="">
      <xdr:nvSpPr>
        <xdr:cNvPr id="1731" name="Shape 1730">
          <a:extLst>
            <a:ext uri="{FF2B5EF4-FFF2-40B4-BE49-F238E27FC236}">
              <a16:creationId xmlns:a16="http://schemas.microsoft.com/office/drawing/2014/main" id="{00000000-0008-0000-0B00-0000C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12</xdr:row>
      <xdr:rowOff>9525</xdr:rowOff>
    </xdr:from>
    <xdr:ext cx="323850" cy="180975"/>
    <xdr:sp macro="" textlink="">
      <xdr:nvSpPr>
        <xdr:cNvPr id="1732" name="Shape 1731">
          <a:extLst>
            <a:ext uri="{FF2B5EF4-FFF2-40B4-BE49-F238E27FC236}">
              <a16:creationId xmlns:a16="http://schemas.microsoft.com/office/drawing/2014/main" id="{00000000-0008-0000-0B00-0000C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13</xdr:row>
      <xdr:rowOff>9525</xdr:rowOff>
    </xdr:from>
    <xdr:ext cx="323850" cy="180975"/>
    <xdr:sp macro="" textlink="">
      <xdr:nvSpPr>
        <xdr:cNvPr id="1733" name="Shape 1732">
          <a:extLst>
            <a:ext uri="{FF2B5EF4-FFF2-40B4-BE49-F238E27FC236}">
              <a16:creationId xmlns:a16="http://schemas.microsoft.com/office/drawing/2014/main" id="{00000000-0008-0000-0B00-0000C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14</xdr:row>
      <xdr:rowOff>9525</xdr:rowOff>
    </xdr:from>
    <xdr:ext cx="323850" cy="180975"/>
    <xdr:sp macro="" textlink="">
      <xdr:nvSpPr>
        <xdr:cNvPr id="1734" name="Shape 1733">
          <a:extLst>
            <a:ext uri="{FF2B5EF4-FFF2-40B4-BE49-F238E27FC236}">
              <a16:creationId xmlns:a16="http://schemas.microsoft.com/office/drawing/2014/main" id="{00000000-0008-0000-0B00-0000C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15</xdr:row>
      <xdr:rowOff>9525</xdr:rowOff>
    </xdr:from>
    <xdr:ext cx="323850" cy="180975"/>
    <xdr:sp macro="" textlink="">
      <xdr:nvSpPr>
        <xdr:cNvPr id="1735" name="Shape 1734">
          <a:extLst>
            <a:ext uri="{FF2B5EF4-FFF2-40B4-BE49-F238E27FC236}">
              <a16:creationId xmlns:a16="http://schemas.microsoft.com/office/drawing/2014/main" id="{00000000-0008-0000-0B00-0000C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16</xdr:row>
      <xdr:rowOff>9525</xdr:rowOff>
    </xdr:from>
    <xdr:ext cx="323850" cy="180975"/>
    <xdr:sp macro="" textlink="">
      <xdr:nvSpPr>
        <xdr:cNvPr id="1736" name="Shape 1735">
          <a:extLst>
            <a:ext uri="{FF2B5EF4-FFF2-40B4-BE49-F238E27FC236}">
              <a16:creationId xmlns:a16="http://schemas.microsoft.com/office/drawing/2014/main" id="{00000000-0008-0000-0B00-0000C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17</xdr:row>
      <xdr:rowOff>9525</xdr:rowOff>
    </xdr:from>
    <xdr:ext cx="323850" cy="180975"/>
    <xdr:sp macro="" textlink="">
      <xdr:nvSpPr>
        <xdr:cNvPr id="1737" name="Shape 1736">
          <a:extLst>
            <a:ext uri="{FF2B5EF4-FFF2-40B4-BE49-F238E27FC236}">
              <a16:creationId xmlns:a16="http://schemas.microsoft.com/office/drawing/2014/main" id="{00000000-0008-0000-0B00-0000C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18</xdr:row>
      <xdr:rowOff>9525</xdr:rowOff>
    </xdr:from>
    <xdr:ext cx="323850" cy="180975"/>
    <xdr:sp macro="" textlink="">
      <xdr:nvSpPr>
        <xdr:cNvPr id="1738" name="Shape 1737">
          <a:extLst>
            <a:ext uri="{FF2B5EF4-FFF2-40B4-BE49-F238E27FC236}">
              <a16:creationId xmlns:a16="http://schemas.microsoft.com/office/drawing/2014/main" id="{00000000-0008-0000-0B00-0000C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19</xdr:row>
      <xdr:rowOff>9525</xdr:rowOff>
    </xdr:from>
    <xdr:ext cx="323850" cy="180975"/>
    <xdr:sp macro="" textlink="">
      <xdr:nvSpPr>
        <xdr:cNvPr id="1739" name="Shape 1738">
          <a:extLst>
            <a:ext uri="{FF2B5EF4-FFF2-40B4-BE49-F238E27FC236}">
              <a16:creationId xmlns:a16="http://schemas.microsoft.com/office/drawing/2014/main" id="{00000000-0008-0000-0B00-0000C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20</xdr:row>
      <xdr:rowOff>9525</xdr:rowOff>
    </xdr:from>
    <xdr:ext cx="323850" cy="180975"/>
    <xdr:sp macro="" textlink="">
      <xdr:nvSpPr>
        <xdr:cNvPr id="1740" name="Shape 1739">
          <a:extLst>
            <a:ext uri="{FF2B5EF4-FFF2-40B4-BE49-F238E27FC236}">
              <a16:creationId xmlns:a16="http://schemas.microsoft.com/office/drawing/2014/main" id="{00000000-0008-0000-0B00-0000C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21</xdr:row>
      <xdr:rowOff>9525</xdr:rowOff>
    </xdr:from>
    <xdr:ext cx="323850" cy="180975"/>
    <xdr:sp macro="" textlink="">
      <xdr:nvSpPr>
        <xdr:cNvPr id="1741" name="Shape 1740">
          <a:extLst>
            <a:ext uri="{FF2B5EF4-FFF2-40B4-BE49-F238E27FC236}">
              <a16:creationId xmlns:a16="http://schemas.microsoft.com/office/drawing/2014/main" id="{00000000-0008-0000-0B00-0000C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22</xdr:row>
      <xdr:rowOff>9525</xdr:rowOff>
    </xdr:from>
    <xdr:ext cx="323850" cy="180975"/>
    <xdr:sp macro="" textlink="">
      <xdr:nvSpPr>
        <xdr:cNvPr id="1742" name="Shape 1741">
          <a:extLst>
            <a:ext uri="{FF2B5EF4-FFF2-40B4-BE49-F238E27FC236}">
              <a16:creationId xmlns:a16="http://schemas.microsoft.com/office/drawing/2014/main" id="{00000000-0008-0000-0B00-0000C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23</xdr:row>
      <xdr:rowOff>9525</xdr:rowOff>
    </xdr:from>
    <xdr:ext cx="323850" cy="180975"/>
    <xdr:sp macro="" textlink="">
      <xdr:nvSpPr>
        <xdr:cNvPr id="1743" name="Shape 1742">
          <a:extLst>
            <a:ext uri="{FF2B5EF4-FFF2-40B4-BE49-F238E27FC236}">
              <a16:creationId xmlns:a16="http://schemas.microsoft.com/office/drawing/2014/main" id="{00000000-0008-0000-0B00-0000C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24</xdr:row>
      <xdr:rowOff>9525</xdr:rowOff>
    </xdr:from>
    <xdr:ext cx="323850" cy="180975"/>
    <xdr:sp macro="" textlink="">
      <xdr:nvSpPr>
        <xdr:cNvPr id="1744" name="Shape 1743">
          <a:extLst>
            <a:ext uri="{FF2B5EF4-FFF2-40B4-BE49-F238E27FC236}">
              <a16:creationId xmlns:a16="http://schemas.microsoft.com/office/drawing/2014/main" id="{00000000-0008-0000-0B00-0000D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25</xdr:row>
      <xdr:rowOff>9525</xdr:rowOff>
    </xdr:from>
    <xdr:ext cx="323850" cy="180975"/>
    <xdr:sp macro="" textlink="">
      <xdr:nvSpPr>
        <xdr:cNvPr id="1745" name="Shape 1744">
          <a:extLst>
            <a:ext uri="{FF2B5EF4-FFF2-40B4-BE49-F238E27FC236}">
              <a16:creationId xmlns:a16="http://schemas.microsoft.com/office/drawing/2014/main" id="{00000000-0008-0000-0B00-0000D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26</xdr:row>
      <xdr:rowOff>9525</xdr:rowOff>
    </xdr:from>
    <xdr:ext cx="323850" cy="180975"/>
    <xdr:sp macro="" textlink="">
      <xdr:nvSpPr>
        <xdr:cNvPr id="1746" name="Shape 1745">
          <a:extLst>
            <a:ext uri="{FF2B5EF4-FFF2-40B4-BE49-F238E27FC236}">
              <a16:creationId xmlns:a16="http://schemas.microsoft.com/office/drawing/2014/main" id="{00000000-0008-0000-0B00-0000D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27</xdr:row>
      <xdr:rowOff>9525</xdr:rowOff>
    </xdr:from>
    <xdr:ext cx="323850" cy="180975"/>
    <xdr:sp macro="" textlink="">
      <xdr:nvSpPr>
        <xdr:cNvPr id="1747" name="Shape 1746">
          <a:extLst>
            <a:ext uri="{FF2B5EF4-FFF2-40B4-BE49-F238E27FC236}">
              <a16:creationId xmlns:a16="http://schemas.microsoft.com/office/drawing/2014/main" id="{00000000-0008-0000-0B00-0000D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28</xdr:row>
      <xdr:rowOff>9525</xdr:rowOff>
    </xdr:from>
    <xdr:ext cx="323850" cy="180975"/>
    <xdr:sp macro="" textlink="">
      <xdr:nvSpPr>
        <xdr:cNvPr id="1748" name="Shape 1747">
          <a:extLst>
            <a:ext uri="{FF2B5EF4-FFF2-40B4-BE49-F238E27FC236}">
              <a16:creationId xmlns:a16="http://schemas.microsoft.com/office/drawing/2014/main" id="{00000000-0008-0000-0B00-0000D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29</xdr:row>
      <xdr:rowOff>9525</xdr:rowOff>
    </xdr:from>
    <xdr:ext cx="323850" cy="180975"/>
    <xdr:sp macro="" textlink="">
      <xdr:nvSpPr>
        <xdr:cNvPr id="1749" name="Shape 1748">
          <a:extLst>
            <a:ext uri="{FF2B5EF4-FFF2-40B4-BE49-F238E27FC236}">
              <a16:creationId xmlns:a16="http://schemas.microsoft.com/office/drawing/2014/main" id="{00000000-0008-0000-0B00-0000D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30</xdr:row>
      <xdr:rowOff>9525</xdr:rowOff>
    </xdr:from>
    <xdr:ext cx="323850" cy="180975"/>
    <xdr:sp macro="" textlink="">
      <xdr:nvSpPr>
        <xdr:cNvPr id="1750" name="Shape 1749">
          <a:extLst>
            <a:ext uri="{FF2B5EF4-FFF2-40B4-BE49-F238E27FC236}">
              <a16:creationId xmlns:a16="http://schemas.microsoft.com/office/drawing/2014/main" id="{00000000-0008-0000-0B00-0000D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31</xdr:row>
      <xdr:rowOff>9525</xdr:rowOff>
    </xdr:from>
    <xdr:ext cx="323850" cy="180975"/>
    <xdr:sp macro="" textlink="">
      <xdr:nvSpPr>
        <xdr:cNvPr id="1751" name="Shape 1750">
          <a:extLst>
            <a:ext uri="{FF2B5EF4-FFF2-40B4-BE49-F238E27FC236}">
              <a16:creationId xmlns:a16="http://schemas.microsoft.com/office/drawing/2014/main" id="{00000000-0008-0000-0B00-0000D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32</xdr:row>
      <xdr:rowOff>9525</xdr:rowOff>
    </xdr:from>
    <xdr:ext cx="323850" cy="180975"/>
    <xdr:sp macro="" textlink="">
      <xdr:nvSpPr>
        <xdr:cNvPr id="1752" name="Shape 1751">
          <a:extLst>
            <a:ext uri="{FF2B5EF4-FFF2-40B4-BE49-F238E27FC236}">
              <a16:creationId xmlns:a16="http://schemas.microsoft.com/office/drawing/2014/main" id="{00000000-0008-0000-0B00-0000D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33</xdr:row>
      <xdr:rowOff>9525</xdr:rowOff>
    </xdr:from>
    <xdr:ext cx="323850" cy="180975"/>
    <xdr:sp macro="" textlink="">
      <xdr:nvSpPr>
        <xdr:cNvPr id="1753" name="Shape 1752">
          <a:extLst>
            <a:ext uri="{FF2B5EF4-FFF2-40B4-BE49-F238E27FC236}">
              <a16:creationId xmlns:a16="http://schemas.microsoft.com/office/drawing/2014/main" id="{00000000-0008-0000-0B00-0000D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34</xdr:row>
      <xdr:rowOff>9525</xdr:rowOff>
    </xdr:from>
    <xdr:ext cx="323850" cy="180975"/>
    <xdr:sp macro="" textlink="">
      <xdr:nvSpPr>
        <xdr:cNvPr id="1754" name="Shape 1753">
          <a:extLst>
            <a:ext uri="{FF2B5EF4-FFF2-40B4-BE49-F238E27FC236}">
              <a16:creationId xmlns:a16="http://schemas.microsoft.com/office/drawing/2014/main" id="{00000000-0008-0000-0B00-0000D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35</xdr:row>
      <xdr:rowOff>9525</xdr:rowOff>
    </xdr:from>
    <xdr:ext cx="323850" cy="180975"/>
    <xdr:sp macro="" textlink="">
      <xdr:nvSpPr>
        <xdr:cNvPr id="1755" name="Shape 1754">
          <a:extLst>
            <a:ext uri="{FF2B5EF4-FFF2-40B4-BE49-F238E27FC236}">
              <a16:creationId xmlns:a16="http://schemas.microsoft.com/office/drawing/2014/main" id="{00000000-0008-0000-0B00-0000D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36</xdr:row>
      <xdr:rowOff>9525</xdr:rowOff>
    </xdr:from>
    <xdr:ext cx="323850" cy="180975"/>
    <xdr:sp macro="" textlink="">
      <xdr:nvSpPr>
        <xdr:cNvPr id="1756" name="Shape 1755">
          <a:extLst>
            <a:ext uri="{FF2B5EF4-FFF2-40B4-BE49-F238E27FC236}">
              <a16:creationId xmlns:a16="http://schemas.microsoft.com/office/drawing/2014/main" id="{00000000-0008-0000-0B00-0000D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37</xdr:row>
      <xdr:rowOff>9525</xdr:rowOff>
    </xdr:from>
    <xdr:ext cx="323850" cy="180975"/>
    <xdr:sp macro="" textlink="">
      <xdr:nvSpPr>
        <xdr:cNvPr id="1757" name="Shape 1756">
          <a:extLst>
            <a:ext uri="{FF2B5EF4-FFF2-40B4-BE49-F238E27FC236}">
              <a16:creationId xmlns:a16="http://schemas.microsoft.com/office/drawing/2014/main" id="{00000000-0008-0000-0B00-0000D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38</xdr:row>
      <xdr:rowOff>9525</xdr:rowOff>
    </xdr:from>
    <xdr:ext cx="323850" cy="180975"/>
    <xdr:sp macro="" textlink="">
      <xdr:nvSpPr>
        <xdr:cNvPr id="1758" name="Shape 1757">
          <a:extLst>
            <a:ext uri="{FF2B5EF4-FFF2-40B4-BE49-F238E27FC236}">
              <a16:creationId xmlns:a16="http://schemas.microsoft.com/office/drawing/2014/main" id="{00000000-0008-0000-0B00-0000D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39</xdr:row>
      <xdr:rowOff>9525</xdr:rowOff>
    </xdr:from>
    <xdr:ext cx="323850" cy="180975"/>
    <xdr:sp macro="" textlink="">
      <xdr:nvSpPr>
        <xdr:cNvPr id="1759" name="Shape 1758">
          <a:extLst>
            <a:ext uri="{FF2B5EF4-FFF2-40B4-BE49-F238E27FC236}">
              <a16:creationId xmlns:a16="http://schemas.microsoft.com/office/drawing/2014/main" id="{00000000-0008-0000-0B00-0000D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191</xdr:col>
      <xdr:colOff>0</xdr:colOff>
      <xdr:row>40</xdr:row>
      <xdr:rowOff>9525</xdr:rowOff>
    </xdr:from>
    <xdr:ext cx="323850" cy="180975"/>
    <xdr:sp macro="" textlink="">
      <xdr:nvSpPr>
        <xdr:cNvPr id="1760" name="Shape 1759">
          <a:extLst>
            <a:ext uri="{FF2B5EF4-FFF2-40B4-BE49-F238E27FC236}">
              <a16:creationId xmlns:a16="http://schemas.microsoft.com/office/drawing/2014/main" id="{00000000-0008-0000-0B00-0000E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192</xdr:col>
      <xdr:colOff>0</xdr:colOff>
      <xdr:row>41</xdr:row>
      <xdr:rowOff>9525</xdr:rowOff>
    </xdr:from>
    <xdr:ext cx="323850" cy="180975"/>
    <xdr:sp macro="" textlink="">
      <xdr:nvSpPr>
        <xdr:cNvPr id="1761" name="Shape 1760">
          <a:extLst>
            <a:ext uri="{FF2B5EF4-FFF2-40B4-BE49-F238E27FC236}">
              <a16:creationId xmlns:a16="http://schemas.microsoft.com/office/drawing/2014/main" id="{00000000-0008-0000-0B00-0000E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</xdr:row>
      <xdr:rowOff>9525</xdr:rowOff>
    </xdr:from>
    <xdr:ext cx="323850" cy="180975"/>
    <xdr:sp macro="" textlink="">
      <xdr:nvSpPr>
        <xdr:cNvPr id="1762" name="Shape 1761">
          <a:extLst>
            <a:ext uri="{FF2B5EF4-FFF2-40B4-BE49-F238E27FC236}">
              <a16:creationId xmlns:a16="http://schemas.microsoft.com/office/drawing/2014/main" id="{00000000-0008-0000-0B00-0000E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</xdr:row>
      <xdr:rowOff>9525</xdr:rowOff>
    </xdr:from>
    <xdr:ext cx="323850" cy="180975"/>
    <xdr:sp macro="" textlink="">
      <xdr:nvSpPr>
        <xdr:cNvPr id="1763" name="Shape 1762">
          <a:extLst>
            <a:ext uri="{FF2B5EF4-FFF2-40B4-BE49-F238E27FC236}">
              <a16:creationId xmlns:a16="http://schemas.microsoft.com/office/drawing/2014/main" id="{00000000-0008-0000-0B00-0000E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4</xdr:row>
      <xdr:rowOff>9525</xdr:rowOff>
    </xdr:from>
    <xdr:ext cx="323850" cy="180975"/>
    <xdr:sp macro="" textlink="">
      <xdr:nvSpPr>
        <xdr:cNvPr id="1764" name="Shape 1763">
          <a:extLst>
            <a:ext uri="{FF2B5EF4-FFF2-40B4-BE49-F238E27FC236}">
              <a16:creationId xmlns:a16="http://schemas.microsoft.com/office/drawing/2014/main" id="{00000000-0008-0000-0B00-0000E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5</xdr:row>
      <xdr:rowOff>9525</xdr:rowOff>
    </xdr:from>
    <xdr:ext cx="323850" cy="180975"/>
    <xdr:sp macro="" textlink="">
      <xdr:nvSpPr>
        <xdr:cNvPr id="1765" name="Shape 1764">
          <a:extLst>
            <a:ext uri="{FF2B5EF4-FFF2-40B4-BE49-F238E27FC236}">
              <a16:creationId xmlns:a16="http://schemas.microsoft.com/office/drawing/2014/main" id="{00000000-0008-0000-0B00-0000E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6</xdr:row>
      <xdr:rowOff>9525</xdr:rowOff>
    </xdr:from>
    <xdr:ext cx="323850" cy="180975"/>
    <xdr:sp macro="" textlink="">
      <xdr:nvSpPr>
        <xdr:cNvPr id="1766" name="Shape 1765">
          <a:extLst>
            <a:ext uri="{FF2B5EF4-FFF2-40B4-BE49-F238E27FC236}">
              <a16:creationId xmlns:a16="http://schemas.microsoft.com/office/drawing/2014/main" id="{00000000-0008-0000-0B00-0000E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7</xdr:row>
      <xdr:rowOff>9525</xdr:rowOff>
    </xdr:from>
    <xdr:ext cx="323850" cy="180975"/>
    <xdr:sp macro="" textlink="">
      <xdr:nvSpPr>
        <xdr:cNvPr id="1767" name="Shape 1766">
          <a:extLst>
            <a:ext uri="{FF2B5EF4-FFF2-40B4-BE49-F238E27FC236}">
              <a16:creationId xmlns:a16="http://schemas.microsoft.com/office/drawing/2014/main" id="{00000000-0008-0000-0B00-0000E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8</xdr:row>
      <xdr:rowOff>9525</xdr:rowOff>
    </xdr:from>
    <xdr:ext cx="323850" cy="180975"/>
    <xdr:sp macro="" textlink="">
      <xdr:nvSpPr>
        <xdr:cNvPr id="1768" name="Shape 1767">
          <a:extLst>
            <a:ext uri="{FF2B5EF4-FFF2-40B4-BE49-F238E27FC236}">
              <a16:creationId xmlns:a16="http://schemas.microsoft.com/office/drawing/2014/main" id="{00000000-0008-0000-0B00-0000E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9</xdr:row>
      <xdr:rowOff>9525</xdr:rowOff>
    </xdr:from>
    <xdr:ext cx="323850" cy="180975"/>
    <xdr:sp macro="" textlink="">
      <xdr:nvSpPr>
        <xdr:cNvPr id="1769" name="Shape 1768">
          <a:extLst>
            <a:ext uri="{FF2B5EF4-FFF2-40B4-BE49-F238E27FC236}">
              <a16:creationId xmlns:a16="http://schemas.microsoft.com/office/drawing/2014/main" id="{00000000-0008-0000-0B00-0000E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10</xdr:row>
      <xdr:rowOff>9525</xdr:rowOff>
    </xdr:from>
    <xdr:ext cx="323850" cy="180975"/>
    <xdr:sp macro="" textlink="">
      <xdr:nvSpPr>
        <xdr:cNvPr id="1770" name="Shape 1769">
          <a:extLst>
            <a:ext uri="{FF2B5EF4-FFF2-40B4-BE49-F238E27FC236}">
              <a16:creationId xmlns:a16="http://schemas.microsoft.com/office/drawing/2014/main" id="{00000000-0008-0000-0B00-0000E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11</xdr:row>
      <xdr:rowOff>9525</xdr:rowOff>
    </xdr:from>
    <xdr:ext cx="323850" cy="180975"/>
    <xdr:sp macro="" textlink="">
      <xdr:nvSpPr>
        <xdr:cNvPr id="1771" name="Shape 1770">
          <a:extLst>
            <a:ext uri="{FF2B5EF4-FFF2-40B4-BE49-F238E27FC236}">
              <a16:creationId xmlns:a16="http://schemas.microsoft.com/office/drawing/2014/main" id="{00000000-0008-0000-0B00-0000E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12</xdr:row>
      <xdr:rowOff>9525</xdr:rowOff>
    </xdr:from>
    <xdr:ext cx="323850" cy="180975"/>
    <xdr:sp macro="" textlink="">
      <xdr:nvSpPr>
        <xdr:cNvPr id="1772" name="Shape 1771">
          <a:extLst>
            <a:ext uri="{FF2B5EF4-FFF2-40B4-BE49-F238E27FC236}">
              <a16:creationId xmlns:a16="http://schemas.microsoft.com/office/drawing/2014/main" id="{00000000-0008-0000-0B00-0000E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13</xdr:row>
      <xdr:rowOff>9525</xdr:rowOff>
    </xdr:from>
    <xdr:ext cx="323850" cy="180975"/>
    <xdr:sp macro="" textlink="">
      <xdr:nvSpPr>
        <xdr:cNvPr id="1773" name="Shape 1772">
          <a:extLst>
            <a:ext uri="{FF2B5EF4-FFF2-40B4-BE49-F238E27FC236}">
              <a16:creationId xmlns:a16="http://schemas.microsoft.com/office/drawing/2014/main" id="{00000000-0008-0000-0B00-0000E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14</xdr:row>
      <xdr:rowOff>9525</xdr:rowOff>
    </xdr:from>
    <xdr:ext cx="323850" cy="180975"/>
    <xdr:sp macro="" textlink="">
      <xdr:nvSpPr>
        <xdr:cNvPr id="1774" name="Shape 1773">
          <a:extLst>
            <a:ext uri="{FF2B5EF4-FFF2-40B4-BE49-F238E27FC236}">
              <a16:creationId xmlns:a16="http://schemas.microsoft.com/office/drawing/2014/main" id="{00000000-0008-0000-0B00-0000E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15</xdr:row>
      <xdr:rowOff>9525</xdr:rowOff>
    </xdr:from>
    <xdr:ext cx="323850" cy="180975"/>
    <xdr:sp macro="" textlink="">
      <xdr:nvSpPr>
        <xdr:cNvPr id="1775" name="Shape 1774">
          <a:extLst>
            <a:ext uri="{FF2B5EF4-FFF2-40B4-BE49-F238E27FC236}">
              <a16:creationId xmlns:a16="http://schemas.microsoft.com/office/drawing/2014/main" id="{00000000-0008-0000-0B00-0000E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16</xdr:row>
      <xdr:rowOff>9525</xdr:rowOff>
    </xdr:from>
    <xdr:ext cx="323850" cy="180975"/>
    <xdr:sp macro="" textlink="">
      <xdr:nvSpPr>
        <xdr:cNvPr id="1776" name="Shape 1775">
          <a:extLst>
            <a:ext uri="{FF2B5EF4-FFF2-40B4-BE49-F238E27FC236}">
              <a16:creationId xmlns:a16="http://schemas.microsoft.com/office/drawing/2014/main" id="{00000000-0008-0000-0B00-0000F0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17</xdr:row>
      <xdr:rowOff>9525</xdr:rowOff>
    </xdr:from>
    <xdr:ext cx="323850" cy="180975"/>
    <xdr:sp macro="" textlink="">
      <xdr:nvSpPr>
        <xdr:cNvPr id="1777" name="Shape 1776">
          <a:extLst>
            <a:ext uri="{FF2B5EF4-FFF2-40B4-BE49-F238E27FC236}">
              <a16:creationId xmlns:a16="http://schemas.microsoft.com/office/drawing/2014/main" id="{00000000-0008-0000-0B00-0000F1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18</xdr:row>
      <xdr:rowOff>9525</xdr:rowOff>
    </xdr:from>
    <xdr:ext cx="323850" cy="180975"/>
    <xdr:sp macro="" textlink="">
      <xdr:nvSpPr>
        <xdr:cNvPr id="1778" name="Shape 1777">
          <a:extLst>
            <a:ext uri="{FF2B5EF4-FFF2-40B4-BE49-F238E27FC236}">
              <a16:creationId xmlns:a16="http://schemas.microsoft.com/office/drawing/2014/main" id="{00000000-0008-0000-0B00-0000F2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19</xdr:row>
      <xdr:rowOff>9525</xdr:rowOff>
    </xdr:from>
    <xdr:ext cx="323850" cy="180975"/>
    <xdr:sp macro="" textlink="">
      <xdr:nvSpPr>
        <xdr:cNvPr id="1779" name="Shape 1778">
          <a:extLst>
            <a:ext uri="{FF2B5EF4-FFF2-40B4-BE49-F238E27FC236}">
              <a16:creationId xmlns:a16="http://schemas.microsoft.com/office/drawing/2014/main" id="{00000000-0008-0000-0B00-0000F3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20</xdr:row>
      <xdr:rowOff>9525</xdr:rowOff>
    </xdr:from>
    <xdr:ext cx="323850" cy="180975"/>
    <xdr:sp macro="" textlink="">
      <xdr:nvSpPr>
        <xdr:cNvPr id="1780" name="Shape 1779">
          <a:extLst>
            <a:ext uri="{FF2B5EF4-FFF2-40B4-BE49-F238E27FC236}">
              <a16:creationId xmlns:a16="http://schemas.microsoft.com/office/drawing/2014/main" id="{00000000-0008-0000-0B00-0000F4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21</xdr:row>
      <xdr:rowOff>9525</xdr:rowOff>
    </xdr:from>
    <xdr:ext cx="323850" cy="180975"/>
    <xdr:sp macro="" textlink="">
      <xdr:nvSpPr>
        <xdr:cNvPr id="1781" name="Shape 1780">
          <a:extLst>
            <a:ext uri="{FF2B5EF4-FFF2-40B4-BE49-F238E27FC236}">
              <a16:creationId xmlns:a16="http://schemas.microsoft.com/office/drawing/2014/main" id="{00000000-0008-0000-0B00-0000F5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22</xdr:row>
      <xdr:rowOff>9525</xdr:rowOff>
    </xdr:from>
    <xdr:ext cx="323850" cy="180975"/>
    <xdr:sp macro="" textlink="">
      <xdr:nvSpPr>
        <xdr:cNvPr id="1782" name="Shape 1781">
          <a:extLst>
            <a:ext uri="{FF2B5EF4-FFF2-40B4-BE49-F238E27FC236}">
              <a16:creationId xmlns:a16="http://schemas.microsoft.com/office/drawing/2014/main" id="{00000000-0008-0000-0B00-0000F6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23</xdr:row>
      <xdr:rowOff>9525</xdr:rowOff>
    </xdr:from>
    <xdr:ext cx="323850" cy="180975"/>
    <xdr:sp macro="" textlink="">
      <xdr:nvSpPr>
        <xdr:cNvPr id="1783" name="Shape 1782">
          <a:extLst>
            <a:ext uri="{FF2B5EF4-FFF2-40B4-BE49-F238E27FC236}">
              <a16:creationId xmlns:a16="http://schemas.microsoft.com/office/drawing/2014/main" id="{00000000-0008-0000-0B00-0000F7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24</xdr:row>
      <xdr:rowOff>9525</xdr:rowOff>
    </xdr:from>
    <xdr:ext cx="323850" cy="180975"/>
    <xdr:sp macro="" textlink="">
      <xdr:nvSpPr>
        <xdr:cNvPr id="1784" name="Shape 1783">
          <a:extLst>
            <a:ext uri="{FF2B5EF4-FFF2-40B4-BE49-F238E27FC236}">
              <a16:creationId xmlns:a16="http://schemas.microsoft.com/office/drawing/2014/main" id="{00000000-0008-0000-0B00-0000F8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25</xdr:row>
      <xdr:rowOff>9525</xdr:rowOff>
    </xdr:from>
    <xdr:ext cx="323850" cy="180975"/>
    <xdr:sp macro="" textlink="">
      <xdr:nvSpPr>
        <xdr:cNvPr id="1785" name="Shape 1784">
          <a:extLst>
            <a:ext uri="{FF2B5EF4-FFF2-40B4-BE49-F238E27FC236}">
              <a16:creationId xmlns:a16="http://schemas.microsoft.com/office/drawing/2014/main" id="{00000000-0008-0000-0B00-0000F9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26</xdr:row>
      <xdr:rowOff>9525</xdr:rowOff>
    </xdr:from>
    <xdr:ext cx="323850" cy="180975"/>
    <xdr:sp macro="" textlink="">
      <xdr:nvSpPr>
        <xdr:cNvPr id="1786" name="Shape 1785">
          <a:extLst>
            <a:ext uri="{FF2B5EF4-FFF2-40B4-BE49-F238E27FC236}">
              <a16:creationId xmlns:a16="http://schemas.microsoft.com/office/drawing/2014/main" id="{00000000-0008-0000-0B00-0000FA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27</xdr:row>
      <xdr:rowOff>9525</xdr:rowOff>
    </xdr:from>
    <xdr:ext cx="323850" cy="180975"/>
    <xdr:sp macro="" textlink="">
      <xdr:nvSpPr>
        <xdr:cNvPr id="1787" name="Shape 1786">
          <a:extLst>
            <a:ext uri="{FF2B5EF4-FFF2-40B4-BE49-F238E27FC236}">
              <a16:creationId xmlns:a16="http://schemas.microsoft.com/office/drawing/2014/main" id="{00000000-0008-0000-0B00-0000FB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28</xdr:row>
      <xdr:rowOff>9525</xdr:rowOff>
    </xdr:from>
    <xdr:ext cx="323850" cy="180975"/>
    <xdr:sp macro="" textlink="">
      <xdr:nvSpPr>
        <xdr:cNvPr id="1788" name="Shape 1787">
          <a:extLst>
            <a:ext uri="{FF2B5EF4-FFF2-40B4-BE49-F238E27FC236}">
              <a16:creationId xmlns:a16="http://schemas.microsoft.com/office/drawing/2014/main" id="{00000000-0008-0000-0B00-0000FC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29</xdr:row>
      <xdr:rowOff>9525</xdr:rowOff>
    </xdr:from>
    <xdr:ext cx="323850" cy="180975"/>
    <xdr:sp macro="" textlink="">
      <xdr:nvSpPr>
        <xdr:cNvPr id="1789" name="Shape 1788">
          <a:extLst>
            <a:ext uri="{FF2B5EF4-FFF2-40B4-BE49-F238E27FC236}">
              <a16:creationId xmlns:a16="http://schemas.microsoft.com/office/drawing/2014/main" id="{00000000-0008-0000-0B00-0000FD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30</xdr:row>
      <xdr:rowOff>9525</xdr:rowOff>
    </xdr:from>
    <xdr:ext cx="323850" cy="180975"/>
    <xdr:sp macro="" textlink="">
      <xdr:nvSpPr>
        <xdr:cNvPr id="1790" name="Shape 1789">
          <a:extLst>
            <a:ext uri="{FF2B5EF4-FFF2-40B4-BE49-F238E27FC236}">
              <a16:creationId xmlns:a16="http://schemas.microsoft.com/office/drawing/2014/main" id="{00000000-0008-0000-0B00-0000FE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31</xdr:row>
      <xdr:rowOff>9525</xdr:rowOff>
    </xdr:from>
    <xdr:ext cx="323850" cy="180975"/>
    <xdr:sp macro="" textlink="">
      <xdr:nvSpPr>
        <xdr:cNvPr id="1791" name="Shape 1790">
          <a:extLst>
            <a:ext uri="{FF2B5EF4-FFF2-40B4-BE49-F238E27FC236}">
              <a16:creationId xmlns:a16="http://schemas.microsoft.com/office/drawing/2014/main" id="{00000000-0008-0000-0B00-0000FF06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32</xdr:row>
      <xdr:rowOff>9525</xdr:rowOff>
    </xdr:from>
    <xdr:ext cx="323850" cy="180975"/>
    <xdr:sp macro="" textlink="">
      <xdr:nvSpPr>
        <xdr:cNvPr id="1792" name="Shape 1791">
          <a:extLst>
            <a:ext uri="{FF2B5EF4-FFF2-40B4-BE49-F238E27FC236}">
              <a16:creationId xmlns:a16="http://schemas.microsoft.com/office/drawing/2014/main" id="{00000000-0008-0000-0B00-000000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33</xdr:row>
      <xdr:rowOff>9525</xdr:rowOff>
    </xdr:from>
    <xdr:ext cx="323850" cy="180975"/>
    <xdr:sp macro="" textlink="">
      <xdr:nvSpPr>
        <xdr:cNvPr id="1793" name="Shape 1792">
          <a:extLst>
            <a:ext uri="{FF2B5EF4-FFF2-40B4-BE49-F238E27FC236}">
              <a16:creationId xmlns:a16="http://schemas.microsoft.com/office/drawing/2014/main" id="{00000000-0008-0000-0B00-000001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34</xdr:row>
      <xdr:rowOff>9525</xdr:rowOff>
    </xdr:from>
    <xdr:ext cx="323850" cy="180975"/>
    <xdr:sp macro="" textlink="">
      <xdr:nvSpPr>
        <xdr:cNvPr id="1794" name="Shape 1793">
          <a:extLst>
            <a:ext uri="{FF2B5EF4-FFF2-40B4-BE49-F238E27FC236}">
              <a16:creationId xmlns:a16="http://schemas.microsoft.com/office/drawing/2014/main" id="{00000000-0008-0000-0B00-000002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35</xdr:row>
      <xdr:rowOff>9525</xdr:rowOff>
    </xdr:from>
    <xdr:ext cx="323850" cy="180975"/>
    <xdr:sp macro="" textlink="">
      <xdr:nvSpPr>
        <xdr:cNvPr id="1795" name="Shape 1794">
          <a:extLst>
            <a:ext uri="{FF2B5EF4-FFF2-40B4-BE49-F238E27FC236}">
              <a16:creationId xmlns:a16="http://schemas.microsoft.com/office/drawing/2014/main" id="{00000000-0008-0000-0B00-000003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36</xdr:row>
      <xdr:rowOff>9525</xdr:rowOff>
    </xdr:from>
    <xdr:ext cx="323850" cy="180975"/>
    <xdr:sp macro="" textlink="">
      <xdr:nvSpPr>
        <xdr:cNvPr id="1796" name="Shape 1795">
          <a:extLst>
            <a:ext uri="{FF2B5EF4-FFF2-40B4-BE49-F238E27FC236}">
              <a16:creationId xmlns:a16="http://schemas.microsoft.com/office/drawing/2014/main" id="{00000000-0008-0000-0B00-000004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37</xdr:row>
      <xdr:rowOff>9525</xdr:rowOff>
    </xdr:from>
    <xdr:ext cx="323850" cy="180975"/>
    <xdr:sp macro="" textlink="">
      <xdr:nvSpPr>
        <xdr:cNvPr id="1797" name="Shape 1796">
          <a:extLst>
            <a:ext uri="{FF2B5EF4-FFF2-40B4-BE49-F238E27FC236}">
              <a16:creationId xmlns:a16="http://schemas.microsoft.com/office/drawing/2014/main" id="{00000000-0008-0000-0B00-000005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38</xdr:row>
      <xdr:rowOff>9525</xdr:rowOff>
    </xdr:from>
    <xdr:ext cx="323850" cy="180975"/>
    <xdr:sp macro="" textlink="">
      <xdr:nvSpPr>
        <xdr:cNvPr id="1798" name="Shape 1797">
          <a:extLst>
            <a:ext uri="{FF2B5EF4-FFF2-40B4-BE49-F238E27FC236}">
              <a16:creationId xmlns:a16="http://schemas.microsoft.com/office/drawing/2014/main" id="{00000000-0008-0000-0B00-000006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39</xdr:row>
      <xdr:rowOff>9525</xdr:rowOff>
    </xdr:from>
    <xdr:ext cx="323850" cy="180975"/>
    <xdr:sp macro="" textlink="">
      <xdr:nvSpPr>
        <xdr:cNvPr id="1799" name="Shape 1798">
          <a:extLst>
            <a:ext uri="{FF2B5EF4-FFF2-40B4-BE49-F238E27FC236}">
              <a16:creationId xmlns:a16="http://schemas.microsoft.com/office/drawing/2014/main" id="{00000000-0008-0000-0B00-000007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196</xdr:col>
      <xdr:colOff>0</xdr:colOff>
      <xdr:row>40</xdr:row>
      <xdr:rowOff>9525</xdr:rowOff>
    </xdr:from>
    <xdr:ext cx="323850" cy="180975"/>
    <xdr:sp macro="" textlink="">
      <xdr:nvSpPr>
        <xdr:cNvPr id="1800" name="Shape 1799">
          <a:extLst>
            <a:ext uri="{FF2B5EF4-FFF2-40B4-BE49-F238E27FC236}">
              <a16:creationId xmlns:a16="http://schemas.microsoft.com/office/drawing/2014/main" id="{00000000-0008-0000-0B00-000008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  <xdr:oneCellAnchor>
    <xdr:from>
      <xdr:col>195</xdr:col>
      <xdr:colOff>0</xdr:colOff>
      <xdr:row>41</xdr:row>
      <xdr:rowOff>9525</xdr:rowOff>
    </xdr:from>
    <xdr:ext cx="323850" cy="180975"/>
    <xdr:sp macro="" textlink="">
      <xdr:nvSpPr>
        <xdr:cNvPr id="1801" name="Shape 1800">
          <a:extLst>
            <a:ext uri="{FF2B5EF4-FFF2-40B4-BE49-F238E27FC236}">
              <a16:creationId xmlns:a16="http://schemas.microsoft.com/office/drawing/2014/main" id="{00000000-0008-0000-0B00-000009070000}"/>
            </a:ext>
          </a:extLst>
        </xdr:cNvPr>
        <xdr:cNvSpPr>
          <a:spLocks noGrp="1"/>
        </xdr:cNvSpPr>
      </xdr:nvSpPr>
      <xdr:spPr>
        <a:xfrm>
          <a:off x="0" y="0"/>
          <a:ext cx="323850" cy="180975"/>
        </a:xfrm>
        <a:prstGeom prst="ellipse">
          <a:avLst/>
        </a:prstGeom>
        <a:ln w="11906">
          <a:solidFill>
            <a:srgbClr val="000000"/>
          </a:solidFill>
          <a:prstDash val="solid"/>
        </a:ln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Table57" displayName="Table57" ref="B3:J8" totalsRowShown="0" dataDxfId="6707" headerRowBorderDxfId="6708">
  <autoFilter ref="B3:J8" xr:uid="{00000000-0009-0000-0100-00000A000000}"/>
  <sortState xmlns:xlrd2="http://schemas.microsoft.com/office/spreadsheetml/2017/richdata2" ref="B4:J8">
    <sortCondition descending="1" ref="C3:C8"/>
  </sortState>
  <tableColumns count="9">
    <tableColumn id="1" xr3:uid="{00000000-0010-0000-0000-000001000000}" name="TEAM" dataDxfId="6706"/>
    <tableColumn id="2" xr3:uid="{00000000-0010-0000-0000-000002000000}" name="WIN" dataDxfId="6705"/>
    <tableColumn id="3" xr3:uid="{00000000-0010-0000-0000-000003000000}" name="LOSS" dataDxfId="6704"/>
    <tableColumn id="4" xr3:uid="{00000000-0010-0000-0000-000004000000}" name="GB" dataDxfId="6703"/>
    <tableColumn id="5" xr3:uid="{00000000-0010-0000-0000-000005000000}" name="R+" dataDxfId="6702"/>
    <tableColumn id="6" xr3:uid="{00000000-0010-0000-0000-000006000000}" name="R-" dataDxfId="6701"/>
    <tableColumn id="7" xr3:uid="{00000000-0010-0000-0000-000007000000}" name="L10" dataDxfId="6700"/>
    <tableColumn id="8" xr3:uid="{00000000-0010-0000-0000-000008000000}" name="WS" dataDxfId="6699"/>
    <tableColumn id="9" xr3:uid="{00000000-0010-0000-0000-000009000000}" name="LS" dataDxfId="669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le60" displayName="Table60" ref="B12:J17" totalsRowShown="0" dataDxfId="6696" headerRowBorderDxfId="6697">
  <autoFilter ref="B12:J17" xr:uid="{00000000-0009-0000-0100-00000B000000}"/>
  <sortState xmlns:xlrd2="http://schemas.microsoft.com/office/spreadsheetml/2017/richdata2" ref="B13:J17">
    <sortCondition descending="1" ref="C12:C17"/>
  </sortState>
  <tableColumns count="9">
    <tableColumn id="1" xr3:uid="{00000000-0010-0000-0100-000001000000}" name="TEAM" dataDxfId="6695"/>
    <tableColumn id="2" xr3:uid="{00000000-0010-0000-0100-000002000000}" name="WIN" dataDxfId="6694"/>
    <tableColumn id="3" xr3:uid="{00000000-0010-0000-0100-000003000000}" name="LOSS" dataDxfId="6693"/>
    <tableColumn id="4" xr3:uid="{00000000-0010-0000-0100-000004000000}" name="GB" dataDxfId="6692"/>
    <tableColumn id="5" xr3:uid="{00000000-0010-0000-0100-000005000000}" name="R+" dataDxfId="6691"/>
    <tableColumn id="6" xr3:uid="{00000000-0010-0000-0100-000006000000}" name="R-" dataDxfId="6690"/>
    <tableColumn id="7" xr3:uid="{00000000-0010-0000-0100-000007000000}" name="L10" dataDxfId="6689"/>
    <tableColumn id="8" xr3:uid="{00000000-0010-0000-0100-000008000000}" name="WS" dataDxfId="6688"/>
    <tableColumn id="9" xr3:uid="{00000000-0010-0000-0100-000009000000}" name="LS" dataDxfId="6687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Table61" displayName="Table61" ref="B21:J26" totalsRowShown="0" dataDxfId="6685" headerRowBorderDxfId="6686">
  <autoFilter ref="B21:J26" xr:uid="{00000000-0009-0000-0100-00000C000000}"/>
  <sortState xmlns:xlrd2="http://schemas.microsoft.com/office/spreadsheetml/2017/richdata2" ref="B22:J26">
    <sortCondition descending="1" ref="C21:C26"/>
  </sortState>
  <tableColumns count="9">
    <tableColumn id="1" xr3:uid="{00000000-0010-0000-0200-000001000000}" name="TEAM" dataDxfId="6684"/>
    <tableColumn id="2" xr3:uid="{00000000-0010-0000-0200-000002000000}" name="WIN" dataDxfId="6683"/>
    <tableColumn id="3" xr3:uid="{00000000-0010-0000-0200-000003000000}" name="LOSS" dataDxfId="6682"/>
    <tableColumn id="4" xr3:uid="{00000000-0010-0000-0200-000004000000}" name="GB" dataDxfId="6681"/>
    <tableColumn id="5" xr3:uid="{00000000-0010-0000-0200-000005000000}" name="R+" dataDxfId="6680"/>
    <tableColumn id="6" xr3:uid="{00000000-0010-0000-0200-000006000000}" name="R-" dataDxfId="6679"/>
    <tableColumn id="7" xr3:uid="{00000000-0010-0000-0200-000007000000}" name="L10" dataDxfId="6678"/>
    <tableColumn id="8" xr3:uid="{00000000-0010-0000-0200-000008000000}" name="WS" dataDxfId="6677"/>
    <tableColumn id="9" xr3:uid="{00000000-0010-0000-0200-000009000000}" name="LS" dataDxfId="6676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Table5769" displayName="Table5769" ref="M3:U8" totalsRowShown="0" dataDxfId="6674" headerRowBorderDxfId="6675">
  <autoFilter ref="M3:U8" xr:uid="{00000000-0009-0000-0100-00000D000000}"/>
  <sortState xmlns:xlrd2="http://schemas.microsoft.com/office/spreadsheetml/2017/richdata2" ref="M4:U8">
    <sortCondition descending="1" ref="N3:N8"/>
  </sortState>
  <tableColumns count="9">
    <tableColumn id="1" xr3:uid="{00000000-0010-0000-0300-000001000000}" name="TEAM" dataDxfId="6673"/>
    <tableColumn id="2" xr3:uid="{00000000-0010-0000-0300-000002000000}" name="WIN" dataDxfId="6672"/>
    <tableColumn id="3" xr3:uid="{00000000-0010-0000-0300-000003000000}" name="LOSS" dataDxfId="6671"/>
    <tableColumn id="4" xr3:uid="{00000000-0010-0000-0300-000004000000}" name="GB" dataDxfId="6670"/>
    <tableColumn id="5" xr3:uid="{00000000-0010-0000-0300-000005000000}" name="R+" dataDxfId="6669"/>
    <tableColumn id="6" xr3:uid="{00000000-0010-0000-0300-000006000000}" name="R-" dataDxfId="6668"/>
    <tableColumn id="7" xr3:uid="{00000000-0010-0000-0300-000007000000}" name="L10" dataDxfId="6667"/>
    <tableColumn id="8" xr3:uid="{00000000-0010-0000-0300-000008000000}" name="WS" dataDxfId="6666"/>
    <tableColumn id="9" xr3:uid="{00000000-0010-0000-0300-000009000000}" name="LS" dataDxfId="666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4000000}" name="Table6070" displayName="Table6070" ref="M12:U17" totalsRowShown="0" dataDxfId="6663" headerRowBorderDxfId="6664">
  <autoFilter ref="M12:U17" xr:uid="{00000000-0009-0000-0100-00000E000000}"/>
  <sortState xmlns:xlrd2="http://schemas.microsoft.com/office/spreadsheetml/2017/richdata2" ref="M13:U17">
    <sortCondition descending="1" ref="N12:N17"/>
  </sortState>
  <tableColumns count="9">
    <tableColumn id="1" xr3:uid="{00000000-0010-0000-0400-000001000000}" name="TEAM" dataDxfId="6662"/>
    <tableColumn id="2" xr3:uid="{00000000-0010-0000-0400-000002000000}" name="WIN" dataDxfId="6661"/>
    <tableColumn id="3" xr3:uid="{00000000-0010-0000-0400-000003000000}" name="LOSS" dataDxfId="6660"/>
    <tableColumn id="4" xr3:uid="{00000000-0010-0000-0400-000004000000}" name="GB" dataDxfId="6659"/>
    <tableColumn id="5" xr3:uid="{00000000-0010-0000-0400-000005000000}" name="R+" dataDxfId="6658"/>
    <tableColumn id="6" xr3:uid="{00000000-0010-0000-0400-000006000000}" name="R-" dataDxfId="6657"/>
    <tableColumn id="7" xr3:uid="{00000000-0010-0000-0400-000007000000}" name="L10" dataDxfId="6656"/>
    <tableColumn id="8" xr3:uid="{00000000-0010-0000-0400-000008000000}" name="WS" dataDxfId="6655"/>
    <tableColumn id="9" xr3:uid="{00000000-0010-0000-0400-000009000000}" name="LS" dataDxfId="665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Table6171" displayName="Table6171" ref="M21:U26" totalsRowShown="0" dataDxfId="6652" headerRowBorderDxfId="6653">
  <autoFilter ref="M21:U26" xr:uid="{00000000-0009-0000-0100-00000F000000}"/>
  <sortState xmlns:xlrd2="http://schemas.microsoft.com/office/spreadsheetml/2017/richdata2" ref="M22:U26">
    <sortCondition descending="1" ref="N21:N26"/>
  </sortState>
  <tableColumns count="9">
    <tableColumn id="1" xr3:uid="{00000000-0010-0000-0500-000001000000}" name="TEAM" dataDxfId="6651"/>
    <tableColumn id="2" xr3:uid="{00000000-0010-0000-0500-000002000000}" name="WIN" dataDxfId="6650"/>
    <tableColumn id="3" xr3:uid="{00000000-0010-0000-0500-000003000000}" name="LOSS" dataDxfId="6649"/>
    <tableColumn id="4" xr3:uid="{00000000-0010-0000-0500-000004000000}" name="GB" dataDxfId="6648"/>
    <tableColumn id="5" xr3:uid="{00000000-0010-0000-0500-000005000000}" name="R+" dataDxfId="6647"/>
    <tableColumn id="6" xr3:uid="{00000000-0010-0000-0500-000006000000}" name="R-" dataDxfId="6646"/>
    <tableColumn id="7" xr3:uid="{00000000-0010-0000-0500-000007000000}" name="L10" dataDxfId="6645"/>
    <tableColumn id="8" xr3:uid="{00000000-0010-0000-0500-000008000000}" name="WS" dataDxfId="6644"/>
    <tableColumn id="9" xr3:uid="{00000000-0010-0000-0500-000009000000}" name="LS" dataDxfId="664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6000000}" name="Table3" displayName="Table3" ref="B30:J60" totalsRowShown="0" dataDxfId="6642">
  <autoFilter ref="B30:J60" xr:uid="{00000000-0009-0000-0100-000010000000}"/>
  <sortState xmlns:xlrd2="http://schemas.microsoft.com/office/spreadsheetml/2017/richdata2" ref="B31:J60">
    <sortCondition descending="1" ref="C30:C60"/>
  </sortState>
  <tableColumns count="9">
    <tableColumn id="1" xr3:uid="{00000000-0010-0000-0600-000001000000}" name="TEAM" dataDxfId="6641"/>
    <tableColumn id="2" xr3:uid="{00000000-0010-0000-0600-000002000000}" name="WIN" dataDxfId="6640"/>
    <tableColumn id="3" xr3:uid="{00000000-0010-0000-0600-000003000000}" name="LOSS" dataDxfId="6639"/>
    <tableColumn id="4" xr3:uid="{00000000-0010-0000-0600-000004000000}" name="GB" dataDxfId="6638"/>
    <tableColumn id="5" xr3:uid="{00000000-0010-0000-0600-000005000000}" name="R+" dataDxfId="6637"/>
    <tableColumn id="6" xr3:uid="{00000000-0010-0000-0600-000006000000}" name="R-" dataDxfId="6636"/>
    <tableColumn id="7" xr3:uid="{00000000-0010-0000-0600-000007000000}" name="WC" dataDxfId="6635"/>
    <tableColumn id="8" xr3:uid="{00000000-0010-0000-0600-000008000000}" name="DS" dataDxfId="6634"/>
    <tableColumn id="9" xr3:uid="{00000000-0010-0000-0600-000009000000}" name="CS" dataDxfId="663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7000000}" name="Table8" displayName="Table8" ref="M30:U45" totalsRowShown="0">
  <autoFilter ref="M30:U45" xr:uid="{00000000-0009-0000-0100-000011000000}"/>
  <sortState xmlns:xlrd2="http://schemas.microsoft.com/office/spreadsheetml/2017/richdata2" ref="M31:U45">
    <sortCondition descending="1" ref="N30:N45"/>
  </sortState>
  <tableColumns count="9">
    <tableColumn id="1" xr3:uid="{00000000-0010-0000-0700-000001000000}" name="TEAM" dataDxfId="6632"/>
    <tableColumn id="2" xr3:uid="{00000000-0010-0000-0700-000002000000}" name="WIN" dataDxfId="6631"/>
    <tableColumn id="3" xr3:uid="{00000000-0010-0000-0700-000003000000}" name="LOSS" dataDxfId="6630"/>
    <tableColumn id="4" xr3:uid="{00000000-0010-0000-0700-000004000000}" name="GB" dataDxfId="6629"/>
    <tableColumn id="5" xr3:uid="{00000000-0010-0000-0700-000005000000}" name="$" dataDxfId="6628"/>
    <tableColumn id="6" xr3:uid="{00000000-0010-0000-0700-000006000000}" name="WC" dataDxfId="6627"/>
    <tableColumn id="7" xr3:uid="{00000000-0010-0000-0700-000007000000}" name="DS" dataDxfId="6626"/>
    <tableColumn id="8" xr3:uid="{00000000-0010-0000-0700-000008000000}" name="CS" dataDxfId="6625"/>
    <tableColumn id="9" xr3:uid="{00000000-0010-0000-0700-000009000000}" name="WS" dataDxfId="6624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8000000}" name="Table9" displayName="Table9" ref="M47:U62" totalsRowShown="0" dataDxfId="6623">
  <autoFilter ref="M47:U62" xr:uid="{00000000-0009-0000-0100-000012000000}"/>
  <sortState xmlns:xlrd2="http://schemas.microsoft.com/office/spreadsheetml/2017/richdata2" ref="M48:U62">
    <sortCondition descending="1" ref="N47:N62"/>
  </sortState>
  <tableColumns count="9">
    <tableColumn id="1" xr3:uid="{00000000-0010-0000-0800-000001000000}" name="TEAM" dataDxfId="6622"/>
    <tableColumn id="2" xr3:uid="{00000000-0010-0000-0800-000002000000}" name="WIN" dataDxfId="6621"/>
    <tableColumn id="3" xr3:uid="{00000000-0010-0000-0800-000003000000}" name="LOSS" dataDxfId="6620"/>
    <tableColumn id="4" xr3:uid="{00000000-0010-0000-0800-000004000000}" name="GB" dataDxfId="6619"/>
    <tableColumn id="5" xr3:uid="{00000000-0010-0000-0800-000005000000}" name="$" dataDxfId="6618"/>
    <tableColumn id="6" xr3:uid="{00000000-0010-0000-0800-000006000000}" name="WC" dataDxfId="6617"/>
    <tableColumn id="7" xr3:uid="{00000000-0010-0000-0800-000007000000}" name="DS" dataDxfId="6616"/>
    <tableColumn id="8" xr3:uid="{00000000-0010-0000-0800-000008000000}" name="CS" dataDxfId="6615"/>
    <tableColumn id="9" xr3:uid="{00000000-0010-0000-0800-000009000000}" name="WS" dataDxfId="661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7" xr:uid="{00000000-000C-0000-FFFF-FFFF09000000}" name="Table57328" displayName="Table57328" ref="X3:AF8" totalsRowShown="0" dataDxfId="6612" headerRowBorderDxfId="6613">
  <autoFilter ref="X3:AF8" xr:uid="{00000000-0009-0000-0100-000047010000}"/>
  <sortState xmlns:xlrd2="http://schemas.microsoft.com/office/spreadsheetml/2017/richdata2" ref="X4:AF8">
    <sortCondition descending="1" ref="Y3:Y8"/>
  </sortState>
  <tableColumns count="9">
    <tableColumn id="1" xr3:uid="{00000000-0010-0000-0900-000001000000}" name="TEAM" dataDxfId="6611"/>
    <tableColumn id="2" xr3:uid="{00000000-0010-0000-0900-000002000000}" name="WIN" dataDxfId="6610"/>
    <tableColumn id="3" xr3:uid="{00000000-0010-0000-0900-000003000000}" name="LOSS" dataDxfId="6609"/>
    <tableColumn id="4" xr3:uid="{00000000-0010-0000-0900-000004000000}" name="GB" dataDxfId="6608"/>
    <tableColumn id="5" xr3:uid="{00000000-0010-0000-0900-000005000000}" name="R+" dataDxfId="6607"/>
    <tableColumn id="6" xr3:uid="{00000000-0010-0000-0900-000006000000}" name="R-" dataDxfId="6606"/>
    <tableColumn id="7" xr3:uid="{00000000-0010-0000-0900-000007000000}" name="L10" dataDxfId="6605"/>
    <tableColumn id="8" xr3:uid="{00000000-0010-0000-0900-000008000000}" name="WS" dataDxfId="6604"/>
    <tableColumn id="9" xr3:uid="{00000000-0010-0000-0900-000009000000}" name="LS" dataDxfId="6603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8" xr:uid="{00000000-000C-0000-FFFF-FFFF0A000000}" name="Table60329" displayName="Table60329" ref="X12:AF17" totalsRowShown="0" dataDxfId="6601" headerRowBorderDxfId="6602">
  <autoFilter ref="X12:AF17" xr:uid="{00000000-0009-0000-0100-000048010000}"/>
  <sortState xmlns:xlrd2="http://schemas.microsoft.com/office/spreadsheetml/2017/richdata2" ref="X13:AF17">
    <sortCondition descending="1" ref="Y12:Y17"/>
  </sortState>
  <tableColumns count="9">
    <tableColumn id="1" xr3:uid="{00000000-0010-0000-0A00-000001000000}" name="TEAM" dataDxfId="6600"/>
    <tableColumn id="2" xr3:uid="{00000000-0010-0000-0A00-000002000000}" name="WIN" dataDxfId="6599"/>
    <tableColumn id="3" xr3:uid="{00000000-0010-0000-0A00-000003000000}" name="LOSS" dataDxfId="6598"/>
    <tableColumn id="4" xr3:uid="{00000000-0010-0000-0A00-000004000000}" name="GB" dataDxfId="6597"/>
    <tableColumn id="5" xr3:uid="{00000000-0010-0000-0A00-000005000000}" name="R+" dataDxfId="6596"/>
    <tableColumn id="6" xr3:uid="{00000000-0010-0000-0A00-000006000000}" name="R-" dataDxfId="6595"/>
    <tableColumn id="7" xr3:uid="{00000000-0010-0000-0A00-000007000000}" name="L10" dataDxfId="6594"/>
    <tableColumn id="8" xr3:uid="{00000000-0010-0000-0A00-000008000000}" name="WS" dataDxfId="6593"/>
    <tableColumn id="9" xr3:uid="{00000000-0010-0000-0A00-000009000000}" name="LS" dataDxfId="6592"/>
  </tableColumns>
  <tableStyleInfo name="TableStyleMedium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9" xr:uid="{00000000-000C-0000-FFFF-FFFF0B000000}" name="Table61330" displayName="Table61330" ref="X21:AF26" totalsRowShown="0" dataDxfId="6590" headerRowBorderDxfId="6591">
  <autoFilter ref="X21:AF26" xr:uid="{00000000-0009-0000-0100-000049010000}"/>
  <sortState xmlns:xlrd2="http://schemas.microsoft.com/office/spreadsheetml/2017/richdata2" ref="X22:AF26">
    <sortCondition descending="1" ref="Y21:Y26"/>
  </sortState>
  <tableColumns count="9">
    <tableColumn id="1" xr3:uid="{00000000-0010-0000-0B00-000001000000}" name="TEAM" dataDxfId="6589"/>
    <tableColumn id="2" xr3:uid="{00000000-0010-0000-0B00-000002000000}" name="WIN" dataDxfId="6588"/>
    <tableColumn id="3" xr3:uid="{00000000-0010-0000-0B00-000003000000}" name="LOSS" dataDxfId="6587"/>
    <tableColumn id="4" xr3:uid="{00000000-0010-0000-0B00-000004000000}" name="GB" dataDxfId="6586"/>
    <tableColumn id="5" xr3:uid="{00000000-0010-0000-0B00-000005000000}" name="R+" dataDxfId="6585"/>
    <tableColumn id="6" xr3:uid="{00000000-0010-0000-0B00-000006000000}" name="R-" dataDxfId="6584"/>
    <tableColumn id="7" xr3:uid="{00000000-0010-0000-0B00-000007000000}" name="L10" dataDxfId="6583"/>
    <tableColumn id="8" xr3:uid="{00000000-0010-0000-0B00-000008000000}" name="WS" dataDxfId="6582"/>
    <tableColumn id="9" xr3:uid="{00000000-0010-0000-0B00-000009000000}" name="LS" dataDxfId="6581"/>
  </tableColumns>
  <tableStyleInfo name="TableStyleMedium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0" xr:uid="{00000000-000C-0000-FFFF-FFFF0C000000}" name="Table5769331" displayName="Table5769331" ref="AI3:AQ8" totalsRowShown="0" headerRowBorderDxfId="6580">
  <autoFilter ref="AI3:AQ8" xr:uid="{00000000-0009-0000-0100-00004A010000}"/>
  <sortState xmlns:xlrd2="http://schemas.microsoft.com/office/spreadsheetml/2017/richdata2" ref="AI4:AQ8">
    <sortCondition descending="1" ref="AJ3:AJ8"/>
  </sortState>
  <tableColumns count="9">
    <tableColumn id="1" xr3:uid="{00000000-0010-0000-0C00-000001000000}" name="TEAM" dataDxfId="6579"/>
    <tableColumn id="2" xr3:uid="{00000000-0010-0000-0C00-000002000000}" name="WIN" dataDxfId="6578"/>
    <tableColumn id="3" xr3:uid="{00000000-0010-0000-0C00-000003000000}" name="LOSS" dataDxfId="6577"/>
    <tableColumn id="4" xr3:uid="{00000000-0010-0000-0C00-000004000000}" name="GB" dataDxfId="6576"/>
    <tableColumn id="5" xr3:uid="{00000000-0010-0000-0C00-000005000000}" name="R+" dataDxfId="6575"/>
    <tableColumn id="6" xr3:uid="{00000000-0010-0000-0C00-000006000000}" name="R-" dataDxfId="6574"/>
    <tableColumn id="7" xr3:uid="{00000000-0010-0000-0C00-000007000000}" name="L10" dataDxfId="6573"/>
    <tableColumn id="8" xr3:uid="{00000000-0010-0000-0C00-000008000000}" name="WS" dataDxfId="6572"/>
    <tableColumn id="9" xr3:uid="{00000000-0010-0000-0C00-000009000000}" name="LS" dataDxfId="657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1" xr:uid="{00000000-000C-0000-FFFF-FFFF0D000000}" name="Table6070332" displayName="Table6070332" ref="AI12:AQ17" totalsRowShown="0" headerRowBorderDxfId="6570">
  <autoFilter ref="AI12:AQ17" xr:uid="{00000000-0009-0000-0100-00004B010000}"/>
  <sortState xmlns:xlrd2="http://schemas.microsoft.com/office/spreadsheetml/2017/richdata2" ref="AI13:AQ17">
    <sortCondition descending="1" ref="AJ12:AJ17"/>
  </sortState>
  <tableColumns count="9">
    <tableColumn id="1" xr3:uid="{00000000-0010-0000-0D00-000001000000}" name="TEAM" dataDxfId="6569"/>
    <tableColumn id="2" xr3:uid="{00000000-0010-0000-0D00-000002000000}" name="WIN" dataDxfId="6568"/>
    <tableColumn id="3" xr3:uid="{00000000-0010-0000-0D00-000003000000}" name="LOSS" dataDxfId="6567"/>
    <tableColumn id="4" xr3:uid="{00000000-0010-0000-0D00-000004000000}" name="GB" dataDxfId="6566"/>
    <tableColumn id="5" xr3:uid="{00000000-0010-0000-0D00-000005000000}" name="R+" dataDxfId="6565"/>
    <tableColumn id="6" xr3:uid="{00000000-0010-0000-0D00-000006000000}" name="R-" dataDxfId="6564"/>
    <tableColumn id="7" xr3:uid="{00000000-0010-0000-0D00-000007000000}" name="L10" dataDxfId="6563"/>
    <tableColumn id="8" xr3:uid="{00000000-0010-0000-0D00-000008000000}" name="WS" dataDxfId="6562"/>
    <tableColumn id="9" xr3:uid="{00000000-0010-0000-0D00-000009000000}" name="LS" dataDxfId="656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2" xr:uid="{00000000-000C-0000-FFFF-FFFF0E000000}" name="Table6171333" displayName="Table6171333" ref="AI21:AQ26" totalsRowShown="0" headerRowBorderDxfId="6560">
  <autoFilter ref="AI21:AQ26" xr:uid="{00000000-0009-0000-0100-00004C010000}"/>
  <sortState xmlns:xlrd2="http://schemas.microsoft.com/office/spreadsheetml/2017/richdata2" ref="AI22:AQ26">
    <sortCondition descending="1" ref="AJ21:AJ26"/>
  </sortState>
  <tableColumns count="9">
    <tableColumn id="1" xr3:uid="{00000000-0010-0000-0E00-000001000000}" name="TEAM" dataDxfId="6559"/>
    <tableColumn id="2" xr3:uid="{00000000-0010-0000-0E00-000002000000}" name="WIN" dataDxfId="6558"/>
    <tableColumn id="3" xr3:uid="{00000000-0010-0000-0E00-000003000000}" name="LOSS" dataDxfId="6557"/>
    <tableColumn id="4" xr3:uid="{00000000-0010-0000-0E00-000004000000}" name="GB" dataDxfId="6556"/>
    <tableColumn id="5" xr3:uid="{00000000-0010-0000-0E00-000005000000}" name="R+" dataDxfId="6555"/>
    <tableColumn id="6" xr3:uid="{00000000-0010-0000-0E00-000006000000}" name="R-" dataDxfId="6554"/>
    <tableColumn id="7" xr3:uid="{00000000-0010-0000-0E00-000007000000}" name="L10" dataDxfId="6553"/>
    <tableColumn id="8" xr3:uid="{00000000-0010-0000-0E00-000008000000}" name="WS" dataDxfId="6552"/>
    <tableColumn id="9" xr3:uid="{00000000-0010-0000-0E00-000009000000}" name="LS" dataDxfId="6551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3" xr:uid="{00000000-000C-0000-FFFF-FFFF0F000000}" name="Table3334" displayName="Table3334" ref="X30:AF60" totalsRowShown="0" headerRowDxfId="6550" dataDxfId="6548" headerRowBorderDxfId="6549">
  <autoFilter ref="X30:AF60" xr:uid="{00000000-0009-0000-0100-00004D010000}"/>
  <sortState xmlns:xlrd2="http://schemas.microsoft.com/office/spreadsheetml/2017/richdata2" ref="X31:AF60">
    <sortCondition descending="1" ref="Y30:Y60"/>
  </sortState>
  <tableColumns count="9">
    <tableColumn id="1" xr3:uid="{00000000-0010-0000-0F00-000001000000}" name="TEAM" dataDxfId="6547"/>
    <tableColumn id="2" xr3:uid="{00000000-0010-0000-0F00-000002000000}" name="WIN" dataDxfId="6546"/>
    <tableColumn id="3" xr3:uid="{00000000-0010-0000-0F00-000003000000}" name="LOSS" dataDxfId="6545"/>
    <tableColumn id="4" xr3:uid="{00000000-0010-0000-0F00-000004000000}" name="GB" dataDxfId="6544"/>
    <tableColumn id="5" xr3:uid="{00000000-0010-0000-0F00-000005000000}" name="R+" dataDxfId="6543"/>
    <tableColumn id="6" xr3:uid="{00000000-0010-0000-0F00-000006000000}" name="R-" dataDxfId="6542"/>
    <tableColumn id="7" xr3:uid="{00000000-0010-0000-0F00-000007000000}" name="WC" dataDxfId="6541"/>
    <tableColumn id="8" xr3:uid="{00000000-0010-0000-0F00-000008000000}" name="DS" dataDxfId="6540"/>
    <tableColumn id="9" xr3:uid="{00000000-0010-0000-0F00-000009000000}" name="CS" dataDxfId="6539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4" xr:uid="{00000000-000C-0000-FFFF-FFFF10000000}" name="Table8335" displayName="Table8335" ref="AI30:AQ45" totalsRowShown="0">
  <autoFilter ref="AI30:AQ45" xr:uid="{00000000-0009-0000-0100-00004E010000}"/>
  <sortState xmlns:xlrd2="http://schemas.microsoft.com/office/spreadsheetml/2017/richdata2" ref="AI31:AM45">
    <sortCondition descending="1" ref="AJ30:AJ45"/>
  </sortState>
  <tableColumns count="9">
    <tableColumn id="1" xr3:uid="{00000000-0010-0000-1000-000001000000}" name="TEAM" dataDxfId="6538"/>
    <tableColumn id="2" xr3:uid="{00000000-0010-0000-1000-000002000000}" name="WIN" dataDxfId="6537"/>
    <tableColumn id="3" xr3:uid="{00000000-0010-0000-1000-000003000000}" name="LOSS" dataDxfId="6536"/>
    <tableColumn id="4" xr3:uid="{00000000-0010-0000-1000-000004000000}" name="GB" dataDxfId="6535"/>
    <tableColumn id="5" xr3:uid="{00000000-0010-0000-1000-000005000000}" name="$" dataDxfId="6534"/>
    <tableColumn id="6" xr3:uid="{00000000-0010-0000-1000-000006000000}" name="WC" dataDxfId="6533"/>
    <tableColumn id="7" xr3:uid="{00000000-0010-0000-1000-000007000000}" name="DS" dataDxfId="6532"/>
    <tableColumn id="8" xr3:uid="{00000000-0010-0000-1000-000008000000}" name="CS" dataDxfId="6531"/>
    <tableColumn id="9" xr3:uid="{00000000-0010-0000-1000-000009000000}" name="WS" dataDxfId="6530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5" xr:uid="{00000000-000C-0000-FFFF-FFFF11000000}" name="Table9336" displayName="Table9336" ref="AI47:AQ62" totalsRowShown="0" dataDxfId="6529">
  <autoFilter ref="AI47:AQ62" xr:uid="{00000000-0009-0000-0100-00004F010000}"/>
  <sortState xmlns:xlrd2="http://schemas.microsoft.com/office/spreadsheetml/2017/richdata2" ref="AI48:AM62">
    <sortCondition descending="1" ref="AJ47:AJ62"/>
  </sortState>
  <tableColumns count="9">
    <tableColumn id="1" xr3:uid="{00000000-0010-0000-1100-000001000000}" name="TEAM" dataDxfId="6528"/>
    <tableColumn id="2" xr3:uid="{00000000-0010-0000-1100-000002000000}" name="WIN" dataDxfId="6527"/>
    <tableColumn id="3" xr3:uid="{00000000-0010-0000-1100-000003000000}" name="LOSS" dataDxfId="6526"/>
    <tableColumn id="4" xr3:uid="{00000000-0010-0000-1100-000004000000}" name="GB" dataDxfId="6525"/>
    <tableColumn id="5" xr3:uid="{00000000-0010-0000-1100-000005000000}" name="$" dataDxfId="6524"/>
    <tableColumn id="6" xr3:uid="{00000000-0010-0000-1100-000006000000}" name="WC" dataDxfId="6523"/>
    <tableColumn id="7" xr3:uid="{00000000-0010-0000-1100-000007000000}" name="DS" dataDxfId="6522"/>
    <tableColumn id="8" xr3:uid="{00000000-0010-0000-1100-000008000000}" name="CS" dataDxfId="6521"/>
    <tableColumn id="9" xr3:uid="{00000000-0010-0000-1100-000009000000}" name="WS" dataDxfId="6520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6" xr:uid="{00000000-000C-0000-FFFF-FFFF12000000}" name="Table57223" displayName="Table57223" ref="AT3:BB8" totalsRowShown="0" dataDxfId="6518" headerRowBorderDxfId="6519">
  <autoFilter ref="AT3:BB8" xr:uid="{00000000-0009-0000-0100-000050010000}"/>
  <sortState xmlns:xlrd2="http://schemas.microsoft.com/office/spreadsheetml/2017/richdata2" ref="AT4:BB8">
    <sortCondition descending="1" ref="AU3:AU8"/>
  </sortState>
  <tableColumns count="9">
    <tableColumn id="1" xr3:uid="{00000000-0010-0000-1200-000001000000}" name="TEAM" dataDxfId="6517"/>
    <tableColumn id="2" xr3:uid="{00000000-0010-0000-1200-000002000000}" name="WIN" dataDxfId="6516"/>
    <tableColumn id="3" xr3:uid="{00000000-0010-0000-1200-000003000000}" name="LOSS" dataDxfId="6515"/>
    <tableColumn id="4" xr3:uid="{00000000-0010-0000-1200-000004000000}" name="GB" dataDxfId="6514"/>
    <tableColumn id="5" xr3:uid="{00000000-0010-0000-1200-000005000000}" name="R+" dataDxfId="6513"/>
    <tableColumn id="6" xr3:uid="{00000000-0010-0000-1200-000006000000}" name="R-" dataDxfId="6512"/>
    <tableColumn id="7" xr3:uid="{00000000-0010-0000-1200-000007000000}" name="L10" dataDxfId="6511"/>
    <tableColumn id="8" xr3:uid="{00000000-0010-0000-1200-000008000000}" name="WS" dataDxfId="6510"/>
    <tableColumn id="9" xr3:uid="{00000000-0010-0000-1200-000009000000}" name="LS" dataDxfId="6509"/>
  </tableColumns>
  <tableStyleInfo name="TableStyleMedium3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7" xr:uid="{00000000-000C-0000-FFFF-FFFF13000000}" name="Table60224" displayName="Table60224" ref="AT12:BB17" totalsRowShown="0" dataDxfId="6507" headerRowBorderDxfId="6508">
  <autoFilter ref="AT12:BB17" xr:uid="{00000000-0009-0000-0100-000051010000}"/>
  <sortState xmlns:xlrd2="http://schemas.microsoft.com/office/spreadsheetml/2017/richdata2" ref="AT13:BB17">
    <sortCondition descending="1" ref="AU12:AU17"/>
  </sortState>
  <tableColumns count="9">
    <tableColumn id="1" xr3:uid="{00000000-0010-0000-1300-000001000000}" name="TEAM" dataDxfId="6506"/>
    <tableColumn id="2" xr3:uid="{00000000-0010-0000-1300-000002000000}" name="WIN" dataDxfId="6505"/>
    <tableColumn id="3" xr3:uid="{00000000-0010-0000-1300-000003000000}" name="LOSS" dataDxfId="6504"/>
    <tableColumn id="4" xr3:uid="{00000000-0010-0000-1300-000004000000}" name="GB" dataDxfId="6503"/>
    <tableColumn id="5" xr3:uid="{00000000-0010-0000-1300-000005000000}" name="R+" dataDxfId="6502"/>
    <tableColumn id="6" xr3:uid="{00000000-0010-0000-1300-000006000000}" name="R-" dataDxfId="6501"/>
    <tableColumn id="7" xr3:uid="{00000000-0010-0000-1300-000007000000}" name="L10" dataDxfId="6500"/>
    <tableColumn id="8" xr3:uid="{00000000-0010-0000-1300-000008000000}" name="WS" dataDxfId="6499"/>
    <tableColumn id="9" xr3:uid="{00000000-0010-0000-1300-000009000000}" name="LS" dataDxfId="6498"/>
  </tableColumns>
  <tableStyleInfo name="TableStyleMedium3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8" xr:uid="{00000000-000C-0000-FFFF-FFFF14000000}" name="Table61225" displayName="Table61225" ref="AT21:BB26" totalsRowShown="0" dataDxfId="6496" headerRowBorderDxfId="6497">
  <autoFilter ref="AT21:BB26" xr:uid="{00000000-0009-0000-0100-000052010000}"/>
  <sortState xmlns:xlrd2="http://schemas.microsoft.com/office/spreadsheetml/2017/richdata2" ref="AT22:BB26">
    <sortCondition descending="1" ref="AU21:AU26"/>
  </sortState>
  <tableColumns count="9">
    <tableColumn id="1" xr3:uid="{00000000-0010-0000-1400-000001000000}" name="TEAM" dataDxfId="6495"/>
    <tableColumn id="2" xr3:uid="{00000000-0010-0000-1400-000002000000}" name="WIN" dataDxfId="6494"/>
    <tableColumn id="3" xr3:uid="{00000000-0010-0000-1400-000003000000}" name="LOSS" dataDxfId="6493"/>
    <tableColumn id="4" xr3:uid="{00000000-0010-0000-1400-000004000000}" name="GB" dataDxfId="6492"/>
    <tableColumn id="5" xr3:uid="{00000000-0010-0000-1400-000005000000}" name="R+" dataDxfId="6491"/>
    <tableColumn id="6" xr3:uid="{00000000-0010-0000-1400-000006000000}" name="R-" dataDxfId="6490"/>
    <tableColumn id="7" xr3:uid="{00000000-0010-0000-1400-000007000000}" name="L10" dataDxfId="6489"/>
    <tableColumn id="8" xr3:uid="{00000000-0010-0000-1400-000008000000}" name="WS" dataDxfId="6488"/>
    <tableColumn id="9" xr3:uid="{00000000-0010-0000-1400-000009000000}" name="LS" dataDxfId="6487"/>
  </tableColumns>
  <tableStyleInfo name="TableStyleMedium3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9" xr:uid="{00000000-000C-0000-FFFF-FFFF15000000}" name="Table5769226" displayName="Table5769226" ref="BE3:BM8" totalsRowShown="0" headerRowBorderDxfId="6486">
  <autoFilter ref="BE3:BM8" xr:uid="{00000000-0009-0000-0100-000053010000}"/>
  <sortState xmlns:xlrd2="http://schemas.microsoft.com/office/spreadsheetml/2017/richdata2" ref="BE4:BM8">
    <sortCondition descending="1" ref="BF3:BF8"/>
  </sortState>
  <tableColumns count="9">
    <tableColumn id="1" xr3:uid="{00000000-0010-0000-1500-000001000000}" name="TEAM" dataDxfId="6485"/>
    <tableColumn id="2" xr3:uid="{00000000-0010-0000-1500-000002000000}" name="WIN" dataDxfId="6484"/>
    <tableColumn id="3" xr3:uid="{00000000-0010-0000-1500-000003000000}" name="LOSS" dataDxfId="6483"/>
    <tableColumn id="4" xr3:uid="{00000000-0010-0000-1500-000004000000}" name="GB" dataDxfId="6482"/>
    <tableColumn id="5" xr3:uid="{00000000-0010-0000-1500-000005000000}" name="R+" dataDxfId="6481"/>
    <tableColumn id="6" xr3:uid="{00000000-0010-0000-1500-000006000000}" name="R-" dataDxfId="6480"/>
    <tableColumn id="7" xr3:uid="{00000000-0010-0000-1500-000007000000}" name="L10" dataDxfId="6479"/>
    <tableColumn id="8" xr3:uid="{00000000-0010-0000-1500-000008000000}" name="WS" dataDxfId="6478"/>
    <tableColumn id="9" xr3:uid="{00000000-0010-0000-1500-000009000000}" name="LS" dataDxfId="6477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0" xr:uid="{00000000-000C-0000-FFFF-FFFF16000000}" name="Table6070227" displayName="Table6070227" ref="BE12:BM17" totalsRowShown="0" headerRowBorderDxfId="6476">
  <autoFilter ref="BE12:BM17" xr:uid="{00000000-0009-0000-0100-000054010000}"/>
  <sortState xmlns:xlrd2="http://schemas.microsoft.com/office/spreadsheetml/2017/richdata2" ref="BE13:BM17">
    <sortCondition descending="1" ref="BF12:BF17"/>
  </sortState>
  <tableColumns count="9">
    <tableColumn id="1" xr3:uid="{00000000-0010-0000-1600-000001000000}" name="TEAM" dataDxfId="6475"/>
    <tableColumn id="2" xr3:uid="{00000000-0010-0000-1600-000002000000}" name="WIN" dataDxfId="6474"/>
    <tableColumn id="3" xr3:uid="{00000000-0010-0000-1600-000003000000}" name="LOSS" dataDxfId="6473"/>
    <tableColumn id="4" xr3:uid="{00000000-0010-0000-1600-000004000000}" name="GB" dataDxfId="6472"/>
    <tableColumn id="5" xr3:uid="{00000000-0010-0000-1600-000005000000}" name="R+" dataDxfId="6471"/>
    <tableColumn id="6" xr3:uid="{00000000-0010-0000-1600-000006000000}" name="R-" dataDxfId="6470"/>
    <tableColumn id="7" xr3:uid="{00000000-0010-0000-1600-000007000000}" name="L10" dataDxfId="6469"/>
    <tableColumn id="8" xr3:uid="{00000000-0010-0000-1600-000008000000}" name="WS" dataDxfId="6468"/>
    <tableColumn id="9" xr3:uid="{00000000-0010-0000-1600-000009000000}" name="LS" dataDxfId="6467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1" xr:uid="{00000000-000C-0000-FFFF-FFFF17000000}" name="Table6171228" displayName="Table6171228" ref="BE21:BM26" totalsRowShown="0" headerRowBorderDxfId="6466">
  <autoFilter ref="BE21:BM26" xr:uid="{00000000-0009-0000-0100-000055010000}"/>
  <sortState xmlns:xlrd2="http://schemas.microsoft.com/office/spreadsheetml/2017/richdata2" ref="BE22:BM26">
    <sortCondition descending="1" ref="BF21:BF26"/>
  </sortState>
  <tableColumns count="9">
    <tableColumn id="1" xr3:uid="{00000000-0010-0000-1700-000001000000}" name="TEAM" dataDxfId="6465"/>
    <tableColumn id="2" xr3:uid="{00000000-0010-0000-1700-000002000000}" name="WIN" dataDxfId="6464"/>
    <tableColumn id="3" xr3:uid="{00000000-0010-0000-1700-000003000000}" name="LOSS" dataDxfId="6463"/>
    <tableColumn id="4" xr3:uid="{00000000-0010-0000-1700-000004000000}" name="GB" dataDxfId="6462"/>
    <tableColumn id="5" xr3:uid="{00000000-0010-0000-1700-000005000000}" name="R+" dataDxfId="6461"/>
    <tableColumn id="6" xr3:uid="{00000000-0010-0000-1700-000006000000}" name="R-" dataDxfId="6460"/>
    <tableColumn id="7" xr3:uid="{00000000-0010-0000-1700-000007000000}" name="L10" dataDxfId="6459"/>
    <tableColumn id="8" xr3:uid="{00000000-0010-0000-1700-000008000000}" name="WS" dataDxfId="6458"/>
    <tableColumn id="9" xr3:uid="{00000000-0010-0000-1700-000009000000}" name="LS" dataDxfId="6457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2" xr:uid="{00000000-000C-0000-FFFF-FFFF18000000}" name="Table3229" displayName="Table3229" ref="AT30:BB60" totalsRowShown="0" dataDxfId="6455" headerRowBorderDxfId="6456">
  <autoFilter ref="AT30:BB60" xr:uid="{00000000-0009-0000-0100-000056010000}"/>
  <sortState xmlns:xlrd2="http://schemas.microsoft.com/office/spreadsheetml/2017/richdata2" ref="AT31:AY61">
    <sortCondition descending="1" ref="AU30:AU61"/>
  </sortState>
  <tableColumns count="9">
    <tableColumn id="1" xr3:uid="{00000000-0010-0000-1800-000001000000}" name="TEAM" dataDxfId="6454"/>
    <tableColumn id="2" xr3:uid="{00000000-0010-0000-1800-000002000000}" name="WIN" dataDxfId="6453"/>
    <tableColumn id="3" xr3:uid="{00000000-0010-0000-1800-000003000000}" name="LOSS" dataDxfId="6452"/>
    <tableColumn id="4" xr3:uid="{00000000-0010-0000-1800-000004000000}" name="GB" dataDxfId="6451"/>
    <tableColumn id="5" xr3:uid="{00000000-0010-0000-1800-000005000000}" name="R+" dataDxfId="6450"/>
    <tableColumn id="6" xr3:uid="{00000000-0010-0000-1800-000006000000}" name="R-" dataDxfId="6449"/>
    <tableColumn id="7" xr3:uid="{00000000-0010-0000-1800-000007000000}" name="WC" dataDxfId="6448"/>
    <tableColumn id="8" xr3:uid="{00000000-0010-0000-1800-000008000000}" name="DS" dataDxfId="6447"/>
    <tableColumn id="9" xr3:uid="{00000000-0010-0000-1800-000009000000}" name="CS" dataDxfId="6446"/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3" xr:uid="{00000000-000C-0000-FFFF-FFFF19000000}" name="Table8230" displayName="Table8230" ref="BE30:BM45" totalsRowShown="0" headerRowBorderDxfId="6445">
  <autoFilter ref="BE30:BM45" xr:uid="{00000000-0009-0000-0100-000057010000}"/>
  <sortState xmlns:xlrd2="http://schemas.microsoft.com/office/spreadsheetml/2017/richdata2" ref="BE31:BI45">
    <sortCondition descending="1" ref="BF30:BF45"/>
  </sortState>
  <tableColumns count="9">
    <tableColumn id="1" xr3:uid="{00000000-0010-0000-1900-000001000000}" name="TEAM" dataDxfId="6444"/>
    <tableColumn id="2" xr3:uid="{00000000-0010-0000-1900-000002000000}" name="WIN" dataDxfId="6443"/>
    <tableColumn id="3" xr3:uid="{00000000-0010-0000-1900-000003000000}" name="LOSS" dataDxfId="6442"/>
    <tableColumn id="4" xr3:uid="{00000000-0010-0000-1900-000004000000}" name="GB" dataDxfId="6441"/>
    <tableColumn id="5" xr3:uid="{00000000-0010-0000-1900-000005000000}" name="$" dataDxfId="6440"/>
    <tableColumn id="6" xr3:uid="{00000000-0010-0000-1900-000006000000}" name="WC" dataDxfId="6439"/>
    <tableColumn id="7" xr3:uid="{00000000-0010-0000-1900-000007000000}" name="DS" dataDxfId="6438"/>
    <tableColumn id="8" xr3:uid="{00000000-0010-0000-1900-000008000000}" name="CS" dataDxfId="6437"/>
    <tableColumn id="9" xr3:uid="{00000000-0010-0000-1900-000009000000}" name="WS" dataDxfId="6436"/>
  </tableColumns>
  <tableStyleInfo name="TableStyleMedium7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4" xr:uid="{00000000-000C-0000-FFFF-FFFF1A000000}" name="Table9231" displayName="Table9231" ref="BE47:BM62" totalsRowShown="0" dataDxfId="6434" headerRowBorderDxfId="6435">
  <autoFilter ref="BE47:BM62" xr:uid="{00000000-0009-0000-0100-000058010000}"/>
  <sortState xmlns:xlrd2="http://schemas.microsoft.com/office/spreadsheetml/2017/richdata2" ref="BE48:BI62">
    <sortCondition descending="1" ref="BF47:BF62"/>
  </sortState>
  <tableColumns count="9">
    <tableColumn id="1" xr3:uid="{00000000-0010-0000-1A00-000001000000}" name="TEAM" dataDxfId="6433"/>
    <tableColumn id="2" xr3:uid="{00000000-0010-0000-1A00-000002000000}" name="WIN" dataDxfId="6432"/>
    <tableColumn id="3" xr3:uid="{00000000-0010-0000-1A00-000003000000}" name="LOSS" dataDxfId="6431"/>
    <tableColumn id="4" xr3:uid="{00000000-0010-0000-1A00-000004000000}" name="GB" dataDxfId="6430"/>
    <tableColumn id="5" xr3:uid="{00000000-0010-0000-1A00-000005000000}" name="$" dataDxfId="6429"/>
    <tableColumn id="6" xr3:uid="{00000000-0010-0000-1A00-000006000000}" name="WC" dataDxfId="6428"/>
    <tableColumn id="7" xr3:uid="{00000000-0010-0000-1A00-000007000000}" name="DS" dataDxfId="6427"/>
    <tableColumn id="8" xr3:uid="{00000000-0010-0000-1A00-000008000000}" name="CS" dataDxfId="6426"/>
    <tableColumn id="9" xr3:uid="{00000000-0010-0000-1A00-000009000000}" name="WS" dataDxfId="6425"/>
  </tableColumns>
  <tableStyleInfo name="TableStyleMedium7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B000000}" name="TOR_P" displayName="TOR_P" ref="A82:S92" totalsRowShown="0" headerRowDxfId="6424" dataDxfId="6422" headerRowBorderDxfId="6423">
  <autoFilter ref="A82:S92" xr:uid="{00000000-0009-0000-0100-000013000000}"/>
  <sortState xmlns:xlrd2="http://schemas.microsoft.com/office/spreadsheetml/2017/richdata2" ref="A83:S92">
    <sortCondition ref="S82:S92"/>
  </sortState>
  <tableColumns count="19">
    <tableColumn id="1" xr3:uid="{00000000-0010-0000-1B00-000001000000}" name="TM" dataDxfId="6421"/>
    <tableColumn id="2" xr3:uid="{00000000-0010-0000-1B00-000002000000}" name="@" dataDxfId="6420"/>
    <tableColumn id="3" xr3:uid="{00000000-0010-0000-1B00-000003000000}" name="NAME" dataDxfId="6419"/>
    <tableColumn id="4" xr3:uid="{00000000-0010-0000-1B00-000004000000}" name="ERA" dataDxfId="6418">
      <calculatedColumnFormula>IFERROR((TOR_P[[#This Row],[R]]*9)/TOR_P[[#This Row],[IP]],0)</calculatedColumnFormula>
    </tableColumn>
    <tableColumn id="5" xr3:uid="{00000000-0010-0000-1B00-000005000000}" name="W" dataDxfId="6417"/>
    <tableColumn id="6" xr3:uid="{00000000-0010-0000-1B00-000006000000}" name="L" dataDxfId="6416"/>
    <tableColumn id="7" xr3:uid="{00000000-0010-0000-1B00-000007000000}" name="G" dataDxfId="6415"/>
    <tableColumn id="8" xr3:uid="{00000000-0010-0000-1B00-000008000000}" name="IP" dataDxfId="6414"/>
    <tableColumn id="9" xr3:uid="{00000000-0010-0000-1B00-000009000000}" name="H" dataDxfId="6413"/>
    <tableColumn id="10" xr3:uid="{00000000-0010-0000-1B00-00000A000000}" name="R" dataDxfId="6412"/>
    <tableColumn id="11" xr3:uid="{00000000-0010-0000-1B00-00000B000000}" name="BB" dataDxfId="6411"/>
    <tableColumn id="12" xr3:uid="{00000000-0010-0000-1B00-00000C000000}" name="K" dataDxfId="6410"/>
    <tableColumn id="13" xr3:uid="{00000000-0010-0000-1B00-00000D000000}" name="SV" dataDxfId="6409"/>
    <tableColumn id="14" xr3:uid="{00000000-0010-0000-1B00-00000E000000}" name="WH" dataDxfId="6408">
      <calculatedColumnFormula>IFERROR((TOR_P[[#This Row],[BB]]+TOR_P[[#This Row],[H]])/TOR_P[[#This Row],[IP]],0)</calculatedColumnFormula>
    </tableColumn>
    <tableColumn id="15" xr3:uid="{00000000-0010-0000-1B00-00000F000000}" name="QS" dataDxfId="6407"/>
    <tableColumn id="16" xr3:uid="{00000000-0010-0000-1B00-000010000000}" name="UQ" dataDxfId="6406"/>
    <tableColumn id="17" xr3:uid="{00000000-0010-0000-1B00-000011000000}" name="CG" dataDxfId="6405"/>
    <tableColumn id="18" xr3:uid="{00000000-0010-0000-1B00-000012000000}" name="SH" dataDxfId="6404"/>
    <tableColumn id="19" xr3:uid="{00000000-0010-0000-1B00-000013000000}" name="#" dataDxfId="6403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C000000}" name="BOS_P" displayName="BOS_P" ref="A51:S61" totalsRowShown="0" headerRowDxfId="6402" dataDxfId="6400" headerRowBorderDxfId="6401">
  <autoFilter ref="A51:S61" xr:uid="{00000000-0009-0000-0100-000014000000}"/>
  <sortState xmlns:xlrd2="http://schemas.microsoft.com/office/spreadsheetml/2017/richdata2" ref="A52:S61">
    <sortCondition ref="S51:S61"/>
  </sortState>
  <tableColumns count="19">
    <tableColumn id="1" xr3:uid="{00000000-0010-0000-1C00-000001000000}" name="TM" dataDxfId="6399"/>
    <tableColumn id="2" xr3:uid="{00000000-0010-0000-1C00-000002000000}" name="@" dataDxfId="6398"/>
    <tableColumn id="3" xr3:uid="{00000000-0010-0000-1C00-000003000000}" name="NAME" dataDxfId="6397"/>
    <tableColumn id="4" xr3:uid="{00000000-0010-0000-1C00-000004000000}" name="ERA" dataDxfId="6396">
      <calculatedColumnFormula>IFERROR(((BOS_P[[#This Row],[R]]*9)/BOS_P[[#This Row],[IP]]),0)</calculatedColumnFormula>
    </tableColumn>
    <tableColumn id="5" xr3:uid="{00000000-0010-0000-1C00-000005000000}" name="W" dataDxfId="6395"/>
    <tableColumn id="6" xr3:uid="{00000000-0010-0000-1C00-000006000000}" name="L" dataDxfId="6394"/>
    <tableColumn id="7" xr3:uid="{00000000-0010-0000-1C00-000007000000}" name="G" dataDxfId="6393"/>
    <tableColumn id="8" xr3:uid="{00000000-0010-0000-1C00-000008000000}" name="IP" dataDxfId="6392"/>
    <tableColumn id="9" xr3:uid="{00000000-0010-0000-1C00-000009000000}" name="H" dataDxfId="6391"/>
    <tableColumn id="10" xr3:uid="{00000000-0010-0000-1C00-00000A000000}" name="R" dataDxfId="6390"/>
    <tableColumn id="11" xr3:uid="{00000000-0010-0000-1C00-00000B000000}" name="BB" dataDxfId="6389"/>
    <tableColumn id="12" xr3:uid="{00000000-0010-0000-1C00-00000C000000}" name="K" dataDxfId="6388"/>
    <tableColumn id="13" xr3:uid="{00000000-0010-0000-1C00-00000D000000}" name="SV" dataDxfId="6387"/>
    <tableColumn id="14" xr3:uid="{00000000-0010-0000-1C00-00000E000000}" name="WH" dataDxfId="6386">
      <calculatedColumnFormula>IFERROR((BOS_P[[#This Row],[BB]]+BOS_P[[#This Row],[H]])/BOS_P[[#This Row],[IP]],0)</calculatedColumnFormula>
    </tableColumn>
    <tableColumn id="15" xr3:uid="{00000000-0010-0000-1C00-00000F000000}" name="QS" dataDxfId="6385"/>
    <tableColumn id="16" xr3:uid="{00000000-0010-0000-1C00-000010000000}" name="UQ" dataDxfId="6384"/>
    <tableColumn id="17" xr3:uid="{00000000-0010-0000-1C00-000011000000}" name="CG" dataDxfId="6383"/>
    <tableColumn id="18" xr3:uid="{00000000-0010-0000-1C00-000012000000}" name="SH" dataDxfId="6382"/>
    <tableColumn id="19" xr3:uid="{00000000-0010-0000-1C00-000013000000}" name="#" dataDxfId="6381"/>
  </tableColumns>
  <tableStyleInfo name="TableStyleMedium3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D000000}" name="TOR_H" displayName="TOR_H" ref="A65:W79" totalsRowShown="0" headerRowDxfId="6380" dataDxfId="6378" headerRowBorderDxfId="6379">
  <autoFilter ref="A65:W79" xr:uid="{00000000-0009-0000-0100-000015000000}"/>
  <sortState xmlns:xlrd2="http://schemas.microsoft.com/office/spreadsheetml/2017/richdata2" ref="A66:W79">
    <sortCondition ref="W65:W79"/>
  </sortState>
  <tableColumns count="23">
    <tableColumn id="1" xr3:uid="{00000000-0010-0000-1D00-000001000000}" name="TM" dataDxfId="6377"/>
    <tableColumn id="2" xr3:uid="{00000000-0010-0000-1D00-000002000000}" name="@" dataDxfId="6376"/>
    <tableColumn id="3" xr3:uid="{00000000-0010-0000-1D00-000003000000}" name="NAME" dataDxfId="6375"/>
    <tableColumn id="4" xr3:uid="{00000000-0010-0000-1D00-000004000000}" name="BA" dataDxfId="6374">
      <calculatedColumnFormula>IFERROR(TOR_H[[#This Row],[H]]/TOR_H[[#This Row],[AB]],0)</calculatedColumnFormula>
    </tableColumn>
    <tableColumn id="5" xr3:uid="{00000000-0010-0000-1D00-000005000000}" name="OBP" dataDxfId="6373">
      <calculatedColumnFormula>IFERROR((TOR_H[[#This Row],[H]]+TOR_H[[#This Row],[BB]])/(TOR_H[[#This Row],[AB]]+TOR_H[[#This Row],[BB]]),0)</calculatedColumnFormula>
    </tableColumn>
    <tableColumn id="6" xr3:uid="{00000000-0010-0000-1D00-000006000000}" name="SLG" dataDxfId="6372">
      <calculatedColumnFormula>IFERROR(((TOR_H[[#This Row],[H]]-TOR_H[[#This Row],[2B]]-TOR_H[[#This Row],[3B]]-TOR_H[[#This Row],[HR]])+(TOR_H[[#This Row],[2B]]*2)+(TOR_H[[#This Row],[3B]]*3)+(TOR_H[[#This Row],[HR]]*4))/TOR_H[[#This Row],[AB]],0)</calculatedColumnFormula>
    </tableColumn>
    <tableColumn id="7" xr3:uid="{00000000-0010-0000-1D00-000007000000}" name="G" dataDxfId="6371"/>
    <tableColumn id="8" xr3:uid="{00000000-0010-0000-1D00-000008000000}" name="AB" dataDxfId="6370"/>
    <tableColumn id="9" xr3:uid="{00000000-0010-0000-1D00-000009000000}" name="R" dataDxfId="6369"/>
    <tableColumn id="10" xr3:uid="{00000000-0010-0000-1D00-00000A000000}" name="H" dataDxfId="6368"/>
    <tableColumn id="11" xr3:uid="{00000000-0010-0000-1D00-00000B000000}" name="2B" dataDxfId="6367"/>
    <tableColumn id="12" xr3:uid="{00000000-0010-0000-1D00-00000C000000}" name="3B" dataDxfId="6366"/>
    <tableColumn id="13" xr3:uid="{00000000-0010-0000-1D00-00000D000000}" name="HR" dataDxfId="6365"/>
    <tableColumn id="14" xr3:uid="{00000000-0010-0000-1D00-00000E000000}" name="RBI" dataDxfId="6364"/>
    <tableColumn id="15" xr3:uid="{00000000-0010-0000-1D00-00000F000000}" name="BB" dataDxfId="6363"/>
    <tableColumn id="16" xr3:uid="{00000000-0010-0000-1D00-000010000000}" name="K" dataDxfId="6362"/>
    <tableColumn id="17" xr3:uid="{00000000-0010-0000-1D00-000011000000}" name="SB" dataDxfId="6361"/>
    <tableColumn id="18" xr3:uid="{00000000-0010-0000-1D00-000012000000}" name="HS" dataDxfId="6360"/>
    <tableColumn id="19" xr3:uid="{00000000-0010-0000-1D00-000013000000}" name="LS" dataDxfId="6359"/>
    <tableColumn id="20" xr3:uid="{00000000-0010-0000-1D00-000014000000}" name="TB" dataDxfId="6358">
      <calculatedColumnFormula>IFERROR((TOR_H[[#This Row],[H]]-TOR_H[[#This Row],[2B]]-TOR_H[[#This Row],[3B]]-TOR_H[[#This Row],[HR]])+(TOR_H[[#This Row],[2B]]*2)+(TOR_H[[#This Row],[3B]]*3)+(TOR_H[[#This Row],[HR]]*4),0)</calculatedColumnFormula>
    </tableColumn>
    <tableColumn id="21" xr3:uid="{00000000-0010-0000-1D00-000015000000}" name="OPS" dataDxfId="6357">
      <calculatedColumnFormula>TOR_H[[#This Row],[OBP]]+TOR_H[[#This Row],[SLG]]</calculatedColumnFormula>
    </tableColumn>
    <tableColumn id="22" xr3:uid="{00000000-0010-0000-1D00-000016000000}" name="*" dataDxfId="6356"/>
    <tableColumn id="23" xr3:uid="{00000000-0010-0000-1D00-000017000000}" name="#" dataDxfId="6355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E000000}" name="BOS_H" displayName="BOS_H" ref="A34:W48" totalsRowShown="0" headerRowDxfId="6354" headerRowBorderDxfId="6353">
  <autoFilter ref="A34:W48" xr:uid="{00000000-0009-0000-0100-000016000000}"/>
  <sortState xmlns:xlrd2="http://schemas.microsoft.com/office/spreadsheetml/2017/richdata2" ref="A35:W48">
    <sortCondition ref="W34:W48"/>
  </sortState>
  <tableColumns count="23">
    <tableColumn id="1" xr3:uid="{00000000-0010-0000-1E00-000001000000}" name="TM" dataDxfId="6352"/>
    <tableColumn id="2" xr3:uid="{00000000-0010-0000-1E00-000002000000}" name="@" dataDxfId="6351"/>
    <tableColumn id="3" xr3:uid="{00000000-0010-0000-1E00-000003000000}" name="NAME" dataDxfId="6350"/>
    <tableColumn id="4" xr3:uid="{00000000-0010-0000-1E00-000004000000}" name="BA" dataDxfId="6349">
      <calculatedColumnFormula>IFERROR(BOS_H[[#This Row],[H]]/BOS_H[[#This Row],[AB]],0)</calculatedColumnFormula>
    </tableColumn>
    <tableColumn id="5" xr3:uid="{00000000-0010-0000-1E00-000005000000}" name="OBP" dataDxfId="6348">
      <calculatedColumnFormula>IFERROR((BOS_H[[#This Row],[H]]+BOS_H[[#This Row],[BB]])/(BOS_H[[#This Row],[AB]]+BOS_H[[#This Row],[BB]]),0)</calculatedColumnFormula>
    </tableColumn>
    <tableColumn id="6" xr3:uid="{00000000-0010-0000-1E00-000006000000}" name="SLG" dataDxfId="6347">
      <calculatedColumnFormula>IFERROR(((BOS_H[[#This Row],[H]]-BOS_H[[#This Row],[2B]]-BOS_H[[#This Row],[3B]]-BOS_H[[#This Row],[HR]])+(BOS_H[[#This Row],[2B]]*2)+(BOS_H[[#This Row],[3B]]*3)+(BOS_H[[#This Row],[HR]]*4))/BOS_H[[#This Row],[AB]],0)</calculatedColumnFormula>
    </tableColumn>
    <tableColumn id="7" xr3:uid="{00000000-0010-0000-1E00-000007000000}" name="G" dataDxfId="6346"/>
    <tableColumn id="8" xr3:uid="{00000000-0010-0000-1E00-000008000000}" name="AB" dataDxfId="6345"/>
    <tableColumn id="9" xr3:uid="{00000000-0010-0000-1E00-000009000000}" name="R" dataDxfId="6344"/>
    <tableColumn id="10" xr3:uid="{00000000-0010-0000-1E00-00000A000000}" name="H" dataDxfId="6343"/>
    <tableColumn id="11" xr3:uid="{00000000-0010-0000-1E00-00000B000000}" name="2B" dataDxfId="6342"/>
    <tableColumn id="12" xr3:uid="{00000000-0010-0000-1E00-00000C000000}" name="3B" dataDxfId="6341"/>
    <tableColumn id="13" xr3:uid="{00000000-0010-0000-1E00-00000D000000}" name="HR" dataDxfId="6340"/>
    <tableColumn id="14" xr3:uid="{00000000-0010-0000-1E00-00000E000000}" name="RBI" dataDxfId="6339"/>
    <tableColumn id="15" xr3:uid="{00000000-0010-0000-1E00-00000F000000}" name="BB" dataDxfId="6338"/>
    <tableColumn id="16" xr3:uid="{00000000-0010-0000-1E00-000010000000}" name="K" dataDxfId="6337"/>
    <tableColumn id="17" xr3:uid="{00000000-0010-0000-1E00-000011000000}" name="SB" dataDxfId="6336"/>
    <tableColumn id="18" xr3:uid="{00000000-0010-0000-1E00-000012000000}" name="HS" dataDxfId="6335"/>
    <tableColumn id="19" xr3:uid="{00000000-0010-0000-1E00-000013000000}" name="LS" dataDxfId="6334"/>
    <tableColumn id="20" xr3:uid="{00000000-0010-0000-1E00-000014000000}" name="TB" dataDxfId="6333">
      <calculatedColumnFormula>IFERROR((BOS_H[[#This Row],[H]]-BOS_H[[#This Row],[2B]]-BOS_H[[#This Row],[3B]]-BOS_H[[#This Row],[HR]])+(BOS_H[[#This Row],[2B]]*2)+(BOS_H[[#This Row],[3B]]*3)+(BOS_H[[#This Row],[HR]]*4),0)</calculatedColumnFormula>
    </tableColumn>
    <tableColumn id="21" xr3:uid="{00000000-0010-0000-1E00-000015000000}" name="OPS" dataDxfId="6332">
      <calculatedColumnFormula>BOS_H[[#This Row],[OBP]]+BOS_H[[#This Row],[SLG]]</calculatedColumnFormula>
    </tableColumn>
    <tableColumn id="22" xr3:uid="{00000000-0010-0000-1E00-000016000000}" name="*" dataDxfId="6331"/>
    <tableColumn id="23" xr3:uid="{00000000-0010-0000-1E00-000017000000}" name="#" dataDxfId="6330"/>
  </tableColumns>
  <tableStyleInfo name="TableStyleMedium3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F000000}" name="TBR_P" displayName="TBR_P" ref="A144:S154" totalsRowShown="0" headerRowDxfId="6329" dataDxfId="6327" headerRowBorderDxfId="6328">
  <autoFilter ref="A144:S154" xr:uid="{00000000-0009-0000-0100-000017000000}"/>
  <sortState xmlns:xlrd2="http://schemas.microsoft.com/office/spreadsheetml/2017/richdata2" ref="A145:S154">
    <sortCondition ref="S144:S154"/>
  </sortState>
  <tableColumns count="19">
    <tableColumn id="1" xr3:uid="{00000000-0010-0000-1F00-000001000000}" name="TM" dataDxfId="6326"/>
    <tableColumn id="2" xr3:uid="{00000000-0010-0000-1F00-000002000000}" name="@" dataDxfId="6325"/>
    <tableColumn id="3" xr3:uid="{00000000-0010-0000-1F00-000003000000}" name="NAME" dataDxfId="6324"/>
    <tableColumn id="4" xr3:uid="{00000000-0010-0000-1F00-000004000000}" name="ERA" dataDxfId="6323">
      <calculatedColumnFormula>IFERROR((TBR_P[[#This Row],[R]]*9)/TBR_P[[#This Row],[IP]],0)</calculatedColumnFormula>
    </tableColumn>
    <tableColumn id="5" xr3:uid="{00000000-0010-0000-1F00-000005000000}" name="W" dataDxfId="6322"/>
    <tableColumn id="6" xr3:uid="{00000000-0010-0000-1F00-000006000000}" name="L" dataDxfId="6321"/>
    <tableColumn id="7" xr3:uid="{00000000-0010-0000-1F00-000007000000}" name="G" dataDxfId="6320"/>
    <tableColumn id="8" xr3:uid="{00000000-0010-0000-1F00-000008000000}" name="IP" dataDxfId="6319"/>
    <tableColumn id="9" xr3:uid="{00000000-0010-0000-1F00-000009000000}" name="H" dataDxfId="6318"/>
    <tableColumn id="10" xr3:uid="{00000000-0010-0000-1F00-00000A000000}" name="R" dataDxfId="6317"/>
    <tableColumn id="11" xr3:uid="{00000000-0010-0000-1F00-00000B000000}" name="BB" dataDxfId="6316"/>
    <tableColumn id="12" xr3:uid="{00000000-0010-0000-1F00-00000C000000}" name="K" dataDxfId="6315"/>
    <tableColumn id="13" xr3:uid="{00000000-0010-0000-1F00-00000D000000}" name="SV" dataDxfId="6314"/>
    <tableColumn id="14" xr3:uid="{00000000-0010-0000-1F00-00000E000000}" name="WH" dataDxfId="6313">
      <calculatedColumnFormula>IFERROR((TBR_P[[#This Row],[BB]]+TBR_P[[#This Row],[H]])/TBR_P[[#This Row],[IP]],0)</calculatedColumnFormula>
    </tableColumn>
    <tableColumn id="15" xr3:uid="{00000000-0010-0000-1F00-00000F000000}" name="QS" dataDxfId="6312"/>
    <tableColumn id="16" xr3:uid="{00000000-0010-0000-1F00-000010000000}" name="UQ" dataDxfId="6311"/>
    <tableColumn id="17" xr3:uid="{00000000-0010-0000-1F00-000011000000}" name="CG" dataDxfId="6310"/>
    <tableColumn id="18" xr3:uid="{00000000-0010-0000-1F00-000012000000}" name="SH" dataDxfId="6309"/>
    <tableColumn id="19" xr3:uid="{00000000-0010-0000-1F00-000013000000}" name="#" dataDxfId="6308"/>
  </tableColumns>
  <tableStyleInfo name="TableStyleMedium5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20000000}" name="BAL_P" displayName="BAL_P" ref="A113:S123" totalsRowShown="0" headerRowDxfId="6307" headerRowBorderDxfId="6306">
  <autoFilter ref="A113:S123" xr:uid="{00000000-0009-0000-0100-000018000000}"/>
  <sortState xmlns:xlrd2="http://schemas.microsoft.com/office/spreadsheetml/2017/richdata2" ref="A114:S123">
    <sortCondition ref="S113:S123"/>
  </sortState>
  <tableColumns count="19">
    <tableColumn id="1" xr3:uid="{00000000-0010-0000-2000-000001000000}" name="TM" dataDxfId="6305"/>
    <tableColumn id="2" xr3:uid="{00000000-0010-0000-2000-000002000000}" name="@" dataDxfId="6304"/>
    <tableColumn id="3" xr3:uid="{00000000-0010-0000-2000-000003000000}" name="NAME" dataDxfId="6303"/>
    <tableColumn id="4" xr3:uid="{00000000-0010-0000-2000-000004000000}" name="ERA" dataDxfId="6302">
      <calculatedColumnFormula>IFERROR((BAL_P[[#This Row],[R]]*9)/BAL_P[[#This Row],[IP]],0)</calculatedColumnFormula>
    </tableColumn>
    <tableColumn id="5" xr3:uid="{00000000-0010-0000-2000-000005000000}" name="W" dataDxfId="6301"/>
    <tableColumn id="6" xr3:uid="{00000000-0010-0000-2000-000006000000}" name="L" dataDxfId="6300"/>
    <tableColumn id="7" xr3:uid="{00000000-0010-0000-2000-000007000000}" name="G" dataDxfId="6299"/>
    <tableColumn id="8" xr3:uid="{00000000-0010-0000-2000-000008000000}" name="IP" dataDxfId="6298"/>
    <tableColumn id="9" xr3:uid="{00000000-0010-0000-2000-000009000000}" name="H" dataDxfId="6297"/>
    <tableColumn id="10" xr3:uid="{00000000-0010-0000-2000-00000A000000}" name="R" dataDxfId="6296"/>
    <tableColumn id="11" xr3:uid="{00000000-0010-0000-2000-00000B000000}" name="BB" dataDxfId="6295"/>
    <tableColumn id="12" xr3:uid="{00000000-0010-0000-2000-00000C000000}" name="K" dataDxfId="6294"/>
    <tableColumn id="13" xr3:uid="{00000000-0010-0000-2000-00000D000000}" name="SV" dataDxfId="6293"/>
    <tableColumn id="14" xr3:uid="{00000000-0010-0000-2000-00000E000000}" name="WH" dataDxfId="6292">
      <calculatedColumnFormula>IFERROR((BAL_P[[#This Row],[BB]]+BAL_P[[#This Row],[H]])/BAL_P[[#This Row],[IP]],0)</calculatedColumnFormula>
    </tableColumn>
    <tableColumn id="15" xr3:uid="{00000000-0010-0000-2000-00000F000000}" name="QS" dataDxfId="6291"/>
    <tableColumn id="16" xr3:uid="{00000000-0010-0000-2000-000010000000}" name="UQ" dataDxfId="6290"/>
    <tableColumn id="17" xr3:uid="{00000000-0010-0000-2000-000011000000}" name="CG" dataDxfId="6289"/>
    <tableColumn id="18" xr3:uid="{00000000-0010-0000-2000-000012000000}" name="SH" dataDxfId="6288"/>
    <tableColumn id="19" xr3:uid="{00000000-0010-0000-2000-000013000000}" name="#" dataDxfId="6287"/>
  </tableColumns>
  <tableStyleInfo name="TableStyleMedium3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21000000}" name="BAL_H" displayName="BAL_H" ref="A96:W110" totalsRowShown="0" headerRowDxfId="6286" dataDxfId="6284" headerRowBorderDxfId="6285">
  <autoFilter ref="A96:W110" xr:uid="{00000000-0009-0000-0100-000019000000}"/>
  <sortState xmlns:xlrd2="http://schemas.microsoft.com/office/spreadsheetml/2017/richdata2" ref="A97:W110">
    <sortCondition ref="W96:W110"/>
  </sortState>
  <tableColumns count="23">
    <tableColumn id="1" xr3:uid="{00000000-0010-0000-2100-000001000000}" name="TM" dataDxfId="6283"/>
    <tableColumn id="2" xr3:uid="{00000000-0010-0000-2100-000002000000}" name="@" dataDxfId="6282"/>
    <tableColumn id="3" xr3:uid="{00000000-0010-0000-2100-000003000000}" name="NAME" dataDxfId="6281"/>
    <tableColumn id="4" xr3:uid="{00000000-0010-0000-2100-000004000000}" name="BA" dataDxfId="6280">
      <calculatedColumnFormula>IFERROR((BAL_H[[#This Row],[H]]/BAL_H[[#This Row],[AB]]),0)</calculatedColumnFormula>
    </tableColumn>
    <tableColumn id="5" xr3:uid="{00000000-0010-0000-2100-000005000000}" name="OBP" dataDxfId="6279">
      <calculatedColumnFormula>IFERROR((BAL_H[[#This Row],[H]]+BAL_H[[#This Row],[BB]])/(BAL_H[[#This Row],[BB]]+BAL_H[[#This Row],[AB]]),0)</calculatedColumnFormula>
    </tableColumn>
    <tableColumn id="6" xr3:uid="{00000000-0010-0000-2100-000006000000}" name="SLG" dataDxfId="6278">
      <calculatedColumnFormula>IFERROR(((BAL_H[[#This Row],[H]]-BAL_H[[#This Row],[2B]]-BAL_H[[#This Row],[3B]]-BAL_H[[#This Row],[HR]])+(BAL_H[[#This Row],[2B]]*2)+(BAL_H[[#This Row],[3B]]*3)+(BAL_H[[#This Row],[HR]]*4))/BAL_H[[#This Row],[AB]],0)</calculatedColumnFormula>
    </tableColumn>
    <tableColumn id="7" xr3:uid="{00000000-0010-0000-2100-000007000000}" name="G" dataDxfId="6277"/>
    <tableColumn id="8" xr3:uid="{00000000-0010-0000-2100-000008000000}" name="AB" dataDxfId="6276"/>
    <tableColumn id="9" xr3:uid="{00000000-0010-0000-2100-000009000000}" name="R" dataDxfId="6275"/>
    <tableColumn id="10" xr3:uid="{00000000-0010-0000-2100-00000A000000}" name="H" dataDxfId="6274"/>
    <tableColumn id="11" xr3:uid="{00000000-0010-0000-2100-00000B000000}" name="2B" dataDxfId="6273"/>
    <tableColumn id="12" xr3:uid="{00000000-0010-0000-2100-00000C000000}" name="3B" dataDxfId="6272"/>
    <tableColumn id="13" xr3:uid="{00000000-0010-0000-2100-00000D000000}" name="HR" dataDxfId="6271"/>
    <tableColumn id="14" xr3:uid="{00000000-0010-0000-2100-00000E000000}" name="RBI" dataDxfId="6270"/>
    <tableColumn id="15" xr3:uid="{00000000-0010-0000-2100-00000F000000}" name="BB" dataDxfId="6269"/>
    <tableColumn id="16" xr3:uid="{00000000-0010-0000-2100-000010000000}" name="K" dataDxfId="6268"/>
    <tableColumn id="17" xr3:uid="{00000000-0010-0000-2100-000011000000}" name="SB" dataDxfId="6267"/>
    <tableColumn id="18" xr3:uid="{00000000-0010-0000-2100-000012000000}" name="HS" dataDxfId="6266"/>
    <tableColumn id="19" xr3:uid="{00000000-0010-0000-2100-000013000000}" name="LS" dataDxfId="6265"/>
    <tableColumn id="20" xr3:uid="{00000000-0010-0000-2100-000014000000}" name="TB" dataDxfId="6264">
      <calculatedColumnFormula>IFERROR((BAL_H[[#This Row],[H]]-BAL_H[[#This Row],[2B]]-BAL_H[[#This Row],[3B]]-BAL_H[[#This Row],[HR]])+(BAL_H[[#This Row],[2B]]*2)+(BAL_H[[#This Row],[3B]]*3)+(BAL_H[[#This Row],[HR]]*4),0)</calculatedColumnFormula>
    </tableColumn>
    <tableColumn id="21" xr3:uid="{00000000-0010-0000-2100-000015000000}" name="OPS" dataDxfId="6263">
      <calculatedColumnFormula>BAL_H[[#This Row],[OBP]]+BAL_H[[#This Row],[SLG]]</calculatedColumnFormula>
    </tableColumn>
    <tableColumn id="22" xr3:uid="{00000000-0010-0000-2100-000016000000}" name="*" dataDxfId="6262"/>
    <tableColumn id="23" xr3:uid="{00000000-0010-0000-2100-000017000000}" name="#" dataDxfId="6261"/>
  </tableColumns>
  <tableStyleInfo name="TableStyleMedium3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22000000}" name="TBR_H" displayName="TBR_H" ref="A127:W141" totalsRowShown="0" headerRowDxfId="6260" headerRowBorderDxfId="6259">
  <autoFilter ref="A127:W141" xr:uid="{00000000-0009-0000-0100-00001A000000}"/>
  <sortState xmlns:xlrd2="http://schemas.microsoft.com/office/spreadsheetml/2017/richdata2" ref="A128:W141">
    <sortCondition ref="W127:W141"/>
  </sortState>
  <tableColumns count="23">
    <tableColumn id="1" xr3:uid="{00000000-0010-0000-2200-000001000000}" name="TM" dataDxfId="6258"/>
    <tableColumn id="2" xr3:uid="{00000000-0010-0000-2200-000002000000}" name="@" dataDxfId="6257"/>
    <tableColumn id="3" xr3:uid="{00000000-0010-0000-2200-000003000000}" name="NAME" dataDxfId="6256"/>
    <tableColumn id="4" xr3:uid="{00000000-0010-0000-2200-000004000000}" name="BA" dataDxfId="6255">
      <calculatedColumnFormula>IFERROR((TBR_H[[#This Row],[H]]/TBR_H[[#This Row],[AB]]),0)</calculatedColumnFormula>
    </tableColumn>
    <tableColumn id="5" xr3:uid="{00000000-0010-0000-2200-000005000000}" name="OBP" dataDxfId="6254">
      <calculatedColumnFormula>IFERROR((TBR_H[[#This Row],[H]]+TBR_H[[#This Row],[BB]])/(TBR_H[[#This Row],[BB]]+TBR_H[[#This Row],[AB]]),0)</calculatedColumnFormula>
    </tableColumn>
    <tableColumn id="6" xr3:uid="{00000000-0010-0000-2200-000006000000}" name="SLG" dataDxfId="6253">
      <calculatedColumnFormula>IFERROR(((TBR_H[[#This Row],[H]]-TBR_H[[#This Row],[2B]]-TBR_H[[#This Row],[3B]]-TBR_H[[#This Row],[HR]])+(TBR_H[[#This Row],[2B]]*2)+(TBR_H[[#This Row],[3B]]*3)+(TBR_H[[#This Row],[HR]]*4))/TBR_H[[#This Row],[AB]],0)</calculatedColumnFormula>
    </tableColumn>
    <tableColumn id="7" xr3:uid="{00000000-0010-0000-2200-000007000000}" name="G" dataDxfId="6252"/>
    <tableColumn id="8" xr3:uid="{00000000-0010-0000-2200-000008000000}" name="AB" dataDxfId="6251"/>
    <tableColumn id="9" xr3:uid="{00000000-0010-0000-2200-000009000000}" name="R" dataDxfId="6250"/>
    <tableColumn id="10" xr3:uid="{00000000-0010-0000-2200-00000A000000}" name="H" dataDxfId="6249"/>
    <tableColumn id="11" xr3:uid="{00000000-0010-0000-2200-00000B000000}" name="2B" dataDxfId="6248"/>
    <tableColumn id="12" xr3:uid="{00000000-0010-0000-2200-00000C000000}" name="3B" dataDxfId="6247"/>
    <tableColumn id="13" xr3:uid="{00000000-0010-0000-2200-00000D000000}" name="HR" dataDxfId="6246"/>
    <tableColumn id="14" xr3:uid="{00000000-0010-0000-2200-00000E000000}" name="RBI" dataDxfId="6245"/>
    <tableColumn id="15" xr3:uid="{00000000-0010-0000-2200-00000F000000}" name="BB" dataDxfId="6244"/>
    <tableColumn id="16" xr3:uid="{00000000-0010-0000-2200-000010000000}" name="K" dataDxfId="6243"/>
    <tableColumn id="17" xr3:uid="{00000000-0010-0000-2200-000011000000}" name="SB" dataDxfId="6242"/>
    <tableColumn id="18" xr3:uid="{00000000-0010-0000-2200-000012000000}" name="HS" dataDxfId="6241"/>
    <tableColumn id="19" xr3:uid="{00000000-0010-0000-2200-000013000000}" name="LS" dataDxfId="6240"/>
    <tableColumn id="20" xr3:uid="{00000000-0010-0000-2200-000014000000}" name="TB" dataDxfId="6239">
      <calculatedColumnFormula>IFERROR((TBR_H[[#This Row],[H]]-TBR_H[[#This Row],[2B]]-TBR_H[[#This Row],[3B]]-TBR_H[[#This Row],[HR]])+(TBR_H[[#This Row],[2B]]*2)+(TBR_H[[#This Row],[3B]]*3)+(TBR_H[[#This Row],[HR]]*4),0)</calculatedColumnFormula>
    </tableColumn>
    <tableColumn id="21" xr3:uid="{00000000-0010-0000-2200-000015000000}" name="OPS" dataDxfId="6238">
      <calculatedColumnFormula>TBR_H[[#This Row],[OBP]]+TBR_H[[#This Row],[SLG]]</calculatedColumnFormula>
    </tableColumn>
    <tableColumn id="22" xr3:uid="{00000000-0010-0000-2200-000016000000}" name="*" dataDxfId="6237"/>
    <tableColumn id="23" xr3:uid="{00000000-0010-0000-2200-000017000000}" name="#" dataDxfId="6236"/>
  </tableColumns>
  <tableStyleInfo name="TableStyleMedium5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23000000}" name="NYY_H" displayName="NYY_H" ref="A3:W17" totalsRowShown="0" headerRowDxfId="6235" dataDxfId="6233" headerRowBorderDxfId="6234">
  <autoFilter ref="A3:W17" xr:uid="{00000000-0009-0000-0100-00001B000000}"/>
  <sortState xmlns:xlrd2="http://schemas.microsoft.com/office/spreadsheetml/2017/richdata2" ref="A4:W17">
    <sortCondition ref="W3:W17"/>
  </sortState>
  <tableColumns count="23">
    <tableColumn id="1" xr3:uid="{00000000-0010-0000-2300-000001000000}" name="TM" dataDxfId="6232"/>
    <tableColumn id="2" xr3:uid="{00000000-0010-0000-2300-000002000000}" name="@" dataDxfId="6231"/>
    <tableColumn id="3" xr3:uid="{00000000-0010-0000-2300-000003000000}" name="NAME" dataDxfId="6230"/>
    <tableColumn id="4" xr3:uid="{00000000-0010-0000-2300-000004000000}" name="BA" dataDxfId="6229">
      <calculatedColumnFormula>IFERROR((NYY_H[[#This Row],[H]]/NYY_H[[#This Row],[AB]]),0)</calculatedColumnFormula>
    </tableColumn>
    <tableColumn id="5" xr3:uid="{00000000-0010-0000-2300-000005000000}" name="OBP" dataDxfId="6228">
      <calculatedColumnFormula>IFERROR((NYY_H[[#This Row],[H]]+NYY_H[[#This Row],[BB]])/(NYY_H[[#This Row],[AB]]+NYY_H[[#This Row],[BB]]),)</calculatedColumnFormula>
    </tableColumn>
    <tableColumn id="6" xr3:uid="{00000000-0010-0000-2300-000006000000}" name="SLG" dataDxfId="6227">
      <calculatedColumnFormula>IFERROR(((NYY_H[[#This Row],[H]]-NYY_H[[#This Row],[2B]]-NYY_H[[#This Row],[3B]]-NYY_H[[#This Row],[HR]])+(NYY_H[[#This Row],[2B]]*2)+(NYY_H[[#This Row],[3B]]*3)+(NYY_H[[#This Row],[HR]]*4))/NYY_H[[#This Row],[AB]],0)</calculatedColumnFormula>
    </tableColumn>
    <tableColumn id="7" xr3:uid="{00000000-0010-0000-2300-000007000000}" name="G" dataDxfId="6226"/>
    <tableColumn id="8" xr3:uid="{00000000-0010-0000-2300-000008000000}" name="AB" dataDxfId="6225"/>
    <tableColumn id="9" xr3:uid="{00000000-0010-0000-2300-000009000000}" name="R" dataDxfId="6224"/>
    <tableColumn id="10" xr3:uid="{00000000-0010-0000-2300-00000A000000}" name="H" dataDxfId="6223"/>
    <tableColumn id="11" xr3:uid="{00000000-0010-0000-2300-00000B000000}" name="2B" dataDxfId="6222"/>
    <tableColumn id="12" xr3:uid="{00000000-0010-0000-2300-00000C000000}" name="3B" dataDxfId="6221"/>
    <tableColumn id="13" xr3:uid="{00000000-0010-0000-2300-00000D000000}" name="HR" dataDxfId="6220"/>
    <tableColumn id="14" xr3:uid="{00000000-0010-0000-2300-00000E000000}" name="RBI" dataDxfId="6219"/>
    <tableColumn id="15" xr3:uid="{00000000-0010-0000-2300-00000F000000}" name="BB" dataDxfId="6218"/>
    <tableColumn id="16" xr3:uid="{00000000-0010-0000-2300-000010000000}" name="K" dataDxfId="6217"/>
    <tableColumn id="17" xr3:uid="{00000000-0010-0000-2300-000011000000}" name="SB" dataDxfId="6216"/>
    <tableColumn id="18" xr3:uid="{00000000-0010-0000-2300-000012000000}" name="HS" dataDxfId="6215"/>
    <tableColumn id="19" xr3:uid="{00000000-0010-0000-2300-000013000000}" name="LS" dataDxfId="6214"/>
    <tableColumn id="20" xr3:uid="{00000000-0010-0000-2300-000014000000}" name="TB" dataDxfId="6213">
      <calculatedColumnFormula>IFERROR((NYY_H[[#This Row],[H]]-NYY_H[[#This Row],[2B]]-NYY_H[[#This Row],[3B]]-NYY_H[[#This Row],[HR]])+(NYY_H[[#This Row],[2B]]*2)+(NYY_H[[#This Row],[3B]]*3)+(NYY_H[[#This Row],[HR]]*4),0)</calculatedColumnFormula>
    </tableColumn>
    <tableColumn id="21" xr3:uid="{00000000-0010-0000-2300-000015000000}" name="OPS" dataDxfId="6212">
      <calculatedColumnFormula>NYY_H[[#This Row],[OBP]]+NYY_H[[#This Row],[SLG]]</calculatedColumnFormula>
    </tableColumn>
    <tableColumn id="22" xr3:uid="{00000000-0010-0000-2300-000016000000}" name="*" dataDxfId="6211"/>
    <tableColumn id="23" xr3:uid="{00000000-0010-0000-2300-000017000000}" name="#" dataDxfId="6210"/>
  </tableColumns>
  <tableStyleInfo name="TableStyleMedium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24000000}" name="NYY_P" displayName="NYY_P" ref="A20:S30" totalsRowShown="0" headerRowDxfId="6209" dataDxfId="6207" headerRowBorderDxfId="6208">
  <autoFilter ref="A20:S30" xr:uid="{00000000-0009-0000-0100-00001C000000}"/>
  <sortState xmlns:xlrd2="http://schemas.microsoft.com/office/spreadsheetml/2017/richdata2" ref="A21:S30">
    <sortCondition ref="S20:S30"/>
  </sortState>
  <tableColumns count="19">
    <tableColumn id="1" xr3:uid="{00000000-0010-0000-2400-000001000000}" name="TM" dataDxfId="6206"/>
    <tableColumn id="2" xr3:uid="{00000000-0010-0000-2400-000002000000}" name="@" dataDxfId="6205"/>
    <tableColumn id="3" xr3:uid="{00000000-0010-0000-2400-000003000000}" name="NAME" dataDxfId="6204"/>
    <tableColumn id="4" xr3:uid="{00000000-0010-0000-2400-000004000000}" name="ERA" dataDxfId="6203">
      <calculatedColumnFormula>IFERROR((NYY_P[[#This Row],[R]]*9)/NYY_P[[#This Row],[IP]],0)</calculatedColumnFormula>
    </tableColumn>
    <tableColumn id="5" xr3:uid="{00000000-0010-0000-2400-000005000000}" name="W" dataDxfId="6202"/>
    <tableColumn id="6" xr3:uid="{00000000-0010-0000-2400-000006000000}" name="L" dataDxfId="6201"/>
    <tableColumn id="7" xr3:uid="{00000000-0010-0000-2400-000007000000}" name="G" dataDxfId="6200"/>
    <tableColumn id="8" xr3:uid="{00000000-0010-0000-2400-000008000000}" name="IP" dataDxfId="6199"/>
    <tableColumn id="9" xr3:uid="{00000000-0010-0000-2400-000009000000}" name="H" dataDxfId="6198"/>
    <tableColumn id="10" xr3:uid="{00000000-0010-0000-2400-00000A000000}" name="R" dataDxfId="6197"/>
    <tableColumn id="11" xr3:uid="{00000000-0010-0000-2400-00000B000000}" name="BB" dataDxfId="6196"/>
    <tableColumn id="12" xr3:uid="{00000000-0010-0000-2400-00000C000000}" name="K" dataDxfId="6195"/>
    <tableColumn id="13" xr3:uid="{00000000-0010-0000-2400-00000D000000}" name="SV" dataDxfId="6194"/>
    <tableColumn id="14" xr3:uid="{00000000-0010-0000-2400-00000E000000}" name="WH" dataDxfId="6193">
      <calculatedColumnFormula>IFERROR((NYY_P[[#This Row],[BB]]+NYY_P[[#This Row],[H]])/NYY_P[[#This Row],[IP]],)</calculatedColumnFormula>
    </tableColumn>
    <tableColumn id="15" xr3:uid="{00000000-0010-0000-2400-00000F000000}" name="QS" dataDxfId="6192"/>
    <tableColumn id="16" xr3:uid="{00000000-0010-0000-2400-000010000000}" name="UQ" dataDxfId="6191"/>
    <tableColumn id="17" xr3:uid="{00000000-0010-0000-2400-000011000000}" name="CG" dataDxfId="6190"/>
    <tableColumn id="18" xr3:uid="{00000000-0010-0000-2400-000012000000}" name="SH" dataDxfId="6189"/>
    <tableColumn id="19" xr3:uid="{00000000-0010-0000-2400-000013000000}" name="#" dataDxfId="6188"/>
  </tableColumns>
  <tableStyleInfo name="TableStyleMedium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5" xr:uid="{00000000-000C-0000-FFFF-FFFF25000000}" name="TOR_P296" displayName="TOR_P296" ref="Z82:AR92" totalsRowShown="0" headerRowDxfId="6187" dataDxfId="6185" headerRowBorderDxfId="6186">
  <autoFilter ref="Z82:AR92" xr:uid="{00000000-0009-0000-0100-000027010000}"/>
  <sortState xmlns:xlrd2="http://schemas.microsoft.com/office/spreadsheetml/2017/richdata2" ref="Z83:AR92">
    <sortCondition ref="AR82:AR92"/>
  </sortState>
  <tableColumns count="19">
    <tableColumn id="1" xr3:uid="{00000000-0010-0000-2500-000001000000}" name="TM" dataDxfId="6184"/>
    <tableColumn id="2" xr3:uid="{00000000-0010-0000-2500-000002000000}" name="@" dataDxfId="6183"/>
    <tableColumn id="3" xr3:uid="{00000000-0010-0000-2500-000003000000}" name="NAME" dataDxfId="6182"/>
    <tableColumn id="4" xr3:uid="{00000000-0010-0000-2500-000004000000}" name="ERA" dataDxfId="6181">
      <calculatedColumnFormula>IFERROR((TOR_P296[[#This Row],[R]]*9)/TOR_P296[[#This Row],[IP]],0)</calculatedColumnFormula>
    </tableColumn>
    <tableColumn id="5" xr3:uid="{00000000-0010-0000-2500-000005000000}" name="W" dataDxfId="6180"/>
    <tableColumn id="6" xr3:uid="{00000000-0010-0000-2500-000006000000}" name="L" dataDxfId="6179"/>
    <tableColumn id="7" xr3:uid="{00000000-0010-0000-2500-000007000000}" name="G" dataDxfId="6178"/>
    <tableColumn id="8" xr3:uid="{00000000-0010-0000-2500-000008000000}" name="IP" dataDxfId="6177"/>
    <tableColumn id="9" xr3:uid="{00000000-0010-0000-2500-000009000000}" name="H" dataDxfId="6176"/>
    <tableColumn id="10" xr3:uid="{00000000-0010-0000-2500-00000A000000}" name="R" dataDxfId="6175"/>
    <tableColumn id="11" xr3:uid="{00000000-0010-0000-2500-00000B000000}" name="BB" dataDxfId="6174"/>
    <tableColumn id="12" xr3:uid="{00000000-0010-0000-2500-00000C000000}" name="K" dataDxfId="6173"/>
    <tableColumn id="13" xr3:uid="{00000000-0010-0000-2500-00000D000000}" name="SV" dataDxfId="6172"/>
    <tableColumn id="14" xr3:uid="{00000000-0010-0000-2500-00000E000000}" name="WH" dataDxfId="6171">
      <calculatedColumnFormula>IFERROR((TOR_P296[[#This Row],[BB]]+TOR_P296[[#This Row],[H]])/TOR_P296[[#This Row],[IP]],0)</calculatedColumnFormula>
    </tableColumn>
    <tableColumn id="15" xr3:uid="{00000000-0010-0000-2500-00000F000000}" name="QS" dataDxfId="6170"/>
    <tableColumn id="16" xr3:uid="{00000000-0010-0000-2500-000010000000}" name="UQ" dataDxfId="6169"/>
    <tableColumn id="17" xr3:uid="{00000000-0010-0000-2500-000011000000}" name="CG" dataDxfId="6168"/>
    <tableColumn id="18" xr3:uid="{00000000-0010-0000-2500-000012000000}" name="SH" dataDxfId="6167"/>
    <tableColumn id="19" xr3:uid="{00000000-0010-0000-2500-000013000000}" name="#" dataDxfId="6166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6" xr:uid="{00000000-000C-0000-FFFF-FFFF26000000}" name="BOS_P297" displayName="BOS_P297" ref="Z51:AR61" totalsRowShown="0" headerRowDxfId="6165" dataDxfId="6163" headerRowBorderDxfId="6164">
  <autoFilter ref="Z51:AR61" xr:uid="{00000000-0009-0000-0100-000028010000}"/>
  <sortState xmlns:xlrd2="http://schemas.microsoft.com/office/spreadsheetml/2017/richdata2" ref="Z52:AR61">
    <sortCondition ref="AR51:AR61"/>
  </sortState>
  <tableColumns count="19">
    <tableColumn id="1" xr3:uid="{00000000-0010-0000-2600-000001000000}" name="TM" dataDxfId="6162"/>
    <tableColumn id="2" xr3:uid="{00000000-0010-0000-2600-000002000000}" name="@" dataDxfId="6161"/>
    <tableColumn id="3" xr3:uid="{00000000-0010-0000-2600-000003000000}" name="NAME" dataDxfId="6160"/>
    <tableColumn id="4" xr3:uid="{00000000-0010-0000-2600-000004000000}" name="ERA" dataDxfId="6159">
      <calculatedColumnFormula>IFERROR(((BOS_P297[[#This Row],[R]]*9)/BOS_P297[[#This Row],[IP]]),0)</calculatedColumnFormula>
    </tableColumn>
    <tableColumn id="5" xr3:uid="{00000000-0010-0000-2600-000005000000}" name="W" dataDxfId="6158"/>
    <tableColumn id="6" xr3:uid="{00000000-0010-0000-2600-000006000000}" name="L" dataDxfId="6157"/>
    <tableColumn id="7" xr3:uid="{00000000-0010-0000-2600-000007000000}" name="G" dataDxfId="6156"/>
    <tableColumn id="8" xr3:uid="{00000000-0010-0000-2600-000008000000}" name="IP" dataDxfId="6155"/>
    <tableColumn id="9" xr3:uid="{00000000-0010-0000-2600-000009000000}" name="H" dataDxfId="6154"/>
    <tableColumn id="10" xr3:uid="{00000000-0010-0000-2600-00000A000000}" name="R" dataDxfId="6153"/>
    <tableColumn id="11" xr3:uid="{00000000-0010-0000-2600-00000B000000}" name="BB" dataDxfId="6152"/>
    <tableColumn id="12" xr3:uid="{00000000-0010-0000-2600-00000C000000}" name="K" dataDxfId="6151"/>
    <tableColumn id="13" xr3:uid="{00000000-0010-0000-2600-00000D000000}" name="SV" dataDxfId="6150"/>
    <tableColumn id="14" xr3:uid="{00000000-0010-0000-2600-00000E000000}" name="WH" dataDxfId="6149">
      <calculatedColumnFormula>IFERROR((BOS_P297[[#This Row],[BB]]+BOS_P297[[#This Row],[H]])/BOS_P297[[#This Row],[IP]],0)</calculatedColumnFormula>
    </tableColumn>
    <tableColumn id="15" xr3:uid="{00000000-0010-0000-2600-00000F000000}" name="QS" dataDxfId="6148"/>
    <tableColumn id="16" xr3:uid="{00000000-0010-0000-2600-000010000000}" name="UQ" dataDxfId="6147"/>
    <tableColumn id="17" xr3:uid="{00000000-0010-0000-2600-000011000000}" name="CG" dataDxfId="6146"/>
    <tableColumn id="18" xr3:uid="{00000000-0010-0000-2600-000012000000}" name="SH" dataDxfId="6145"/>
    <tableColumn id="19" xr3:uid="{00000000-0010-0000-2600-000013000000}" name="#" dataDxfId="6144"/>
  </tableColumns>
  <tableStyleInfo name="TableStyleMedium3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7" xr:uid="{00000000-000C-0000-FFFF-FFFF27000000}" name="TOR_H298" displayName="TOR_H298" ref="Z65:AV79" totalsRowShown="0" headerRowDxfId="6143" dataDxfId="6141" headerRowBorderDxfId="6142">
  <autoFilter ref="Z65:AV79" xr:uid="{00000000-0009-0000-0100-000029010000}"/>
  <sortState xmlns:xlrd2="http://schemas.microsoft.com/office/spreadsheetml/2017/richdata2" ref="Z66:AV79">
    <sortCondition ref="AV65:AV79"/>
  </sortState>
  <tableColumns count="23">
    <tableColumn id="1" xr3:uid="{00000000-0010-0000-2700-000001000000}" name="TM" dataDxfId="6140"/>
    <tableColumn id="2" xr3:uid="{00000000-0010-0000-2700-000002000000}" name="@" dataDxfId="6139"/>
    <tableColumn id="3" xr3:uid="{00000000-0010-0000-2700-000003000000}" name="NAME" dataDxfId="6138"/>
    <tableColumn id="4" xr3:uid="{00000000-0010-0000-2700-000004000000}" name="BA" dataDxfId="6137">
      <calculatedColumnFormula>IFERROR(TOR_H298[[#This Row],[H]]/TOR_H298[[#This Row],[AB]],0)</calculatedColumnFormula>
    </tableColumn>
    <tableColumn id="5" xr3:uid="{00000000-0010-0000-2700-000005000000}" name="OBP" dataDxfId="6136">
      <calculatedColumnFormula>IFERROR((TOR_H298[[#This Row],[H]]+TOR_H298[[#This Row],[BB]])/(TOR_H298[[#This Row],[AB]]+TOR_H298[[#This Row],[BB]]),0)</calculatedColumnFormula>
    </tableColumn>
    <tableColumn id="6" xr3:uid="{00000000-0010-0000-2700-000006000000}" name="SLG" dataDxfId="6135">
      <calculatedColumnFormula>IFERROR(((TOR_H298[[#This Row],[H]]-TOR_H298[[#This Row],[2B]]-TOR_H298[[#This Row],[3B]]-TOR_H298[[#This Row],[HR]])+(TOR_H298[[#This Row],[2B]]*2)+(TOR_H298[[#This Row],[3B]]*3)+(TOR_H298[[#This Row],[HR]]*4))/TOR_H298[[#This Row],[AB]],0)</calculatedColumnFormula>
    </tableColumn>
    <tableColumn id="7" xr3:uid="{00000000-0010-0000-2700-000007000000}" name="G" dataDxfId="6134"/>
    <tableColumn id="8" xr3:uid="{00000000-0010-0000-2700-000008000000}" name="AB" dataDxfId="6133"/>
    <tableColumn id="9" xr3:uid="{00000000-0010-0000-2700-000009000000}" name="R" dataDxfId="6132"/>
    <tableColumn id="10" xr3:uid="{00000000-0010-0000-2700-00000A000000}" name="H" dataDxfId="6131"/>
    <tableColumn id="11" xr3:uid="{00000000-0010-0000-2700-00000B000000}" name="2B" dataDxfId="6130"/>
    <tableColumn id="12" xr3:uid="{00000000-0010-0000-2700-00000C000000}" name="3B" dataDxfId="6129"/>
    <tableColumn id="13" xr3:uid="{00000000-0010-0000-2700-00000D000000}" name="HR" dataDxfId="6128"/>
    <tableColumn id="14" xr3:uid="{00000000-0010-0000-2700-00000E000000}" name="RBI" dataDxfId="6127"/>
    <tableColumn id="15" xr3:uid="{00000000-0010-0000-2700-00000F000000}" name="BB" dataDxfId="6126"/>
    <tableColumn id="16" xr3:uid="{00000000-0010-0000-2700-000010000000}" name="K" dataDxfId="6125"/>
    <tableColumn id="17" xr3:uid="{00000000-0010-0000-2700-000011000000}" name="SB" dataDxfId="6124"/>
    <tableColumn id="18" xr3:uid="{00000000-0010-0000-2700-000012000000}" name="HS" dataDxfId="6123"/>
    <tableColumn id="19" xr3:uid="{00000000-0010-0000-2700-000013000000}" name="LS" dataDxfId="6122"/>
    <tableColumn id="20" xr3:uid="{00000000-0010-0000-2700-000014000000}" name="TB" dataDxfId="6121">
      <calculatedColumnFormula>IFERROR((TOR_H298[[#This Row],[H]]-TOR_H298[[#This Row],[2B]]-TOR_H298[[#This Row],[3B]]-TOR_H298[[#This Row],[HR]])+(TOR_H298[[#This Row],[2B]]*2)+(TOR_H298[[#This Row],[3B]]*3)+(TOR_H298[[#This Row],[HR]]*4),0)</calculatedColumnFormula>
    </tableColumn>
    <tableColumn id="21" xr3:uid="{00000000-0010-0000-2700-000015000000}" name="OPS" dataDxfId="6120">
      <calculatedColumnFormula>TOR_H298[[#This Row],[OBP]]+TOR_H298[[#This Row],[SLG]]</calculatedColumnFormula>
    </tableColumn>
    <tableColumn id="22" xr3:uid="{00000000-0010-0000-2700-000016000000}" name="*" dataDxfId="6119"/>
    <tableColumn id="23" xr3:uid="{00000000-0010-0000-2700-000017000000}" name="#" dataDxfId="6118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8" xr:uid="{00000000-000C-0000-FFFF-FFFF28000000}" name="BOS_H299" displayName="BOS_H299" ref="Z34:AV48" totalsRowShown="0" headerRowDxfId="6117" headerRowBorderDxfId="6116">
  <autoFilter ref="Z34:AV48" xr:uid="{00000000-0009-0000-0100-00002A010000}"/>
  <sortState xmlns:xlrd2="http://schemas.microsoft.com/office/spreadsheetml/2017/richdata2" ref="Z35:AV48">
    <sortCondition ref="AV34:AV48"/>
  </sortState>
  <tableColumns count="23">
    <tableColumn id="1" xr3:uid="{00000000-0010-0000-2800-000001000000}" name="TM" dataDxfId="6115"/>
    <tableColumn id="2" xr3:uid="{00000000-0010-0000-2800-000002000000}" name="@" dataDxfId="6114"/>
    <tableColumn id="3" xr3:uid="{00000000-0010-0000-2800-000003000000}" name="NAME" dataDxfId="6113"/>
    <tableColumn id="4" xr3:uid="{00000000-0010-0000-2800-000004000000}" name="BA" dataDxfId="6112">
      <calculatedColumnFormula>IFERROR(BOS_H299[[#This Row],[H]]/BOS_H299[[#This Row],[AB]],0)</calculatedColumnFormula>
    </tableColumn>
    <tableColumn id="5" xr3:uid="{00000000-0010-0000-2800-000005000000}" name="OBP" dataDxfId="6111">
      <calculatedColumnFormula>IFERROR((BOS_H299[[#This Row],[H]]+BOS_H299[[#This Row],[BB]])/(BOS_H299[[#This Row],[AB]]+BOS_H299[[#This Row],[BB]]),0)</calculatedColumnFormula>
    </tableColumn>
    <tableColumn id="6" xr3:uid="{00000000-0010-0000-2800-000006000000}" name="SLG" dataDxfId="6110">
      <calculatedColumnFormula>IFERROR(((BOS_H299[[#This Row],[H]]-BOS_H299[[#This Row],[2B]]-BOS_H299[[#This Row],[3B]]-BOS_H299[[#This Row],[HR]])+(BOS_H299[[#This Row],[2B]]*2)+(BOS_H299[[#This Row],[3B]]*3)+(BOS_H299[[#This Row],[HR]]*4))/BOS_H299[[#This Row],[AB]],0)</calculatedColumnFormula>
    </tableColumn>
    <tableColumn id="7" xr3:uid="{00000000-0010-0000-2800-000007000000}" name="G" dataDxfId="6109"/>
    <tableColumn id="8" xr3:uid="{00000000-0010-0000-2800-000008000000}" name="AB" dataDxfId="6108"/>
    <tableColumn id="9" xr3:uid="{00000000-0010-0000-2800-000009000000}" name="R" dataDxfId="6107"/>
    <tableColumn id="10" xr3:uid="{00000000-0010-0000-2800-00000A000000}" name="H" dataDxfId="6106"/>
    <tableColumn id="11" xr3:uid="{00000000-0010-0000-2800-00000B000000}" name="2B" dataDxfId="6105"/>
    <tableColumn id="12" xr3:uid="{00000000-0010-0000-2800-00000C000000}" name="3B" dataDxfId="6104"/>
    <tableColumn id="13" xr3:uid="{00000000-0010-0000-2800-00000D000000}" name="HR" dataDxfId="6103"/>
    <tableColumn id="14" xr3:uid="{00000000-0010-0000-2800-00000E000000}" name="RBI" dataDxfId="6102"/>
    <tableColumn id="15" xr3:uid="{00000000-0010-0000-2800-00000F000000}" name="BB" dataDxfId="6101"/>
    <tableColumn id="16" xr3:uid="{00000000-0010-0000-2800-000010000000}" name="K" dataDxfId="6100"/>
    <tableColumn id="17" xr3:uid="{00000000-0010-0000-2800-000011000000}" name="SB" dataDxfId="6099"/>
    <tableColumn id="18" xr3:uid="{00000000-0010-0000-2800-000012000000}" name="HS" dataDxfId="6098"/>
    <tableColumn id="19" xr3:uid="{00000000-0010-0000-2800-000013000000}" name="LS" dataDxfId="6097"/>
    <tableColumn id="20" xr3:uid="{00000000-0010-0000-2800-000014000000}" name="TB" dataDxfId="6096">
      <calculatedColumnFormula>IFERROR((BOS_H299[[#This Row],[H]]-BOS_H299[[#This Row],[2B]]-BOS_H299[[#This Row],[3B]]-BOS_H299[[#This Row],[HR]])+(BOS_H299[[#This Row],[2B]]*2)+(BOS_H299[[#This Row],[3B]]*3)+(BOS_H299[[#This Row],[HR]]*4),0)</calculatedColumnFormula>
    </tableColumn>
    <tableColumn id="21" xr3:uid="{00000000-0010-0000-2800-000015000000}" name="OPS" dataDxfId="6095">
      <calculatedColumnFormula>BOS_H299[[#This Row],[OBP]]+BOS_H299[[#This Row],[SLG]]</calculatedColumnFormula>
    </tableColumn>
    <tableColumn id="22" xr3:uid="{00000000-0010-0000-2800-000016000000}" name="*" dataDxfId="6094"/>
    <tableColumn id="23" xr3:uid="{00000000-0010-0000-2800-000017000000}" name="#" dataDxfId="6093"/>
  </tableColumns>
  <tableStyleInfo name="TableStyleMedium3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9" xr:uid="{00000000-000C-0000-FFFF-FFFF29000000}" name="TBR_P300" displayName="TBR_P300" ref="Z144:AR154" totalsRowShown="0" headerRowDxfId="6092" dataDxfId="6090" headerRowBorderDxfId="6091">
  <autoFilter ref="Z144:AR154" xr:uid="{00000000-0009-0000-0100-00002B010000}"/>
  <sortState xmlns:xlrd2="http://schemas.microsoft.com/office/spreadsheetml/2017/richdata2" ref="Z145:AR154">
    <sortCondition ref="AR144:AR154"/>
  </sortState>
  <tableColumns count="19">
    <tableColumn id="1" xr3:uid="{00000000-0010-0000-2900-000001000000}" name="TM" dataDxfId="6089"/>
    <tableColumn id="2" xr3:uid="{00000000-0010-0000-2900-000002000000}" name="@" dataDxfId="6088"/>
    <tableColumn id="3" xr3:uid="{00000000-0010-0000-2900-000003000000}" name="NAME" dataDxfId="6087"/>
    <tableColumn id="4" xr3:uid="{00000000-0010-0000-2900-000004000000}" name="ERA" dataDxfId="6086">
      <calculatedColumnFormula>IFERROR((TBR_P300[[#This Row],[R]]*9)/TBR_P300[[#This Row],[IP]],0)</calculatedColumnFormula>
    </tableColumn>
    <tableColumn id="5" xr3:uid="{00000000-0010-0000-2900-000005000000}" name="W" dataDxfId="6085"/>
    <tableColumn id="6" xr3:uid="{00000000-0010-0000-2900-000006000000}" name="L" dataDxfId="6084"/>
    <tableColumn id="7" xr3:uid="{00000000-0010-0000-2900-000007000000}" name="G" dataDxfId="6083"/>
    <tableColumn id="8" xr3:uid="{00000000-0010-0000-2900-000008000000}" name="IP" dataDxfId="6082"/>
    <tableColumn id="9" xr3:uid="{00000000-0010-0000-2900-000009000000}" name="H" dataDxfId="6081"/>
    <tableColumn id="10" xr3:uid="{00000000-0010-0000-2900-00000A000000}" name="R" dataDxfId="6080"/>
    <tableColumn id="11" xr3:uid="{00000000-0010-0000-2900-00000B000000}" name="BB" dataDxfId="6079"/>
    <tableColumn id="12" xr3:uid="{00000000-0010-0000-2900-00000C000000}" name="K" dataDxfId="6078"/>
    <tableColumn id="13" xr3:uid="{00000000-0010-0000-2900-00000D000000}" name="SV" dataDxfId="6077"/>
    <tableColumn id="14" xr3:uid="{00000000-0010-0000-2900-00000E000000}" name="WH" dataDxfId="6076">
      <calculatedColumnFormula>IFERROR((TBR_P300[[#This Row],[BB]]+TBR_P300[[#This Row],[H]])/TBR_P300[[#This Row],[IP]],0)</calculatedColumnFormula>
    </tableColumn>
    <tableColumn id="15" xr3:uid="{00000000-0010-0000-2900-00000F000000}" name="QS" dataDxfId="6075"/>
    <tableColumn id="16" xr3:uid="{00000000-0010-0000-2900-000010000000}" name="UQ" dataDxfId="6074"/>
    <tableColumn id="17" xr3:uid="{00000000-0010-0000-2900-000011000000}" name="CG" dataDxfId="6073"/>
    <tableColumn id="18" xr3:uid="{00000000-0010-0000-2900-000012000000}" name="SH" dataDxfId="6072"/>
    <tableColumn id="19" xr3:uid="{00000000-0010-0000-2900-000013000000}" name="#" dataDxfId="6071"/>
  </tableColumns>
  <tableStyleInfo name="TableStyleMedium5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0" xr:uid="{00000000-000C-0000-FFFF-FFFF2A000000}" name="BAL_P301" displayName="BAL_P301" ref="Z113:AR123" totalsRowShown="0" headerRowDxfId="6070" headerRowBorderDxfId="6069">
  <autoFilter ref="Z113:AR123" xr:uid="{00000000-0009-0000-0100-00002C010000}"/>
  <sortState xmlns:xlrd2="http://schemas.microsoft.com/office/spreadsheetml/2017/richdata2" ref="Z114:AR123">
    <sortCondition ref="AR113:AR123"/>
  </sortState>
  <tableColumns count="19">
    <tableColumn id="1" xr3:uid="{00000000-0010-0000-2A00-000001000000}" name="TM" dataDxfId="6068"/>
    <tableColumn id="2" xr3:uid="{00000000-0010-0000-2A00-000002000000}" name="@" dataDxfId="6067"/>
    <tableColumn id="3" xr3:uid="{00000000-0010-0000-2A00-000003000000}" name="NAME" dataDxfId="6066"/>
    <tableColumn id="4" xr3:uid="{00000000-0010-0000-2A00-000004000000}" name="ERA" dataDxfId="6065">
      <calculatedColumnFormula>IFERROR((BAL_P301[[#This Row],[R]]*9)/BAL_P301[[#This Row],[IP]],0)</calculatedColumnFormula>
    </tableColumn>
    <tableColumn id="5" xr3:uid="{00000000-0010-0000-2A00-000005000000}" name="W" dataDxfId="6064"/>
    <tableColumn id="6" xr3:uid="{00000000-0010-0000-2A00-000006000000}" name="L" dataDxfId="6063"/>
    <tableColumn id="7" xr3:uid="{00000000-0010-0000-2A00-000007000000}" name="G" dataDxfId="6062"/>
    <tableColumn id="8" xr3:uid="{00000000-0010-0000-2A00-000008000000}" name="IP" dataDxfId="6061"/>
    <tableColumn id="9" xr3:uid="{00000000-0010-0000-2A00-000009000000}" name="H" dataDxfId="6060"/>
    <tableColumn id="10" xr3:uid="{00000000-0010-0000-2A00-00000A000000}" name="R" dataDxfId="6059"/>
    <tableColumn id="11" xr3:uid="{00000000-0010-0000-2A00-00000B000000}" name="BB" dataDxfId="6058"/>
    <tableColumn id="12" xr3:uid="{00000000-0010-0000-2A00-00000C000000}" name="K" dataDxfId="6057"/>
    <tableColumn id="13" xr3:uid="{00000000-0010-0000-2A00-00000D000000}" name="SV" dataDxfId="6056"/>
    <tableColumn id="14" xr3:uid="{00000000-0010-0000-2A00-00000E000000}" name="WH" dataDxfId="6055">
      <calculatedColumnFormula>IFERROR((BAL_P301[[#This Row],[BB]]+BAL_P301[[#This Row],[H]])/BAL_P301[[#This Row],[IP]],0)</calculatedColumnFormula>
    </tableColumn>
    <tableColumn id="15" xr3:uid="{00000000-0010-0000-2A00-00000F000000}" name="QS" dataDxfId="6054"/>
    <tableColumn id="16" xr3:uid="{00000000-0010-0000-2A00-000010000000}" name="UQ" dataDxfId="6053"/>
    <tableColumn id="17" xr3:uid="{00000000-0010-0000-2A00-000011000000}" name="CG" dataDxfId="6052"/>
    <tableColumn id="18" xr3:uid="{00000000-0010-0000-2A00-000012000000}" name="SH" dataDxfId="6051"/>
    <tableColumn id="19" xr3:uid="{00000000-0010-0000-2A00-000013000000}" name="#" dataDxfId="6050"/>
  </tableColumns>
  <tableStyleInfo name="TableStyleMedium3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1" xr:uid="{00000000-000C-0000-FFFF-FFFF2B000000}" name="BAL_H302" displayName="BAL_H302" ref="Z96:AV110" totalsRowShown="0" headerRowDxfId="6049" dataDxfId="6047" headerRowBorderDxfId="6048">
  <autoFilter ref="Z96:AV110" xr:uid="{00000000-0009-0000-0100-00002D010000}"/>
  <sortState xmlns:xlrd2="http://schemas.microsoft.com/office/spreadsheetml/2017/richdata2" ref="Z97:AV110">
    <sortCondition descending="1" ref="AS96:AS110"/>
  </sortState>
  <tableColumns count="23">
    <tableColumn id="1" xr3:uid="{00000000-0010-0000-2B00-000001000000}" name="TM" dataDxfId="6046"/>
    <tableColumn id="2" xr3:uid="{00000000-0010-0000-2B00-000002000000}" name="@" dataDxfId="6045"/>
    <tableColumn id="3" xr3:uid="{00000000-0010-0000-2B00-000003000000}" name="NAME" dataDxfId="6044"/>
    <tableColumn id="4" xr3:uid="{00000000-0010-0000-2B00-000004000000}" name="BA" dataDxfId="6043">
      <calculatedColumnFormula>IFERROR((BAL_H302[[#This Row],[H]]/BAL_H302[[#This Row],[AB]]),0)</calculatedColumnFormula>
    </tableColumn>
    <tableColumn id="5" xr3:uid="{00000000-0010-0000-2B00-000005000000}" name="OBP" dataDxfId="6042">
      <calculatedColumnFormula>IFERROR((BAL_H302[[#This Row],[H]]+BAL_H302[[#This Row],[BB]])/(BAL_H302[[#This Row],[BB]]+BAL_H302[[#This Row],[AB]]),0)</calculatedColumnFormula>
    </tableColumn>
    <tableColumn id="6" xr3:uid="{00000000-0010-0000-2B00-000006000000}" name="SLG" dataDxfId="6041">
      <calculatedColumnFormula>IFERROR(((BAL_H302[[#This Row],[H]]-BAL_H302[[#This Row],[2B]]-BAL_H302[[#This Row],[3B]]-BAL_H302[[#This Row],[HR]])+(BAL_H302[[#This Row],[2B]]*2)+(BAL_H302[[#This Row],[3B]]*3)+(BAL_H302[[#This Row],[HR]]*4))/BAL_H302[[#This Row],[AB]],0)</calculatedColumnFormula>
    </tableColumn>
    <tableColumn id="7" xr3:uid="{00000000-0010-0000-2B00-000007000000}" name="G" dataDxfId="6040"/>
    <tableColumn id="8" xr3:uid="{00000000-0010-0000-2B00-000008000000}" name="AB" dataDxfId="6039"/>
    <tableColumn id="9" xr3:uid="{00000000-0010-0000-2B00-000009000000}" name="R" dataDxfId="6038"/>
    <tableColumn id="10" xr3:uid="{00000000-0010-0000-2B00-00000A000000}" name="H" dataDxfId="6037"/>
    <tableColumn id="11" xr3:uid="{00000000-0010-0000-2B00-00000B000000}" name="2B" dataDxfId="6036"/>
    <tableColumn id="12" xr3:uid="{00000000-0010-0000-2B00-00000C000000}" name="3B" dataDxfId="6035"/>
    <tableColumn id="13" xr3:uid="{00000000-0010-0000-2B00-00000D000000}" name="HR" dataDxfId="6034"/>
    <tableColumn id="14" xr3:uid="{00000000-0010-0000-2B00-00000E000000}" name="RBI" dataDxfId="6033"/>
    <tableColumn id="15" xr3:uid="{00000000-0010-0000-2B00-00000F000000}" name="BB" dataDxfId="6032"/>
    <tableColumn id="16" xr3:uid="{00000000-0010-0000-2B00-000010000000}" name="K" dataDxfId="6031"/>
    <tableColumn id="17" xr3:uid="{00000000-0010-0000-2B00-000011000000}" name="SB" dataDxfId="6030"/>
    <tableColumn id="18" xr3:uid="{00000000-0010-0000-2B00-000012000000}" name="HS" dataDxfId="6029"/>
    <tableColumn id="19" xr3:uid="{00000000-0010-0000-2B00-000013000000}" name="LS" dataDxfId="6028"/>
    <tableColumn id="20" xr3:uid="{00000000-0010-0000-2B00-000014000000}" name="TB" dataDxfId="6027">
      <calculatedColumnFormula>IFERROR((BAL_H302[[#This Row],[H]]-BAL_H302[[#This Row],[2B]]-BAL_H302[[#This Row],[3B]]-BAL_H302[[#This Row],[HR]])+(BAL_H302[[#This Row],[2B]]*2)+(BAL_H302[[#This Row],[3B]]*3)+(BAL_H302[[#This Row],[HR]]*4),0)</calculatedColumnFormula>
    </tableColumn>
    <tableColumn id="21" xr3:uid="{00000000-0010-0000-2B00-000015000000}" name="OPS" dataDxfId="6026">
      <calculatedColumnFormula>BAL_H302[[#This Row],[OBP]]+BAL_H302[[#This Row],[SLG]]</calculatedColumnFormula>
    </tableColumn>
    <tableColumn id="22" xr3:uid="{00000000-0010-0000-2B00-000016000000}" name="*" dataDxfId="6025"/>
    <tableColumn id="23" xr3:uid="{00000000-0010-0000-2B00-000017000000}" name="#" dataDxfId="6024"/>
  </tableColumns>
  <tableStyleInfo name="TableStyleMedium3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2" xr:uid="{00000000-000C-0000-FFFF-FFFF2C000000}" name="TBR_H303" displayName="TBR_H303" ref="Z127:AV141" totalsRowShown="0" headerRowDxfId="6023" headerRowBorderDxfId="6022">
  <autoFilter ref="Z127:AV141" xr:uid="{00000000-0009-0000-0100-00002E010000}"/>
  <sortState xmlns:xlrd2="http://schemas.microsoft.com/office/spreadsheetml/2017/richdata2" ref="Z128:AV141">
    <sortCondition ref="AV127:AV141"/>
  </sortState>
  <tableColumns count="23">
    <tableColumn id="1" xr3:uid="{00000000-0010-0000-2C00-000001000000}" name="TM" dataDxfId="6021"/>
    <tableColumn id="2" xr3:uid="{00000000-0010-0000-2C00-000002000000}" name="@" dataDxfId="6020"/>
    <tableColumn id="3" xr3:uid="{00000000-0010-0000-2C00-000003000000}" name="NAME" dataDxfId="6019"/>
    <tableColumn id="4" xr3:uid="{00000000-0010-0000-2C00-000004000000}" name="BA" dataDxfId="6018">
      <calculatedColumnFormula>IFERROR((TBR_H303[[#This Row],[H]]/TBR_H303[[#This Row],[AB]]),0)</calculatedColumnFormula>
    </tableColumn>
    <tableColumn id="5" xr3:uid="{00000000-0010-0000-2C00-000005000000}" name="OBP" dataDxfId="6017">
      <calculatedColumnFormula>IFERROR((TBR_H303[[#This Row],[H]]+TBR_H303[[#This Row],[BB]])/(TBR_H303[[#This Row],[BB]]+TBR_H303[[#This Row],[AB]]),0)</calculatedColumnFormula>
    </tableColumn>
    <tableColumn id="6" xr3:uid="{00000000-0010-0000-2C00-000006000000}" name="SLG" dataDxfId="6016">
      <calculatedColumnFormula>IFERROR(((TBR_H303[[#This Row],[H]]-TBR_H303[[#This Row],[2B]]-TBR_H303[[#This Row],[3B]]-TBR_H303[[#This Row],[HR]])+(TBR_H303[[#This Row],[2B]]*2)+(TBR_H303[[#This Row],[3B]]*3)+(TBR_H303[[#This Row],[HR]]*4))/TBR_H303[[#This Row],[AB]],0)</calculatedColumnFormula>
    </tableColumn>
    <tableColumn id="7" xr3:uid="{00000000-0010-0000-2C00-000007000000}" name="G" dataDxfId="6015"/>
    <tableColumn id="8" xr3:uid="{00000000-0010-0000-2C00-000008000000}" name="AB" dataDxfId="6014"/>
    <tableColumn id="9" xr3:uid="{00000000-0010-0000-2C00-000009000000}" name="R" dataDxfId="6013"/>
    <tableColumn id="10" xr3:uid="{00000000-0010-0000-2C00-00000A000000}" name="H" dataDxfId="6012"/>
    <tableColumn id="11" xr3:uid="{00000000-0010-0000-2C00-00000B000000}" name="2B" dataDxfId="6011"/>
    <tableColumn id="12" xr3:uid="{00000000-0010-0000-2C00-00000C000000}" name="3B" dataDxfId="6010"/>
    <tableColumn id="13" xr3:uid="{00000000-0010-0000-2C00-00000D000000}" name="HR" dataDxfId="6009"/>
    <tableColumn id="14" xr3:uid="{00000000-0010-0000-2C00-00000E000000}" name="RBI" dataDxfId="6008"/>
    <tableColumn id="15" xr3:uid="{00000000-0010-0000-2C00-00000F000000}" name="BB" dataDxfId="6007"/>
    <tableColumn id="16" xr3:uid="{00000000-0010-0000-2C00-000010000000}" name="K" dataDxfId="6006"/>
    <tableColumn id="17" xr3:uid="{00000000-0010-0000-2C00-000011000000}" name="SB" dataDxfId="6005"/>
    <tableColumn id="18" xr3:uid="{00000000-0010-0000-2C00-000012000000}" name="HS" dataDxfId="6004"/>
    <tableColumn id="19" xr3:uid="{00000000-0010-0000-2C00-000013000000}" name="LS" dataDxfId="6003"/>
    <tableColumn id="20" xr3:uid="{00000000-0010-0000-2C00-000014000000}" name="TB" dataDxfId="6002">
      <calculatedColumnFormula>IFERROR((TBR_H303[[#This Row],[H]]-TBR_H303[[#This Row],[2B]]-TBR_H303[[#This Row],[3B]]-TBR_H303[[#This Row],[HR]])+(TBR_H303[[#This Row],[2B]]*2)+(TBR_H303[[#This Row],[3B]]*3)+(TBR_H303[[#This Row],[HR]]*4),0)</calculatedColumnFormula>
    </tableColumn>
    <tableColumn id="21" xr3:uid="{00000000-0010-0000-2C00-000015000000}" name="OPS" dataDxfId="6001">
      <calculatedColumnFormula>TBR_H303[[#This Row],[OBP]]+TBR_H303[[#This Row],[SLG]]</calculatedColumnFormula>
    </tableColumn>
    <tableColumn id="22" xr3:uid="{00000000-0010-0000-2C00-000016000000}" name="*" dataDxfId="6000"/>
    <tableColumn id="23" xr3:uid="{00000000-0010-0000-2C00-000017000000}" name="#" dataDxfId="5999"/>
  </tableColumns>
  <tableStyleInfo name="TableStyleMedium5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3" xr:uid="{00000000-000C-0000-FFFF-FFFF2D000000}" name="NYY_H304" displayName="NYY_H304" ref="Z3:AV17" totalsRowShown="0" headerRowDxfId="5998" dataDxfId="5996" headerRowBorderDxfId="5997">
  <autoFilter ref="Z3:AV17" xr:uid="{00000000-0009-0000-0100-00002F010000}"/>
  <sortState xmlns:xlrd2="http://schemas.microsoft.com/office/spreadsheetml/2017/richdata2" ref="Z4:AV17">
    <sortCondition descending="1" ref="AS3:AS17"/>
  </sortState>
  <tableColumns count="23">
    <tableColumn id="1" xr3:uid="{00000000-0010-0000-2D00-000001000000}" name="TM" dataDxfId="5995"/>
    <tableColumn id="2" xr3:uid="{00000000-0010-0000-2D00-000002000000}" name="@" dataDxfId="5994"/>
    <tableColumn id="3" xr3:uid="{00000000-0010-0000-2D00-000003000000}" name="NAME" dataDxfId="5993"/>
    <tableColumn id="4" xr3:uid="{00000000-0010-0000-2D00-000004000000}" name="BA" dataDxfId="5992">
      <calculatedColumnFormula>IFERROR((NYY_H304[[#This Row],[H]]/NYY_H304[[#This Row],[AB]]),0)</calculatedColumnFormula>
    </tableColumn>
    <tableColumn id="5" xr3:uid="{00000000-0010-0000-2D00-000005000000}" name="OBP" dataDxfId="5991">
      <calculatedColumnFormula>IFERROR((NYY_H304[[#This Row],[H]]+NYY_H304[[#This Row],[BB]])/(NYY_H304[[#This Row],[AB]]+NYY_H304[[#This Row],[BB]]),)</calculatedColumnFormula>
    </tableColumn>
    <tableColumn id="6" xr3:uid="{00000000-0010-0000-2D00-000006000000}" name="SLG" dataDxfId="5990">
      <calculatedColumnFormula>IFERROR(((NYY_H304[[#This Row],[H]]-NYY_H304[[#This Row],[2B]]-NYY_H304[[#This Row],[3B]]-NYY_H304[[#This Row],[HR]])+(NYY_H304[[#This Row],[2B]]*2)+(NYY_H304[[#This Row],[3B]]*3)+(NYY_H304[[#This Row],[HR]]*4))/NYY_H304[[#This Row],[AB]],0)</calculatedColumnFormula>
    </tableColumn>
    <tableColumn id="7" xr3:uid="{00000000-0010-0000-2D00-000007000000}" name="G" dataDxfId="5989"/>
    <tableColumn id="8" xr3:uid="{00000000-0010-0000-2D00-000008000000}" name="AB" dataDxfId="5988"/>
    <tableColumn id="9" xr3:uid="{00000000-0010-0000-2D00-000009000000}" name="R" dataDxfId="5987"/>
    <tableColumn id="10" xr3:uid="{00000000-0010-0000-2D00-00000A000000}" name="H" dataDxfId="5986"/>
    <tableColumn id="11" xr3:uid="{00000000-0010-0000-2D00-00000B000000}" name="2B" dataDxfId="5985"/>
    <tableColumn id="12" xr3:uid="{00000000-0010-0000-2D00-00000C000000}" name="3B" dataDxfId="5984"/>
    <tableColumn id="13" xr3:uid="{00000000-0010-0000-2D00-00000D000000}" name="HR" dataDxfId="5983"/>
    <tableColumn id="14" xr3:uid="{00000000-0010-0000-2D00-00000E000000}" name="RBI" dataDxfId="5982"/>
    <tableColumn id="15" xr3:uid="{00000000-0010-0000-2D00-00000F000000}" name="BB" dataDxfId="5981"/>
    <tableColumn id="16" xr3:uid="{00000000-0010-0000-2D00-000010000000}" name="K" dataDxfId="5980"/>
    <tableColumn id="17" xr3:uid="{00000000-0010-0000-2D00-000011000000}" name="SB" dataDxfId="5979"/>
    <tableColumn id="18" xr3:uid="{00000000-0010-0000-2D00-000012000000}" name="HS" dataDxfId="5978"/>
    <tableColumn id="19" xr3:uid="{00000000-0010-0000-2D00-000013000000}" name="LS" dataDxfId="5977"/>
    <tableColumn id="20" xr3:uid="{00000000-0010-0000-2D00-000014000000}" name="TB" dataDxfId="5976">
      <calculatedColumnFormula>IFERROR((NYY_H304[[#This Row],[H]]-NYY_H304[[#This Row],[2B]]-NYY_H304[[#This Row],[3B]]-NYY_H304[[#This Row],[HR]])+(NYY_H304[[#This Row],[2B]]*2)+(NYY_H304[[#This Row],[3B]]*3)+(NYY_H304[[#This Row],[HR]]*4),0)</calculatedColumnFormula>
    </tableColumn>
    <tableColumn id="21" xr3:uid="{00000000-0010-0000-2D00-000015000000}" name="OPS" dataDxfId="5975">
      <calculatedColumnFormula>NYY_H304[[#This Row],[OBP]]+NYY_H304[[#This Row],[SLG]]</calculatedColumnFormula>
    </tableColumn>
    <tableColumn id="22" xr3:uid="{00000000-0010-0000-2D00-000016000000}" name="*" dataDxfId="5974"/>
    <tableColumn id="23" xr3:uid="{00000000-0010-0000-2D00-000017000000}" name="#" dataDxfId="5973"/>
  </tableColumns>
  <tableStyleInfo name="TableStyleMedium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4" xr:uid="{00000000-000C-0000-FFFF-FFFF2E000000}" name="NYY_P305" displayName="NYY_P305" ref="Z20:AR30" totalsRowShown="0" headerRowDxfId="5972" dataDxfId="5970" headerRowBorderDxfId="5971">
  <autoFilter ref="Z20:AR30" xr:uid="{00000000-0009-0000-0100-000030010000}"/>
  <sortState xmlns:xlrd2="http://schemas.microsoft.com/office/spreadsheetml/2017/richdata2" ref="Z21:AR30">
    <sortCondition ref="AR20:AR30"/>
  </sortState>
  <tableColumns count="19">
    <tableColumn id="1" xr3:uid="{00000000-0010-0000-2E00-000001000000}" name="TM" dataDxfId="5969"/>
    <tableColumn id="2" xr3:uid="{00000000-0010-0000-2E00-000002000000}" name="@" dataDxfId="5968"/>
    <tableColumn id="3" xr3:uid="{00000000-0010-0000-2E00-000003000000}" name="NAME" dataDxfId="5967"/>
    <tableColumn id="4" xr3:uid="{00000000-0010-0000-2E00-000004000000}" name="ERA" dataDxfId="5966">
      <calculatedColumnFormula>IFERROR((NYY_P305[[#This Row],[R]]*9)/NYY_P305[[#This Row],[IP]],0)</calculatedColumnFormula>
    </tableColumn>
    <tableColumn id="5" xr3:uid="{00000000-0010-0000-2E00-000005000000}" name="W" dataDxfId="5965"/>
    <tableColumn id="6" xr3:uid="{00000000-0010-0000-2E00-000006000000}" name="L" dataDxfId="5964"/>
    <tableColumn id="7" xr3:uid="{00000000-0010-0000-2E00-000007000000}" name="G" dataDxfId="5963"/>
    <tableColumn id="8" xr3:uid="{00000000-0010-0000-2E00-000008000000}" name="IP" dataDxfId="5962"/>
    <tableColumn id="9" xr3:uid="{00000000-0010-0000-2E00-000009000000}" name="H" dataDxfId="5961"/>
    <tableColumn id="10" xr3:uid="{00000000-0010-0000-2E00-00000A000000}" name="R" dataDxfId="5960"/>
    <tableColumn id="11" xr3:uid="{00000000-0010-0000-2E00-00000B000000}" name="BB" dataDxfId="5959"/>
    <tableColumn id="12" xr3:uid="{00000000-0010-0000-2E00-00000C000000}" name="K" dataDxfId="5958"/>
    <tableColumn id="13" xr3:uid="{00000000-0010-0000-2E00-00000D000000}" name="SV" dataDxfId="5957"/>
    <tableColumn id="14" xr3:uid="{00000000-0010-0000-2E00-00000E000000}" name="WH" dataDxfId="5956">
      <calculatedColumnFormula>IFERROR((NYY_P305[[#This Row],[BB]]+NYY_P305[[#This Row],[H]])/NYY_P305[[#This Row],[IP]],)</calculatedColumnFormula>
    </tableColumn>
    <tableColumn id="15" xr3:uid="{00000000-0010-0000-2E00-00000F000000}" name="QS" dataDxfId="5955"/>
    <tableColumn id="16" xr3:uid="{00000000-0010-0000-2E00-000010000000}" name="UQ" dataDxfId="5954"/>
    <tableColumn id="17" xr3:uid="{00000000-0010-0000-2E00-000011000000}" name="CG" dataDxfId="5953"/>
    <tableColumn id="18" xr3:uid="{00000000-0010-0000-2E00-000012000000}" name="SH" dataDxfId="5952"/>
    <tableColumn id="19" xr3:uid="{00000000-0010-0000-2E00-000013000000}" name="#" dataDxfId="5951"/>
  </tableColumns>
  <tableStyleInfo name="TableStyleMedium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5" xr:uid="{00000000-000C-0000-FFFF-FFFF2F000000}" name="BOS_H21" displayName="BOS_H21" ref="Z190:AV204" totalsRowShown="0" headerRowDxfId="5950" headerRowBorderDxfId="5949">
  <autoFilter ref="Z190:AV204" xr:uid="{00000000-0009-0000-0100-000031010000}"/>
  <sortState xmlns:xlrd2="http://schemas.microsoft.com/office/spreadsheetml/2017/richdata2" ref="Z191:AV204">
    <sortCondition ref="AV190:AV204"/>
  </sortState>
  <tableColumns count="23">
    <tableColumn id="1" xr3:uid="{00000000-0010-0000-2F00-000001000000}" name="TM" dataDxfId="5948"/>
    <tableColumn id="2" xr3:uid="{00000000-0010-0000-2F00-000002000000}" name="@" dataDxfId="5947"/>
    <tableColumn id="3" xr3:uid="{00000000-0010-0000-2F00-000003000000}" name="NAME" dataDxfId="5946"/>
    <tableColumn id="4" xr3:uid="{00000000-0010-0000-2F00-000004000000}" name="BA" dataDxfId="5945">
      <calculatedColumnFormula>IFERROR(BOS_H21[[#This Row],[H]]/BOS_H21[[#This Row],[AB]],0)</calculatedColumnFormula>
    </tableColumn>
    <tableColumn id="5" xr3:uid="{00000000-0010-0000-2F00-000005000000}" name="OBP" dataDxfId="5944">
      <calculatedColumnFormula>IFERROR((BOS_H21[[#This Row],[H]]+BOS_H21[[#This Row],[BB]])/(BOS_H21[[#This Row],[AB]]+BOS_H21[[#This Row],[BB]]),0)</calculatedColumnFormula>
    </tableColumn>
    <tableColumn id="6" xr3:uid="{00000000-0010-0000-2F00-000006000000}" name="SLG" dataDxfId="5943">
      <calculatedColumnFormula>IFERROR(((BOS_H21[[#This Row],[H]]-BOS_H21[[#This Row],[2B]]-BOS_H21[[#This Row],[3B]]-BOS_H21[[#This Row],[HR]])+(BOS_H21[[#This Row],[2B]]*2)+(BOS_H21[[#This Row],[3B]]*3)+(BOS_H21[[#This Row],[HR]]*4))/BOS_H21[[#This Row],[AB]],0)</calculatedColumnFormula>
    </tableColumn>
    <tableColumn id="7" xr3:uid="{00000000-0010-0000-2F00-000007000000}" name="G" dataDxfId="5942"/>
    <tableColumn id="8" xr3:uid="{00000000-0010-0000-2F00-000008000000}" name="AB" dataDxfId="5941"/>
    <tableColumn id="9" xr3:uid="{00000000-0010-0000-2F00-000009000000}" name="R" dataDxfId="5940"/>
    <tableColumn id="10" xr3:uid="{00000000-0010-0000-2F00-00000A000000}" name="H" dataDxfId="5939"/>
    <tableColumn id="11" xr3:uid="{00000000-0010-0000-2F00-00000B000000}" name="2B" dataDxfId="5938"/>
    <tableColumn id="12" xr3:uid="{00000000-0010-0000-2F00-00000C000000}" name="3B" dataDxfId="5937"/>
    <tableColumn id="13" xr3:uid="{00000000-0010-0000-2F00-00000D000000}" name="HR" dataDxfId="5936"/>
    <tableColumn id="14" xr3:uid="{00000000-0010-0000-2F00-00000E000000}" name="RBI" dataDxfId="5935"/>
    <tableColumn id="15" xr3:uid="{00000000-0010-0000-2F00-00000F000000}" name="BB" dataDxfId="5934"/>
    <tableColumn id="16" xr3:uid="{00000000-0010-0000-2F00-000010000000}" name="K" dataDxfId="5933"/>
    <tableColumn id="17" xr3:uid="{00000000-0010-0000-2F00-000011000000}" name="SB" dataDxfId="5932"/>
    <tableColumn id="18" xr3:uid="{00000000-0010-0000-2F00-000012000000}" name="HS" dataDxfId="5931"/>
    <tableColumn id="19" xr3:uid="{00000000-0010-0000-2F00-000013000000}" name="LS" dataDxfId="5930"/>
    <tableColumn id="20" xr3:uid="{00000000-0010-0000-2F00-000014000000}" name="TB" dataDxfId="5929">
      <calculatedColumnFormula>IFERROR((BOS_H21[[#This Row],[H]]-BOS_H21[[#This Row],[2B]]-BOS_H21[[#This Row],[3B]]-BOS_H21[[#This Row],[HR]])+(BOS_H21[[#This Row],[2B]]*2)+(BOS_H21[[#This Row],[3B]]*3)+(BOS_H21[[#This Row],[HR]]*4),0)</calculatedColumnFormula>
    </tableColumn>
    <tableColumn id="21" xr3:uid="{00000000-0010-0000-2F00-000015000000}" name="OPS" dataDxfId="5928">
      <calculatedColumnFormula>BOS_H21[[#This Row],[OBP]]+BOS_H21[[#This Row],[SLG]]</calculatedColumnFormula>
    </tableColumn>
    <tableColumn id="22" xr3:uid="{00000000-0010-0000-2F00-000016000000}" name="*" dataDxfId="5927"/>
    <tableColumn id="23" xr3:uid="{00000000-0010-0000-2F00-000017000000}" name="#" dataDxfId="5926"/>
  </tableColumns>
  <tableStyleInfo name="TableStyleMedium3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6" xr:uid="{00000000-000C-0000-FFFF-FFFF30000000}" name="BOS_P22" displayName="BOS_P22" ref="Z207:AR217" totalsRowShown="0" headerRowDxfId="5925" dataDxfId="5923" headerRowBorderDxfId="5924">
  <autoFilter ref="Z207:AR217" xr:uid="{00000000-0009-0000-0100-000032010000}"/>
  <sortState xmlns:xlrd2="http://schemas.microsoft.com/office/spreadsheetml/2017/richdata2" ref="Z208:AR217">
    <sortCondition ref="AR207:AR217"/>
  </sortState>
  <tableColumns count="19">
    <tableColumn id="1" xr3:uid="{00000000-0010-0000-3000-000001000000}" name="TM" dataDxfId="5922"/>
    <tableColumn id="2" xr3:uid="{00000000-0010-0000-3000-000002000000}" name="@" dataDxfId="5921"/>
    <tableColumn id="3" xr3:uid="{00000000-0010-0000-3000-000003000000}" name="NAME" dataDxfId="5920"/>
    <tableColumn id="4" xr3:uid="{00000000-0010-0000-3000-000004000000}" name="ERA" dataDxfId="5919">
      <calculatedColumnFormula>IFERROR(((BOS_P22[[#This Row],[R]]*9)/BOS_P22[[#This Row],[IP]]),0)</calculatedColumnFormula>
    </tableColumn>
    <tableColumn id="5" xr3:uid="{00000000-0010-0000-3000-000005000000}" name="W" dataDxfId="5918"/>
    <tableColumn id="6" xr3:uid="{00000000-0010-0000-3000-000006000000}" name="L" dataDxfId="5917"/>
    <tableColumn id="7" xr3:uid="{00000000-0010-0000-3000-000007000000}" name="G" dataDxfId="5916"/>
    <tableColumn id="8" xr3:uid="{00000000-0010-0000-3000-000008000000}" name="IP" dataDxfId="5915"/>
    <tableColumn id="9" xr3:uid="{00000000-0010-0000-3000-000009000000}" name="H" dataDxfId="5914"/>
    <tableColumn id="10" xr3:uid="{00000000-0010-0000-3000-00000A000000}" name="R" dataDxfId="5913"/>
    <tableColumn id="11" xr3:uid="{00000000-0010-0000-3000-00000B000000}" name="BB" dataDxfId="5912"/>
    <tableColumn id="12" xr3:uid="{00000000-0010-0000-3000-00000C000000}" name="K" dataDxfId="5911"/>
    <tableColumn id="13" xr3:uid="{00000000-0010-0000-3000-00000D000000}" name="SV" dataDxfId="5910"/>
    <tableColumn id="14" xr3:uid="{00000000-0010-0000-3000-00000E000000}" name="WH" dataDxfId="5909">
      <calculatedColumnFormula>IFERROR((BOS_P22[[#This Row],[BB]]+BOS_P22[[#This Row],[H]])/BOS_P22[[#This Row],[IP]],0)</calculatedColumnFormula>
    </tableColumn>
    <tableColumn id="15" xr3:uid="{00000000-0010-0000-3000-00000F000000}" name="QS" dataDxfId="5908"/>
    <tableColumn id="16" xr3:uid="{00000000-0010-0000-3000-000010000000}" name="UQ" dataDxfId="5907"/>
    <tableColumn id="17" xr3:uid="{00000000-0010-0000-3000-000011000000}" name="CG" dataDxfId="5906"/>
    <tableColumn id="18" xr3:uid="{00000000-0010-0000-3000-000012000000}" name="SH" dataDxfId="5905"/>
    <tableColumn id="19" xr3:uid="{00000000-0010-0000-3000-000013000000}" name="#" dataDxfId="5904"/>
  </tableColumns>
  <tableStyleInfo name="TableStyleMedium3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7" xr:uid="{00000000-000C-0000-FFFF-FFFF31000000}" name="BAL_H23" displayName="BAL_H23" ref="Z221:AV235" totalsRowShown="0" headerRowDxfId="5903" dataDxfId="5901" headerRowBorderDxfId="5902">
  <autoFilter ref="Z221:AV235" xr:uid="{00000000-0009-0000-0100-000033010000}"/>
  <sortState xmlns:xlrd2="http://schemas.microsoft.com/office/spreadsheetml/2017/richdata2" ref="Z222:AV235">
    <sortCondition ref="AV221:AV235"/>
  </sortState>
  <tableColumns count="23">
    <tableColumn id="1" xr3:uid="{00000000-0010-0000-3100-000001000000}" name="TM" dataDxfId="5900"/>
    <tableColumn id="2" xr3:uid="{00000000-0010-0000-3100-000002000000}" name="@" dataDxfId="5899"/>
    <tableColumn id="3" xr3:uid="{00000000-0010-0000-3100-000003000000}" name="NAME" dataDxfId="5898"/>
    <tableColumn id="4" xr3:uid="{00000000-0010-0000-3100-000004000000}" name="BA" dataDxfId="5897">
      <calculatedColumnFormula>IFERROR((BAL_H23[[#This Row],[H]]/BAL_H23[[#This Row],[AB]]),0)</calculatedColumnFormula>
    </tableColumn>
    <tableColumn id="5" xr3:uid="{00000000-0010-0000-3100-000005000000}" name="OBP" dataDxfId="5896">
      <calculatedColumnFormula>IFERROR((BAL_H23[[#This Row],[H]]+BAL_H23[[#This Row],[BB]])/(BAL_H23[[#This Row],[BB]]+BAL_H23[[#This Row],[AB]]),0)</calculatedColumnFormula>
    </tableColumn>
    <tableColumn id="6" xr3:uid="{00000000-0010-0000-3100-000006000000}" name="SLG" dataDxfId="5895">
      <calculatedColumnFormula>IFERROR(((BAL_H23[[#This Row],[H]]-BAL_H23[[#This Row],[2B]]-BAL_H23[[#This Row],[3B]]-BAL_H23[[#This Row],[HR]])+(BAL_H23[[#This Row],[2B]]*2)+(BAL_H23[[#This Row],[3B]]*3)+(BAL_H23[[#This Row],[HR]]*4))/BAL_H23[[#This Row],[AB]],0)</calculatedColumnFormula>
    </tableColumn>
    <tableColumn id="7" xr3:uid="{00000000-0010-0000-3100-000007000000}" name="G" dataDxfId="5894"/>
    <tableColumn id="8" xr3:uid="{00000000-0010-0000-3100-000008000000}" name="AB" dataDxfId="5893"/>
    <tableColumn id="9" xr3:uid="{00000000-0010-0000-3100-000009000000}" name="R" dataDxfId="5892"/>
    <tableColumn id="10" xr3:uid="{00000000-0010-0000-3100-00000A000000}" name="H" dataDxfId="5891"/>
    <tableColumn id="11" xr3:uid="{00000000-0010-0000-3100-00000B000000}" name="2B" dataDxfId="5890"/>
    <tableColumn id="12" xr3:uid="{00000000-0010-0000-3100-00000C000000}" name="3B" dataDxfId="5889"/>
    <tableColumn id="13" xr3:uid="{00000000-0010-0000-3100-00000D000000}" name="HR" dataDxfId="5888"/>
    <tableColumn id="14" xr3:uid="{00000000-0010-0000-3100-00000E000000}" name="RBI" dataDxfId="5887"/>
    <tableColumn id="15" xr3:uid="{00000000-0010-0000-3100-00000F000000}" name="BB" dataDxfId="5886"/>
    <tableColumn id="16" xr3:uid="{00000000-0010-0000-3100-000010000000}" name="K" dataDxfId="5885"/>
    <tableColumn id="17" xr3:uid="{00000000-0010-0000-3100-000011000000}" name="SB" dataDxfId="5884"/>
    <tableColumn id="18" xr3:uid="{00000000-0010-0000-3100-000012000000}" name="HS" dataDxfId="5883"/>
    <tableColumn id="19" xr3:uid="{00000000-0010-0000-3100-000013000000}" name="LS" dataDxfId="5882"/>
    <tableColumn id="20" xr3:uid="{00000000-0010-0000-3100-000014000000}" name="TB" dataDxfId="5881">
      <calculatedColumnFormula>IFERROR((BAL_H23[[#This Row],[H]]-BAL_H23[[#This Row],[2B]]-BAL_H23[[#This Row],[3B]]-BAL_H23[[#This Row],[HR]])+(BAL_H23[[#This Row],[2B]]*2)+(BAL_H23[[#This Row],[3B]]*3)+(BAL_H23[[#This Row],[HR]]*4),0)</calculatedColumnFormula>
    </tableColumn>
    <tableColumn id="21" xr3:uid="{00000000-0010-0000-3100-000015000000}" name="OPS" dataDxfId="5880">
      <calculatedColumnFormula>BAL_H23[[#This Row],[OBP]]+BAL_H23[[#This Row],[SLG]]</calculatedColumnFormula>
    </tableColumn>
    <tableColumn id="22" xr3:uid="{00000000-0010-0000-3100-000016000000}" name="*" dataDxfId="5879"/>
    <tableColumn id="23" xr3:uid="{00000000-0010-0000-3100-000017000000}" name="#" dataDxfId="5878"/>
  </tableColumns>
  <tableStyleInfo name="TableStyleMedium3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8" xr:uid="{00000000-000C-0000-FFFF-FFFF32000000}" name="BAL_P24" displayName="BAL_P24" ref="Z238:AR248" totalsRowShown="0" headerRowDxfId="5877" headerRowBorderDxfId="5876">
  <autoFilter ref="Z238:AR248" xr:uid="{00000000-0009-0000-0100-000034010000}"/>
  <sortState xmlns:xlrd2="http://schemas.microsoft.com/office/spreadsheetml/2017/richdata2" ref="Z239:AR248">
    <sortCondition ref="AR175:AR185"/>
  </sortState>
  <tableColumns count="19">
    <tableColumn id="1" xr3:uid="{00000000-0010-0000-3200-000001000000}" name="TM" dataDxfId="5875"/>
    <tableColumn id="2" xr3:uid="{00000000-0010-0000-3200-000002000000}" name="@" dataDxfId="5874"/>
    <tableColumn id="3" xr3:uid="{00000000-0010-0000-3200-000003000000}" name="NAME" dataDxfId="5873"/>
    <tableColumn id="4" xr3:uid="{00000000-0010-0000-3200-000004000000}" name="ERA" dataDxfId="5872">
      <calculatedColumnFormula>IFERROR((BAL_P24[[#This Row],[R]]*9)/BAL_P24[[#This Row],[IP]],0)</calculatedColumnFormula>
    </tableColumn>
    <tableColumn id="5" xr3:uid="{00000000-0010-0000-3200-000005000000}" name="W" dataDxfId="5871"/>
    <tableColumn id="6" xr3:uid="{00000000-0010-0000-3200-000006000000}" name="L" dataDxfId="5870"/>
    <tableColumn id="7" xr3:uid="{00000000-0010-0000-3200-000007000000}" name="G" dataDxfId="5869"/>
    <tableColumn id="8" xr3:uid="{00000000-0010-0000-3200-000008000000}" name="IP" dataDxfId="5868"/>
    <tableColumn id="9" xr3:uid="{00000000-0010-0000-3200-000009000000}" name="H" dataDxfId="5867"/>
    <tableColumn id="10" xr3:uid="{00000000-0010-0000-3200-00000A000000}" name="R" dataDxfId="5866"/>
    <tableColumn id="11" xr3:uid="{00000000-0010-0000-3200-00000B000000}" name="BB" dataDxfId="5865"/>
    <tableColumn id="12" xr3:uid="{00000000-0010-0000-3200-00000C000000}" name="K" dataDxfId="5864"/>
    <tableColumn id="13" xr3:uid="{00000000-0010-0000-3200-00000D000000}" name="SV" dataDxfId="5863"/>
    <tableColumn id="14" xr3:uid="{00000000-0010-0000-3200-00000E000000}" name="WH" dataDxfId="5862">
      <calculatedColumnFormula>IFERROR((BAL_P24[[#This Row],[BB]]+BAL_P24[[#This Row],[H]])/BAL_P24[[#This Row],[IP]],0)</calculatedColumnFormula>
    </tableColumn>
    <tableColumn id="15" xr3:uid="{00000000-0010-0000-3200-00000F000000}" name="QS" dataDxfId="5861"/>
    <tableColumn id="16" xr3:uid="{00000000-0010-0000-3200-000010000000}" name="UQ" dataDxfId="5860"/>
    <tableColumn id="17" xr3:uid="{00000000-0010-0000-3200-000011000000}" name="CG" dataDxfId="5859"/>
    <tableColumn id="18" xr3:uid="{00000000-0010-0000-3200-000012000000}" name="SH" dataDxfId="5858"/>
    <tableColumn id="19" xr3:uid="{00000000-0010-0000-3200-000013000000}" name="#" dataDxfId="5857"/>
  </tableColumns>
  <tableStyleInfo name="TableStyleMedium3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9" xr:uid="{00000000-000C-0000-FFFF-FFFF33000000}" name="TOR_H51" displayName="TOR_H51" ref="Z159:AV173" totalsRowShown="0" headerRowDxfId="5856" dataDxfId="5854" headerRowBorderDxfId="5855">
  <autoFilter ref="Z159:AV173" xr:uid="{00000000-0009-0000-0100-000035010000}"/>
  <sortState xmlns:xlrd2="http://schemas.microsoft.com/office/spreadsheetml/2017/richdata2" ref="Z160:AV173">
    <sortCondition ref="AV159:AV173"/>
  </sortState>
  <tableColumns count="23">
    <tableColumn id="1" xr3:uid="{00000000-0010-0000-3300-000001000000}" name="TM" dataDxfId="5853"/>
    <tableColumn id="2" xr3:uid="{00000000-0010-0000-3300-000002000000}" name="@" dataDxfId="5852"/>
    <tableColumn id="3" xr3:uid="{00000000-0010-0000-3300-000003000000}" name="NAME" dataDxfId="5851"/>
    <tableColumn id="4" xr3:uid="{00000000-0010-0000-3300-000004000000}" name="BA" dataDxfId="5850">
      <calculatedColumnFormula>IFERROR(TOR_H51[[#This Row],[H]]/TOR_H51[[#This Row],[AB]],0)</calculatedColumnFormula>
    </tableColumn>
    <tableColumn id="5" xr3:uid="{00000000-0010-0000-3300-000005000000}" name="OBP" dataDxfId="5849">
      <calculatedColumnFormula>IFERROR((TOR_H51[[#This Row],[H]]+TOR_H51[[#This Row],[BB]])/(TOR_H51[[#This Row],[AB]]+TOR_H51[[#This Row],[BB]]),0)</calculatedColumnFormula>
    </tableColumn>
    <tableColumn id="6" xr3:uid="{00000000-0010-0000-3300-000006000000}" name="SLG" dataDxfId="5848">
      <calculatedColumnFormula>IFERROR(((TOR_H51[[#This Row],[H]]-TOR_H51[[#This Row],[2B]]-TOR_H51[[#This Row],[3B]]-TOR_H51[[#This Row],[HR]])+(TOR_H51[[#This Row],[2B]]*2)+(TOR_H51[[#This Row],[3B]]*3)+(TOR_H51[[#This Row],[HR]]*4))/TOR_H51[[#This Row],[AB]],0)</calculatedColumnFormula>
    </tableColumn>
    <tableColumn id="7" xr3:uid="{00000000-0010-0000-3300-000007000000}" name="G" dataDxfId="5847"/>
    <tableColumn id="8" xr3:uid="{00000000-0010-0000-3300-000008000000}" name="AB" dataDxfId="5846"/>
    <tableColumn id="9" xr3:uid="{00000000-0010-0000-3300-000009000000}" name="R" dataDxfId="5845"/>
    <tableColumn id="10" xr3:uid="{00000000-0010-0000-3300-00000A000000}" name="H" dataDxfId="5844"/>
    <tableColumn id="11" xr3:uid="{00000000-0010-0000-3300-00000B000000}" name="2B" dataDxfId="5843"/>
    <tableColumn id="12" xr3:uid="{00000000-0010-0000-3300-00000C000000}" name="3B" dataDxfId="5842"/>
    <tableColumn id="13" xr3:uid="{00000000-0010-0000-3300-00000D000000}" name="HR" dataDxfId="5841"/>
    <tableColumn id="14" xr3:uid="{00000000-0010-0000-3300-00000E000000}" name="RBI" dataDxfId="5840"/>
    <tableColumn id="15" xr3:uid="{00000000-0010-0000-3300-00000F000000}" name="BB" dataDxfId="5839"/>
    <tableColumn id="16" xr3:uid="{00000000-0010-0000-3300-000010000000}" name="K" dataDxfId="5838"/>
    <tableColumn id="17" xr3:uid="{00000000-0010-0000-3300-000011000000}" name="SB" dataDxfId="5837"/>
    <tableColumn id="18" xr3:uid="{00000000-0010-0000-3300-000012000000}" name="HS" dataDxfId="5836"/>
    <tableColumn id="19" xr3:uid="{00000000-0010-0000-3300-000013000000}" name="LS" dataDxfId="5835"/>
    <tableColumn id="20" xr3:uid="{00000000-0010-0000-3300-000014000000}" name="TB" dataDxfId="5834">
      <calculatedColumnFormula>IFERROR((TOR_H51[[#This Row],[H]]-TOR_H51[[#This Row],[2B]]-TOR_H51[[#This Row],[3B]]-TOR_H51[[#This Row],[HR]])+(TOR_H51[[#This Row],[2B]]*2)+(TOR_H51[[#This Row],[3B]]*3)+(TOR_H51[[#This Row],[HR]]*4),0)</calculatedColumnFormula>
    </tableColumn>
    <tableColumn id="21" xr3:uid="{00000000-0010-0000-3300-000015000000}" name="OPS" dataDxfId="5833">
      <calculatedColumnFormula>TOR_H51[[#This Row],[OBP]]+TOR_H51[[#This Row],[SLG]]</calculatedColumnFormula>
    </tableColumn>
    <tableColumn id="22" xr3:uid="{00000000-0010-0000-3300-000016000000}" name="*" dataDxfId="5832"/>
    <tableColumn id="23" xr3:uid="{00000000-0010-0000-3300-000017000000}" name="#" dataDxfId="5831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0" xr:uid="{00000000-000C-0000-FFFF-FFFF34000000}" name="TOR_P52" displayName="TOR_P52" ref="Z176:AR186" totalsRowShown="0" headerRowDxfId="5830" dataDxfId="5828" headerRowBorderDxfId="5829">
  <autoFilter ref="Z176:AR186" xr:uid="{00000000-0009-0000-0100-000036010000}"/>
  <sortState xmlns:xlrd2="http://schemas.microsoft.com/office/spreadsheetml/2017/richdata2" ref="Z177:AR186">
    <sortCondition ref="AR82:AR92"/>
  </sortState>
  <tableColumns count="19">
    <tableColumn id="1" xr3:uid="{00000000-0010-0000-3400-000001000000}" name="TM" dataDxfId="5827"/>
    <tableColumn id="2" xr3:uid="{00000000-0010-0000-3400-000002000000}" name="@" dataDxfId="5826"/>
    <tableColumn id="3" xr3:uid="{00000000-0010-0000-3400-000003000000}" name="NAME" dataDxfId="5825"/>
    <tableColumn id="4" xr3:uid="{00000000-0010-0000-3400-000004000000}" name="ERA" dataDxfId="5824">
      <calculatedColumnFormula>IFERROR((TOR_P52[[#This Row],[R]]*9)/TOR_P52[[#This Row],[IP]],0)</calculatedColumnFormula>
    </tableColumn>
    <tableColumn id="5" xr3:uid="{00000000-0010-0000-3400-000005000000}" name="W" dataDxfId="5823"/>
    <tableColumn id="6" xr3:uid="{00000000-0010-0000-3400-000006000000}" name="L" dataDxfId="5822"/>
    <tableColumn id="7" xr3:uid="{00000000-0010-0000-3400-000007000000}" name="G" dataDxfId="5821"/>
    <tableColumn id="8" xr3:uid="{00000000-0010-0000-3400-000008000000}" name="IP" dataDxfId="5820"/>
    <tableColumn id="9" xr3:uid="{00000000-0010-0000-3400-000009000000}" name="H" dataDxfId="5819"/>
    <tableColumn id="10" xr3:uid="{00000000-0010-0000-3400-00000A000000}" name="R" dataDxfId="5818"/>
    <tableColumn id="11" xr3:uid="{00000000-0010-0000-3400-00000B000000}" name="BB" dataDxfId="5817"/>
    <tableColumn id="12" xr3:uid="{00000000-0010-0000-3400-00000C000000}" name="K" dataDxfId="5816"/>
    <tableColumn id="13" xr3:uid="{00000000-0010-0000-3400-00000D000000}" name="SV" dataDxfId="5815"/>
    <tableColumn id="14" xr3:uid="{00000000-0010-0000-3400-00000E000000}" name="WH" dataDxfId="5814">
      <calculatedColumnFormula>IFERROR((TOR_P52[[#This Row],[BB]]+TOR_P52[[#This Row],[H]])/TOR_P52[[#This Row],[IP]],0)</calculatedColumnFormula>
    </tableColumn>
    <tableColumn id="15" xr3:uid="{00000000-0010-0000-3400-00000F000000}" name="QS" dataDxfId="5813"/>
    <tableColumn id="16" xr3:uid="{00000000-0010-0000-3400-000010000000}" name="UQ" dataDxfId="5812"/>
    <tableColumn id="17" xr3:uid="{00000000-0010-0000-3400-000011000000}" name="CG" dataDxfId="5811"/>
    <tableColumn id="18" xr3:uid="{00000000-0010-0000-3400-000012000000}" name="SH" dataDxfId="5810"/>
    <tableColumn id="19" xr3:uid="{00000000-0010-0000-3400-000013000000}" name="#" dataDxfId="5809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1" xr:uid="{00000000-000C-0000-FFFF-FFFF35000000}" name="TOR_H5196" displayName="TOR_H5196" ref="Z252:AV266" totalsRowShown="0" headerRowDxfId="5808" dataDxfId="5806" headerRowBorderDxfId="5807">
  <autoFilter ref="Z252:AV266" xr:uid="{00000000-0009-0000-0100-000037010000}"/>
  <sortState xmlns:xlrd2="http://schemas.microsoft.com/office/spreadsheetml/2017/richdata2" ref="Z253:AV266">
    <sortCondition ref="AV252:AV266"/>
  </sortState>
  <tableColumns count="23">
    <tableColumn id="1" xr3:uid="{00000000-0010-0000-3500-000001000000}" name="TM" dataDxfId="5805"/>
    <tableColumn id="2" xr3:uid="{00000000-0010-0000-3500-000002000000}" name="@" dataDxfId="5804"/>
    <tableColumn id="3" xr3:uid="{00000000-0010-0000-3500-000003000000}" name="NAME" dataDxfId="5803"/>
    <tableColumn id="4" xr3:uid="{00000000-0010-0000-3500-000004000000}" name="BA" dataDxfId="5802">
      <calculatedColumnFormula>IFERROR(TOR_H5196[[#This Row],[H]]/TOR_H5196[[#This Row],[AB]],0)</calculatedColumnFormula>
    </tableColumn>
    <tableColumn id="5" xr3:uid="{00000000-0010-0000-3500-000005000000}" name="OBP" dataDxfId="5801">
      <calculatedColumnFormula>IFERROR((TOR_H5196[[#This Row],[H]]+TOR_H5196[[#This Row],[BB]])/(TOR_H5196[[#This Row],[AB]]+TOR_H5196[[#This Row],[BB]]),0)</calculatedColumnFormula>
    </tableColumn>
    <tableColumn id="6" xr3:uid="{00000000-0010-0000-3500-000006000000}" name="SLG" dataDxfId="5800">
      <calculatedColumnFormula>IFERROR(((TOR_H5196[[#This Row],[H]]-TOR_H5196[[#This Row],[2B]]-TOR_H5196[[#This Row],[3B]]-TOR_H5196[[#This Row],[HR]])+(TOR_H5196[[#This Row],[2B]]*2)+(TOR_H5196[[#This Row],[3B]]*3)+(TOR_H5196[[#This Row],[HR]]*4))/TOR_H5196[[#This Row],[AB]],0)</calculatedColumnFormula>
    </tableColumn>
    <tableColumn id="7" xr3:uid="{00000000-0010-0000-3500-000007000000}" name="G" dataDxfId="5799"/>
    <tableColumn id="8" xr3:uid="{00000000-0010-0000-3500-000008000000}" name="AB" dataDxfId="5798"/>
    <tableColumn id="9" xr3:uid="{00000000-0010-0000-3500-000009000000}" name="R" dataDxfId="5797"/>
    <tableColumn id="10" xr3:uid="{00000000-0010-0000-3500-00000A000000}" name="H" dataDxfId="5796"/>
    <tableColumn id="11" xr3:uid="{00000000-0010-0000-3500-00000B000000}" name="2B" dataDxfId="5795"/>
    <tableColumn id="12" xr3:uid="{00000000-0010-0000-3500-00000C000000}" name="3B" dataDxfId="5794"/>
    <tableColumn id="13" xr3:uid="{00000000-0010-0000-3500-00000D000000}" name="HR" dataDxfId="5793"/>
    <tableColumn id="14" xr3:uid="{00000000-0010-0000-3500-00000E000000}" name="RBI" dataDxfId="5792"/>
    <tableColumn id="15" xr3:uid="{00000000-0010-0000-3500-00000F000000}" name="BB" dataDxfId="5791"/>
    <tableColumn id="16" xr3:uid="{00000000-0010-0000-3500-000010000000}" name="K" dataDxfId="5790"/>
    <tableColumn id="17" xr3:uid="{00000000-0010-0000-3500-000011000000}" name="SB" dataDxfId="5789"/>
    <tableColumn id="18" xr3:uid="{00000000-0010-0000-3500-000012000000}" name="HS" dataDxfId="5788"/>
    <tableColumn id="19" xr3:uid="{00000000-0010-0000-3500-000013000000}" name="LS" dataDxfId="5787"/>
    <tableColumn id="20" xr3:uid="{00000000-0010-0000-3500-000014000000}" name="TB" dataDxfId="5786">
      <calculatedColumnFormula>IFERROR((TOR_H5196[[#This Row],[H]]-TOR_H5196[[#This Row],[2B]]-TOR_H5196[[#This Row],[3B]]-TOR_H5196[[#This Row],[HR]])+(TOR_H5196[[#This Row],[2B]]*2)+(TOR_H5196[[#This Row],[3B]]*3)+(TOR_H5196[[#This Row],[HR]]*4),0)</calculatedColumnFormula>
    </tableColumn>
    <tableColumn id="21" xr3:uid="{00000000-0010-0000-3500-000015000000}" name="OPS" dataDxfId="5785">
      <calculatedColumnFormula>TOR_H5196[[#This Row],[OBP]]+TOR_H5196[[#This Row],[SLG]]</calculatedColumnFormula>
    </tableColumn>
    <tableColumn id="22" xr3:uid="{00000000-0010-0000-3500-000016000000}" name="*" dataDxfId="5784"/>
    <tableColumn id="23" xr3:uid="{00000000-0010-0000-3500-000017000000}" name="#" dataDxfId="5783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2" xr:uid="{00000000-000C-0000-FFFF-FFFF36000000}" name="TOR_P5297" displayName="TOR_P5297" ref="Z269:AR279" totalsRowShown="0" headerRowDxfId="5782" dataDxfId="5780" headerRowBorderDxfId="5781">
  <autoFilter ref="Z269:AR279" xr:uid="{00000000-0009-0000-0100-000038010000}"/>
  <sortState xmlns:xlrd2="http://schemas.microsoft.com/office/spreadsheetml/2017/richdata2" ref="Z270:AR279">
    <sortCondition ref="AR82:AR92"/>
  </sortState>
  <tableColumns count="19">
    <tableColumn id="1" xr3:uid="{00000000-0010-0000-3600-000001000000}" name="TM" dataDxfId="5779"/>
    <tableColumn id="2" xr3:uid="{00000000-0010-0000-3600-000002000000}" name="@" dataDxfId="5778"/>
    <tableColumn id="3" xr3:uid="{00000000-0010-0000-3600-000003000000}" name="NAME" dataDxfId="5777"/>
    <tableColumn id="4" xr3:uid="{00000000-0010-0000-3600-000004000000}" name="ERA" dataDxfId="5776">
      <calculatedColumnFormula>IFERROR((TOR_P5297[[#This Row],[R]]*9)/TOR_P5297[[#This Row],[IP]],0)</calculatedColumnFormula>
    </tableColumn>
    <tableColumn id="5" xr3:uid="{00000000-0010-0000-3600-000005000000}" name="W" dataDxfId="5775"/>
    <tableColumn id="6" xr3:uid="{00000000-0010-0000-3600-000006000000}" name="L" dataDxfId="5774"/>
    <tableColumn id="7" xr3:uid="{00000000-0010-0000-3600-000007000000}" name="G" dataDxfId="5773"/>
    <tableColumn id="8" xr3:uid="{00000000-0010-0000-3600-000008000000}" name="IP" dataDxfId="5772"/>
    <tableColumn id="9" xr3:uid="{00000000-0010-0000-3600-000009000000}" name="H" dataDxfId="5771"/>
    <tableColumn id="10" xr3:uid="{00000000-0010-0000-3600-00000A000000}" name="R" dataDxfId="5770"/>
    <tableColumn id="11" xr3:uid="{00000000-0010-0000-3600-00000B000000}" name="BB" dataDxfId="5769"/>
    <tableColumn id="12" xr3:uid="{00000000-0010-0000-3600-00000C000000}" name="K" dataDxfId="5768"/>
    <tableColumn id="13" xr3:uid="{00000000-0010-0000-3600-00000D000000}" name="SV" dataDxfId="5767"/>
    <tableColumn id="14" xr3:uid="{00000000-0010-0000-3600-00000E000000}" name="WH" dataDxfId="5766">
      <calculatedColumnFormula>IFERROR((TOR_P5297[[#This Row],[BB]]+TOR_P5297[[#This Row],[H]])/TOR_P5297[[#This Row],[IP]],0)</calculatedColumnFormula>
    </tableColumn>
    <tableColumn id="15" xr3:uid="{00000000-0010-0000-3600-00000F000000}" name="QS" dataDxfId="5765"/>
    <tableColumn id="16" xr3:uid="{00000000-0010-0000-3600-000010000000}" name="UQ" dataDxfId="5764"/>
    <tableColumn id="17" xr3:uid="{00000000-0010-0000-3600-000011000000}" name="CG" dataDxfId="5763"/>
    <tableColumn id="18" xr3:uid="{00000000-0010-0000-3600-000012000000}" name="SH" dataDxfId="5762"/>
    <tableColumn id="19" xr3:uid="{00000000-0010-0000-3600-000013000000}" name="#" dataDxfId="5761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3" xr:uid="{00000000-000C-0000-FFFF-FFFF37000000}" name="TOR_P209" displayName="TOR_P209" ref="AY82:BQ92" totalsRowShown="0" headerRowDxfId="5760" dataDxfId="5758" headerRowBorderDxfId="5759">
  <autoFilter ref="AY82:BQ92" xr:uid="{00000000-0009-0000-0100-000039010000}"/>
  <sortState xmlns:xlrd2="http://schemas.microsoft.com/office/spreadsheetml/2017/richdata2" ref="AY83:BQ92">
    <sortCondition ref="BQ82:BQ92"/>
  </sortState>
  <tableColumns count="19">
    <tableColumn id="1" xr3:uid="{00000000-0010-0000-3700-000001000000}" name="TM" dataDxfId="5757"/>
    <tableColumn id="2" xr3:uid="{00000000-0010-0000-3700-000002000000}" name="@" dataDxfId="5756"/>
    <tableColumn id="3" xr3:uid="{00000000-0010-0000-3700-000003000000}" name="NAME" dataDxfId="5755"/>
    <tableColumn id="4" xr3:uid="{00000000-0010-0000-3700-000004000000}" name="ERA" dataDxfId="5754">
      <calculatedColumnFormula>IFERROR((TOR_P209[[#This Row],[R]]*9)/TOR_P209[[#This Row],[IP]],0)</calculatedColumnFormula>
    </tableColumn>
    <tableColumn id="5" xr3:uid="{00000000-0010-0000-3700-000005000000}" name="W" dataDxfId="5753"/>
    <tableColumn id="6" xr3:uid="{00000000-0010-0000-3700-000006000000}" name="L" dataDxfId="5752"/>
    <tableColumn id="7" xr3:uid="{00000000-0010-0000-3700-000007000000}" name="G" dataDxfId="5751"/>
    <tableColumn id="8" xr3:uid="{00000000-0010-0000-3700-000008000000}" name="IP" dataDxfId="5750"/>
    <tableColumn id="9" xr3:uid="{00000000-0010-0000-3700-000009000000}" name="H" dataDxfId="5749"/>
    <tableColumn id="10" xr3:uid="{00000000-0010-0000-3700-00000A000000}" name="R" dataDxfId="5748"/>
    <tableColumn id="11" xr3:uid="{00000000-0010-0000-3700-00000B000000}" name="BB" dataDxfId="5747"/>
    <tableColumn id="12" xr3:uid="{00000000-0010-0000-3700-00000C000000}" name="K" dataDxfId="5746"/>
    <tableColumn id="13" xr3:uid="{00000000-0010-0000-3700-00000D000000}" name="SV" dataDxfId="5745"/>
    <tableColumn id="14" xr3:uid="{00000000-0010-0000-3700-00000E000000}" name="WH" dataDxfId="5744">
      <calculatedColumnFormula>IFERROR((TOR_P209[[#This Row],[H]]+TOR_P209[[#This Row],[BB]])/TOR_P209[[#This Row],[IP]],0)</calculatedColumnFormula>
    </tableColumn>
    <tableColumn id="15" xr3:uid="{00000000-0010-0000-3700-00000F000000}" name="QS" dataDxfId="5743"/>
    <tableColumn id="16" xr3:uid="{00000000-0010-0000-3700-000010000000}" name="UQ" dataDxfId="5742"/>
    <tableColumn id="17" xr3:uid="{00000000-0010-0000-3700-000011000000}" name="CG" dataDxfId="5741"/>
    <tableColumn id="18" xr3:uid="{00000000-0010-0000-3700-000012000000}" name="SH" dataDxfId="5740"/>
    <tableColumn id="19" xr3:uid="{00000000-0010-0000-3700-000013000000}" name="#" dataDxfId="5739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4" xr:uid="{00000000-000C-0000-FFFF-FFFF38000000}" name="BOS_P210" displayName="BOS_P210" ref="AY51:BQ61" totalsRowShown="0" headerRowDxfId="5738" dataDxfId="5736" headerRowBorderDxfId="5737">
  <autoFilter ref="AY51:BQ61" xr:uid="{00000000-0009-0000-0100-00003A010000}"/>
  <sortState xmlns:xlrd2="http://schemas.microsoft.com/office/spreadsheetml/2017/richdata2" ref="AY52:BQ61">
    <sortCondition ref="BQ51:BQ61"/>
  </sortState>
  <tableColumns count="19">
    <tableColumn id="1" xr3:uid="{00000000-0010-0000-3800-000001000000}" name="TM" dataDxfId="5735"/>
    <tableColumn id="2" xr3:uid="{00000000-0010-0000-3800-000002000000}" name="@" dataDxfId="5734"/>
    <tableColumn id="3" xr3:uid="{00000000-0010-0000-3800-000003000000}" name="NAME" dataDxfId="5733"/>
    <tableColumn id="4" xr3:uid="{00000000-0010-0000-3800-000004000000}" name="ERA" dataDxfId="5732">
      <calculatedColumnFormula>IFERROR((BOS_P210[[#This Row],[R]]*9)/BOS_P210[[#This Row],[IP]],0)</calculatedColumnFormula>
    </tableColumn>
    <tableColumn id="5" xr3:uid="{00000000-0010-0000-3800-000005000000}" name="W" dataDxfId="5731"/>
    <tableColumn id="6" xr3:uid="{00000000-0010-0000-3800-000006000000}" name="L" dataDxfId="5730"/>
    <tableColumn id="7" xr3:uid="{00000000-0010-0000-3800-000007000000}" name="G" dataDxfId="5729"/>
    <tableColumn id="8" xr3:uid="{00000000-0010-0000-3800-000008000000}" name="IP" dataDxfId="5728"/>
    <tableColumn id="9" xr3:uid="{00000000-0010-0000-3800-000009000000}" name="H" dataDxfId="5727"/>
    <tableColumn id="10" xr3:uid="{00000000-0010-0000-3800-00000A000000}" name="R" dataDxfId="5726"/>
    <tableColumn id="11" xr3:uid="{00000000-0010-0000-3800-00000B000000}" name="BB" dataDxfId="5725"/>
    <tableColumn id="12" xr3:uid="{00000000-0010-0000-3800-00000C000000}" name="K" dataDxfId="5724"/>
    <tableColumn id="13" xr3:uid="{00000000-0010-0000-3800-00000D000000}" name="SV" dataDxfId="5723"/>
    <tableColumn id="14" xr3:uid="{00000000-0010-0000-3800-00000E000000}" name="WH" dataDxfId="5722">
      <calculatedColumnFormula>IFERROR((BOS_P210[[#This Row],[BB]]+BOS_P210[[#This Row],[H]])/BOS_P210[[#This Row],[IP]],0)</calculatedColumnFormula>
    </tableColumn>
    <tableColumn id="15" xr3:uid="{00000000-0010-0000-3800-00000F000000}" name="QS" dataDxfId="5721"/>
    <tableColumn id="16" xr3:uid="{00000000-0010-0000-3800-000010000000}" name="UQ" dataDxfId="5720"/>
    <tableColumn id="17" xr3:uid="{00000000-0010-0000-3800-000011000000}" name="CG" dataDxfId="5719"/>
    <tableColumn id="18" xr3:uid="{00000000-0010-0000-3800-000012000000}" name="SH" dataDxfId="5718"/>
    <tableColumn id="19" xr3:uid="{00000000-0010-0000-3800-000013000000}" name="#" dataDxfId="5717"/>
  </tableColumns>
  <tableStyleInfo name="TableStyleMedium3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5" xr:uid="{00000000-000C-0000-FFFF-FFFF39000000}" name="TOR_H211" displayName="TOR_H211" ref="AY65:BU79" totalsRowShown="0" headerRowDxfId="5716" dataDxfId="5714" headerRowBorderDxfId="5715">
  <autoFilter ref="AY65:BU79" xr:uid="{00000000-0009-0000-0100-00003B010000}"/>
  <sortState xmlns:xlrd2="http://schemas.microsoft.com/office/spreadsheetml/2017/richdata2" ref="AY66:BU79">
    <sortCondition descending="1" ref="BR65:BR79"/>
  </sortState>
  <tableColumns count="23">
    <tableColumn id="1" xr3:uid="{00000000-0010-0000-3900-000001000000}" name="TM" dataDxfId="5713"/>
    <tableColumn id="2" xr3:uid="{00000000-0010-0000-3900-000002000000}" name="@" dataDxfId="5712"/>
    <tableColumn id="3" xr3:uid="{00000000-0010-0000-3900-000003000000}" name="NAME" dataDxfId="5711"/>
    <tableColumn id="4" xr3:uid="{00000000-0010-0000-3900-000004000000}" name="BA" dataDxfId="5710">
      <calculatedColumnFormula>IFERROR(TOR_H211[[#This Row],[H]]/TOR_H211[[#This Row],[AB]],0)</calculatedColumnFormula>
    </tableColumn>
    <tableColumn id="5" xr3:uid="{00000000-0010-0000-3900-000005000000}" name="OBP" dataDxfId="5709">
      <calculatedColumnFormula>IFERROR((TOR_H211[[#This Row],[BB]]+TOR_H211[[#This Row],[H]])/(TOR_H211[[#This Row],[AB]]+TOR_H211[[#This Row],[BB]]),0)</calculatedColumnFormula>
    </tableColumn>
    <tableColumn id="6" xr3:uid="{00000000-0010-0000-3900-000006000000}" name="SLG" dataDxfId="5708">
      <calculatedColumnFormula>IFERROR(((TOR_H211[[#This Row],[H]]-TOR_H211[[#This Row],[2B]]-TOR_H211[[#This Row],[3B]]-TOR_H211[[#This Row],[HR]])+(TOR_H211[[#This Row],[2B]]*2)+(TOR_H211[[#This Row],[3B]]*3)+(TOR_H211[[#This Row],[HR]]*4))/TOR_H211[[#This Row],[AB]],0)</calculatedColumnFormula>
    </tableColumn>
    <tableColumn id="7" xr3:uid="{00000000-0010-0000-3900-000007000000}" name="G" dataDxfId="5707"/>
    <tableColumn id="8" xr3:uid="{00000000-0010-0000-3900-000008000000}" name="AB" dataDxfId="5706"/>
    <tableColumn id="9" xr3:uid="{00000000-0010-0000-3900-000009000000}" name="R" dataDxfId="5705"/>
    <tableColumn id="10" xr3:uid="{00000000-0010-0000-3900-00000A000000}" name="H" dataDxfId="5704"/>
    <tableColumn id="11" xr3:uid="{00000000-0010-0000-3900-00000B000000}" name="2B" dataDxfId="5703"/>
    <tableColumn id="12" xr3:uid="{00000000-0010-0000-3900-00000C000000}" name="3B" dataDxfId="5702"/>
    <tableColumn id="13" xr3:uid="{00000000-0010-0000-3900-00000D000000}" name="HR" dataDxfId="5701"/>
    <tableColumn id="14" xr3:uid="{00000000-0010-0000-3900-00000E000000}" name="RBI" dataDxfId="5700"/>
    <tableColumn id="15" xr3:uid="{00000000-0010-0000-3900-00000F000000}" name="BB" dataDxfId="5699"/>
    <tableColumn id="16" xr3:uid="{00000000-0010-0000-3900-000010000000}" name="K" dataDxfId="5698"/>
    <tableColumn id="17" xr3:uid="{00000000-0010-0000-3900-000011000000}" name="SB" dataDxfId="5697"/>
    <tableColumn id="18" xr3:uid="{00000000-0010-0000-3900-000012000000}" name="HS" dataDxfId="5696"/>
    <tableColumn id="19" xr3:uid="{00000000-0010-0000-3900-000013000000}" name="LS" dataDxfId="5695"/>
    <tableColumn id="20" xr3:uid="{00000000-0010-0000-3900-000014000000}" name="TB" dataDxfId="5694">
      <calculatedColumnFormula>((BH66-BI66-BJ66-BK66)+(BI66*2)+(BJ66*3)+(BK66*4))</calculatedColumnFormula>
    </tableColumn>
    <tableColumn id="21" xr3:uid="{00000000-0010-0000-3900-000015000000}" name="OPS" dataDxfId="5693">
      <calculatedColumnFormula>IFERROR(TOR_H211[[#This Row],[OBP]]+TOR_H211[[#This Row],[SLG]],0)</calculatedColumnFormula>
    </tableColumn>
    <tableColumn id="22" xr3:uid="{00000000-0010-0000-3900-000016000000}" name="*" dataDxfId="5692"/>
    <tableColumn id="23" xr3:uid="{00000000-0010-0000-3900-000017000000}" name="#" dataDxfId="5691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6" xr:uid="{00000000-000C-0000-FFFF-FFFF3A000000}" name="BOS_H212" displayName="BOS_H212" ref="AY34:BU48" totalsRowShown="0" headerRowDxfId="5690" headerRowBorderDxfId="5689">
  <autoFilter ref="AY34:BU48" xr:uid="{00000000-0009-0000-0100-00003C010000}"/>
  <sortState xmlns:xlrd2="http://schemas.microsoft.com/office/spreadsheetml/2017/richdata2" ref="AY35:BU48">
    <sortCondition ref="BU34:BU48"/>
  </sortState>
  <tableColumns count="23">
    <tableColumn id="1" xr3:uid="{00000000-0010-0000-3A00-000001000000}" name="TM" dataDxfId="5688"/>
    <tableColumn id="2" xr3:uid="{00000000-0010-0000-3A00-000002000000}" name="@" dataDxfId="5687"/>
    <tableColumn id="3" xr3:uid="{00000000-0010-0000-3A00-000003000000}" name="NAME" dataDxfId="5686"/>
    <tableColumn id="4" xr3:uid="{00000000-0010-0000-3A00-000004000000}" name="BA" dataDxfId="5685">
      <calculatedColumnFormula>IFERROR(BOS_H212[[#This Row],[H]]/BOS_H212[[#This Row],[AB]],0)</calculatedColumnFormula>
    </tableColumn>
    <tableColumn id="5" xr3:uid="{00000000-0010-0000-3A00-000005000000}" name="OBP" dataDxfId="5684">
      <calculatedColumnFormula>IFERROR((BOS_H212[[#This Row],[BB]]+BOS_H212[[#This Row],[H]])/(BOS_H212[[#This Row],[AB]]+BOS_H212[[#This Row],[BB]]),0)</calculatedColumnFormula>
    </tableColumn>
    <tableColumn id="6" xr3:uid="{00000000-0010-0000-3A00-000006000000}" name="SLG" dataDxfId="5683">
      <calculatedColumnFormula>IFERROR(((BOS_H212[[#This Row],[H]]-BOS_H212[[#This Row],[2B]]-BOS_H212[[#This Row],[3B]]-BOS_H212[[#This Row],[HR]])+(BOS_H212[[#This Row],[2B]]*2)+(BOS_H212[[#This Row],[3B]]*3)+(BOS_H212[[#This Row],[HR]]*4))/BOS_H212[[#This Row],[AB]],0)</calculatedColumnFormula>
    </tableColumn>
    <tableColumn id="7" xr3:uid="{00000000-0010-0000-3A00-000007000000}" name="G" dataDxfId="5682"/>
    <tableColumn id="8" xr3:uid="{00000000-0010-0000-3A00-000008000000}" name="AB" dataDxfId="5681"/>
    <tableColumn id="9" xr3:uid="{00000000-0010-0000-3A00-000009000000}" name="R" dataDxfId="5680"/>
    <tableColumn id="10" xr3:uid="{00000000-0010-0000-3A00-00000A000000}" name="H" dataDxfId="5679"/>
    <tableColumn id="11" xr3:uid="{00000000-0010-0000-3A00-00000B000000}" name="2B" dataDxfId="5678"/>
    <tableColumn id="12" xr3:uid="{00000000-0010-0000-3A00-00000C000000}" name="3B" dataDxfId="5677"/>
    <tableColumn id="13" xr3:uid="{00000000-0010-0000-3A00-00000D000000}" name="HR" dataDxfId="5676"/>
    <tableColumn id="14" xr3:uid="{00000000-0010-0000-3A00-00000E000000}" name="RBI" dataDxfId="5675"/>
    <tableColumn id="15" xr3:uid="{00000000-0010-0000-3A00-00000F000000}" name="BB" dataDxfId="5674"/>
    <tableColumn id="16" xr3:uid="{00000000-0010-0000-3A00-000010000000}" name="K" dataDxfId="5673"/>
    <tableColumn id="17" xr3:uid="{00000000-0010-0000-3A00-000011000000}" name="SB" dataDxfId="5672"/>
    <tableColumn id="18" xr3:uid="{00000000-0010-0000-3A00-000012000000}" name="HS" dataDxfId="5671"/>
    <tableColumn id="19" xr3:uid="{00000000-0010-0000-3A00-000013000000}" name="LS" dataDxfId="5670"/>
    <tableColumn id="20" xr3:uid="{00000000-0010-0000-3A00-000014000000}" name="TB" dataDxfId="5669">
      <calculatedColumnFormula>IFERROR((BH35-BI35-BJ35-BK35)+(BI35*2)+(BJ35*3)+(BK35*4),0)</calculatedColumnFormula>
    </tableColumn>
    <tableColumn id="21" xr3:uid="{00000000-0010-0000-3A00-000015000000}" name="OPS" dataDxfId="5668">
      <calculatedColumnFormula>IFERROR(BOS_H212[[#This Row],[OBP]]+BOS_H212[[#This Row],[SLG]],0)</calculatedColumnFormula>
    </tableColumn>
    <tableColumn id="22" xr3:uid="{00000000-0010-0000-3A00-000016000000}" name="*" dataDxfId="5667"/>
    <tableColumn id="23" xr3:uid="{00000000-0010-0000-3A00-000017000000}" name="#" dataDxfId="5666"/>
  </tableColumns>
  <tableStyleInfo name="TableStyleMedium3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7" xr:uid="{00000000-000C-0000-FFFF-FFFF3B000000}" name="TBR_P213" displayName="TBR_P213" ref="AY144:BQ154" totalsRowShown="0" headerRowDxfId="5665" dataDxfId="5663" headerRowBorderDxfId="5664">
  <autoFilter ref="AY144:BQ154" xr:uid="{00000000-0009-0000-0100-00003D010000}"/>
  <sortState xmlns:xlrd2="http://schemas.microsoft.com/office/spreadsheetml/2017/richdata2" ref="AY145:BQ154">
    <sortCondition ref="BQ144:BQ154"/>
  </sortState>
  <tableColumns count="19">
    <tableColumn id="1" xr3:uid="{00000000-0010-0000-3B00-000001000000}" name="TM" dataDxfId="5662"/>
    <tableColumn id="2" xr3:uid="{00000000-0010-0000-3B00-000002000000}" name="@" dataDxfId="5661"/>
    <tableColumn id="3" xr3:uid="{00000000-0010-0000-3B00-000003000000}" name="NAME" dataDxfId="5660"/>
    <tableColumn id="4" xr3:uid="{00000000-0010-0000-3B00-000004000000}" name="ERA" dataDxfId="5659">
      <calculatedColumnFormula>IFERROR((TBR_P213[[#This Row],[R]]*9)/TBR_P213[[#This Row],[IP]],0)</calculatedColumnFormula>
    </tableColumn>
    <tableColumn id="5" xr3:uid="{00000000-0010-0000-3B00-000005000000}" name="W" dataDxfId="5658"/>
    <tableColumn id="6" xr3:uid="{00000000-0010-0000-3B00-000006000000}" name="L" dataDxfId="5657"/>
    <tableColumn id="7" xr3:uid="{00000000-0010-0000-3B00-000007000000}" name="G" dataDxfId="5656"/>
    <tableColumn id="8" xr3:uid="{00000000-0010-0000-3B00-000008000000}" name="IP" dataDxfId="5655"/>
    <tableColumn id="9" xr3:uid="{00000000-0010-0000-3B00-000009000000}" name="H" dataDxfId="5654"/>
    <tableColumn id="10" xr3:uid="{00000000-0010-0000-3B00-00000A000000}" name="R" dataDxfId="5653"/>
    <tableColumn id="11" xr3:uid="{00000000-0010-0000-3B00-00000B000000}" name="BB" dataDxfId="5652"/>
    <tableColumn id="12" xr3:uid="{00000000-0010-0000-3B00-00000C000000}" name="K" dataDxfId="5651"/>
    <tableColumn id="13" xr3:uid="{00000000-0010-0000-3B00-00000D000000}" name="SV" dataDxfId="5650"/>
    <tableColumn id="14" xr3:uid="{00000000-0010-0000-3B00-00000E000000}" name="WH" dataDxfId="5649">
      <calculatedColumnFormula>IFERROR((TBR_P213[[#This Row],[BB]]+TBR_P213[[#This Row],[H]])/TBR_P213[[#This Row],[IP]],0)</calculatedColumnFormula>
    </tableColumn>
    <tableColumn id="15" xr3:uid="{00000000-0010-0000-3B00-00000F000000}" name="QS" dataDxfId="5648"/>
    <tableColumn id="16" xr3:uid="{00000000-0010-0000-3B00-000010000000}" name="UQ" dataDxfId="5647"/>
    <tableColumn id="17" xr3:uid="{00000000-0010-0000-3B00-000011000000}" name="CG" dataDxfId="5646"/>
    <tableColumn id="18" xr3:uid="{00000000-0010-0000-3B00-000012000000}" name="SH" dataDxfId="5645"/>
    <tableColumn id="19" xr3:uid="{00000000-0010-0000-3B00-000013000000}" name="#" dataDxfId="5644"/>
  </tableColumns>
  <tableStyleInfo name="TableStyleMedium5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8" xr:uid="{00000000-000C-0000-FFFF-FFFF3C000000}" name="BAL_P214" displayName="BAL_P214" ref="AY113:BQ123" totalsRowShown="0" headerRowDxfId="5643" headerRowBorderDxfId="5642">
  <autoFilter ref="AY113:BQ123" xr:uid="{00000000-0009-0000-0100-00003E010000}"/>
  <sortState xmlns:xlrd2="http://schemas.microsoft.com/office/spreadsheetml/2017/richdata2" ref="AY114:BQ123">
    <sortCondition ref="BQ113:BQ123"/>
  </sortState>
  <tableColumns count="19">
    <tableColumn id="1" xr3:uid="{00000000-0010-0000-3C00-000001000000}" name="TM" dataDxfId="5641"/>
    <tableColumn id="2" xr3:uid="{00000000-0010-0000-3C00-000002000000}" name="@" dataDxfId="5640"/>
    <tableColumn id="3" xr3:uid="{00000000-0010-0000-3C00-000003000000}" name="NAME" dataDxfId="5639"/>
    <tableColumn id="4" xr3:uid="{00000000-0010-0000-3C00-000004000000}" name="ERA" dataDxfId="5638">
      <calculatedColumnFormula>IFERROR((BAL_P214[[#This Row],[R]]*9)/BAL_P214[[#This Row],[IP]],0)</calculatedColumnFormula>
    </tableColumn>
    <tableColumn id="5" xr3:uid="{00000000-0010-0000-3C00-000005000000}" name="W" dataDxfId="5637"/>
    <tableColumn id="6" xr3:uid="{00000000-0010-0000-3C00-000006000000}" name="L" dataDxfId="5636"/>
    <tableColumn id="7" xr3:uid="{00000000-0010-0000-3C00-000007000000}" name="G" dataDxfId="5635"/>
    <tableColumn id="8" xr3:uid="{00000000-0010-0000-3C00-000008000000}" name="IP" dataDxfId="5634"/>
    <tableColumn id="9" xr3:uid="{00000000-0010-0000-3C00-000009000000}" name="H" dataDxfId="5633"/>
    <tableColumn id="10" xr3:uid="{00000000-0010-0000-3C00-00000A000000}" name="R" dataDxfId="5632"/>
    <tableColumn id="11" xr3:uid="{00000000-0010-0000-3C00-00000B000000}" name="BB" dataDxfId="5631"/>
    <tableColumn id="12" xr3:uid="{00000000-0010-0000-3C00-00000C000000}" name="K" dataDxfId="5630"/>
    <tableColumn id="13" xr3:uid="{00000000-0010-0000-3C00-00000D000000}" name="SV" dataDxfId="5629"/>
    <tableColumn id="14" xr3:uid="{00000000-0010-0000-3C00-00000E000000}" name="WH" dataDxfId="5628">
      <calculatedColumnFormula>IFERROR((BAL_P214[[#This Row],[BB]]+BAL_P214[[#This Row],[H]])/BAL_P214[[#This Row],[IP]],0)</calculatedColumnFormula>
    </tableColumn>
    <tableColumn id="15" xr3:uid="{00000000-0010-0000-3C00-00000F000000}" name="QS" dataDxfId="5627"/>
    <tableColumn id="16" xr3:uid="{00000000-0010-0000-3C00-000010000000}" name="UQ" dataDxfId="5626"/>
    <tableColumn id="17" xr3:uid="{00000000-0010-0000-3C00-000011000000}" name="CG" dataDxfId="5625"/>
    <tableColumn id="18" xr3:uid="{00000000-0010-0000-3C00-000012000000}" name="SH" dataDxfId="5624"/>
    <tableColumn id="19" xr3:uid="{00000000-0010-0000-3C00-000013000000}" name="#" dataDxfId="5623"/>
  </tableColumns>
  <tableStyleInfo name="TableStyleMedium3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9" xr:uid="{00000000-000C-0000-FFFF-FFFF3D000000}" name="BAL_H215" displayName="BAL_H215" ref="AY96:BU110" totalsRowShown="0" headerRowDxfId="5622" dataDxfId="5620" headerRowBorderDxfId="5621">
  <autoFilter ref="AY96:BU110" xr:uid="{00000000-0009-0000-0100-00003F010000}"/>
  <sortState xmlns:xlrd2="http://schemas.microsoft.com/office/spreadsheetml/2017/richdata2" ref="AY97:BU110">
    <sortCondition descending="1" ref="BR96:BR110"/>
  </sortState>
  <tableColumns count="23">
    <tableColumn id="1" xr3:uid="{00000000-0010-0000-3D00-000001000000}" name="TM" dataDxfId="5619"/>
    <tableColumn id="2" xr3:uid="{00000000-0010-0000-3D00-000002000000}" name="@" dataDxfId="5618"/>
    <tableColumn id="3" xr3:uid="{00000000-0010-0000-3D00-000003000000}" name="NAME" dataDxfId="5617"/>
    <tableColumn id="4" xr3:uid="{00000000-0010-0000-3D00-000004000000}" name="BA" dataDxfId="5616">
      <calculatedColumnFormula>IFERROR(BAL_H215[[#This Row],[H]]/BAL_H215[[#This Row],[AB]],0)</calculatedColumnFormula>
    </tableColumn>
    <tableColumn id="5" xr3:uid="{00000000-0010-0000-3D00-000005000000}" name="OBP" dataDxfId="5615">
      <calculatedColumnFormula>IFERROR((BAL_H215[[#This Row],[BB]]+BAL_H215[[#This Row],[H]])/(BAL_H215[[#This Row],[AB]]+BAL_H215[[#This Row],[BB]]),0)</calculatedColumnFormula>
    </tableColumn>
    <tableColumn id="6" xr3:uid="{00000000-0010-0000-3D00-000006000000}" name="SLG" dataDxfId="5614">
      <calculatedColumnFormula>IFERROR(((BAL_H215[[#This Row],[H]]-BAL_H215[[#This Row],[2B]]-BAL_H215[[#This Row],[3B]]-BAL_H215[[#This Row],[HR]])+(BAL_H215[[#This Row],[2B]]*2)+(BAL_H215[[#This Row],[3B]]*3)+(BAL_H215[[#This Row],[HR]]*4))/BAL_H215[[#This Row],[AB]],0)</calculatedColumnFormula>
    </tableColumn>
    <tableColumn id="7" xr3:uid="{00000000-0010-0000-3D00-000007000000}" name="G" dataDxfId="5613"/>
    <tableColumn id="8" xr3:uid="{00000000-0010-0000-3D00-000008000000}" name="AB" dataDxfId="5612"/>
    <tableColumn id="9" xr3:uid="{00000000-0010-0000-3D00-000009000000}" name="R" dataDxfId="5611"/>
    <tableColumn id="10" xr3:uid="{00000000-0010-0000-3D00-00000A000000}" name="H" dataDxfId="5610"/>
    <tableColumn id="11" xr3:uid="{00000000-0010-0000-3D00-00000B000000}" name="2B" dataDxfId="5609"/>
    <tableColumn id="12" xr3:uid="{00000000-0010-0000-3D00-00000C000000}" name="3B" dataDxfId="5608"/>
    <tableColumn id="13" xr3:uid="{00000000-0010-0000-3D00-00000D000000}" name="HR" dataDxfId="5607"/>
    <tableColumn id="14" xr3:uid="{00000000-0010-0000-3D00-00000E000000}" name="RBI" dataDxfId="5606"/>
    <tableColumn id="15" xr3:uid="{00000000-0010-0000-3D00-00000F000000}" name="BB" dataDxfId="5605"/>
    <tableColumn id="16" xr3:uid="{00000000-0010-0000-3D00-000010000000}" name="K" dataDxfId="5604"/>
    <tableColumn id="17" xr3:uid="{00000000-0010-0000-3D00-000011000000}" name="SB" dataDxfId="5603"/>
    <tableColumn id="18" xr3:uid="{00000000-0010-0000-3D00-000012000000}" name="HS" dataDxfId="5602"/>
    <tableColumn id="19" xr3:uid="{00000000-0010-0000-3D00-000013000000}" name="LS" dataDxfId="5601"/>
    <tableColumn id="20" xr3:uid="{00000000-0010-0000-3D00-000014000000}" name="TB" dataDxfId="5600">
      <calculatedColumnFormula>IFERROR((BH97-BI97-BJ97-BK97)+(BI97*2)+(BJ97*3)+(BK97*4),0)</calculatedColumnFormula>
    </tableColumn>
    <tableColumn id="21" xr3:uid="{00000000-0010-0000-3D00-000015000000}" name="OPS" dataDxfId="5599">
      <calculatedColumnFormula>IFERROR(BAL_H215[[#This Row],[OBP]]+BAL_H215[[#This Row],[SLG]],0)</calculatedColumnFormula>
    </tableColumn>
    <tableColumn id="22" xr3:uid="{00000000-0010-0000-3D00-000016000000}" name="*" dataDxfId="5598"/>
    <tableColumn id="23" xr3:uid="{00000000-0010-0000-3D00-000017000000}" name="#" dataDxfId="5597"/>
  </tableColumns>
  <tableStyleInfo name="TableStyleMedium3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0" xr:uid="{00000000-000C-0000-FFFF-FFFF3E000000}" name="TBR_H216" displayName="TBR_H216" ref="AY127:BU141" totalsRowShown="0" headerRowDxfId="5596" headerRowBorderDxfId="5595">
  <autoFilter ref="AY127:BU141" xr:uid="{00000000-0009-0000-0100-000040010000}"/>
  <sortState xmlns:xlrd2="http://schemas.microsoft.com/office/spreadsheetml/2017/richdata2" ref="AY128:BU141">
    <sortCondition ref="BU127:BU141"/>
  </sortState>
  <tableColumns count="23">
    <tableColumn id="1" xr3:uid="{00000000-0010-0000-3E00-000001000000}" name="TM" dataDxfId="5594"/>
    <tableColumn id="2" xr3:uid="{00000000-0010-0000-3E00-000002000000}" name="@" dataDxfId="5593"/>
    <tableColumn id="3" xr3:uid="{00000000-0010-0000-3E00-000003000000}" name="NAME" dataDxfId="5592"/>
    <tableColumn id="4" xr3:uid="{00000000-0010-0000-3E00-000004000000}" name="BA" dataDxfId="5591">
      <calculatedColumnFormula>IFERROR(TBR_H216[[#This Row],[H]]/TBR_H216[[#This Row],[AB]],0)</calculatedColumnFormula>
    </tableColumn>
    <tableColumn id="5" xr3:uid="{00000000-0010-0000-3E00-000005000000}" name="OBP" dataDxfId="5590">
      <calculatedColumnFormula>IFERROR((TBR_H216[[#This Row],[BB]]+TBR_H216[[#This Row],[H]])/(TBR_H216[[#This Row],[AB]]+TBR_H216[[#This Row],[BB]]),0)</calculatedColumnFormula>
    </tableColumn>
    <tableColumn id="6" xr3:uid="{00000000-0010-0000-3E00-000006000000}" name="SLG" dataDxfId="5589">
      <calculatedColumnFormula>IFERROR(((TBR_H216[[#This Row],[H]]-TBR_H216[[#This Row],[2B]]-TBR_H216[[#This Row],[3B]]-TBR_H216[[#This Row],[HR]])+(TBR_H216[[#This Row],[2B]]*2)+(TBR_H216[[#This Row],[3B]]*3)+(TBR_H216[[#This Row],[HR]]*4))/TBR_H216[[#This Row],[AB]],0)</calculatedColumnFormula>
    </tableColumn>
    <tableColumn id="7" xr3:uid="{00000000-0010-0000-3E00-000007000000}" name="G" dataDxfId="5588"/>
    <tableColumn id="8" xr3:uid="{00000000-0010-0000-3E00-000008000000}" name="AB" dataDxfId="5587"/>
    <tableColumn id="9" xr3:uid="{00000000-0010-0000-3E00-000009000000}" name="R" dataDxfId="5586"/>
    <tableColumn id="10" xr3:uid="{00000000-0010-0000-3E00-00000A000000}" name="H" dataDxfId="5585"/>
    <tableColumn id="11" xr3:uid="{00000000-0010-0000-3E00-00000B000000}" name="2B" dataDxfId="5584"/>
    <tableColumn id="12" xr3:uid="{00000000-0010-0000-3E00-00000C000000}" name="3B" dataDxfId="5583"/>
    <tableColumn id="13" xr3:uid="{00000000-0010-0000-3E00-00000D000000}" name="HR" dataDxfId="5582"/>
    <tableColumn id="14" xr3:uid="{00000000-0010-0000-3E00-00000E000000}" name="RBI" dataDxfId="5581"/>
    <tableColumn id="15" xr3:uid="{00000000-0010-0000-3E00-00000F000000}" name="BB" dataDxfId="5580"/>
    <tableColumn id="16" xr3:uid="{00000000-0010-0000-3E00-000010000000}" name="K" dataDxfId="5579"/>
    <tableColumn id="17" xr3:uid="{00000000-0010-0000-3E00-000011000000}" name="SB" dataDxfId="5578"/>
    <tableColumn id="18" xr3:uid="{00000000-0010-0000-3E00-000012000000}" name="HS" dataDxfId="5577"/>
    <tableColumn id="19" xr3:uid="{00000000-0010-0000-3E00-000013000000}" name="LS" dataDxfId="5576"/>
    <tableColumn id="20" xr3:uid="{00000000-0010-0000-3E00-000014000000}" name="TB" dataDxfId="5575">
      <calculatedColumnFormula>IFERROR((BH128-BI128-BJ128-BK128)+(BI128*2)+(BJ128*3)+(BK128*4),0)</calculatedColumnFormula>
    </tableColumn>
    <tableColumn id="21" xr3:uid="{00000000-0010-0000-3E00-000015000000}" name="OPS" dataDxfId="5574">
      <calculatedColumnFormula>IFERROR(TBR_H216[[#This Row],[OBP]]+TBR_H216[[#This Row],[SLG]],0)</calculatedColumnFormula>
    </tableColumn>
    <tableColumn id="22" xr3:uid="{00000000-0010-0000-3E00-000016000000}" name="*" dataDxfId="5573"/>
    <tableColumn id="23" xr3:uid="{00000000-0010-0000-3E00-000017000000}" name="#" dataDxfId="5572"/>
  </tableColumns>
  <tableStyleInfo name="TableStyleMedium5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1" xr:uid="{00000000-000C-0000-FFFF-FFFF3F000000}" name="NYY_H217" displayName="NYY_H217" ref="AY3:BU17" totalsRowShown="0" headerRowDxfId="5571" dataDxfId="5569" headerRowBorderDxfId="5570">
  <autoFilter ref="AY3:BU17" xr:uid="{00000000-0009-0000-0100-000041010000}"/>
  <sortState xmlns:xlrd2="http://schemas.microsoft.com/office/spreadsheetml/2017/richdata2" ref="AY4:BU17">
    <sortCondition ref="BU3:BU17"/>
  </sortState>
  <tableColumns count="23">
    <tableColumn id="1" xr3:uid="{00000000-0010-0000-3F00-000001000000}" name="TM" dataDxfId="5568"/>
    <tableColumn id="2" xr3:uid="{00000000-0010-0000-3F00-000002000000}" name="@" dataDxfId="5567"/>
    <tableColumn id="3" xr3:uid="{00000000-0010-0000-3F00-000003000000}" name="NAME" dataDxfId="5566"/>
    <tableColumn id="4" xr3:uid="{00000000-0010-0000-3F00-000004000000}" name="BA" dataDxfId="5565">
      <calculatedColumnFormula>IFERROR(NYY_H217[[#This Row],[H]]/NYY_H217[[#This Row],[AB]],0)</calculatedColumnFormula>
    </tableColumn>
    <tableColumn id="5" xr3:uid="{00000000-0010-0000-3F00-000005000000}" name="OBP" dataDxfId="5564">
      <calculatedColumnFormula>IFERROR((NYY_H217[[#This Row],[BB]]+NYY_H217[[#This Row],[H]])/(NYY_H217[[#This Row],[AB]]+NYY_H217[[#This Row],[BB]]),0)</calculatedColumnFormula>
    </tableColumn>
    <tableColumn id="6" xr3:uid="{00000000-0010-0000-3F00-000006000000}" name="SLG" dataDxfId="5563">
      <calculatedColumnFormula>IFERROR(((NYY_H217[[#This Row],[H]]-NYY_H217[[#This Row],[2B]]-NYY_H217[[#This Row],[3B]]-NYY_H217[[#This Row],[HR]])+(NYY_H217[[#This Row],[2B]]*2)+(NYY_H217[[#This Row],[3B]]*3)+(NYY_H217[[#This Row],[HR]]*4))/NYY_H217[[#This Row],[AB]],0)</calculatedColumnFormula>
    </tableColumn>
    <tableColumn id="7" xr3:uid="{00000000-0010-0000-3F00-000007000000}" name="G" dataDxfId="5562"/>
    <tableColumn id="8" xr3:uid="{00000000-0010-0000-3F00-000008000000}" name="AB" dataDxfId="5561"/>
    <tableColumn id="9" xr3:uid="{00000000-0010-0000-3F00-000009000000}" name="R" dataDxfId="5560"/>
    <tableColumn id="10" xr3:uid="{00000000-0010-0000-3F00-00000A000000}" name="H" dataDxfId="5559"/>
    <tableColumn id="11" xr3:uid="{00000000-0010-0000-3F00-00000B000000}" name="2B" dataDxfId="5558"/>
    <tableColumn id="12" xr3:uid="{00000000-0010-0000-3F00-00000C000000}" name="3B" dataDxfId="5557"/>
    <tableColumn id="13" xr3:uid="{00000000-0010-0000-3F00-00000D000000}" name="HR" dataDxfId="5556"/>
    <tableColumn id="14" xr3:uid="{00000000-0010-0000-3F00-00000E000000}" name="RBI" dataDxfId="5555"/>
    <tableColumn id="15" xr3:uid="{00000000-0010-0000-3F00-00000F000000}" name="BB" dataDxfId="5554"/>
    <tableColumn id="16" xr3:uid="{00000000-0010-0000-3F00-000010000000}" name="K" dataDxfId="5553"/>
    <tableColumn id="17" xr3:uid="{00000000-0010-0000-3F00-000011000000}" name="SB" dataDxfId="5552"/>
    <tableColumn id="18" xr3:uid="{00000000-0010-0000-3F00-000012000000}" name="HS" dataDxfId="5551"/>
    <tableColumn id="19" xr3:uid="{00000000-0010-0000-3F00-000013000000}" name="LS" dataDxfId="5550"/>
    <tableColumn id="20" xr3:uid="{00000000-0010-0000-3F00-000014000000}" name="TB" dataDxfId="5549">
      <calculatedColumnFormula>IFERROR((BH4-BI4-BJ4-BK4)+(BI4*2)+(BJ4*3)+(BK4*4),0)</calculatedColumnFormula>
    </tableColumn>
    <tableColumn id="21" xr3:uid="{00000000-0010-0000-3F00-000015000000}" name="OPS" dataDxfId="5548">
      <calculatedColumnFormula>IFERROR(NYY_H217[[#This Row],[OBP]]+NYY_H217[[#This Row],[SLG]],0)</calculatedColumnFormula>
    </tableColumn>
    <tableColumn id="22" xr3:uid="{00000000-0010-0000-3F00-000016000000}" name="*" dataDxfId="5547"/>
    <tableColumn id="23" xr3:uid="{00000000-0010-0000-3F00-000017000000}" name="#" dataDxfId="5546"/>
  </tableColumns>
  <tableStyleInfo name="TableStyleMedium1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2" xr:uid="{00000000-000C-0000-FFFF-FFFF40000000}" name="NYY_P218" displayName="NYY_P218" ref="AY20:BQ30" totalsRowShown="0" headerRowDxfId="5545" dataDxfId="5543" headerRowBorderDxfId="5544">
  <autoFilter ref="AY20:BQ30" xr:uid="{00000000-0009-0000-0100-000042010000}"/>
  <sortState xmlns:xlrd2="http://schemas.microsoft.com/office/spreadsheetml/2017/richdata2" ref="AY21:BQ30">
    <sortCondition ref="BQ20:BQ30"/>
  </sortState>
  <tableColumns count="19">
    <tableColumn id="1" xr3:uid="{00000000-0010-0000-4000-000001000000}" name="TM" dataDxfId="5542"/>
    <tableColumn id="2" xr3:uid="{00000000-0010-0000-4000-000002000000}" name="@" dataDxfId="5541"/>
    <tableColumn id="3" xr3:uid="{00000000-0010-0000-4000-000003000000}" name="NAME" dataDxfId="5540"/>
    <tableColumn id="4" xr3:uid="{00000000-0010-0000-4000-000004000000}" name="ERA" dataDxfId="5539">
      <calculatedColumnFormula>IFERROR((NYY_P218[[#This Row],[R]]*9)/NYY_P218[[#This Row],[IP]],0)</calculatedColumnFormula>
    </tableColumn>
    <tableColumn id="5" xr3:uid="{00000000-0010-0000-4000-000005000000}" name="W" dataDxfId="5538"/>
    <tableColumn id="6" xr3:uid="{00000000-0010-0000-4000-000006000000}" name="L" dataDxfId="5537"/>
    <tableColumn id="7" xr3:uid="{00000000-0010-0000-4000-000007000000}" name="G" dataDxfId="5536"/>
    <tableColumn id="8" xr3:uid="{00000000-0010-0000-4000-000008000000}" name="IP" dataDxfId="5535"/>
    <tableColumn id="9" xr3:uid="{00000000-0010-0000-4000-000009000000}" name="H" dataDxfId="5534"/>
    <tableColumn id="10" xr3:uid="{00000000-0010-0000-4000-00000A000000}" name="R" dataDxfId="5533"/>
    <tableColumn id="11" xr3:uid="{00000000-0010-0000-4000-00000B000000}" name="BB" dataDxfId="5532"/>
    <tableColumn id="12" xr3:uid="{00000000-0010-0000-4000-00000C000000}" name="K" dataDxfId="5531"/>
    <tableColumn id="13" xr3:uid="{00000000-0010-0000-4000-00000D000000}" name="SV" dataDxfId="5530"/>
    <tableColumn id="14" xr3:uid="{00000000-0010-0000-4000-00000E000000}" name="WH" dataDxfId="5529">
      <calculatedColumnFormula>IFERROR((NYY_P218[[#This Row],[BB]]+NYY_P218[[#This Row],[H]])/NYY_P218[[#This Row],[IP]],0)</calculatedColumnFormula>
    </tableColumn>
    <tableColumn id="15" xr3:uid="{00000000-0010-0000-4000-00000F000000}" name="QS" dataDxfId="5528"/>
    <tableColumn id="16" xr3:uid="{00000000-0010-0000-4000-000010000000}" name="UQ" dataDxfId="5527"/>
    <tableColumn id="17" xr3:uid="{00000000-0010-0000-4000-000011000000}" name="CG" dataDxfId="5526"/>
    <tableColumn id="18" xr3:uid="{00000000-0010-0000-4000-000012000000}" name="SH" dataDxfId="5525"/>
    <tableColumn id="19" xr3:uid="{00000000-0010-0000-4000-000013000000}" name="#" dataDxfId="5524"/>
  </tableColumns>
  <tableStyleInfo name="TableStyleMedium1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3" xr:uid="{00000000-000C-0000-FFFF-FFFF41000000}" name="NYY_P15" displayName="NYY_P15" ref="AY207:BQ217" totalsRowShown="0" headerRowDxfId="5523" dataDxfId="5521" headerRowBorderDxfId="5522">
  <autoFilter ref="AY207:BQ217" xr:uid="{00000000-0009-0000-0100-000043010000}"/>
  <sortState xmlns:xlrd2="http://schemas.microsoft.com/office/spreadsheetml/2017/richdata2" ref="AY208:BQ217">
    <sortCondition ref="BQ175:BQ185"/>
  </sortState>
  <tableColumns count="19">
    <tableColumn id="1" xr3:uid="{00000000-0010-0000-4100-000001000000}" name="TM" dataDxfId="5520"/>
    <tableColumn id="2" xr3:uid="{00000000-0010-0000-4100-000002000000}" name="@" dataDxfId="5519"/>
    <tableColumn id="3" xr3:uid="{00000000-0010-0000-4100-000003000000}" name="NAME" dataDxfId="5518"/>
    <tableColumn id="4" xr3:uid="{00000000-0010-0000-4100-000004000000}" name="ERA" dataDxfId="5517">
      <calculatedColumnFormula>IFERROR((NYY_P15[[#This Row],[R]]*9)/NYY_P15[[#This Row],[IP]],0)</calculatedColumnFormula>
    </tableColumn>
    <tableColumn id="5" xr3:uid="{00000000-0010-0000-4100-000005000000}" name="W" dataDxfId="5516"/>
    <tableColumn id="6" xr3:uid="{00000000-0010-0000-4100-000006000000}" name="L" dataDxfId="5515"/>
    <tableColumn id="7" xr3:uid="{00000000-0010-0000-4100-000007000000}" name="G" dataDxfId="5514"/>
    <tableColumn id="8" xr3:uid="{00000000-0010-0000-4100-000008000000}" name="IP" dataDxfId="5513"/>
    <tableColumn id="9" xr3:uid="{00000000-0010-0000-4100-000009000000}" name="H" dataDxfId="5512"/>
    <tableColumn id="10" xr3:uid="{00000000-0010-0000-4100-00000A000000}" name="R" dataDxfId="5511"/>
    <tableColumn id="11" xr3:uid="{00000000-0010-0000-4100-00000B000000}" name="BB" dataDxfId="5510"/>
    <tableColumn id="12" xr3:uid="{00000000-0010-0000-4100-00000C000000}" name="K" dataDxfId="5509"/>
    <tableColumn id="13" xr3:uid="{00000000-0010-0000-4100-00000D000000}" name="SV" dataDxfId="5508"/>
    <tableColumn id="14" xr3:uid="{00000000-0010-0000-4100-00000E000000}" name="WH" dataDxfId="5507">
      <calculatedColumnFormula>IFERROR((NYY_P15[[#This Row],[BB]]+NYY_P15[[#This Row],[H]])/NYY_P15[[#This Row],[IP]],0)</calculatedColumnFormula>
    </tableColumn>
    <tableColumn id="15" xr3:uid="{00000000-0010-0000-4100-00000F000000}" name="QS" dataDxfId="5506"/>
    <tableColumn id="16" xr3:uid="{00000000-0010-0000-4100-000010000000}" name="UQ" dataDxfId="5505"/>
    <tableColumn id="17" xr3:uid="{00000000-0010-0000-4100-000011000000}" name="CG" dataDxfId="5504"/>
    <tableColumn id="18" xr3:uid="{00000000-0010-0000-4100-000012000000}" name="SH" dataDxfId="5503"/>
    <tableColumn id="19" xr3:uid="{00000000-0010-0000-4100-000013000000}" name="#" dataDxfId="5502"/>
  </tableColumns>
  <tableStyleInfo name="TableStyleMedium1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4" xr:uid="{00000000-000C-0000-FFFF-FFFF42000000}" name="NYY_H14" displayName="NYY_H14" ref="AY190:BU204" totalsRowShown="0" headerRowDxfId="5501" dataDxfId="5499" headerRowBorderDxfId="5500">
  <autoFilter ref="AY190:BU204" xr:uid="{00000000-0009-0000-0100-000044010000}"/>
  <sortState xmlns:xlrd2="http://schemas.microsoft.com/office/spreadsheetml/2017/richdata2" ref="AY191:BU204">
    <sortCondition ref="BU190:BU204"/>
  </sortState>
  <tableColumns count="23">
    <tableColumn id="1" xr3:uid="{00000000-0010-0000-4200-000001000000}" name="TM" dataDxfId="5498"/>
    <tableColumn id="2" xr3:uid="{00000000-0010-0000-4200-000002000000}" name="@" dataDxfId="5497"/>
    <tableColumn id="3" xr3:uid="{00000000-0010-0000-4200-000003000000}" name="NAME" dataDxfId="5496"/>
    <tableColumn id="4" xr3:uid="{00000000-0010-0000-4200-000004000000}" name="BA" dataDxfId="5495">
      <calculatedColumnFormula>IFERROR(NYY_H14[[#This Row],[H]]/NYY_H14[[#This Row],[AB]],0)</calculatedColumnFormula>
    </tableColumn>
    <tableColumn id="5" xr3:uid="{00000000-0010-0000-4200-000005000000}" name="OBP" dataDxfId="5494">
      <calculatedColumnFormula>IFERROR((NYY_H14[[#This Row],[BB]]+NYY_H14[[#This Row],[H]])/(NYY_H14[[#This Row],[AB]]+NYY_H14[[#This Row],[BB]]),0)</calculatedColumnFormula>
    </tableColumn>
    <tableColumn id="6" xr3:uid="{00000000-0010-0000-4200-000006000000}" name="SLG" dataDxfId="5493">
      <calculatedColumnFormula>IFERROR(((NYY_H14[[#This Row],[H]]-NYY_H14[[#This Row],[2B]]-NYY_H14[[#This Row],[3B]]-NYY_H14[[#This Row],[HR]])+(NYY_H14[[#This Row],[2B]]*2)+(NYY_H14[[#This Row],[3B]]*3)+(NYY_H14[[#This Row],[HR]]*4))/NYY_H14[[#This Row],[AB]],0)</calculatedColumnFormula>
    </tableColumn>
    <tableColumn id="7" xr3:uid="{00000000-0010-0000-4200-000007000000}" name="G" dataDxfId="5492"/>
    <tableColumn id="8" xr3:uid="{00000000-0010-0000-4200-000008000000}" name="AB" dataDxfId="5491"/>
    <tableColumn id="9" xr3:uid="{00000000-0010-0000-4200-000009000000}" name="R" dataDxfId="5490"/>
    <tableColumn id="10" xr3:uid="{00000000-0010-0000-4200-00000A000000}" name="H" dataDxfId="5489"/>
    <tableColumn id="11" xr3:uid="{00000000-0010-0000-4200-00000B000000}" name="2B" dataDxfId="5488"/>
    <tableColumn id="12" xr3:uid="{00000000-0010-0000-4200-00000C000000}" name="3B" dataDxfId="5487"/>
    <tableColumn id="13" xr3:uid="{00000000-0010-0000-4200-00000D000000}" name="HR" dataDxfId="5486"/>
    <tableColumn id="14" xr3:uid="{00000000-0010-0000-4200-00000E000000}" name="RBI" dataDxfId="5485"/>
    <tableColumn id="15" xr3:uid="{00000000-0010-0000-4200-00000F000000}" name="BB" dataDxfId="5484"/>
    <tableColumn id="16" xr3:uid="{00000000-0010-0000-4200-000010000000}" name="K" dataDxfId="5483"/>
    <tableColumn id="17" xr3:uid="{00000000-0010-0000-4200-000011000000}" name="SB" dataDxfId="5482"/>
    <tableColumn id="18" xr3:uid="{00000000-0010-0000-4200-000012000000}" name="HS" dataDxfId="5481"/>
    <tableColumn id="19" xr3:uid="{00000000-0010-0000-4200-000013000000}" name="LS" dataDxfId="5480"/>
    <tableColumn id="20" xr3:uid="{00000000-0010-0000-4200-000014000000}" name="TB" dataDxfId="5479">
      <calculatedColumnFormula>IFERROR((BH191-BI191-BJ191-BK191)+(BI191*2)+(BJ191*3)+(BK191*4),0)</calculatedColumnFormula>
    </tableColumn>
    <tableColumn id="21" xr3:uid="{00000000-0010-0000-4200-000015000000}" name="OPS" dataDxfId="5478">
      <calculatedColumnFormula>IFERROR(NYY_H14[[#This Row],[OBP]]+NYY_H14[[#This Row],[SLG]],0)</calculatedColumnFormula>
    </tableColumn>
    <tableColumn id="22" xr3:uid="{00000000-0010-0000-4200-000016000000}" name="*" dataDxfId="5477"/>
    <tableColumn id="23" xr3:uid="{00000000-0010-0000-4200-000017000000}" name="#" dataDxfId="5476"/>
  </tableColumns>
  <tableStyleInfo name="TableStyleMedium1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5" xr:uid="{00000000-000C-0000-FFFF-FFFF43000000}" name="BOS_H13114" displayName="BOS_H13114" ref="AY159:BU173" totalsRowShown="0" headerRowDxfId="5475" headerRowBorderDxfId="5474">
  <autoFilter ref="AY159:BU173" xr:uid="{00000000-0009-0000-0100-000045010000}"/>
  <sortState xmlns:xlrd2="http://schemas.microsoft.com/office/spreadsheetml/2017/richdata2" ref="AY160:BU173">
    <sortCondition ref="BU159:BU173"/>
  </sortState>
  <tableColumns count="23">
    <tableColumn id="1" xr3:uid="{00000000-0010-0000-4300-000001000000}" name="TM" dataDxfId="5473"/>
    <tableColumn id="2" xr3:uid="{00000000-0010-0000-4300-000002000000}" name="@" dataDxfId="5472"/>
    <tableColumn id="3" xr3:uid="{00000000-0010-0000-4300-000003000000}" name="NAME" dataDxfId="5471"/>
    <tableColumn id="4" xr3:uid="{00000000-0010-0000-4300-000004000000}" name="BA" dataDxfId="5470">
      <calculatedColumnFormula>IFERROR(BOS_H13114[[#This Row],[H]]/BOS_H13114[[#This Row],[AB]],0)</calculatedColumnFormula>
    </tableColumn>
    <tableColumn id="5" xr3:uid="{00000000-0010-0000-4300-000005000000}" name="OBP" dataDxfId="5469">
      <calculatedColumnFormula>IFERROR((BOS_H13114[[#This Row],[BB]]+BOS_H13114[[#This Row],[H]])/(BOS_H13114[[#This Row],[AB]]+BOS_H13114[[#This Row],[BB]]),0)</calculatedColumnFormula>
    </tableColumn>
    <tableColumn id="6" xr3:uid="{00000000-0010-0000-4300-000006000000}" name="SLG" dataDxfId="5468">
      <calculatedColumnFormula>IFERROR(((BOS_H13114[[#This Row],[H]]-BOS_H13114[[#This Row],[2B]]-BOS_H13114[[#This Row],[3B]]-BOS_H13114[[#This Row],[HR]])+(BOS_H13114[[#This Row],[2B]]*2)+(BOS_H13114[[#This Row],[3B]]*3)+(BOS_H13114[[#This Row],[HR]]*4))/BOS_H13114[[#This Row],[AB]],0)</calculatedColumnFormula>
    </tableColumn>
    <tableColumn id="7" xr3:uid="{00000000-0010-0000-4300-000007000000}" name="G" dataDxfId="5467"/>
    <tableColumn id="8" xr3:uid="{00000000-0010-0000-4300-000008000000}" name="AB" dataDxfId="5466"/>
    <tableColumn id="9" xr3:uid="{00000000-0010-0000-4300-000009000000}" name="R" dataDxfId="5465"/>
    <tableColumn id="10" xr3:uid="{00000000-0010-0000-4300-00000A000000}" name="H" dataDxfId="5464"/>
    <tableColumn id="11" xr3:uid="{00000000-0010-0000-4300-00000B000000}" name="2B" dataDxfId="5463"/>
    <tableColumn id="12" xr3:uid="{00000000-0010-0000-4300-00000C000000}" name="3B" dataDxfId="5462"/>
    <tableColumn id="13" xr3:uid="{00000000-0010-0000-4300-00000D000000}" name="HR" dataDxfId="5461"/>
    <tableColumn id="14" xr3:uid="{00000000-0010-0000-4300-00000E000000}" name="RBI" dataDxfId="5460"/>
    <tableColumn id="15" xr3:uid="{00000000-0010-0000-4300-00000F000000}" name="BB" dataDxfId="5459"/>
    <tableColumn id="16" xr3:uid="{00000000-0010-0000-4300-000010000000}" name="K" dataDxfId="5458"/>
    <tableColumn id="17" xr3:uid="{00000000-0010-0000-4300-000011000000}" name="SB" dataDxfId="5457"/>
    <tableColumn id="18" xr3:uid="{00000000-0010-0000-4300-000012000000}" name="HS" dataDxfId="5456"/>
    <tableColumn id="19" xr3:uid="{00000000-0010-0000-4300-000013000000}" name="LS" dataDxfId="5455"/>
    <tableColumn id="20" xr3:uid="{00000000-0010-0000-4300-000014000000}" name="TB" dataDxfId="5454">
      <calculatedColumnFormula>IFERROR((BH160-BI160-BJ160-BK160)+(BI160*2)+(BJ160*3)+(BK160*4),0)</calculatedColumnFormula>
    </tableColumn>
    <tableColumn id="21" xr3:uid="{00000000-0010-0000-4300-000015000000}" name="OPS" dataDxfId="5453">
      <calculatedColumnFormula>IFERROR(BOS_H13114[[#This Row],[OBP]]+BOS_H13114[[#This Row],[SLG]],0)</calculatedColumnFormula>
    </tableColumn>
    <tableColumn id="22" xr3:uid="{00000000-0010-0000-4300-000016000000}" name="*" dataDxfId="5452"/>
    <tableColumn id="23" xr3:uid="{00000000-0010-0000-4300-000017000000}" name="#" dataDxfId="5451"/>
  </tableColumns>
  <tableStyleInfo name="TableStyleMedium3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6" xr:uid="{00000000-000C-0000-FFFF-FFFF44000000}" name="BOS_P11115" displayName="BOS_P11115" ref="AY176:BQ186" totalsRowShown="0" headerRowDxfId="5450" dataDxfId="5448" headerRowBorderDxfId="5449">
  <autoFilter ref="AY176:BQ186" xr:uid="{00000000-0009-0000-0100-000046010000}"/>
  <sortState xmlns:xlrd2="http://schemas.microsoft.com/office/spreadsheetml/2017/richdata2" ref="AY177:BQ186">
    <sortCondition ref="BQ176:BQ186"/>
  </sortState>
  <tableColumns count="19">
    <tableColumn id="1" xr3:uid="{00000000-0010-0000-4400-000001000000}" name="TM" dataDxfId="5447"/>
    <tableColumn id="2" xr3:uid="{00000000-0010-0000-4400-000002000000}" name="@" dataDxfId="5446"/>
    <tableColumn id="3" xr3:uid="{00000000-0010-0000-4400-000003000000}" name="NAME" dataDxfId="5445"/>
    <tableColumn id="4" xr3:uid="{00000000-0010-0000-4400-000004000000}" name="ERA" dataDxfId="5444">
      <calculatedColumnFormula>IFERROR((BOS_P11115[[#This Row],[R]]*9)/BOS_P11115[[#This Row],[IP]],0)</calculatedColumnFormula>
    </tableColumn>
    <tableColumn id="5" xr3:uid="{00000000-0010-0000-4400-000005000000}" name="W" dataDxfId="5443"/>
    <tableColumn id="6" xr3:uid="{00000000-0010-0000-4400-000006000000}" name="L" dataDxfId="5442"/>
    <tableColumn id="7" xr3:uid="{00000000-0010-0000-4400-000007000000}" name="G" dataDxfId="5441"/>
    <tableColumn id="8" xr3:uid="{00000000-0010-0000-4400-000008000000}" name="IP" dataDxfId="5440"/>
    <tableColumn id="9" xr3:uid="{00000000-0010-0000-4400-000009000000}" name="H" dataDxfId="5439"/>
    <tableColumn id="10" xr3:uid="{00000000-0010-0000-4400-00000A000000}" name="R" dataDxfId="5438"/>
    <tableColumn id="11" xr3:uid="{00000000-0010-0000-4400-00000B000000}" name="BB" dataDxfId="5437"/>
    <tableColumn id="12" xr3:uid="{00000000-0010-0000-4400-00000C000000}" name="K" dataDxfId="5436"/>
    <tableColumn id="13" xr3:uid="{00000000-0010-0000-4400-00000D000000}" name="SV" dataDxfId="5435"/>
    <tableColumn id="14" xr3:uid="{00000000-0010-0000-4400-00000E000000}" name="WH" dataDxfId="5434">
      <calculatedColumnFormula>IFERROR((BOS_P11115[[#This Row],[BB]]+BOS_P11115[[#This Row],[H]])/BOS_P11115[[#This Row],[IP]],0)</calculatedColumnFormula>
    </tableColumn>
    <tableColumn id="15" xr3:uid="{00000000-0010-0000-4400-00000F000000}" name="QS" dataDxfId="5433"/>
    <tableColumn id="16" xr3:uid="{00000000-0010-0000-4400-000010000000}" name="UQ" dataDxfId="5432"/>
    <tableColumn id="17" xr3:uid="{00000000-0010-0000-4400-000011000000}" name="CG" dataDxfId="5431"/>
    <tableColumn id="18" xr3:uid="{00000000-0010-0000-4400-000012000000}" name="SH" dataDxfId="5430"/>
    <tableColumn id="19" xr3:uid="{00000000-0010-0000-4400-000013000000}" name="#" dataDxfId="5429"/>
  </tableColumns>
  <tableStyleInfo name="TableStyleMedium3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45000000}" name="BOS_P48" displayName="BOS_P48" ref="A207:S217" totalsRowShown="0" headerRowDxfId="5428" dataDxfId="5426" headerRowBorderDxfId="5427">
  <autoFilter ref="A207:S217" xr:uid="{00000000-0009-0000-0100-00002F000000}"/>
  <sortState xmlns:xlrd2="http://schemas.microsoft.com/office/spreadsheetml/2017/richdata2" ref="A208:S217">
    <sortCondition ref="S51:S61"/>
  </sortState>
  <tableColumns count="19">
    <tableColumn id="1" xr3:uid="{00000000-0010-0000-4500-000001000000}" name="TM" dataDxfId="5425"/>
    <tableColumn id="2" xr3:uid="{00000000-0010-0000-4500-000002000000}" name="@" dataDxfId="5424"/>
    <tableColumn id="3" xr3:uid="{00000000-0010-0000-4500-000003000000}" name="NAME" dataDxfId="5423"/>
    <tableColumn id="4" xr3:uid="{00000000-0010-0000-4500-000004000000}" name="ERA" dataDxfId="5422">
      <calculatedColumnFormula>IFERROR(((BOS_P48[[#This Row],[R]]*9)/BOS_P48[[#This Row],[IP]]),0)</calculatedColumnFormula>
    </tableColumn>
    <tableColumn id="5" xr3:uid="{00000000-0010-0000-4500-000005000000}" name="W" dataDxfId="5421"/>
    <tableColumn id="6" xr3:uid="{00000000-0010-0000-4500-000006000000}" name="L" dataDxfId="5420"/>
    <tableColumn id="7" xr3:uid="{00000000-0010-0000-4500-000007000000}" name="G" dataDxfId="5419"/>
    <tableColumn id="8" xr3:uid="{00000000-0010-0000-4500-000008000000}" name="IP" dataDxfId="5418"/>
    <tableColumn id="9" xr3:uid="{00000000-0010-0000-4500-000009000000}" name="H" dataDxfId="5417"/>
    <tableColumn id="10" xr3:uid="{00000000-0010-0000-4500-00000A000000}" name="R" dataDxfId="5416"/>
    <tableColumn id="11" xr3:uid="{00000000-0010-0000-4500-00000B000000}" name="BB" dataDxfId="5415"/>
    <tableColumn id="12" xr3:uid="{00000000-0010-0000-4500-00000C000000}" name="K" dataDxfId="5414"/>
    <tableColumn id="13" xr3:uid="{00000000-0010-0000-4500-00000D000000}" name="SV" dataDxfId="5413"/>
    <tableColumn id="14" xr3:uid="{00000000-0010-0000-4500-00000E000000}" name="WH" dataDxfId="5412">
      <calculatedColumnFormula>IFERROR((BOS_P48[[#This Row],[BB]]+BOS_P48[[#This Row],[H]])/BOS_P48[[#This Row],[IP]],0)</calculatedColumnFormula>
    </tableColumn>
    <tableColumn id="15" xr3:uid="{00000000-0010-0000-4500-00000F000000}" name="QS" dataDxfId="5411"/>
    <tableColumn id="16" xr3:uid="{00000000-0010-0000-4500-000010000000}" name="UQ" dataDxfId="5410"/>
    <tableColumn id="17" xr3:uid="{00000000-0010-0000-4500-000011000000}" name="CG" dataDxfId="5409"/>
    <tableColumn id="18" xr3:uid="{00000000-0010-0000-4500-000012000000}" name="SH" dataDxfId="5408"/>
    <tableColumn id="19" xr3:uid="{00000000-0010-0000-4500-000013000000}" name="#" dataDxfId="5407"/>
  </tableColumns>
  <tableStyleInfo name="TableStyleMedium3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46000000}" name="BOS_H49" displayName="BOS_H49" ref="A190:W204" totalsRowShown="0" headerRowDxfId="5406" headerRowBorderDxfId="5405">
  <autoFilter ref="A190:W204" xr:uid="{00000000-0009-0000-0100-000030000000}"/>
  <sortState xmlns:xlrd2="http://schemas.microsoft.com/office/spreadsheetml/2017/richdata2" ref="A191:W204">
    <sortCondition ref="W190:W204"/>
  </sortState>
  <tableColumns count="23">
    <tableColumn id="1" xr3:uid="{00000000-0010-0000-4600-000001000000}" name="TM" dataDxfId="5404"/>
    <tableColumn id="2" xr3:uid="{00000000-0010-0000-4600-000002000000}" name="@" dataDxfId="5403"/>
    <tableColumn id="3" xr3:uid="{00000000-0010-0000-4600-000003000000}" name="NAME" dataDxfId="5402"/>
    <tableColumn id="4" xr3:uid="{00000000-0010-0000-4600-000004000000}" name="BA" dataDxfId="5401">
      <calculatedColumnFormula>IFERROR(BOS_H49[[#This Row],[H]]/BOS_H49[[#This Row],[AB]],0)</calculatedColumnFormula>
    </tableColumn>
    <tableColumn id="5" xr3:uid="{00000000-0010-0000-4600-000005000000}" name="OBP" dataDxfId="5400">
      <calculatedColumnFormula>IFERROR((BOS_H49[[#This Row],[H]]+BOS_H49[[#This Row],[BB]])/(BOS_H49[[#This Row],[AB]]+BOS_H49[[#This Row],[BB]]),0)</calculatedColumnFormula>
    </tableColumn>
    <tableColumn id="6" xr3:uid="{00000000-0010-0000-4600-000006000000}" name="SLG" dataDxfId="5399">
      <calculatedColumnFormula>IFERROR(((BOS_H49[[#This Row],[H]]-BOS_H49[[#This Row],[2B]]-BOS_H49[[#This Row],[3B]]-BOS_H49[[#This Row],[HR]])+(BOS_H49[[#This Row],[2B]]*2)+(BOS_H49[[#This Row],[3B]]*3)+(BOS_H49[[#This Row],[HR]]*4))/BOS_H49[[#This Row],[AB]],0)</calculatedColumnFormula>
    </tableColumn>
    <tableColumn id="7" xr3:uid="{00000000-0010-0000-4600-000007000000}" name="G" dataDxfId="5398"/>
    <tableColumn id="8" xr3:uid="{00000000-0010-0000-4600-000008000000}" name="AB" dataDxfId="5397"/>
    <tableColumn id="9" xr3:uid="{00000000-0010-0000-4600-000009000000}" name="R" dataDxfId="5396"/>
    <tableColumn id="10" xr3:uid="{00000000-0010-0000-4600-00000A000000}" name="H" dataDxfId="5395"/>
    <tableColumn id="11" xr3:uid="{00000000-0010-0000-4600-00000B000000}" name="2B" dataDxfId="5394"/>
    <tableColumn id="12" xr3:uid="{00000000-0010-0000-4600-00000C000000}" name="3B" dataDxfId="5393"/>
    <tableColumn id="13" xr3:uid="{00000000-0010-0000-4600-00000D000000}" name="HR" dataDxfId="5392"/>
    <tableColumn id="14" xr3:uid="{00000000-0010-0000-4600-00000E000000}" name="RBI" dataDxfId="5391"/>
    <tableColumn id="15" xr3:uid="{00000000-0010-0000-4600-00000F000000}" name="BB" dataDxfId="5390"/>
    <tableColumn id="16" xr3:uid="{00000000-0010-0000-4600-000010000000}" name="K" dataDxfId="5389"/>
    <tableColumn id="17" xr3:uid="{00000000-0010-0000-4600-000011000000}" name="SB" dataDxfId="5388"/>
    <tableColumn id="18" xr3:uid="{00000000-0010-0000-4600-000012000000}" name="HS" dataDxfId="5387"/>
    <tableColumn id="19" xr3:uid="{00000000-0010-0000-4600-000013000000}" name="LS" dataDxfId="5386"/>
    <tableColumn id="20" xr3:uid="{00000000-0010-0000-4600-000014000000}" name="TB" dataDxfId="5385">
      <calculatedColumnFormula>IFERROR((BOS_H49[[#This Row],[H]]-BOS_H49[[#This Row],[2B]]-BOS_H49[[#This Row],[3B]]-BOS_H49[[#This Row],[HR]])+(BOS_H49[[#This Row],[2B]]*2)+(BOS_H49[[#This Row],[3B]]*3)+(BOS_H49[[#This Row],[HR]]*4),0)</calculatedColumnFormula>
    </tableColumn>
    <tableColumn id="21" xr3:uid="{00000000-0010-0000-4600-000015000000}" name="OPS" dataDxfId="5384">
      <calculatedColumnFormula>BOS_H49[[#This Row],[OBP]]+BOS_H49[[#This Row],[SLG]]</calculatedColumnFormula>
    </tableColumn>
    <tableColumn id="22" xr3:uid="{00000000-0010-0000-4600-000016000000}" name="*" dataDxfId="5383"/>
    <tableColumn id="23" xr3:uid="{00000000-0010-0000-4600-000017000000}" name="#" dataDxfId="5382"/>
  </tableColumns>
  <tableStyleInfo name="TableStyleMedium3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47000000}" name="NYY_H50" displayName="NYY_H50" ref="A159:W173" totalsRowShown="0" headerRowDxfId="5381" dataDxfId="5379" headerRowBorderDxfId="5380">
  <autoFilter ref="A159:W173" xr:uid="{00000000-0009-0000-0100-000031000000}"/>
  <sortState xmlns:xlrd2="http://schemas.microsoft.com/office/spreadsheetml/2017/richdata2" ref="A160:W173">
    <sortCondition ref="W159:W173"/>
  </sortState>
  <tableColumns count="23">
    <tableColumn id="1" xr3:uid="{00000000-0010-0000-4700-000001000000}" name="TM" dataDxfId="5378"/>
    <tableColumn id="2" xr3:uid="{00000000-0010-0000-4700-000002000000}" name="@" dataDxfId="5377"/>
    <tableColumn id="3" xr3:uid="{00000000-0010-0000-4700-000003000000}" name="NAME" dataDxfId="5376"/>
    <tableColumn id="4" xr3:uid="{00000000-0010-0000-4700-000004000000}" name="BA" dataDxfId="5375">
      <calculatedColumnFormula>IFERROR((NYY_H50[[#This Row],[H]]/NYY_H50[[#This Row],[AB]]),0)</calculatedColumnFormula>
    </tableColumn>
    <tableColumn id="5" xr3:uid="{00000000-0010-0000-4700-000005000000}" name="OBP" dataDxfId="5374">
      <calculatedColumnFormula>IFERROR((NYY_H50[[#This Row],[H]]+NYY_H50[[#This Row],[BB]])/(NYY_H50[[#This Row],[AB]]+NYY_H50[[#This Row],[BB]]),)</calculatedColumnFormula>
    </tableColumn>
    <tableColumn id="6" xr3:uid="{00000000-0010-0000-4700-000006000000}" name="SLG" dataDxfId="5373">
      <calculatedColumnFormula>IFERROR(((NYY_H50[[#This Row],[H]]-NYY_H50[[#This Row],[2B]]-NYY_H50[[#This Row],[3B]]-NYY_H50[[#This Row],[HR]])+(NYY_H50[[#This Row],[2B]]*2)+(NYY_H50[[#This Row],[3B]]*3)+(NYY_H50[[#This Row],[HR]]*4))/NYY_H50[[#This Row],[AB]],0)</calculatedColumnFormula>
    </tableColumn>
    <tableColumn id="7" xr3:uid="{00000000-0010-0000-4700-000007000000}" name="G" dataDxfId="5372"/>
    <tableColumn id="8" xr3:uid="{00000000-0010-0000-4700-000008000000}" name="AB" dataDxfId="5371"/>
    <tableColumn id="9" xr3:uid="{00000000-0010-0000-4700-000009000000}" name="R" dataDxfId="5370"/>
    <tableColumn id="10" xr3:uid="{00000000-0010-0000-4700-00000A000000}" name="H" dataDxfId="5369"/>
    <tableColumn id="11" xr3:uid="{00000000-0010-0000-4700-00000B000000}" name="2B" dataDxfId="5368"/>
    <tableColumn id="12" xr3:uid="{00000000-0010-0000-4700-00000C000000}" name="3B" dataDxfId="5367"/>
    <tableColumn id="13" xr3:uid="{00000000-0010-0000-4700-00000D000000}" name="HR" dataDxfId="5366"/>
    <tableColumn id="14" xr3:uid="{00000000-0010-0000-4700-00000E000000}" name="RBI" dataDxfId="5365"/>
    <tableColumn id="15" xr3:uid="{00000000-0010-0000-4700-00000F000000}" name="BB" dataDxfId="5364"/>
    <tableColumn id="16" xr3:uid="{00000000-0010-0000-4700-000010000000}" name="K" dataDxfId="5363"/>
    <tableColumn id="17" xr3:uid="{00000000-0010-0000-4700-000011000000}" name="SB" dataDxfId="5362"/>
    <tableColumn id="18" xr3:uid="{00000000-0010-0000-4700-000012000000}" name="HS" dataDxfId="5361"/>
    <tableColumn id="19" xr3:uid="{00000000-0010-0000-4700-000013000000}" name="LS" dataDxfId="5360"/>
    <tableColumn id="20" xr3:uid="{00000000-0010-0000-4700-000014000000}" name="TB" dataDxfId="5359">
      <calculatedColumnFormula>IFERROR((NYY_H50[[#This Row],[H]]-NYY_H50[[#This Row],[2B]]-NYY_H50[[#This Row],[3B]]-NYY_H50[[#This Row],[HR]])+(NYY_H50[[#This Row],[2B]]*2)+(NYY_H50[[#This Row],[3B]]*3)+(NYY_H50[[#This Row],[HR]]*4),0)</calculatedColumnFormula>
    </tableColumn>
    <tableColumn id="21" xr3:uid="{00000000-0010-0000-4700-000015000000}" name="OPS" dataDxfId="5358">
      <calculatedColumnFormula>NYY_H50[[#This Row],[OBP]]+NYY_H50[[#This Row],[SLG]]</calculatedColumnFormula>
    </tableColumn>
    <tableColumn id="22" xr3:uid="{00000000-0010-0000-4700-000016000000}" name="*" dataDxfId="5357"/>
    <tableColumn id="23" xr3:uid="{00000000-0010-0000-4700-000017000000}" name="#" dataDxfId="5356"/>
  </tableColumns>
  <tableStyleInfo name="TableStyleMedium1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48000000}" name="NYY_P51" displayName="NYY_P51" ref="A176:S186" totalsRowShown="0" headerRowDxfId="5355" dataDxfId="5353" headerRowBorderDxfId="5354">
  <autoFilter ref="A176:S186" xr:uid="{00000000-0009-0000-0100-000032000000}"/>
  <sortState xmlns:xlrd2="http://schemas.microsoft.com/office/spreadsheetml/2017/richdata2" ref="A177:S186">
    <sortCondition ref="S176:S186"/>
  </sortState>
  <tableColumns count="19">
    <tableColumn id="1" xr3:uid="{00000000-0010-0000-4800-000001000000}" name="TM" dataDxfId="5352"/>
    <tableColumn id="2" xr3:uid="{00000000-0010-0000-4800-000002000000}" name="@" dataDxfId="5351"/>
    <tableColumn id="3" xr3:uid="{00000000-0010-0000-4800-000003000000}" name="NAME" dataDxfId="5350"/>
    <tableColumn id="4" xr3:uid="{00000000-0010-0000-4800-000004000000}" name="ERA" dataDxfId="5349">
      <calculatedColumnFormula>IFERROR((NYY_P51[[#This Row],[R]]*9)/NYY_P51[[#This Row],[IP]],0)</calculatedColumnFormula>
    </tableColumn>
    <tableColumn id="5" xr3:uid="{00000000-0010-0000-4800-000005000000}" name="W" dataDxfId="5348"/>
    <tableColumn id="6" xr3:uid="{00000000-0010-0000-4800-000006000000}" name="L" dataDxfId="5347"/>
    <tableColumn id="7" xr3:uid="{00000000-0010-0000-4800-000007000000}" name="G" dataDxfId="5346"/>
    <tableColumn id="8" xr3:uid="{00000000-0010-0000-4800-000008000000}" name="IP" dataDxfId="5345"/>
    <tableColumn id="9" xr3:uid="{00000000-0010-0000-4800-000009000000}" name="H" dataDxfId="5344"/>
    <tableColumn id="10" xr3:uid="{00000000-0010-0000-4800-00000A000000}" name="R" dataDxfId="5343"/>
    <tableColumn id="11" xr3:uid="{00000000-0010-0000-4800-00000B000000}" name="BB" dataDxfId="5342"/>
    <tableColumn id="12" xr3:uid="{00000000-0010-0000-4800-00000C000000}" name="K" dataDxfId="5341"/>
    <tableColumn id="13" xr3:uid="{00000000-0010-0000-4800-00000D000000}" name="SV" dataDxfId="5340"/>
    <tableColumn id="14" xr3:uid="{00000000-0010-0000-4800-00000E000000}" name="WH" dataDxfId="5339">
      <calculatedColumnFormula>IFERROR((NYY_P51[[#This Row],[BB]]+NYY_P51[[#This Row],[H]])/NYY_P51[[#This Row],[IP]],)</calculatedColumnFormula>
    </tableColumn>
    <tableColumn id="15" xr3:uid="{00000000-0010-0000-4800-00000F000000}" name="QS" dataDxfId="5338"/>
    <tableColumn id="16" xr3:uid="{00000000-0010-0000-4800-000010000000}" name="UQ" dataDxfId="5337"/>
    <tableColumn id="17" xr3:uid="{00000000-0010-0000-4800-000011000000}" name="CG" dataDxfId="5336"/>
    <tableColumn id="18" xr3:uid="{00000000-0010-0000-4800-000012000000}" name="SH" dataDxfId="5335"/>
    <tableColumn id="19" xr3:uid="{00000000-0010-0000-4800-000013000000}" name="#" dataDxfId="5334"/>
  </tableColumns>
  <tableStyleInfo name="TableStyleMedium1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49000000}" name="BAL_P62" displayName="BAL_P62" ref="A238:S248" totalsRowShown="0" headerRowDxfId="5333" headerRowBorderDxfId="5332">
  <autoFilter ref="A238:S248" xr:uid="{00000000-0009-0000-0100-00003D000000}"/>
  <sortState xmlns:xlrd2="http://schemas.microsoft.com/office/spreadsheetml/2017/richdata2" ref="A239:S248">
    <sortCondition ref="S113:S123"/>
  </sortState>
  <tableColumns count="19">
    <tableColumn id="1" xr3:uid="{00000000-0010-0000-4900-000001000000}" name="TM" dataDxfId="5331"/>
    <tableColumn id="2" xr3:uid="{00000000-0010-0000-4900-000002000000}" name="@" dataDxfId="5330"/>
    <tableColumn id="3" xr3:uid="{00000000-0010-0000-4900-000003000000}" name="NAME" dataDxfId="5329"/>
    <tableColumn id="4" xr3:uid="{00000000-0010-0000-4900-000004000000}" name="ERA" dataDxfId="5328">
      <calculatedColumnFormula>IFERROR((BAL_P62[[#This Row],[R]]*9)/BAL_P62[[#This Row],[IP]],0)</calculatedColumnFormula>
    </tableColumn>
    <tableColumn id="5" xr3:uid="{00000000-0010-0000-4900-000005000000}" name="W" dataDxfId="5327"/>
    <tableColumn id="6" xr3:uid="{00000000-0010-0000-4900-000006000000}" name="L" dataDxfId="5326"/>
    <tableColumn id="7" xr3:uid="{00000000-0010-0000-4900-000007000000}" name="G" dataDxfId="5325"/>
    <tableColumn id="8" xr3:uid="{00000000-0010-0000-4900-000008000000}" name="IP" dataDxfId="5324"/>
    <tableColumn id="9" xr3:uid="{00000000-0010-0000-4900-000009000000}" name="H" dataDxfId="5323"/>
    <tableColumn id="10" xr3:uid="{00000000-0010-0000-4900-00000A000000}" name="R" dataDxfId="5322"/>
    <tableColumn id="11" xr3:uid="{00000000-0010-0000-4900-00000B000000}" name="BB" dataDxfId="5321"/>
    <tableColumn id="12" xr3:uid="{00000000-0010-0000-4900-00000C000000}" name="K" dataDxfId="5320"/>
    <tableColumn id="13" xr3:uid="{00000000-0010-0000-4900-00000D000000}" name="SV" dataDxfId="5319"/>
    <tableColumn id="14" xr3:uid="{00000000-0010-0000-4900-00000E000000}" name="WH" dataDxfId="5318">
      <calculatedColumnFormula>IFERROR((BAL_P62[[#This Row],[BB]]+BAL_P62[[#This Row],[H]])/BAL_P62[[#This Row],[IP]],0)</calculatedColumnFormula>
    </tableColumn>
    <tableColumn id="15" xr3:uid="{00000000-0010-0000-4900-00000F000000}" name="QS" dataDxfId="5317"/>
    <tableColumn id="16" xr3:uid="{00000000-0010-0000-4900-000010000000}" name="UQ" dataDxfId="5316"/>
    <tableColumn id="17" xr3:uid="{00000000-0010-0000-4900-000011000000}" name="CG" dataDxfId="5315"/>
    <tableColumn id="18" xr3:uid="{00000000-0010-0000-4900-000012000000}" name="SH" dataDxfId="5314"/>
    <tableColumn id="19" xr3:uid="{00000000-0010-0000-4900-000013000000}" name="#" dataDxfId="5313"/>
  </tableColumns>
  <tableStyleInfo name="TableStyleMedium3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4A000000}" name="BAL_H63" displayName="BAL_H63" ref="A221:W235" totalsRowShown="0" headerRowDxfId="5312" dataDxfId="5310" headerRowBorderDxfId="5311">
  <autoFilter ref="A221:W235" xr:uid="{00000000-0009-0000-0100-00003E000000}"/>
  <sortState xmlns:xlrd2="http://schemas.microsoft.com/office/spreadsheetml/2017/richdata2" ref="A222:W235">
    <sortCondition ref="W221:W235"/>
  </sortState>
  <tableColumns count="23">
    <tableColumn id="1" xr3:uid="{00000000-0010-0000-4A00-000001000000}" name="TM" dataDxfId="5309"/>
    <tableColumn id="2" xr3:uid="{00000000-0010-0000-4A00-000002000000}" name="@" dataDxfId="5308"/>
    <tableColumn id="3" xr3:uid="{00000000-0010-0000-4A00-000003000000}" name="NAME" dataDxfId="5307"/>
    <tableColumn id="4" xr3:uid="{00000000-0010-0000-4A00-000004000000}" name="BA" dataDxfId="5306">
      <calculatedColumnFormula>IFERROR((BAL_H63[[#This Row],[H]]/BAL_H63[[#This Row],[AB]]),0)</calculatedColumnFormula>
    </tableColumn>
    <tableColumn id="5" xr3:uid="{00000000-0010-0000-4A00-000005000000}" name="OBP" dataDxfId="5305">
      <calculatedColumnFormula>IFERROR((BAL_H63[[#This Row],[H]]+BAL_H63[[#This Row],[BB]])/(BAL_H63[[#This Row],[BB]]+BAL_H63[[#This Row],[AB]]),0)</calculatedColumnFormula>
    </tableColumn>
    <tableColumn id="6" xr3:uid="{00000000-0010-0000-4A00-000006000000}" name="SLG" dataDxfId="5304">
      <calculatedColumnFormula>IFERROR(((BAL_H63[[#This Row],[H]]-BAL_H63[[#This Row],[2B]]-BAL_H63[[#This Row],[3B]]-BAL_H63[[#This Row],[HR]])+(BAL_H63[[#This Row],[2B]]*2)+(BAL_H63[[#This Row],[3B]]*3)+(BAL_H63[[#This Row],[HR]]*4))/BAL_H63[[#This Row],[AB]],0)</calculatedColumnFormula>
    </tableColumn>
    <tableColumn id="7" xr3:uid="{00000000-0010-0000-4A00-000007000000}" name="G" dataDxfId="5303"/>
    <tableColumn id="8" xr3:uid="{00000000-0010-0000-4A00-000008000000}" name="AB" dataDxfId="5302"/>
    <tableColumn id="9" xr3:uid="{00000000-0010-0000-4A00-000009000000}" name="R" dataDxfId="5301"/>
    <tableColumn id="10" xr3:uid="{00000000-0010-0000-4A00-00000A000000}" name="H" dataDxfId="5300"/>
    <tableColumn id="11" xr3:uid="{00000000-0010-0000-4A00-00000B000000}" name="2B" dataDxfId="5299"/>
    <tableColumn id="12" xr3:uid="{00000000-0010-0000-4A00-00000C000000}" name="3B" dataDxfId="5298"/>
    <tableColumn id="13" xr3:uid="{00000000-0010-0000-4A00-00000D000000}" name="HR" dataDxfId="5297"/>
    <tableColumn id="14" xr3:uid="{00000000-0010-0000-4A00-00000E000000}" name="RBI" dataDxfId="5296"/>
    <tableColumn id="15" xr3:uid="{00000000-0010-0000-4A00-00000F000000}" name="BB" dataDxfId="5295"/>
    <tableColumn id="16" xr3:uid="{00000000-0010-0000-4A00-000010000000}" name="K" dataDxfId="5294"/>
    <tableColumn id="17" xr3:uid="{00000000-0010-0000-4A00-000011000000}" name="SB" dataDxfId="5293"/>
    <tableColumn id="18" xr3:uid="{00000000-0010-0000-4A00-000012000000}" name="HS" dataDxfId="5292"/>
    <tableColumn id="19" xr3:uid="{00000000-0010-0000-4A00-000013000000}" name="LS" dataDxfId="5291"/>
    <tableColumn id="20" xr3:uid="{00000000-0010-0000-4A00-000014000000}" name="TB" dataDxfId="5290">
      <calculatedColumnFormula>IFERROR((BAL_H63[[#This Row],[H]]-BAL_H63[[#This Row],[2B]]-BAL_H63[[#This Row],[3B]]-BAL_H63[[#This Row],[HR]])+(BAL_H63[[#This Row],[2B]]*2)+(BAL_H63[[#This Row],[3B]]*3)+(BAL_H63[[#This Row],[HR]]*4),0)</calculatedColumnFormula>
    </tableColumn>
    <tableColumn id="21" xr3:uid="{00000000-0010-0000-4A00-000015000000}" name="OPS" dataDxfId="5289">
      <calculatedColumnFormula>BAL_H63[[#This Row],[OBP]]+BAL_H63[[#This Row],[SLG]]</calculatedColumnFormula>
    </tableColumn>
    <tableColumn id="22" xr3:uid="{00000000-0010-0000-4A00-000016000000}" name="*" dataDxfId="5288"/>
    <tableColumn id="23" xr3:uid="{00000000-0010-0000-4A00-000017000000}" name="#" dataDxfId="5287"/>
  </tableColumns>
  <tableStyleInfo name="TableStyleMedium3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00000000-000C-0000-FFFF-FFFF4B000000}" name="NYY_H50277" displayName="NYY_H50277" ref="A252:W266" totalsRowShown="0" headerRowDxfId="5286" dataDxfId="5284" headerRowBorderDxfId="5285">
  <autoFilter ref="A252:W266" xr:uid="{00000000-0009-0000-0100-000014010000}"/>
  <sortState xmlns:xlrd2="http://schemas.microsoft.com/office/spreadsheetml/2017/richdata2" ref="A253:W266">
    <sortCondition ref="W252:W266"/>
  </sortState>
  <tableColumns count="23">
    <tableColumn id="1" xr3:uid="{00000000-0010-0000-4B00-000001000000}" name="TM" dataDxfId="5283"/>
    <tableColumn id="2" xr3:uid="{00000000-0010-0000-4B00-000002000000}" name="@" dataDxfId="5282"/>
    <tableColumn id="3" xr3:uid="{00000000-0010-0000-4B00-000003000000}" name="NAME" dataDxfId="5281"/>
    <tableColumn id="4" xr3:uid="{00000000-0010-0000-4B00-000004000000}" name="BA" dataDxfId="5280">
      <calculatedColumnFormula>IFERROR((NYY_H50277[[#This Row],[H]]/NYY_H50277[[#This Row],[AB]]),0)</calculatedColumnFormula>
    </tableColumn>
    <tableColumn id="5" xr3:uid="{00000000-0010-0000-4B00-000005000000}" name="OBP" dataDxfId="5279">
      <calculatedColumnFormula>IFERROR((NYY_H50277[[#This Row],[H]]+NYY_H50277[[#This Row],[BB]])/(NYY_H50277[[#This Row],[AB]]+NYY_H50277[[#This Row],[BB]]),)</calculatedColumnFormula>
    </tableColumn>
    <tableColumn id="6" xr3:uid="{00000000-0010-0000-4B00-000006000000}" name="SLG" dataDxfId="5278">
      <calculatedColumnFormula>IFERROR(((NYY_H50277[[#This Row],[H]]-NYY_H50277[[#This Row],[2B]]-NYY_H50277[[#This Row],[3B]]-NYY_H50277[[#This Row],[HR]])+(NYY_H50277[[#This Row],[2B]]*2)+(NYY_H50277[[#This Row],[3B]]*3)+(NYY_H50277[[#This Row],[HR]]*4))/NYY_H50277[[#This Row],[AB]],0)</calculatedColumnFormula>
    </tableColumn>
    <tableColumn id="7" xr3:uid="{00000000-0010-0000-4B00-000007000000}" name="G" dataDxfId="5277"/>
    <tableColumn id="8" xr3:uid="{00000000-0010-0000-4B00-000008000000}" name="AB" dataDxfId="5276"/>
    <tableColumn id="9" xr3:uid="{00000000-0010-0000-4B00-000009000000}" name="R" dataDxfId="5275"/>
    <tableColumn id="10" xr3:uid="{00000000-0010-0000-4B00-00000A000000}" name="H" dataDxfId="5274"/>
    <tableColumn id="11" xr3:uid="{00000000-0010-0000-4B00-00000B000000}" name="2B" dataDxfId="5273"/>
    <tableColumn id="12" xr3:uid="{00000000-0010-0000-4B00-00000C000000}" name="3B" dataDxfId="5272"/>
    <tableColumn id="13" xr3:uid="{00000000-0010-0000-4B00-00000D000000}" name="HR" dataDxfId="5271"/>
    <tableColumn id="14" xr3:uid="{00000000-0010-0000-4B00-00000E000000}" name="RBI" dataDxfId="5270"/>
    <tableColumn id="15" xr3:uid="{00000000-0010-0000-4B00-00000F000000}" name="BB" dataDxfId="5269"/>
    <tableColumn id="16" xr3:uid="{00000000-0010-0000-4B00-000010000000}" name="K" dataDxfId="5268"/>
    <tableColumn id="17" xr3:uid="{00000000-0010-0000-4B00-000011000000}" name="SB" dataDxfId="5267"/>
    <tableColumn id="18" xr3:uid="{00000000-0010-0000-4B00-000012000000}" name="HS" dataDxfId="5266"/>
    <tableColumn id="19" xr3:uid="{00000000-0010-0000-4B00-000013000000}" name="LS" dataDxfId="5265"/>
    <tableColumn id="20" xr3:uid="{00000000-0010-0000-4B00-000014000000}" name="TB" dataDxfId="5264">
      <calculatedColumnFormula>IFERROR((NYY_H50277[[#This Row],[H]]-NYY_H50277[[#This Row],[2B]]-NYY_H50277[[#This Row],[3B]]-NYY_H50277[[#This Row],[HR]])+(NYY_H50277[[#This Row],[2B]]*2)+(NYY_H50277[[#This Row],[3B]]*3)+(NYY_H50277[[#This Row],[HR]]*4),0)</calculatedColumnFormula>
    </tableColumn>
    <tableColumn id="21" xr3:uid="{00000000-0010-0000-4B00-000015000000}" name="OPS" dataDxfId="5263">
      <calculatedColumnFormula>NYY_H50277[[#This Row],[OBP]]+NYY_H50277[[#This Row],[SLG]]</calculatedColumnFormula>
    </tableColumn>
    <tableColumn id="22" xr3:uid="{00000000-0010-0000-4B00-000016000000}" name="*" dataDxfId="5262"/>
    <tableColumn id="23" xr3:uid="{00000000-0010-0000-4B00-000017000000}" name="#" dataDxfId="5261"/>
  </tableColumns>
  <tableStyleInfo name="TableStyleMedium1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00000000-000C-0000-FFFF-FFFF4C000000}" name="NYY_P51278" displayName="NYY_P51278" ref="A269:S279" totalsRowShown="0" headerRowDxfId="5260" dataDxfId="5258" headerRowBorderDxfId="5259">
  <autoFilter ref="A269:S279" xr:uid="{00000000-0009-0000-0100-000015010000}"/>
  <sortState xmlns:xlrd2="http://schemas.microsoft.com/office/spreadsheetml/2017/richdata2" ref="A270:S279">
    <sortCondition ref="S269:S279"/>
  </sortState>
  <tableColumns count="19">
    <tableColumn id="1" xr3:uid="{00000000-0010-0000-4C00-000001000000}" name="TM" dataDxfId="5257"/>
    <tableColumn id="2" xr3:uid="{00000000-0010-0000-4C00-000002000000}" name="@" dataDxfId="5256"/>
    <tableColumn id="3" xr3:uid="{00000000-0010-0000-4C00-000003000000}" name="NAME" dataDxfId="5255"/>
    <tableColumn id="4" xr3:uid="{00000000-0010-0000-4C00-000004000000}" name="ERA" dataDxfId="5254">
      <calculatedColumnFormula>IFERROR((NYY_P51278[[#This Row],[R]]*9)/NYY_P51278[[#This Row],[IP]],0)</calculatedColumnFormula>
    </tableColumn>
    <tableColumn id="5" xr3:uid="{00000000-0010-0000-4C00-000005000000}" name="W" dataDxfId="5253"/>
    <tableColumn id="6" xr3:uid="{00000000-0010-0000-4C00-000006000000}" name="L" dataDxfId="5252"/>
    <tableColumn id="7" xr3:uid="{00000000-0010-0000-4C00-000007000000}" name="G" dataDxfId="5251"/>
    <tableColumn id="8" xr3:uid="{00000000-0010-0000-4C00-000008000000}" name="IP" dataDxfId="5250"/>
    <tableColumn id="9" xr3:uid="{00000000-0010-0000-4C00-000009000000}" name="H" dataDxfId="5249"/>
    <tableColumn id="10" xr3:uid="{00000000-0010-0000-4C00-00000A000000}" name="R" dataDxfId="5248"/>
    <tableColumn id="11" xr3:uid="{00000000-0010-0000-4C00-00000B000000}" name="BB" dataDxfId="5247"/>
    <tableColumn id="12" xr3:uid="{00000000-0010-0000-4C00-00000C000000}" name="K" dataDxfId="5246"/>
    <tableColumn id="13" xr3:uid="{00000000-0010-0000-4C00-00000D000000}" name="SV" dataDxfId="5245"/>
    <tableColumn id="14" xr3:uid="{00000000-0010-0000-4C00-00000E000000}" name="WH" dataDxfId="5244">
      <calculatedColumnFormula>IFERROR((NYY_P51278[[#This Row],[BB]]+NYY_P51278[[#This Row],[H]])/NYY_P51278[[#This Row],[IP]],)</calculatedColumnFormula>
    </tableColumn>
    <tableColumn id="15" xr3:uid="{00000000-0010-0000-4C00-00000F000000}" name="QS" dataDxfId="5243"/>
    <tableColumn id="16" xr3:uid="{00000000-0010-0000-4C00-000010000000}" name="UQ" dataDxfId="5242"/>
    <tableColumn id="17" xr3:uid="{00000000-0010-0000-4C00-000011000000}" name="CG" dataDxfId="5241"/>
    <tableColumn id="18" xr3:uid="{00000000-0010-0000-4C00-000012000000}" name="SH" dataDxfId="5240"/>
    <tableColumn id="19" xr3:uid="{00000000-0010-0000-4C00-000013000000}" name="#" dataDxfId="5239"/>
  </tableColumns>
  <tableStyleInfo name="TableStyleMedium1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4D000000}" name="MIN_H" displayName="MIN_H" ref="A34:W48" totalsRowShown="0" headerRowDxfId="5238" dataDxfId="5236" headerRowBorderDxfId="5237">
  <autoFilter ref="A34:W48" xr:uid="{00000000-0009-0000-0100-000025000000}"/>
  <sortState xmlns:xlrd2="http://schemas.microsoft.com/office/spreadsheetml/2017/richdata2" ref="A35:W48">
    <sortCondition descending="1" ref="T34:T48"/>
  </sortState>
  <tableColumns count="23">
    <tableColumn id="1" xr3:uid="{00000000-0010-0000-4D00-000001000000}" name="TM" dataDxfId="5235"/>
    <tableColumn id="2" xr3:uid="{00000000-0010-0000-4D00-000002000000}" name="@" dataDxfId="5234"/>
    <tableColumn id="3" xr3:uid="{00000000-0010-0000-4D00-000003000000}" name="NAME" dataDxfId="5233"/>
    <tableColumn id="4" xr3:uid="{00000000-0010-0000-4D00-000004000000}" name="BA" dataDxfId="5232">
      <calculatedColumnFormula>IFERROR(MIN_H[[#This Row],[H]]/MIN_H[[#This Row],[AB]],0)</calculatedColumnFormula>
    </tableColumn>
    <tableColumn id="5" xr3:uid="{00000000-0010-0000-4D00-000005000000}" name="OBP" dataDxfId="5231">
      <calculatedColumnFormula>IFERROR((MIN_H[[#This Row],[H]]+MIN_H[[#This Row],[BB]])/(MIN_H[[#This Row],[BB]]+MIN_H[[#This Row],[AB]]),0)</calculatedColumnFormula>
    </tableColumn>
    <tableColumn id="6" xr3:uid="{00000000-0010-0000-4D00-000006000000}" name="SLG" dataDxfId="5230">
      <calculatedColumnFormula>IFERROR(((MIN_H[[#This Row],[H]]-MIN_H[[#This Row],[2B]]-MIN_H[[#This Row],[3B]]-MIN_H[[#This Row],[HR]])+(MIN_H[[#This Row],[2B]]*2)+(MIN_H[[#This Row],[3B]]*3)+(MIN_H[[#This Row],[HR]]*4))/MIN_H[[#This Row],[AB]],0)</calculatedColumnFormula>
    </tableColumn>
    <tableColumn id="7" xr3:uid="{00000000-0010-0000-4D00-000007000000}" name="G" dataDxfId="5229"/>
    <tableColumn id="8" xr3:uid="{00000000-0010-0000-4D00-000008000000}" name="AB" dataDxfId="5228"/>
    <tableColumn id="9" xr3:uid="{00000000-0010-0000-4D00-000009000000}" name="R" dataDxfId="5227"/>
    <tableColumn id="10" xr3:uid="{00000000-0010-0000-4D00-00000A000000}" name="H" dataDxfId="5226"/>
    <tableColumn id="11" xr3:uid="{00000000-0010-0000-4D00-00000B000000}" name="2B" dataDxfId="5225"/>
    <tableColumn id="12" xr3:uid="{00000000-0010-0000-4D00-00000C000000}" name="3B" dataDxfId="5224"/>
    <tableColumn id="13" xr3:uid="{00000000-0010-0000-4D00-00000D000000}" name="HR" dataDxfId="5223"/>
    <tableColumn id="14" xr3:uid="{00000000-0010-0000-4D00-00000E000000}" name="RBI" dataDxfId="5222"/>
    <tableColumn id="15" xr3:uid="{00000000-0010-0000-4D00-00000F000000}" name="BB" dataDxfId="5221"/>
    <tableColumn id="16" xr3:uid="{00000000-0010-0000-4D00-000010000000}" name="K" dataDxfId="5220"/>
    <tableColumn id="17" xr3:uid="{00000000-0010-0000-4D00-000011000000}" name="SB" dataDxfId="5219"/>
    <tableColumn id="18" xr3:uid="{00000000-0010-0000-4D00-000012000000}" name="HS" dataDxfId="5218"/>
    <tableColumn id="19" xr3:uid="{00000000-0010-0000-4D00-000013000000}" name="LS" dataDxfId="5217"/>
    <tableColumn id="20" xr3:uid="{00000000-0010-0000-4D00-000014000000}" name="TB" dataDxfId="5216">
      <calculatedColumnFormula>IFERROR((MIN_H[[#This Row],[H]]-MIN_H[[#This Row],[2B]]-MIN_H[[#This Row],[3B]]-MIN_H[[#This Row],[HR]])+(MIN_H[[#This Row],[2B]]*2)+(MIN_H[[#This Row],[3B]]*3)+(MIN_H[[#This Row],[HR]]*4),0)</calculatedColumnFormula>
    </tableColumn>
    <tableColumn id="21" xr3:uid="{00000000-0010-0000-4D00-000015000000}" name="OPS" dataDxfId="5215">
      <calculatedColumnFormula>MIN_H[[#This Row],[OBP]]+MIN_H[[#This Row],[SLG]]</calculatedColumnFormula>
    </tableColumn>
    <tableColumn id="22" xr3:uid="{00000000-0010-0000-4D00-000016000000}" name="*" dataDxfId="5214"/>
    <tableColumn id="23" xr3:uid="{00000000-0010-0000-4D00-000017000000}" name="#" dataDxfId="5213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4E000000}" name="MIN_P" displayName="MIN_P" ref="A51:S61" totalsRowShown="0" headerRowDxfId="5212" dataDxfId="5210" headerRowBorderDxfId="5211">
  <autoFilter ref="A51:S61" xr:uid="{00000000-0009-0000-0100-000026000000}"/>
  <sortState xmlns:xlrd2="http://schemas.microsoft.com/office/spreadsheetml/2017/richdata2" ref="A52:S61">
    <sortCondition ref="S51:S61"/>
  </sortState>
  <tableColumns count="19">
    <tableColumn id="1" xr3:uid="{00000000-0010-0000-4E00-000001000000}" name="TM" dataDxfId="5209"/>
    <tableColumn id="2" xr3:uid="{00000000-0010-0000-4E00-000002000000}" name="@" dataDxfId="5208"/>
    <tableColumn id="3" xr3:uid="{00000000-0010-0000-4E00-000003000000}" name="NAME" dataDxfId="5207"/>
    <tableColumn id="4" xr3:uid="{00000000-0010-0000-4E00-000004000000}" name="ERA" dataDxfId="5206">
      <calculatedColumnFormula>IFERROR((MIN_P[[#This Row],[R]]*9)/MIN_P[[#This Row],[IP]],0)</calculatedColumnFormula>
    </tableColumn>
    <tableColumn id="5" xr3:uid="{00000000-0010-0000-4E00-000005000000}" name="W" dataDxfId="5205"/>
    <tableColumn id="6" xr3:uid="{00000000-0010-0000-4E00-000006000000}" name="L" dataDxfId="5204"/>
    <tableColumn id="7" xr3:uid="{00000000-0010-0000-4E00-000007000000}" name="G" dataDxfId="5203"/>
    <tableColumn id="8" xr3:uid="{00000000-0010-0000-4E00-000008000000}" name="IP" dataDxfId="5202"/>
    <tableColumn id="9" xr3:uid="{00000000-0010-0000-4E00-000009000000}" name="H" dataDxfId="5201"/>
    <tableColumn id="10" xr3:uid="{00000000-0010-0000-4E00-00000A000000}" name="R" dataDxfId="5200"/>
    <tableColumn id="11" xr3:uid="{00000000-0010-0000-4E00-00000B000000}" name="BB" dataDxfId="5199"/>
    <tableColumn id="12" xr3:uid="{00000000-0010-0000-4E00-00000C000000}" name="K" dataDxfId="5198"/>
    <tableColumn id="13" xr3:uid="{00000000-0010-0000-4E00-00000D000000}" name="SV" dataDxfId="5197"/>
    <tableColumn id="14" xr3:uid="{00000000-0010-0000-4E00-00000E000000}" name="WH" dataDxfId="5196">
      <calculatedColumnFormula>IFERROR((MIN_P[[#This Row],[BB]]+MIN_P[[#This Row],[H]])/MIN_P[[#This Row],[IP]],0)</calculatedColumnFormula>
    </tableColumn>
    <tableColumn id="15" xr3:uid="{00000000-0010-0000-4E00-00000F000000}" name="QS" dataDxfId="5195"/>
    <tableColumn id="16" xr3:uid="{00000000-0010-0000-4E00-000010000000}" name="UQ" dataDxfId="5194"/>
    <tableColumn id="17" xr3:uid="{00000000-0010-0000-4E00-000011000000}" name="CG" dataDxfId="5193"/>
    <tableColumn id="18" xr3:uid="{00000000-0010-0000-4E00-000012000000}" name="SH" dataDxfId="5192"/>
    <tableColumn id="19" xr3:uid="{00000000-0010-0000-4E00-000013000000}" name="#" dataDxfId="5191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4F000000}" name="DET_P" displayName="DET_P" ref="A82:S92" totalsRowShown="0" headerRowDxfId="5190" dataDxfId="5188" headerRowBorderDxfId="5189">
  <autoFilter ref="A82:S92" xr:uid="{00000000-0009-0000-0100-000027000000}"/>
  <sortState xmlns:xlrd2="http://schemas.microsoft.com/office/spreadsheetml/2017/richdata2" ref="A83:S92">
    <sortCondition ref="S82:S92"/>
  </sortState>
  <tableColumns count="19">
    <tableColumn id="1" xr3:uid="{00000000-0010-0000-4F00-000001000000}" name="TM" dataDxfId="5187"/>
    <tableColumn id="2" xr3:uid="{00000000-0010-0000-4F00-000002000000}" name="@" dataDxfId="5186"/>
    <tableColumn id="3" xr3:uid="{00000000-0010-0000-4F00-000003000000}" name="NAME" dataDxfId="5185"/>
    <tableColumn id="4" xr3:uid="{00000000-0010-0000-4F00-000004000000}" name="ERA" dataDxfId="5184">
      <calculatedColumnFormula>IFERROR((DET_P[[#This Row],[R]]*9)/DET_P[[#This Row],[IP]],0)</calculatedColumnFormula>
    </tableColumn>
    <tableColumn id="5" xr3:uid="{00000000-0010-0000-4F00-000005000000}" name="W" dataDxfId="5183"/>
    <tableColumn id="6" xr3:uid="{00000000-0010-0000-4F00-000006000000}" name="L" dataDxfId="5182"/>
    <tableColumn id="7" xr3:uid="{00000000-0010-0000-4F00-000007000000}" name="G" dataDxfId="5181"/>
    <tableColumn id="8" xr3:uid="{00000000-0010-0000-4F00-000008000000}" name="IP" dataDxfId="5180"/>
    <tableColumn id="9" xr3:uid="{00000000-0010-0000-4F00-000009000000}" name="H" dataDxfId="5179"/>
    <tableColumn id="10" xr3:uid="{00000000-0010-0000-4F00-00000A000000}" name="R" dataDxfId="5178"/>
    <tableColumn id="11" xr3:uid="{00000000-0010-0000-4F00-00000B000000}" name="BB" dataDxfId="5177"/>
    <tableColumn id="12" xr3:uid="{00000000-0010-0000-4F00-00000C000000}" name="K" dataDxfId="5176"/>
    <tableColumn id="13" xr3:uid="{00000000-0010-0000-4F00-00000D000000}" name="SV" dataDxfId="5175"/>
    <tableColumn id="14" xr3:uid="{00000000-0010-0000-4F00-00000E000000}" name="WH" dataDxfId="5174">
      <calculatedColumnFormula>IFERROR((DET_P[[#This Row],[BB]]+DET_P[[#This Row],[H]])/DET_P[[#This Row],[IP]],0)</calculatedColumnFormula>
    </tableColumn>
    <tableColumn id="15" xr3:uid="{00000000-0010-0000-4F00-00000F000000}" name="QS" dataDxfId="5173"/>
    <tableColumn id="16" xr3:uid="{00000000-0010-0000-4F00-000010000000}" name="UQ" dataDxfId="5172"/>
    <tableColumn id="17" xr3:uid="{00000000-0010-0000-4F00-000011000000}" name="CG" dataDxfId="5171"/>
    <tableColumn id="18" xr3:uid="{00000000-0010-0000-4F00-000012000000}" name="SH" dataDxfId="5170"/>
    <tableColumn id="19" xr3:uid="{00000000-0010-0000-4F00-000013000000}" name="#" dataDxfId="5169"/>
  </tableColumns>
  <tableStyleInfo name="TableStyleMedium3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50000000}" name="CHW_P" displayName="CHW_P" ref="A144:S154" totalsRowShown="0" headerRowDxfId="5168" dataDxfId="5166" headerRowBorderDxfId="5167">
  <autoFilter ref="A144:S154" xr:uid="{00000000-0009-0000-0100-000028000000}"/>
  <sortState xmlns:xlrd2="http://schemas.microsoft.com/office/spreadsheetml/2017/richdata2" ref="A145:S154">
    <sortCondition ref="S144:S154"/>
  </sortState>
  <tableColumns count="19">
    <tableColumn id="1" xr3:uid="{00000000-0010-0000-5000-000001000000}" name="TM" dataDxfId="5165"/>
    <tableColumn id="2" xr3:uid="{00000000-0010-0000-5000-000002000000}" name="@" dataDxfId="5164"/>
    <tableColumn id="3" xr3:uid="{00000000-0010-0000-5000-000003000000}" name="NAME" dataDxfId="5163"/>
    <tableColumn id="4" xr3:uid="{00000000-0010-0000-5000-000004000000}" name="ERA" dataDxfId="5162">
      <calculatedColumnFormula>IFERROR((CHW_P[[#This Row],[R]]*9)/CHW_P[[#This Row],[IP]],0)</calculatedColumnFormula>
    </tableColumn>
    <tableColumn id="5" xr3:uid="{00000000-0010-0000-5000-000005000000}" name="W" dataDxfId="5161"/>
    <tableColumn id="6" xr3:uid="{00000000-0010-0000-5000-000006000000}" name="L" dataDxfId="5160"/>
    <tableColumn id="7" xr3:uid="{00000000-0010-0000-5000-000007000000}" name="G" dataDxfId="5159"/>
    <tableColumn id="8" xr3:uid="{00000000-0010-0000-5000-000008000000}" name="IP" dataDxfId="5158"/>
    <tableColumn id="9" xr3:uid="{00000000-0010-0000-5000-000009000000}" name="H" dataDxfId="5157"/>
    <tableColumn id="10" xr3:uid="{00000000-0010-0000-5000-00000A000000}" name="R" dataDxfId="5156"/>
    <tableColumn id="11" xr3:uid="{00000000-0010-0000-5000-00000B000000}" name="BB" dataDxfId="5155"/>
    <tableColumn id="12" xr3:uid="{00000000-0010-0000-5000-00000C000000}" name="K" dataDxfId="5154"/>
    <tableColumn id="13" xr3:uid="{00000000-0010-0000-5000-00000D000000}" name="SV" dataDxfId="5153"/>
    <tableColumn id="14" xr3:uid="{00000000-0010-0000-5000-00000E000000}" name="WH" dataDxfId="5152">
      <calculatedColumnFormula>IFERROR((CHW_P[[#This Row],[BB]]+CHW_P[[#This Row],[H]])/CHW_P[[#This Row],[IP]],0)</calculatedColumnFormula>
    </tableColumn>
    <tableColumn id="15" xr3:uid="{00000000-0010-0000-5000-00000F000000}" name="QS" dataDxfId="5151"/>
    <tableColumn id="16" xr3:uid="{00000000-0010-0000-5000-000010000000}" name="UQ" dataDxfId="5150"/>
    <tableColumn id="17" xr3:uid="{00000000-0010-0000-5000-000011000000}" name="CG" dataDxfId="5149"/>
    <tableColumn id="18" xr3:uid="{00000000-0010-0000-5000-000012000000}" name="SH" dataDxfId="5148"/>
    <tableColumn id="19" xr3:uid="{00000000-0010-0000-5000-000013000000}" name="#" dataDxfId="5147"/>
  </tableColumns>
  <tableStyleInfo name="TableStyleMedium1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51000000}" name="CHW_H" displayName="CHW_H" ref="A127:W141" totalsRowShown="0" headerRowDxfId="5146" dataDxfId="5144" headerRowBorderDxfId="5145">
  <autoFilter ref="A127:W141" xr:uid="{00000000-0009-0000-0100-000029000000}"/>
  <sortState xmlns:xlrd2="http://schemas.microsoft.com/office/spreadsheetml/2017/richdata2" ref="A128:W141">
    <sortCondition descending="1" ref="T127:T141"/>
  </sortState>
  <tableColumns count="23">
    <tableColumn id="1" xr3:uid="{00000000-0010-0000-5100-000001000000}" name="TM" dataDxfId="5143"/>
    <tableColumn id="2" xr3:uid="{00000000-0010-0000-5100-000002000000}" name="@" dataDxfId="5142"/>
    <tableColumn id="3" xr3:uid="{00000000-0010-0000-5100-000003000000}" name="NAME" dataDxfId="5141"/>
    <tableColumn id="4" xr3:uid="{00000000-0010-0000-5100-000004000000}" name="BA" dataDxfId="5140">
      <calculatedColumnFormula>IFERROR((CHW_H[[#This Row],[H]]/CHW_H[[#This Row],[AB]]),0)</calculatedColumnFormula>
    </tableColumn>
    <tableColumn id="5" xr3:uid="{00000000-0010-0000-5100-000005000000}" name="OBP" dataDxfId="5139">
      <calculatedColumnFormula>IFERROR((CHW_H[[#This Row],[H]]+CHW_H[[#This Row],[BB]])/(CHW_H[[#This Row],[BB]]+CHW_H[[#This Row],[AB]]),0)</calculatedColumnFormula>
    </tableColumn>
    <tableColumn id="6" xr3:uid="{00000000-0010-0000-5100-000006000000}" name="SLG" dataDxfId="5138">
      <calculatedColumnFormula>IFERROR(((CHW_H[[#This Row],[H]]-CHW_H[[#This Row],[2B]]-CHW_H[[#This Row],[3B]]-CHW_H[[#This Row],[HR]])+(CHW_H[[#This Row],[2B]]*2)+(CHW_H[[#This Row],[3B]]*3)+(CHW_H[[#This Row],[HR]]*4))/CHW_H[[#This Row],[AB]],0)</calculatedColumnFormula>
    </tableColumn>
    <tableColumn id="7" xr3:uid="{00000000-0010-0000-5100-000007000000}" name="G" dataDxfId="5137"/>
    <tableColumn id="8" xr3:uid="{00000000-0010-0000-5100-000008000000}" name="AB" dataDxfId="5136"/>
    <tableColumn id="9" xr3:uid="{00000000-0010-0000-5100-000009000000}" name="R" dataDxfId="5135"/>
    <tableColumn id="10" xr3:uid="{00000000-0010-0000-5100-00000A000000}" name="H" dataDxfId="5134"/>
    <tableColumn id="11" xr3:uid="{00000000-0010-0000-5100-00000B000000}" name="2B" dataDxfId="5133"/>
    <tableColumn id="12" xr3:uid="{00000000-0010-0000-5100-00000C000000}" name="3B" dataDxfId="5132"/>
    <tableColumn id="13" xr3:uid="{00000000-0010-0000-5100-00000D000000}" name="HR" dataDxfId="5131"/>
    <tableColumn id="14" xr3:uid="{00000000-0010-0000-5100-00000E000000}" name="RBI" dataDxfId="5130"/>
    <tableColumn id="15" xr3:uid="{00000000-0010-0000-5100-00000F000000}" name="BB" dataDxfId="5129"/>
    <tableColumn id="16" xr3:uid="{00000000-0010-0000-5100-000010000000}" name="K" dataDxfId="5128"/>
    <tableColumn id="17" xr3:uid="{00000000-0010-0000-5100-000011000000}" name="SB" dataDxfId="5127"/>
    <tableColumn id="18" xr3:uid="{00000000-0010-0000-5100-000012000000}" name="HS" dataDxfId="5126"/>
    <tableColumn id="19" xr3:uid="{00000000-0010-0000-5100-000013000000}" name="LS" dataDxfId="5125"/>
    <tableColumn id="20" xr3:uid="{00000000-0010-0000-5100-000014000000}" name="TB" dataDxfId="5124">
      <calculatedColumnFormula>IFERROR((CHW_H[[#This Row],[H]]-CHW_H[[#This Row],[2B]]-CHW_H[[#This Row],[3B]]-CHW_H[[#This Row],[HR]])+(CHW_H[[#This Row],[2B]]*2)+(CHW_H[[#This Row],[3B]]*3)+(CHW_H[[#This Row],[HR]]*4),0)</calculatedColumnFormula>
    </tableColumn>
    <tableColumn id="21" xr3:uid="{00000000-0010-0000-5100-000015000000}" name="OPS" dataDxfId="5123">
      <calculatedColumnFormula>CHW_H[[#This Row],[OBP]]+CHW_H[[#This Row],[SLG]]</calculatedColumnFormula>
    </tableColumn>
    <tableColumn id="22" xr3:uid="{00000000-0010-0000-5100-000016000000}" name="*" dataDxfId="5122"/>
    <tableColumn id="23" xr3:uid="{00000000-0010-0000-5100-000017000000}" name="#" dataDxfId="5121"/>
  </tableColumns>
  <tableStyleInfo name="TableStyleMedium1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52000000}" name="CLE_H" displayName="CLE_H" ref="A3:W17" totalsRowShown="0" headerRowDxfId="5120" dataDxfId="5118" headerRowBorderDxfId="5119">
  <autoFilter ref="A3:W17" xr:uid="{00000000-0009-0000-0100-00002A000000}"/>
  <sortState xmlns:xlrd2="http://schemas.microsoft.com/office/spreadsheetml/2017/richdata2" ref="A4:W17">
    <sortCondition ref="W3:W17"/>
  </sortState>
  <tableColumns count="23">
    <tableColumn id="1" xr3:uid="{00000000-0010-0000-5200-000001000000}" name="TM" dataDxfId="5117"/>
    <tableColumn id="2" xr3:uid="{00000000-0010-0000-5200-000002000000}" name="@" dataDxfId="5116"/>
    <tableColumn id="3" xr3:uid="{00000000-0010-0000-5200-000003000000}" name="NAME" dataDxfId="5115"/>
    <tableColumn id="4" xr3:uid="{00000000-0010-0000-5200-000004000000}" name="BA" dataDxfId="5114">
      <calculatedColumnFormula>IFERROR((CLE_H[[#This Row],[H]]/CLE_H[[#This Row],[AB]]),0)</calculatedColumnFormula>
    </tableColumn>
    <tableColumn id="5" xr3:uid="{00000000-0010-0000-5200-000005000000}" name="OBP" dataDxfId="5113">
      <calculatedColumnFormula>IFERROR((CLE_H[[#This Row],[H]]+CLE_H[[#This Row],[BB]])/(CLE_H[[#This Row],[BB]]+CLE_H[[#This Row],[AB]]),0)</calculatedColumnFormula>
    </tableColumn>
    <tableColumn id="6" xr3:uid="{00000000-0010-0000-5200-000006000000}" name="SLG" dataDxfId="5112">
      <calculatedColumnFormula>IFERROR(((CLE_H[[#This Row],[H]]-CLE_H[[#This Row],[2B]]-CLE_H[[#This Row],[3B]]-CLE_H[[#This Row],[HR]])+(CLE_H[[#This Row],[2B]]*2)+(CLE_H[[#This Row],[3B]]*3)+(CLE_H[[#This Row],[HR]]*4))/CLE_H[[#This Row],[AB]],0)</calculatedColumnFormula>
    </tableColumn>
    <tableColumn id="7" xr3:uid="{00000000-0010-0000-5200-000007000000}" name="G" dataDxfId="5111"/>
    <tableColumn id="8" xr3:uid="{00000000-0010-0000-5200-000008000000}" name="AB" dataDxfId="5110"/>
    <tableColumn id="9" xr3:uid="{00000000-0010-0000-5200-000009000000}" name="R" dataDxfId="5109"/>
    <tableColumn id="10" xr3:uid="{00000000-0010-0000-5200-00000A000000}" name="H" dataDxfId="5108"/>
    <tableColumn id="11" xr3:uid="{00000000-0010-0000-5200-00000B000000}" name="2B" dataDxfId="5107"/>
    <tableColumn id="12" xr3:uid="{00000000-0010-0000-5200-00000C000000}" name="3B" dataDxfId="5106"/>
    <tableColumn id="13" xr3:uid="{00000000-0010-0000-5200-00000D000000}" name="HR" dataDxfId="5105"/>
    <tableColumn id="14" xr3:uid="{00000000-0010-0000-5200-00000E000000}" name="RBI" dataDxfId="5104"/>
    <tableColumn id="15" xr3:uid="{00000000-0010-0000-5200-00000F000000}" name="BB" dataDxfId="5103"/>
    <tableColumn id="16" xr3:uid="{00000000-0010-0000-5200-000010000000}" name="K" dataDxfId="5102"/>
    <tableColumn id="17" xr3:uid="{00000000-0010-0000-5200-000011000000}" name="SB" dataDxfId="5101"/>
    <tableColumn id="18" xr3:uid="{00000000-0010-0000-5200-000012000000}" name="HS" dataDxfId="5100"/>
    <tableColumn id="19" xr3:uid="{00000000-0010-0000-5200-000013000000}" name="LS" dataDxfId="5099"/>
    <tableColumn id="20" xr3:uid="{00000000-0010-0000-5200-000014000000}" name="TB" dataDxfId="5098">
      <calculatedColumnFormula>IFERROR((CLE_H[[#This Row],[H]]-CLE_H[[#This Row],[2B]]-CLE_H[[#This Row],[3B]]-CLE_H[[#This Row],[HR]])+(CLE_H[[#This Row],[2B]]*2)+(CLE_H[[#This Row],[3B]]*3)+(CLE_H[[#This Row],[HR]]*4),0)</calculatedColumnFormula>
    </tableColumn>
    <tableColumn id="21" xr3:uid="{00000000-0010-0000-5200-000015000000}" name="OPS" dataDxfId="5097">
      <calculatedColumnFormula>CLE_H[[#This Row],[OBP]]+CLE_H[[#This Row],[SLG]]</calculatedColumnFormula>
    </tableColumn>
    <tableColumn id="22" xr3:uid="{00000000-0010-0000-5200-000016000000}" name="*" dataDxfId="5096"/>
    <tableColumn id="23" xr3:uid="{00000000-0010-0000-5200-000017000000}" name="#" dataDxfId="5095"/>
  </tableColumns>
  <tableStyleInfo name="TableStyleMedium3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53000000}" name="CLE_P" displayName="CLE_P" ref="A20:S30" totalsRowShown="0" headerRowDxfId="5094" dataDxfId="5092" headerRowBorderDxfId="5093">
  <autoFilter ref="A20:S30" xr:uid="{00000000-0009-0000-0100-00002B000000}"/>
  <sortState xmlns:xlrd2="http://schemas.microsoft.com/office/spreadsheetml/2017/richdata2" ref="A21:S30">
    <sortCondition ref="S20:S30"/>
  </sortState>
  <tableColumns count="19">
    <tableColumn id="1" xr3:uid="{00000000-0010-0000-5300-000001000000}" name="TM" dataDxfId="5091"/>
    <tableColumn id="2" xr3:uid="{00000000-0010-0000-5300-000002000000}" name="@" dataDxfId="5090"/>
    <tableColumn id="3" xr3:uid="{00000000-0010-0000-5300-000003000000}" name="NAME" dataDxfId="5089"/>
    <tableColumn id="4" xr3:uid="{00000000-0010-0000-5300-000004000000}" name="ERA" dataDxfId="5088">
      <calculatedColumnFormula>IFERROR((CLE_P[[#This Row],[R]]*9)/CLE_P[[#This Row],[IP]],0)</calculatedColumnFormula>
    </tableColumn>
    <tableColumn id="5" xr3:uid="{00000000-0010-0000-5300-000005000000}" name="W" dataDxfId="5087"/>
    <tableColumn id="6" xr3:uid="{00000000-0010-0000-5300-000006000000}" name="L" dataDxfId="5086"/>
    <tableColumn id="7" xr3:uid="{00000000-0010-0000-5300-000007000000}" name="G" dataDxfId="5085"/>
    <tableColumn id="8" xr3:uid="{00000000-0010-0000-5300-000008000000}" name="IP" dataDxfId="5084"/>
    <tableColumn id="9" xr3:uid="{00000000-0010-0000-5300-000009000000}" name="H" dataDxfId="5083"/>
    <tableColumn id="10" xr3:uid="{00000000-0010-0000-5300-00000A000000}" name="R" dataDxfId="5082"/>
    <tableColumn id="11" xr3:uid="{00000000-0010-0000-5300-00000B000000}" name="BB" dataDxfId="5081"/>
    <tableColumn id="12" xr3:uid="{00000000-0010-0000-5300-00000C000000}" name="K" dataDxfId="5080"/>
    <tableColumn id="13" xr3:uid="{00000000-0010-0000-5300-00000D000000}" name="SV" dataDxfId="5079"/>
    <tableColumn id="14" xr3:uid="{00000000-0010-0000-5300-00000E000000}" name="WH" dataDxfId="5078">
      <calculatedColumnFormula>IFERROR((CLE_P[[#This Row],[BB]]+CLE_P[[#This Row],[H]])/CLE_P[[#This Row],[IP]],0)</calculatedColumnFormula>
    </tableColumn>
    <tableColumn id="15" xr3:uid="{00000000-0010-0000-5300-00000F000000}" name="QS" dataDxfId="5077"/>
    <tableColumn id="16" xr3:uid="{00000000-0010-0000-5300-000010000000}" name="UQ" dataDxfId="5076"/>
    <tableColumn id="17" xr3:uid="{00000000-0010-0000-5300-000011000000}" name="CG" dataDxfId="5075"/>
    <tableColumn id="18" xr3:uid="{00000000-0010-0000-5300-000012000000}" name="SH" dataDxfId="5074"/>
    <tableColumn id="19" xr3:uid="{00000000-0010-0000-5300-000013000000}" name="#" dataDxfId="5073"/>
  </tableColumns>
  <tableStyleInfo name="TableStyleMedium3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54000000}" name="KCR_H" displayName="KCR_H" ref="A96:W110" totalsRowShown="0" headerRowDxfId="5072" dataDxfId="5070" headerRowBorderDxfId="5071">
  <autoFilter ref="A96:W110" xr:uid="{00000000-0009-0000-0100-00002C000000}"/>
  <sortState xmlns:xlrd2="http://schemas.microsoft.com/office/spreadsheetml/2017/richdata2" ref="A97:W110">
    <sortCondition ref="W96:W110"/>
  </sortState>
  <tableColumns count="23">
    <tableColumn id="1" xr3:uid="{00000000-0010-0000-5400-000001000000}" name="TM" dataDxfId="5069"/>
    <tableColumn id="2" xr3:uid="{00000000-0010-0000-5400-000002000000}" name="@" dataDxfId="5068"/>
    <tableColumn id="3" xr3:uid="{00000000-0010-0000-5400-000003000000}" name="NAME" dataDxfId="5067"/>
    <tableColumn id="4" xr3:uid="{00000000-0010-0000-5400-000004000000}" name="BA" dataDxfId="5066">
      <calculatedColumnFormula>IFERROR(KCR_H[[#This Row],[H]]/KCR_H[[#This Row],[AB]],0)</calculatedColumnFormula>
    </tableColumn>
    <tableColumn id="5" xr3:uid="{00000000-0010-0000-5400-000005000000}" name="OBP" dataDxfId="5065">
      <calculatedColumnFormula>IFERROR((KCR_H[[#This Row],[H]]+KCR_H[[#This Row],[BB]])/(KCR_H[[#This Row],[BB]]+KCR_H[[#This Row],[AB]]),0)</calculatedColumnFormula>
    </tableColumn>
    <tableColumn id="6" xr3:uid="{00000000-0010-0000-5400-000006000000}" name="SLG" dataDxfId="5064">
      <calculatedColumnFormula>IFERROR(((KCR_H[[#This Row],[H]]-KCR_H[[#This Row],[2B]]-KCR_H[[#This Row],[3B]]-KCR_H[[#This Row],[HR]])+(KCR_H[[#This Row],[2B]]*2)+(KCR_H[[#This Row],[3B]]*3)+(KCR_H[[#This Row],[HR]]*4))/KCR_H[[#This Row],[AB]],0)</calculatedColumnFormula>
    </tableColumn>
    <tableColumn id="7" xr3:uid="{00000000-0010-0000-5400-000007000000}" name="G" dataDxfId="5063"/>
    <tableColumn id="8" xr3:uid="{00000000-0010-0000-5400-000008000000}" name="AB" dataDxfId="5062"/>
    <tableColumn id="9" xr3:uid="{00000000-0010-0000-5400-000009000000}" name="R" dataDxfId="5061"/>
    <tableColumn id="10" xr3:uid="{00000000-0010-0000-5400-00000A000000}" name="H" dataDxfId="5060"/>
    <tableColumn id="11" xr3:uid="{00000000-0010-0000-5400-00000B000000}" name="2B" dataDxfId="5059"/>
    <tableColumn id="12" xr3:uid="{00000000-0010-0000-5400-00000C000000}" name="3B" dataDxfId="5058"/>
    <tableColumn id="13" xr3:uid="{00000000-0010-0000-5400-00000D000000}" name="HR" dataDxfId="5057"/>
    <tableColumn id="14" xr3:uid="{00000000-0010-0000-5400-00000E000000}" name="RBI" dataDxfId="5056"/>
    <tableColumn id="15" xr3:uid="{00000000-0010-0000-5400-00000F000000}" name="BB" dataDxfId="5055"/>
    <tableColumn id="16" xr3:uid="{00000000-0010-0000-5400-000010000000}" name="K" dataDxfId="5054"/>
    <tableColumn id="17" xr3:uid="{00000000-0010-0000-5400-000011000000}" name="SB" dataDxfId="5053"/>
    <tableColumn id="18" xr3:uid="{00000000-0010-0000-5400-000012000000}" name="HS" dataDxfId="5052"/>
    <tableColumn id="19" xr3:uid="{00000000-0010-0000-5400-000013000000}" name="LS" dataDxfId="5051"/>
    <tableColumn id="20" xr3:uid="{00000000-0010-0000-5400-000014000000}" name="TB" dataDxfId="5050">
      <calculatedColumnFormula>IFERROR((KCR_H[[#This Row],[H]]-KCR_H[[#This Row],[2B]]-KCR_H[[#This Row],[3B]]-KCR_H[[#This Row],[HR]])+(KCR_H[[#This Row],[2B]]*2)+(KCR_H[[#This Row],[3B]]*3)+(KCR_H[[#This Row],[HR]]*4),0)</calculatedColumnFormula>
    </tableColumn>
    <tableColumn id="21" xr3:uid="{00000000-0010-0000-5400-000015000000}" name="OPS" dataDxfId="5049">
      <calculatedColumnFormula>KCR_H[[#This Row],[OBP]]+KCR_H[[#This Row],[SLG]]</calculatedColumnFormula>
    </tableColumn>
    <tableColumn id="22" xr3:uid="{00000000-0010-0000-5400-000016000000}" name="*" dataDxfId="5048"/>
    <tableColumn id="23" xr3:uid="{00000000-0010-0000-5400-000017000000}" name="#" dataDxfId="5047"/>
  </tableColumns>
  <tableStyleInfo name="TableStyleMedium5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55000000}" name="KCR_P" displayName="KCR_P" ref="A113:S123" totalsRowShown="0" headerRowDxfId="5046" dataDxfId="5044" headerRowBorderDxfId="5045">
  <autoFilter ref="A113:S123" xr:uid="{00000000-0009-0000-0100-00002D000000}"/>
  <sortState xmlns:xlrd2="http://schemas.microsoft.com/office/spreadsheetml/2017/richdata2" ref="A114:S123">
    <sortCondition ref="S113:S123"/>
  </sortState>
  <tableColumns count="19">
    <tableColumn id="1" xr3:uid="{00000000-0010-0000-5500-000001000000}" name="TM" dataDxfId="5043"/>
    <tableColumn id="2" xr3:uid="{00000000-0010-0000-5500-000002000000}" name="@" dataDxfId="5042"/>
    <tableColumn id="3" xr3:uid="{00000000-0010-0000-5500-000003000000}" name="NAME" dataDxfId="5041"/>
    <tableColumn id="4" xr3:uid="{00000000-0010-0000-5500-000004000000}" name="ERA" dataDxfId="5040">
      <calculatedColumnFormula>IFERROR((KCR_P[[#This Row],[R]]*9)/KCR_P[[#This Row],[IP]],0)</calculatedColumnFormula>
    </tableColumn>
    <tableColumn id="5" xr3:uid="{00000000-0010-0000-5500-000005000000}" name="W" dataDxfId="5039"/>
    <tableColumn id="6" xr3:uid="{00000000-0010-0000-5500-000006000000}" name="L" dataDxfId="5038"/>
    <tableColumn id="7" xr3:uid="{00000000-0010-0000-5500-000007000000}" name="G" dataDxfId="5037"/>
    <tableColumn id="8" xr3:uid="{00000000-0010-0000-5500-000008000000}" name="IP" dataDxfId="5036"/>
    <tableColumn id="9" xr3:uid="{00000000-0010-0000-5500-000009000000}" name="H" dataDxfId="5035"/>
    <tableColumn id="10" xr3:uid="{00000000-0010-0000-5500-00000A000000}" name="R" dataDxfId="5034"/>
    <tableColumn id="11" xr3:uid="{00000000-0010-0000-5500-00000B000000}" name="BB" dataDxfId="5033"/>
    <tableColumn id="12" xr3:uid="{00000000-0010-0000-5500-00000C000000}" name="K" dataDxfId="5032"/>
    <tableColumn id="13" xr3:uid="{00000000-0010-0000-5500-00000D000000}" name="SV" dataDxfId="5031"/>
    <tableColumn id="14" xr3:uid="{00000000-0010-0000-5500-00000E000000}" name="WH" dataDxfId="5030">
      <calculatedColumnFormula>IFERROR((KCR_P[[#This Row],[BB]]+KCR_P[[#This Row],[H]])/KCR_P[[#This Row],[IP]],0)</calculatedColumnFormula>
    </tableColumn>
    <tableColumn id="15" xr3:uid="{00000000-0010-0000-5500-00000F000000}" name="QS" dataDxfId="5029"/>
    <tableColumn id="16" xr3:uid="{00000000-0010-0000-5500-000010000000}" name="UQ" dataDxfId="5028"/>
    <tableColumn id="17" xr3:uid="{00000000-0010-0000-5500-000011000000}" name="CG" dataDxfId="5027"/>
    <tableColumn id="18" xr3:uid="{00000000-0010-0000-5500-000012000000}" name="SH" dataDxfId="5026"/>
    <tableColumn id="19" xr3:uid="{00000000-0010-0000-5500-000013000000}" name="#" dataDxfId="5025"/>
  </tableColumns>
  <tableStyleInfo name="TableStyleMedium5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56000000}" name="DET_H99" displayName="DET_H99" ref="A65:W79" totalsRowShown="0" headerRowDxfId="5024" dataDxfId="5022" headerRowBorderDxfId="5023">
  <autoFilter ref="A65:W79" xr:uid="{00000000-0009-0000-0100-00002E000000}"/>
  <sortState xmlns:xlrd2="http://schemas.microsoft.com/office/spreadsheetml/2017/richdata2" ref="A66:W79">
    <sortCondition descending="1" ref="T65:T79"/>
  </sortState>
  <tableColumns count="23">
    <tableColumn id="1" xr3:uid="{00000000-0010-0000-5600-000001000000}" name="TM" dataDxfId="5021"/>
    <tableColumn id="2" xr3:uid="{00000000-0010-0000-5600-000002000000}" name="@" dataDxfId="5020"/>
    <tableColumn id="3" xr3:uid="{00000000-0010-0000-5600-000003000000}" name="NAME" dataDxfId="5019"/>
    <tableColumn id="4" xr3:uid="{00000000-0010-0000-5600-000004000000}" name="BA" dataDxfId="5018">
      <calculatedColumnFormula>IFERROR(DET_H99[[#This Row],[H]]/DET_H99[[#This Row],[AB]],0)</calculatedColumnFormula>
    </tableColumn>
    <tableColumn id="5" xr3:uid="{00000000-0010-0000-5600-000005000000}" name="OBP" dataDxfId="5017">
      <calculatedColumnFormula>IFERROR((DET_H99[[#This Row],[H]]+DET_H99[[#This Row],[BB]])/(DET_H99[[#This Row],[BB]]+DET_H99[[#This Row],[AB]]),0)</calculatedColumnFormula>
    </tableColumn>
    <tableColumn id="6" xr3:uid="{00000000-0010-0000-5600-000006000000}" name="SLG" dataDxfId="5016">
      <calculatedColumnFormula>IFERROR(((DET_H99[[#This Row],[H]]-DET_H99[[#This Row],[2B]]-DET_H99[[#This Row],[3B]]-DET_H99[[#This Row],[HR]])+(DET_H99[[#This Row],[2B]]*2)+(DET_H99[[#This Row],[3B]]*3)+(DET_H99[[#This Row],[HR]]*4))/DET_H99[[#This Row],[AB]],0)</calculatedColumnFormula>
    </tableColumn>
    <tableColumn id="7" xr3:uid="{00000000-0010-0000-5600-000007000000}" name="G" dataDxfId="5015"/>
    <tableColumn id="8" xr3:uid="{00000000-0010-0000-5600-000008000000}" name="AB" dataDxfId="5014"/>
    <tableColumn id="9" xr3:uid="{00000000-0010-0000-5600-000009000000}" name="R" dataDxfId="5013"/>
    <tableColumn id="10" xr3:uid="{00000000-0010-0000-5600-00000A000000}" name="H" dataDxfId="5012"/>
    <tableColumn id="11" xr3:uid="{00000000-0010-0000-5600-00000B000000}" name="2B" dataDxfId="5011"/>
    <tableColumn id="12" xr3:uid="{00000000-0010-0000-5600-00000C000000}" name="3B" dataDxfId="5010"/>
    <tableColumn id="13" xr3:uid="{00000000-0010-0000-5600-00000D000000}" name="HR" dataDxfId="5009"/>
    <tableColumn id="14" xr3:uid="{00000000-0010-0000-5600-00000E000000}" name="RBI" dataDxfId="5008"/>
    <tableColumn id="15" xr3:uid="{00000000-0010-0000-5600-00000F000000}" name="BB" dataDxfId="5007"/>
    <tableColumn id="16" xr3:uid="{00000000-0010-0000-5600-000010000000}" name="K" dataDxfId="5006"/>
    <tableColumn id="17" xr3:uid="{00000000-0010-0000-5600-000011000000}" name="SB" dataDxfId="5005"/>
    <tableColumn id="18" xr3:uid="{00000000-0010-0000-5600-000012000000}" name="HS" dataDxfId="5004"/>
    <tableColumn id="19" xr3:uid="{00000000-0010-0000-5600-000013000000}" name="LS" dataDxfId="5003"/>
    <tableColumn id="20" xr3:uid="{00000000-0010-0000-5600-000014000000}" name="TB" dataDxfId="5002">
      <calculatedColumnFormula>IFERROR((DET_H99[[#This Row],[H]]-DET_H99[[#This Row],[2B]]-DET_H99[[#This Row],[3B]]-DET_H99[[#This Row],[HR]])+(DET_H99[[#This Row],[2B]]*2)+(DET_H99[[#This Row],[3B]]*3)+(DET_H99[[#This Row],[HR]]*4),0)</calculatedColumnFormula>
    </tableColumn>
    <tableColumn id="21" xr3:uid="{00000000-0010-0000-5600-000015000000}" name="OPS" dataDxfId="5001">
      <calculatedColumnFormula>DET_H99[[#This Row],[OBP]]+DET_H99[[#This Row],[SLG]]</calculatedColumnFormula>
    </tableColumn>
    <tableColumn id="22" xr3:uid="{00000000-0010-0000-5600-000016000000}" name="*" dataDxfId="5000"/>
    <tableColumn id="23" xr3:uid="{00000000-0010-0000-5600-000017000000}" name="#" dataDxfId="4999"/>
  </tableColumns>
  <tableStyleInfo name="TableStyleMedium3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00000000-000C-0000-FFFF-FFFF57000000}" name="MIN_H220" displayName="MIN_H220" ref="Z34:AV48" totalsRowShown="0" headerRowDxfId="4998" dataDxfId="4996" headerRowBorderDxfId="4997">
  <autoFilter ref="Z34:AV48" xr:uid="{00000000-0009-0000-0100-0000DB000000}"/>
  <sortState xmlns:xlrd2="http://schemas.microsoft.com/office/spreadsheetml/2017/richdata2" ref="Z35:AV48">
    <sortCondition descending="1" ref="AS34:AS48"/>
  </sortState>
  <tableColumns count="23">
    <tableColumn id="1" xr3:uid="{00000000-0010-0000-5700-000001000000}" name="TM" dataDxfId="4995"/>
    <tableColumn id="2" xr3:uid="{00000000-0010-0000-5700-000002000000}" name="@" dataDxfId="4994"/>
    <tableColumn id="3" xr3:uid="{00000000-0010-0000-5700-000003000000}" name="NAME" dataDxfId="4993"/>
    <tableColumn id="4" xr3:uid="{00000000-0010-0000-5700-000004000000}" name="BA" dataDxfId="4992">
      <calculatedColumnFormula>IFERROR(MIN_H220[[#This Row],[H]]/MIN_H220[[#This Row],[AB]],0)</calculatedColumnFormula>
    </tableColumn>
    <tableColumn id="5" xr3:uid="{00000000-0010-0000-5700-000005000000}" name="OBP" dataDxfId="4991">
      <calculatedColumnFormula>IFERROR((MIN_H220[[#This Row],[H]]+MIN_H220[[#This Row],[BB]])/(MIN_H220[[#This Row],[BB]]+MIN_H220[[#This Row],[AB]]),0)</calculatedColumnFormula>
    </tableColumn>
    <tableColumn id="6" xr3:uid="{00000000-0010-0000-5700-000006000000}" name="SLG" dataDxfId="4990">
      <calculatedColumnFormula>IFERROR(((MIN_H220[[#This Row],[H]]-MIN_H220[[#This Row],[2B]]-MIN_H220[[#This Row],[3B]]-MIN_H220[[#This Row],[HR]])+(MIN_H220[[#This Row],[2B]]*2)+(MIN_H220[[#This Row],[3B]]*3)+(MIN_H220[[#This Row],[HR]]*4))/MIN_H220[[#This Row],[AB]],0)</calculatedColumnFormula>
    </tableColumn>
    <tableColumn id="7" xr3:uid="{00000000-0010-0000-5700-000007000000}" name="G" dataDxfId="4989"/>
    <tableColumn id="8" xr3:uid="{00000000-0010-0000-5700-000008000000}" name="AB" dataDxfId="4988"/>
    <tableColumn id="9" xr3:uid="{00000000-0010-0000-5700-000009000000}" name="R" dataDxfId="4987"/>
    <tableColumn id="10" xr3:uid="{00000000-0010-0000-5700-00000A000000}" name="H" dataDxfId="4986"/>
    <tableColumn id="11" xr3:uid="{00000000-0010-0000-5700-00000B000000}" name="2B" dataDxfId="4985"/>
    <tableColumn id="12" xr3:uid="{00000000-0010-0000-5700-00000C000000}" name="3B" dataDxfId="4984"/>
    <tableColumn id="13" xr3:uid="{00000000-0010-0000-5700-00000D000000}" name="HR" dataDxfId="4983"/>
    <tableColumn id="14" xr3:uid="{00000000-0010-0000-5700-00000E000000}" name="RBI" dataDxfId="4982"/>
    <tableColumn id="15" xr3:uid="{00000000-0010-0000-5700-00000F000000}" name="BB" dataDxfId="4981"/>
    <tableColumn id="16" xr3:uid="{00000000-0010-0000-5700-000010000000}" name="K" dataDxfId="4980"/>
    <tableColumn id="17" xr3:uid="{00000000-0010-0000-5700-000011000000}" name="SB" dataDxfId="4979"/>
    <tableColumn id="18" xr3:uid="{00000000-0010-0000-5700-000012000000}" name="HS" dataDxfId="4978"/>
    <tableColumn id="19" xr3:uid="{00000000-0010-0000-5700-000013000000}" name="LS" dataDxfId="4977"/>
    <tableColumn id="20" xr3:uid="{00000000-0010-0000-5700-000014000000}" name="TB" dataDxfId="4976">
      <calculatedColumnFormula>IFERROR((MIN_H220[[#This Row],[H]]-MIN_H220[[#This Row],[2B]]-MIN_H220[[#This Row],[3B]]-MIN_H220[[#This Row],[HR]])+(MIN_H220[[#This Row],[2B]]*2)+(MIN_H220[[#This Row],[3B]]*3)+(MIN_H220[[#This Row],[HR]]*4),0)</calculatedColumnFormula>
    </tableColumn>
    <tableColumn id="21" xr3:uid="{00000000-0010-0000-5700-000015000000}" name="OPS" dataDxfId="4975">
      <calculatedColumnFormula>MIN_H220[[#This Row],[OBP]]+MIN_H220[[#This Row],[SLG]]</calculatedColumnFormula>
    </tableColumn>
    <tableColumn id="22" xr3:uid="{00000000-0010-0000-5700-000016000000}" name="*" dataDxfId="4974"/>
    <tableColumn id="23" xr3:uid="{00000000-0010-0000-5700-000017000000}" name="#" dataDxfId="4973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58000000}" name="MIN_P221" displayName="MIN_P221" ref="Z51:AR61" totalsRowShown="0" headerRowDxfId="4972" dataDxfId="4970" headerRowBorderDxfId="4971">
  <autoFilter ref="Z51:AR61" xr:uid="{00000000-0009-0000-0100-0000DC000000}"/>
  <sortState xmlns:xlrd2="http://schemas.microsoft.com/office/spreadsheetml/2017/richdata2" ref="Z52:AR61">
    <sortCondition ref="AR51:AR61"/>
  </sortState>
  <tableColumns count="19">
    <tableColumn id="1" xr3:uid="{00000000-0010-0000-5800-000001000000}" name="TM" dataDxfId="4969"/>
    <tableColumn id="2" xr3:uid="{00000000-0010-0000-5800-000002000000}" name="@" dataDxfId="4968"/>
    <tableColumn id="3" xr3:uid="{00000000-0010-0000-5800-000003000000}" name="NAME" dataDxfId="4967"/>
    <tableColumn id="4" xr3:uid="{00000000-0010-0000-5800-000004000000}" name="ERA" dataDxfId="4966">
      <calculatedColumnFormula>IFERROR((MIN_P221[[#This Row],[R]]*9)/MIN_P221[[#This Row],[IP]],0)</calculatedColumnFormula>
    </tableColumn>
    <tableColumn id="5" xr3:uid="{00000000-0010-0000-5800-000005000000}" name="W" dataDxfId="4965"/>
    <tableColumn id="6" xr3:uid="{00000000-0010-0000-5800-000006000000}" name="L" dataDxfId="4964"/>
    <tableColumn id="7" xr3:uid="{00000000-0010-0000-5800-000007000000}" name="G" dataDxfId="4963"/>
    <tableColumn id="8" xr3:uid="{00000000-0010-0000-5800-000008000000}" name="IP" dataDxfId="4962"/>
    <tableColumn id="9" xr3:uid="{00000000-0010-0000-5800-000009000000}" name="H" dataDxfId="4961"/>
    <tableColumn id="10" xr3:uid="{00000000-0010-0000-5800-00000A000000}" name="R" dataDxfId="4960"/>
    <tableColumn id="11" xr3:uid="{00000000-0010-0000-5800-00000B000000}" name="BB" dataDxfId="4959"/>
    <tableColumn id="12" xr3:uid="{00000000-0010-0000-5800-00000C000000}" name="K" dataDxfId="4958"/>
    <tableColumn id="13" xr3:uid="{00000000-0010-0000-5800-00000D000000}" name="SV" dataDxfId="4957"/>
    <tableColumn id="14" xr3:uid="{00000000-0010-0000-5800-00000E000000}" name="WH" dataDxfId="4956">
      <calculatedColumnFormula>IFERROR((MIN_P221[[#This Row],[BB]]+MIN_P221[[#This Row],[H]])/MIN_P221[[#This Row],[IP]],0)</calculatedColumnFormula>
    </tableColumn>
    <tableColumn id="15" xr3:uid="{00000000-0010-0000-5800-00000F000000}" name="QS" dataDxfId="4955"/>
    <tableColumn id="16" xr3:uid="{00000000-0010-0000-5800-000010000000}" name="UQ" dataDxfId="4954"/>
    <tableColumn id="17" xr3:uid="{00000000-0010-0000-5800-000011000000}" name="CG" dataDxfId="4953"/>
    <tableColumn id="18" xr3:uid="{00000000-0010-0000-5800-000012000000}" name="SH" dataDxfId="4952"/>
    <tableColumn id="19" xr3:uid="{00000000-0010-0000-5800-000013000000}" name="#" dataDxfId="4951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00000000-000C-0000-FFFF-FFFF59000000}" name="DET_P222" displayName="DET_P222" ref="Z82:AR92" totalsRowShown="0" headerRowDxfId="4950" dataDxfId="4948" headerRowBorderDxfId="4949">
  <autoFilter ref="Z82:AR92" xr:uid="{00000000-0009-0000-0100-0000DD000000}"/>
  <sortState xmlns:xlrd2="http://schemas.microsoft.com/office/spreadsheetml/2017/richdata2" ref="Z83:AR92">
    <sortCondition ref="AR82:AR92"/>
  </sortState>
  <tableColumns count="19">
    <tableColumn id="1" xr3:uid="{00000000-0010-0000-5900-000001000000}" name="TM" dataDxfId="4947"/>
    <tableColumn id="2" xr3:uid="{00000000-0010-0000-5900-000002000000}" name="@" dataDxfId="4946"/>
    <tableColumn id="3" xr3:uid="{00000000-0010-0000-5900-000003000000}" name="NAME" dataDxfId="4945"/>
    <tableColumn id="4" xr3:uid="{00000000-0010-0000-5900-000004000000}" name="ERA" dataDxfId="4944">
      <calculatedColumnFormula>IFERROR((DET_P222[[#This Row],[R]]*9)/DET_P222[[#This Row],[IP]],0)</calculatedColumnFormula>
    </tableColumn>
    <tableColumn id="5" xr3:uid="{00000000-0010-0000-5900-000005000000}" name="W" dataDxfId="4943"/>
    <tableColumn id="6" xr3:uid="{00000000-0010-0000-5900-000006000000}" name="L" dataDxfId="4942"/>
    <tableColumn id="7" xr3:uid="{00000000-0010-0000-5900-000007000000}" name="G" dataDxfId="4941"/>
    <tableColumn id="8" xr3:uid="{00000000-0010-0000-5900-000008000000}" name="IP" dataDxfId="4940"/>
    <tableColumn id="9" xr3:uid="{00000000-0010-0000-5900-000009000000}" name="H" dataDxfId="4939"/>
    <tableColumn id="10" xr3:uid="{00000000-0010-0000-5900-00000A000000}" name="R" dataDxfId="4938"/>
    <tableColumn id="11" xr3:uid="{00000000-0010-0000-5900-00000B000000}" name="BB" dataDxfId="4937"/>
    <tableColumn id="12" xr3:uid="{00000000-0010-0000-5900-00000C000000}" name="K" dataDxfId="4936"/>
    <tableColumn id="13" xr3:uid="{00000000-0010-0000-5900-00000D000000}" name="SV" dataDxfId="4935"/>
    <tableColumn id="14" xr3:uid="{00000000-0010-0000-5900-00000E000000}" name="WH" dataDxfId="4934">
      <calculatedColumnFormula>IFERROR((DET_P222[[#This Row],[BB]]+DET_P222[[#This Row],[H]])/DET_P222[[#This Row],[IP]],0)</calculatedColumnFormula>
    </tableColumn>
    <tableColumn id="15" xr3:uid="{00000000-0010-0000-5900-00000F000000}" name="QS" dataDxfId="4933"/>
    <tableColumn id="16" xr3:uid="{00000000-0010-0000-5900-000010000000}" name="UQ" dataDxfId="4932"/>
    <tableColumn id="17" xr3:uid="{00000000-0010-0000-5900-000011000000}" name="CG" dataDxfId="4931"/>
    <tableColumn id="18" xr3:uid="{00000000-0010-0000-5900-000012000000}" name="SH" dataDxfId="4930"/>
    <tableColumn id="19" xr3:uid="{00000000-0010-0000-5900-000013000000}" name="#" dataDxfId="4929"/>
  </tableColumns>
  <tableStyleInfo name="TableStyleMedium3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00000000-000C-0000-FFFF-FFFF5A000000}" name="CHW_P223" displayName="CHW_P223" ref="Z144:AR154" totalsRowShown="0" headerRowDxfId="4928" dataDxfId="4926" headerRowBorderDxfId="4927">
  <autoFilter ref="Z144:AR154" xr:uid="{00000000-0009-0000-0100-0000DE000000}"/>
  <sortState xmlns:xlrd2="http://schemas.microsoft.com/office/spreadsheetml/2017/richdata2" ref="Z145:AR154">
    <sortCondition ref="AR144:AR154"/>
  </sortState>
  <tableColumns count="19">
    <tableColumn id="1" xr3:uid="{00000000-0010-0000-5A00-000001000000}" name="TM" dataDxfId="4925"/>
    <tableColumn id="2" xr3:uid="{00000000-0010-0000-5A00-000002000000}" name="@" dataDxfId="4924"/>
    <tableColumn id="3" xr3:uid="{00000000-0010-0000-5A00-000003000000}" name="NAME" dataDxfId="4923"/>
    <tableColumn id="4" xr3:uid="{00000000-0010-0000-5A00-000004000000}" name="ERA" dataDxfId="4922">
      <calculatedColumnFormula>IFERROR((CHW_P223[[#This Row],[R]]*9)/CHW_P223[[#This Row],[IP]],0)</calculatedColumnFormula>
    </tableColumn>
    <tableColumn id="5" xr3:uid="{00000000-0010-0000-5A00-000005000000}" name="W" dataDxfId="4921"/>
    <tableColumn id="6" xr3:uid="{00000000-0010-0000-5A00-000006000000}" name="L" dataDxfId="4920"/>
    <tableColumn id="7" xr3:uid="{00000000-0010-0000-5A00-000007000000}" name="G" dataDxfId="4919"/>
    <tableColumn id="8" xr3:uid="{00000000-0010-0000-5A00-000008000000}" name="IP" dataDxfId="4918"/>
    <tableColumn id="9" xr3:uid="{00000000-0010-0000-5A00-000009000000}" name="H" dataDxfId="4917"/>
    <tableColumn id="10" xr3:uid="{00000000-0010-0000-5A00-00000A000000}" name="R" dataDxfId="4916"/>
    <tableColumn id="11" xr3:uid="{00000000-0010-0000-5A00-00000B000000}" name="BB" dataDxfId="4915"/>
    <tableColumn id="12" xr3:uid="{00000000-0010-0000-5A00-00000C000000}" name="K" dataDxfId="4914"/>
    <tableColumn id="13" xr3:uid="{00000000-0010-0000-5A00-00000D000000}" name="SV" dataDxfId="4913"/>
    <tableColumn id="14" xr3:uid="{00000000-0010-0000-5A00-00000E000000}" name="WH" dataDxfId="4912">
      <calculatedColumnFormula>IFERROR((CHW_P223[[#This Row],[BB]]+CHW_P223[[#This Row],[H]])/CHW_P223[[#This Row],[IP]],0)</calculatedColumnFormula>
    </tableColumn>
    <tableColumn id="15" xr3:uid="{00000000-0010-0000-5A00-00000F000000}" name="QS" dataDxfId="4911"/>
    <tableColumn id="16" xr3:uid="{00000000-0010-0000-5A00-000010000000}" name="UQ" dataDxfId="4910"/>
    <tableColumn id="17" xr3:uid="{00000000-0010-0000-5A00-000011000000}" name="CG" dataDxfId="4909"/>
    <tableColumn id="18" xr3:uid="{00000000-0010-0000-5A00-000012000000}" name="SH" dataDxfId="4908"/>
    <tableColumn id="19" xr3:uid="{00000000-0010-0000-5A00-000013000000}" name="#" dataDxfId="4907"/>
  </tableColumns>
  <tableStyleInfo name="TableStyleMedium1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00000000-000C-0000-FFFF-FFFF5B000000}" name="CHW_H224" displayName="CHW_H224" ref="Z127:AV141" totalsRowShown="0" headerRowDxfId="4906" dataDxfId="4904" headerRowBorderDxfId="4905">
  <autoFilter ref="Z127:AV141" xr:uid="{00000000-0009-0000-0100-0000DF000000}"/>
  <sortState xmlns:xlrd2="http://schemas.microsoft.com/office/spreadsheetml/2017/richdata2" ref="Z128:AV141">
    <sortCondition descending="1" ref="AS127:AS141"/>
  </sortState>
  <tableColumns count="23">
    <tableColumn id="1" xr3:uid="{00000000-0010-0000-5B00-000001000000}" name="TM" dataDxfId="4903"/>
    <tableColumn id="2" xr3:uid="{00000000-0010-0000-5B00-000002000000}" name="@" dataDxfId="4902"/>
    <tableColumn id="3" xr3:uid="{00000000-0010-0000-5B00-000003000000}" name="NAME" dataDxfId="4901"/>
    <tableColumn id="4" xr3:uid="{00000000-0010-0000-5B00-000004000000}" name="BA" dataDxfId="4900">
      <calculatedColumnFormula>IFERROR((CHW_H224[[#This Row],[H]]/CHW_H224[[#This Row],[AB]]),0)</calculatedColumnFormula>
    </tableColumn>
    <tableColumn id="5" xr3:uid="{00000000-0010-0000-5B00-000005000000}" name="OBP" dataDxfId="4899">
      <calculatedColumnFormula>IFERROR((CHW_H224[[#This Row],[H]]+CHW_H224[[#This Row],[BB]])/(CHW_H224[[#This Row],[BB]]+CHW_H224[[#This Row],[AB]]),0)</calculatedColumnFormula>
    </tableColumn>
    <tableColumn id="6" xr3:uid="{00000000-0010-0000-5B00-000006000000}" name="SLG" dataDxfId="4898">
      <calculatedColumnFormula>IFERROR(((CHW_H224[[#This Row],[H]]-CHW_H224[[#This Row],[2B]]-CHW_H224[[#This Row],[3B]]-CHW_H224[[#This Row],[HR]])+(CHW_H224[[#This Row],[2B]]*2)+(CHW_H224[[#This Row],[3B]]*3)+(CHW_H224[[#This Row],[HR]]*4))/CHW_H224[[#This Row],[AB]],0)</calculatedColumnFormula>
    </tableColumn>
    <tableColumn id="7" xr3:uid="{00000000-0010-0000-5B00-000007000000}" name="G" dataDxfId="4897"/>
    <tableColumn id="8" xr3:uid="{00000000-0010-0000-5B00-000008000000}" name="AB" dataDxfId="4896"/>
    <tableColumn id="9" xr3:uid="{00000000-0010-0000-5B00-000009000000}" name="R" dataDxfId="4895"/>
    <tableColumn id="10" xr3:uid="{00000000-0010-0000-5B00-00000A000000}" name="H" dataDxfId="4894"/>
    <tableColumn id="11" xr3:uid="{00000000-0010-0000-5B00-00000B000000}" name="2B" dataDxfId="4893"/>
    <tableColumn id="12" xr3:uid="{00000000-0010-0000-5B00-00000C000000}" name="3B" dataDxfId="4892"/>
    <tableColumn id="13" xr3:uid="{00000000-0010-0000-5B00-00000D000000}" name="HR" dataDxfId="4891"/>
    <tableColumn id="14" xr3:uid="{00000000-0010-0000-5B00-00000E000000}" name="RBI" dataDxfId="4890"/>
    <tableColumn id="15" xr3:uid="{00000000-0010-0000-5B00-00000F000000}" name="BB" dataDxfId="4889"/>
    <tableColumn id="16" xr3:uid="{00000000-0010-0000-5B00-000010000000}" name="K" dataDxfId="4888"/>
    <tableColumn id="17" xr3:uid="{00000000-0010-0000-5B00-000011000000}" name="SB" dataDxfId="4887"/>
    <tableColumn id="18" xr3:uid="{00000000-0010-0000-5B00-000012000000}" name="HS" dataDxfId="4886"/>
    <tableColumn id="19" xr3:uid="{00000000-0010-0000-5B00-000013000000}" name="LS" dataDxfId="4885"/>
    <tableColumn id="20" xr3:uid="{00000000-0010-0000-5B00-000014000000}" name="TB" dataDxfId="4884">
      <calculatedColumnFormula>IFERROR((CHW_H224[[#This Row],[H]]-CHW_H224[[#This Row],[2B]]-CHW_H224[[#This Row],[3B]]-CHW_H224[[#This Row],[HR]])+(CHW_H224[[#This Row],[2B]]*2)+(CHW_H224[[#This Row],[3B]]*3)+(CHW_H224[[#This Row],[HR]]*4),0)</calculatedColumnFormula>
    </tableColumn>
    <tableColumn id="21" xr3:uid="{00000000-0010-0000-5B00-000015000000}" name="OPS" dataDxfId="4883">
      <calculatedColumnFormula>CHW_H224[[#This Row],[OBP]]+CHW_H224[[#This Row],[SLG]]</calculatedColumnFormula>
    </tableColumn>
    <tableColumn id="22" xr3:uid="{00000000-0010-0000-5B00-000016000000}" name="*" dataDxfId="4882"/>
    <tableColumn id="23" xr3:uid="{00000000-0010-0000-5B00-000017000000}" name="#" dataDxfId="4881"/>
  </tableColumns>
  <tableStyleInfo name="TableStyleMedium1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00000000-000C-0000-FFFF-FFFF5C000000}" name="CLE_H225" displayName="CLE_H225" ref="Z3:AV17" totalsRowShown="0" headerRowDxfId="4880" dataDxfId="4878" headerRowBorderDxfId="4879">
  <autoFilter ref="Z3:AV17" xr:uid="{00000000-0009-0000-0100-0000E0000000}"/>
  <sortState xmlns:xlrd2="http://schemas.microsoft.com/office/spreadsheetml/2017/richdata2" ref="Z4:AV17">
    <sortCondition descending="1" ref="AS3:AS17"/>
  </sortState>
  <tableColumns count="23">
    <tableColumn id="1" xr3:uid="{00000000-0010-0000-5C00-000001000000}" name="TM" dataDxfId="4877"/>
    <tableColumn id="2" xr3:uid="{00000000-0010-0000-5C00-000002000000}" name="@" dataDxfId="4876"/>
    <tableColumn id="3" xr3:uid="{00000000-0010-0000-5C00-000003000000}" name="NAME" dataDxfId="4875"/>
    <tableColumn id="4" xr3:uid="{00000000-0010-0000-5C00-000004000000}" name="BA" dataDxfId="4874">
      <calculatedColumnFormula>IFERROR((CLE_H225[[#This Row],[H]]/CLE_H225[[#This Row],[AB]]),0)</calculatedColumnFormula>
    </tableColumn>
    <tableColumn id="5" xr3:uid="{00000000-0010-0000-5C00-000005000000}" name="OBP" dataDxfId="4873">
      <calculatedColumnFormula>IFERROR((CLE_H225[[#This Row],[H]]+CLE_H225[[#This Row],[BB]])/(CLE_H225[[#This Row],[BB]]+CLE_H225[[#This Row],[AB]]),0)</calculatedColumnFormula>
    </tableColumn>
    <tableColumn id="6" xr3:uid="{00000000-0010-0000-5C00-000006000000}" name="SLG" dataDxfId="4872">
      <calculatedColumnFormula>IFERROR(((CLE_H225[[#This Row],[H]]-CLE_H225[[#This Row],[2B]]-CLE_H225[[#This Row],[3B]]-CLE_H225[[#This Row],[HR]])+(CLE_H225[[#This Row],[2B]]*2)+(CLE_H225[[#This Row],[3B]]*3)+(CLE_H225[[#This Row],[HR]]*4))/CLE_H225[[#This Row],[AB]],0)</calculatedColumnFormula>
    </tableColumn>
    <tableColumn id="7" xr3:uid="{00000000-0010-0000-5C00-000007000000}" name="G" dataDxfId="4871"/>
    <tableColumn id="8" xr3:uid="{00000000-0010-0000-5C00-000008000000}" name="AB" dataDxfId="4870"/>
    <tableColumn id="9" xr3:uid="{00000000-0010-0000-5C00-000009000000}" name="R" dataDxfId="4869"/>
    <tableColumn id="10" xr3:uid="{00000000-0010-0000-5C00-00000A000000}" name="H" dataDxfId="4868"/>
    <tableColumn id="11" xr3:uid="{00000000-0010-0000-5C00-00000B000000}" name="2B" dataDxfId="4867"/>
    <tableColumn id="12" xr3:uid="{00000000-0010-0000-5C00-00000C000000}" name="3B" dataDxfId="4866"/>
    <tableColumn id="13" xr3:uid="{00000000-0010-0000-5C00-00000D000000}" name="HR" dataDxfId="4865"/>
    <tableColumn id="14" xr3:uid="{00000000-0010-0000-5C00-00000E000000}" name="RBI" dataDxfId="4864"/>
    <tableColumn id="15" xr3:uid="{00000000-0010-0000-5C00-00000F000000}" name="BB" dataDxfId="4863"/>
    <tableColumn id="16" xr3:uid="{00000000-0010-0000-5C00-000010000000}" name="K" dataDxfId="4862"/>
    <tableColumn id="17" xr3:uid="{00000000-0010-0000-5C00-000011000000}" name="SB" dataDxfId="4861"/>
    <tableColumn id="18" xr3:uid="{00000000-0010-0000-5C00-000012000000}" name="HS" dataDxfId="4860"/>
    <tableColumn id="19" xr3:uid="{00000000-0010-0000-5C00-000013000000}" name="LS" dataDxfId="4859"/>
    <tableColumn id="20" xr3:uid="{00000000-0010-0000-5C00-000014000000}" name="TB" dataDxfId="4858">
      <calculatedColumnFormula>IFERROR((CLE_H225[[#This Row],[H]]-CLE_H225[[#This Row],[2B]]-CLE_H225[[#This Row],[3B]]-CLE_H225[[#This Row],[HR]])+(CLE_H225[[#This Row],[2B]]*2)+(CLE_H225[[#This Row],[3B]]*3)+(CLE_H225[[#This Row],[HR]]*4),0)</calculatedColumnFormula>
    </tableColumn>
    <tableColumn id="21" xr3:uid="{00000000-0010-0000-5C00-000015000000}" name="OPS" dataDxfId="4857">
      <calculatedColumnFormula>CLE_H225[[#This Row],[OBP]]+CLE_H225[[#This Row],[SLG]]</calculatedColumnFormula>
    </tableColumn>
    <tableColumn id="22" xr3:uid="{00000000-0010-0000-5C00-000016000000}" name="*" dataDxfId="4856"/>
    <tableColumn id="23" xr3:uid="{00000000-0010-0000-5C00-000017000000}" name="#" dataDxfId="4855"/>
  </tableColumns>
  <tableStyleInfo name="TableStyleMedium3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5D000000}" name="CLE_P226" displayName="CLE_P226" ref="Z20:AR30" totalsRowShown="0" headerRowDxfId="4854" dataDxfId="4852" headerRowBorderDxfId="4853">
  <autoFilter ref="Z20:AR30" xr:uid="{00000000-0009-0000-0100-0000E1000000}"/>
  <sortState xmlns:xlrd2="http://schemas.microsoft.com/office/spreadsheetml/2017/richdata2" ref="Z21:AR30">
    <sortCondition ref="AR20:AR30"/>
  </sortState>
  <tableColumns count="19">
    <tableColumn id="1" xr3:uid="{00000000-0010-0000-5D00-000001000000}" name="TM" dataDxfId="4851"/>
    <tableColumn id="2" xr3:uid="{00000000-0010-0000-5D00-000002000000}" name="@" dataDxfId="4850"/>
    <tableColumn id="3" xr3:uid="{00000000-0010-0000-5D00-000003000000}" name="NAME" dataDxfId="4849"/>
    <tableColumn id="4" xr3:uid="{00000000-0010-0000-5D00-000004000000}" name="ERA" dataDxfId="4848">
      <calculatedColumnFormula>IFERROR((CLE_P226[[#This Row],[R]]*9)/CLE_P226[[#This Row],[IP]],0)</calculatedColumnFormula>
    </tableColumn>
    <tableColumn id="5" xr3:uid="{00000000-0010-0000-5D00-000005000000}" name="W" dataDxfId="4847"/>
    <tableColumn id="6" xr3:uid="{00000000-0010-0000-5D00-000006000000}" name="L" dataDxfId="4846"/>
    <tableColumn id="7" xr3:uid="{00000000-0010-0000-5D00-000007000000}" name="G" dataDxfId="4845"/>
    <tableColumn id="8" xr3:uid="{00000000-0010-0000-5D00-000008000000}" name="IP" dataDxfId="4844"/>
    <tableColumn id="9" xr3:uid="{00000000-0010-0000-5D00-000009000000}" name="H" dataDxfId="4843"/>
    <tableColumn id="10" xr3:uid="{00000000-0010-0000-5D00-00000A000000}" name="R" dataDxfId="4842"/>
    <tableColumn id="11" xr3:uid="{00000000-0010-0000-5D00-00000B000000}" name="BB" dataDxfId="4841"/>
    <tableColumn id="12" xr3:uid="{00000000-0010-0000-5D00-00000C000000}" name="K" dataDxfId="4840"/>
    <tableColumn id="13" xr3:uid="{00000000-0010-0000-5D00-00000D000000}" name="SV" dataDxfId="4839"/>
    <tableColumn id="14" xr3:uid="{00000000-0010-0000-5D00-00000E000000}" name="WH" dataDxfId="4838">
      <calculatedColumnFormula>IFERROR((CLE_P226[[#This Row],[BB]]+CLE_P226[[#This Row],[H]])/CLE_P226[[#This Row],[IP]],0)</calculatedColumnFormula>
    </tableColumn>
    <tableColumn id="15" xr3:uid="{00000000-0010-0000-5D00-00000F000000}" name="QS" dataDxfId="4837"/>
    <tableColumn id="16" xr3:uid="{00000000-0010-0000-5D00-000010000000}" name="UQ" dataDxfId="4836"/>
    <tableColumn id="17" xr3:uid="{00000000-0010-0000-5D00-000011000000}" name="CG" dataDxfId="4835"/>
    <tableColumn id="18" xr3:uid="{00000000-0010-0000-5D00-000012000000}" name="SH" dataDxfId="4834"/>
    <tableColumn id="19" xr3:uid="{00000000-0010-0000-5D00-000013000000}" name="#" dataDxfId="4833"/>
  </tableColumns>
  <tableStyleInfo name="TableStyleMedium3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00000000-000C-0000-FFFF-FFFF5E000000}" name="KCR_H227" displayName="KCR_H227" ref="Z96:AV110" totalsRowShown="0" headerRowDxfId="4832" dataDxfId="4830" headerRowBorderDxfId="4831">
  <autoFilter ref="Z96:AV110" xr:uid="{00000000-0009-0000-0100-0000E2000000}"/>
  <sortState xmlns:xlrd2="http://schemas.microsoft.com/office/spreadsheetml/2017/richdata2" ref="Z97:AV110">
    <sortCondition descending="1" ref="AS96:AS110"/>
  </sortState>
  <tableColumns count="23">
    <tableColumn id="1" xr3:uid="{00000000-0010-0000-5E00-000001000000}" name="TM" dataDxfId="4829"/>
    <tableColumn id="2" xr3:uid="{00000000-0010-0000-5E00-000002000000}" name="@" dataDxfId="4828"/>
    <tableColumn id="3" xr3:uid="{00000000-0010-0000-5E00-000003000000}" name="NAME" dataDxfId="4827"/>
    <tableColumn id="4" xr3:uid="{00000000-0010-0000-5E00-000004000000}" name="BA" dataDxfId="4826">
      <calculatedColumnFormula>IFERROR(KCR_H227[[#This Row],[H]]/KCR_H227[[#This Row],[AB]],0)</calculatedColumnFormula>
    </tableColumn>
    <tableColumn id="5" xr3:uid="{00000000-0010-0000-5E00-000005000000}" name="OBP" dataDxfId="4825">
      <calculatedColumnFormula>IFERROR((KCR_H227[[#This Row],[H]]+KCR_H227[[#This Row],[BB]])/(KCR_H227[[#This Row],[BB]]+KCR_H227[[#This Row],[AB]]),0)</calculatedColumnFormula>
    </tableColumn>
    <tableColumn id="6" xr3:uid="{00000000-0010-0000-5E00-000006000000}" name="SLG" dataDxfId="4824">
      <calculatedColumnFormula>IFERROR(((KCR_H227[[#This Row],[H]]-KCR_H227[[#This Row],[2B]]-KCR_H227[[#This Row],[3B]]-KCR_H227[[#This Row],[HR]])+(KCR_H227[[#This Row],[2B]]*2)+(KCR_H227[[#This Row],[3B]]*3)+(KCR_H227[[#This Row],[HR]]*4))/KCR_H227[[#This Row],[AB]],0)</calculatedColumnFormula>
    </tableColumn>
    <tableColumn id="7" xr3:uid="{00000000-0010-0000-5E00-000007000000}" name="G" dataDxfId="4823"/>
    <tableColumn id="8" xr3:uid="{00000000-0010-0000-5E00-000008000000}" name="AB" dataDxfId="4822"/>
    <tableColumn id="9" xr3:uid="{00000000-0010-0000-5E00-000009000000}" name="R" dataDxfId="4821"/>
    <tableColumn id="10" xr3:uid="{00000000-0010-0000-5E00-00000A000000}" name="H" dataDxfId="4820"/>
    <tableColumn id="11" xr3:uid="{00000000-0010-0000-5E00-00000B000000}" name="2B" dataDxfId="4819"/>
    <tableColumn id="12" xr3:uid="{00000000-0010-0000-5E00-00000C000000}" name="3B" dataDxfId="4818"/>
    <tableColumn id="13" xr3:uid="{00000000-0010-0000-5E00-00000D000000}" name="HR" dataDxfId="4817"/>
    <tableColumn id="14" xr3:uid="{00000000-0010-0000-5E00-00000E000000}" name="RBI" dataDxfId="4816"/>
    <tableColumn id="15" xr3:uid="{00000000-0010-0000-5E00-00000F000000}" name="BB" dataDxfId="4815"/>
    <tableColumn id="16" xr3:uid="{00000000-0010-0000-5E00-000010000000}" name="K" dataDxfId="4814"/>
    <tableColumn id="17" xr3:uid="{00000000-0010-0000-5E00-000011000000}" name="SB" dataDxfId="4813"/>
    <tableColumn id="18" xr3:uid="{00000000-0010-0000-5E00-000012000000}" name="HS" dataDxfId="4812"/>
    <tableColumn id="19" xr3:uid="{00000000-0010-0000-5E00-000013000000}" name="LS" dataDxfId="4811"/>
    <tableColumn id="20" xr3:uid="{00000000-0010-0000-5E00-000014000000}" name="TB" dataDxfId="4810">
      <calculatedColumnFormula>IFERROR((KCR_H227[[#This Row],[H]]-KCR_H227[[#This Row],[2B]]-KCR_H227[[#This Row],[3B]]-KCR_H227[[#This Row],[HR]])+(KCR_H227[[#This Row],[2B]]*2)+(KCR_H227[[#This Row],[3B]]*3)+(KCR_H227[[#This Row],[HR]]*4),0)</calculatedColumnFormula>
    </tableColumn>
    <tableColumn id="21" xr3:uid="{00000000-0010-0000-5E00-000015000000}" name="OPS" dataDxfId="4809">
      <calculatedColumnFormula>KCR_H227[[#This Row],[OBP]]+KCR_H227[[#This Row],[SLG]]</calculatedColumnFormula>
    </tableColumn>
    <tableColumn id="22" xr3:uid="{00000000-0010-0000-5E00-000016000000}" name="*" dataDxfId="4808"/>
    <tableColumn id="23" xr3:uid="{00000000-0010-0000-5E00-000017000000}" name="#" dataDxfId="4807"/>
  </tableColumns>
  <tableStyleInfo name="TableStyleMedium5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00000000-000C-0000-FFFF-FFFF5F000000}" name="KCR_P228" displayName="KCR_P228" ref="Z113:AR123" totalsRowShown="0" headerRowDxfId="4806" dataDxfId="4804" headerRowBorderDxfId="4805">
  <autoFilter ref="Z113:AR123" xr:uid="{00000000-0009-0000-0100-0000E3000000}"/>
  <sortState xmlns:xlrd2="http://schemas.microsoft.com/office/spreadsheetml/2017/richdata2" ref="Z114:AR123">
    <sortCondition ref="AR113:AR123"/>
  </sortState>
  <tableColumns count="19">
    <tableColumn id="1" xr3:uid="{00000000-0010-0000-5F00-000001000000}" name="TM" dataDxfId="4803"/>
    <tableColumn id="2" xr3:uid="{00000000-0010-0000-5F00-000002000000}" name="@" dataDxfId="4802"/>
    <tableColumn id="3" xr3:uid="{00000000-0010-0000-5F00-000003000000}" name="NAME" dataDxfId="4801"/>
    <tableColumn id="4" xr3:uid="{00000000-0010-0000-5F00-000004000000}" name="ERA" dataDxfId="4800">
      <calculatedColumnFormula>IFERROR((KCR_P228[[#This Row],[R]]*9)/KCR_P228[[#This Row],[IP]],0)</calculatedColumnFormula>
    </tableColumn>
    <tableColumn id="5" xr3:uid="{00000000-0010-0000-5F00-000005000000}" name="W" dataDxfId="4799"/>
    <tableColumn id="6" xr3:uid="{00000000-0010-0000-5F00-000006000000}" name="L" dataDxfId="4798"/>
    <tableColumn id="7" xr3:uid="{00000000-0010-0000-5F00-000007000000}" name="G" dataDxfId="4797"/>
    <tableColumn id="8" xr3:uid="{00000000-0010-0000-5F00-000008000000}" name="IP" dataDxfId="4796"/>
    <tableColumn id="9" xr3:uid="{00000000-0010-0000-5F00-000009000000}" name="H" dataDxfId="4795"/>
    <tableColumn id="10" xr3:uid="{00000000-0010-0000-5F00-00000A000000}" name="R" dataDxfId="4794"/>
    <tableColumn id="11" xr3:uid="{00000000-0010-0000-5F00-00000B000000}" name="BB" dataDxfId="4793"/>
    <tableColumn id="12" xr3:uid="{00000000-0010-0000-5F00-00000C000000}" name="K" dataDxfId="4792"/>
    <tableColumn id="13" xr3:uid="{00000000-0010-0000-5F00-00000D000000}" name="SV" dataDxfId="4791"/>
    <tableColumn id="14" xr3:uid="{00000000-0010-0000-5F00-00000E000000}" name="WH" dataDxfId="4790">
      <calculatedColumnFormula>IFERROR((KCR_P228[[#This Row],[BB]]+KCR_P228[[#This Row],[H]])/KCR_P228[[#This Row],[IP]],0)</calculatedColumnFormula>
    </tableColumn>
    <tableColumn id="15" xr3:uid="{00000000-0010-0000-5F00-00000F000000}" name="QS" dataDxfId="4789"/>
    <tableColumn id="16" xr3:uid="{00000000-0010-0000-5F00-000010000000}" name="UQ" dataDxfId="4788"/>
    <tableColumn id="17" xr3:uid="{00000000-0010-0000-5F00-000011000000}" name="CG" dataDxfId="4787"/>
    <tableColumn id="18" xr3:uid="{00000000-0010-0000-5F00-000012000000}" name="SH" dataDxfId="4786"/>
    <tableColumn id="19" xr3:uid="{00000000-0010-0000-5F00-000013000000}" name="#" dataDxfId="4785"/>
  </tableColumns>
  <tableStyleInfo name="TableStyleMedium5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00000000-000C-0000-FFFF-FFFF60000000}" name="DET_H99229" displayName="DET_H99229" ref="Z65:AV79" totalsRowShown="0" headerRowDxfId="4784" dataDxfId="4782" headerRowBorderDxfId="4783">
  <autoFilter ref="Z65:AV79" xr:uid="{00000000-0009-0000-0100-0000E4000000}"/>
  <sortState xmlns:xlrd2="http://schemas.microsoft.com/office/spreadsheetml/2017/richdata2" ref="Z66:AV79">
    <sortCondition descending="1" ref="AS65:AS79"/>
  </sortState>
  <tableColumns count="23">
    <tableColumn id="1" xr3:uid="{00000000-0010-0000-6000-000001000000}" name="TM" dataDxfId="4781"/>
    <tableColumn id="2" xr3:uid="{00000000-0010-0000-6000-000002000000}" name="@" dataDxfId="4780"/>
    <tableColumn id="3" xr3:uid="{00000000-0010-0000-6000-000003000000}" name="NAME" dataDxfId="4779"/>
    <tableColumn id="4" xr3:uid="{00000000-0010-0000-6000-000004000000}" name="BA" dataDxfId="4778">
      <calculatedColumnFormula>IFERROR(DET_H99229[[#This Row],[H]]/DET_H99229[[#This Row],[AB]],0)</calculatedColumnFormula>
    </tableColumn>
    <tableColumn id="5" xr3:uid="{00000000-0010-0000-6000-000005000000}" name="OBP" dataDxfId="4777">
      <calculatedColumnFormula>IFERROR((DET_H99229[[#This Row],[H]]+DET_H99229[[#This Row],[BB]])/(DET_H99229[[#This Row],[BB]]+DET_H99229[[#This Row],[AB]]),0)</calculatedColumnFormula>
    </tableColumn>
    <tableColumn id="6" xr3:uid="{00000000-0010-0000-6000-000006000000}" name="SLG" dataDxfId="4776">
      <calculatedColumnFormula>IFERROR(((DET_H99229[[#This Row],[H]]-DET_H99229[[#This Row],[2B]]-DET_H99229[[#This Row],[3B]]-DET_H99229[[#This Row],[HR]])+(DET_H99229[[#This Row],[2B]]*2)+(DET_H99229[[#This Row],[3B]]*3)+(DET_H99229[[#This Row],[HR]]*4))/DET_H99229[[#This Row],[AB]],0)</calculatedColumnFormula>
    </tableColumn>
    <tableColumn id="7" xr3:uid="{00000000-0010-0000-6000-000007000000}" name="G" dataDxfId="4775"/>
    <tableColumn id="8" xr3:uid="{00000000-0010-0000-6000-000008000000}" name="AB" dataDxfId="4774"/>
    <tableColumn id="9" xr3:uid="{00000000-0010-0000-6000-000009000000}" name="R" dataDxfId="4773"/>
    <tableColumn id="10" xr3:uid="{00000000-0010-0000-6000-00000A000000}" name="H" dataDxfId="4772"/>
    <tableColumn id="11" xr3:uid="{00000000-0010-0000-6000-00000B000000}" name="2B" dataDxfId="4771"/>
    <tableColumn id="12" xr3:uid="{00000000-0010-0000-6000-00000C000000}" name="3B" dataDxfId="4770"/>
    <tableColumn id="13" xr3:uid="{00000000-0010-0000-6000-00000D000000}" name="HR" dataDxfId="4769"/>
    <tableColumn id="14" xr3:uid="{00000000-0010-0000-6000-00000E000000}" name="RBI" dataDxfId="4768"/>
    <tableColumn id="15" xr3:uid="{00000000-0010-0000-6000-00000F000000}" name="BB" dataDxfId="4767"/>
    <tableColumn id="16" xr3:uid="{00000000-0010-0000-6000-000010000000}" name="K" dataDxfId="4766"/>
    <tableColumn id="17" xr3:uid="{00000000-0010-0000-6000-000011000000}" name="SB" dataDxfId="4765"/>
    <tableColumn id="18" xr3:uid="{00000000-0010-0000-6000-000012000000}" name="HS" dataDxfId="4764"/>
    <tableColumn id="19" xr3:uid="{00000000-0010-0000-6000-000013000000}" name="LS" dataDxfId="4763"/>
    <tableColumn id="20" xr3:uid="{00000000-0010-0000-6000-000014000000}" name="TB" dataDxfId="4762">
      <calculatedColumnFormula>IFERROR((DET_H99229[[#This Row],[H]]-DET_H99229[[#This Row],[2B]]-DET_H99229[[#This Row],[3B]]-DET_H99229[[#This Row],[HR]])+(DET_H99229[[#This Row],[2B]]*2)+(DET_H99229[[#This Row],[3B]]*3)+(DET_H99229[[#This Row],[HR]]*4),0)</calculatedColumnFormula>
    </tableColumn>
    <tableColumn id="21" xr3:uid="{00000000-0010-0000-6000-000015000000}" name="OPS" dataDxfId="4761">
      <calculatedColumnFormula>DET_H99229[[#This Row],[OBP]]+DET_H99229[[#This Row],[SLG]]</calculatedColumnFormula>
    </tableColumn>
    <tableColumn id="22" xr3:uid="{00000000-0010-0000-6000-000016000000}" name="*" dataDxfId="4760"/>
    <tableColumn id="23" xr3:uid="{00000000-0010-0000-6000-000017000000}" name="#" dataDxfId="4759"/>
  </tableColumns>
  <tableStyleInfo name="TableStyleMedium3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00000000-000C-0000-FFFF-FFFF61000000}" name="CLE_H34" displayName="CLE_H34" ref="Z159:AV173" totalsRowShown="0" headerRowDxfId="4758" dataDxfId="4756" headerRowBorderDxfId="4757">
  <autoFilter ref="Z159:AV173" xr:uid="{00000000-0009-0000-0100-0000E5000000}"/>
  <sortState xmlns:xlrd2="http://schemas.microsoft.com/office/spreadsheetml/2017/richdata2" ref="Z160:AV173">
    <sortCondition descending="1" ref="AS159:AS173"/>
  </sortState>
  <tableColumns count="23">
    <tableColumn id="1" xr3:uid="{00000000-0010-0000-6100-000001000000}" name="TM" dataDxfId="4755"/>
    <tableColumn id="2" xr3:uid="{00000000-0010-0000-6100-000002000000}" name="@" dataDxfId="4754"/>
    <tableColumn id="3" xr3:uid="{00000000-0010-0000-6100-000003000000}" name="NAME" dataDxfId="4753"/>
    <tableColumn id="4" xr3:uid="{00000000-0010-0000-6100-000004000000}" name="BA" dataDxfId="4752">
      <calculatedColumnFormula>IFERROR((CLE_H34[[#This Row],[H]]/CLE_H34[[#This Row],[AB]]),0)</calculatedColumnFormula>
    </tableColumn>
    <tableColumn id="5" xr3:uid="{00000000-0010-0000-6100-000005000000}" name="OBP" dataDxfId="4751">
      <calculatedColumnFormula>IFERROR((CLE_H34[[#This Row],[H]]+CLE_H34[[#This Row],[BB]])/(CLE_H34[[#This Row],[BB]]+CLE_H34[[#This Row],[AB]]),0)</calculatedColumnFormula>
    </tableColumn>
    <tableColumn id="6" xr3:uid="{00000000-0010-0000-6100-000006000000}" name="SLG" dataDxfId="4750">
      <calculatedColumnFormula>IFERROR(((CLE_H34[[#This Row],[H]]-CLE_H34[[#This Row],[2B]]-CLE_H34[[#This Row],[3B]]-CLE_H34[[#This Row],[HR]])+(CLE_H34[[#This Row],[2B]]*2)+(CLE_H34[[#This Row],[3B]]*3)+(CLE_H34[[#This Row],[HR]]*4))/CLE_H34[[#This Row],[AB]],0)</calculatedColumnFormula>
    </tableColumn>
    <tableColumn id="7" xr3:uid="{00000000-0010-0000-6100-000007000000}" name="G" dataDxfId="4749"/>
    <tableColumn id="8" xr3:uid="{00000000-0010-0000-6100-000008000000}" name="AB" dataDxfId="4748"/>
    <tableColumn id="9" xr3:uid="{00000000-0010-0000-6100-000009000000}" name="R" dataDxfId="4747"/>
    <tableColumn id="10" xr3:uid="{00000000-0010-0000-6100-00000A000000}" name="H" dataDxfId="4746"/>
    <tableColumn id="11" xr3:uid="{00000000-0010-0000-6100-00000B000000}" name="2B" dataDxfId="4745"/>
    <tableColumn id="12" xr3:uid="{00000000-0010-0000-6100-00000C000000}" name="3B" dataDxfId="4744"/>
    <tableColumn id="13" xr3:uid="{00000000-0010-0000-6100-00000D000000}" name="HR" dataDxfId="4743"/>
    <tableColumn id="14" xr3:uid="{00000000-0010-0000-6100-00000E000000}" name="RBI" dataDxfId="4742"/>
    <tableColumn id="15" xr3:uid="{00000000-0010-0000-6100-00000F000000}" name="BB" dataDxfId="4741"/>
    <tableColumn id="16" xr3:uid="{00000000-0010-0000-6100-000010000000}" name="K" dataDxfId="4740"/>
    <tableColumn id="17" xr3:uid="{00000000-0010-0000-6100-000011000000}" name="SB" dataDxfId="4739"/>
    <tableColumn id="18" xr3:uid="{00000000-0010-0000-6100-000012000000}" name="HS" dataDxfId="4738"/>
    <tableColumn id="19" xr3:uid="{00000000-0010-0000-6100-000013000000}" name="LS" dataDxfId="4737"/>
    <tableColumn id="20" xr3:uid="{00000000-0010-0000-6100-000014000000}" name="TB" dataDxfId="4736">
      <calculatedColumnFormula>IFERROR((CLE_H34[[#This Row],[H]]-CLE_H34[[#This Row],[2B]]-CLE_H34[[#This Row],[3B]]-CLE_H34[[#This Row],[HR]])+(CLE_H34[[#This Row],[2B]]*2)+(CLE_H34[[#This Row],[3B]]*3)+(CLE_H34[[#This Row],[HR]]*4),0)</calculatedColumnFormula>
    </tableColumn>
    <tableColumn id="21" xr3:uid="{00000000-0010-0000-6100-000015000000}" name="OPS" dataDxfId="4735">
      <calculatedColumnFormula>CLE_H34[[#This Row],[OBP]]+CLE_H34[[#This Row],[SLG]]</calculatedColumnFormula>
    </tableColumn>
    <tableColumn id="22" xr3:uid="{00000000-0010-0000-6100-000016000000}" name="*" dataDxfId="4734"/>
    <tableColumn id="23" xr3:uid="{00000000-0010-0000-6100-000017000000}" name="#" dataDxfId="4733"/>
  </tableColumns>
  <tableStyleInfo name="TableStyleMedium3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62000000}" name="CLE_P35" displayName="CLE_P35" ref="Z176:AR186" totalsRowShown="0" headerRowDxfId="4732" dataDxfId="4730" headerRowBorderDxfId="4731">
  <autoFilter ref="Z176:AR186" xr:uid="{00000000-0009-0000-0100-0000E6000000}"/>
  <sortState xmlns:xlrd2="http://schemas.microsoft.com/office/spreadsheetml/2017/richdata2" ref="Z177:AR186">
    <sortCondition ref="AR20:AR30"/>
  </sortState>
  <tableColumns count="19">
    <tableColumn id="1" xr3:uid="{00000000-0010-0000-6200-000001000000}" name="TM" dataDxfId="4729"/>
    <tableColumn id="2" xr3:uid="{00000000-0010-0000-6200-000002000000}" name="@" dataDxfId="4728"/>
    <tableColumn id="3" xr3:uid="{00000000-0010-0000-6200-000003000000}" name="NAME" dataDxfId="4727"/>
    <tableColumn id="4" xr3:uid="{00000000-0010-0000-6200-000004000000}" name="ERA" dataDxfId="4726">
      <calculatedColumnFormula>IFERROR((CLE_P35[[#This Row],[R]]*9)/CLE_P35[[#This Row],[IP]],0)</calculatedColumnFormula>
    </tableColumn>
    <tableColumn id="5" xr3:uid="{00000000-0010-0000-6200-000005000000}" name="W" dataDxfId="4725"/>
    <tableColumn id="6" xr3:uid="{00000000-0010-0000-6200-000006000000}" name="L" dataDxfId="4724"/>
    <tableColumn id="7" xr3:uid="{00000000-0010-0000-6200-000007000000}" name="G" dataDxfId="4723"/>
    <tableColumn id="8" xr3:uid="{00000000-0010-0000-6200-000008000000}" name="IP" dataDxfId="4722"/>
    <tableColumn id="9" xr3:uid="{00000000-0010-0000-6200-000009000000}" name="H" dataDxfId="4721"/>
    <tableColumn id="10" xr3:uid="{00000000-0010-0000-6200-00000A000000}" name="R" dataDxfId="4720"/>
    <tableColumn id="11" xr3:uid="{00000000-0010-0000-6200-00000B000000}" name="BB" dataDxfId="4719"/>
    <tableColumn id="12" xr3:uid="{00000000-0010-0000-6200-00000C000000}" name="K" dataDxfId="4718"/>
    <tableColumn id="13" xr3:uid="{00000000-0010-0000-6200-00000D000000}" name="SV" dataDxfId="4717"/>
    <tableColumn id="14" xr3:uid="{00000000-0010-0000-6200-00000E000000}" name="WH" dataDxfId="4716">
      <calculatedColumnFormula>IFERROR((CLE_P35[[#This Row],[BB]]+CLE_P35[[#This Row],[H]])/CLE_P35[[#This Row],[IP]],0)</calculatedColumnFormula>
    </tableColumn>
    <tableColumn id="15" xr3:uid="{00000000-0010-0000-6200-00000F000000}" name="QS" dataDxfId="4715"/>
    <tableColumn id="16" xr3:uid="{00000000-0010-0000-6200-000010000000}" name="UQ" dataDxfId="4714"/>
    <tableColumn id="17" xr3:uid="{00000000-0010-0000-6200-000011000000}" name="CG" dataDxfId="4713"/>
    <tableColumn id="18" xr3:uid="{00000000-0010-0000-6200-000012000000}" name="SH" dataDxfId="4712"/>
    <tableColumn id="19" xr3:uid="{00000000-0010-0000-6200-000013000000}" name="#" dataDxfId="4711"/>
  </tableColumns>
  <tableStyleInfo name="TableStyleMedium3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00000000-000C-0000-FFFF-FFFF63000000}" name="MIN_H36" displayName="MIN_H36" ref="Z190:AV204" totalsRowShown="0" headerRowDxfId="4710" dataDxfId="4708" headerRowBorderDxfId="4709">
  <autoFilter ref="Z190:AV204" xr:uid="{00000000-0009-0000-0100-0000E7000000}"/>
  <sortState xmlns:xlrd2="http://schemas.microsoft.com/office/spreadsheetml/2017/richdata2" ref="Z191:AV204">
    <sortCondition ref="AV190:AV204"/>
  </sortState>
  <tableColumns count="23">
    <tableColumn id="1" xr3:uid="{00000000-0010-0000-6300-000001000000}" name="TM" dataDxfId="4707"/>
    <tableColumn id="2" xr3:uid="{00000000-0010-0000-6300-000002000000}" name="@" dataDxfId="4706"/>
    <tableColumn id="3" xr3:uid="{00000000-0010-0000-6300-000003000000}" name="NAME" dataDxfId="4705"/>
    <tableColumn id="4" xr3:uid="{00000000-0010-0000-6300-000004000000}" name="BA" dataDxfId="4704">
      <calculatedColumnFormula>IFERROR(MIN_H36[[#This Row],[H]]/MIN_H36[[#This Row],[AB]],0)</calculatedColumnFormula>
    </tableColumn>
    <tableColumn id="5" xr3:uid="{00000000-0010-0000-6300-000005000000}" name="OBP" dataDxfId="4703">
      <calculatedColumnFormula>IFERROR((MIN_H36[[#This Row],[H]]+MIN_H36[[#This Row],[BB]])/(MIN_H36[[#This Row],[BB]]+MIN_H36[[#This Row],[AB]]),0)</calculatedColumnFormula>
    </tableColumn>
    <tableColumn id="6" xr3:uid="{00000000-0010-0000-6300-000006000000}" name="SLG" dataDxfId="4702">
      <calculatedColumnFormula>IFERROR(((MIN_H36[[#This Row],[H]]-MIN_H36[[#This Row],[2B]]-MIN_H36[[#This Row],[3B]]-MIN_H36[[#This Row],[HR]])+(MIN_H36[[#This Row],[2B]]*2)+(MIN_H36[[#This Row],[3B]]*3)+(MIN_H36[[#This Row],[HR]]*4))/MIN_H36[[#This Row],[AB]],0)</calculatedColumnFormula>
    </tableColumn>
    <tableColumn id="7" xr3:uid="{00000000-0010-0000-6300-000007000000}" name="G" dataDxfId="4701"/>
    <tableColumn id="8" xr3:uid="{00000000-0010-0000-6300-000008000000}" name="AB" dataDxfId="4700"/>
    <tableColumn id="9" xr3:uid="{00000000-0010-0000-6300-000009000000}" name="R" dataDxfId="4699"/>
    <tableColumn id="10" xr3:uid="{00000000-0010-0000-6300-00000A000000}" name="H" dataDxfId="4698"/>
    <tableColumn id="11" xr3:uid="{00000000-0010-0000-6300-00000B000000}" name="2B" dataDxfId="4697"/>
    <tableColumn id="12" xr3:uid="{00000000-0010-0000-6300-00000C000000}" name="3B" dataDxfId="4696"/>
    <tableColumn id="13" xr3:uid="{00000000-0010-0000-6300-00000D000000}" name="HR" dataDxfId="4695"/>
    <tableColumn id="14" xr3:uid="{00000000-0010-0000-6300-00000E000000}" name="RBI" dataDxfId="4694"/>
    <tableColumn id="15" xr3:uid="{00000000-0010-0000-6300-00000F000000}" name="BB" dataDxfId="4693"/>
    <tableColumn id="16" xr3:uid="{00000000-0010-0000-6300-000010000000}" name="K" dataDxfId="4692"/>
    <tableColumn id="17" xr3:uid="{00000000-0010-0000-6300-000011000000}" name="SB" dataDxfId="4691"/>
    <tableColumn id="18" xr3:uid="{00000000-0010-0000-6300-000012000000}" name="HS" dataDxfId="4690"/>
    <tableColumn id="19" xr3:uid="{00000000-0010-0000-6300-000013000000}" name="LS" dataDxfId="4689"/>
    <tableColumn id="20" xr3:uid="{00000000-0010-0000-6300-000014000000}" name="TB" dataDxfId="4688">
      <calculatedColumnFormula>IFERROR((MIN_H36[[#This Row],[H]]-MIN_H36[[#This Row],[2B]]-MIN_H36[[#This Row],[3B]]-MIN_H36[[#This Row],[HR]])+(MIN_H36[[#This Row],[2B]]*2)+(MIN_H36[[#This Row],[3B]]*3)+(MIN_H36[[#This Row],[HR]]*4),0)</calculatedColumnFormula>
    </tableColumn>
    <tableColumn id="21" xr3:uid="{00000000-0010-0000-6300-000015000000}" name="OPS" dataDxfId="4687">
      <calculatedColumnFormula>MIN_H36[[#This Row],[OBP]]+MIN_H36[[#This Row],[SLG]]</calculatedColumnFormula>
    </tableColumn>
    <tableColumn id="22" xr3:uid="{00000000-0010-0000-6300-000016000000}" name="*" dataDxfId="4686"/>
    <tableColumn id="23" xr3:uid="{00000000-0010-0000-6300-000017000000}" name="#" dataDxfId="4685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00000000-000C-0000-FFFF-FFFF64000000}" name="MIN_P37" displayName="MIN_P37" ref="Z207:AR217" totalsRowShown="0" headerRowDxfId="4684" dataDxfId="4682" headerRowBorderDxfId="4683">
  <autoFilter ref="Z207:AR217" xr:uid="{00000000-0009-0000-0100-0000E8000000}"/>
  <sortState xmlns:xlrd2="http://schemas.microsoft.com/office/spreadsheetml/2017/richdata2" ref="Z208:AR217">
    <sortCondition ref="AR82:AR92"/>
  </sortState>
  <tableColumns count="19">
    <tableColumn id="1" xr3:uid="{00000000-0010-0000-6400-000001000000}" name="TM" dataDxfId="4681"/>
    <tableColumn id="2" xr3:uid="{00000000-0010-0000-6400-000002000000}" name="@" dataDxfId="4680"/>
    <tableColumn id="3" xr3:uid="{00000000-0010-0000-6400-000003000000}" name="NAME" dataDxfId="4679"/>
    <tableColumn id="4" xr3:uid="{00000000-0010-0000-6400-000004000000}" name="ERA" dataDxfId="4678">
      <calculatedColumnFormula>IFERROR((MIN_P37[[#This Row],[R]]*9)/MIN_P37[[#This Row],[IP]],0)</calculatedColumnFormula>
    </tableColumn>
    <tableColumn id="5" xr3:uid="{00000000-0010-0000-6400-000005000000}" name="W" dataDxfId="4677"/>
    <tableColumn id="6" xr3:uid="{00000000-0010-0000-6400-000006000000}" name="L" dataDxfId="4676"/>
    <tableColumn id="7" xr3:uid="{00000000-0010-0000-6400-000007000000}" name="G" dataDxfId="4675"/>
    <tableColumn id="8" xr3:uid="{00000000-0010-0000-6400-000008000000}" name="IP" dataDxfId="4674"/>
    <tableColumn id="9" xr3:uid="{00000000-0010-0000-6400-000009000000}" name="H" dataDxfId="4673"/>
    <tableColumn id="10" xr3:uid="{00000000-0010-0000-6400-00000A000000}" name="R" dataDxfId="4672"/>
    <tableColumn id="11" xr3:uid="{00000000-0010-0000-6400-00000B000000}" name="BB" dataDxfId="4671"/>
    <tableColumn id="12" xr3:uid="{00000000-0010-0000-6400-00000C000000}" name="K" dataDxfId="4670"/>
    <tableColumn id="13" xr3:uid="{00000000-0010-0000-6400-00000D000000}" name="SV" dataDxfId="4669"/>
    <tableColumn id="14" xr3:uid="{00000000-0010-0000-6400-00000E000000}" name="WH" dataDxfId="4668">
      <calculatedColumnFormula>IFERROR((MIN_P37[[#This Row],[BB]]+MIN_P37[[#This Row],[H]])/MIN_P37[[#This Row],[IP]],0)</calculatedColumnFormula>
    </tableColumn>
    <tableColumn id="15" xr3:uid="{00000000-0010-0000-6400-00000F000000}" name="QS" dataDxfId="4667"/>
    <tableColumn id="16" xr3:uid="{00000000-0010-0000-6400-000010000000}" name="UQ" dataDxfId="4666"/>
    <tableColumn id="17" xr3:uid="{00000000-0010-0000-6400-000011000000}" name="CG" dataDxfId="4665"/>
    <tableColumn id="18" xr3:uid="{00000000-0010-0000-6400-000012000000}" name="SH" dataDxfId="4664"/>
    <tableColumn id="19" xr3:uid="{00000000-0010-0000-6400-000013000000}" name="#" dataDxfId="4663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00000000-000C-0000-FFFF-FFFF65000000}" name="MIN_H194" displayName="MIN_H194" ref="AY34:BU48" totalsRowShown="0" headerRowDxfId="4662" dataDxfId="4660" headerRowBorderDxfId="4661">
  <autoFilter ref="AY34:BU48" xr:uid="{00000000-0009-0000-0100-0000E9000000}"/>
  <sortState xmlns:xlrd2="http://schemas.microsoft.com/office/spreadsheetml/2017/richdata2" ref="AY35:BU48">
    <sortCondition ref="BU34:BU48"/>
  </sortState>
  <tableColumns count="23">
    <tableColumn id="1" xr3:uid="{00000000-0010-0000-6500-000001000000}" name="TM" dataDxfId="4659"/>
    <tableColumn id="2" xr3:uid="{00000000-0010-0000-6500-000002000000}" name="@" dataDxfId="4658"/>
    <tableColumn id="3" xr3:uid="{00000000-0010-0000-6500-000003000000}" name="NAME" dataDxfId="4657"/>
    <tableColumn id="4" xr3:uid="{00000000-0010-0000-6500-000004000000}" name="BA" dataDxfId="4656">
      <calculatedColumnFormula>IFERROR(MIN_H194[[#This Row],[H]]/MIN_H194[[#This Row],[AB]],0)</calculatedColumnFormula>
    </tableColumn>
    <tableColumn id="5" xr3:uid="{00000000-0010-0000-6500-000005000000}" name="OBP" dataDxfId="4655">
      <calculatedColumnFormula>IFERROR((MIN_H194[[#This Row],[H]]+MIN_H194[[#This Row],[BB]])/(MIN_H194[[#This Row],[BB]]+MIN_H194[[#This Row],[AB]]),0)</calculatedColumnFormula>
    </tableColumn>
    <tableColumn id="6" xr3:uid="{00000000-0010-0000-6500-000006000000}" name="SLG" dataDxfId="4654">
      <calculatedColumnFormula>IFERROR(((MIN_H194[[#This Row],[H]]-MIN_H194[[#This Row],[2B]]-MIN_H194[[#This Row],[3B]]-MIN_H194[[#This Row],[HR]])+(MIN_H194[[#This Row],[2B]]*2)+(MIN_H194[[#This Row],[3B]]*3)+(MIN_H194[[#This Row],[HR]]*4))/MIN_H194[[#This Row],[AB]],0)</calculatedColumnFormula>
    </tableColumn>
    <tableColumn id="7" xr3:uid="{00000000-0010-0000-6500-000007000000}" name="G" dataDxfId="4653"/>
    <tableColumn id="8" xr3:uid="{00000000-0010-0000-6500-000008000000}" name="AB" dataDxfId="4652"/>
    <tableColumn id="9" xr3:uid="{00000000-0010-0000-6500-000009000000}" name="R" dataDxfId="4651"/>
    <tableColumn id="10" xr3:uid="{00000000-0010-0000-6500-00000A000000}" name="H" dataDxfId="4650"/>
    <tableColumn id="11" xr3:uid="{00000000-0010-0000-6500-00000B000000}" name="2B" dataDxfId="4649"/>
    <tableColumn id="12" xr3:uid="{00000000-0010-0000-6500-00000C000000}" name="3B" dataDxfId="4648"/>
    <tableColumn id="13" xr3:uid="{00000000-0010-0000-6500-00000D000000}" name="HR" dataDxfId="4647"/>
    <tableColumn id="14" xr3:uid="{00000000-0010-0000-6500-00000E000000}" name="RBI" dataDxfId="4646"/>
    <tableColumn id="15" xr3:uid="{00000000-0010-0000-6500-00000F000000}" name="BB" dataDxfId="4645"/>
    <tableColumn id="16" xr3:uid="{00000000-0010-0000-6500-000010000000}" name="K" dataDxfId="4644"/>
    <tableColumn id="17" xr3:uid="{00000000-0010-0000-6500-000011000000}" name="SB" dataDxfId="4643"/>
    <tableColumn id="18" xr3:uid="{00000000-0010-0000-6500-000012000000}" name="HS" dataDxfId="4642"/>
    <tableColumn id="19" xr3:uid="{00000000-0010-0000-6500-000013000000}" name="LS" dataDxfId="4641"/>
    <tableColumn id="20" xr3:uid="{00000000-0010-0000-6500-000014000000}" name="TB" dataDxfId="4640">
      <calculatedColumnFormula>IFERROR((BH35-BI35-BJ35-BK35)+(BI35*2)+(BJ35*3)+(BK35*4),0)</calculatedColumnFormula>
    </tableColumn>
    <tableColumn id="21" xr3:uid="{00000000-0010-0000-6500-000015000000}" name="OPS" dataDxfId="4639">
      <calculatedColumnFormula>IFERROR(MIN_H194[[#This Row],[OBP]]+MIN_H194[[#This Row],[SLG]],0)</calculatedColumnFormula>
    </tableColumn>
    <tableColumn id="22" xr3:uid="{00000000-0010-0000-6500-000016000000}" name="*" dataDxfId="4638"/>
    <tableColumn id="23" xr3:uid="{00000000-0010-0000-6500-000017000000}" name="#" dataDxfId="4637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00000000-000C-0000-FFFF-FFFF66000000}" name="MIN_P195" displayName="MIN_P195" ref="AY51:BQ61" totalsRowShown="0" headerRowDxfId="4636" dataDxfId="4634" headerRowBorderDxfId="4635">
  <autoFilter ref="AY51:BQ61" xr:uid="{00000000-0009-0000-0100-0000EA000000}"/>
  <sortState xmlns:xlrd2="http://schemas.microsoft.com/office/spreadsheetml/2017/richdata2" ref="AY52:BQ61">
    <sortCondition ref="BQ51:BQ61"/>
  </sortState>
  <tableColumns count="19">
    <tableColumn id="1" xr3:uid="{00000000-0010-0000-6600-000001000000}" name="TM" dataDxfId="4633"/>
    <tableColumn id="2" xr3:uid="{00000000-0010-0000-6600-000002000000}" name="@" dataDxfId="4632"/>
    <tableColumn id="3" xr3:uid="{00000000-0010-0000-6600-000003000000}" name="NAME" dataDxfId="4631"/>
    <tableColumn id="4" xr3:uid="{00000000-0010-0000-6600-000004000000}" name="ERA" dataDxfId="4630">
      <calculatedColumnFormula>IFERROR((MIN_P195[[#This Row],[R]]*9)/MIN_P195[[#This Row],[IP]],0)</calculatedColumnFormula>
    </tableColumn>
    <tableColumn id="5" xr3:uid="{00000000-0010-0000-6600-000005000000}" name="W" dataDxfId="4629"/>
    <tableColumn id="6" xr3:uid="{00000000-0010-0000-6600-000006000000}" name="L" dataDxfId="4628"/>
    <tableColumn id="7" xr3:uid="{00000000-0010-0000-6600-000007000000}" name="G" dataDxfId="4627"/>
    <tableColumn id="8" xr3:uid="{00000000-0010-0000-6600-000008000000}" name="IP" dataDxfId="4626"/>
    <tableColumn id="9" xr3:uid="{00000000-0010-0000-6600-000009000000}" name="H" dataDxfId="4625"/>
    <tableColumn id="10" xr3:uid="{00000000-0010-0000-6600-00000A000000}" name="R" dataDxfId="4624"/>
    <tableColumn id="11" xr3:uid="{00000000-0010-0000-6600-00000B000000}" name="BB" dataDxfId="4623"/>
    <tableColumn id="12" xr3:uid="{00000000-0010-0000-6600-00000C000000}" name="K" dataDxfId="4622"/>
    <tableColumn id="13" xr3:uid="{00000000-0010-0000-6600-00000D000000}" name="SV" dataDxfId="4621"/>
    <tableColumn id="14" xr3:uid="{00000000-0010-0000-6600-00000E000000}" name="WH" dataDxfId="4620">
      <calculatedColumnFormula>IFERROR((MIN_P195[[#This Row],[H]]+MIN_P195[[#This Row],[BB]])/MIN_P195[[#This Row],[IP]],0)</calculatedColumnFormula>
    </tableColumn>
    <tableColumn id="15" xr3:uid="{00000000-0010-0000-6600-00000F000000}" name="QS" dataDxfId="4619"/>
    <tableColumn id="16" xr3:uid="{00000000-0010-0000-6600-000010000000}" name="UQ" dataDxfId="4618"/>
    <tableColumn id="17" xr3:uid="{00000000-0010-0000-6600-000011000000}" name="CG" dataDxfId="4617"/>
    <tableColumn id="18" xr3:uid="{00000000-0010-0000-6600-000012000000}" name="SH" dataDxfId="4616"/>
    <tableColumn id="19" xr3:uid="{00000000-0010-0000-6600-000013000000}" name="#" dataDxfId="4615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00000000-000C-0000-FFFF-FFFF67000000}" name="DET_P196" displayName="DET_P196" ref="AY82:BQ92" totalsRowShown="0" headerRowDxfId="4614" dataDxfId="4612" headerRowBorderDxfId="4613">
  <autoFilter ref="AY82:BQ92" xr:uid="{00000000-0009-0000-0100-0000EB000000}"/>
  <sortState xmlns:xlrd2="http://schemas.microsoft.com/office/spreadsheetml/2017/richdata2" ref="AY83:BQ92">
    <sortCondition ref="BQ82:BQ92"/>
  </sortState>
  <tableColumns count="19">
    <tableColumn id="1" xr3:uid="{00000000-0010-0000-6700-000001000000}" name="TM" dataDxfId="4611"/>
    <tableColumn id="2" xr3:uid="{00000000-0010-0000-6700-000002000000}" name="@" dataDxfId="4610"/>
    <tableColumn id="3" xr3:uid="{00000000-0010-0000-6700-000003000000}" name="NAME" dataDxfId="4609"/>
    <tableColumn id="4" xr3:uid="{00000000-0010-0000-6700-000004000000}" name="ERA" dataDxfId="4608">
      <calculatedColumnFormula>IFERROR((DET_P196[[#This Row],[R]]*9)/DET_P196[[#This Row],[IP]],0)</calculatedColumnFormula>
    </tableColumn>
    <tableColumn id="5" xr3:uid="{00000000-0010-0000-6700-000005000000}" name="W" dataDxfId="4607"/>
    <tableColumn id="6" xr3:uid="{00000000-0010-0000-6700-000006000000}" name="L" dataDxfId="4606"/>
    <tableColumn id="7" xr3:uid="{00000000-0010-0000-6700-000007000000}" name="G" dataDxfId="4605"/>
    <tableColumn id="8" xr3:uid="{00000000-0010-0000-6700-000008000000}" name="IP" dataDxfId="4604"/>
    <tableColumn id="9" xr3:uid="{00000000-0010-0000-6700-000009000000}" name="H" dataDxfId="4603"/>
    <tableColumn id="10" xr3:uid="{00000000-0010-0000-6700-00000A000000}" name="R" dataDxfId="4602"/>
    <tableColumn id="11" xr3:uid="{00000000-0010-0000-6700-00000B000000}" name="BB" dataDxfId="4601"/>
    <tableColumn id="12" xr3:uid="{00000000-0010-0000-6700-00000C000000}" name="K" dataDxfId="4600"/>
    <tableColumn id="13" xr3:uid="{00000000-0010-0000-6700-00000D000000}" name="SV" dataDxfId="4599"/>
    <tableColumn id="14" xr3:uid="{00000000-0010-0000-6700-00000E000000}" name="WH" dataDxfId="4598">
      <calculatedColumnFormula>IFERROR((DET_P196[[#This Row],[BB]]+DET_P196[[#This Row],[H]])/DET_P196[[#This Row],[IP]],0)</calculatedColumnFormula>
    </tableColumn>
    <tableColumn id="15" xr3:uid="{00000000-0010-0000-6700-00000F000000}" name="QS" dataDxfId="4597"/>
    <tableColumn id="16" xr3:uid="{00000000-0010-0000-6700-000010000000}" name="UQ" dataDxfId="4596"/>
    <tableColumn id="17" xr3:uid="{00000000-0010-0000-6700-000011000000}" name="CG" dataDxfId="4595"/>
    <tableColumn id="18" xr3:uid="{00000000-0010-0000-6700-000012000000}" name="SH" dataDxfId="4594"/>
    <tableColumn id="19" xr3:uid="{00000000-0010-0000-6700-000013000000}" name="#" dataDxfId="4593"/>
  </tableColumns>
  <tableStyleInfo name="TableStyleMedium3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00000000-000C-0000-FFFF-FFFF68000000}" name="CHW_P197" displayName="CHW_P197" ref="AY144:BQ154" totalsRowShown="0" headerRowDxfId="4592" dataDxfId="4590" headerRowBorderDxfId="4591">
  <autoFilter ref="AY144:BQ154" xr:uid="{00000000-0009-0000-0100-0000EC000000}"/>
  <sortState xmlns:xlrd2="http://schemas.microsoft.com/office/spreadsheetml/2017/richdata2" ref="AY145:BQ154">
    <sortCondition ref="BQ144:BQ154"/>
  </sortState>
  <tableColumns count="19">
    <tableColumn id="1" xr3:uid="{00000000-0010-0000-6800-000001000000}" name="TM" dataDxfId="4589"/>
    <tableColumn id="2" xr3:uid="{00000000-0010-0000-6800-000002000000}" name="@" dataDxfId="4588"/>
    <tableColumn id="3" xr3:uid="{00000000-0010-0000-6800-000003000000}" name="NAME" dataDxfId="4587"/>
    <tableColumn id="4" xr3:uid="{00000000-0010-0000-6800-000004000000}" name="ERA" dataDxfId="4586">
      <calculatedColumnFormula>IFERROR((CHW_P197[[#This Row],[R]]*9)/CHW_P197[[#This Row],[IP]],0)</calculatedColumnFormula>
    </tableColumn>
    <tableColumn id="5" xr3:uid="{00000000-0010-0000-6800-000005000000}" name="W" dataDxfId="4585"/>
    <tableColumn id="6" xr3:uid="{00000000-0010-0000-6800-000006000000}" name="L" dataDxfId="4584"/>
    <tableColumn id="7" xr3:uid="{00000000-0010-0000-6800-000007000000}" name="G" dataDxfId="4583"/>
    <tableColumn id="8" xr3:uid="{00000000-0010-0000-6800-000008000000}" name="IP" dataDxfId="4582"/>
    <tableColumn id="9" xr3:uid="{00000000-0010-0000-6800-000009000000}" name="H" dataDxfId="4581"/>
    <tableColumn id="10" xr3:uid="{00000000-0010-0000-6800-00000A000000}" name="R" dataDxfId="4580"/>
    <tableColumn id="11" xr3:uid="{00000000-0010-0000-6800-00000B000000}" name="BB" dataDxfId="4579"/>
    <tableColumn id="12" xr3:uid="{00000000-0010-0000-6800-00000C000000}" name="K" dataDxfId="4578"/>
    <tableColumn id="13" xr3:uid="{00000000-0010-0000-6800-00000D000000}" name="SV" dataDxfId="4577"/>
    <tableColumn id="14" xr3:uid="{00000000-0010-0000-6800-00000E000000}" name="WH" dataDxfId="4576">
      <calculatedColumnFormula>IFERROR((CHW_P197[[#This Row],[H]]+CHW_P197[[#This Row],[BB]])/CHW_P197[[#This Row],[IP]],0)</calculatedColumnFormula>
    </tableColumn>
    <tableColumn id="15" xr3:uid="{00000000-0010-0000-6800-00000F000000}" name="QS" dataDxfId="4575"/>
    <tableColumn id="16" xr3:uid="{00000000-0010-0000-6800-000010000000}" name="UQ" dataDxfId="4574"/>
    <tableColumn id="17" xr3:uid="{00000000-0010-0000-6800-000011000000}" name="CG" dataDxfId="4573"/>
    <tableColumn id="18" xr3:uid="{00000000-0010-0000-6800-000012000000}" name="SH" dataDxfId="4572"/>
    <tableColumn id="19" xr3:uid="{00000000-0010-0000-6800-000013000000}" name="#" dataDxfId="4571"/>
  </tableColumns>
  <tableStyleInfo name="TableStyleMedium1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0000000-000C-0000-FFFF-FFFF69000000}" name="CHW_H198" displayName="CHW_H198" ref="AY127:BU141" totalsRowShown="0" headerRowDxfId="4570" dataDxfId="4568" headerRowBorderDxfId="4569">
  <autoFilter ref="AY127:BU141" xr:uid="{00000000-0009-0000-0100-0000ED000000}"/>
  <sortState xmlns:xlrd2="http://schemas.microsoft.com/office/spreadsheetml/2017/richdata2" ref="AY128:BU141">
    <sortCondition descending="1" ref="BR127:BR141"/>
  </sortState>
  <tableColumns count="23">
    <tableColumn id="1" xr3:uid="{00000000-0010-0000-6900-000001000000}" name="TM" dataDxfId="4567"/>
    <tableColumn id="2" xr3:uid="{00000000-0010-0000-6900-000002000000}" name="@" dataDxfId="4566"/>
    <tableColumn id="3" xr3:uid="{00000000-0010-0000-6900-000003000000}" name="NAME" dataDxfId="4565"/>
    <tableColumn id="4" xr3:uid="{00000000-0010-0000-6900-000004000000}" name="BA" dataDxfId="4564">
      <calculatedColumnFormula>IFERROR(CHW_H198[[#This Row],[H]]/CHW_H198[[#This Row],[AB]],0)</calculatedColumnFormula>
    </tableColumn>
    <tableColumn id="5" xr3:uid="{00000000-0010-0000-6900-000005000000}" name="OBP" dataDxfId="4563">
      <calculatedColumnFormula>IFERROR((CHW_H198[[#This Row],[H]]+CHW_H198[[#This Row],[BB]])/(CHW_H198[[#This Row],[AB]]+CHW_H198[[#This Row],[BB]]),0)</calculatedColumnFormula>
    </tableColumn>
    <tableColumn id="6" xr3:uid="{00000000-0010-0000-6900-000006000000}" name="SLG" dataDxfId="4562">
      <calculatedColumnFormula>IFERROR(((CHW_H198[[#This Row],[H]]-CHW_H198[[#This Row],[2B]]-CHW_H198[[#This Row],[3B]]-CHW_H198[[#This Row],[HR]])+(CHW_H198[[#This Row],[2B]]*2)+(CHW_H198[[#This Row],[3B]]*3)+(CHW_H198[[#This Row],[HR]]*4))/CHW_H198[[#This Row],[AB]],0)</calculatedColumnFormula>
    </tableColumn>
    <tableColumn id="7" xr3:uid="{00000000-0010-0000-6900-000007000000}" name="G" dataDxfId="4561"/>
    <tableColumn id="8" xr3:uid="{00000000-0010-0000-6900-000008000000}" name="AB" dataDxfId="4560"/>
    <tableColumn id="9" xr3:uid="{00000000-0010-0000-6900-000009000000}" name="R" dataDxfId="4559"/>
    <tableColumn id="10" xr3:uid="{00000000-0010-0000-6900-00000A000000}" name="H" dataDxfId="4558"/>
    <tableColumn id="11" xr3:uid="{00000000-0010-0000-6900-00000B000000}" name="2B" dataDxfId="4557"/>
    <tableColumn id="12" xr3:uid="{00000000-0010-0000-6900-00000C000000}" name="3B" dataDxfId="4556"/>
    <tableColumn id="13" xr3:uid="{00000000-0010-0000-6900-00000D000000}" name="HR" dataDxfId="4555"/>
    <tableColumn id="14" xr3:uid="{00000000-0010-0000-6900-00000E000000}" name="RBI" dataDxfId="4554"/>
    <tableColumn id="15" xr3:uid="{00000000-0010-0000-6900-00000F000000}" name="BB" dataDxfId="4553"/>
    <tableColumn id="16" xr3:uid="{00000000-0010-0000-6900-000010000000}" name="K" dataDxfId="4552"/>
    <tableColumn id="17" xr3:uid="{00000000-0010-0000-6900-000011000000}" name="SB" dataDxfId="4551"/>
    <tableColumn id="18" xr3:uid="{00000000-0010-0000-6900-000012000000}" name="HS" dataDxfId="4550"/>
    <tableColumn id="19" xr3:uid="{00000000-0010-0000-6900-000013000000}" name="LS" dataDxfId="4549"/>
    <tableColumn id="20" xr3:uid="{00000000-0010-0000-6900-000014000000}" name="TB" dataDxfId="4548">
      <calculatedColumnFormula>IFERROR((BH128-BI128-BJ128-BK128)+(BI128*2)+(BJ128*3)+(BK128*4),0)</calculatedColumnFormula>
    </tableColumn>
    <tableColumn id="21" xr3:uid="{00000000-0010-0000-6900-000015000000}" name="OPS" dataDxfId="4547">
      <calculatedColumnFormula>IFERROR(CHW_H198[[#This Row],[OBP]]+CHW_H198[[#This Row],[SLG]],0)</calculatedColumnFormula>
    </tableColumn>
    <tableColumn id="22" xr3:uid="{00000000-0010-0000-6900-000016000000}" name="*" dataDxfId="4546"/>
    <tableColumn id="23" xr3:uid="{00000000-0010-0000-6900-000017000000}" name="#" dataDxfId="4545"/>
  </tableColumns>
  <tableStyleInfo name="TableStyleMedium1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00000000-000C-0000-FFFF-FFFF6A000000}" name="CLE_H199" displayName="CLE_H199" ref="AY3:BU17" totalsRowShown="0" headerRowDxfId="4544" dataDxfId="4542" headerRowBorderDxfId="4543">
  <autoFilter ref="AY3:BU17" xr:uid="{00000000-0009-0000-0100-0000EE000000}"/>
  <sortState xmlns:xlrd2="http://schemas.microsoft.com/office/spreadsheetml/2017/richdata2" ref="AY4:BU17">
    <sortCondition ref="BU3:BU17"/>
  </sortState>
  <tableColumns count="23">
    <tableColumn id="1" xr3:uid="{00000000-0010-0000-6A00-000001000000}" name="TM" dataDxfId="4541"/>
    <tableColumn id="2" xr3:uid="{00000000-0010-0000-6A00-000002000000}" name="@" dataDxfId="4540"/>
    <tableColumn id="3" xr3:uid="{00000000-0010-0000-6A00-000003000000}" name="NAME" dataDxfId="4539"/>
    <tableColumn id="4" xr3:uid="{00000000-0010-0000-6A00-000004000000}" name="BA" dataDxfId="4538">
      <calculatedColumnFormula>IFERROR(CLE_H199[[#This Row],[H]]/CLE_H199[[#This Row],[AB]],0)</calculatedColumnFormula>
    </tableColumn>
    <tableColumn id="5" xr3:uid="{00000000-0010-0000-6A00-000005000000}" name="OBP" dataDxfId="4537">
      <calculatedColumnFormula>IFERROR((CLE_H199[[#This Row],[H]]+CLE_H199[[#This Row],[BB]])/(CLE_H199[[#This Row],[BB]]+CLE_H199[[#This Row],[AB]]),0)</calculatedColumnFormula>
    </tableColumn>
    <tableColumn id="6" xr3:uid="{00000000-0010-0000-6A00-000006000000}" name="SLG" dataDxfId="4536">
      <calculatedColumnFormula>IFERROR(((CLE_H199[[#This Row],[H]]-CLE_H199[[#This Row],[2B]]-CLE_H199[[#This Row],[3B]]-CLE_H199[[#This Row],[HR]])+(CLE_H199[[#This Row],[2B]]*2)+(CLE_H199[[#This Row],[3B]]*3)+(CLE_H199[[#This Row],[HR]]*4))/CLE_H199[[#This Row],[AB]],0)</calculatedColumnFormula>
    </tableColumn>
    <tableColumn id="7" xr3:uid="{00000000-0010-0000-6A00-000007000000}" name="G" dataDxfId="4535"/>
    <tableColumn id="8" xr3:uid="{00000000-0010-0000-6A00-000008000000}" name="AB" dataDxfId="4534"/>
    <tableColumn id="9" xr3:uid="{00000000-0010-0000-6A00-000009000000}" name="R" dataDxfId="4533"/>
    <tableColumn id="10" xr3:uid="{00000000-0010-0000-6A00-00000A000000}" name="H" dataDxfId="4532"/>
    <tableColumn id="11" xr3:uid="{00000000-0010-0000-6A00-00000B000000}" name="2B" dataDxfId="4531"/>
    <tableColumn id="12" xr3:uid="{00000000-0010-0000-6A00-00000C000000}" name="3B" dataDxfId="4530"/>
    <tableColumn id="13" xr3:uid="{00000000-0010-0000-6A00-00000D000000}" name="HR" dataDxfId="4529"/>
    <tableColumn id="14" xr3:uid="{00000000-0010-0000-6A00-00000E000000}" name="RBI" dataDxfId="4528"/>
    <tableColumn id="15" xr3:uid="{00000000-0010-0000-6A00-00000F000000}" name="BB" dataDxfId="4527"/>
    <tableColumn id="16" xr3:uid="{00000000-0010-0000-6A00-000010000000}" name="K" dataDxfId="4526"/>
    <tableColumn id="17" xr3:uid="{00000000-0010-0000-6A00-000011000000}" name="SB" dataDxfId="4525"/>
    <tableColumn id="18" xr3:uid="{00000000-0010-0000-6A00-000012000000}" name="HS" dataDxfId="4524"/>
    <tableColumn id="19" xr3:uid="{00000000-0010-0000-6A00-000013000000}" name="LS" dataDxfId="4523"/>
    <tableColumn id="20" xr3:uid="{00000000-0010-0000-6A00-000014000000}" name="TB" dataDxfId="4522">
      <calculatedColumnFormula>IFERROR((BH4-BI4-BJ4-BK4)+(BI4*2)+(BJ4*3)+(BK4*4),0)</calculatedColumnFormula>
    </tableColumn>
    <tableColumn id="21" xr3:uid="{00000000-0010-0000-6A00-000015000000}" name="OPS" dataDxfId="4521">
      <calculatedColumnFormula>IFERROR(CLE_H199[[#This Row],[OBP]]+CLE_H199[[#This Row],[SLG]],0)</calculatedColumnFormula>
    </tableColumn>
    <tableColumn id="22" xr3:uid="{00000000-0010-0000-6A00-000016000000}" name="*" dataDxfId="4520"/>
    <tableColumn id="23" xr3:uid="{00000000-0010-0000-6A00-000017000000}" name="#" dataDxfId="4519"/>
  </tableColumns>
  <tableStyleInfo name="TableStyleMedium3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0000000-000C-0000-FFFF-FFFF6B000000}" name="CLE_P200" displayName="CLE_P200" ref="AY20:BQ30" totalsRowShown="0" headerRowDxfId="4518" dataDxfId="4516" headerRowBorderDxfId="4517">
  <autoFilter ref="AY20:BQ30" xr:uid="{00000000-0009-0000-0100-0000EF000000}"/>
  <sortState xmlns:xlrd2="http://schemas.microsoft.com/office/spreadsheetml/2017/richdata2" ref="AY21:BQ30">
    <sortCondition ref="BQ20:BQ30"/>
  </sortState>
  <tableColumns count="19">
    <tableColumn id="1" xr3:uid="{00000000-0010-0000-6B00-000001000000}" name="TM" dataDxfId="4515"/>
    <tableColumn id="2" xr3:uid="{00000000-0010-0000-6B00-000002000000}" name="@" dataDxfId="4514"/>
    <tableColumn id="3" xr3:uid="{00000000-0010-0000-6B00-000003000000}" name="NAME" dataDxfId="4513"/>
    <tableColumn id="4" xr3:uid="{00000000-0010-0000-6B00-000004000000}" name="ERA" dataDxfId="4512">
      <calculatedColumnFormula>IFERROR((CLE_P200[[#This Row],[R]]*9)/CLE_P200[[#This Row],[IP]],0)</calculatedColumnFormula>
    </tableColumn>
    <tableColumn id="5" xr3:uid="{00000000-0010-0000-6B00-000005000000}" name="W" dataDxfId="4511"/>
    <tableColumn id="6" xr3:uid="{00000000-0010-0000-6B00-000006000000}" name="L" dataDxfId="4510"/>
    <tableColumn id="7" xr3:uid="{00000000-0010-0000-6B00-000007000000}" name="G" dataDxfId="4509"/>
    <tableColumn id="8" xr3:uid="{00000000-0010-0000-6B00-000008000000}" name="IP" dataDxfId="4508"/>
    <tableColumn id="9" xr3:uid="{00000000-0010-0000-6B00-000009000000}" name="H" dataDxfId="4507"/>
    <tableColumn id="10" xr3:uid="{00000000-0010-0000-6B00-00000A000000}" name="R" dataDxfId="4506"/>
    <tableColumn id="11" xr3:uid="{00000000-0010-0000-6B00-00000B000000}" name="BB" dataDxfId="4505"/>
    <tableColumn id="12" xr3:uid="{00000000-0010-0000-6B00-00000C000000}" name="K" dataDxfId="4504"/>
    <tableColumn id="13" xr3:uid="{00000000-0010-0000-6B00-00000D000000}" name="SV" dataDxfId="4503"/>
    <tableColumn id="14" xr3:uid="{00000000-0010-0000-6B00-00000E000000}" name="WH" dataDxfId="4502">
      <calculatedColumnFormula>IFERROR((CLE_P200[[#This Row],[BB]]+CLE_P200[[#This Row],[H]])/CLE_P200[[#This Row],[IP]],0)</calculatedColumnFormula>
    </tableColumn>
    <tableColumn id="15" xr3:uid="{00000000-0010-0000-6B00-00000F000000}" name="QS" dataDxfId="4501"/>
    <tableColumn id="16" xr3:uid="{00000000-0010-0000-6B00-000010000000}" name="UQ" dataDxfId="4500"/>
    <tableColumn id="17" xr3:uid="{00000000-0010-0000-6B00-000011000000}" name="CG" dataDxfId="4499"/>
    <tableColumn id="18" xr3:uid="{00000000-0010-0000-6B00-000012000000}" name="SH" dataDxfId="4498"/>
    <tableColumn id="19" xr3:uid="{00000000-0010-0000-6B00-000013000000}" name="#" dataDxfId="4497"/>
  </tableColumns>
  <tableStyleInfo name="TableStyleMedium3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6C000000}" name="KCR_H201" displayName="KCR_H201" ref="AY96:BU110" totalsRowShown="0" headerRowDxfId="4496" dataDxfId="4494" headerRowBorderDxfId="4495">
  <autoFilter ref="AY96:BU110" xr:uid="{00000000-0009-0000-0100-0000F0000000}"/>
  <sortState xmlns:xlrd2="http://schemas.microsoft.com/office/spreadsheetml/2017/richdata2" ref="AY97:BU110">
    <sortCondition descending="1" ref="BR96:BR110"/>
  </sortState>
  <tableColumns count="23">
    <tableColumn id="1" xr3:uid="{00000000-0010-0000-6C00-000001000000}" name="TM" dataDxfId="4493"/>
    <tableColumn id="2" xr3:uid="{00000000-0010-0000-6C00-000002000000}" name="@" dataDxfId="4492"/>
    <tableColumn id="3" xr3:uid="{00000000-0010-0000-6C00-000003000000}" name="NAME" dataDxfId="4491"/>
    <tableColumn id="4" xr3:uid="{00000000-0010-0000-6C00-000004000000}" name="BA" dataDxfId="4490">
      <calculatedColumnFormula>IFERROR(KCR_H201[[#This Row],[H]]/KCR_H201[[#This Row],[AB]],0)</calculatedColumnFormula>
    </tableColumn>
    <tableColumn id="5" xr3:uid="{00000000-0010-0000-6C00-000005000000}" name="OBP" dataDxfId="4489">
      <calculatedColumnFormula>IFERROR((KCR_H201[[#This Row],[BB]]+KCR_H201[[#This Row],[H]])/(KCR_H201[[#This Row],[AB]]+KCR_H201[[#This Row],[BB]]),0)</calculatedColumnFormula>
    </tableColumn>
    <tableColumn id="6" xr3:uid="{00000000-0010-0000-6C00-000006000000}" name="SLG" dataDxfId="4488">
      <calculatedColumnFormula>IFERROR(((KCR_H201[[#This Row],[H]]-KCR_H201[[#This Row],[2B]]-KCR_H201[[#This Row],[3B]]-KCR_H201[[#This Row],[HR]])+(KCR_H201[[#This Row],[2B]]*2)+(KCR_H201[[#This Row],[3B]]*3)+(KCR_H201[[#This Row],[HR]]*4))/KCR_H201[[#This Row],[AB]],0)</calculatedColumnFormula>
    </tableColumn>
    <tableColumn id="7" xr3:uid="{00000000-0010-0000-6C00-000007000000}" name="G" dataDxfId="4487"/>
    <tableColumn id="8" xr3:uid="{00000000-0010-0000-6C00-000008000000}" name="AB" dataDxfId="4486"/>
    <tableColumn id="9" xr3:uid="{00000000-0010-0000-6C00-000009000000}" name="R" dataDxfId="4485"/>
    <tableColumn id="10" xr3:uid="{00000000-0010-0000-6C00-00000A000000}" name="H" dataDxfId="4484"/>
    <tableColumn id="11" xr3:uid="{00000000-0010-0000-6C00-00000B000000}" name="2B" dataDxfId="4483"/>
    <tableColumn id="12" xr3:uid="{00000000-0010-0000-6C00-00000C000000}" name="3B" dataDxfId="4482"/>
    <tableColumn id="13" xr3:uid="{00000000-0010-0000-6C00-00000D000000}" name="HR" dataDxfId="4481"/>
    <tableColumn id="14" xr3:uid="{00000000-0010-0000-6C00-00000E000000}" name="RBI" dataDxfId="4480"/>
    <tableColumn id="15" xr3:uid="{00000000-0010-0000-6C00-00000F000000}" name="BB" dataDxfId="4479"/>
    <tableColumn id="16" xr3:uid="{00000000-0010-0000-6C00-000010000000}" name="K" dataDxfId="4478"/>
    <tableColumn id="17" xr3:uid="{00000000-0010-0000-6C00-000011000000}" name="SB" dataDxfId="4477"/>
    <tableColumn id="18" xr3:uid="{00000000-0010-0000-6C00-000012000000}" name="HS" dataDxfId="4476"/>
    <tableColumn id="19" xr3:uid="{00000000-0010-0000-6C00-000013000000}" name="LS" dataDxfId="4475"/>
    <tableColumn id="20" xr3:uid="{00000000-0010-0000-6C00-000014000000}" name="TB" dataDxfId="4474">
      <calculatedColumnFormula>IFERROR((BH97-BI97-BJ97-BK97)+(BI97*2)+(BJ97*3)+(BK97*4),0)</calculatedColumnFormula>
    </tableColumn>
    <tableColumn id="21" xr3:uid="{00000000-0010-0000-6C00-000015000000}" name="OPS" dataDxfId="4473">
      <calculatedColumnFormula>IFERROR(KCR_H201[[#This Row],[SLG]]+KCR_H201[[#This Row],[OBP]],0)</calculatedColumnFormula>
    </tableColumn>
    <tableColumn id="22" xr3:uid="{00000000-0010-0000-6C00-000016000000}" name="*" dataDxfId="4472"/>
    <tableColumn id="23" xr3:uid="{00000000-0010-0000-6C00-000017000000}" name="#" dataDxfId="4471"/>
  </tableColumns>
  <tableStyleInfo name="TableStyleMedium5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00000000-000C-0000-FFFF-FFFF6D000000}" name="KCR_P202" displayName="KCR_P202" ref="AY113:BQ123" totalsRowShown="0" headerRowDxfId="4470" dataDxfId="4468" headerRowBorderDxfId="4469">
  <autoFilter ref="AY113:BQ123" xr:uid="{00000000-0009-0000-0100-0000F1000000}"/>
  <sortState xmlns:xlrd2="http://schemas.microsoft.com/office/spreadsheetml/2017/richdata2" ref="AY114:BQ123">
    <sortCondition ref="BQ113:BQ123"/>
  </sortState>
  <tableColumns count="19">
    <tableColumn id="1" xr3:uid="{00000000-0010-0000-6D00-000001000000}" name="TM" dataDxfId="4467"/>
    <tableColumn id="2" xr3:uid="{00000000-0010-0000-6D00-000002000000}" name="@" dataDxfId="4466"/>
    <tableColumn id="3" xr3:uid="{00000000-0010-0000-6D00-000003000000}" name="NAME" dataDxfId="4465"/>
    <tableColumn id="4" xr3:uid="{00000000-0010-0000-6D00-000004000000}" name="ERA" dataDxfId="4464">
      <calculatedColumnFormula>IFERROR((KCR_P202[[#This Row],[R]]*9)/KCR_P202[[#This Row],[IP]],0)</calculatedColumnFormula>
    </tableColumn>
    <tableColumn id="5" xr3:uid="{00000000-0010-0000-6D00-000005000000}" name="W" dataDxfId="4463"/>
    <tableColumn id="6" xr3:uid="{00000000-0010-0000-6D00-000006000000}" name="L" dataDxfId="4462"/>
    <tableColumn id="7" xr3:uid="{00000000-0010-0000-6D00-000007000000}" name="G" dataDxfId="4461"/>
    <tableColumn id="8" xr3:uid="{00000000-0010-0000-6D00-000008000000}" name="IP" dataDxfId="4460"/>
    <tableColumn id="9" xr3:uid="{00000000-0010-0000-6D00-000009000000}" name="H" dataDxfId="4459"/>
    <tableColumn id="10" xr3:uid="{00000000-0010-0000-6D00-00000A000000}" name="R" dataDxfId="4458"/>
    <tableColumn id="11" xr3:uid="{00000000-0010-0000-6D00-00000B000000}" name="BB" dataDxfId="4457"/>
    <tableColumn id="12" xr3:uid="{00000000-0010-0000-6D00-00000C000000}" name="K" dataDxfId="4456"/>
    <tableColumn id="13" xr3:uid="{00000000-0010-0000-6D00-00000D000000}" name="SV" dataDxfId="4455"/>
    <tableColumn id="14" xr3:uid="{00000000-0010-0000-6D00-00000E000000}" name="WH" dataDxfId="4454">
      <calculatedColumnFormula>IFERROR((KCR_P202[[#This Row],[H]]+KCR_P202[[#This Row],[BB]])/KCR_P202[[#This Row],[IP]],0)</calculatedColumnFormula>
    </tableColumn>
    <tableColumn id="15" xr3:uid="{00000000-0010-0000-6D00-00000F000000}" name="QS" dataDxfId="4453"/>
    <tableColumn id="16" xr3:uid="{00000000-0010-0000-6D00-000010000000}" name="UQ" dataDxfId="4452"/>
    <tableColumn id="17" xr3:uid="{00000000-0010-0000-6D00-000011000000}" name="CG" dataDxfId="4451"/>
    <tableColumn id="18" xr3:uid="{00000000-0010-0000-6D00-000012000000}" name="SH" dataDxfId="4450"/>
    <tableColumn id="19" xr3:uid="{00000000-0010-0000-6D00-000013000000}" name="#" dataDxfId="4449"/>
  </tableColumns>
  <tableStyleInfo name="TableStyleMedium5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00000000-000C-0000-FFFF-FFFF6E000000}" name="Table104" displayName="Table104" ref="AY159:BU173" totalsRowShown="0" headerRowDxfId="4448" headerRowBorderDxfId="4447">
  <autoFilter ref="AY159:BU173" xr:uid="{00000000-0009-0000-0100-0000F2000000}"/>
  <sortState xmlns:xlrd2="http://schemas.microsoft.com/office/spreadsheetml/2017/richdata2" ref="AY160:BU173">
    <sortCondition descending="1" ref="BR159:BR173"/>
  </sortState>
  <tableColumns count="23">
    <tableColumn id="1" xr3:uid="{00000000-0010-0000-6E00-000001000000}" name="TM" dataDxfId="4446"/>
    <tableColumn id="2" xr3:uid="{00000000-0010-0000-6E00-000002000000}" name="@" dataDxfId="4445"/>
    <tableColumn id="3" xr3:uid="{00000000-0010-0000-6E00-000003000000}" name="NAME" dataDxfId="4444"/>
    <tableColumn id="4" xr3:uid="{00000000-0010-0000-6E00-000004000000}" name="BA" dataDxfId="4443">
      <calculatedColumnFormula>IFERROR(Table104[[#This Row],[H]]/Table104[[#This Row],[AB]],0)</calculatedColumnFormula>
    </tableColumn>
    <tableColumn id="5" xr3:uid="{00000000-0010-0000-6E00-000005000000}" name="OBP" dataDxfId="4442">
      <calculatedColumnFormula>IFERROR((Table104[[#This Row],[H]]+Table104[[#This Row],[BB]])/(Table104[[#This Row],[BB]]+Table104[[#This Row],[AB]]),0)</calculatedColumnFormula>
    </tableColumn>
    <tableColumn id="6" xr3:uid="{00000000-0010-0000-6E00-000006000000}" name="SLG" dataDxfId="4441">
      <calculatedColumnFormula>IFERROR(((Table104[[#This Row],[H]]-Table104[[#This Row],[2B]]-Table104[[#This Row],[3B]]-Table104[[#This Row],[HR]])+(Table104[[#This Row],[2B]]*2)+(Table104[[#This Row],[3B]]*3)+(Table104[[#This Row],[HR]]*4))/Table104[[#This Row],[AB]],0)</calculatedColumnFormula>
    </tableColumn>
    <tableColumn id="7" xr3:uid="{00000000-0010-0000-6E00-000007000000}" name="G" dataDxfId="4440"/>
    <tableColumn id="8" xr3:uid="{00000000-0010-0000-6E00-000008000000}" name="AB" dataDxfId="4439"/>
    <tableColumn id="9" xr3:uid="{00000000-0010-0000-6E00-000009000000}" name="R" dataDxfId="4438"/>
    <tableColumn id="10" xr3:uid="{00000000-0010-0000-6E00-00000A000000}" name="H" dataDxfId="4437"/>
    <tableColumn id="11" xr3:uid="{00000000-0010-0000-6E00-00000B000000}" name="2B" dataDxfId="4436"/>
    <tableColumn id="12" xr3:uid="{00000000-0010-0000-6E00-00000C000000}" name="3B" dataDxfId="4435"/>
    <tableColumn id="13" xr3:uid="{00000000-0010-0000-6E00-00000D000000}" name="HR" dataDxfId="4434"/>
    <tableColumn id="14" xr3:uid="{00000000-0010-0000-6E00-00000E000000}" name="RBI" dataDxfId="4433"/>
    <tableColumn id="15" xr3:uid="{00000000-0010-0000-6E00-00000F000000}" name="BB" dataDxfId="4432"/>
    <tableColumn id="16" xr3:uid="{00000000-0010-0000-6E00-000010000000}" name="K" dataDxfId="4431"/>
    <tableColumn id="17" xr3:uid="{00000000-0010-0000-6E00-000011000000}" name="SB" dataDxfId="4430"/>
    <tableColumn id="18" xr3:uid="{00000000-0010-0000-6E00-000012000000}" name="HS" dataDxfId="4429"/>
    <tableColumn id="19" xr3:uid="{00000000-0010-0000-6E00-000013000000}" name="LS" dataDxfId="4428"/>
    <tableColumn id="20" xr3:uid="{00000000-0010-0000-6E00-000014000000}" name="TB" dataDxfId="4427">
      <calculatedColumnFormula>IFERROR((BH160-BI160-BJ160-BK160)+(BI160*2)+(BJ160*3)+(BK160*4),0)</calculatedColumnFormula>
    </tableColumn>
    <tableColumn id="21" xr3:uid="{00000000-0010-0000-6E00-000015000000}" name="OPS" dataDxfId="4426">
      <calculatedColumnFormula>IFERROR(Table104[[#This Row],[SLG]]+Table104[[#This Row],[OBP]],0)</calculatedColumnFormula>
    </tableColumn>
    <tableColumn id="22" xr3:uid="{00000000-0010-0000-6E00-000016000000}" name="*" dataDxfId="4425"/>
    <tableColumn id="23" xr3:uid="{00000000-0010-0000-6E00-000017000000}" name="#" dataDxfId="4424"/>
  </tableColumns>
  <tableStyleInfo name="TableStyleMedium1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00000000-000C-0000-FFFF-FFFF6F000000}" name="Table105" displayName="Table105" ref="AY176:BQ186" totalsRowShown="0" headerRowDxfId="4423" headerRowBorderDxfId="4422">
  <autoFilter ref="AY176:BQ186" xr:uid="{00000000-0009-0000-0100-0000F3000000}"/>
  <sortState xmlns:xlrd2="http://schemas.microsoft.com/office/spreadsheetml/2017/richdata2" ref="AY177:BQ186">
    <sortCondition ref="BQ176:BQ186"/>
  </sortState>
  <tableColumns count="19">
    <tableColumn id="1" xr3:uid="{00000000-0010-0000-6F00-000001000000}" name="TM" dataDxfId="4421"/>
    <tableColumn id="2" xr3:uid="{00000000-0010-0000-6F00-000002000000}" name="@" dataDxfId="4420"/>
    <tableColumn id="3" xr3:uid="{00000000-0010-0000-6F00-000003000000}" name="NAME" dataDxfId="4419"/>
    <tableColumn id="4" xr3:uid="{00000000-0010-0000-6F00-000004000000}" name="ERA" dataDxfId="4418">
      <calculatedColumnFormula>IFERROR(Table105[[#This Row],[R]]*9/Table105[[#This Row],[IP]],0)</calculatedColumnFormula>
    </tableColumn>
    <tableColumn id="5" xr3:uid="{00000000-0010-0000-6F00-000005000000}" name="W" dataDxfId="4417"/>
    <tableColumn id="6" xr3:uid="{00000000-0010-0000-6F00-000006000000}" name="L" dataDxfId="4416"/>
    <tableColumn id="7" xr3:uid="{00000000-0010-0000-6F00-000007000000}" name="G" dataDxfId="4415"/>
    <tableColumn id="8" xr3:uid="{00000000-0010-0000-6F00-000008000000}" name="IP" dataDxfId="4414"/>
    <tableColumn id="9" xr3:uid="{00000000-0010-0000-6F00-000009000000}" name="H" dataDxfId="4413"/>
    <tableColumn id="10" xr3:uid="{00000000-0010-0000-6F00-00000A000000}" name="R" dataDxfId="4412"/>
    <tableColumn id="11" xr3:uid="{00000000-0010-0000-6F00-00000B000000}" name="BB" dataDxfId="4411"/>
    <tableColumn id="12" xr3:uid="{00000000-0010-0000-6F00-00000C000000}" name="K" dataDxfId="4410"/>
    <tableColumn id="13" xr3:uid="{00000000-0010-0000-6F00-00000D000000}" name="SV" dataDxfId="4409"/>
    <tableColumn id="14" xr3:uid="{00000000-0010-0000-6F00-00000E000000}" name="WH" dataDxfId="4408">
      <calculatedColumnFormula>IFERROR((Table105[[#This Row],[BB]]+Table105[[#This Row],[H]])/Table105[[#This Row],[IP]],0)</calculatedColumnFormula>
    </tableColumn>
    <tableColumn id="15" xr3:uid="{00000000-0010-0000-6F00-00000F000000}" name="QS" dataDxfId="4407"/>
    <tableColumn id="16" xr3:uid="{00000000-0010-0000-6F00-000010000000}" name="UQ" dataDxfId="4406"/>
    <tableColumn id="17" xr3:uid="{00000000-0010-0000-6F00-000011000000}" name="CG" dataDxfId="4405"/>
    <tableColumn id="18" xr3:uid="{00000000-0010-0000-6F00-000012000000}" name="SH" dataDxfId="4404"/>
    <tableColumn id="19" xr3:uid="{00000000-0010-0000-6F00-000013000000}" name="#" dataDxfId="4403"/>
  </tableColumns>
  <tableStyleInfo name="TableStyleMedium1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0000000-000C-0000-FFFF-FFFF70000000}" name="CLE_H63" displayName="CLE_H63" ref="AY190:BU204" totalsRowShown="0" headerRowDxfId="4402" dataDxfId="4400" headerRowBorderDxfId="4401">
  <autoFilter ref="AY190:BU204" xr:uid="{00000000-0009-0000-0100-0000F4000000}"/>
  <sortState xmlns:xlrd2="http://schemas.microsoft.com/office/spreadsheetml/2017/richdata2" ref="AY191:BU204">
    <sortCondition ref="BU190:BU204"/>
  </sortState>
  <tableColumns count="23">
    <tableColumn id="1" xr3:uid="{00000000-0010-0000-7000-000001000000}" name="TM" dataDxfId="4399"/>
    <tableColumn id="2" xr3:uid="{00000000-0010-0000-7000-000002000000}" name="@" dataDxfId="4398"/>
    <tableColumn id="3" xr3:uid="{00000000-0010-0000-7000-000003000000}" name="NAME" dataDxfId="4397"/>
    <tableColumn id="4" xr3:uid="{00000000-0010-0000-7000-000004000000}" name="BA" dataDxfId="4396">
      <calculatedColumnFormula>IFERROR(CLE_H63[[#This Row],[H]]/CLE_H63[[#This Row],[AB]],0)</calculatedColumnFormula>
    </tableColumn>
    <tableColumn id="5" xr3:uid="{00000000-0010-0000-7000-000005000000}" name="OBP" dataDxfId="4395">
      <calculatedColumnFormula>IFERROR((CLE_H63[[#This Row],[H]]+CLE_H63[[#This Row],[BB]])/(CLE_H63[[#This Row],[BB]]+CLE_H63[[#This Row],[AB]]),0)</calculatedColumnFormula>
    </tableColumn>
    <tableColumn id="6" xr3:uid="{00000000-0010-0000-7000-000006000000}" name="SLG" dataDxfId="4394">
      <calculatedColumnFormula>IFERROR(((CLE_H63[[#This Row],[H]]-CLE_H63[[#This Row],[2B]]-CLE_H63[[#This Row],[3B]]-CLE_H63[[#This Row],[HR]])+(CLE_H63[[#This Row],[2B]]*2)+(CLE_H63[[#This Row],[3B]]*3)+(CLE_H63[[#This Row],[HR]]*4))/CLE_H63[[#This Row],[AB]],0)</calculatedColumnFormula>
    </tableColumn>
    <tableColumn id="7" xr3:uid="{00000000-0010-0000-7000-000007000000}" name="G" dataDxfId="4393"/>
    <tableColumn id="8" xr3:uid="{00000000-0010-0000-7000-000008000000}" name="AB" dataDxfId="4392"/>
    <tableColumn id="9" xr3:uid="{00000000-0010-0000-7000-000009000000}" name="R" dataDxfId="4391"/>
    <tableColumn id="10" xr3:uid="{00000000-0010-0000-7000-00000A000000}" name="H" dataDxfId="4390"/>
    <tableColumn id="11" xr3:uid="{00000000-0010-0000-7000-00000B000000}" name="2B" dataDxfId="4389"/>
    <tableColumn id="12" xr3:uid="{00000000-0010-0000-7000-00000C000000}" name="3B" dataDxfId="4388"/>
    <tableColumn id="13" xr3:uid="{00000000-0010-0000-7000-00000D000000}" name="HR" dataDxfId="4387"/>
    <tableColumn id="14" xr3:uid="{00000000-0010-0000-7000-00000E000000}" name="RBI" dataDxfId="4386"/>
    <tableColumn id="15" xr3:uid="{00000000-0010-0000-7000-00000F000000}" name="BB" dataDxfId="4385"/>
    <tableColumn id="16" xr3:uid="{00000000-0010-0000-7000-000010000000}" name="K" dataDxfId="4384"/>
    <tableColumn id="17" xr3:uid="{00000000-0010-0000-7000-000011000000}" name="SB" dataDxfId="4383"/>
    <tableColumn id="18" xr3:uid="{00000000-0010-0000-7000-000012000000}" name="HS" dataDxfId="4382"/>
    <tableColumn id="19" xr3:uid="{00000000-0010-0000-7000-000013000000}" name="LS" dataDxfId="4381"/>
    <tableColumn id="20" xr3:uid="{00000000-0010-0000-7000-000014000000}" name="TB" dataDxfId="4380">
      <calculatedColumnFormula>IFERROR((BH191-BI191-BJ191-BK191)+(BI191*2)+(BJ191*3)+(BK191*4),0)</calculatedColumnFormula>
    </tableColumn>
    <tableColumn id="21" xr3:uid="{00000000-0010-0000-7000-000015000000}" name="OPS" dataDxfId="4379">
      <calculatedColumnFormula>IFERROR(CLE_H63[[#This Row],[OBP]]+CLE_H63[[#This Row],[SLG]],0)</calculatedColumnFormula>
    </tableColumn>
    <tableColumn id="22" xr3:uid="{00000000-0010-0000-7000-000016000000}" name="*" dataDxfId="4378"/>
    <tableColumn id="23" xr3:uid="{00000000-0010-0000-7000-000017000000}" name="#" dataDxfId="4377"/>
  </tableColumns>
  <tableStyleInfo name="TableStyleMedium3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00000000-000C-0000-FFFF-FFFF71000000}" name="CLE_P64" displayName="CLE_P64" ref="AY207:BQ217" totalsRowShown="0" headerRowDxfId="4376" dataDxfId="4374" headerRowBorderDxfId="4375">
  <autoFilter ref="AY207:BQ217" xr:uid="{00000000-0009-0000-0100-0000F5000000}"/>
  <sortState xmlns:xlrd2="http://schemas.microsoft.com/office/spreadsheetml/2017/richdata2" ref="AY208:BQ217">
    <sortCondition ref="BQ113:BQ123"/>
  </sortState>
  <tableColumns count="19">
    <tableColumn id="1" xr3:uid="{00000000-0010-0000-7100-000001000000}" name="TM" dataDxfId="4373"/>
    <tableColumn id="2" xr3:uid="{00000000-0010-0000-7100-000002000000}" name="@" dataDxfId="4372"/>
    <tableColumn id="3" xr3:uid="{00000000-0010-0000-7100-000003000000}" name="NAME" dataDxfId="4371"/>
    <tableColumn id="4" xr3:uid="{00000000-0010-0000-7100-000004000000}" name="ERA" dataDxfId="4370">
      <calculatedColumnFormula>IFERROR((CLE_P64[[#This Row],[R]]*9)/CLE_P64[[#This Row],[IP]],0)</calculatedColumnFormula>
    </tableColumn>
    <tableColumn id="5" xr3:uid="{00000000-0010-0000-7100-000005000000}" name="W" dataDxfId="4369"/>
    <tableColumn id="6" xr3:uid="{00000000-0010-0000-7100-000006000000}" name="L" dataDxfId="4368"/>
    <tableColumn id="7" xr3:uid="{00000000-0010-0000-7100-000007000000}" name="G" dataDxfId="4367"/>
    <tableColumn id="8" xr3:uid="{00000000-0010-0000-7100-000008000000}" name="IP" dataDxfId="4366"/>
    <tableColumn id="9" xr3:uid="{00000000-0010-0000-7100-000009000000}" name="H" dataDxfId="4365"/>
    <tableColumn id="10" xr3:uid="{00000000-0010-0000-7100-00000A000000}" name="R" dataDxfId="4364"/>
    <tableColumn id="11" xr3:uid="{00000000-0010-0000-7100-00000B000000}" name="BB" dataDxfId="4363"/>
    <tableColumn id="12" xr3:uid="{00000000-0010-0000-7100-00000C000000}" name="K" dataDxfId="4362"/>
    <tableColumn id="13" xr3:uid="{00000000-0010-0000-7100-00000D000000}" name="SV" dataDxfId="4361"/>
    <tableColumn id="14" xr3:uid="{00000000-0010-0000-7100-00000E000000}" name="WH" dataDxfId="4360">
      <calculatedColumnFormula>IFERROR((CLE_P64[[#This Row],[BB]]+CLE_P64[[#This Row],[H]])/CLE_P64[[#This Row],[IP]],0)</calculatedColumnFormula>
    </tableColumn>
    <tableColumn id="15" xr3:uid="{00000000-0010-0000-7100-00000F000000}" name="QS" dataDxfId="4359"/>
    <tableColumn id="16" xr3:uid="{00000000-0010-0000-7100-000010000000}" name="UQ" dataDxfId="4358"/>
    <tableColumn id="17" xr3:uid="{00000000-0010-0000-7100-000011000000}" name="CG" dataDxfId="4357"/>
    <tableColumn id="18" xr3:uid="{00000000-0010-0000-7100-000012000000}" name="SH" dataDxfId="4356"/>
    <tableColumn id="19" xr3:uid="{00000000-0010-0000-7100-000013000000}" name="#" dataDxfId="4355"/>
  </tableColumns>
  <tableStyleInfo name="TableStyleMedium3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00000000-000C-0000-FFFF-FFFF72000000}" name="DET_H99207" displayName="DET_H99207" ref="AY65:BU79" totalsRowShown="0" headerRowDxfId="4354" dataDxfId="4352" headerRowBorderDxfId="4353">
  <autoFilter ref="AY65:BU79" xr:uid="{00000000-0009-0000-0100-0000F6000000}"/>
  <sortState xmlns:xlrd2="http://schemas.microsoft.com/office/spreadsheetml/2017/richdata2" ref="AY66:BU79">
    <sortCondition descending="1" ref="BR65:BR79"/>
  </sortState>
  <tableColumns count="23">
    <tableColumn id="1" xr3:uid="{00000000-0010-0000-7200-000001000000}" name="TM" dataDxfId="4351"/>
    <tableColumn id="2" xr3:uid="{00000000-0010-0000-7200-000002000000}" name="@" dataDxfId="4350"/>
    <tableColumn id="3" xr3:uid="{00000000-0010-0000-7200-000003000000}" name="NAME" dataDxfId="4349"/>
    <tableColumn id="4" xr3:uid="{00000000-0010-0000-7200-000004000000}" name="BA" dataDxfId="4348">
      <calculatedColumnFormula>IFERROR(DET_H99207[[#This Row],[H]]/DET_H99207[[#This Row],[AB]],0)</calculatedColumnFormula>
    </tableColumn>
    <tableColumn id="5" xr3:uid="{00000000-0010-0000-7200-000005000000}" name="OBP" dataDxfId="4347">
      <calculatedColumnFormula>IFERROR((DET_H99207[[#This Row],[BB]]+DET_H99207[[#This Row],[H]])/(DET_H99207[[#This Row],[AB]]+DET_H99207[[#This Row],[BB]]),0)</calculatedColumnFormula>
    </tableColumn>
    <tableColumn id="6" xr3:uid="{00000000-0010-0000-7200-000006000000}" name="SLG" dataDxfId="4346">
      <calculatedColumnFormula>IFERROR(((DET_H99207[[#This Row],[H]]-DET_H99207[[#This Row],[2B]]-DET_H99207[[#This Row],[3B]]-DET_H99207[[#This Row],[HR]])+(DET_H99207[[#This Row],[2B]]*2)+(DET_H99207[[#This Row],[3B]]*3)+(DET_H99207[[#This Row],[HR]]*4))/DET_H99207[[#This Row],[AB]],0)</calculatedColumnFormula>
    </tableColumn>
    <tableColumn id="7" xr3:uid="{00000000-0010-0000-7200-000007000000}" name="G" dataDxfId="4345"/>
    <tableColumn id="8" xr3:uid="{00000000-0010-0000-7200-000008000000}" name="AB" dataDxfId="4344"/>
    <tableColumn id="9" xr3:uid="{00000000-0010-0000-7200-000009000000}" name="R" dataDxfId="4343"/>
    <tableColumn id="10" xr3:uid="{00000000-0010-0000-7200-00000A000000}" name="H" dataDxfId="4342"/>
    <tableColumn id="11" xr3:uid="{00000000-0010-0000-7200-00000B000000}" name="2B" dataDxfId="4341"/>
    <tableColumn id="12" xr3:uid="{00000000-0010-0000-7200-00000C000000}" name="3B" dataDxfId="4340"/>
    <tableColumn id="13" xr3:uid="{00000000-0010-0000-7200-00000D000000}" name="HR" dataDxfId="4339"/>
    <tableColumn id="14" xr3:uid="{00000000-0010-0000-7200-00000E000000}" name="RBI" dataDxfId="4338"/>
    <tableColumn id="15" xr3:uid="{00000000-0010-0000-7200-00000F000000}" name="BB" dataDxfId="4337"/>
    <tableColumn id="16" xr3:uid="{00000000-0010-0000-7200-000010000000}" name="K" dataDxfId="4336"/>
    <tableColumn id="17" xr3:uid="{00000000-0010-0000-7200-000011000000}" name="SB" dataDxfId="4335"/>
    <tableColumn id="18" xr3:uid="{00000000-0010-0000-7200-000012000000}" name="HS" dataDxfId="4334"/>
    <tableColumn id="19" xr3:uid="{00000000-0010-0000-7200-000013000000}" name="LS" dataDxfId="4333"/>
    <tableColumn id="20" xr3:uid="{00000000-0010-0000-7200-000014000000}" name="TB" dataDxfId="4332">
      <calculatedColumnFormula>IFERROR(((BH66-BI66-BJ66-BK66)+(BI66*2)+(BJ66*3)+(BK66*4)),0)</calculatedColumnFormula>
    </tableColumn>
    <tableColumn id="21" xr3:uid="{00000000-0010-0000-7200-000015000000}" name="OPS" dataDxfId="4331">
      <calculatedColumnFormula>IFERROR(DET_H99207[[#This Row],[OBP]]+DET_H99207[[#This Row],[SLG]],0)</calculatedColumnFormula>
    </tableColumn>
    <tableColumn id="22" xr3:uid="{00000000-0010-0000-7200-000016000000}" name="*" dataDxfId="4330"/>
    <tableColumn id="23" xr3:uid="{00000000-0010-0000-7200-000017000000}" name="#" dataDxfId="4329"/>
  </tableColumns>
  <tableStyleInfo name="TableStyleMedium3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73000000}" name="CLE_H74" displayName="CLE_H74" ref="A159:W173" totalsRowShown="0" headerRowDxfId="4328" dataDxfId="4326" headerRowBorderDxfId="4327">
  <autoFilter ref="A159:W173" xr:uid="{00000000-0009-0000-0100-000049000000}"/>
  <sortState xmlns:xlrd2="http://schemas.microsoft.com/office/spreadsheetml/2017/richdata2" ref="A160:W173">
    <sortCondition descending="1" ref="T159:T173"/>
  </sortState>
  <tableColumns count="23">
    <tableColumn id="1" xr3:uid="{00000000-0010-0000-7300-000001000000}" name="TM" dataDxfId="4325"/>
    <tableColumn id="2" xr3:uid="{00000000-0010-0000-7300-000002000000}" name="@" dataDxfId="4324"/>
    <tableColumn id="3" xr3:uid="{00000000-0010-0000-7300-000003000000}" name="NAME" dataDxfId="4323"/>
    <tableColumn id="4" xr3:uid="{00000000-0010-0000-7300-000004000000}" name="BA" dataDxfId="4322">
      <calculatedColumnFormula>IFERROR((CLE_H74[[#This Row],[H]]/CLE_H74[[#This Row],[AB]]),0)</calculatedColumnFormula>
    </tableColumn>
    <tableColumn id="5" xr3:uid="{00000000-0010-0000-7300-000005000000}" name="OBP" dataDxfId="4321">
      <calculatedColumnFormula>IFERROR((CLE_H74[[#This Row],[H]]+CLE_H74[[#This Row],[BB]])/(CLE_H74[[#This Row],[BB]]+CLE_H74[[#This Row],[AB]]),0)</calculatedColumnFormula>
    </tableColumn>
    <tableColumn id="6" xr3:uid="{00000000-0010-0000-7300-000006000000}" name="SLG" dataDxfId="4320">
      <calculatedColumnFormula>IFERROR(((CLE_H74[[#This Row],[H]]-CLE_H74[[#This Row],[2B]]-CLE_H74[[#This Row],[3B]]-CLE_H74[[#This Row],[HR]])+(CLE_H74[[#This Row],[2B]]*2)+(CLE_H74[[#This Row],[3B]]*3)+(CLE_H74[[#This Row],[HR]]*4))/CLE_H74[[#This Row],[AB]],0)</calculatedColumnFormula>
    </tableColumn>
    <tableColumn id="7" xr3:uid="{00000000-0010-0000-7300-000007000000}" name="G" dataDxfId="4319"/>
    <tableColumn id="8" xr3:uid="{00000000-0010-0000-7300-000008000000}" name="AB" dataDxfId="4318"/>
    <tableColumn id="9" xr3:uid="{00000000-0010-0000-7300-000009000000}" name="R" dataDxfId="4317"/>
    <tableColumn id="10" xr3:uid="{00000000-0010-0000-7300-00000A000000}" name="H" dataDxfId="4316"/>
    <tableColumn id="11" xr3:uid="{00000000-0010-0000-7300-00000B000000}" name="2B" dataDxfId="4315"/>
    <tableColumn id="12" xr3:uid="{00000000-0010-0000-7300-00000C000000}" name="3B" dataDxfId="4314"/>
    <tableColumn id="13" xr3:uid="{00000000-0010-0000-7300-00000D000000}" name="HR" dataDxfId="4313"/>
    <tableColumn id="14" xr3:uid="{00000000-0010-0000-7300-00000E000000}" name="RBI" dataDxfId="4312"/>
    <tableColumn id="15" xr3:uid="{00000000-0010-0000-7300-00000F000000}" name="BB" dataDxfId="4311"/>
    <tableColumn id="16" xr3:uid="{00000000-0010-0000-7300-000010000000}" name="K" dataDxfId="4310"/>
    <tableColumn id="17" xr3:uid="{00000000-0010-0000-7300-000011000000}" name="SB" dataDxfId="4309"/>
    <tableColumn id="18" xr3:uid="{00000000-0010-0000-7300-000012000000}" name="HS" dataDxfId="4308"/>
    <tableColumn id="19" xr3:uid="{00000000-0010-0000-7300-000013000000}" name="LS" dataDxfId="4307"/>
    <tableColumn id="20" xr3:uid="{00000000-0010-0000-7300-000014000000}" name="TB" dataDxfId="4306">
      <calculatedColumnFormula>IFERROR((CLE_H74[[#This Row],[H]]-CLE_H74[[#This Row],[2B]]-CLE_H74[[#This Row],[3B]]-CLE_H74[[#This Row],[HR]])+(CLE_H74[[#This Row],[2B]]*2)+(CLE_H74[[#This Row],[3B]]*3)+(CLE_H74[[#This Row],[HR]]*4),0)</calculatedColumnFormula>
    </tableColumn>
    <tableColumn id="21" xr3:uid="{00000000-0010-0000-7300-000015000000}" name="OPS" dataDxfId="4305">
      <calculatedColumnFormula>CLE_H74[[#This Row],[OBP]]+CLE_H74[[#This Row],[SLG]]</calculatedColumnFormula>
    </tableColumn>
    <tableColumn id="22" xr3:uid="{00000000-0010-0000-7300-000016000000}" name="*" dataDxfId="4304"/>
    <tableColumn id="23" xr3:uid="{00000000-0010-0000-7300-000017000000}" name="#" dataDxfId="4303"/>
  </tableColumns>
  <tableStyleInfo name="TableStyleMedium3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74000000}" name="CLE_P75" displayName="CLE_P75" ref="A176:S186" totalsRowShown="0" headerRowDxfId="4302" dataDxfId="4300" headerRowBorderDxfId="4301">
  <autoFilter ref="A176:S186" xr:uid="{00000000-0009-0000-0100-00004A000000}"/>
  <sortState xmlns:xlrd2="http://schemas.microsoft.com/office/spreadsheetml/2017/richdata2" ref="A177:S186">
    <sortCondition ref="S20:S30"/>
  </sortState>
  <tableColumns count="19">
    <tableColumn id="1" xr3:uid="{00000000-0010-0000-7400-000001000000}" name="TM" dataDxfId="4299"/>
    <tableColumn id="2" xr3:uid="{00000000-0010-0000-7400-000002000000}" name="@" dataDxfId="4298"/>
    <tableColumn id="3" xr3:uid="{00000000-0010-0000-7400-000003000000}" name="NAME" dataDxfId="4297"/>
    <tableColumn id="4" xr3:uid="{00000000-0010-0000-7400-000004000000}" name="ERA" dataDxfId="4296">
      <calculatedColumnFormula>IFERROR((CLE_P75[[#This Row],[R]]*9)/CLE_P75[[#This Row],[IP]],0)</calculatedColumnFormula>
    </tableColumn>
    <tableColumn id="5" xr3:uid="{00000000-0010-0000-7400-000005000000}" name="W" dataDxfId="4295"/>
    <tableColumn id="6" xr3:uid="{00000000-0010-0000-7400-000006000000}" name="L" dataDxfId="4294"/>
    <tableColumn id="7" xr3:uid="{00000000-0010-0000-7400-000007000000}" name="G" dataDxfId="4293"/>
    <tableColumn id="8" xr3:uid="{00000000-0010-0000-7400-000008000000}" name="IP" dataDxfId="4292"/>
    <tableColumn id="9" xr3:uid="{00000000-0010-0000-7400-000009000000}" name="H" dataDxfId="4291"/>
    <tableColumn id="10" xr3:uid="{00000000-0010-0000-7400-00000A000000}" name="R" dataDxfId="4290"/>
    <tableColumn id="11" xr3:uid="{00000000-0010-0000-7400-00000B000000}" name="BB" dataDxfId="4289"/>
    <tableColumn id="12" xr3:uid="{00000000-0010-0000-7400-00000C000000}" name="K" dataDxfId="4288"/>
    <tableColumn id="13" xr3:uid="{00000000-0010-0000-7400-00000D000000}" name="SV" dataDxfId="4287"/>
    <tableColumn id="14" xr3:uid="{00000000-0010-0000-7400-00000E000000}" name="WH" dataDxfId="4286">
      <calculatedColumnFormula>IFERROR((CLE_P75[[#This Row],[BB]]+CLE_P75[[#This Row],[H]])/CLE_P75[[#This Row],[IP]],0)</calculatedColumnFormula>
    </tableColumn>
    <tableColumn id="15" xr3:uid="{00000000-0010-0000-7400-00000F000000}" name="QS" dataDxfId="4285"/>
    <tableColumn id="16" xr3:uid="{00000000-0010-0000-7400-000010000000}" name="UQ" dataDxfId="4284"/>
    <tableColumn id="17" xr3:uid="{00000000-0010-0000-7400-000011000000}" name="CG" dataDxfId="4283"/>
    <tableColumn id="18" xr3:uid="{00000000-0010-0000-7400-000012000000}" name="SH" dataDxfId="4282"/>
    <tableColumn id="19" xr3:uid="{00000000-0010-0000-7400-000013000000}" name="#" dataDxfId="4281"/>
  </tableColumns>
  <tableStyleInfo name="TableStyleMedium3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75000000}" name="HOU_H" displayName="HOU_H" ref="A3:W18" totalsRowCount="1" headerRowDxfId="7746" headerRowBorderDxfId="7745" totalsRowBorderDxfId="7744">
  <autoFilter ref="A3:W17" xr:uid="{00000000-0009-0000-0100-000033000000}"/>
  <sortState xmlns:xlrd2="http://schemas.microsoft.com/office/spreadsheetml/2017/richdata2" ref="A4:W17">
    <sortCondition ref="W3:W17"/>
  </sortState>
  <tableColumns count="23">
    <tableColumn id="1" xr3:uid="{00000000-0010-0000-7500-000001000000}" name="TM" totalsRowDxfId="7743"/>
    <tableColumn id="2" xr3:uid="{00000000-0010-0000-7500-000002000000}" name="@" totalsRowDxfId="7742"/>
    <tableColumn id="3" xr3:uid="{00000000-0010-0000-7500-000003000000}" name="NAME" totalsRowDxfId="7741"/>
    <tableColumn id="4" xr3:uid="{00000000-0010-0000-7500-000004000000}" name="BA" totalsRowFunction="custom" totalsRowDxfId="7740">
      <calculatedColumnFormula>IFERROR(HOU_H[[#This Row],[H]]/HOU_H[[#This Row],[AB]],0)</calculatedColumnFormula>
      <totalsRowFormula>HOU_H[[#Totals],[H]]/HOU_H[[#Totals],[AB]]</totalsRowFormula>
    </tableColumn>
    <tableColumn id="5" xr3:uid="{00000000-0010-0000-7500-000005000000}" name="OBP" totalsRowFunction="custom" totalsRowDxfId="7739">
      <calculatedColumnFormula>IFERROR((HOU_H[[#This Row],[H]]+HOU_H[[#This Row],[BB]])/(HOU_H[[#This Row],[BB]]+HOU_H[[#This Row],[AB]]),0)</calculatedColumnFormula>
      <totalsRowFormula>(HOU_H[[#Totals],[H]]+HOU_H[[#Totals],[BB]])/HOU_H[[#Totals],[AB]]</totalsRowFormula>
    </tableColumn>
    <tableColumn id="6" xr3:uid="{00000000-0010-0000-7500-000006000000}" name="SLG" totalsRowFunction="custom" totalsRowDxfId="7738">
      <calculatedColumnFormula>IFERROR(((HOU_H[[#This Row],[H]]-HOU_H[[#This Row],[2B]]-HOU_H[[#This Row],[3B]]-HOU_H[[#This Row],[HR]])+(HOU_H[[#This Row],[2B]]*2)+(HOU_H[[#This Row],[3B]]*3)+(HOU_H[[#This Row],[HR]]*4))/HOU_H[[#This Row],[AB]],0)</calculatedColumnFormula>
      <totalsRowFormula>((HOU_H[[#Totals],[H]]-HOU_H[[#Totals],[2B]]-HOU_H[[#Totals],[3B]]-HOU_H[[#Totals],[HR]])+(HOU_H[[#Totals],[2B]]*2)+(HOU_H[[#Totals],[3B]]*3)+(HOU_H[[#Totals],[HR]]*4))/HOU_H[[#Totals],[AB]]</totalsRowFormula>
    </tableColumn>
    <tableColumn id="7" xr3:uid="{00000000-0010-0000-7500-000007000000}" name="G" totalsRowDxfId="7737"/>
    <tableColumn id="8" xr3:uid="{00000000-0010-0000-7500-000008000000}" name="AB" totalsRowFunction="sum" totalsRowDxfId="7736"/>
    <tableColumn id="9" xr3:uid="{00000000-0010-0000-7500-000009000000}" name="R" totalsRowFunction="sum" totalsRowDxfId="7735"/>
    <tableColumn id="10" xr3:uid="{00000000-0010-0000-7500-00000A000000}" name="H" totalsRowFunction="sum" totalsRowDxfId="7734"/>
    <tableColumn id="11" xr3:uid="{00000000-0010-0000-7500-00000B000000}" name="2B" totalsRowFunction="sum" totalsRowDxfId="7733"/>
    <tableColumn id="12" xr3:uid="{00000000-0010-0000-7500-00000C000000}" name="3B" totalsRowFunction="sum" totalsRowDxfId="7732"/>
    <tableColumn id="13" xr3:uid="{00000000-0010-0000-7500-00000D000000}" name="HR" totalsRowFunction="sum" totalsRowDxfId="7731"/>
    <tableColumn id="14" xr3:uid="{00000000-0010-0000-7500-00000E000000}" name="RBI" totalsRowFunction="sum" totalsRowDxfId="7730"/>
    <tableColumn id="15" xr3:uid="{00000000-0010-0000-7500-00000F000000}" name="BB" totalsRowFunction="sum" totalsRowDxfId="7729"/>
    <tableColumn id="16" xr3:uid="{00000000-0010-0000-7500-000010000000}" name="K" totalsRowFunction="sum" totalsRowDxfId="7728"/>
    <tableColumn id="17" xr3:uid="{00000000-0010-0000-7500-000011000000}" name="SB" totalsRowFunction="sum" totalsRowDxfId="7727"/>
    <tableColumn id="18" xr3:uid="{00000000-0010-0000-7500-000012000000}" name="HS" totalsRowDxfId="7726"/>
    <tableColumn id="19" xr3:uid="{00000000-0010-0000-7500-000013000000}" name="LS" totalsRowDxfId="7725"/>
    <tableColumn id="20" xr3:uid="{00000000-0010-0000-7500-000014000000}" name="TB" totalsRowFunction="sum" totalsRowDxfId="7724">
      <calculatedColumnFormula>IFERROR((HOU_H[[#This Row],[H]]-HOU_H[[#This Row],[2B]]-HOU_H[[#This Row],[3B]]-HOU_H[[#This Row],[HR]])+(HOU_H[[#This Row],[2B]]*2)+(HOU_H[[#This Row],[3B]]*3)+(HOU_H[[#This Row],[HR]]*4),0)</calculatedColumnFormula>
    </tableColumn>
    <tableColumn id="21" xr3:uid="{00000000-0010-0000-7500-000015000000}" name="OPS" totalsRowFunction="custom" totalsRowDxfId="7723">
      <calculatedColumnFormula>HOU_H[[#This Row],[OBP]]+HOU_H[[#This Row],[SLG]]</calculatedColumnFormula>
      <totalsRowFormula>HOU_H[[#Totals],[OBP]]+HOU_H[[#Totals],[SLG]]</totalsRowFormula>
    </tableColumn>
    <tableColumn id="22" xr3:uid="{00000000-0010-0000-7500-000016000000}" name="*" totalsRowFunction="sum" totalsRowDxfId="7722"/>
    <tableColumn id="23" xr3:uid="{00000000-0010-0000-7500-000017000000}" name="#" totalsRowDxfId="7721"/>
  </tableColumns>
  <tableStyleInfo name="TableStyleMedium3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76000000}" name="HOU_P" displayName="HOU_P" ref="A20:S31" totalsRowCount="1" headerRowDxfId="7720" dataDxfId="7718" headerRowBorderDxfId="7719" totalsRowBorderDxfId="7717">
  <autoFilter ref="A20:S30" xr:uid="{00000000-0009-0000-0100-000034000000}"/>
  <sortState xmlns:xlrd2="http://schemas.microsoft.com/office/spreadsheetml/2017/richdata2" ref="A21:S30">
    <sortCondition ref="S20:S30"/>
  </sortState>
  <tableColumns count="19">
    <tableColumn id="1" xr3:uid="{00000000-0010-0000-7600-000001000000}" name="TM" dataDxfId="7716" totalsRowDxfId="7715"/>
    <tableColumn id="2" xr3:uid="{00000000-0010-0000-7600-000002000000}" name="@" dataDxfId="7714" totalsRowDxfId="7713"/>
    <tableColumn id="3" xr3:uid="{00000000-0010-0000-7600-000003000000}" name="NAME" dataDxfId="7712" totalsRowDxfId="7711"/>
    <tableColumn id="4" xr3:uid="{00000000-0010-0000-7600-000004000000}" name="ERA" totalsRowFunction="custom" dataDxfId="7710" totalsRowDxfId="7709">
      <calculatedColumnFormula>IFERROR((HOU_P[[#This Row],[R]]*9)/HOU_P[[#This Row],[IP]],0)</calculatedColumnFormula>
      <totalsRowFormula>(HOU_P[[#Totals],[R]]*9)/HOU_P[[#Totals],[IP]]</totalsRowFormula>
    </tableColumn>
    <tableColumn id="5" xr3:uid="{00000000-0010-0000-7600-000005000000}" name="W" totalsRowFunction="sum" dataDxfId="7708" totalsRowDxfId="7707"/>
    <tableColumn id="6" xr3:uid="{00000000-0010-0000-7600-000006000000}" name="L" totalsRowFunction="sum" dataDxfId="7706" totalsRowDxfId="7705"/>
    <tableColumn id="7" xr3:uid="{00000000-0010-0000-7600-000007000000}" name="G" dataDxfId="7704" totalsRowDxfId="7703"/>
    <tableColumn id="8" xr3:uid="{00000000-0010-0000-7600-000008000000}" name="IP" totalsRowFunction="sum" dataDxfId="7702" totalsRowDxfId="7701"/>
    <tableColumn id="9" xr3:uid="{00000000-0010-0000-7600-000009000000}" name="H" totalsRowFunction="sum" dataDxfId="7700" totalsRowDxfId="7699"/>
    <tableColumn id="10" xr3:uid="{00000000-0010-0000-7600-00000A000000}" name="R" totalsRowFunction="sum" dataDxfId="7698" totalsRowDxfId="7697"/>
    <tableColumn id="11" xr3:uid="{00000000-0010-0000-7600-00000B000000}" name="BB" totalsRowFunction="sum" dataDxfId="7696" totalsRowDxfId="7695"/>
    <tableColumn id="12" xr3:uid="{00000000-0010-0000-7600-00000C000000}" name="K" totalsRowFunction="sum" dataDxfId="7694" totalsRowDxfId="7693"/>
    <tableColumn id="13" xr3:uid="{00000000-0010-0000-7600-00000D000000}" name="SV" totalsRowFunction="sum" dataDxfId="7692" totalsRowDxfId="7691"/>
    <tableColumn id="14" xr3:uid="{00000000-0010-0000-7600-00000E000000}" name="WH" totalsRowFunction="custom" dataDxfId="7690" totalsRowDxfId="7689">
      <calculatedColumnFormula>IFERROR((HOU_P[[#This Row],[BB]]+HOU_P[[#This Row],[H]])/HOU_P[[#This Row],[IP]],0)</calculatedColumnFormula>
      <totalsRowFormula>(HOU_P[[#Totals],[H]]+HOU_P[[#Totals],[BB]])/HOU_P[[#Totals],[IP]]</totalsRowFormula>
    </tableColumn>
    <tableColumn id="15" xr3:uid="{00000000-0010-0000-7600-00000F000000}" name="QS" totalsRowFunction="sum" dataDxfId="7688" totalsRowDxfId="7687"/>
    <tableColumn id="16" xr3:uid="{00000000-0010-0000-7600-000010000000}" name="UQ" totalsRowFunction="sum" dataDxfId="7686" totalsRowDxfId="7685"/>
    <tableColumn id="17" xr3:uid="{00000000-0010-0000-7600-000011000000}" name="CG" totalsRowFunction="sum" dataDxfId="7684" totalsRowDxfId="7683"/>
    <tableColumn id="18" xr3:uid="{00000000-0010-0000-7600-000012000000}" name="SH" totalsRowFunction="sum" dataDxfId="7682" totalsRowDxfId="7681"/>
    <tableColumn id="19" xr3:uid="{00000000-0010-0000-7600-000013000000}" name="#" dataDxfId="7680" totalsRowDxfId="7679"/>
  </tableColumns>
  <tableStyleInfo name="TableStyleMedium3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77000000}" name="OAK_H" displayName="OAK_H" ref="A127:W141" totalsRowShown="0" headerRowDxfId="7678" headerRowBorderDxfId="7677">
  <autoFilter ref="A127:W141" xr:uid="{00000000-0009-0000-0100-000035000000}"/>
  <sortState xmlns:xlrd2="http://schemas.microsoft.com/office/spreadsheetml/2017/richdata2" ref="A128:W141">
    <sortCondition ref="W127:W141"/>
  </sortState>
  <tableColumns count="23">
    <tableColumn id="1" xr3:uid="{00000000-0010-0000-7700-000001000000}" name="TM" dataDxfId="7676"/>
    <tableColumn id="2" xr3:uid="{00000000-0010-0000-7700-000002000000}" name="@" dataDxfId="7675"/>
    <tableColumn id="3" xr3:uid="{00000000-0010-0000-7700-000003000000}" name="NAME" dataDxfId="7674"/>
    <tableColumn id="4" xr3:uid="{00000000-0010-0000-7700-000004000000}" name="BA" dataDxfId="7673">
      <calculatedColumnFormula>IFERROR(OAK_H[[#This Row],[H]]/OAK_H[[#This Row],[AB]],0)</calculatedColumnFormula>
    </tableColumn>
    <tableColumn id="5" xr3:uid="{00000000-0010-0000-7700-000005000000}" name="OBP" dataDxfId="7672">
      <calculatedColumnFormula>IFERROR((OAK_H[[#This Row],[H]]+OAK_H[[#This Row],[BB]])/(OAK_H[[#This Row],[BB]]+OAK_H[[#This Row],[AB]]),0)</calculatedColumnFormula>
    </tableColumn>
    <tableColumn id="6" xr3:uid="{00000000-0010-0000-7700-000006000000}" name="SLG" dataDxfId="7671">
      <calculatedColumnFormula>IFERROR(((OAK_H[[#This Row],[H]]-OAK_H[[#This Row],[2B]]-OAK_H[[#This Row],[3B]]-OAK_H[[#This Row],[HR]])+(OAK_H[[#This Row],[2B]]*2)+(OAK_H[[#This Row],[3B]]*3)+(OAK_H[[#This Row],[HR]]*4))/OAK_H[[#This Row],[AB]],0)</calculatedColumnFormula>
    </tableColumn>
    <tableColumn id="7" xr3:uid="{00000000-0010-0000-7700-000007000000}" name="G" dataDxfId="7670"/>
    <tableColumn id="8" xr3:uid="{00000000-0010-0000-7700-000008000000}" name="AB" dataDxfId="7669"/>
    <tableColumn id="9" xr3:uid="{00000000-0010-0000-7700-000009000000}" name="R" dataDxfId="7668"/>
    <tableColumn id="10" xr3:uid="{00000000-0010-0000-7700-00000A000000}" name="H" dataDxfId="7667"/>
    <tableColumn id="11" xr3:uid="{00000000-0010-0000-7700-00000B000000}" name="2B" dataDxfId="7666"/>
    <tableColumn id="12" xr3:uid="{00000000-0010-0000-7700-00000C000000}" name="3B" dataDxfId="7665"/>
    <tableColumn id="13" xr3:uid="{00000000-0010-0000-7700-00000D000000}" name="HR" dataDxfId="7664"/>
    <tableColumn id="14" xr3:uid="{00000000-0010-0000-7700-00000E000000}" name="RBI" dataDxfId="7663"/>
    <tableColumn id="15" xr3:uid="{00000000-0010-0000-7700-00000F000000}" name="BB" dataDxfId="7662"/>
    <tableColumn id="16" xr3:uid="{00000000-0010-0000-7700-000010000000}" name="K" dataDxfId="7661"/>
    <tableColumn id="17" xr3:uid="{00000000-0010-0000-7700-000011000000}" name="SB" dataDxfId="7660"/>
    <tableColumn id="18" xr3:uid="{00000000-0010-0000-7700-000012000000}" name="HS" dataDxfId="7659"/>
    <tableColumn id="19" xr3:uid="{00000000-0010-0000-7700-000013000000}" name="LS" dataDxfId="7658"/>
    <tableColumn id="20" xr3:uid="{00000000-0010-0000-7700-000014000000}" name="TB" dataDxfId="7657">
      <calculatedColumnFormula>IFERROR((OAK_H[[#This Row],[H]]-OAK_H[[#This Row],[2B]]-OAK_H[[#This Row],[3B]]-OAK_H[[#This Row],[HR]])+(OAK_H[[#This Row],[2B]]*2)+(OAK_H[[#This Row],[3B]]*3)+(OAK_H[[#This Row],[HR]]*4),0)</calculatedColumnFormula>
    </tableColumn>
    <tableColumn id="21" xr3:uid="{00000000-0010-0000-7700-000015000000}" name="OPS" dataDxfId="7656">
      <calculatedColumnFormula>OAK_H[[#This Row],[OBP]]+OAK_H[[#This Row],[SLG]]</calculatedColumnFormula>
    </tableColumn>
    <tableColumn id="22" xr3:uid="{00000000-0010-0000-7700-000016000000}" name="*" dataDxfId="7655"/>
    <tableColumn id="23" xr3:uid="{00000000-0010-0000-7700-000017000000}" name="#" dataDxfId="7654"/>
  </tableColumns>
  <tableStyleInfo name="TableStyleMedium7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78000000}" name="OAK_P" displayName="OAK_P" ref="A144:S154" totalsRowShown="0" headerRowDxfId="7653" dataDxfId="7651" headerRowBorderDxfId="7652">
  <autoFilter ref="A144:S154" xr:uid="{00000000-0009-0000-0100-000036000000}"/>
  <sortState xmlns:xlrd2="http://schemas.microsoft.com/office/spreadsheetml/2017/richdata2" ref="A145:S154">
    <sortCondition ref="S144:S154"/>
  </sortState>
  <tableColumns count="19">
    <tableColumn id="1" xr3:uid="{00000000-0010-0000-7800-000001000000}" name="TM" dataDxfId="7650"/>
    <tableColumn id="2" xr3:uid="{00000000-0010-0000-7800-000002000000}" name="@" dataDxfId="7649"/>
    <tableColumn id="3" xr3:uid="{00000000-0010-0000-7800-000003000000}" name="NAME" dataDxfId="7648"/>
    <tableColumn id="4" xr3:uid="{00000000-0010-0000-7800-000004000000}" name="ERA" dataDxfId="7647">
      <calculatedColumnFormula>IFERROR((OAK_P[[#This Row],[R]]*9)/OAK_P[[#This Row],[IP]],0)</calculatedColumnFormula>
    </tableColumn>
    <tableColumn id="5" xr3:uid="{00000000-0010-0000-7800-000005000000}" name="W" dataDxfId="7646"/>
    <tableColumn id="6" xr3:uid="{00000000-0010-0000-7800-000006000000}" name="L" dataDxfId="7645"/>
    <tableColumn id="7" xr3:uid="{00000000-0010-0000-7800-000007000000}" name="G" dataDxfId="7644"/>
    <tableColumn id="8" xr3:uid="{00000000-0010-0000-7800-000008000000}" name="IP" dataDxfId="7643"/>
    <tableColumn id="9" xr3:uid="{00000000-0010-0000-7800-000009000000}" name="H" dataDxfId="7642"/>
    <tableColumn id="10" xr3:uid="{00000000-0010-0000-7800-00000A000000}" name="R" dataDxfId="7641"/>
    <tableColumn id="11" xr3:uid="{00000000-0010-0000-7800-00000B000000}" name="BB" dataDxfId="7640"/>
    <tableColumn id="12" xr3:uid="{00000000-0010-0000-7800-00000C000000}" name="K" dataDxfId="7639"/>
    <tableColumn id="13" xr3:uid="{00000000-0010-0000-7800-00000D000000}" name="SV" dataDxfId="7638"/>
    <tableColumn id="14" xr3:uid="{00000000-0010-0000-7800-00000E000000}" name="WH" dataDxfId="7637">
      <calculatedColumnFormula>IFERROR((OAK_P[[#This Row],[BB]]+OAK_P[[#This Row],[H]])/OAK_P[[#This Row],[IP]],0)</calculatedColumnFormula>
    </tableColumn>
    <tableColumn id="15" xr3:uid="{00000000-0010-0000-7800-00000F000000}" name="QS" dataDxfId="7636"/>
    <tableColumn id="16" xr3:uid="{00000000-0010-0000-7800-000010000000}" name="UQ" dataDxfId="7635"/>
    <tableColumn id="17" xr3:uid="{00000000-0010-0000-7800-000011000000}" name="CG" dataDxfId="7634"/>
    <tableColumn id="18" xr3:uid="{00000000-0010-0000-7800-000012000000}" name="SH" dataDxfId="7633"/>
    <tableColumn id="19" xr3:uid="{00000000-0010-0000-7800-000013000000}" name="#" dataDxfId="7632"/>
  </tableColumns>
  <tableStyleInfo name="TableStyleMedium7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79000000}" name="LAA_H" displayName="LAA_H" ref="A96:W110" totalsRowShown="0" headerRowDxfId="7631" headerRowBorderDxfId="7630">
  <autoFilter ref="A96:W110" xr:uid="{00000000-0009-0000-0100-000037000000}"/>
  <sortState xmlns:xlrd2="http://schemas.microsoft.com/office/spreadsheetml/2017/richdata2" ref="A97:W110">
    <sortCondition ref="W96:W110"/>
  </sortState>
  <tableColumns count="23">
    <tableColumn id="1" xr3:uid="{00000000-0010-0000-7900-000001000000}" name="TM" dataDxfId="7629"/>
    <tableColumn id="2" xr3:uid="{00000000-0010-0000-7900-000002000000}" name="@" dataDxfId="7628"/>
    <tableColumn id="3" xr3:uid="{00000000-0010-0000-7900-000003000000}" name="NAME" dataDxfId="7627"/>
    <tableColumn id="4" xr3:uid="{00000000-0010-0000-7900-000004000000}" name="BA" dataDxfId="7626">
      <calculatedColumnFormula>IFERROR(LAA_H[[#This Row],[H]]/LAA_H[[#This Row],[AB]],0)</calculatedColumnFormula>
    </tableColumn>
    <tableColumn id="5" xr3:uid="{00000000-0010-0000-7900-000005000000}" name="OBP" dataDxfId="7625">
      <calculatedColumnFormula>IFERROR((LAA_H[[#This Row],[H]]+LAA_H[[#This Row],[BB]])/(LAA_H[[#This Row],[BB]]+LAA_H[[#This Row],[AB]]),0)</calculatedColumnFormula>
    </tableColumn>
    <tableColumn id="6" xr3:uid="{00000000-0010-0000-7900-000006000000}" name="SLG" dataDxfId="7624">
      <calculatedColumnFormula>IFERROR(((LAA_H[[#This Row],[H]]-LAA_H[[#This Row],[2B]]-LAA_H[[#This Row],[3B]]-LAA_H[[#This Row],[HR]])+(LAA_H[[#This Row],[2B]]*2)+(LAA_H[[#This Row],[3B]]*3)+(LAA_H[[#This Row],[HR]]*4))/LAA_H[[#This Row],[AB]],0)</calculatedColumnFormula>
    </tableColumn>
    <tableColumn id="7" xr3:uid="{00000000-0010-0000-7900-000007000000}" name="G" dataDxfId="7623"/>
    <tableColumn id="8" xr3:uid="{00000000-0010-0000-7900-000008000000}" name="AB" dataDxfId="7622"/>
    <tableColumn id="9" xr3:uid="{00000000-0010-0000-7900-000009000000}" name="R" dataDxfId="7621"/>
    <tableColumn id="10" xr3:uid="{00000000-0010-0000-7900-00000A000000}" name="H" dataDxfId="7620"/>
    <tableColumn id="11" xr3:uid="{00000000-0010-0000-7900-00000B000000}" name="2B" dataDxfId="7619"/>
    <tableColumn id="12" xr3:uid="{00000000-0010-0000-7900-00000C000000}" name="3B" dataDxfId="7618"/>
    <tableColumn id="13" xr3:uid="{00000000-0010-0000-7900-00000D000000}" name="HR" dataDxfId="7617"/>
    <tableColumn id="14" xr3:uid="{00000000-0010-0000-7900-00000E000000}" name="RBI" dataDxfId="7616"/>
    <tableColumn id="15" xr3:uid="{00000000-0010-0000-7900-00000F000000}" name="BB" dataDxfId="7615"/>
    <tableColumn id="16" xr3:uid="{00000000-0010-0000-7900-000010000000}" name="K" dataDxfId="7614"/>
    <tableColumn id="17" xr3:uid="{00000000-0010-0000-7900-000011000000}" name="SB" dataDxfId="7613"/>
    <tableColumn id="18" xr3:uid="{00000000-0010-0000-7900-000012000000}" name="HS" dataDxfId="7612"/>
    <tableColumn id="19" xr3:uid="{00000000-0010-0000-7900-000013000000}" name="LS" dataDxfId="7611"/>
    <tableColumn id="20" xr3:uid="{00000000-0010-0000-7900-000014000000}" name="TB" dataDxfId="7610">
      <calculatedColumnFormula>IFERROR((LAA_H[[#This Row],[H]]-LAA_H[[#This Row],[2B]]-LAA_H[[#This Row],[3B]]-LAA_H[[#This Row],[HR]])+(LAA_H[[#This Row],[2B]]*2)+(LAA_H[[#This Row],[3B]]*3)+(LAA_H[[#This Row],[HR]]*4),0)</calculatedColumnFormula>
    </tableColumn>
    <tableColumn id="21" xr3:uid="{00000000-0010-0000-7900-000015000000}" name="OPS" dataDxfId="7609">
      <calculatedColumnFormula>LAA_H[[#This Row],[OBP]]+LAA_H[[#This Row],[SLG]]</calculatedColumnFormula>
    </tableColumn>
    <tableColumn id="22" xr3:uid="{00000000-0010-0000-7900-000016000000}" name="*" dataDxfId="7608"/>
    <tableColumn id="23" xr3:uid="{00000000-0010-0000-7900-000017000000}" name="#" dataDxfId="7607"/>
  </tableColumns>
  <tableStyleInfo name="TableStyleMedium3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7A000000}" name="LAA_P" displayName="LAA_P" ref="A113:S123" totalsRowShown="0" headerRowDxfId="7606" headerRowBorderDxfId="7605">
  <autoFilter ref="A113:S123" xr:uid="{00000000-0009-0000-0100-000038000000}"/>
  <sortState xmlns:xlrd2="http://schemas.microsoft.com/office/spreadsheetml/2017/richdata2" ref="A114:S123">
    <sortCondition ref="S113:S123"/>
  </sortState>
  <tableColumns count="19">
    <tableColumn id="1" xr3:uid="{00000000-0010-0000-7A00-000001000000}" name="TM" dataDxfId="7604"/>
    <tableColumn id="2" xr3:uid="{00000000-0010-0000-7A00-000002000000}" name="@" dataDxfId="7603"/>
    <tableColumn id="3" xr3:uid="{00000000-0010-0000-7A00-000003000000}" name="NAME" dataDxfId="7602"/>
    <tableColumn id="4" xr3:uid="{00000000-0010-0000-7A00-000004000000}" name="ERA" dataDxfId="7601">
      <calculatedColumnFormula>IFERROR((LAA_P[[#This Row],[R]]*9)/LAA_P[[#This Row],[IP]],0)</calculatedColumnFormula>
    </tableColumn>
    <tableColumn id="5" xr3:uid="{00000000-0010-0000-7A00-000005000000}" name="W" dataDxfId="7600"/>
    <tableColumn id="6" xr3:uid="{00000000-0010-0000-7A00-000006000000}" name="L" dataDxfId="7599"/>
    <tableColumn id="7" xr3:uid="{00000000-0010-0000-7A00-000007000000}" name="G" dataDxfId="7598"/>
    <tableColumn id="8" xr3:uid="{00000000-0010-0000-7A00-000008000000}" name="IP" dataDxfId="7597"/>
    <tableColumn id="9" xr3:uid="{00000000-0010-0000-7A00-000009000000}" name="H" dataDxfId="7596"/>
    <tableColumn id="10" xr3:uid="{00000000-0010-0000-7A00-00000A000000}" name="R" dataDxfId="7595"/>
    <tableColumn id="11" xr3:uid="{00000000-0010-0000-7A00-00000B000000}" name="BB" dataDxfId="7594"/>
    <tableColumn id="12" xr3:uid="{00000000-0010-0000-7A00-00000C000000}" name="K" dataDxfId="7593"/>
    <tableColumn id="13" xr3:uid="{00000000-0010-0000-7A00-00000D000000}" name="SV" dataDxfId="7592"/>
    <tableColumn id="14" xr3:uid="{00000000-0010-0000-7A00-00000E000000}" name="WH" dataDxfId="7591">
      <calculatedColumnFormula>IFERROR((LAA_P[[#This Row],[BB]]+LAA_P[[#This Row],[H]])/LAA_P[[#This Row],[IP]],0)</calculatedColumnFormula>
    </tableColumn>
    <tableColumn id="15" xr3:uid="{00000000-0010-0000-7A00-00000F000000}" name="QS" dataDxfId="7590"/>
    <tableColumn id="16" xr3:uid="{00000000-0010-0000-7A00-000010000000}" name="UQ" dataDxfId="7589"/>
    <tableColumn id="17" xr3:uid="{00000000-0010-0000-7A00-000011000000}" name="CG" dataDxfId="7588"/>
    <tableColumn id="18" xr3:uid="{00000000-0010-0000-7A00-000012000000}" name="SH" dataDxfId="7587"/>
    <tableColumn id="19" xr3:uid="{00000000-0010-0000-7A00-000013000000}" name="#" dataDxfId="7586"/>
  </tableColumns>
  <tableStyleInfo name="TableStyleMedium3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7B000000}" name="TEX_P" displayName="TEX_P" ref="A82:S92" totalsRowShown="0" headerRowDxfId="7585" headerRowBorderDxfId="7584">
  <autoFilter ref="A82:S92" xr:uid="{00000000-0009-0000-0100-000039000000}"/>
  <sortState xmlns:xlrd2="http://schemas.microsoft.com/office/spreadsheetml/2017/richdata2" ref="A84:S92">
    <sortCondition ref="S82:S92"/>
  </sortState>
  <tableColumns count="19">
    <tableColumn id="1" xr3:uid="{00000000-0010-0000-7B00-000001000000}" name="TM" dataDxfId="7583"/>
    <tableColumn id="2" xr3:uid="{00000000-0010-0000-7B00-000002000000}" name="@" dataDxfId="7582"/>
    <tableColumn id="3" xr3:uid="{00000000-0010-0000-7B00-000003000000}" name="NAME" dataDxfId="7581"/>
    <tableColumn id="4" xr3:uid="{00000000-0010-0000-7B00-000004000000}" name="ERA" dataDxfId="7580">
      <calculatedColumnFormula>IFERROR((TEX_P[[#This Row],[R]]*9)/TEX_P[[#This Row],[IP]],0)</calculatedColumnFormula>
    </tableColumn>
    <tableColumn id="5" xr3:uid="{00000000-0010-0000-7B00-000005000000}" name="W" dataDxfId="7579"/>
    <tableColumn id="6" xr3:uid="{00000000-0010-0000-7B00-000006000000}" name="L" dataDxfId="7578"/>
    <tableColumn id="7" xr3:uid="{00000000-0010-0000-7B00-000007000000}" name="G" dataDxfId="7577"/>
    <tableColumn id="8" xr3:uid="{00000000-0010-0000-7B00-000008000000}" name="IP" dataDxfId="7576"/>
    <tableColumn id="9" xr3:uid="{00000000-0010-0000-7B00-000009000000}" name="H" dataDxfId="7575"/>
    <tableColumn id="10" xr3:uid="{00000000-0010-0000-7B00-00000A000000}" name="R" dataDxfId="7574"/>
    <tableColumn id="11" xr3:uid="{00000000-0010-0000-7B00-00000B000000}" name="BB" dataDxfId="7573"/>
    <tableColumn id="12" xr3:uid="{00000000-0010-0000-7B00-00000C000000}" name="K" dataDxfId="7572"/>
    <tableColumn id="13" xr3:uid="{00000000-0010-0000-7B00-00000D000000}" name="SV" dataDxfId="7571"/>
    <tableColumn id="14" xr3:uid="{00000000-0010-0000-7B00-00000E000000}" name="WH" dataDxfId="7570">
      <calculatedColumnFormula>IFERROR((TEX_P[[#This Row],[BB]]+TEX_P[[#This Row],[H]])/TEX_P[[#This Row],[IP]],0)</calculatedColumnFormula>
    </tableColumn>
    <tableColumn id="15" xr3:uid="{00000000-0010-0000-7B00-00000F000000}" name="QS" dataDxfId="7569"/>
    <tableColumn id="16" xr3:uid="{00000000-0010-0000-7B00-000010000000}" name="UQ" dataDxfId="7568"/>
    <tableColumn id="17" xr3:uid="{00000000-0010-0000-7B00-000011000000}" name="CG" dataDxfId="7567"/>
    <tableColumn id="18" xr3:uid="{00000000-0010-0000-7B00-000012000000}" name="SH" dataDxfId="7566"/>
    <tableColumn id="19" xr3:uid="{00000000-0010-0000-7B00-000013000000}" name="#" dataDxfId="7565"/>
  </tableColumns>
  <tableStyleInfo name="TableStyleMedium2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7C000000}" name="TEX_H" displayName="TEX_H" ref="A65:W79" totalsRowShown="0" headerRowDxfId="7564" headerRowBorderDxfId="7563">
  <autoFilter ref="A65:W79" xr:uid="{00000000-0009-0000-0100-00003A000000}"/>
  <sortState xmlns:xlrd2="http://schemas.microsoft.com/office/spreadsheetml/2017/richdata2" ref="A66:W79">
    <sortCondition ref="W65:W79"/>
  </sortState>
  <tableColumns count="23">
    <tableColumn id="1" xr3:uid="{00000000-0010-0000-7C00-000001000000}" name="TM" dataDxfId="7562"/>
    <tableColumn id="2" xr3:uid="{00000000-0010-0000-7C00-000002000000}" name="@" dataDxfId="7561"/>
    <tableColumn id="3" xr3:uid="{00000000-0010-0000-7C00-000003000000}" name="NAME" dataDxfId="7560"/>
    <tableColumn id="4" xr3:uid="{00000000-0010-0000-7C00-000004000000}" name="BA" dataDxfId="7559">
      <calculatedColumnFormula>IFERROR(TEX_H[[#This Row],[H]]/TEX_H[[#This Row],[AB]],0)</calculatedColumnFormula>
    </tableColumn>
    <tableColumn id="5" xr3:uid="{00000000-0010-0000-7C00-000005000000}" name="OBP" dataDxfId="7558">
      <calculatedColumnFormula>IFERROR((TEX_H[[#This Row],[H]]+TEX_H[[#This Row],[BB]])/(TEX_H[[#This Row],[BB]]+TEX_H[[#This Row],[AB]]),0)</calculatedColumnFormula>
    </tableColumn>
    <tableColumn id="6" xr3:uid="{00000000-0010-0000-7C00-000006000000}" name="SLG" dataDxfId="7557">
      <calculatedColumnFormula>IFERROR(((TEX_H[[#This Row],[H]]-TEX_H[[#This Row],[2B]]-TEX_H[[#This Row],[3B]]-TEX_H[[#This Row],[HR]])+(TEX_H[[#This Row],[2B]]*2)+(TEX_H[[#This Row],[3B]]*3)+(TEX_H[[#This Row],[HR]]*4))/TEX_H[[#This Row],[AB]],0)</calculatedColumnFormula>
    </tableColumn>
    <tableColumn id="7" xr3:uid="{00000000-0010-0000-7C00-000007000000}" name="G" dataDxfId="7556"/>
    <tableColumn id="8" xr3:uid="{00000000-0010-0000-7C00-000008000000}" name="AB" dataDxfId="7555"/>
    <tableColumn id="9" xr3:uid="{00000000-0010-0000-7C00-000009000000}" name="R" dataDxfId="7554"/>
    <tableColumn id="10" xr3:uid="{00000000-0010-0000-7C00-00000A000000}" name="H" dataDxfId="7553"/>
    <tableColumn id="11" xr3:uid="{00000000-0010-0000-7C00-00000B000000}" name="2B" dataDxfId="7552"/>
    <tableColumn id="12" xr3:uid="{00000000-0010-0000-7C00-00000C000000}" name="3B" dataDxfId="7551"/>
    <tableColumn id="13" xr3:uid="{00000000-0010-0000-7C00-00000D000000}" name="HR" dataDxfId="7550"/>
    <tableColumn id="14" xr3:uid="{00000000-0010-0000-7C00-00000E000000}" name="RBI" dataDxfId="7549"/>
    <tableColumn id="15" xr3:uid="{00000000-0010-0000-7C00-00000F000000}" name="BB" dataDxfId="7548"/>
    <tableColumn id="16" xr3:uid="{00000000-0010-0000-7C00-000010000000}" name="K" dataDxfId="7547"/>
    <tableColumn id="17" xr3:uid="{00000000-0010-0000-7C00-000011000000}" name="SB" dataDxfId="7546"/>
    <tableColumn id="18" xr3:uid="{00000000-0010-0000-7C00-000012000000}" name="HS" dataDxfId="7545"/>
    <tableColumn id="19" xr3:uid="{00000000-0010-0000-7C00-000013000000}" name="LS" dataDxfId="7544"/>
    <tableColumn id="20" xr3:uid="{00000000-0010-0000-7C00-000014000000}" name="TB" dataDxfId="7543">
      <calculatedColumnFormula>IFERROR((TEX_H[[#This Row],[H]]-TEX_H[[#This Row],[2B]]-TEX_H[[#This Row],[3B]]-TEX_H[[#This Row],[HR]])+(TEX_H[[#This Row],[2B]]*2)+(TEX_H[[#This Row],[3B]]*3)+(TEX_H[[#This Row],[HR]]*4),0)</calculatedColumnFormula>
    </tableColumn>
    <tableColumn id="21" xr3:uid="{00000000-0010-0000-7C00-000015000000}" name="OPS" dataDxfId="7542">
      <calculatedColumnFormula>TEX_H[[#This Row],[OBP]]+TEX_H[[#This Row],[SLG]]</calculatedColumnFormula>
    </tableColumn>
    <tableColumn id="22" xr3:uid="{00000000-0010-0000-7C00-000016000000}" name="*" dataDxfId="7541"/>
    <tableColumn id="23" xr3:uid="{00000000-0010-0000-7C00-000017000000}" name="#" dataDxfId="7540"/>
  </tableColumns>
  <tableStyleInfo name="TableStyleMedium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7D000000}" name="SEA_P" displayName="SEA_P" ref="A51:S61" totalsRowShown="0" headerRowDxfId="7539" headerRowBorderDxfId="7538">
  <autoFilter ref="A51:S61" xr:uid="{00000000-0009-0000-0100-00003B000000}"/>
  <sortState xmlns:xlrd2="http://schemas.microsoft.com/office/spreadsheetml/2017/richdata2" ref="A52:S61">
    <sortCondition ref="S51:S61"/>
  </sortState>
  <tableColumns count="19">
    <tableColumn id="1" xr3:uid="{00000000-0010-0000-7D00-000001000000}" name="TM" dataDxfId="7537"/>
    <tableColumn id="2" xr3:uid="{00000000-0010-0000-7D00-000002000000}" name="@" dataDxfId="7536"/>
    <tableColumn id="3" xr3:uid="{00000000-0010-0000-7D00-000003000000}" name="NAME" dataDxfId="7535"/>
    <tableColumn id="4" xr3:uid="{00000000-0010-0000-7D00-000004000000}" name="ERA" dataDxfId="7534">
      <calculatedColumnFormula>IFERROR((SEA_P[[#This Row],[R]]*9)/SEA_P[[#This Row],[IP]],0)</calculatedColumnFormula>
    </tableColumn>
    <tableColumn id="5" xr3:uid="{00000000-0010-0000-7D00-000005000000}" name="W" dataDxfId="7533"/>
    <tableColumn id="6" xr3:uid="{00000000-0010-0000-7D00-000006000000}" name="L" dataDxfId="7532"/>
    <tableColumn id="7" xr3:uid="{00000000-0010-0000-7D00-000007000000}" name="G" dataDxfId="7531"/>
    <tableColumn id="8" xr3:uid="{00000000-0010-0000-7D00-000008000000}" name="IP" dataDxfId="7530"/>
    <tableColumn id="9" xr3:uid="{00000000-0010-0000-7D00-000009000000}" name="H" dataDxfId="7529"/>
    <tableColumn id="10" xr3:uid="{00000000-0010-0000-7D00-00000A000000}" name="R" dataDxfId="7528"/>
    <tableColumn id="11" xr3:uid="{00000000-0010-0000-7D00-00000B000000}" name="BB" dataDxfId="7527"/>
    <tableColumn id="12" xr3:uid="{00000000-0010-0000-7D00-00000C000000}" name="K" dataDxfId="7526"/>
    <tableColumn id="13" xr3:uid="{00000000-0010-0000-7D00-00000D000000}" name="SV" dataDxfId="7525"/>
    <tableColumn id="14" xr3:uid="{00000000-0010-0000-7D00-00000E000000}" name="WH" dataDxfId="7524">
      <calculatedColumnFormula>IFERROR((SEA_P[[#This Row],[BB]]+SEA_P[[#This Row],[H]])/SEA_P[[#This Row],[IP]],0)</calculatedColumnFormula>
    </tableColumn>
    <tableColumn id="15" xr3:uid="{00000000-0010-0000-7D00-00000F000000}" name="QS" dataDxfId="7523"/>
    <tableColumn id="16" xr3:uid="{00000000-0010-0000-7D00-000010000000}" name="UQ" dataDxfId="7522"/>
    <tableColumn id="17" xr3:uid="{00000000-0010-0000-7D00-000011000000}" name="CG" dataDxfId="7521"/>
    <tableColumn id="18" xr3:uid="{00000000-0010-0000-7D00-000012000000}" name="SH" dataDxfId="7520"/>
    <tableColumn id="19" xr3:uid="{00000000-0010-0000-7D00-000013000000}" name="#" dataDxfId="7519"/>
  </tableColumns>
  <tableStyleInfo name="TableStyleMedium7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7E000000}" name="SEA_H" displayName="SEA_H" ref="A34:W48" totalsRowShown="0" headerRowDxfId="7518" headerRowBorderDxfId="7517">
  <autoFilter ref="A34:W48" xr:uid="{00000000-0009-0000-0100-00003C000000}"/>
  <sortState xmlns:xlrd2="http://schemas.microsoft.com/office/spreadsheetml/2017/richdata2" ref="A35:W48">
    <sortCondition descending="1" ref="T34:T48"/>
  </sortState>
  <tableColumns count="23">
    <tableColumn id="1" xr3:uid="{00000000-0010-0000-7E00-000001000000}" name="TM" dataDxfId="7516"/>
    <tableColumn id="2" xr3:uid="{00000000-0010-0000-7E00-000002000000}" name="@" dataDxfId="7515"/>
    <tableColumn id="3" xr3:uid="{00000000-0010-0000-7E00-000003000000}" name="NAME" dataDxfId="7514"/>
    <tableColumn id="4" xr3:uid="{00000000-0010-0000-7E00-000004000000}" name="BA" dataDxfId="7513">
      <calculatedColumnFormula>IFERROR(SEA_H[[#This Row],[H]]/SEA_H[[#This Row],[AB]],0)</calculatedColumnFormula>
    </tableColumn>
    <tableColumn id="5" xr3:uid="{00000000-0010-0000-7E00-000005000000}" name="OBP" dataDxfId="7512">
      <calculatedColumnFormula>IFERROR((SEA_H[[#This Row],[H]]+SEA_H[[#This Row],[BB]])/(SEA_H[[#This Row],[BB]]+SEA_H[[#This Row],[AB]]),0)</calculatedColumnFormula>
    </tableColumn>
    <tableColumn id="6" xr3:uid="{00000000-0010-0000-7E00-000006000000}" name="SLG" dataDxfId="7511">
      <calculatedColumnFormula>IFERROR(((SEA_H[[#This Row],[H]]-SEA_H[[#This Row],[2B]]-SEA_H[[#This Row],[3B]]-SEA_H[[#This Row],[HR]])+(SEA_H[[#This Row],[2B]]*2)+(SEA_H[[#This Row],[3B]]*3)+(SEA_H[[#This Row],[HR]]*4))/SEA_H[[#This Row],[AB]],0)</calculatedColumnFormula>
    </tableColumn>
    <tableColumn id="7" xr3:uid="{00000000-0010-0000-7E00-000007000000}" name="G" dataDxfId="7510"/>
    <tableColumn id="8" xr3:uid="{00000000-0010-0000-7E00-000008000000}" name="AB" dataDxfId="7509"/>
    <tableColumn id="9" xr3:uid="{00000000-0010-0000-7E00-000009000000}" name="R" dataDxfId="7508"/>
    <tableColumn id="10" xr3:uid="{00000000-0010-0000-7E00-00000A000000}" name="H" dataDxfId="7507"/>
    <tableColumn id="11" xr3:uid="{00000000-0010-0000-7E00-00000B000000}" name="2B" dataDxfId="7506"/>
    <tableColumn id="12" xr3:uid="{00000000-0010-0000-7E00-00000C000000}" name="3B" dataDxfId="7505"/>
    <tableColumn id="13" xr3:uid="{00000000-0010-0000-7E00-00000D000000}" name="HR" dataDxfId="7504"/>
    <tableColumn id="14" xr3:uid="{00000000-0010-0000-7E00-00000E000000}" name="RBI" dataDxfId="7503"/>
    <tableColumn id="15" xr3:uid="{00000000-0010-0000-7E00-00000F000000}" name="BB" dataDxfId="7502"/>
    <tableColumn id="16" xr3:uid="{00000000-0010-0000-7E00-000010000000}" name="K" dataDxfId="7501"/>
    <tableColumn id="17" xr3:uid="{00000000-0010-0000-7E00-000011000000}" name="SB" dataDxfId="7500"/>
    <tableColumn id="18" xr3:uid="{00000000-0010-0000-7E00-000012000000}" name="HS" dataDxfId="7499"/>
    <tableColumn id="19" xr3:uid="{00000000-0010-0000-7E00-000013000000}" name="LS" dataDxfId="7498"/>
    <tableColumn id="20" xr3:uid="{00000000-0010-0000-7E00-000014000000}" name="TB" dataDxfId="7497">
      <calculatedColumnFormula>IFERROR((SEA_H[[#This Row],[H]]-SEA_H[[#This Row],[2B]]-SEA_H[[#This Row],[3B]]-SEA_H[[#This Row],[HR]])+(SEA_H[[#This Row],[2B]]*2)+(SEA_H[[#This Row],[3B]]*3)+(SEA_H[[#This Row],[HR]]*4),0)</calculatedColumnFormula>
    </tableColumn>
    <tableColumn id="21" xr3:uid="{00000000-0010-0000-7E00-000015000000}" name="OPS" dataDxfId="7496">
      <calculatedColumnFormula>SEA_H[[#This Row],[OBP]]+SEA_H[[#This Row],[SLG]]</calculatedColumnFormula>
    </tableColumn>
    <tableColumn id="22" xr3:uid="{00000000-0010-0000-7E00-000016000000}" name="*" dataDxfId="7495"/>
    <tableColumn id="23" xr3:uid="{00000000-0010-0000-7E00-000017000000}" name="#" dataDxfId="7494"/>
  </tableColumns>
  <tableStyleInfo name="TableStyleMedium7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7F000000}" name="HOU_H192" displayName="HOU_H192" ref="Z3:AV18" totalsRowCount="1" headerRowDxfId="7493" headerRowBorderDxfId="7492" totalsRowBorderDxfId="7491">
  <autoFilter ref="Z3:AV17" xr:uid="{00000000-0009-0000-0100-0000BF000000}"/>
  <sortState xmlns:xlrd2="http://schemas.microsoft.com/office/spreadsheetml/2017/richdata2" ref="Z4:AV17">
    <sortCondition ref="AV3:AV17"/>
  </sortState>
  <tableColumns count="23">
    <tableColumn id="1" xr3:uid="{00000000-0010-0000-7F00-000001000000}" name="TM" totalsRowDxfId="7490"/>
    <tableColumn id="2" xr3:uid="{00000000-0010-0000-7F00-000002000000}" name="@" totalsRowDxfId="7489"/>
    <tableColumn id="3" xr3:uid="{00000000-0010-0000-7F00-000003000000}" name="NAME" totalsRowDxfId="7488"/>
    <tableColumn id="4" xr3:uid="{00000000-0010-0000-7F00-000004000000}" name="BA" totalsRowFunction="custom" totalsRowDxfId="7487">
      <calculatedColumnFormula>IFERROR(HOU_H192[[#This Row],[H]]/HOU_H192[[#This Row],[AB]],0)</calculatedColumnFormula>
      <totalsRowFormula>HOU_H192[[#Totals],[H]]/HOU_H192[[#Totals],[AB]]</totalsRowFormula>
    </tableColumn>
    <tableColumn id="5" xr3:uid="{00000000-0010-0000-7F00-000005000000}" name="OBP" totalsRowFunction="custom" totalsRowDxfId="7486">
      <calculatedColumnFormula>IFERROR((HOU_H192[[#This Row],[H]]+HOU_H192[[#This Row],[BB]])/(HOU_H192[[#This Row],[BB]]+HOU_H192[[#This Row],[AB]]),0)</calculatedColumnFormula>
      <totalsRowFormula>(HOU_H192[[#Totals],[H]]+HOU_H192[[#Totals],[BB]])/HOU_H192[[#Totals],[AB]]</totalsRowFormula>
    </tableColumn>
    <tableColumn id="6" xr3:uid="{00000000-0010-0000-7F00-000006000000}" name="SLG" totalsRowFunction="custom" totalsRowDxfId="7485">
      <calculatedColumnFormula>IFERROR(((HOU_H192[[#This Row],[H]]-HOU_H192[[#This Row],[2B]]-HOU_H192[[#This Row],[3B]]-HOU_H192[[#This Row],[HR]])+(HOU_H192[[#This Row],[2B]]*2)+(HOU_H192[[#This Row],[3B]]*3)+(HOU_H192[[#This Row],[HR]]*4))/HOU_H192[[#This Row],[AB]],0)</calculatedColumnFormula>
      <totalsRowFormula>((HOU_H192[[#Totals],[H]]-HOU_H192[[#Totals],[2B]]-HOU_H192[[#Totals],[3B]]-HOU_H192[[#Totals],[HR]])+(HOU_H192[[#Totals],[2B]]*2)+(HOU_H192[[#Totals],[3B]]*3)+(HOU_H192[[#Totals],[HR]]*4))/HOU_H192[[#Totals],[AB]]</totalsRowFormula>
    </tableColumn>
    <tableColumn id="7" xr3:uid="{00000000-0010-0000-7F00-000007000000}" name="G" totalsRowDxfId="7484"/>
    <tableColumn id="8" xr3:uid="{00000000-0010-0000-7F00-000008000000}" name="AB" totalsRowFunction="sum" totalsRowDxfId="7483"/>
    <tableColumn id="9" xr3:uid="{00000000-0010-0000-7F00-000009000000}" name="R" totalsRowFunction="sum" totalsRowDxfId="7482"/>
    <tableColumn id="10" xr3:uid="{00000000-0010-0000-7F00-00000A000000}" name="H" totalsRowFunction="sum" totalsRowDxfId="7481"/>
    <tableColumn id="11" xr3:uid="{00000000-0010-0000-7F00-00000B000000}" name="2B" totalsRowFunction="sum" totalsRowDxfId="7480"/>
    <tableColumn id="12" xr3:uid="{00000000-0010-0000-7F00-00000C000000}" name="3B" totalsRowFunction="sum" totalsRowDxfId="7479"/>
    <tableColumn id="13" xr3:uid="{00000000-0010-0000-7F00-00000D000000}" name="HR" totalsRowFunction="sum" totalsRowDxfId="7478"/>
    <tableColumn id="14" xr3:uid="{00000000-0010-0000-7F00-00000E000000}" name="RBI" totalsRowFunction="sum" totalsRowDxfId="7477"/>
    <tableColumn id="15" xr3:uid="{00000000-0010-0000-7F00-00000F000000}" name="BB" totalsRowFunction="sum" totalsRowDxfId="7476"/>
    <tableColumn id="16" xr3:uid="{00000000-0010-0000-7F00-000010000000}" name="K" totalsRowFunction="sum" totalsRowDxfId="7475"/>
    <tableColumn id="17" xr3:uid="{00000000-0010-0000-7F00-000011000000}" name="SB" totalsRowFunction="sum" totalsRowDxfId="7474"/>
    <tableColumn id="18" xr3:uid="{00000000-0010-0000-7F00-000012000000}" name="HS" totalsRowDxfId="7473"/>
    <tableColumn id="19" xr3:uid="{00000000-0010-0000-7F00-000013000000}" name="LS" totalsRowDxfId="7472"/>
    <tableColumn id="20" xr3:uid="{00000000-0010-0000-7F00-000014000000}" name="TB" totalsRowFunction="sum" totalsRowDxfId="7471">
      <calculatedColumnFormula>IFERROR((HOU_H192[[#This Row],[H]]-HOU_H192[[#This Row],[2B]]-HOU_H192[[#This Row],[3B]]-HOU_H192[[#This Row],[HR]])+(HOU_H192[[#This Row],[2B]]*2)+(HOU_H192[[#This Row],[3B]]*3)+(HOU_H192[[#This Row],[HR]]*4),0)</calculatedColumnFormula>
    </tableColumn>
    <tableColumn id="21" xr3:uid="{00000000-0010-0000-7F00-000015000000}" name="OPS" totalsRowFunction="custom" totalsRowDxfId="7470">
      <calculatedColumnFormula>HOU_H192[[#This Row],[OBP]]+HOU_H192[[#This Row],[SLG]]</calculatedColumnFormula>
      <totalsRowFormula>HOU_H192[[#Totals],[OBP]]+HOU_H192[[#Totals],[SLG]]</totalsRowFormula>
    </tableColumn>
    <tableColumn id="22" xr3:uid="{00000000-0010-0000-7F00-000016000000}" name="*" totalsRowFunction="sum" totalsRowDxfId="7469"/>
    <tableColumn id="23" xr3:uid="{00000000-0010-0000-7F00-000017000000}" name="#" totalsRowDxfId="7468"/>
  </tableColumns>
  <tableStyleInfo name="TableStyleMedium3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80000000}" name="HOU_P193" displayName="HOU_P193" ref="Z20:AR31" totalsRowCount="1" headerRowDxfId="7467" dataDxfId="7465" headerRowBorderDxfId="7466" totalsRowBorderDxfId="7464">
  <autoFilter ref="Z20:AR30" xr:uid="{00000000-0009-0000-0100-0000C0000000}"/>
  <sortState xmlns:xlrd2="http://schemas.microsoft.com/office/spreadsheetml/2017/richdata2" ref="Z21:AR30">
    <sortCondition ref="AR20:AR30"/>
  </sortState>
  <tableColumns count="19">
    <tableColumn id="1" xr3:uid="{00000000-0010-0000-8000-000001000000}" name="TM" dataDxfId="7463" totalsRowDxfId="7462"/>
    <tableColumn id="2" xr3:uid="{00000000-0010-0000-8000-000002000000}" name="@" dataDxfId="7461" totalsRowDxfId="7460"/>
    <tableColumn id="3" xr3:uid="{00000000-0010-0000-8000-000003000000}" name="NAME" dataDxfId="7459" totalsRowDxfId="7458"/>
    <tableColumn id="4" xr3:uid="{00000000-0010-0000-8000-000004000000}" name="ERA" totalsRowFunction="custom" dataDxfId="7457" totalsRowDxfId="7456">
      <calculatedColumnFormula>IFERROR((HOU_P193[[#This Row],[R]]*9)/HOU_P193[[#This Row],[IP]],0)</calculatedColumnFormula>
      <totalsRowFormula>(HOU_P193[[#Totals],[R]]*9)/HOU_P193[[#Totals],[IP]]</totalsRowFormula>
    </tableColumn>
    <tableColumn id="5" xr3:uid="{00000000-0010-0000-8000-000005000000}" name="W" totalsRowFunction="sum" dataDxfId="7455" totalsRowDxfId="7454"/>
    <tableColumn id="6" xr3:uid="{00000000-0010-0000-8000-000006000000}" name="L" totalsRowFunction="sum" dataDxfId="7453" totalsRowDxfId="7452"/>
    <tableColumn id="7" xr3:uid="{00000000-0010-0000-8000-000007000000}" name="G" dataDxfId="7451" totalsRowDxfId="7450"/>
    <tableColumn id="8" xr3:uid="{00000000-0010-0000-8000-000008000000}" name="IP" totalsRowFunction="sum" dataDxfId="7449" totalsRowDxfId="7448"/>
    <tableColumn id="9" xr3:uid="{00000000-0010-0000-8000-000009000000}" name="H" totalsRowFunction="sum" dataDxfId="7447" totalsRowDxfId="7446"/>
    <tableColumn id="10" xr3:uid="{00000000-0010-0000-8000-00000A000000}" name="R" totalsRowFunction="sum" dataDxfId="7445" totalsRowDxfId="7444"/>
    <tableColumn id="11" xr3:uid="{00000000-0010-0000-8000-00000B000000}" name="BB" totalsRowFunction="sum" dataDxfId="7443" totalsRowDxfId="7442"/>
    <tableColumn id="12" xr3:uid="{00000000-0010-0000-8000-00000C000000}" name="K" totalsRowFunction="sum" dataDxfId="7441" totalsRowDxfId="7440"/>
    <tableColumn id="13" xr3:uid="{00000000-0010-0000-8000-00000D000000}" name="SV" totalsRowFunction="sum" dataDxfId="7439" totalsRowDxfId="7438"/>
    <tableColumn id="14" xr3:uid="{00000000-0010-0000-8000-00000E000000}" name="WH" totalsRowFunction="custom" dataDxfId="7437" totalsRowDxfId="7436">
      <calculatedColumnFormula>IFERROR((HOU_P193[[#This Row],[BB]]+HOU_P193[[#This Row],[H]])/HOU_P193[[#This Row],[IP]],0)</calculatedColumnFormula>
      <totalsRowFormula>(HOU_P193[[#Totals],[H]]+HOU_P193[[#Totals],[BB]])/HOU_P193[[#Totals],[IP]]</totalsRowFormula>
    </tableColumn>
    <tableColumn id="15" xr3:uid="{00000000-0010-0000-8000-00000F000000}" name="QS" totalsRowFunction="sum" dataDxfId="7435" totalsRowDxfId="7434"/>
    <tableColumn id="16" xr3:uid="{00000000-0010-0000-8000-000010000000}" name="UQ" totalsRowFunction="sum" dataDxfId="7433" totalsRowDxfId="7432"/>
    <tableColumn id="17" xr3:uid="{00000000-0010-0000-8000-000011000000}" name="CG" totalsRowFunction="sum" dataDxfId="7431" totalsRowDxfId="7430"/>
    <tableColumn id="18" xr3:uid="{00000000-0010-0000-8000-000012000000}" name="SH" totalsRowFunction="sum" dataDxfId="7429" totalsRowDxfId="7428"/>
    <tableColumn id="19" xr3:uid="{00000000-0010-0000-8000-000013000000}" name="#" dataDxfId="7427" totalsRowDxfId="7426"/>
  </tableColumns>
  <tableStyleInfo name="TableStyleMedium3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81000000}" name="OAK_H194" displayName="OAK_H194" ref="Z127:AV141" totalsRowShown="0" headerRowDxfId="7425" headerRowBorderDxfId="7424">
  <autoFilter ref="Z127:AV141" xr:uid="{00000000-0009-0000-0100-0000C1000000}"/>
  <sortState xmlns:xlrd2="http://schemas.microsoft.com/office/spreadsheetml/2017/richdata2" ref="Z128:AV141">
    <sortCondition ref="AV127:AV141"/>
  </sortState>
  <tableColumns count="23">
    <tableColumn id="1" xr3:uid="{00000000-0010-0000-8100-000001000000}" name="TM" dataDxfId="7423"/>
    <tableColumn id="2" xr3:uid="{00000000-0010-0000-8100-000002000000}" name="@" dataDxfId="7422"/>
    <tableColumn id="3" xr3:uid="{00000000-0010-0000-8100-000003000000}" name="NAME" dataDxfId="7421"/>
    <tableColumn id="4" xr3:uid="{00000000-0010-0000-8100-000004000000}" name="BA" dataDxfId="7420">
      <calculatedColumnFormula>IFERROR(OAK_H194[[#This Row],[H]]/OAK_H194[[#This Row],[AB]],0)</calculatedColumnFormula>
    </tableColumn>
    <tableColumn id="5" xr3:uid="{00000000-0010-0000-8100-000005000000}" name="OBP" dataDxfId="7419">
      <calculatedColumnFormula>IFERROR((OAK_H194[[#This Row],[H]]+OAK_H194[[#This Row],[BB]])/(OAK_H194[[#This Row],[BB]]+OAK_H194[[#This Row],[AB]]),0)</calculatedColumnFormula>
    </tableColumn>
    <tableColumn id="6" xr3:uid="{00000000-0010-0000-8100-000006000000}" name="SLG" dataDxfId="7418">
      <calculatedColumnFormula>IFERROR(((OAK_H194[[#This Row],[H]]-OAK_H194[[#This Row],[2B]]-OAK_H194[[#This Row],[3B]]-OAK_H194[[#This Row],[HR]])+(OAK_H194[[#This Row],[2B]]*2)+(OAK_H194[[#This Row],[3B]]*3)+(OAK_H194[[#This Row],[HR]]*4))/OAK_H194[[#This Row],[AB]],0)</calculatedColumnFormula>
    </tableColumn>
    <tableColumn id="7" xr3:uid="{00000000-0010-0000-8100-000007000000}" name="G" dataDxfId="7417"/>
    <tableColumn id="8" xr3:uid="{00000000-0010-0000-8100-000008000000}" name="AB" dataDxfId="7416"/>
    <tableColumn id="9" xr3:uid="{00000000-0010-0000-8100-000009000000}" name="R" dataDxfId="7415"/>
    <tableColumn id="10" xr3:uid="{00000000-0010-0000-8100-00000A000000}" name="H" dataDxfId="7414"/>
    <tableColumn id="11" xr3:uid="{00000000-0010-0000-8100-00000B000000}" name="2B" dataDxfId="7413"/>
    <tableColumn id="12" xr3:uid="{00000000-0010-0000-8100-00000C000000}" name="3B" dataDxfId="7412"/>
    <tableColumn id="13" xr3:uid="{00000000-0010-0000-8100-00000D000000}" name="HR" dataDxfId="7411"/>
    <tableColumn id="14" xr3:uid="{00000000-0010-0000-8100-00000E000000}" name="RBI" dataDxfId="7410"/>
    <tableColumn id="15" xr3:uid="{00000000-0010-0000-8100-00000F000000}" name="BB" dataDxfId="7409"/>
    <tableColumn id="16" xr3:uid="{00000000-0010-0000-8100-000010000000}" name="K" dataDxfId="7408"/>
    <tableColumn id="17" xr3:uid="{00000000-0010-0000-8100-000011000000}" name="SB" dataDxfId="7407"/>
    <tableColumn id="18" xr3:uid="{00000000-0010-0000-8100-000012000000}" name="HS" dataDxfId="7406"/>
    <tableColumn id="19" xr3:uid="{00000000-0010-0000-8100-000013000000}" name="LS" dataDxfId="7405"/>
    <tableColumn id="20" xr3:uid="{00000000-0010-0000-8100-000014000000}" name="TB" dataDxfId="7404">
      <calculatedColumnFormula>IFERROR((OAK_H194[[#This Row],[H]]-OAK_H194[[#This Row],[2B]]-OAK_H194[[#This Row],[3B]]-OAK_H194[[#This Row],[HR]])+(OAK_H194[[#This Row],[2B]]*2)+(OAK_H194[[#This Row],[3B]]*3)+(OAK_H194[[#This Row],[HR]]*4),0)</calculatedColumnFormula>
    </tableColumn>
    <tableColumn id="21" xr3:uid="{00000000-0010-0000-8100-000015000000}" name="OPS" dataDxfId="7403">
      <calculatedColumnFormula>OAK_H194[[#This Row],[OBP]]+OAK_H194[[#This Row],[SLG]]</calculatedColumnFormula>
    </tableColumn>
    <tableColumn id="22" xr3:uid="{00000000-0010-0000-8100-000016000000}" name="*" dataDxfId="7402"/>
    <tableColumn id="23" xr3:uid="{00000000-0010-0000-8100-000017000000}" name="#" dataDxfId="7401"/>
  </tableColumns>
  <tableStyleInfo name="TableStyleMedium7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00000000-000C-0000-FFFF-FFFF82000000}" name="OAK_P195" displayName="OAK_P195" ref="Z144:AR154" totalsRowShown="0" headerRowDxfId="7400" dataDxfId="7398" headerRowBorderDxfId="7399">
  <autoFilter ref="Z144:AR154" xr:uid="{00000000-0009-0000-0100-0000C2000000}"/>
  <sortState xmlns:xlrd2="http://schemas.microsoft.com/office/spreadsheetml/2017/richdata2" ref="Z145:AR154">
    <sortCondition ref="AR144:AR154"/>
  </sortState>
  <tableColumns count="19">
    <tableColumn id="1" xr3:uid="{00000000-0010-0000-8200-000001000000}" name="TM" dataDxfId="7397"/>
    <tableColumn id="2" xr3:uid="{00000000-0010-0000-8200-000002000000}" name="@" dataDxfId="7396"/>
    <tableColumn id="3" xr3:uid="{00000000-0010-0000-8200-000003000000}" name="NAME" dataDxfId="7395"/>
    <tableColumn id="4" xr3:uid="{00000000-0010-0000-8200-000004000000}" name="ERA" dataDxfId="7394">
      <calculatedColumnFormula>IFERROR((OAK_P195[[#This Row],[R]]*9)/OAK_P195[[#This Row],[IP]],0)</calculatedColumnFormula>
    </tableColumn>
    <tableColumn id="5" xr3:uid="{00000000-0010-0000-8200-000005000000}" name="W" dataDxfId="7393"/>
    <tableColumn id="6" xr3:uid="{00000000-0010-0000-8200-000006000000}" name="L" dataDxfId="7392"/>
    <tableColumn id="7" xr3:uid="{00000000-0010-0000-8200-000007000000}" name="G" dataDxfId="7391"/>
    <tableColumn id="8" xr3:uid="{00000000-0010-0000-8200-000008000000}" name="IP" dataDxfId="7390"/>
    <tableColumn id="9" xr3:uid="{00000000-0010-0000-8200-000009000000}" name="H" dataDxfId="7389"/>
    <tableColumn id="10" xr3:uid="{00000000-0010-0000-8200-00000A000000}" name="R" dataDxfId="7388"/>
    <tableColumn id="11" xr3:uid="{00000000-0010-0000-8200-00000B000000}" name="BB" dataDxfId="7387"/>
    <tableColumn id="12" xr3:uid="{00000000-0010-0000-8200-00000C000000}" name="K" dataDxfId="7386"/>
    <tableColumn id="13" xr3:uid="{00000000-0010-0000-8200-00000D000000}" name="SV" dataDxfId="7385"/>
    <tableColumn id="14" xr3:uid="{00000000-0010-0000-8200-00000E000000}" name="WH" dataDxfId="7384">
      <calculatedColumnFormula>IFERROR((OAK_P195[[#This Row],[BB]]+OAK_P195[[#This Row],[H]])/OAK_P195[[#This Row],[IP]],0)</calculatedColumnFormula>
    </tableColumn>
    <tableColumn id="15" xr3:uid="{00000000-0010-0000-8200-00000F000000}" name="QS" dataDxfId="7383"/>
    <tableColumn id="16" xr3:uid="{00000000-0010-0000-8200-000010000000}" name="UQ" dataDxfId="7382"/>
    <tableColumn id="17" xr3:uid="{00000000-0010-0000-8200-000011000000}" name="CG" dataDxfId="7381"/>
    <tableColumn id="18" xr3:uid="{00000000-0010-0000-8200-000012000000}" name="SH" dataDxfId="7380"/>
    <tableColumn id="19" xr3:uid="{00000000-0010-0000-8200-000013000000}" name="#" dataDxfId="7379"/>
  </tableColumns>
  <tableStyleInfo name="TableStyleMedium7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83000000}" name="LAA_H196" displayName="LAA_H196" ref="Z96:AV110" totalsRowShown="0" headerRowDxfId="7378" headerRowBorderDxfId="7377">
  <autoFilter ref="Z96:AV110" xr:uid="{00000000-0009-0000-0100-0000C3000000}"/>
  <sortState xmlns:xlrd2="http://schemas.microsoft.com/office/spreadsheetml/2017/richdata2" ref="Z97:AV110">
    <sortCondition ref="AV96:AV110"/>
  </sortState>
  <tableColumns count="23">
    <tableColumn id="1" xr3:uid="{00000000-0010-0000-8300-000001000000}" name="TM" dataDxfId="7376"/>
    <tableColumn id="2" xr3:uid="{00000000-0010-0000-8300-000002000000}" name="@" dataDxfId="7375"/>
    <tableColumn id="3" xr3:uid="{00000000-0010-0000-8300-000003000000}" name="NAME" dataDxfId="7374"/>
    <tableColumn id="4" xr3:uid="{00000000-0010-0000-8300-000004000000}" name="BA" dataDxfId="7373">
      <calculatedColumnFormula>IFERROR(LAA_H196[[#This Row],[H]]/LAA_H196[[#This Row],[AB]],0)</calculatedColumnFormula>
    </tableColumn>
    <tableColumn id="5" xr3:uid="{00000000-0010-0000-8300-000005000000}" name="OBP" dataDxfId="7372">
      <calculatedColumnFormula>IFERROR((LAA_H196[[#This Row],[H]]+LAA_H196[[#This Row],[BB]])/(LAA_H196[[#This Row],[BB]]+LAA_H196[[#This Row],[AB]]),0)</calculatedColumnFormula>
    </tableColumn>
    <tableColumn id="6" xr3:uid="{00000000-0010-0000-8300-000006000000}" name="SLG" dataDxfId="7371">
      <calculatedColumnFormula>IFERROR(((LAA_H196[[#This Row],[H]]-LAA_H196[[#This Row],[2B]]-LAA_H196[[#This Row],[3B]]-LAA_H196[[#This Row],[HR]])+(LAA_H196[[#This Row],[2B]]*2)+(LAA_H196[[#This Row],[3B]]*3)+(LAA_H196[[#This Row],[HR]]*4))/LAA_H196[[#This Row],[AB]],0)</calculatedColumnFormula>
    </tableColumn>
    <tableColumn id="7" xr3:uid="{00000000-0010-0000-8300-000007000000}" name="G" dataDxfId="7370"/>
    <tableColumn id="8" xr3:uid="{00000000-0010-0000-8300-000008000000}" name="AB" dataDxfId="7369"/>
    <tableColumn id="9" xr3:uid="{00000000-0010-0000-8300-000009000000}" name="R" dataDxfId="7368"/>
    <tableColumn id="10" xr3:uid="{00000000-0010-0000-8300-00000A000000}" name="H" dataDxfId="7367"/>
    <tableColumn id="11" xr3:uid="{00000000-0010-0000-8300-00000B000000}" name="2B" dataDxfId="7366"/>
    <tableColumn id="12" xr3:uid="{00000000-0010-0000-8300-00000C000000}" name="3B" dataDxfId="7365"/>
    <tableColumn id="13" xr3:uid="{00000000-0010-0000-8300-00000D000000}" name="HR" dataDxfId="7364"/>
    <tableColumn id="14" xr3:uid="{00000000-0010-0000-8300-00000E000000}" name="RBI" dataDxfId="7363"/>
    <tableColumn id="15" xr3:uid="{00000000-0010-0000-8300-00000F000000}" name="BB" dataDxfId="7362"/>
    <tableColumn id="16" xr3:uid="{00000000-0010-0000-8300-000010000000}" name="K" dataDxfId="7361"/>
    <tableColumn id="17" xr3:uid="{00000000-0010-0000-8300-000011000000}" name="SB" dataDxfId="7360"/>
    <tableColumn id="18" xr3:uid="{00000000-0010-0000-8300-000012000000}" name="HS" dataDxfId="7359"/>
    <tableColumn id="19" xr3:uid="{00000000-0010-0000-8300-000013000000}" name="LS" dataDxfId="7358"/>
    <tableColumn id="20" xr3:uid="{00000000-0010-0000-8300-000014000000}" name="TB" dataDxfId="7357">
      <calculatedColumnFormula>IFERROR((LAA_H196[[#This Row],[H]]-LAA_H196[[#This Row],[2B]]-LAA_H196[[#This Row],[3B]]-LAA_H196[[#This Row],[HR]])+(LAA_H196[[#This Row],[2B]]*2)+(LAA_H196[[#This Row],[3B]]*3)+(LAA_H196[[#This Row],[HR]]*4),0)</calculatedColumnFormula>
    </tableColumn>
    <tableColumn id="21" xr3:uid="{00000000-0010-0000-8300-000015000000}" name="OPS" dataDxfId="7356">
      <calculatedColumnFormula>LAA_H196[[#This Row],[OBP]]+LAA_H196[[#This Row],[SLG]]</calculatedColumnFormula>
    </tableColumn>
    <tableColumn id="22" xr3:uid="{00000000-0010-0000-8300-000016000000}" name="*" dataDxfId="7355"/>
    <tableColumn id="23" xr3:uid="{00000000-0010-0000-8300-000017000000}" name="#" dataDxfId="7354"/>
  </tableColumns>
  <tableStyleInfo name="TableStyleMedium3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00000000-000C-0000-FFFF-FFFF84000000}" name="LAA_P197" displayName="LAA_P197" ref="Z113:AR123" totalsRowShown="0" headerRowDxfId="7353" headerRowBorderDxfId="7352">
  <autoFilter ref="Z113:AR123" xr:uid="{00000000-0009-0000-0100-0000C4000000}"/>
  <sortState xmlns:xlrd2="http://schemas.microsoft.com/office/spreadsheetml/2017/richdata2" ref="Z114:AR123">
    <sortCondition ref="AR113:AR123"/>
  </sortState>
  <tableColumns count="19">
    <tableColumn id="1" xr3:uid="{00000000-0010-0000-8400-000001000000}" name="TM" dataDxfId="7351"/>
    <tableColumn id="2" xr3:uid="{00000000-0010-0000-8400-000002000000}" name="@" dataDxfId="7350"/>
    <tableColumn id="3" xr3:uid="{00000000-0010-0000-8400-000003000000}" name="NAME" dataDxfId="7349"/>
    <tableColumn id="4" xr3:uid="{00000000-0010-0000-8400-000004000000}" name="ERA" dataDxfId="7348">
      <calculatedColumnFormula>IFERROR((LAA_P197[[#This Row],[R]]*9)/LAA_P197[[#This Row],[IP]],0)</calculatedColumnFormula>
    </tableColumn>
    <tableColumn id="5" xr3:uid="{00000000-0010-0000-8400-000005000000}" name="W" dataDxfId="7347"/>
    <tableColumn id="6" xr3:uid="{00000000-0010-0000-8400-000006000000}" name="L" dataDxfId="7346"/>
    <tableColumn id="7" xr3:uid="{00000000-0010-0000-8400-000007000000}" name="G" dataDxfId="7345"/>
    <tableColumn id="8" xr3:uid="{00000000-0010-0000-8400-000008000000}" name="IP" dataDxfId="7344"/>
    <tableColumn id="9" xr3:uid="{00000000-0010-0000-8400-000009000000}" name="H" dataDxfId="7343"/>
    <tableColumn id="10" xr3:uid="{00000000-0010-0000-8400-00000A000000}" name="R" dataDxfId="7342"/>
    <tableColumn id="11" xr3:uid="{00000000-0010-0000-8400-00000B000000}" name="BB" dataDxfId="7341"/>
    <tableColumn id="12" xr3:uid="{00000000-0010-0000-8400-00000C000000}" name="K" dataDxfId="7340"/>
    <tableColumn id="13" xr3:uid="{00000000-0010-0000-8400-00000D000000}" name="SV" dataDxfId="7339"/>
    <tableColumn id="14" xr3:uid="{00000000-0010-0000-8400-00000E000000}" name="WH" dataDxfId="7338">
      <calculatedColumnFormula>IFERROR((LAA_P197[[#This Row],[BB]]+LAA_P197[[#This Row],[H]])/LAA_P197[[#This Row],[IP]],0)</calculatedColumnFormula>
    </tableColumn>
    <tableColumn id="15" xr3:uid="{00000000-0010-0000-8400-00000F000000}" name="QS" dataDxfId="7337"/>
    <tableColumn id="16" xr3:uid="{00000000-0010-0000-8400-000010000000}" name="UQ" dataDxfId="7336"/>
    <tableColumn id="17" xr3:uid="{00000000-0010-0000-8400-000011000000}" name="CG" dataDxfId="7335"/>
    <tableColumn id="18" xr3:uid="{00000000-0010-0000-8400-000012000000}" name="SH" dataDxfId="7334"/>
    <tableColumn id="19" xr3:uid="{00000000-0010-0000-8400-000013000000}" name="#" dataDxfId="7333"/>
  </tableColumns>
  <tableStyleInfo name="TableStyleMedium3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00000000-000C-0000-FFFF-FFFF85000000}" name="TEX_P198" displayName="TEX_P198" ref="Z82:AR92" totalsRowShown="0" headerRowDxfId="7332" headerRowBorderDxfId="7331">
  <autoFilter ref="Z82:AR92" xr:uid="{00000000-0009-0000-0100-0000C5000000}"/>
  <sortState xmlns:xlrd2="http://schemas.microsoft.com/office/spreadsheetml/2017/richdata2" ref="Z83:AR92">
    <sortCondition ref="AR82:AR92"/>
  </sortState>
  <tableColumns count="19">
    <tableColumn id="1" xr3:uid="{00000000-0010-0000-8500-000001000000}" name="TM" dataDxfId="7330"/>
    <tableColumn id="2" xr3:uid="{00000000-0010-0000-8500-000002000000}" name="@" dataDxfId="7329"/>
    <tableColumn id="3" xr3:uid="{00000000-0010-0000-8500-000003000000}" name="NAME" dataDxfId="7328"/>
    <tableColumn id="4" xr3:uid="{00000000-0010-0000-8500-000004000000}" name="ERA" dataDxfId="7327">
      <calculatedColumnFormula>IFERROR((TEX_P198[[#This Row],[R]]*9)/TEX_P198[[#This Row],[IP]],0)</calculatedColumnFormula>
    </tableColumn>
    <tableColumn id="5" xr3:uid="{00000000-0010-0000-8500-000005000000}" name="W" dataDxfId="7326"/>
    <tableColumn id="6" xr3:uid="{00000000-0010-0000-8500-000006000000}" name="L" dataDxfId="7325"/>
    <tableColumn id="7" xr3:uid="{00000000-0010-0000-8500-000007000000}" name="G" dataDxfId="7324"/>
    <tableColumn id="8" xr3:uid="{00000000-0010-0000-8500-000008000000}" name="IP" dataDxfId="7323"/>
    <tableColumn id="9" xr3:uid="{00000000-0010-0000-8500-000009000000}" name="H" dataDxfId="7322"/>
    <tableColumn id="10" xr3:uid="{00000000-0010-0000-8500-00000A000000}" name="R" dataDxfId="7321"/>
    <tableColumn id="11" xr3:uid="{00000000-0010-0000-8500-00000B000000}" name="BB" dataDxfId="7320"/>
    <tableColumn id="12" xr3:uid="{00000000-0010-0000-8500-00000C000000}" name="K" dataDxfId="7319"/>
    <tableColumn id="13" xr3:uid="{00000000-0010-0000-8500-00000D000000}" name="SV" dataDxfId="7318"/>
    <tableColumn id="14" xr3:uid="{00000000-0010-0000-8500-00000E000000}" name="WH" dataDxfId="7317">
      <calculatedColumnFormula>IFERROR((TEX_P198[[#This Row],[BB]]+TEX_P198[[#This Row],[H]])/TEX_P198[[#This Row],[IP]],0)</calculatedColumnFormula>
    </tableColumn>
    <tableColumn id="15" xr3:uid="{00000000-0010-0000-8500-00000F000000}" name="QS" dataDxfId="7316"/>
    <tableColumn id="16" xr3:uid="{00000000-0010-0000-8500-000010000000}" name="UQ" dataDxfId="7315"/>
    <tableColumn id="17" xr3:uid="{00000000-0010-0000-8500-000011000000}" name="CG" dataDxfId="7314"/>
    <tableColumn id="18" xr3:uid="{00000000-0010-0000-8500-000012000000}" name="SH" dataDxfId="7313"/>
    <tableColumn id="19" xr3:uid="{00000000-0010-0000-8500-000013000000}" name="#" dataDxfId="7312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00000000-000C-0000-FFFF-FFFF86000000}" name="TEX_H199" displayName="TEX_H199" ref="Z65:AV79" totalsRowShown="0" headerRowDxfId="7311" headerRowBorderDxfId="7310">
  <autoFilter ref="Z65:AV79" xr:uid="{00000000-0009-0000-0100-0000C6000000}"/>
  <sortState xmlns:xlrd2="http://schemas.microsoft.com/office/spreadsheetml/2017/richdata2" ref="Z66:AV79">
    <sortCondition ref="AV65:AV79"/>
  </sortState>
  <tableColumns count="23">
    <tableColumn id="1" xr3:uid="{00000000-0010-0000-8600-000001000000}" name="TM" dataDxfId="7309"/>
    <tableColumn id="2" xr3:uid="{00000000-0010-0000-8600-000002000000}" name="@" dataDxfId="7308"/>
    <tableColumn id="3" xr3:uid="{00000000-0010-0000-8600-000003000000}" name="NAME" dataDxfId="7307"/>
    <tableColumn id="4" xr3:uid="{00000000-0010-0000-8600-000004000000}" name="BA" dataDxfId="7306">
      <calculatedColumnFormula>IFERROR(TEX_H199[[#This Row],[H]]/TEX_H199[[#This Row],[AB]],0)</calculatedColumnFormula>
    </tableColumn>
    <tableColumn id="5" xr3:uid="{00000000-0010-0000-8600-000005000000}" name="OBP" dataDxfId="7305">
      <calculatedColumnFormula>IFERROR((TEX_H199[[#This Row],[H]]+TEX_H199[[#This Row],[BB]])/(TEX_H199[[#This Row],[BB]]+TEX_H199[[#This Row],[AB]]),0)</calculatedColumnFormula>
    </tableColumn>
    <tableColumn id="6" xr3:uid="{00000000-0010-0000-8600-000006000000}" name="SLG" dataDxfId="7304">
      <calculatedColumnFormula>IFERROR(((TEX_H199[[#This Row],[H]]-TEX_H199[[#This Row],[2B]]-TEX_H199[[#This Row],[3B]]-TEX_H199[[#This Row],[HR]])+(TEX_H199[[#This Row],[2B]]*2)+(TEX_H199[[#This Row],[3B]]*3)+(TEX_H199[[#This Row],[HR]]*4))/TEX_H199[[#This Row],[AB]],0)</calculatedColumnFormula>
    </tableColumn>
    <tableColumn id="7" xr3:uid="{00000000-0010-0000-8600-000007000000}" name="G" dataDxfId="7303"/>
    <tableColumn id="8" xr3:uid="{00000000-0010-0000-8600-000008000000}" name="AB" dataDxfId="7302"/>
    <tableColumn id="9" xr3:uid="{00000000-0010-0000-8600-000009000000}" name="R" dataDxfId="7301"/>
    <tableColumn id="10" xr3:uid="{00000000-0010-0000-8600-00000A000000}" name="H" dataDxfId="7300"/>
    <tableColumn id="11" xr3:uid="{00000000-0010-0000-8600-00000B000000}" name="2B" dataDxfId="7299"/>
    <tableColumn id="12" xr3:uid="{00000000-0010-0000-8600-00000C000000}" name="3B" dataDxfId="7298"/>
    <tableColumn id="13" xr3:uid="{00000000-0010-0000-8600-00000D000000}" name="HR" dataDxfId="7297"/>
    <tableColumn id="14" xr3:uid="{00000000-0010-0000-8600-00000E000000}" name="RBI" dataDxfId="7296"/>
    <tableColumn id="15" xr3:uid="{00000000-0010-0000-8600-00000F000000}" name="BB" dataDxfId="7295"/>
    <tableColumn id="16" xr3:uid="{00000000-0010-0000-8600-000010000000}" name="K" dataDxfId="7294"/>
    <tableColumn id="17" xr3:uid="{00000000-0010-0000-8600-000011000000}" name="SB" dataDxfId="7293"/>
    <tableColumn id="18" xr3:uid="{00000000-0010-0000-8600-000012000000}" name="HS" dataDxfId="7292"/>
    <tableColumn id="19" xr3:uid="{00000000-0010-0000-8600-000013000000}" name="LS" dataDxfId="7291"/>
    <tableColumn id="20" xr3:uid="{00000000-0010-0000-8600-000014000000}" name="TB" dataDxfId="7290">
      <calculatedColumnFormula>IFERROR((TEX_H199[[#This Row],[H]]-TEX_H199[[#This Row],[2B]]-TEX_H199[[#This Row],[3B]]-TEX_H199[[#This Row],[HR]])+(TEX_H199[[#This Row],[2B]]*2)+(TEX_H199[[#This Row],[3B]]*3)+(TEX_H199[[#This Row],[HR]]*4),0)</calculatedColumnFormula>
    </tableColumn>
    <tableColumn id="21" xr3:uid="{00000000-0010-0000-8600-000015000000}" name="OPS" dataDxfId="7289">
      <calculatedColumnFormula>TEX_H199[[#This Row],[OBP]]+TEX_H199[[#This Row],[SLG]]</calculatedColumnFormula>
    </tableColumn>
    <tableColumn id="22" xr3:uid="{00000000-0010-0000-8600-000016000000}" name="*" dataDxfId="7288"/>
    <tableColumn id="23" xr3:uid="{00000000-0010-0000-8600-000017000000}" name="#" dataDxfId="7287"/>
  </tableColumns>
  <tableStyleInfo name="TableStyleMedium2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00000000-000C-0000-FFFF-FFFF87000000}" name="SEA_P200" displayName="SEA_P200" ref="Z51:AR61" totalsRowShown="0" headerRowDxfId="7286" headerRowBorderDxfId="7285">
  <autoFilter ref="Z51:AR61" xr:uid="{00000000-0009-0000-0100-0000C7000000}"/>
  <sortState xmlns:xlrd2="http://schemas.microsoft.com/office/spreadsheetml/2017/richdata2" ref="Z52:AR61">
    <sortCondition ref="AR51:AR61"/>
  </sortState>
  <tableColumns count="19">
    <tableColumn id="1" xr3:uid="{00000000-0010-0000-8700-000001000000}" name="TM" dataDxfId="7284"/>
    <tableColumn id="2" xr3:uid="{00000000-0010-0000-8700-000002000000}" name="@" dataDxfId="7283"/>
    <tableColumn id="3" xr3:uid="{00000000-0010-0000-8700-000003000000}" name="NAME" dataDxfId="7282"/>
    <tableColumn id="4" xr3:uid="{00000000-0010-0000-8700-000004000000}" name="ERA" dataDxfId="7281">
      <calculatedColumnFormula>IFERROR((SEA_P200[[#This Row],[R]]*9)/SEA_P200[[#This Row],[IP]],0)</calculatedColumnFormula>
    </tableColumn>
    <tableColumn id="5" xr3:uid="{00000000-0010-0000-8700-000005000000}" name="W" dataDxfId="7280"/>
    <tableColumn id="6" xr3:uid="{00000000-0010-0000-8700-000006000000}" name="L" dataDxfId="7279"/>
    <tableColumn id="7" xr3:uid="{00000000-0010-0000-8700-000007000000}" name="G" dataDxfId="7278"/>
    <tableColumn id="8" xr3:uid="{00000000-0010-0000-8700-000008000000}" name="IP" dataDxfId="7277"/>
    <tableColumn id="9" xr3:uid="{00000000-0010-0000-8700-000009000000}" name="H" dataDxfId="7276"/>
    <tableColumn id="10" xr3:uid="{00000000-0010-0000-8700-00000A000000}" name="R" dataDxfId="7275"/>
    <tableColumn id="11" xr3:uid="{00000000-0010-0000-8700-00000B000000}" name="BB" dataDxfId="7274"/>
    <tableColumn id="12" xr3:uid="{00000000-0010-0000-8700-00000C000000}" name="K" dataDxfId="7273"/>
    <tableColumn id="13" xr3:uid="{00000000-0010-0000-8700-00000D000000}" name="SV" dataDxfId="7272"/>
    <tableColumn id="14" xr3:uid="{00000000-0010-0000-8700-00000E000000}" name="WH" dataDxfId="7271">
      <calculatedColumnFormula>IFERROR((SEA_P200[[#This Row],[BB]]+SEA_P200[[#This Row],[H]])/SEA_P200[[#This Row],[IP]],0)</calculatedColumnFormula>
    </tableColumn>
    <tableColumn id="15" xr3:uid="{00000000-0010-0000-8700-00000F000000}" name="QS" dataDxfId="7270"/>
    <tableColumn id="16" xr3:uid="{00000000-0010-0000-8700-000010000000}" name="UQ" dataDxfId="7269"/>
    <tableColumn id="17" xr3:uid="{00000000-0010-0000-8700-000011000000}" name="CG" dataDxfId="7268"/>
    <tableColumn id="18" xr3:uid="{00000000-0010-0000-8700-000012000000}" name="SH" dataDxfId="7267"/>
    <tableColumn id="19" xr3:uid="{00000000-0010-0000-8700-000013000000}" name="#" dataDxfId="7266"/>
  </tableColumns>
  <tableStyleInfo name="TableStyleMedium7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88000000}" name="SEA_H201" displayName="SEA_H201" ref="Z34:AV48" totalsRowShown="0" headerRowDxfId="7265" headerRowBorderDxfId="7264">
  <autoFilter ref="Z34:AV48" xr:uid="{00000000-0009-0000-0100-0000C8000000}"/>
  <sortState xmlns:xlrd2="http://schemas.microsoft.com/office/spreadsheetml/2017/richdata2" ref="Z35:AV48">
    <sortCondition ref="AV34:AV48"/>
  </sortState>
  <tableColumns count="23">
    <tableColumn id="1" xr3:uid="{00000000-0010-0000-8800-000001000000}" name="TM" dataDxfId="7263"/>
    <tableColumn id="2" xr3:uid="{00000000-0010-0000-8800-000002000000}" name="@" dataDxfId="7262"/>
    <tableColumn id="3" xr3:uid="{00000000-0010-0000-8800-000003000000}" name="NAME" dataDxfId="7261"/>
    <tableColumn id="4" xr3:uid="{00000000-0010-0000-8800-000004000000}" name="BA" dataDxfId="7260">
      <calculatedColumnFormula>IFERROR(SEA_H201[[#This Row],[H]]/SEA_H201[[#This Row],[AB]],0)</calculatedColumnFormula>
    </tableColumn>
    <tableColumn id="5" xr3:uid="{00000000-0010-0000-8800-000005000000}" name="OBP" dataDxfId="7259">
      <calculatedColumnFormula>IFERROR((SEA_H201[[#This Row],[H]]+SEA_H201[[#This Row],[BB]])/(SEA_H201[[#This Row],[BB]]+SEA_H201[[#This Row],[AB]]),0)</calculatedColumnFormula>
    </tableColumn>
    <tableColumn id="6" xr3:uid="{00000000-0010-0000-8800-000006000000}" name="SLG" dataDxfId="7258">
      <calculatedColumnFormula>IFERROR(((SEA_H201[[#This Row],[H]]-SEA_H201[[#This Row],[2B]]-SEA_H201[[#This Row],[3B]]-SEA_H201[[#This Row],[HR]])+(SEA_H201[[#This Row],[2B]]*2)+(SEA_H201[[#This Row],[3B]]*3)+(SEA_H201[[#This Row],[HR]]*4))/SEA_H201[[#This Row],[AB]],0)</calculatedColumnFormula>
    </tableColumn>
    <tableColumn id="7" xr3:uid="{00000000-0010-0000-8800-000007000000}" name="G" dataDxfId="7257"/>
    <tableColumn id="8" xr3:uid="{00000000-0010-0000-8800-000008000000}" name="AB" dataDxfId="7256"/>
    <tableColumn id="9" xr3:uid="{00000000-0010-0000-8800-000009000000}" name="R" dataDxfId="7255"/>
    <tableColumn id="10" xr3:uid="{00000000-0010-0000-8800-00000A000000}" name="H" dataDxfId="7254"/>
    <tableColumn id="11" xr3:uid="{00000000-0010-0000-8800-00000B000000}" name="2B" dataDxfId="7253"/>
    <tableColumn id="12" xr3:uid="{00000000-0010-0000-8800-00000C000000}" name="3B" dataDxfId="7252"/>
    <tableColumn id="13" xr3:uid="{00000000-0010-0000-8800-00000D000000}" name="HR" dataDxfId="7251"/>
    <tableColumn id="14" xr3:uid="{00000000-0010-0000-8800-00000E000000}" name="RBI" dataDxfId="7250"/>
    <tableColumn id="15" xr3:uid="{00000000-0010-0000-8800-00000F000000}" name="BB" dataDxfId="7249"/>
    <tableColumn id="16" xr3:uid="{00000000-0010-0000-8800-000010000000}" name="K" dataDxfId="7248"/>
    <tableColumn id="17" xr3:uid="{00000000-0010-0000-8800-000011000000}" name="SB" dataDxfId="7247"/>
    <tableColumn id="18" xr3:uid="{00000000-0010-0000-8800-000012000000}" name="HS" dataDxfId="7246"/>
    <tableColumn id="19" xr3:uid="{00000000-0010-0000-8800-000013000000}" name="LS" dataDxfId="7245"/>
    <tableColumn id="20" xr3:uid="{00000000-0010-0000-8800-000014000000}" name="TB" dataDxfId="7244">
      <calculatedColumnFormula>IFERROR((SEA_H201[[#This Row],[H]]-SEA_H201[[#This Row],[2B]]-SEA_H201[[#This Row],[3B]]-SEA_H201[[#This Row],[HR]])+(SEA_H201[[#This Row],[2B]]*2)+(SEA_H201[[#This Row],[3B]]*3)+(SEA_H201[[#This Row],[HR]]*4),0)</calculatedColumnFormula>
    </tableColumn>
    <tableColumn id="21" xr3:uid="{00000000-0010-0000-8800-000015000000}" name="OPS" dataDxfId="7243">
      <calculatedColumnFormula>SEA_H201[[#This Row],[OBP]]+SEA_H201[[#This Row],[SLG]]</calculatedColumnFormula>
    </tableColumn>
    <tableColumn id="22" xr3:uid="{00000000-0010-0000-8800-000016000000}" name="*" dataDxfId="7242"/>
    <tableColumn id="23" xr3:uid="{00000000-0010-0000-8800-000017000000}" name="#" dataDxfId="7241"/>
  </tableColumns>
  <tableStyleInfo name="TableStyleMedium7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00000000-000C-0000-FFFF-FFFF89000000}" name="SEA_H49" displayName="SEA_H49" ref="Z159:AV173" totalsRowShown="0" headerRowDxfId="7240" headerRowBorderDxfId="7239">
  <autoFilter ref="Z159:AV173" xr:uid="{00000000-0009-0000-0100-0000C9000000}"/>
  <sortState xmlns:xlrd2="http://schemas.microsoft.com/office/spreadsheetml/2017/richdata2" ref="Z160:AV173">
    <sortCondition ref="AV159:AV173"/>
  </sortState>
  <tableColumns count="23">
    <tableColumn id="1" xr3:uid="{00000000-0010-0000-8900-000001000000}" name="TM" dataDxfId="7238"/>
    <tableColumn id="2" xr3:uid="{00000000-0010-0000-8900-000002000000}" name="@" dataDxfId="7237"/>
    <tableColumn id="3" xr3:uid="{00000000-0010-0000-8900-000003000000}" name="NAME" dataDxfId="7236"/>
    <tableColumn id="4" xr3:uid="{00000000-0010-0000-8900-000004000000}" name="BA" dataDxfId="7235">
      <calculatedColumnFormula>IFERROR(SEA_H49[[#This Row],[H]]/SEA_H49[[#This Row],[AB]],0)</calculatedColumnFormula>
    </tableColumn>
    <tableColumn id="5" xr3:uid="{00000000-0010-0000-8900-000005000000}" name="OBP" dataDxfId="7234">
      <calculatedColumnFormula>IFERROR((SEA_H49[[#This Row],[H]]+SEA_H49[[#This Row],[BB]])/(SEA_H49[[#This Row],[BB]]+SEA_H49[[#This Row],[AB]]),0)</calculatedColumnFormula>
    </tableColumn>
    <tableColumn id="6" xr3:uid="{00000000-0010-0000-8900-000006000000}" name="SLG" dataDxfId="7233">
      <calculatedColumnFormula>IFERROR(((SEA_H49[[#This Row],[H]]-SEA_H49[[#This Row],[2B]]-SEA_H49[[#This Row],[3B]]-SEA_H49[[#This Row],[HR]])+(SEA_H49[[#This Row],[2B]]*2)+(SEA_H49[[#This Row],[3B]]*3)+(SEA_H49[[#This Row],[HR]]*4))/SEA_H49[[#This Row],[AB]],0)</calculatedColumnFormula>
    </tableColumn>
    <tableColumn id="7" xr3:uid="{00000000-0010-0000-8900-000007000000}" name="G" dataDxfId="7232"/>
    <tableColumn id="8" xr3:uid="{00000000-0010-0000-8900-000008000000}" name="AB" dataDxfId="7231"/>
    <tableColumn id="9" xr3:uid="{00000000-0010-0000-8900-000009000000}" name="R" dataDxfId="7230"/>
    <tableColumn id="10" xr3:uid="{00000000-0010-0000-8900-00000A000000}" name="H" dataDxfId="7229"/>
    <tableColumn id="11" xr3:uid="{00000000-0010-0000-8900-00000B000000}" name="2B" dataDxfId="7228"/>
    <tableColumn id="12" xr3:uid="{00000000-0010-0000-8900-00000C000000}" name="3B" dataDxfId="7227"/>
    <tableColumn id="13" xr3:uid="{00000000-0010-0000-8900-00000D000000}" name="HR" dataDxfId="7226"/>
    <tableColumn id="14" xr3:uid="{00000000-0010-0000-8900-00000E000000}" name="RBI" dataDxfId="7225"/>
    <tableColumn id="15" xr3:uid="{00000000-0010-0000-8900-00000F000000}" name="BB" dataDxfId="7224"/>
    <tableColumn id="16" xr3:uid="{00000000-0010-0000-8900-000010000000}" name="K" dataDxfId="7223"/>
    <tableColumn id="17" xr3:uid="{00000000-0010-0000-8900-000011000000}" name="SB" dataDxfId="7222"/>
    <tableColumn id="18" xr3:uid="{00000000-0010-0000-8900-000012000000}" name="HS" dataDxfId="7221"/>
    <tableColumn id="19" xr3:uid="{00000000-0010-0000-8900-000013000000}" name="LS" dataDxfId="7220"/>
    <tableColumn id="20" xr3:uid="{00000000-0010-0000-8900-000014000000}" name="TB" dataDxfId="7219">
      <calculatedColumnFormula>IFERROR((SEA_H49[[#This Row],[H]]-SEA_H49[[#This Row],[2B]]-SEA_H49[[#This Row],[3B]]-SEA_H49[[#This Row],[HR]])+(SEA_H49[[#This Row],[2B]]*2)+(SEA_H49[[#This Row],[3B]]*3)+(SEA_H49[[#This Row],[HR]]*4),0)</calculatedColumnFormula>
    </tableColumn>
    <tableColumn id="21" xr3:uid="{00000000-0010-0000-8900-000015000000}" name="OPS" dataDxfId="7218">
      <calculatedColumnFormula>SEA_H49[[#This Row],[OBP]]+SEA_H49[[#This Row],[SLG]]</calculatedColumnFormula>
    </tableColumn>
    <tableColumn id="22" xr3:uid="{00000000-0010-0000-8900-000016000000}" name="*" dataDxfId="7217"/>
    <tableColumn id="23" xr3:uid="{00000000-0010-0000-8900-000017000000}" name="#" dataDxfId="7216"/>
  </tableColumns>
  <tableStyleInfo name="TableStyleMedium7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00000000-000C-0000-FFFF-FFFF8A000000}" name="SEA_P50" displayName="SEA_P50" ref="Z176:AR186" totalsRowShown="0" headerRowDxfId="7215" headerRowBorderDxfId="7214">
  <autoFilter ref="Z176:AR186" xr:uid="{00000000-0009-0000-0100-0000CA000000}"/>
  <sortState xmlns:xlrd2="http://schemas.microsoft.com/office/spreadsheetml/2017/richdata2" ref="Z177:AR186">
    <sortCondition ref="AR176:AR186"/>
  </sortState>
  <tableColumns count="19">
    <tableColumn id="1" xr3:uid="{00000000-0010-0000-8A00-000001000000}" name="TM" dataDxfId="7213"/>
    <tableColumn id="2" xr3:uid="{00000000-0010-0000-8A00-000002000000}" name="@" dataDxfId="7212"/>
    <tableColumn id="3" xr3:uid="{00000000-0010-0000-8A00-000003000000}" name="NAME" dataDxfId="7211"/>
    <tableColumn id="4" xr3:uid="{00000000-0010-0000-8A00-000004000000}" name="ERA" dataDxfId="7210">
      <calculatedColumnFormula>IFERROR((SEA_P50[[#This Row],[R]]*9)/SEA_P50[[#This Row],[IP]],0)</calculatedColumnFormula>
    </tableColumn>
    <tableColumn id="5" xr3:uid="{00000000-0010-0000-8A00-000005000000}" name="W" dataDxfId="7209"/>
    <tableColumn id="6" xr3:uid="{00000000-0010-0000-8A00-000006000000}" name="L" dataDxfId="7208"/>
    <tableColumn id="7" xr3:uid="{00000000-0010-0000-8A00-000007000000}" name="G" dataDxfId="7207"/>
    <tableColumn id="8" xr3:uid="{00000000-0010-0000-8A00-000008000000}" name="IP" dataDxfId="7206"/>
    <tableColumn id="9" xr3:uid="{00000000-0010-0000-8A00-000009000000}" name="H" dataDxfId="7205"/>
    <tableColumn id="10" xr3:uid="{00000000-0010-0000-8A00-00000A000000}" name="R" dataDxfId="7204"/>
    <tableColumn id="11" xr3:uid="{00000000-0010-0000-8A00-00000B000000}" name="BB" dataDxfId="7203"/>
    <tableColumn id="12" xr3:uid="{00000000-0010-0000-8A00-00000C000000}" name="K" dataDxfId="7202"/>
    <tableColumn id="13" xr3:uid="{00000000-0010-0000-8A00-00000D000000}" name="SV" dataDxfId="7201"/>
    <tableColumn id="14" xr3:uid="{00000000-0010-0000-8A00-00000E000000}" name="WH" dataDxfId="7200">
      <calculatedColumnFormula>IFERROR((SEA_P50[[#This Row],[BB]]+SEA_P50[[#This Row],[H]])/SEA_P50[[#This Row],[IP]],0)</calculatedColumnFormula>
    </tableColumn>
    <tableColumn id="15" xr3:uid="{00000000-0010-0000-8A00-00000F000000}" name="QS" dataDxfId="7199"/>
    <tableColumn id="16" xr3:uid="{00000000-0010-0000-8A00-000010000000}" name="UQ" dataDxfId="7198"/>
    <tableColumn id="17" xr3:uid="{00000000-0010-0000-8A00-000011000000}" name="CG" dataDxfId="7197"/>
    <tableColumn id="18" xr3:uid="{00000000-0010-0000-8A00-000012000000}" name="SH" dataDxfId="7196"/>
    <tableColumn id="19" xr3:uid="{00000000-0010-0000-8A00-000013000000}" name="#" dataDxfId="7195"/>
  </tableColumns>
  <tableStyleInfo name="TableStyleMedium7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00000000-000C-0000-FFFF-FFFF8B000000}" name="HOU_H178" displayName="HOU_H178" ref="AY3:BU17" totalsRowShown="0" headerRowDxfId="7194" headerRowBorderDxfId="7193">
  <autoFilter ref="AY3:BU17" xr:uid="{00000000-0009-0000-0100-0000CB000000}"/>
  <sortState xmlns:xlrd2="http://schemas.microsoft.com/office/spreadsheetml/2017/richdata2" ref="AY4:BU17">
    <sortCondition ref="BU3:BU17"/>
  </sortState>
  <tableColumns count="23">
    <tableColumn id="1" xr3:uid="{00000000-0010-0000-8B00-000001000000}" name="TM" dataDxfId="7192"/>
    <tableColumn id="2" xr3:uid="{00000000-0010-0000-8B00-000002000000}" name="@" dataDxfId="7191"/>
    <tableColumn id="3" xr3:uid="{00000000-0010-0000-8B00-000003000000}" name="NAME" dataDxfId="7190"/>
    <tableColumn id="4" xr3:uid="{00000000-0010-0000-8B00-000004000000}" name="BA" dataDxfId="7189">
      <calculatedColumnFormula>IFERROR(HOU_H178[[#This Row],[H]]/HOU_H178[[#This Row],[AB]],0)</calculatedColumnFormula>
    </tableColumn>
    <tableColumn id="5" xr3:uid="{00000000-0010-0000-8B00-000005000000}" name="OBP" dataDxfId="7188">
      <calculatedColumnFormula>IFERROR((HOU_H178[[#This Row],[BB]]+HOU_H178[[#This Row],[H]])/(HOU_H178[[#This Row],[AB]]+HOU_H178[[#This Row],[BB]]),0)</calculatedColumnFormula>
    </tableColumn>
    <tableColumn id="6" xr3:uid="{00000000-0010-0000-8B00-000006000000}" name="SLG" dataDxfId="7187">
      <calculatedColumnFormula>IFERROR(((HOU_H178[[#This Row],[H]]-HOU_H178[[#This Row],[2B]]-HOU_H178[[#This Row],[3B]]-HOU_H178[[#This Row],[HR]])+(HOU_H178[[#This Row],[2B]]*2)+(HOU_H178[[#This Row],[3B]]*3)+(HOU_H178[[#This Row],[HR]]*4))/HOU_H178[[#This Row],[AB]],0)</calculatedColumnFormula>
    </tableColumn>
    <tableColumn id="7" xr3:uid="{00000000-0010-0000-8B00-000007000000}" name="G" dataDxfId="7186"/>
    <tableColumn id="8" xr3:uid="{00000000-0010-0000-8B00-000008000000}" name="AB" dataDxfId="7185"/>
    <tableColumn id="9" xr3:uid="{00000000-0010-0000-8B00-000009000000}" name="R" dataDxfId="7184"/>
    <tableColumn id="10" xr3:uid="{00000000-0010-0000-8B00-00000A000000}" name="H" dataDxfId="7183"/>
    <tableColumn id="11" xr3:uid="{00000000-0010-0000-8B00-00000B000000}" name="2B" dataDxfId="7182"/>
    <tableColumn id="12" xr3:uid="{00000000-0010-0000-8B00-00000C000000}" name="3B" dataDxfId="7181"/>
    <tableColumn id="13" xr3:uid="{00000000-0010-0000-8B00-00000D000000}" name="HR" dataDxfId="7180"/>
    <tableColumn id="14" xr3:uid="{00000000-0010-0000-8B00-00000E000000}" name="RBI" dataDxfId="7179"/>
    <tableColumn id="15" xr3:uid="{00000000-0010-0000-8B00-00000F000000}" name="BB" dataDxfId="7178"/>
    <tableColumn id="16" xr3:uid="{00000000-0010-0000-8B00-000010000000}" name="K" dataDxfId="7177"/>
    <tableColumn id="17" xr3:uid="{00000000-0010-0000-8B00-000011000000}" name="SB" dataDxfId="7176"/>
    <tableColumn id="18" xr3:uid="{00000000-0010-0000-8B00-000012000000}" name="HS" dataDxfId="7175"/>
    <tableColumn id="19" xr3:uid="{00000000-0010-0000-8B00-000013000000}" name="LS" dataDxfId="7174"/>
    <tableColumn id="20" xr3:uid="{00000000-0010-0000-8B00-000014000000}" name="TB" dataDxfId="7173">
      <calculatedColumnFormula>(HOU_H178[[#This Row],[H]]-HOU_H178[[#This Row],[2B]]-HOU_H178[[#This Row],[3B]]-HOU_H178[[#This Row],[HR]])+(HOU_H178[[#This Row],[2B]]*2)+(HOU_H178[[#This Row],[3B]]*3)+(HOU_H178[[#This Row],[HR]]*4)</calculatedColumnFormula>
    </tableColumn>
    <tableColumn id="21" xr3:uid="{00000000-0010-0000-8B00-000015000000}" name="OPS" dataDxfId="7172">
      <calculatedColumnFormula>IFERROR(HOU_H178[[#This Row],[OBP]]+HOU_H178[[#This Row],[SLG]],0)</calculatedColumnFormula>
    </tableColumn>
    <tableColumn id="22" xr3:uid="{00000000-0010-0000-8B00-000016000000}" name="*" dataDxfId="7171"/>
    <tableColumn id="23" xr3:uid="{00000000-0010-0000-8B00-000017000000}" name="#" dataDxfId="7170"/>
  </tableColumns>
  <tableStyleInfo name="TableStyleMedium3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00000000-000C-0000-FFFF-FFFF8C000000}" name="HOU_P179" displayName="HOU_P179" ref="AY20:BQ30" totalsRowShown="0" headerRowDxfId="7169" dataDxfId="7167" headerRowBorderDxfId="7168">
  <autoFilter ref="AY20:BQ30" xr:uid="{00000000-0009-0000-0100-0000CC000000}"/>
  <sortState xmlns:xlrd2="http://schemas.microsoft.com/office/spreadsheetml/2017/richdata2" ref="AY21:BQ30">
    <sortCondition ref="BQ20:BQ30"/>
  </sortState>
  <tableColumns count="19">
    <tableColumn id="1" xr3:uid="{00000000-0010-0000-8C00-000001000000}" name="TM" dataDxfId="7166"/>
    <tableColumn id="2" xr3:uid="{00000000-0010-0000-8C00-000002000000}" name="@" dataDxfId="7165"/>
    <tableColumn id="3" xr3:uid="{00000000-0010-0000-8C00-000003000000}" name="NAME" dataDxfId="7164"/>
    <tableColumn id="4" xr3:uid="{00000000-0010-0000-8C00-000004000000}" name="ERA" dataDxfId="7163">
      <calculatedColumnFormula>IFERROR((HOU_P179[[#This Row],[R]]*9)/HOU_P179[[#This Row],[IP]],0)</calculatedColumnFormula>
    </tableColumn>
    <tableColumn id="5" xr3:uid="{00000000-0010-0000-8C00-000005000000}" name="W" dataDxfId="7162"/>
    <tableColumn id="6" xr3:uid="{00000000-0010-0000-8C00-000006000000}" name="L" dataDxfId="7161"/>
    <tableColumn id="7" xr3:uid="{00000000-0010-0000-8C00-000007000000}" name="G" dataDxfId="7160"/>
    <tableColumn id="8" xr3:uid="{00000000-0010-0000-8C00-000008000000}" name="IP" dataDxfId="7159"/>
    <tableColumn id="9" xr3:uid="{00000000-0010-0000-8C00-000009000000}" name="H" dataDxfId="7158"/>
    <tableColumn id="10" xr3:uid="{00000000-0010-0000-8C00-00000A000000}" name="R" dataDxfId="7157"/>
    <tableColumn id="11" xr3:uid="{00000000-0010-0000-8C00-00000B000000}" name="BB" dataDxfId="7156"/>
    <tableColumn id="12" xr3:uid="{00000000-0010-0000-8C00-00000C000000}" name="K" dataDxfId="7155"/>
    <tableColumn id="13" xr3:uid="{00000000-0010-0000-8C00-00000D000000}" name="SV" dataDxfId="7154"/>
    <tableColumn id="14" xr3:uid="{00000000-0010-0000-8C00-00000E000000}" name="WH" dataDxfId="7153">
      <calculatedColumnFormula>IFERROR((HOU_P179[[#This Row],[BB]]+HOU_P179[[#This Row],[H]])/HOU_P179[[#This Row],[IP]],0)</calculatedColumnFormula>
    </tableColumn>
    <tableColumn id="15" xr3:uid="{00000000-0010-0000-8C00-00000F000000}" name="QS" dataDxfId="7152"/>
    <tableColumn id="16" xr3:uid="{00000000-0010-0000-8C00-000010000000}" name="UQ" dataDxfId="7151"/>
    <tableColumn id="17" xr3:uid="{00000000-0010-0000-8C00-000011000000}" name="CG" dataDxfId="7150"/>
    <tableColumn id="18" xr3:uid="{00000000-0010-0000-8C00-000012000000}" name="SH" dataDxfId="7149"/>
    <tableColumn id="19" xr3:uid="{00000000-0010-0000-8C00-000013000000}" name="#" dataDxfId="7148"/>
  </tableColumns>
  <tableStyleInfo name="TableStyleMedium3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8D000000}" name="OAK_H180" displayName="OAK_H180" ref="AY127:BU141" totalsRowShown="0" headerRowDxfId="7147" headerRowBorderDxfId="7146">
  <autoFilter ref="AY127:BU141" xr:uid="{00000000-0009-0000-0100-0000CD000000}"/>
  <sortState xmlns:xlrd2="http://schemas.microsoft.com/office/spreadsheetml/2017/richdata2" ref="AY128:BU141">
    <sortCondition ref="BU127:BU141"/>
  </sortState>
  <tableColumns count="23">
    <tableColumn id="1" xr3:uid="{00000000-0010-0000-8D00-000001000000}" name="TM" dataDxfId="7145"/>
    <tableColumn id="2" xr3:uid="{00000000-0010-0000-8D00-000002000000}" name="@" dataDxfId="7144"/>
    <tableColumn id="3" xr3:uid="{00000000-0010-0000-8D00-000003000000}" name="NAME" dataDxfId="7143"/>
    <tableColumn id="4" xr3:uid="{00000000-0010-0000-8D00-000004000000}" name="BA" dataDxfId="7142">
      <calculatedColumnFormula>IFERROR(OAK_H180[[#This Row],[H]]/OAK_H180[[#This Row],[AB]],0)</calculatedColumnFormula>
    </tableColumn>
    <tableColumn id="5" xr3:uid="{00000000-0010-0000-8D00-000005000000}" name="OBP" dataDxfId="7141">
      <calculatedColumnFormula>IFERROR((OAK_H180[[#This Row],[BB]]+OAK_H180[[#This Row],[H]])/(OAK_H180[[#This Row],[AB]]+OAK_H180[[#This Row],[BB]]),0)</calculatedColumnFormula>
    </tableColumn>
    <tableColumn id="6" xr3:uid="{00000000-0010-0000-8D00-000006000000}" name="SLG" dataDxfId="7140">
      <calculatedColumnFormula>IFERROR(((OAK_H180[[#This Row],[H]]-OAK_H180[[#This Row],[2B]]-OAK_H180[[#This Row],[3B]]-OAK_H180[[#This Row],[HR]])+(OAK_H180[[#This Row],[2B]]*2)+(OAK_H180[[#This Row],[3B]]*3)+(OAK_H180[[#This Row],[HR]]*4))/OAK_H180[[#This Row],[AB]],0)</calculatedColumnFormula>
    </tableColumn>
    <tableColumn id="7" xr3:uid="{00000000-0010-0000-8D00-000007000000}" name="G" dataDxfId="7139"/>
    <tableColumn id="8" xr3:uid="{00000000-0010-0000-8D00-000008000000}" name="AB" dataDxfId="7138"/>
    <tableColumn id="9" xr3:uid="{00000000-0010-0000-8D00-000009000000}" name="R" dataDxfId="7137"/>
    <tableColumn id="10" xr3:uid="{00000000-0010-0000-8D00-00000A000000}" name="H" dataDxfId="7136"/>
    <tableColumn id="11" xr3:uid="{00000000-0010-0000-8D00-00000B000000}" name="2B" dataDxfId="7135"/>
    <tableColumn id="12" xr3:uid="{00000000-0010-0000-8D00-00000C000000}" name="3B" dataDxfId="7134"/>
    <tableColumn id="13" xr3:uid="{00000000-0010-0000-8D00-00000D000000}" name="HR" dataDxfId="7133"/>
    <tableColumn id="14" xr3:uid="{00000000-0010-0000-8D00-00000E000000}" name="RBI" dataDxfId="7132"/>
    <tableColumn id="15" xr3:uid="{00000000-0010-0000-8D00-00000F000000}" name="BB" dataDxfId="7131"/>
    <tableColumn id="16" xr3:uid="{00000000-0010-0000-8D00-000010000000}" name="K" dataDxfId="7130"/>
    <tableColumn id="17" xr3:uid="{00000000-0010-0000-8D00-000011000000}" name="SB" dataDxfId="7129"/>
    <tableColumn id="18" xr3:uid="{00000000-0010-0000-8D00-000012000000}" name="HS" dataDxfId="7128"/>
    <tableColumn id="19" xr3:uid="{00000000-0010-0000-8D00-000013000000}" name="LS" dataDxfId="7127"/>
    <tableColumn id="20" xr3:uid="{00000000-0010-0000-8D00-000014000000}" name="TB" dataDxfId="7126">
      <calculatedColumnFormula>IFERROR((OAK_H180[[#This Row],[H]]-OAK_H180[[#This Row],[2B]]-OAK_H180[[#This Row],[3B]]-OAK_H180[[#This Row],[HR]])+(OAK_H180[[#This Row],[2B]]*2)+(OAK_H180[[#This Row],[3B]]*3)+(OAK_H180[[#This Row],[HR]]*4),0)</calculatedColumnFormula>
    </tableColumn>
    <tableColumn id="21" xr3:uid="{00000000-0010-0000-8D00-000015000000}" name="OPS" dataDxfId="7125">
      <calculatedColumnFormula>IFERROR(OAK_H180[[#This Row],[OBP]]+OAK_H180[[#This Row],[SLG]],0)</calculatedColumnFormula>
    </tableColumn>
    <tableColumn id="22" xr3:uid="{00000000-0010-0000-8D00-000016000000}" name="*" dataDxfId="7124"/>
    <tableColumn id="23" xr3:uid="{00000000-0010-0000-8D00-000017000000}" name="#" dataDxfId="7123"/>
  </tableColumns>
  <tableStyleInfo name="TableStyleMedium7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00000000-000C-0000-FFFF-FFFF8E000000}" name="OAK_P181" displayName="OAK_P181" ref="AY144:BQ154" totalsRowShown="0" headerRowDxfId="7122" dataDxfId="7120" headerRowBorderDxfId="7121">
  <autoFilter ref="AY144:BQ154" xr:uid="{00000000-0009-0000-0100-0000CE000000}"/>
  <sortState xmlns:xlrd2="http://schemas.microsoft.com/office/spreadsheetml/2017/richdata2" ref="AY145:BQ154">
    <sortCondition ref="BQ144:BQ154"/>
  </sortState>
  <tableColumns count="19">
    <tableColumn id="1" xr3:uid="{00000000-0010-0000-8E00-000001000000}" name="TM" dataDxfId="7119"/>
    <tableColumn id="2" xr3:uid="{00000000-0010-0000-8E00-000002000000}" name="@" dataDxfId="7118"/>
    <tableColumn id="3" xr3:uid="{00000000-0010-0000-8E00-000003000000}" name="NAME" dataDxfId="7117"/>
    <tableColumn id="4" xr3:uid="{00000000-0010-0000-8E00-000004000000}" name="ERA" dataDxfId="7116">
      <calculatedColumnFormula>IFERROR((OAK_P181[[#This Row],[R]]*9)/OAK_P181[[#This Row],[IP]],0)</calculatedColumnFormula>
    </tableColumn>
    <tableColumn id="5" xr3:uid="{00000000-0010-0000-8E00-000005000000}" name="W" dataDxfId="7115"/>
    <tableColumn id="6" xr3:uid="{00000000-0010-0000-8E00-000006000000}" name="L" dataDxfId="7114"/>
    <tableColumn id="7" xr3:uid="{00000000-0010-0000-8E00-000007000000}" name="G" dataDxfId="7113"/>
    <tableColumn id="8" xr3:uid="{00000000-0010-0000-8E00-000008000000}" name="IP" dataDxfId="7112"/>
    <tableColumn id="9" xr3:uid="{00000000-0010-0000-8E00-000009000000}" name="H" dataDxfId="7111"/>
    <tableColumn id="10" xr3:uid="{00000000-0010-0000-8E00-00000A000000}" name="R" dataDxfId="7110"/>
    <tableColumn id="11" xr3:uid="{00000000-0010-0000-8E00-00000B000000}" name="BB" dataDxfId="7109"/>
    <tableColumn id="12" xr3:uid="{00000000-0010-0000-8E00-00000C000000}" name="K" dataDxfId="7108"/>
    <tableColumn id="13" xr3:uid="{00000000-0010-0000-8E00-00000D000000}" name="SV" dataDxfId="7107"/>
    <tableColumn id="14" xr3:uid="{00000000-0010-0000-8E00-00000E000000}" name="WH" dataDxfId="7106">
      <calculatedColumnFormula>IFERROR((OAK_P181[[#This Row],[BB]]+OAK_P181[[#This Row],[H]])/OAK_P181[[#This Row],[IP]],0)</calculatedColumnFormula>
    </tableColumn>
    <tableColumn id="15" xr3:uid="{00000000-0010-0000-8E00-00000F000000}" name="QS" dataDxfId="7105"/>
    <tableColumn id="16" xr3:uid="{00000000-0010-0000-8E00-000010000000}" name="UQ" dataDxfId="7104"/>
    <tableColumn id="17" xr3:uid="{00000000-0010-0000-8E00-000011000000}" name="CG" dataDxfId="7103"/>
    <tableColumn id="18" xr3:uid="{00000000-0010-0000-8E00-000012000000}" name="SH" dataDxfId="7102"/>
    <tableColumn id="19" xr3:uid="{00000000-0010-0000-8E00-000013000000}" name="#" dataDxfId="7101"/>
  </tableColumns>
  <tableStyleInfo name="TableStyleMedium7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00000000-000C-0000-FFFF-FFFF8F000000}" name="LAA_H182" displayName="LAA_H182" ref="AY96:BU110" totalsRowShown="0" headerRowDxfId="7100" headerRowBorderDxfId="7099">
  <autoFilter ref="AY96:BU110" xr:uid="{00000000-0009-0000-0100-0000CF000000}"/>
  <sortState xmlns:xlrd2="http://schemas.microsoft.com/office/spreadsheetml/2017/richdata2" ref="AY97:BU110">
    <sortCondition ref="BU96:BU110"/>
  </sortState>
  <tableColumns count="23">
    <tableColumn id="1" xr3:uid="{00000000-0010-0000-8F00-000001000000}" name="TM" dataDxfId="7098"/>
    <tableColumn id="2" xr3:uid="{00000000-0010-0000-8F00-000002000000}" name="@" dataDxfId="7097"/>
    <tableColumn id="3" xr3:uid="{00000000-0010-0000-8F00-000003000000}" name="NAME" dataDxfId="7096"/>
    <tableColumn id="4" xr3:uid="{00000000-0010-0000-8F00-000004000000}" name="BA" dataDxfId="7095">
      <calculatedColumnFormula>IFERROR(LAA_H182[[#This Row],[H]]/LAA_H182[[#This Row],[AB]],0)</calculatedColumnFormula>
    </tableColumn>
    <tableColumn id="5" xr3:uid="{00000000-0010-0000-8F00-000005000000}" name="OBP" dataDxfId="7094">
      <calculatedColumnFormula>IFERROR((LAA_H182[[#This Row],[BB]]+LAA_H182[[#This Row],[H]])/(LAA_H182[[#This Row],[AB]]+LAA_H182[[#This Row],[BB]]),0)</calculatedColumnFormula>
    </tableColumn>
    <tableColumn id="6" xr3:uid="{00000000-0010-0000-8F00-000006000000}" name="SLG" dataDxfId="7093">
      <calculatedColumnFormula>IFERROR(((LAA_H182[[#This Row],[H]]-LAA_H182[[#This Row],[2B]]-LAA_H182[[#This Row],[3B]]-LAA_H182[[#This Row],[HR]])+(LAA_H182[[#This Row],[2B]]*2)+(LAA_H182[[#This Row],[3B]]*3)+(LAA_H182[[#This Row],[HR]]*4))/LAA_H182[[#This Row],[AB]],0)</calculatedColumnFormula>
    </tableColumn>
    <tableColumn id="7" xr3:uid="{00000000-0010-0000-8F00-000007000000}" name="G" dataDxfId="7092"/>
    <tableColumn id="8" xr3:uid="{00000000-0010-0000-8F00-000008000000}" name="AB" dataDxfId="7091"/>
    <tableColumn id="9" xr3:uid="{00000000-0010-0000-8F00-000009000000}" name="R" dataDxfId="7090"/>
    <tableColumn id="10" xr3:uid="{00000000-0010-0000-8F00-00000A000000}" name="H" dataDxfId="7089"/>
    <tableColumn id="11" xr3:uid="{00000000-0010-0000-8F00-00000B000000}" name="2B" dataDxfId="7088"/>
    <tableColumn id="12" xr3:uid="{00000000-0010-0000-8F00-00000C000000}" name="3B" dataDxfId="7087"/>
    <tableColumn id="13" xr3:uid="{00000000-0010-0000-8F00-00000D000000}" name="HR" dataDxfId="7086"/>
    <tableColumn id="14" xr3:uid="{00000000-0010-0000-8F00-00000E000000}" name="RBI" dataDxfId="7085"/>
    <tableColumn id="15" xr3:uid="{00000000-0010-0000-8F00-00000F000000}" name="BB" dataDxfId="7084"/>
    <tableColumn id="16" xr3:uid="{00000000-0010-0000-8F00-000010000000}" name="K" dataDxfId="7083"/>
    <tableColumn id="17" xr3:uid="{00000000-0010-0000-8F00-000011000000}" name="SB" dataDxfId="7082"/>
    <tableColumn id="18" xr3:uid="{00000000-0010-0000-8F00-000012000000}" name="HS" dataDxfId="7081"/>
    <tableColumn id="19" xr3:uid="{00000000-0010-0000-8F00-000013000000}" name="LS" dataDxfId="7080"/>
    <tableColumn id="20" xr3:uid="{00000000-0010-0000-8F00-000014000000}" name="TB" dataDxfId="7079">
      <calculatedColumnFormula>(LAA_H182[[#This Row],[H]]-LAA_H182[[#This Row],[2B]]-LAA_H182[[#This Row],[3B]]-LAA_H182[[#This Row],[HR]])+(LAA_H182[[#This Row],[2B]]*2)+(LAA_H182[[#This Row],[3B]]*3)+(LAA_H182[[#This Row],[HR]]*4)</calculatedColumnFormula>
    </tableColumn>
    <tableColumn id="21" xr3:uid="{00000000-0010-0000-8F00-000015000000}" name="OPS" dataDxfId="7078">
      <calculatedColumnFormula>IFERROR(LAA_H182[[#This Row],[OBP]]+LAA_H182[[#This Row],[SLG]],0)</calculatedColumnFormula>
    </tableColumn>
    <tableColumn id="22" xr3:uid="{00000000-0010-0000-8F00-000016000000}" name="*" dataDxfId="7077"/>
    <tableColumn id="23" xr3:uid="{00000000-0010-0000-8F00-000017000000}" name="#" dataDxfId="7076"/>
  </tableColumns>
  <tableStyleInfo name="TableStyleMedium3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00000000-000C-0000-FFFF-FFFF90000000}" name="LAA_P183" displayName="LAA_P183" ref="AY113:BQ123" totalsRowShown="0" headerRowDxfId="7075" headerRowBorderDxfId="7074">
  <autoFilter ref="AY113:BQ123" xr:uid="{00000000-0009-0000-0100-0000D0000000}"/>
  <sortState xmlns:xlrd2="http://schemas.microsoft.com/office/spreadsheetml/2017/richdata2" ref="AY114:BQ123">
    <sortCondition ref="BQ113:BQ123"/>
  </sortState>
  <tableColumns count="19">
    <tableColumn id="1" xr3:uid="{00000000-0010-0000-9000-000001000000}" name="TM" dataDxfId="7073"/>
    <tableColumn id="2" xr3:uid="{00000000-0010-0000-9000-000002000000}" name="@" dataDxfId="7072"/>
    <tableColumn id="3" xr3:uid="{00000000-0010-0000-9000-000003000000}" name="NAME" dataDxfId="7071"/>
    <tableColumn id="4" xr3:uid="{00000000-0010-0000-9000-000004000000}" name="ERA" dataDxfId="7070">
      <calculatedColumnFormula>IFERROR((LAA_P183[[#This Row],[R]]*9)/LAA_P183[[#This Row],[IP]],0)</calculatedColumnFormula>
    </tableColumn>
    <tableColumn id="5" xr3:uid="{00000000-0010-0000-9000-000005000000}" name="W" dataDxfId="7069"/>
    <tableColumn id="6" xr3:uid="{00000000-0010-0000-9000-000006000000}" name="L" dataDxfId="7068"/>
    <tableColumn id="7" xr3:uid="{00000000-0010-0000-9000-000007000000}" name="G" dataDxfId="7067"/>
    <tableColumn id="8" xr3:uid="{00000000-0010-0000-9000-000008000000}" name="IP" dataDxfId="7066"/>
    <tableColumn id="9" xr3:uid="{00000000-0010-0000-9000-000009000000}" name="H" dataDxfId="7065"/>
    <tableColumn id="10" xr3:uid="{00000000-0010-0000-9000-00000A000000}" name="R" dataDxfId="7064"/>
    <tableColumn id="11" xr3:uid="{00000000-0010-0000-9000-00000B000000}" name="BB" dataDxfId="7063"/>
    <tableColumn id="12" xr3:uid="{00000000-0010-0000-9000-00000C000000}" name="K" dataDxfId="7062"/>
    <tableColumn id="13" xr3:uid="{00000000-0010-0000-9000-00000D000000}" name="SV" dataDxfId="7061"/>
    <tableColumn id="14" xr3:uid="{00000000-0010-0000-9000-00000E000000}" name="WH" dataDxfId="7060">
      <calculatedColumnFormula>IFERROR((LAA_P183[[#This Row],[BB]]+LAA_P183[[#This Row],[H]])/LAA_P183[[#This Row],[IP]],0)</calculatedColumnFormula>
    </tableColumn>
    <tableColumn id="15" xr3:uid="{00000000-0010-0000-9000-00000F000000}" name="QS" dataDxfId="7059"/>
    <tableColumn id="16" xr3:uid="{00000000-0010-0000-9000-000010000000}" name="UQ" dataDxfId="7058"/>
    <tableColumn id="17" xr3:uid="{00000000-0010-0000-9000-000011000000}" name="CG" dataDxfId="7057"/>
    <tableColumn id="18" xr3:uid="{00000000-0010-0000-9000-000012000000}" name="SH" dataDxfId="7056"/>
    <tableColumn id="19" xr3:uid="{00000000-0010-0000-9000-000013000000}" name="#" dataDxfId="7055"/>
  </tableColumns>
  <tableStyleInfo name="TableStyleMedium3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00000000-000C-0000-FFFF-FFFF91000000}" name="TEX_P184" displayName="TEX_P184" ref="AY82:BQ92" totalsRowShown="0" headerRowDxfId="7054" headerRowBorderDxfId="7053">
  <autoFilter ref="AY82:BQ92" xr:uid="{00000000-0009-0000-0100-0000D1000000}"/>
  <sortState xmlns:xlrd2="http://schemas.microsoft.com/office/spreadsheetml/2017/richdata2" ref="AY83:BQ92">
    <sortCondition ref="BQ82:BQ92"/>
  </sortState>
  <tableColumns count="19">
    <tableColumn id="1" xr3:uid="{00000000-0010-0000-9100-000001000000}" name="TM" dataDxfId="7052"/>
    <tableColumn id="2" xr3:uid="{00000000-0010-0000-9100-000002000000}" name="@" dataDxfId="7051"/>
    <tableColumn id="3" xr3:uid="{00000000-0010-0000-9100-000003000000}" name="NAME" dataDxfId="7050"/>
    <tableColumn id="4" xr3:uid="{00000000-0010-0000-9100-000004000000}" name="ERA" dataDxfId="7049">
      <calculatedColumnFormula>IFERROR((TEX_P184[[#This Row],[R]]*9)/TEX_P184[[#This Row],[IP]],0)</calculatedColumnFormula>
    </tableColumn>
    <tableColumn id="5" xr3:uid="{00000000-0010-0000-9100-000005000000}" name="W" dataDxfId="7048"/>
    <tableColumn id="6" xr3:uid="{00000000-0010-0000-9100-000006000000}" name="L" dataDxfId="7047"/>
    <tableColumn id="7" xr3:uid="{00000000-0010-0000-9100-000007000000}" name="G" dataDxfId="7046"/>
    <tableColumn id="8" xr3:uid="{00000000-0010-0000-9100-000008000000}" name="IP" dataDxfId="7045"/>
    <tableColumn id="9" xr3:uid="{00000000-0010-0000-9100-000009000000}" name="H" dataDxfId="7044"/>
    <tableColumn id="10" xr3:uid="{00000000-0010-0000-9100-00000A000000}" name="R" dataDxfId="7043"/>
    <tableColumn id="11" xr3:uid="{00000000-0010-0000-9100-00000B000000}" name="BB" dataDxfId="7042"/>
    <tableColumn id="12" xr3:uid="{00000000-0010-0000-9100-00000C000000}" name="K" dataDxfId="7041"/>
    <tableColumn id="13" xr3:uid="{00000000-0010-0000-9100-00000D000000}" name="SV" dataDxfId="7040"/>
    <tableColumn id="14" xr3:uid="{00000000-0010-0000-9100-00000E000000}" name="WH" dataDxfId="7039">
      <calculatedColumnFormula>IFERROR((TEX_P184[[#This Row],[BB]]+TEX_P184[[#This Row],[H]])/TEX_P184[[#This Row],[IP]],0)</calculatedColumnFormula>
    </tableColumn>
    <tableColumn id="15" xr3:uid="{00000000-0010-0000-9100-00000F000000}" name="QS" dataDxfId="7038"/>
    <tableColumn id="16" xr3:uid="{00000000-0010-0000-9100-000010000000}" name="UQ" dataDxfId="7037"/>
    <tableColumn id="17" xr3:uid="{00000000-0010-0000-9100-000011000000}" name="CG" dataDxfId="7036"/>
    <tableColumn id="18" xr3:uid="{00000000-0010-0000-9100-000012000000}" name="SH" dataDxfId="7035"/>
    <tableColumn id="19" xr3:uid="{00000000-0010-0000-9100-000013000000}" name="#" dataDxfId="7034"/>
  </tableColumns>
  <tableStyleInfo name="TableStyleMedium2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00000000-000C-0000-FFFF-FFFF92000000}" name="TEX_H185" displayName="TEX_H185" ref="AY65:BU79" totalsRowShown="0" headerRowDxfId="7033" headerRowBorderDxfId="7032">
  <autoFilter ref="AY65:BU79" xr:uid="{00000000-0009-0000-0100-0000D2000000}"/>
  <sortState xmlns:xlrd2="http://schemas.microsoft.com/office/spreadsheetml/2017/richdata2" ref="AY66:BU79">
    <sortCondition ref="BU65:BU79"/>
  </sortState>
  <tableColumns count="23">
    <tableColumn id="1" xr3:uid="{00000000-0010-0000-9200-000001000000}" name="TM" dataDxfId="7031"/>
    <tableColumn id="2" xr3:uid="{00000000-0010-0000-9200-000002000000}" name="@" dataDxfId="7030"/>
    <tableColumn id="3" xr3:uid="{00000000-0010-0000-9200-000003000000}" name="NAME" dataDxfId="7029"/>
    <tableColumn id="4" xr3:uid="{00000000-0010-0000-9200-000004000000}" name="BA" dataDxfId="7028">
      <calculatedColumnFormula>IFERROR(TEX_H185[[#This Row],[H]]/TEX_H185[[#This Row],[AB]],0)</calculatedColumnFormula>
    </tableColumn>
    <tableColumn id="5" xr3:uid="{00000000-0010-0000-9200-000005000000}" name="OBP" dataDxfId="7027">
      <calculatedColumnFormula>IFERROR((TEX_H185[[#This Row],[H]]+TEX_H185[[#This Row],[BB]])/(TEX_H185[[#This Row],[AB]]+TEX_H185[[#This Row],[BB]]),0)</calculatedColumnFormula>
    </tableColumn>
    <tableColumn id="6" xr3:uid="{00000000-0010-0000-9200-000006000000}" name="SLG" dataDxfId="7026">
      <calculatedColumnFormula>IFERROR(((TEX_H185[[#This Row],[H]]-TEX_H185[[#This Row],[2B]]-TEX_H185[[#This Row],[3B]]-TEX_H185[[#This Row],[HR]])+(TEX_H185[[#This Row],[2B]]*2)+(TEX_H185[[#This Row],[3B]]*3)+(TEX_H185[[#This Row],[HR]]*4))/TEX_H185[[#This Row],[AB]],0)</calculatedColumnFormula>
    </tableColumn>
    <tableColumn id="7" xr3:uid="{00000000-0010-0000-9200-000007000000}" name="G" dataDxfId="7025"/>
    <tableColumn id="8" xr3:uid="{00000000-0010-0000-9200-000008000000}" name="AB" dataDxfId="7024"/>
    <tableColumn id="9" xr3:uid="{00000000-0010-0000-9200-000009000000}" name="R" dataDxfId="7023"/>
    <tableColumn id="10" xr3:uid="{00000000-0010-0000-9200-00000A000000}" name="H" dataDxfId="7022"/>
    <tableColumn id="11" xr3:uid="{00000000-0010-0000-9200-00000B000000}" name="2B" dataDxfId="7021"/>
    <tableColumn id="12" xr3:uid="{00000000-0010-0000-9200-00000C000000}" name="3B" dataDxfId="7020"/>
    <tableColumn id="13" xr3:uid="{00000000-0010-0000-9200-00000D000000}" name="HR" dataDxfId="7019"/>
    <tableColumn id="14" xr3:uid="{00000000-0010-0000-9200-00000E000000}" name="RBI" dataDxfId="7018"/>
    <tableColumn id="15" xr3:uid="{00000000-0010-0000-9200-00000F000000}" name="BB" dataDxfId="7017"/>
    <tableColumn id="16" xr3:uid="{00000000-0010-0000-9200-000010000000}" name="K" dataDxfId="7016"/>
    <tableColumn id="17" xr3:uid="{00000000-0010-0000-9200-000011000000}" name="SB" dataDxfId="7015"/>
    <tableColumn id="18" xr3:uid="{00000000-0010-0000-9200-000012000000}" name="HS" dataDxfId="7014"/>
    <tableColumn id="19" xr3:uid="{00000000-0010-0000-9200-000013000000}" name="LS" dataDxfId="7013"/>
    <tableColumn id="20" xr3:uid="{00000000-0010-0000-9200-000014000000}" name="TB" dataDxfId="7012">
      <calculatedColumnFormula>IFERROR((TEX_H185[[#This Row],[H]]-TEX_H185[[#This Row],[2B]]-TEX_H185[[#This Row],[3B]]-TEX_H185[[#This Row],[HR]])+(TEX_H185[[#This Row],[2B]]*2)+(TEX_H185[[#This Row],[3B]]*3)+(TEX_H185[[#This Row],[HR]]*4),0)</calculatedColumnFormula>
    </tableColumn>
    <tableColumn id="21" xr3:uid="{00000000-0010-0000-9200-000015000000}" name="OPS" dataDxfId="7011">
      <calculatedColumnFormula>IFERROR(TEX_H185[[#This Row],[OBP]]+TEX_H185[[#This Row],[SLG]],0)</calculatedColumnFormula>
    </tableColumn>
    <tableColumn id="22" xr3:uid="{00000000-0010-0000-9200-000016000000}" name="*" dataDxfId="7010"/>
    <tableColumn id="23" xr3:uid="{00000000-0010-0000-9200-000017000000}" name="#" dataDxfId="7009"/>
  </tableColumns>
  <tableStyleInfo name="TableStyleMedium2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000000-000C-0000-FFFF-FFFF93000000}" name="SEA_P186" displayName="SEA_P186" ref="AY51:BQ61" totalsRowShown="0" headerRowDxfId="7008" headerRowBorderDxfId="7007">
  <autoFilter ref="AY51:BQ61" xr:uid="{00000000-0009-0000-0100-0000D3000000}"/>
  <sortState xmlns:xlrd2="http://schemas.microsoft.com/office/spreadsheetml/2017/richdata2" ref="AY52:BO61">
    <sortCondition ref="BO51:BO61"/>
  </sortState>
  <tableColumns count="19">
    <tableColumn id="1" xr3:uid="{00000000-0010-0000-9300-000001000000}" name="TM" dataDxfId="7006"/>
    <tableColumn id="2" xr3:uid="{00000000-0010-0000-9300-000002000000}" name="@" dataDxfId="7005"/>
    <tableColumn id="3" xr3:uid="{00000000-0010-0000-9300-000003000000}" name="NAME" dataDxfId="7004"/>
    <tableColumn id="4" xr3:uid="{00000000-0010-0000-9300-000004000000}" name="ERA" dataDxfId="7003">
      <calculatedColumnFormula>IFERROR((SEA_P186[[#This Row],[R]]*9)/SEA_P186[[#This Row],[IP]],0)</calculatedColumnFormula>
    </tableColumn>
    <tableColumn id="5" xr3:uid="{00000000-0010-0000-9300-000005000000}" name="W" dataDxfId="7002"/>
    <tableColumn id="6" xr3:uid="{00000000-0010-0000-9300-000006000000}" name="L" dataDxfId="7001"/>
    <tableColumn id="7" xr3:uid="{00000000-0010-0000-9300-000007000000}" name="G" dataDxfId="7000"/>
    <tableColumn id="8" xr3:uid="{00000000-0010-0000-9300-000008000000}" name="IP" dataDxfId="6999"/>
    <tableColumn id="9" xr3:uid="{00000000-0010-0000-9300-000009000000}" name="H" dataDxfId="6998"/>
    <tableColumn id="10" xr3:uid="{00000000-0010-0000-9300-00000A000000}" name="R" dataDxfId="6997"/>
    <tableColumn id="11" xr3:uid="{00000000-0010-0000-9300-00000B000000}" name="BB" dataDxfId="6996"/>
    <tableColumn id="12" xr3:uid="{00000000-0010-0000-9300-00000C000000}" name="K" dataDxfId="6995"/>
    <tableColumn id="13" xr3:uid="{00000000-0010-0000-9300-00000D000000}" name="SV" dataDxfId="6994"/>
    <tableColumn id="14" xr3:uid="{00000000-0010-0000-9300-00000E000000}" name="WH" dataDxfId="6993">
      <calculatedColumnFormula>IFERROR((SEA_P186[[#This Row],[BB]]+SEA_P186[[#This Row],[H]])/SEA_P186[[#This Row],[IP]],0)</calculatedColumnFormula>
    </tableColumn>
    <tableColumn id="15" xr3:uid="{00000000-0010-0000-9300-00000F000000}" name="QS" dataDxfId="6992"/>
    <tableColumn id="16" xr3:uid="{00000000-0010-0000-9300-000010000000}" name="UQ" dataDxfId="6991"/>
    <tableColumn id="17" xr3:uid="{00000000-0010-0000-9300-000011000000}" name="CG" dataDxfId="6990"/>
    <tableColumn id="18" xr3:uid="{00000000-0010-0000-9300-000012000000}" name="SH" dataDxfId="6989"/>
    <tableColumn id="19" xr3:uid="{00000000-0010-0000-9300-000013000000}" name="#" dataDxfId="6988"/>
  </tableColumns>
  <tableStyleInfo name="TableStyleMedium7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00000000-000C-0000-FFFF-FFFF94000000}" name="SEA_H187" displayName="SEA_H187" ref="AY34:BU48" totalsRowShown="0" headerRowDxfId="6987" headerRowBorderDxfId="6986">
  <autoFilter ref="AY34:BU48" xr:uid="{00000000-0009-0000-0100-0000D4000000}"/>
  <sortState xmlns:xlrd2="http://schemas.microsoft.com/office/spreadsheetml/2017/richdata2" ref="AY35:BU48">
    <sortCondition ref="BU34:BU48"/>
  </sortState>
  <tableColumns count="23">
    <tableColumn id="1" xr3:uid="{00000000-0010-0000-9400-000001000000}" name="TM" dataDxfId="6985"/>
    <tableColumn id="2" xr3:uid="{00000000-0010-0000-9400-000002000000}" name="@" dataDxfId="6984"/>
    <tableColumn id="3" xr3:uid="{00000000-0010-0000-9400-000003000000}" name="NAME" dataDxfId="6983"/>
    <tableColumn id="4" xr3:uid="{00000000-0010-0000-9400-000004000000}" name="BA" dataDxfId="6982">
      <calculatedColumnFormula>IFERROR(SEA_H187[[#This Row],[H]]/SEA_H187[[#This Row],[AB]],0)</calculatedColumnFormula>
    </tableColumn>
    <tableColumn id="5" xr3:uid="{00000000-0010-0000-9400-000005000000}" name="OBP" dataDxfId="6981">
      <calculatedColumnFormula>IFERROR((SEA_H187[[#This Row],[BB]]+SEA_H187[[#This Row],[H]])/(SEA_H187[[#This Row],[AB]]+SEA_H187[[#This Row],[BB]]),0)</calculatedColumnFormula>
    </tableColumn>
    <tableColumn id="6" xr3:uid="{00000000-0010-0000-9400-000006000000}" name="SLG" dataDxfId="6980">
      <calculatedColumnFormula>IFERROR(((SEA_H187[[#This Row],[H]]-SEA_H187[[#This Row],[2B]]-SEA_H187[[#This Row],[3B]]-SEA_H187[[#This Row],[HR]])+(SEA_H187[[#This Row],[2B]]*2)+(SEA_H187[[#This Row],[3B]]*3)+(SEA_H187[[#This Row],[HR]]*4))/SEA_H187[[#This Row],[AB]],0)</calculatedColumnFormula>
    </tableColumn>
    <tableColumn id="7" xr3:uid="{00000000-0010-0000-9400-000007000000}" name="G" dataDxfId="6979"/>
    <tableColumn id="8" xr3:uid="{00000000-0010-0000-9400-000008000000}" name="AB" dataDxfId="6978"/>
    <tableColumn id="9" xr3:uid="{00000000-0010-0000-9400-000009000000}" name="R" dataDxfId="6977"/>
    <tableColumn id="10" xr3:uid="{00000000-0010-0000-9400-00000A000000}" name="H" dataDxfId="6976"/>
    <tableColumn id="11" xr3:uid="{00000000-0010-0000-9400-00000B000000}" name="2B" dataDxfId="6975"/>
    <tableColumn id="12" xr3:uid="{00000000-0010-0000-9400-00000C000000}" name="3B" dataDxfId="6974"/>
    <tableColumn id="13" xr3:uid="{00000000-0010-0000-9400-00000D000000}" name="HR" dataDxfId="6973"/>
    <tableColumn id="14" xr3:uid="{00000000-0010-0000-9400-00000E000000}" name="RBI" dataDxfId="6972"/>
    <tableColumn id="15" xr3:uid="{00000000-0010-0000-9400-00000F000000}" name="BB" dataDxfId="6971"/>
    <tableColumn id="16" xr3:uid="{00000000-0010-0000-9400-000010000000}" name="K" dataDxfId="6970"/>
    <tableColumn id="17" xr3:uid="{00000000-0010-0000-9400-000011000000}" name="SB" dataDxfId="6969"/>
    <tableColumn id="18" xr3:uid="{00000000-0010-0000-9400-000012000000}" name="HS" dataDxfId="6968"/>
    <tableColumn id="19" xr3:uid="{00000000-0010-0000-9400-000013000000}" name="LS" dataDxfId="6967"/>
    <tableColumn id="20" xr3:uid="{00000000-0010-0000-9400-000014000000}" name="TB" dataDxfId="6966">
      <calculatedColumnFormula>(SEA_H187[[#This Row],[H]]-SEA_H187[[#This Row],[2B]]-SEA_H187[[#This Row],[3B]]-SEA_H187[[#This Row],[HR]])+(SEA_H187[[#This Row],[2B]]*2)+(SEA_H187[[#This Row],[3B]]*3)+(SEA_H187[[#This Row],[HR]]*4)</calculatedColumnFormula>
    </tableColumn>
    <tableColumn id="21" xr3:uid="{00000000-0010-0000-9400-000015000000}" name="OPS" dataDxfId="6965">
      <calculatedColumnFormula>IFERROR(SEA_H187[[#This Row],[OBP]]+SEA_H187[[#This Row],[SLG]],0)</calculatedColumnFormula>
    </tableColumn>
    <tableColumn id="22" xr3:uid="{00000000-0010-0000-9400-000016000000}" name="*" dataDxfId="6964"/>
    <tableColumn id="23" xr3:uid="{00000000-0010-0000-9400-000017000000}" name="#" dataDxfId="6963"/>
  </tableColumns>
  <tableStyleInfo name="TableStyleMedium7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95000000}" name="LAA_H99" displayName="LAA_H99" ref="AY190:BU204" totalsRowShown="0" headerRowDxfId="6962" headerRowBorderDxfId="6961">
  <autoFilter ref="AY190:BU204" xr:uid="{00000000-0009-0000-0100-0000D5000000}"/>
  <sortState xmlns:xlrd2="http://schemas.microsoft.com/office/spreadsheetml/2017/richdata2" ref="AY191:BU204">
    <sortCondition ref="BU190:BU204"/>
  </sortState>
  <tableColumns count="23">
    <tableColumn id="1" xr3:uid="{00000000-0010-0000-9500-000001000000}" name="TM" dataDxfId="6960"/>
    <tableColumn id="2" xr3:uid="{00000000-0010-0000-9500-000002000000}" name="@" dataDxfId="6959"/>
    <tableColumn id="3" xr3:uid="{00000000-0010-0000-9500-000003000000}" name="NAME" dataDxfId="6958"/>
    <tableColumn id="4" xr3:uid="{00000000-0010-0000-9500-000004000000}" name="BA" dataDxfId="6957">
      <calculatedColumnFormula>IFERROR(LAA_H99[[#This Row],[H]]/LAA_H99[[#This Row],[AB]],0)</calculatedColumnFormula>
    </tableColumn>
    <tableColumn id="5" xr3:uid="{00000000-0010-0000-9500-000005000000}" name="OBP" dataDxfId="6956">
      <calculatedColumnFormula>IFERROR((LAA_H99[[#This Row],[BB]]+LAA_H99[[#This Row],[H]])/(LAA_H99[[#This Row],[AB]]+LAA_H99[[#This Row],[BB]]),0)</calculatedColumnFormula>
    </tableColumn>
    <tableColumn id="6" xr3:uid="{00000000-0010-0000-9500-000006000000}" name="SLG" dataDxfId="6955">
      <calculatedColumnFormula>IFERROR(((LAA_H99[[#This Row],[H]]-LAA_H99[[#This Row],[2B]]-LAA_H99[[#This Row],[3B]]-LAA_H99[[#This Row],[HR]])+(LAA_H99[[#This Row],[2B]]*2)+(LAA_H99[[#This Row],[3B]]*3)+(LAA_H99[[#This Row],[HR]]*4))/LAA_H99[[#This Row],[AB]],0)</calculatedColumnFormula>
    </tableColumn>
    <tableColumn id="7" xr3:uid="{00000000-0010-0000-9500-000007000000}" name="G" dataDxfId="6954"/>
    <tableColumn id="8" xr3:uid="{00000000-0010-0000-9500-000008000000}" name="AB" dataDxfId="6953"/>
    <tableColumn id="9" xr3:uid="{00000000-0010-0000-9500-000009000000}" name="R" dataDxfId="6952"/>
    <tableColumn id="10" xr3:uid="{00000000-0010-0000-9500-00000A000000}" name="H" dataDxfId="6951"/>
    <tableColumn id="11" xr3:uid="{00000000-0010-0000-9500-00000B000000}" name="2B" dataDxfId="6950"/>
    <tableColumn id="12" xr3:uid="{00000000-0010-0000-9500-00000C000000}" name="3B" dataDxfId="6949"/>
    <tableColumn id="13" xr3:uid="{00000000-0010-0000-9500-00000D000000}" name="HR" dataDxfId="6948"/>
    <tableColumn id="14" xr3:uid="{00000000-0010-0000-9500-00000E000000}" name="RBI" dataDxfId="6947"/>
    <tableColumn id="15" xr3:uid="{00000000-0010-0000-9500-00000F000000}" name="BB" dataDxfId="6946"/>
    <tableColumn id="16" xr3:uid="{00000000-0010-0000-9500-000010000000}" name="K" dataDxfId="6945"/>
    <tableColumn id="17" xr3:uid="{00000000-0010-0000-9500-000011000000}" name="SB" dataDxfId="6944"/>
    <tableColumn id="18" xr3:uid="{00000000-0010-0000-9500-000012000000}" name="HS" dataDxfId="6943"/>
    <tableColumn id="19" xr3:uid="{00000000-0010-0000-9500-000013000000}" name="LS" dataDxfId="6942"/>
    <tableColumn id="20" xr3:uid="{00000000-0010-0000-9500-000014000000}" name="TB" dataDxfId="6941">
      <calculatedColumnFormula>(LAA_H99[[#This Row],[H]]-LAA_H99[[#This Row],[2B]]-LAA_H99[[#This Row],[3B]]-LAA_H99[[#This Row],[HR]])+(LAA_H99[[#This Row],[2B]]*2)+(LAA_H99[[#This Row],[3B]]*3)+(LAA_H99[[#This Row],[HR]]*4)</calculatedColumnFormula>
    </tableColumn>
    <tableColumn id="21" xr3:uid="{00000000-0010-0000-9500-000015000000}" name="OPS" dataDxfId="6940">
      <calculatedColumnFormula>IFERROR(LAA_H99[[#This Row],[OBP]]+LAA_H99[[#This Row],[SLG]],0)</calculatedColumnFormula>
    </tableColumn>
    <tableColumn id="22" xr3:uid="{00000000-0010-0000-9500-000016000000}" name="*" dataDxfId="6939"/>
    <tableColumn id="23" xr3:uid="{00000000-0010-0000-9500-000017000000}" name="#" dataDxfId="6938"/>
  </tableColumns>
  <tableStyleInfo name="TableStyleMedium3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00000000-000C-0000-FFFF-FFFF96000000}" name="LAA_P100" displayName="LAA_P100" ref="AY207:BQ217" totalsRowShown="0" headerRowDxfId="6937" headerRowBorderDxfId="6936">
  <autoFilter ref="AY207:BQ217" xr:uid="{00000000-0009-0000-0100-0000D6000000}"/>
  <sortState xmlns:xlrd2="http://schemas.microsoft.com/office/spreadsheetml/2017/richdata2" ref="AY208:BQ217">
    <sortCondition ref="BQ207:BQ217"/>
  </sortState>
  <tableColumns count="19">
    <tableColumn id="1" xr3:uid="{00000000-0010-0000-9600-000001000000}" name="TM" dataDxfId="6935"/>
    <tableColumn id="2" xr3:uid="{00000000-0010-0000-9600-000002000000}" name="@" dataDxfId="6934"/>
    <tableColumn id="3" xr3:uid="{00000000-0010-0000-9600-000003000000}" name="NAME" dataDxfId="6933"/>
    <tableColumn id="4" xr3:uid="{00000000-0010-0000-9600-000004000000}" name="ERA" dataDxfId="6932">
      <calculatedColumnFormula>IFERROR((LAA_P100[[#This Row],[R]]*9)/LAA_P100[[#This Row],[IP]],0)</calculatedColumnFormula>
    </tableColumn>
    <tableColumn id="5" xr3:uid="{00000000-0010-0000-9600-000005000000}" name="W" dataDxfId="6931"/>
    <tableColumn id="6" xr3:uid="{00000000-0010-0000-9600-000006000000}" name="L" dataDxfId="6930"/>
    <tableColumn id="7" xr3:uid="{00000000-0010-0000-9600-000007000000}" name="G" dataDxfId="6929"/>
    <tableColumn id="8" xr3:uid="{00000000-0010-0000-9600-000008000000}" name="IP" dataDxfId="6928"/>
    <tableColumn id="9" xr3:uid="{00000000-0010-0000-9600-000009000000}" name="H" dataDxfId="6927"/>
    <tableColumn id="10" xr3:uid="{00000000-0010-0000-9600-00000A000000}" name="R" dataDxfId="6926"/>
    <tableColumn id="11" xr3:uid="{00000000-0010-0000-9600-00000B000000}" name="BB" dataDxfId="6925"/>
    <tableColumn id="12" xr3:uid="{00000000-0010-0000-9600-00000C000000}" name="K" dataDxfId="6924"/>
    <tableColumn id="13" xr3:uid="{00000000-0010-0000-9600-00000D000000}" name="SV" dataDxfId="6923"/>
    <tableColumn id="14" xr3:uid="{00000000-0010-0000-9600-00000E000000}" name="WH" dataDxfId="6922">
      <calculatedColumnFormula>IFERROR((LAA_P100[[#This Row],[BB]]+LAA_P100[[#This Row],[H]])/LAA_P100[[#This Row],[IP]],0)</calculatedColumnFormula>
    </tableColumn>
    <tableColumn id="15" xr3:uid="{00000000-0010-0000-9600-00000F000000}" name="QS" dataDxfId="6921"/>
    <tableColumn id="16" xr3:uid="{00000000-0010-0000-9600-000010000000}" name="UQ" dataDxfId="6920"/>
    <tableColumn id="17" xr3:uid="{00000000-0010-0000-9600-000011000000}" name="CG" dataDxfId="6919"/>
    <tableColumn id="18" xr3:uid="{00000000-0010-0000-9600-000012000000}" name="SH" dataDxfId="6918"/>
    <tableColumn id="19" xr3:uid="{00000000-0010-0000-9600-000013000000}" name="#" dataDxfId="6917"/>
  </tableColumns>
  <tableStyleInfo name="TableStyleMedium3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97000000}" name="HOU_H109" displayName="HOU_H109" ref="AY159:BU173" totalsRowShown="0" headerRowDxfId="6916" headerRowBorderDxfId="6915">
  <autoFilter ref="AY159:BU173" xr:uid="{00000000-0009-0000-0100-0000D7000000}"/>
  <sortState xmlns:xlrd2="http://schemas.microsoft.com/office/spreadsheetml/2017/richdata2" ref="AY160:BU173">
    <sortCondition ref="BU159:BU173"/>
  </sortState>
  <tableColumns count="23">
    <tableColumn id="1" xr3:uid="{00000000-0010-0000-9700-000001000000}" name="TM" dataDxfId="6914"/>
    <tableColumn id="2" xr3:uid="{00000000-0010-0000-9700-000002000000}" name="@" dataDxfId="6913"/>
    <tableColumn id="3" xr3:uid="{00000000-0010-0000-9700-000003000000}" name="NAME" dataDxfId="6912"/>
    <tableColumn id="4" xr3:uid="{00000000-0010-0000-9700-000004000000}" name="BA" dataDxfId="6911">
      <calculatedColumnFormula>IFERROR(HOU_H109[[#This Row],[H]]/HOU_H109[[#This Row],[AB]],0)</calculatedColumnFormula>
    </tableColumn>
    <tableColumn id="5" xr3:uid="{00000000-0010-0000-9700-000005000000}" name="OBP" dataDxfId="6910">
      <calculatedColumnFormula>IFERROR((HOU_H109[[#This Row],[BB]]+HOU_H109[[#This Row],[H]])/(HOU_H109[[#This Row],[AB]]+HOU_H109[[#This Row],[BB]]),0)</calculatedColumnFormula>
    </tableColumn>
    <tableColumn id="6" xr3:uid="{00000000-0010-0000-9700-000006000000}" name="SLG" dataDxfId="6909">
      <calculatedColumnFormula>IFERROR(((HOU_H109[[#This Row],[H]]-HOU_H109[[#This Row],[2B]]-HOU_H109[[#This Row],[3B]]-HOU_H109[[#This Row],[HR]])+(HOU_H109[[#This Row],[2B]]*2)+(HOU_H109[[#This Row],[3B]]*3)+(HOU_H109[[#This Row],[HR]]*4))/HOU_H109[[#This Row],[AB]],0)</calculatedColumnFormula>
    </tableColumn>
    <tableColumn id="7" xr3:uid="{00000000-0010-0000-9700-000007000000}" name="G" dataDxfId="6908"/>
    <tableColumn id="8" xr3:uid="{00000000-0010-0000-9700-000008000000}" name="AB" dataDxfId="6907"/>
    <tableColumn id="9" xr3:uid="{00000000-0010-0000-9700-000009000000}" name="R" dataDxfId="6906"/>
    <tableColumn id="10" xr3:uid="{00000000-0010-0000-9700-00000A000000}" name="H" dataDxfId="6905"/>
    <tableColumn id="11" xr3:uid="{00000000-0010-0000-9700-00000B000000}" name="2B" dataDxfId="6904"/>
    <tableColumn id="12" xr3:uid="{00000000-0010-0000-9700-00000C000000}" name="3B" dataDxfId="6903"/>
    <tableColumn id="13" xr3:uid="{00000000-0010-0000-9700-00000D000000}" name="HR" dataDxfId="6902"/>
    <tableColumn id="14" xr3:uid="{00000000-0010-0000-9700-00000E000000}" name="RBI" dataDxfId="6901"/>
    <tableColumn id="15" xr3:uid="{00000000-0010-0000-9700-00000F000000}" name="BB" dataDxfId="6900"/>
    <tableColumn id="16" xr3:uid="{00000000-0010-0000-9700-000010000000}" name="K" dataDxfId="6899"/>
    <tableColumn id="17" xr3:uid="{00000000-0010-0000-9700-000011000000}" name="SB" dataDxfId="6898"/>
    <tableColumn id="18" xr3:uid="{00000000-0010-0000-9700-000012000000}" name="HS" dataDxfId="6897"/>
    <tableColumn id="19" xr3:uid="{00000000-0010-0000-9700-000013000000}" name="LS" dataDxfId="6896"/>
    <tableColumn id="20" xr3:uid="{00000000-0010-0000-9700-000014000000}" name="TB" dataDxfId="6895">
      <calculatedColumnFormula>(HOU_H109[[#This Row],[H]]-HOU_H109[[#This Row],[2B]]-HOU_H109[[#This Row],[3B]]-HOU_H109[[#This Row],[HR]])+(HOU_H109[[#This Row],[2B]]*2)+(HOU_H109[[#This Row],[3B]]*3)+(HOU_H109[[#This Row],[HR]]*4)</calculatedColumnFormula>
    </tableColumn>
    <tableColumn id="21" xr3:uid="{00000000-0010-0000-9700-000015000000}" name="OPS" dataDxfId="6894">
      <calculatedColumnFormula>IFERROR(HOU_H109[[#This Row],[OBP]]+HOU_H109[[#This Row],[SLG]],0)</calculatedColumnFormula>
    </tableColumn>
    <tableColumn id="22" xr3:uid="{00000000-0010-0000-9700-000016000000}" name="*" dataDxfId="6893"/>
    <tableColumn id="23" xr3:uid="{00000000-0010-0000-9700-000017000000}" name="#" dataDxfId="6892"/>
  </tableColumns>
  <tableStyleInfo name="TableStyleMedium3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00000000-000C-0000-FFFF-FFFF98000000}" name="HOU_P110" displayName="HOU_P110" ref="AY176:BQ186" totalsRowShown="0" headerRowDxfId="6891" dataDxfId="6889" headerRowBorderDxfId="6890">
  <autoFilter ref="AY176:BQ186" xr:uid="{00000000-0009-0000-0100-0000D8000000}"/>
  <sortState xmlns:xlrd2="http://schemas.microsoft.com/office/spreadsheetml/2017/richdata2" ref="AY177:BQ186">
    <sortCondition ref="BQ176:BQ186"/>
  </sortState>
  <tableColumns count="19">
    <tableColumn id="1" xr3:uid="{00000000-0010-0000-9800-000001000000}" name="TM" dataDxfId="6888"/>
    <tableColumn id="2" xr3:uid="{00000000-0010-0000-9800-000002000000}" name="@" dataDxfId="6887"/>
    <tableColumn id="3" xr3:uid="{00000000-0010-0000-9800-000003000000}" name="NAME" dataDxfId="6886"/>
    <tableColumn id="4" xr3:uid="{00000000-0010-0000-9800-000004000000}" name="ERA" dataDxfId="6885">
      <calculatedColumnFormula>IFERROR((HOU_P110[[#This Row],[R]]*9)/HOU_P110[[#This Row],[IP]],0)</calculatedColumnFormula>
    </tableColumn>
    <tableColumn id="5" xr3:uid="{00000000-0010-0000-9800-000005000000}" name="W" dataDxfId="6884"/>
    <tableColumn id="6" xr3:uid="{00000000-0010-0000-9800-000006000000}" name="L" dataDxfId="6883"/>
    <tableColumn id="7" xr3:uid="{00000000-0010-0000-9800-000007000000}" name="G" dataDxfId="6882"/>
    <tableColumn id="8" xr3:uid="{00000000-0010-0000-9800-000008000000}" name="IP" dataDxfId="6881"/>
    <tableColumn id="9" xr3:uid="{00000000-0010-0000-9800-000009000000}" name="H" dataDxfId="6880"/>
    <tableColumn id="10" xr3:uid="{00000000-0010-0000-9800-00000A000000}" name="R" dataDxfId="6879"/>
    <tableColumn id="11" xr3:uid="{00000000-0010-0000-9800-00000B000000}" name="BB" dataDxfId="6878"/>
    <tableColumn id="12" xr3:uid="{00000000-0010-0000-9800-00000C000000}" name="K" dataDxfId="6877"/>
    <tableColumn id="13" xr3:uid="{00000000-0010-0000-9800-00000D000000}" name="SV" dataDxfId="6876"/>
    <tableColumn id="14" xr3:uid="{00000000-0010-0000-9800-00000E000000}" name="WH" dataDxfId="6875">
      <calculatedColumnFormula>IFERROR((HOU_P110[[#This Row],[BB]]+HOU_P110[[#This Row],[H]])/HOU_P110[[#This Row],[IP]],0)</calculatedColumnFormula>
    </tableColumn>
    <tableColumn id="15" xr3:uid="{00000000-0010-0000-9800-00000F000000}" name="QS" dataDxfId="6874"/>
    <tableColumn id="16" xr3:uid="{00000000-0010-0000-9800-000010000000}" name="UQ" dataDxfId="6873"/>
    <tableColumn id="17" xr3:uid="{00000000-0010-0000-9800-000011000000}" name="CG" dataDxfId="6872"/>
    <tableColumn id="18" xr3:uid="{00000000-0010-0000-9800-000012000000}" name="SH" dataDxfId="6871"/>
    <tableColumn id="19" xr3:uid="{00000000-0010-0000-9800-000013000000}" name="#" dataDxfId="6870"/>
  </tableColumns>
  <tableStyleInfo name="TableStyleMedium3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00000000-000C-0000-FFFF-FFFF99000000}" name="HOU_H109122" displayName="HOU_H109122" ref="AY221:BU235" totalsRowShown="0" headerRowDxfId="6869" headerRowBorderDxfId="6868">
  <autoFilter ref="AY221:BU235" xr:uid="{00000000-0009-0000-0100-0000D9000000}"/>
  <sortState xmlns:xlrd2="http://schemas.microsoft.com/office/spreadsheetml/2017/richdata2" ref="AY222:BU235">
    <sortCondition ref="BU221:BU235"/>
  </sortState>
  <tableColumns count="23">
    <tableColumn id="1" xr3:uid="{00000000-0010-0000-9900-000001000000}" name="TM" dataDxfId="6867"/>
    <tableColumn id="2" xr3:uid="{00000000-0010-0000-9900-000002000000}" name="@" dataDxfId="6866"/>
    <tableColumn id="3" xr3:uid="{00000000-0010-0000-9900-000003000000}" name="NAME" dataDxfId="6865"/>
    <tableColumn id="4" xr3:uid="{00000000-0010-0000-9900-000004000000}" name="BA" dataDxfId="6864">
      <calculatedColumnFormula>IFERROR(HOU_H109122[[#This Row],[H]]/HOU_H109122[[#This Row],[AB]],0)</calculatedColumnFormula>
    </tableColumn>
    <tableColumn id="5" xr3:uid="{00000000-0010-0000-9900-000005000000}" name="OBP" dataDxfId="6863">
      <calculatedColumnFormula>IFERROR((HOU_H109122[[#This Row],[BB]]+HOU_H109122[[#This Row],[H]])/(HOU_H109122[[#This Row],[AB]]+HOU_H109122[[#This Row],[BB]]),0)</calculatedColumnFormula>
    </tableColumn>
    <tableColumn id="6" xr3:uid="{00000000-0010-0000-9900-000006000000}" name="SLG" dataDxfId="6862">
      <calculatedColumnFormula>IFERROR(((HOU_H109122[[#This Row],[H]]-HOU_H109122[[#This Row],[2B]]-HOU_H109122[[#This Row],[3B]]-HOU_H109122[[#This Row],[HR]])+(HOU_H109122[[#This Row],[2B]]*2)+(HOU_H109122[[#This Row],[3B]]*3)+(HOU_H109122[[#This Row],[HR]]*4))/HOU_H109122[[#This Row],[AB]],0)</calculatedColumnFormula>
    </tableColumn>
    <tableColumn id="7" xr3:uid="{00000000-0010-0000-9900-000007000000}" name="G" dataDxfId="6861"/>
    <tableColumn id="8" xr3:uid="{00000000-0010-0000-9900-000008000000}" name="AB" dataDxfId="6860"/>
    <tableColumn id="9" xr3:uid="{00000000-0010-0000-9900-000009000000}" name="R" dataDxfId="6859"/>
    <tableColumn id="10" xr3:uid="{00000000-0010-0000-9900-00000A000000}" name="H" dataDxfId="6858"/>
    <tableColumn id="11" xr3:uid="{00000000-0010-0000-9900-00000B000000}" name="2B" dataDxfId="6857"/>
    <tableColumn id="12" xr3:uid="{00000000-0010-0000-9900-00000C000000}" name="3B" dataDxfId="6856"/>
    <tableColumn id="13" xr3:uid="{00000000-0010-0000-9900-00000D000000}" name="HR" dataDxfId="6855"/>
    <tableColumn id="14" xr3:uid="{00000000-0010-0000-9900-00000E000000}" name="RBI" dataDxfId="6854"/>
    <tableColumn id="15" xr3:uid="{00000000-0010-0000-9900-00000F000000}" name="BB" dataDxfId="6853"/>
    <tableColumn id="16" xr3:uid="{00000000-0010-0000-9900-000010000000}" name="K" dataDxfId="6852"/>
    <tableColumn id="17" xr3:uid="{00000000-0010-0000-9900-000011000000}" name="SB" dataDxfId="6851"/>
    <tableColumn id="18" xr3:uid="{00000000-0010-0000-9900-000012000000}" name="HS" dataDxfId="6850"/>
    <tableColumn id="19" xr3:uid="{00000000-0010-0000-9900-000013000000}" name="LS" dataDxfId="6849"/>
    <tableColumn id="20" xr3:uid="{00000000-0010-0000-9900-000014000000}" name="TB" dataDxfId="6848">
      <calculatedColumnFormula>(HOU_H109122[[#This Row],[H]]-HOU_H109122[[#This Row],[2B]]-HOU_H109122[[#This Row],[3B]]-HOU_H109122[[#This Row],[HR]])+(HOU_H109122[[#This Row],[2B]]*2)+(HOU_H109122[[#This Row],[3B]]*3)+(HOU_H109122[[#This Row],[HR]]*4)</calculatedColumnFormula>
    </tableColumn>
    <tableColumn id="21" xr3:uid="{00000000-0010-0000-9900-000015000000}" name="OPS" dataDxfId="6847">
      <calculatedColumnFormula>IFERROR(HOU_H109122[[#This Row],[OBP]]+HOU_H109122[[#This Row],[SLG]],0)</calculatedColumnFormula>
    </tableColumn>
    <tableColumn id="22" xr3:uid="{00000000-0010-0000-9900-000016000000}" name="*" dataDxfId="6846"/>
    <tableColumn id="23" xr3:uid="{00000000-0010-0000-9900-000017000000}" name="#" dataDxfId="6845"/>
  </tableColumns>
  <tableStyleInfo name="TableStyleMedium3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00000000-000C-0000-FFFF-FFFF9A000000}" name="HOU_P110123" displayName="HOU_P110123" ref="AY238:BQ248" totalsRowShown="0" headerRowDxfId="6844" dataDxfId="6842" headerRowBorderDxfId="6843">
  <autoFilter ref="AY238:BQ248" xr:uid="{00000000-0009-0000-0100-0000DA000000}"/>
  <sortState xmlns:xlrd2="http://schemas.microsoft.com/office/spreadsheetml/2017/richdata2" ref="AY239:BQ248">
    <sortCondition ref="BQ238:BQ248"/>
  </sortState>
  <tableColumns count="19">
    <tableColumn id="1" xr3:uid="{00000000-0010-0000-9A00-000001000000}" name="TM" dataDxfId="6841"/>
    <tableColumn id="2" xr3:uid="{00000000-0010-0000-9A00-000002000000}" name="@" dataDxfId="6840"/>
    <tableColumn id="3" xr3:uid="{00000000-0010-0000-9A00-000003000000}" name="NAME" dataDxfId="6839"/>
    <tableColumn id="4" xr3:uid="{00000000-0010-0000-9A00-000004000000}" name="ERA" dataDxfId="6838">
      <calculatedColumnFormula>IFERROR((HOU_P110123[[#This Row],[R]]*9)/HOU_P110123[[#This Row],[IP]],0)</calculatedColumnFormula>
    </tableColumn>
    <tableColumn id="5" xr3:uid="{00000000-0010-0000-9A00-000005000000}" name="W" dataDxfId="6837"/>
    <tableColumn id="6" xr3:uid="{00000000-0010-0000-9A00-000006000000}" name="L" dataDxfId="6836"/>
    <tableColumn id="7" xr3:uid="{00000000-0010-0000-9A00-000007000000}" name="G" dataDxfId="6835"/>
    <tableColumn id="8" xr3:uid="{00000000-0010-0000-9A00-000008000000}" name="IP" dataDxfId="6834"/>
    <tableColumn id="9" xr3:uid="{00000000-0010-0000-9A00-000009000000}" name="H" dataDxfId="6833"/>
    <tableColumn id="10" xr3:uid="{00000000-0010-0000-9A00-00000A000000}" name="R" dataDxfId="6832"/>
    <tableColumn id="11" xr3:uid="{00000000-0010-0000-9A00-00000B000000}" name="BB" dataDxfId="6831"/>
    <tableColumn id="12" xr3:uid="{00000000-0010-0000-9A00-00000C000000}" name="K" dataDxfId="6830"/>
    <tableColumn id="13" xr3:uid="{00000000-0010-0000-9A00-00000D000000}" name="SV" dataDxfId="6829"/>
    <tableColumn id="14" xr3:uid="{00000000-0010-0000-9A00-00000E000000}" name="WH" dataDxfId="6828">
      <calculatedColumnFormula>IFERROR((HOU_P110123[[#This Row],[BB]]+HOU_P110123[[#This Row],[H]])/HOU_P110123[[#This Row],[IP]],0)</calculatedColumnFormula>
    </tableColumn>
    <tableColumn id="15" xr3:uid="{00000000-0010-0000-9A00-00000F000000}" name="QS" dataDxfId="6827"/>
    <tableColumn id="16" xr3:uid="{00000000-0010-0000-9A00-000010000000}" name="UQ" dataDxfId="6826"/>
    <tableColumn id="17" xr3:uid="{00000000-0010-0000-9A00-000011000000}" name="CG" dataDxfId="6825"/>
    <tableColumn id="18" xr3:uid="{00000000-0010-0000-9A00-000012000000}" name="SH" dataDxfId="6824"/>
    <tableColumn id="19" xr3:uid="{00000000-0010-0000-9A00-000013000000}" name="#" dataDxfId="6823"/>
  </tableColumns>
  <tableStyleInfo name="TableStyleMedium3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9B000000}" name="HOU_H76" displayName="HOU_H76" ref="A159:W174" totalsRowCount="1" headerRowDxfId="6822" headerRowBorderDxfId="6821" totalsRowBorderDxfId="6820">
  <autoFilter ref="A159:W173" xr:uid="{00000000-0009-0000-0100-00004B000000}"/>
  <sortState xmlns:xlrd2="http://schemas.microsoft.com/office/spreadsheetml/2017/richdata2" ref="A160:W173">
    <sortCondition ref="W159:W173"/>
  </sortState>
  <tableColumns count="23">
    <tableColumn id="1" xr3:uid="{00000000-0010-0000-9B00-000001000000}" name="TM" totalsRowDxfId="6819"/>
    <tableColumn id="2" xr3:uid="{00000000-0010-0000-9B00-000002000000}" name="@" totalsRowDxfId="6818"/>
    <tableColumn id="3" xr3:uid="{00000000-0010-0000-9B00-000003000000}" name="NAME" totalsRowDxfId="6817"/>
    <tableColumn id="4" xr3:uid="{00000000-0010-0000-9B00-000004000000}" name="BA" totalsRowFunction="custom" totalsRowDxfId="6816">
      <calculatedColumnFormula>IFERROR(HOU_H76[[#This Row],[H]]/HOU_H76[[#This Row],[AB]],0)</calculatedColumnFormula>
      <totalsRowFormula>HOU_H76[[#Totals],[H]]/HOU_H76[[#Totals],[AB]]</totalsRowFormula>
    </tableColumn>
    <tableColumn id="5" xr3:uid="{00000000-0010-0000-9B00-000005000000}" name="OBP" totalsRowFunction="custom" totalsRowDxfId="6815">
      <calculatedColumnFormula>IFERROR((HOU_H76[[#This Row],[H]]+HOU_H76[[#This Row],[BB]])/(HOU_H76[[#This Row],[BB]]+HOU_H76[[#This Row],[AB]]),0)</calculatedColumnFormula>
      <totalsRowFormula>(HOU_H76[[#Totals],[H]]+HOU_H76[[#Totals],[BB]])/HOU_H76[[#Totals],[AB]]</totalsRowFormula>
    </tableColumn>
    <tableColumn id="6" xr3:uid="{00000000-0010-0000-9B00-000006000000}" name="SLG" totalsRowFunction="custom" totalsRowDxfId="6814">
      <calculatedColumnFormula>IFERROR(((HOU_H76[[#This Row],[H]]-HOU_H76[[#This Row],[2B]]-HOU_H76[[#This Row],[3B]]-HOU_H76[[#This Row],[HR]])+(HOU_H76[[#This Row],[2B]]*2)+(HOU_H76[[#This Row],[3B]]*3)+(HOU_H76[[#This Row],[HR]]*4))/HOU_H76[[#This Row],[AB]],0)</calculatedColumnFormula>
      <totalsRowFormula>((HOU_H76[[#Totals],[H]]-HOU_H76[[#Totals],[2B]]-HOU_H76[[#Totals],[3B]]-HOU_H76[[#Totals],[HR]])+(HOU_H76[[#Totals],[2B]]*2)+(HOU_H76[[#Totals],[3B]]*3)+(HOU_H76[[#Totals],[HR]]*4))/HOU_H76[[#Totals],[AB]]</totalsRowFormula>
    </tableColumn>
    <tableColumn id="7" xr3:uid="{00000000-0010-0000-9B00-000007000000}" name="G" totalsRowDxfId="6813"/>
    <tableColumn id="8" xr3:uid="{00000000-0010-0000-9B00-000008000000}" name="AB" totalsRowFunction="sum" totalsRowDxfId="6812"/>
    <tableColumn id="9" xr3:uid="{00000000-0010-0000-9B00-000009000000}" name="R" totalsRowFunction="sum" totalsRowDxfId="6811"/>
    <tableColumn id="10" xr3:uid="{00000000-0010-0000-9B00-00000A000000}" name="H" totalsRowFunction="sum" totalsRowDxfId="6810"/>
    <tableColumn id="11" xr3:uid="{00000000-0010-0000-9B00-00000B000000}" name="2B" totalsRowFunction="sum" totalsRowDxfId="6809"/>
    <tableColumn id="12" xr3:uid="{00000000-0010-0000-9B00-00000C000000}" name="3B" totalsRowFunction="sum" totalsRowDxfId="6808"/>
    <tableColumn id="13" xr3:uid="{00000000-0010-0000-9B00-00000D000000}" name="HR" totalsRowFunction="sum" totalsRowDxfId="6807"/>
    <tableColumn id="14" xr3:uid="{00000000-0010-0000-9B00-00000E000000}" name="RBI" totalsRowFunction="sum" totalsRowDxfId="6806"/>
    <tableColumn id="15" xr3:uid="{00000000-0010-0000-9B00-00000F000000}" name="BB" totalsRowFunction="sum" totalsRowDxfId="6805"/>
    <tableColumn id="16" xr3:uid="{00000000-0010-0000-9B00-000010000000}" name="K" totalsRowFunction="sum" totalsRowDxfId="6804"/>
    <tableColumn id="17" xr3:uid="{00000000-0010-0000-9B00-000011000000}" name="SB" totalsRowFunction="sum" totalsRowDxfId="6803"/>
    <tableColumn id="18" xr3:uid="{00000000-0010-0000-9B00-000012000000}" name="HS" totalsRowDxfId="6802"/>
    <tableColumn id="19" xr3:uid="{00000000-0010-0000-9B00-000013000000}" name="LS" totalsRowDxfId="6801"/>
    <tableColumn id="20" xr3:uid="{00000000-0010-0000-9B00-000014000000}" name="TB" totalsRowFunction="sum" totalsRowDxfId="6800">
      <calculatedColumnFormula>IFERROR((HOU_H76[[#This Row],[H]]-HOU_H76[[#This Row],[2B]]-HOU_H76[[#This Row],[3B]]-HOU_H76[[#This Row],[HR]])+(HOU_H76[[#This Row],[2B]]*2)+(HOU_H76[[#This Row],[3B]]*3)+(HOU_H76[[#This Row],[HR]]*4),0)</calculatedColumnFormula>
    </tableColumn>
    <tableColumn id="21" xr3:uid="{00000000-0010-0000-9B00-000015000000}" name="OPS" totalsRowFunction="custom" totalsRowDxfId="6799">
      <calculatedColumnFormula>HOU_H76[[#This Row],[OBP]]+HOU_H76[[#This Row],[SLG]]</calculatedColumnFormula>
      <totalsRowFormula>HOU_H76[[#Totals],[OBP]]+HOU_H76[[#Totals],[SLG]]</totalsRowFormula>
    </tableColumn>
    <tableColumn id="22" xr3:uid="{00000000-0010-0000-9B00-000016000000}" name="*" totalsRowFunction="sum" totalsRowDxfId="6798"/>
    <tableColumn id="23" xr3:uid="{00000000-0010-0000-9B00-000017000000}" name="#" totalsRowDxfId="6797"/>
  </tableColumns>
  <tableStyleInfo name="TableStyleMedium3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9C000000}" name="HOU_P77" displayName="HOU_P77" ref="A176:S187" totalsRowCount="1" headerRowDxfId="6796" dataDxfId="6794" headerRowBorderDxfId="6795" totalsRowBorderDxfId="6793">
  <autoFilter ref="A176:S186" xr:uid="{00000000-0009-0000-0100-00004C000000}"/>
  <sortState xmlns:xlrd2="http://schemas.microsoft.com/office/spreadsheetml/2017/richdata2" ref="A177:S186">
    <sortCondition ref="S176:S186"/>
  </sortState>
  <tableColumns count="19">
    <tableColumn id="1" xr3:uid="{00000000-0010-0000-9C00-000001000000}" name="TM" dataDxfId="6792" totalsRowDxfId="6791"/>
    <tableColumn id="2" xr3:uid="{00000000-0010-0000-9C00-000002000000}" name="@" dataDxfId="6790" totalsRowDxfId="6789"/>
    <tableColumn id="3" xr3:uid="{00000000-0010-0000-9C00-000003000000}" name="NAME" dataDxfId="6788" totalsRowDxfId="6787"/>
    <tableColumn id="4" xr3:uid="{00000000-0010-0000-9C00-000004000000}" name="ERA" totalsRowFunction="custom" dataDxfId="6786" totalsRowDxfId="6785">
      <calculatedColumnFormula>IFERROR((HOU_P77[[#This Row],[R]]*9)/HOU_P77[[#This Row],[IP]],0)</calculatedColumnFormula>
      <totalsRowFormula>(HOU_P77[[#Totals],[R]]*9)/HOU_P77[[#Totals],[IP]]</totalsRowFormula>
    </tableColumn>
    <tableColumn id="5" xr3:uid="{00000000-0010-0000-9C00-000005000000}" name="W" totalsRowFunction="sum" dataDxfId="6784" totalsRowDxfId="6783"/>
    <tableColumn id="6" xr3:uid="{00000000-0010-0000-9C00-000006000000}" name="L" totalsRowFunction="sum" dataDxfId="6782" totalsRowDxfId="6781"/>
    <tableColumn id="7" xr3:uid="{00000000-0010-0000-9C00-000007000000}" name="G" dataDxfId="6780" totalsRowDxfId="6779"/>
    <tableColumn id="8" xr3:uid="{00000000-0010-0000-9C00-000008000000}" name="IP" totalsRowFunction="sum" dataDxfId="6778" totalsRowDxfId="6777"/>
    <tableColumn id="9" xr3:uid="{00000000-0010-0000-9C00-000009000000}" name="H" totalsRowFunction="sum" dataDxfId="6776" totalsRowDxfId="6775"/>
    <tableColumn id="10" xr3:uid="{00000000-0010-0000-9C00-00000A000000}" name="R" totalsRowFunction="sum" dataDxfId="6774" totalsRowDxfId="6773"/>
    <tableColumn id="11" xr3:uid="{00000000-0010-0000-9C00-00000B000000}" name="BB" totalsRowFunction="sum" dataDxfId="6772" totalsRowDxfId="6771"/>
    <tableColumn id="12" xr3:uid="{00000000-0010-0000-9C00-00000C000000}" name="K" totalsRowFunction="sum" dataDxfId="6770" totalsRowDxfId="6769"/>
    <tableColumn id="13" xr3:uid="{00000000-0010-0000-9C00-00000D000000}" name="SV" totalsRowFunction="sum" dataDxfId="6768" totalsRowDxfId="6767"/>
    <tableColumn id="14" xr3:uid="{00000000-0010-0000-9C00-00000E000000}" name="WH" totalsRowFunction="custom" dataDxfId="6766" totalsRowDxfId="6765">
      <calculatedColumnFormula>IFERROR((HOU_P77[[#This Row],[BB]]+HOU_P77[[#This Row],[H]])/HOU_P77[[#This Row],[IP]],0)</calculatedColumnFormula>
      <totalsRowFormula>(HOU_P77[[#Totals],[H]]+HOU_P77[[#Totals],[BB]])/HOU_P77[[#Totals],[IP]]</totalsRowFormula>
    </tableColumn>
    <tableColumn id="15" xr3:uid="{00000000-0010-0000-9C00-00000F000000}" name="QS" totalsRowFunction="sum" dataDxfId="6764" totalsRowDxfId="6763"/>
    <tableColumn id="16" xr3:uid="{00000000-0010-0000-9C00-000010000000}" name="UQ" totalsRowFunction="sum" dataDxfId="6762" totalsRowDxfId="6761"/>
    <tableColumn id="17" xr3:uid="{00000000-0010-0000-9C00-000011000000}" name="CG" totalsRowFunction="sum" dataDxfId="6760" totalsRowDxfId="6759"/>
    <tableColumn id="18" xr3:uid="{00000000-0010-0000-9C00-000012000000}" name="SH" totalsRowFunction="sum" dataDxfId="6758" totalsRowDxfId="6757"/>
    <tableColumn id="19" xr3:uid="{00000000-0010-0000-9C00-000013000000}" name="#" dataDxfId="6756" totalsRowDxfId="6755"/>
  </tableColumns>
  <tableStyleInfo name="TableStyleMedium3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9D000000}" name="SEA_P88" displayName="SEA_P88" ref="A207:S217" totalsRowShown="0" headerRowDxfId="6754" headerRowBorderDxfId="6753">
  <autoFilter ref="A207:S217" xr:uid="{00000000-0009-0000-0100-000057000000}"/>
  <sortState xmlns:xlrd2="http://schemas.microsoft.com/office/spreadsheetml/2017/richdata2" ref="A208:S217">
    <sortCondition ref="S51:S61"/>
  </sortState>
  <tableColumns count="19">
    <tableColumn id="1" xr3:uid="{00000000-0010-0000-9D00-000001000000}" name="TM" dataDxfId="6752"/>
    <tableColumn id="2" xr3:uid="{00000000-0010-0000-9D00-000002000000}" name="@" dataDxfId="6751"/>
    <tableColumn id="3" xr3:uid="{00000000-0010-0000-9D00-000003000000}" name="NAME" dataDxfId="6750"/>
    <tableColumn id="4" xr3:uid="{00000000-0010-0000-9D00-000004000000}" name="ERA" dataDxfId="6749">
      <calculatedColumnFormula>IFERROR((SEA_P88[[#This Row],[R]]*9)/SEA_P88[[#This Row],[IP]],0)</calculatedColumnFormula>
    </tableColumn>
    <tableColumn id="5" xr3:uid="{00000000-0010-0000-9D00-000005000000}" name="W" dataDxfId="6748"/>
    <tableColumn id="6" xr3:uid="{00000000-0010-0000-9D00-000006000000}" name="L" dataDxfId="6747"/>
    <tableColumn id="7" xr3:uid="{00000000-0010-0000-9D00-000007000000}" name="G" dataDxfId="6746"/>
    <tableColumn id="8" xr3:uid="{00000000-0010-0000-9D00-000008000000}" name="IP" dataDxfId="6745"/>
    <tableColumn id="9" xr3:uid="{00000000-0010-0000-9D00-000009000000}" name="H" dataDxfId="6744"/>
    <tableColumn id="10" xr3:uid="{00000000-0010-0000-9D00-00000A000000}" name="R" dataDxfId="6743"/>
    <tableColumn id="11" xr3:uid="{00000000-0010-0000-9D00-00000B000000}" name="BB" dataDxfId="6742"/>
    <tableColumn id="12" xr3:uid="{00000000-0010-0000-9D00-00000C000000}" name="K" dataDxfId="6741"/>
    <tableColumn id="13" xr3:uid="{00000000-0010-0000-9D00-00000D000000}" name="SV" dataDxfId="6740"/>
    <tableColumn id="14" xr3:uid="{00000000-0010-0000-9D00-00000E000000}" name="WH" dataDxfId="6739">
      <calculatedColumnFormula>IFERROR((SEA_P88[[#This Row],[BB]]+SEA_P88[[#This Row],[H]])/SEA_P88[[#This Row],[IP]],0)</calculatedColumnFormula>
    </tableColumn>
    <tableColumn id="15" xr3:uid="{00000000-0010-0000-9D00-00000F000000}" name="QS" dataDxfId="6738"/>
    <tableColumn id="16" xr3:uid="{00000000-0010-0000-9D00-000010000000}" name="UQ" dataDxfId="6737"/>
    <tableColumn id="17" xr3:uid="{00000000-0010-0000-9D00-000011000000}" name="CG" dataDxfId="6736"/>
    <tableColumn id="18" xr3:uid="{00000000-0010-0000-9D00-000012000000}" name="SH" dataDxfId="6735"/>
    <tableColumn id="19" xr3:uid="{00000000-0010-0000-9D00-000013000000}" name="#" dataDxfId="6734"/>
  </tableColumns>
  <tableStyleInfo name="TableStyleMedium7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9E000000}" name="SEA_H89" displayName="SEA_H89" ref="A190:W204" totalsRowShown="0" headerRowDxfId="6733" headerRowBorderDxfId="6732">
  <autoFilter ref="A190:W204" xr:uid="{00000000-0009-0000-0100-000058000000}"/>
  <sortState xmlns:xlrd2="http://schemas.microsoft.com/office/spreadsheetml/2017/richdata2" ref="A191:W204">
    <sortCondition descending="1" ref="T190:T204"/>
  </sortState>
  <tableColumns count="23">
    <tableColumn id="1" xr3:uid="{00000000-0010-0000-9E00-000001000000}" name="TM" dataDxfId="6731"/>
    <tableColumn id="2" xr3:uid="{00000000-0010-0000-9E00-000002000000}" name="@" dataDxfId="6730"/>
    <tableColumn id="3" xr3:uid="{00000000-0010-0000-9E00-000003000000}" name="NAME" dataDxfId="6729"/>
    <tableColumn id="4" xr3:uid="{00000000-0010-0000-9E00-000004000000}" name="BA" dataDxfId="6728">
      <calculatedColumnFormula>IFERROR(SEA_H89[[#This Row],[H]]/SEA_H89[[#This Row],[AB]],0)</calculatedColumnFormula>
    </tableColumn>
    <tableColumn id="5" xr3:uid="{00000000-0010-0000-9E00-000005000000}" name="OBP" dataDxfId="6727">
      <calculatedColumnFormula>IFERROR((SEA_H89[[#This Row],[H]]+SEA_H89[[#This Row],[BB]])/(SEA_H89[[#This Row],[BB]]+SEA_H89[[#This Row],[AB]]),0)</calculatedColumnFormula>
    </tableColumn>
    <tableColumn id="6" xr3:uid="{00000000-0010-0000-9E00-000006000000}" name="SLG" dataDxfId="6726">
      <calculatedColumnFormula>IFERROR(((SEA_H89[[#This Row],[H]]-SEA_H89[[#This Row],[2B]]-SEA_H89[[#This Row],[3B]]-SEA_H89[[#This Row],[HR]])+(SEA_H89[[#This Row],[2B]]*2)+(SEA_H89[[#This Row],[3B]]*3)+(SEA_H89[[#This Row],[HR]]*4))/SEA_H89[[#This Row],[AB]],0)</calculatedColumnFormula>
    </tableColumn>
    <tableColumn id="7" xr3:uid="{00000000-0010-0000-9E00-000007000000}" name="G" dataDxfId="6725"/>
    <tableColumn id="8" xr3:uid="{00000000-0010-0000-9E00-000008000000}" name="AB" dataDxfId="6724"/>
    <tableColumn id="9" xr3:uid="{00000000-0010-0000-9E00-000009000000}" name="R" dataDxfId="6723"/>
    <tableColumn id="10" xr3:uid="{00000000-0010-0000-9E00-00000A000000}" name="H" dataDxfId="6722"/>
    <tableColumn id="11" xr3:uid="{00000000-0010-0000-9E00-00000B000000}" name="2B" dataDxfId="6721"/>
    <tableColumn id="12" xr3:uid="{00000000-0010-0000-9E00-00000C000000}" name="3B" dataDxfId="6720"/>
    <tableColumn id="13" xr3:uid="{00000000-0010-0000-9E00-00000D000000}" name="HR" dataDxfId="6719"/>
    <tableColumn id="14" xr3:uid="{00000000-0010-0000-9E00-00000E000000}" name="RBI" dataDxfId="6718"/>
    <tableColumn id="15" xr3:uid="{00000000-0010-0000-9E00-00000F000000}" name="BB" dataDxfId="6717"/>
    <tableColumn id="16" xr3:uid="{00000000-0010-0000-9E00-000010000000}" name="K" dataDxfId="6716"/>
    <tableColumn id="17" xr3:uid="{00000000-0010-0000-9E00-000011000000}" name="SB" dataDxfId="6715"/>
    <tableColumn id="18" xr3:uid="{00000000-0010-0000-9E00-000012000000}" name="HS" dataDxfId="6714"/>
    <tableColumn id="19" xr3:uid="{00000000-0010-0000-9E00-000013000000}" name="LS" dataDxfId="6713"/>
    <tableColumn id="20" xr3:uid="{00000000-0010-0000-9E00-000014000000}" name="TB" dataDxfId="6712">
      <calculatedColumnFormula>IFERROR((SEA_H89[[#This Row],[H]]-SEA_H89[[#This Row],[2B]]-SEA_H89[[#This Row],[3B]]-SEA_H89[[#This Row],[HR]])+(SEA_H89[[#This Row],[2B]]*2)+(SEA_H89[[#This Row],[3B]]*3)+(SEA_H89[[#This Row],[HR]]*4),0)</calculatedColumnFormula>
    </tableColumn>
    <tableColumn id="21" xr3:uid="{00000000-0010-0000-9E00-000015000000}" name="OPS" dataDxfId="6711">
      <calculatedColumnFormula>SEA_H89[[#This Row],[OBP]]+SEA_H89[[#This Row],[SLG]]</calculatedColumnFormula>
    </tableColumn>
    <tableColumn id="22" xr3:uid="{00000000-0010-0000-9E00-000016000000}" name="*" dataDxfId="6710"/>
    <tableColumn id="23" xr3:uid="{00000000-0010-0000-9E00-000017000000}" name="#" dataDxfId="6709"/>
  </tableColumns>
  <tableStyleInfo name="TableStyleMedium7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9F000000}" name="ATL_H" displayName="ATL_H" ref="A65:W79" totalsRowShown="0" headerRowDxfId="4280" dataDxfId="4278" headerRowBorderDxfId="4279">
  <autoFilter ref="A65:W79" xr:uid="{00000000-0009-0000-0100-00003F000000}"/>
  <sortState xmlns:xlrd2="http://schemas.microsoft.com/office/spreadsheetml/2017/richdata2" ref="A66:W79">
    <sortCondition ref="W65:W79"/>
  </sortState>
  <tableColumns count="23">
    <tableColumn id="1" xr3:uid="{00000000-0010-0000-9F00-000001000000}" name="TM" dataDxfId="4277"/>
    <tableColumn id="2" xr3:uid="{00000000-0010-0000-9F00-000002000000}" name="@" dataDxfId="4276"/>
    <tableColumn id="3" xr3:uid="{00000000-0010-0000-9F00-000003000000}" name="NAME" dataDxfId="4275"/>
    <tableColumn id="4" xr3:uid="{00000000-0010-0000-9F00-000004000000}" name="BA" dataDxfId="4274">
      <calculatedColumnFormula>IFERROR(ATL_H[[#This Row],[H]]/ATL_H[[#This Row],[AB]],0)</calculatedColumnFormula>
    </tableColumn>
    <tableColumn id="5" xr3:uid="{00000000-0010-0000-9F00-000005000000}" name="OBP" dataDxfId="4273">
      <calculatedColumnFormula>IFERROR((ATL_H[[#This Row],[H]]+ATL_H[[#This Row],[BB]])/(ATL_H[[#This Row],[BB]]+ATL_H[[#This Row],[AB]]),0)</calculatedColumnFormula>
    </tableColumn>
    <tableColumn id="6" xr3:uid="{00000000-0010-0000-9F00-000006000000}" name="SLG" dataDxfId="4272">
      <calculatedColumnFormula>IFERROR(((ATL_H[[#This Row],[H]]-ATL_H[[#This Row],[2B]]-ATL_H[[#This Row],[3B]]-ATL_H[[#This Row],[HR]])+(ATL_H[[#This Row],[2B]]*2)+(ATL_H[[#This Row],[3B]]*3)+(ATL_H[[#This Row],[HR]]*4))/ATL_H[[#This Row],[AB]],0)</calculatedColumnFormula>
    </tableColumn>
    <tableColumn id="7" xr3:uid="{00000000-0010-0000-9F00-000007000000}" name="G" dataDxfId="4271"/>
    <tableColumn id="8" xr3:uid="{00000000-0010-0000-9F00-000008000000}" name="AB" dataDxfId="4270"/>
    <tableColumn id="9" xr3:uid="{00000000-0010-0000-9F00-000009000000}" name="R" dataDxfId="4269"/>
    <tableColumn id="10" xr3:uid="{00000000-0010-0000-9F00-00000A000000}" name="H" dataDxfId="4268"/>
    <tableColumn id="11" xr3:uid="{00000000-0010-0000-9F00-00000B000000}" name="2B" dataDxfId="4267"/>
    <tableColumn id="12" xr3:uid="{00000000-0010-0000-9F00-00000C000000}" name="3B" dataDxfId="4266"/>
    <tableColumn id="13" xr3:uid="{00000000-0010-0000-9F00-00000D000000}" name="HR" dataDxfId="4265"/>
    <tableColumn id="14" xr3:uid="{00000000-0010-0000-9F00-00000E000000}" name="RBI" dataDxfId="4264"/>
    <tableColumn id="15" xr3:uid="{00000000-0010-0000-9F00-00000F000000}" name="BB" dataDxfId="4263"/>
    <tableColumn id="16" xr3:uid="{00000000-0010-0000-9F00-000010000000}" name="K" dataDxfId="4262"/>
    <tableColumn id="17" xr3:uid="{00000000-0010-0000-9F00-000011000000}" name="SB" dataDxfId="4261"/>
    <tableColumn id="18" xr3:uid="{00000000-0010-0000-9F00-000012000000}" name="HS" dataDxfId="4260"/>
    <tableColumn id="21" xr3:uid="{00000000-0010-0000-9F00-000015000000}" name="LS" dataDxfId="4259"/>
    <tableColumn id="19" xr3:uid="{00000000-0010-0000-9F00-000013000000}" name="TB" dataDxfId="4258">
      <calculatedColumnFormula>IFERROR((ATL_H[[#This Row],[H]]-ATL_H[[#This Row],[2B]]-ATL_H[[#This Row],[3B]]-ATL_H[[#This Row],[HR]])+(ATL_H[[#This Row],[2B]]*2)+(ATL_H[[#This Row],[3B]]*3)+(ATL_H[[#This Row],[HR]]*4),0)</calculatedColumnFormula>
    </tableColumn>
    <tableColumn id="23" xr3:uid="{00000000-0010-0000-9F00-000017000000}" name="OPS" dataDxfId="4257">
      <calculatedColumnFormula>ATL_H[[#This Row],[OBP]]+ATL_H[[#This Row],[SLG]]</calculatedColumnFormula>
    </tableColumn>
    <tableColumn id="22" xr3:uid="{00000000-0010-0000-9F00-000016000000}" name="*" dataDxfId="4256"/>
    <tableColumn id="20" xr3:uid="{00000000-0010-0000-9F00-000014000000}" name="#" dataDxfId="4255"/>
  </tableColumns>
  <tableStyleInfo name="TableStyleMedium2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A0000000}" name="ATL_P" displayName="ATL_P" ref="A82:S92" totalsRowShown="0" headerRowDxfId="4254" dataDxfId="4252" headerRowBorderDxfId="4253">
  <autoFilter ref="A82:S92" xr:uid="{00000000-0009-0000-0100-000040000000}"/>
  <sortState xmlns:xlrd2="http://schemas.microsoft.com/office/spreadsheetml/2017/richdata2" ref="A83:S92">
    <sortCondition ref="S82:S92"/>
  </sortState>
  <tableColumns count="19">
    <tableColumn id="1" xr3:uid="{00000000-0010-0000-A000-000001000000}" name="TM" dataDxfId="4251"/>
    <tableColumn id="2" xr3:uid="{00000000-0010-0000-A000-000002000000}" name="@" dataDxfId="4250"/>
    <tableColumn id="3" xr3:uid="{00000000-0010-0000-A000-000003000000}" name="NAME" dataDxfId="4249"/>
    <tableColumn id="4" xr3:uid="{00000000-0010-0000-A000-000004000000}" name="ERA" dataDxfId="4248">
      <calculatedColumnFormula>IFERROR((ATL_P[[#This Row],[R]]*9)/ATL_P[[#This Row],[IP]],0)</calculatedColumnFormula>
    </tableColumn>
    <tableColumn id="5" xr3:uid="{00000000-0010-0000-A000-000005000000}" name="W" dataDxfId="4247"/>
    <tableColumn id="6" xr3:uid="{00000000-0010-0000-A000-000006000000}" name="L" dataDxfId="4246"/>
    <tableColumn id="7" xr3:uid="{00000000-0010-0000-A000-000007000000}" name="G" dataDxfId="4245"/>
    <tableColumn id="8" xr3:uid="{00000000-0010-0000-A000-000008000000}" name="IP" dataDxfId="4244"/>
    <tableColumn id="9" xr3:uid="{00000000-0010-0000-A000-000009000000}" name="H" dataDxfId="4243"/>
    <tableColumn id="10" xr3:uid="{00000000-0010-0000-A000-00000A000000}" name="R" dataDxfId="4242"/>
    <tableColumn id="11" xr3:uid="{00000000-0010-0000-A000-00000B000000}" name="BB" dataDxfId="4241"/>
    <tableColumn id="12" xr3:uid="{00000000-0010-0000-A000-00000C000000}" name="K" dataDxfId="4240"/>
    <tableColumn id="13" xr3:uid="{00000000-0010-0000-A000-00000D000000}" name="SV" dataDxfId="4239"/>
    <tableColumn id="14" xr3:uid="{00000000-0010-0000-A000-00000E000000}" name="WH" dataDxfId="4238">
      <calculatedColumnFormula>IFERROR((ATL_P[[#This Row],[BB]]+ATL_P[[#This Row],[H]])/ATL_P[[#This Row],[IP]],0)</calculatedColumnFormula>
    </tableColumn>
    <tableColumn id="15" xr3:uid="{00000000-0010-0000-A000-00000F000000}" name="QS" dataDxfId="4237"/>
    <tableColumn id="16" xr3:uid="{00000000-0010-0000-A000-000010000000}" name="UQ" dataDxfId="4236"/>
    <tableColumn id="17" xr3:uid="{00000000-0010-0000-A000-000011000000}" name="CG" dataDxfId="4235"/>
    <tableColumn id="18" xr3:uid="{00000000-0010-0000-A000-000012000000}" name="SH" dataDxfId="4234"/>
    <tableColumn id="19" xr3:uid="{00000000-0010-0000-A000-000013000000}" name="#" dataDxfId="4233"/>
  </tableColumns>
  <tableStyleInfo name="TableStyleMedium2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A1000000}" name="NYM_H" displayName="NYM_H" ref="A34:W48" totalsRowShown="0" headerRowDxfId="4232" dataDxfId="4230" headerRowBorderDxfId="4231">
  <autoFilter ref="A34:W48" xr:uid="{00000000-0009-0000-0100-000041000000}"/>
  <sortState xmlns:xlrd2="http://schemas.microsoft.com/office/spreadsheetml/2017/richdata2" ref="A35:W48">
    <sortCondition ref="W34:W48"/>
  </sortState>
  <tableColumns count="23">
    <tableColumn id="1" xr3:uid="{00000000-0010-0000-A100-000001000000}" name="TM" dataDxfId="4229"/>
    <tableColumn id="2" xr3:uid="{00000000-0010-0000-A100-000002000000}" name="@" dataDxfId="4228"/>
    <tableColumn id="3" xr3:uid="{00000000-0010-0000-A100-000003000000}" name="NAME" dataDxfId="4227"/>
    <tableColumn id="4" xr3:uid="{00000000-0010-0000-A100-000004000000}" name="BA" dataDxfId="4226">
      <calculatedColumnFormula>IFERROR(NYM_H[[#This Row],[H]]/NYM_H[[#This Row],[AB]],0)</calculatedColumnFormula>
    </tableColumn>
    <tableColumn id="5" xr3:uid="{00000000-0010-0000-A100-000005000000}" name="OBP" dataDxfId="4225">
      <calculatedColumnFormula>IFERROR((NYM_H[[#This Row],[H]]+NYM_H[[#This Row],[BB]])/(NYM_H[[#This Row],[BB]]+NYM_H[[#This Row],[AB]]),0)</calculatedColumnFormula>
    </tableColumn>
    <tableColumn id="6" xr3:uid="{00000000-0010-0000-A100-000006000000}" name="SLG" dataDxfId="4224">
      <calculatedColumnFormula>IFERROR(((NYM_H[[#This Row],[H]]-NYM_H[[#This Row],[2B]]-NYM_H[[#This Row],[3B]]-NYM_H[[#This Row],[HR]])+(NYM_H[[#This Row],[2B]]*2)+(NYM_H[[#This Row],[3B]]*3)+(NYM_H[[#This Row],[HR]]*4))/NYM_H[[#This Row],[AB]],0)</calculatedColumnFormula>
    </tableColumn>
    <tableColumn id="7" xr3:uid="{00000000-0010-0000-A100-000007000000}" name="G" dataDxfId="4223"/>
    <tableColumn id="8" xr3:uid="{00000000-0010-0000-A100-000008000000}" name="AB" dataDxfId="4222"/>
    <tableColumn id="9" xr3:uid="{00000000-0010-0000-A100-000009000000}" name="R" dataDxfId="4221"/>
    <tableColumn id="10" xr3:uid="{00000000-0010-0000-A100-00000A000000}" name="H" dataDxfId="4220"/>
    <tableColumn id="11" xr3:uid="{00000000-0010-0000-A100-00000B000000}" name="2B" dataDxfId="4219"/>
    <tableColumn id="12" xr3:uid="{00000000-0010-0000-A100-00000C000000}" name="3B" dataDxfId="4218"/>
    <tableColumn id="13" xr3:uid="{00000000-0010-0000-A100-00000D000000}" name="HR" dataDxfId="4217"/>
    <tableColumn id="14" xr3:uid="{00000000-0010-0000-A100-00000E000000}" name="RBI" dataDxfId="4216"/>
    <tableColumn id="15" xr3:uid="{00000000-0010-0000-A100-00000F000000}" name="BB" dataDxfId="4215"/>
    <tableColumn id="16" xr3:uid="{00000000-0010-0000-A100-000010000000}" name="K" dataDxfId="4214"/>
    <tableColumn id="17" xr3:uid="{00000000-0010-0000-A100-000011000000}" name="SB" dataDxfId="4213"/>
    <tableColumn id="18" xr3:uid="{00000000-0010-0000-A100-000012000000}" name="HS" dataDxfId="4212"/>
    <tableColumn id="19" xr3:uid="{00000000-0010-0000-A100-000013000000}" name="LS" dataDxfId="4211"/>
    <tableColumn id="20" xr3:uid="{00000000-0010-0000-A100-000014000000}" name="TB" dataDxfId="4210">
      <calculatedColumnFormula>IFERROR((NYM_H[[#This Row],[H]]-NYM_H[[#This Row],[2B]]-NYM_H[[#This Row],[3B]]-NYM_H[[#This Row],[HR]])+(NYM_H[[#This Row],[2B]]*2)+(NYM_H[[#This Row],[3B]]*3)+(NYM_H[[#This Row],[HR]]*4),0)</calculatedColumnFormula>
    </tableColumn>
    <tableColumn id="21" xr3:uid="{00000000-0010-0000-A100-000015000000}" name="OPS" dataDxfId="4209">
      <calculatedColumnFormula>NYM_H[[#This Row],[OBP]]+NYM_H[[#This Row],[SLG]]</calculatedColumnFormula>
    </tableColumn>
    <tableColumn id="22" xr3:uid="{00000000-0010-0000-A100-000016000000}" name="*" dataDxfId="4208"/>
    <tableColumn id="23" xr3:uid="{00000000-0010-0000-A100-000017000000}" name="#" dataDxfId="4207"/>
  </tableColumns>
  <tableStyleInfo name="TableStyleMedium3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A2000000}" name="NYM_P" displayName="NYM_P" ref="A51:S61" totalsRowShown="0" headerRowDxfId="4206" dataDxfId="4204" headerRowBorderDxfId="4205">
  <autoFilter ref="A51:S61" xr:uid="{00000000-0009-0000-0100-000042000000}"/>
  <sortState xmlns:xlrd2="http://schemas.microsoft.com/office/spreadsheetml/2017/richdata2" ref="A52:S61">
    <sortCondition ref="S51:S61"/>
  </sortState>
  <tableColumns count="19">
    <tableColumn id="1" xr3:uid="{00000000-0010-0000-A200-000001000000}" name="TM" dataDxfId="4203"/>
    <tableColumn id="2" xr3:uid="{00000000-0010-0000-A200-000002000000}" name="@" dataDxfId="4202"/>
    <tableColumn id="3" xr3:uid="{00000000-0010-0000-A200-000003000000}" name="NAME" dataDxfId="4201"/>
    <tableColumn id="4" xr3:uid="{00000000-0010-0000-A200-000004000000}" name="ERA" dataDxfId="4200">
      <calculatedColumnFormula>IFERROR((NYM_P[[#This Row],[R]]*9)/NYM_P[[#This Row],[IP]],0)</calculatedColumnFormula>
    </tableColumn>
    <tableColumn id="5" xr3:uid="{00000000-0010-0000-A200-000005000000}" name="W" dataDxfId="4199"/>
    <tableColumn id="6" xr3:uid="{00000000-0010-0000-A200-000006000000}" name="L" dataDxfId="4198"/>
    <tableColumn id="7" xr3:uid="{00000000-0010-0000-A200-000007000000}" name="G" dataDxfId="4197"/>
    <tableColumn id="8" xr3:uid="{00000000-0010-0000-A200-000008000000}" name="IP" dataDxfId="4196"/>
    <tableColumn id="9" xr3:uid="{00000000-0010-0000-A200-000009000000}" name="H" dataDxfId="4195"/>
    <tableColumn id="10" xr3:uid="{00000000-0010-0000-A200-00000A000000}" name="R" dataDxfId="4194"/>
    <tableColumn id="11" xr3:uid="{00000000-0010-0000-A200-00000B000000}" name="BB" dataDxfId="4193"/>
    <tableColumn id="12" xr3:uid="{00000000-0010-0000-A200-00000C000000}" name="K" dataDxfId="4192"/>
    <tableColumn id="13" xr3:uid="{00000000-0010-0000-A200-00000D000000}" name="SV" dataDxfId="4191"/>
    <tableColumn id="14" xr3:uid="{00000000-0010-0000-A200-00000E000000}" name="WH" dataDxfId="4190">
      <calculatedColumnFormula>IFERROR((NYM_P[[#This Row],[BB]]+NYM_P[[#This Row],[H]])/NYM_P[[#This Row],[IP]],0)</calculatedColumnFormula>
    </tableColumn>
    <tableColumn id="15" xr3:uid="{00000000-0010-0000-A200-00000F000000}" name="QS" dataDxfId="4189"/>
    <tableColumn id="16" xr3:uid="{00000000-0010-0000-A200-000010000000}" name="UQ" dataDxfId="4188"/>
    <tableColumn id="17" xr3:uid="{00000000-0010-0000-A200-000011000000}" name="CG" dataDxfId="4187"/>
    <tableColumn id="18" xr3:uid="{00000000-0010-0000-A200-000012000000}" name="SH" dataDxfId="4186"/>
    <tableColumn id="19" xr3:uid="{00000000-0010-0000-A200-000013000000}" name="#" dataDxfId="4185"/>
  </tableColumns>
  <tableStyleInfo name="TableStyleMedium3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A3000000}" name="MIA_H" displayName="MIA_H" ref="A127:W141" totalsRowShown="0" headerRowDxfId="4184" dataDxfId="4182" headerRowBorderDxfId="4183">
  <autoFilter ref="A127:W141" xr:uid="{00000000-0009-0000-0100-000043000000}"/>
  <sortState xmlns:xlrd2="http://schemas.microsoft.com/office/spreadsheetml/2017/richdata2" ref="A128:W141">
    <sortCondition ref="W127:W141"/>
  </sortState>
  <tableColumns count="23">
    <tableColumn id="1" xr3:uid="{00000000-0010-0000-A300-000001000000}" name="TM" dataDxfId="4181"/>
    <tableColumn id="2" xr3:uid="{00000000-0010-0000-A300-000002000000}" name="@" dataDxfId="4180"/>
    <tableColumn id="3" xr3:uid="{00000000-0010-0000-A300-000003000000}" name="NAME" dataDxfId="4179"/>
    <tableColumn id="4" xr3:uid="{00000000-0010-0000-A300-000004000000}" name="BA" dataDxfId="4178">
      <calculatedColumnFormula>IFERROR(MIA_H[[#This Row],[H]]/MIA_H[[#This Row],[AB]],0)</calculatedColumnFormula>
    </tableColumn>
    <tableColumn id="5" xr3:uid="{00000000-0010-0000-A300-000005000000}" name="OBP" dataDxfId="4177">
      <calculatedColumnFormula>IFERROR((MIA_H[[#This Row],[H]]+MIA_H[[#This Row],[BB]])/(MIA_H[[#This Row],[BB]]+MIA_H[[#This Row],[AB]]),0)</calculatedColumnFormula>
    </tableColumn>
    <tableColumn id="6" xr3:uid="{00000000-0010-0000-A300-000006000000}" name="SLG" dataDxfId="4176">
      <calculatedColumnFormula>IFERROR(((MIA_H[[#This Row],[H]]-MIA_H[[#This Row],[2B]]-MIA_H[[#This Row],[3B]]-MIA_H[[#This Row],[HR]])+(MIA_H[[#This Row],[2B]]*2)+(MIA_H[[#This Row],[3B]]*3)+(MIA_H[[#This Row],[HR]]*4))/MIA_H[[#This Row],[AB]],0)</calculatedColumnFormula>
    </tableColumn>
    <tableColumn id="7" xr3:uid="{00000000-0010-0000-A300-000007000000}" name="G" dataDxfId="4175"/>
    <tableColumn id="8" xr3:uid="{00000000-0010-0000-A300-000008000000}" name="AB" dataDxfId="4174"/>
    <tableColumn id="9" xr3:uid="{00000000-0010-0000-A300-000009000000}" name="R" dataDxfId="4173"/>
    <tableColumn id="10" xr3:uid="{00000000-0010-0000-A300-00000A000000}" name="H" dataDxfId="4172"/>
    <tableColumn id="11" xr3:uid="{00000000-0010-0000-A300-00000B000000}" name="2B" dataDxfId="4171"/>
    <tableColumn id="12" xr3:uid="{00000000-0010-0000-A300-00000C000000}" name="3B" dataDxfId="4170"/>
    <tableColumn id="13" xr3:uid="{00000000-0010-0000-A300-00000D000000}" name="HR" dataDxfId="4169"/>
    <tableColumn id="14" xr3:uid="{00000000-0010-0000-A300-00000E000000}" name="RBI" dataDxfId="4168"/>
    <tableColumn id="15" xr3:uid="{00000000-0010-0000-A300-00000F000000}" name="BB" dataDxfId="4167"/>
    <tableColumn id="16" xr3:uid="{00000000-0010-0000-A300-000010000000}" name="K" dataDxfId="4166"/>
    <tableColumn id="17" xr3:uid="{00000000-0010-0000-A300-000011000000}" name="SB" dataDxfId="4165"/>
    <tableColumn id="18" xr3:uid="{00000000-0010-0000-A300-000012000000}" name="HS" dataDxfId="4164"/>
    <tableColumn id="19" xr3:uid="{00000000-0010-0000-A300-000013000000}" name="LS" dataDxfId="4163"/>
    <tableColumn id="20" xr3:uid="{00000000-0010-0000-A300-000014000000}" name="TB" dataDxfId="4162">
      <calculatedColumnFormula>IFERROR((MIA_H[[#This Row],[H]]-MIA_H[[#This Row],[2B]]-MIA_H[[#This Row],[3B]]-MIA_H[[#This Row],[HR]])+(MIA_H[[#This Row],[2B]]*2)+(MIA_H[[#This Row],[3B]]*3)+(MIA_H[[#This Row],[HR]]*4),0)</calculatedColumnFormula>
    </tableColumn>
    <tableColumn id="21" xr3:uid="{00000000-0010-0000-A300-000015000000}" name="OPS" dataDxfId="4161">
      <calculatedColumnFormula>MIA_H[[#This Row],[OBP]]+MIA_H[[#This Row],[SLG]]</calculatedColumnFormula>
    </tableColumn>
    <tableColumn id="22" xr3:uid="{00000000-0010-0000-A300-000016000000}" name="*" dataDxfId="4160"/>
    <tableColumn id="23" xr3:uid="{00000000-0010-0000-A300-000017000000}" name="#" dataDxfId="4159"/>
  </tableColumns>
  <tableStyleInfo name="TableStyleMedium7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A4000000}" name="MIA_P" displayName="MIA_P" ref="A144:S154" totalsRowShown="0" headerRowDxfId="4158" dataDxfId="4156" headerRowBorderDxfId="4157">
  <autoFilter ref="A144:S154" xr:uid="{00000000-0009-0000-0100-000044000000}"/>
  <sortState xmlns:xlrd2="http://schemas.microsoft.com/office/spreadsheetml/2017/richdata2" ref="A145:S154">
    <sortCondition ref="S144:S154"/>
  </sortState>
  <tableColumns count="19">
    <tableColumn id="1" xr3:uid="{00000000-0010-0000-A400-000001000000}" name="TM" dataDxfId="4155"/>
    <tableColumn id="2" xr3:uid="{00000000-0010-0000-A400-000002000000}" name="@" dataDxfId="4154"/>
    <tableColumn id="3" xr3:uid="{00000000-0010-0000-A400-000003000000}" name="NAME" dataDxfId="4153"/>
    <tableColumn id="4" xr3:uid="{00000000-0010-0000-A400-000004000000}" name="ERA" dataDxfId="4152">
      <calculatedColumnFormula>IFERROR((MIA_P[[#This Row],[R]]*9)/MIA_P[[#This Row],[IP]],0)</calculatedColumnFormula>
    </tableColumn>
    <tableColumn id="5" xr3:uid="{00000000-0010-0000-A400-000005000000}" name="W" dataDxfId="4151"/>
    <tableColumn id="6" xr3:uid="{00000000-0010-0000-A400-000006000000}" name="L" dataDxfId="4150"/>
    <tableColumn id="7" xr3:uid="{00000000-0010-0000-A400-000007000000}" name="G" dataDxfId="4149"/>
    <tableColumn id="8" xr3:uid="{00000000-0010-0000-A400-000008000000}" name="IP" dataDxfId="4148"/>
    <tableColumn id="9" xr3:uid="{00000000-0010-0000-A400-000009000000}" name="H" dataDxfId="4147"/>
    <tableColumn id="10" xr3:uid="{00000000-0010-0000-A400-00000A000000}" name="R" dataDxfId="4146"/>
    <tableColumn id="11" xr3:uid="{00000000-0010-0000-A400-00000B000000}" name="BB" dataDxfId="4145"/>
    <tableColumn id="12" xr3:uid="{00000000-0010-0000-A400-00000C000000}" name="K" dataDxfId="4144"/>
    <tableColumn id="13" xr3:uid="{00000000-0010-0000-A400-00000D000000}" name="SV" dataDxfId="4143"/>
    <tableColumn id="14" xr3:uid="{00000000-0010-0000-A400-00000E000000}" name="WH" dataDxfId="4142">
      <calculatedColumnFormula>IFERROR((MIA_P[[#This Row],[BB]]+MIA_P[[#This Row],[H]])/MIA_P[[#This Row],[IP]],0)</calculatedColumnFormula>
    </tableColumn>
    <tableColumn id="15" xr3:uid="{00000000-0010-0000-A400-00000F000000}" name="QS" dataDxfId="4141"/>
    <tableColumn id="16" xr3:uid="{00000000-0010-0000-A400-000010000000}" name="UQ" dataDxfId="4140"/>
    <tableColumn id="17" xr3:uid="{00000000-0010-0000-A400-000011000000}" name="CG" dataDxfId="4139"/>
    <tableColumn id="18" xr3:uid="{00000000-0010-0000-A400-000012000000}" name="SH" dataDxfId="4138"/>
    <tableColumn id="19" xr3:uid="{00000000-0010-0000-A400-000013000000}" name="#" dataDxfId="4137"/>
  </tableColumns>
  <tableStyleInfo name="TableStyleMedium7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A5000000}" name="WSH_H" displayName="WSH_H" ref="A96:W110" totalsRowShown="0" headerRowDxfId="4136" dataDxfId="4134" headerRowBorderDxfId="4135">
  <autoFilter ref="A96:W110" xr:uid="{00000000-0009-0000-0100-000045000000}"/>
  <sortState xmlns:xlrd2="http://schemas.microsoft.com/office/spreadsheetml/2017/richdata2" ref="A97:W110">
    <sortCondition ref="W96:W110"/>
  </sortState>
  <tableColumns count="23">
    <tableColumn id="1" xr3:uid="{00000000-0010-0000-A500-000001000000}" name="TM" dataDxfId="4133"/>
    <tableColumn id="2" xr3:uid="{00000000-0010-0000-A500-000002000000}" name="@" dataDxfId="4132"/>
    <tableColumn id="3" xr3:uid="{00000000-0010-0000-A500-000003000000}" name="NAME" dataDxfId="4131"/>
    <tableColumn id="4" xr3:uid="{00000000-0010-0000-A500-000004000000}" name="BA" dataDxfId="4130">
      <calculatedColumnFormula>IFERROR(WSH_H[[#This Row],[H]]/WSH_H[[#This Row],[AB]],0)</calculatedColumnFormula>
    </tableColumn>
    <tableColumn id="5" xr3:uid="{00000000-0010-0000-A500-000005000000}" name="OBP" dataDxfId="4129">
      <calculatedColumnFormula>IFERROR((WSH_H[[#This Row],[H]]+WSH_H[[#This Row],[BB]])/(WSH_H[[#This Row],[BB]]+WSH_H[[#This Row],[AB]]),0)</calculatedColumnFormula>
    </tableColumn>
    <tableColumn id="6" xr3:uid="{00000000-0010-0000-A500-000006000000}" name="SLG" dataDxfId="4128">
      <calculatedColumnFormula>IFERROR(((WSH_H[[#This Row],[H]]-WSH_H[[#This Row],[2B]]-WSH_H[[#This Row],[3B]]-WSH_H[[#This Row],[HR]])+(WSH_H[[#This Row],[2B]]*2)+(WSH_H[[#This Row],[3B]]*3)+(WSH_H[[#This Row],[HR]]*4))/WSH_H[[#This Row],[AB]],0)</calculatedColumnFormula>
    </tableColumn>
    <tableColumn id="7" xr3:uid="{00000000-0010-0000-A500-000007000000}" name="G" dataDxfId="4127"/>
    <tableColumn id="8" xr3:uid="{00000000-0010-0000-A500-000008000000}" name="AB" dataDxfId="4126"/>
    <tableColumn id="9" xr3:uid="{00000000-0010-0000-A500-000009000000}" name="R" dataDxfId="4125"/>
    <tableColumn id="10" xr3:uid="{00000000-0010-0000-A500-00000A000000}" name="H" dataDxfId="4124"/>
    <tableColumn id="11" xr3:uid="{00000000-0010-0000-A500-00000B000000}" name="2B" dataDxfId="4123"/>
    <tableColumn id="12" xr3:uid="{00000000-0010-0000-A500-00000C000000}" name="3B" dataDxfId="4122"/>
    <tableColumn id="13" xr3:uid="{00000000-0010-0000-A500-00000D000000}" name="HR" dataDxfId="4121"/>
    <tableColumn id="14" xr3:uid="{00000000-0010-0000-A500-00000E000000}" name="RBI" dataDxfId="4120"/>
    <tableColumn id="15" xr3:uid="{00000000-0010-0000-A500-00000F000000}" name="BB" dataDxfId="4119"/>
    <tableColumn id="16" xr3:uid="{00000000-0010-0000-A500-000010000000}" name="K" dataDxfId="4118"/>
    <tableColumn id="17" xr3:uid="{00000000-0010-0000-A500-000011000000}" name="SB" dataDxfId="4117"/>
    <tableColumn id="18" xr3:uid="{00000000-0010-0000-A500-000012000000}" name="HS" dataDxfId="4116"/>
    <tableColumn id="19" xr3:uid="{00000000-0010-0000-A500-000013000000}" name="LS" dataDxfId="4115"/>
    <tableColumn id="20" xr3:uid="{00000000-0010-0000-A500-000014000000}" name="TB" dataDxfId="4114">
      <calculatedColumnFormula>IFERROR((WSH_H[[#This Row],[H]]-WSH_H[[#This Row],[2B]]-WSH_H[[#This Row],[3B]]-WSH_H[[#This Row],[HR]])+(WSH_H[[#This Row],[2B]]*2)+(WSH_H[[#This Row],[3B]]*3)+(WSH_H[[#This Row],[HR]]*4),0)</calculatedColumnFormula>
    </tableColumn>
    <tableColumn id="21" xr3:uid="{00000000-0010-0000-A500-000015000000}" name="OPS" dataDxfId="4113">
      <calculatedColumnFormula>WSH_H[[#This Row],[OBP]]+WSH_H[[#This Row],[SLG]]</calculatedColumnFormula>
    </tableColumn>
    <tableColumn id="22" xr3:uid="{00000000-0010-0000-A500-000016000000}" name="*" dataDxfId="4112"/>
    <tableColumn id="23" xr3:uid="{00000000-0010-0000-A500-000017000000}" name="#" dataDxfId="4111"/>
  </tableColumns>
  <tableStyleInfo name="TableStyleMedium3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A6000000}" name="WSH_P" displayName="WSH_P" ref="A113:S123" totalsRowShown="0" headerRowDxfId="4110" dataDxfId="4108" headerRowBorderDxfId="4109">
  <autoFilter ref="A113:S123" xr:uid="{00000000-0009-0000-0100-000046000000}"/>
  <sortState xmlns:xlrd2="http://schemas.microsoft.com/office/spreadsheetml/2017/richdata2" ref="A114:S123">
    <sortCondition ref="S113:S123"/>
  </sortState>
  <tableColumns count="19">
    <tableColumn id="1" xr3:uid="{00000000-0010-0000-A600-000001000000}" name="TM" dataDxfId="4107"/>
    <tableColumn id="2" xr3:uid="{00000000-0010-0000-A600-000002000000}" name="@" dataDxfId="4106"/>
    <tableColumn id="3" xr3:uid="{00000000-0010-0000-A600-000003000000}" name="NAME" dataDxfId="4105"/>
    <tableColumn id="4" xr3:uid="{00000000-0010-0000-A600-000004000000}" name="ERA" dataDxfId="4104">
      <calculatedColumnFormula>IFERROR((WSH_P[[#This Row],[R]]*9)/WSH_P[[#This Row],[IP]],0)</calculatedColumnFormula>
    </tableColumn>
    <tableColumn id="5" xr3:uid="{00000000-0010-0000-A600-000005000000}" name="W" dataDxfId="4103"/>
    <tableColumn id="6" xr3:uid="{00000000-0010-0000-A600-000006000000}" name="L" dataDxfId="4102"/>
    <tableColumn id="7" xr3:uid="{00000000-0010-0000-A600-000007000000}" name="G" dataDxfId="4101"/>
    <tableColumn id="8" xr3:uid="{00000000-0010-0000-A600-000008000000}" name="IP" dataDxfId="4100"/>
    <tableColumn id="9" xr3:uid="{00000000-0010-0000-A600-000009000000}" name="H" dataDxfId="4099"/>
    <tableColumn id="10" xr3:uid="{00000000-0010-0000-A600-00000A000000}" name="R" dataDxfId="4098"/>
    <tableColumn id="11" xr3:uid="{00000000-0010-0000-A600-00000B000000}" name="BB" dataDxfId="4097"/>
    <tableColumn id="12" xr3:uid="{00000000-0010-0000-A600-00000C000000}" name="K" dataDxfId="4096"/>
    <tableColumn id="13" xr3:uid="{00000000-0010-0000-A600-00000D000000}" name="SV" dataDxfId="4095"/>
    <tableColumn id="14" xr3:uid="{00000000-0010-0000-A600-00000E000000}" name="WH" dataDxfId="4094">
      <calculatedColumnFormula>IFERROR((WSH_P[[#This Row],[BB]]+WSH_P[[#This Row],[H]])/WSH_P[[#This Row],[IP]],0)</calculatedColumnFormula>
    </tableColumn>
    <tableColumn id="15" xr3:uid="{00000000-0010-0000-A600-00000F000000}" name="QS" dataDxfId="4093"/>
    <tableColumn id="16" xr3:uid="{00000000-0010-0000-A600-000010000000}" name="UQ" dataDxfId="4092"/>
    <tableColumn id="17" xr3:uid="{00000000-0010-0000-A600-000011000000}" name="CG" dataDxfId="4091"/>
    <tableColumn id="18" xr3:uid="{00000000-0010-0000-A600-000012000000}" name="SH" dataDxfId="4090"/>
    <tableColumn id="19" xr3:uid="{00000000-0010-0000-A600-000013000000}" name="#" dataDxfId="4089"/>
  </tableColumns>
  <tableStyleInfo name="TableStyleMedium3" showFirstColumn="0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A7000000}" name="PHI_H" displayName="PHI_H" ref="A3:W17" totalsRowShown="0" headerRowDxfId="4088" dataDxfId="4086" headerRowBorderDxfId="4087">
  <autoFilter ref="A3:W17" xr:uid="{00000000-0009-0000-0100-000047000000}"/>
  <sortState xmlns:xlrd2="http://schemas.microsoft.com/office/spreadsheetml/2017/richdata2" ref="A4:W17">
    <sortCondition ref="W3:W17"/>
  </sortState>
  <tableColumns count="23">
    <tableColumn id="1" xr3:uid="{00000000-0010-0000-A700-000001000000}" name="TM" dataDxfId="4085"/>
    <tableColumn id="2" xr3:uid="{00000000-0010-0000-A700-000002000000}" name="@" dataDxfId="4084"/>
    <tableColumn id="3" xr3:uid="{00000000-0010-0000-A700-000003000000}" name="NAME" dataDxfId="4083"/>
    <tableColumn id="4" xr3:uid="{00000000-0010-0000-A700-000004000000}" name="BA" dataDxfId="4082">
      <calculatedColumnFormula>IFERROR(PHI_H[[#This Row],[H]]/PHI_H[[#This Row],[AB]],0)</calculatedColumnFormula>
    </tableColumn>
    <tableColumn id="5" xr3:uid="{00000000-0010-0000-A700-000005000000}" name="OBP" dataDxfId="4081">
      <calculatedColumnFormula>IFERROR((PHI_H[[#This Row],[H]]+PHI_H[[#This Row],[BB]])/(PHI_H[[#This Row],[BB]]+PHI_H[[#This Row],[AB]]),0)</calculatedColumnFormula>
    </tableColumn>
    <tableColumn id="6" xr3:uid="{00000000-0010-0000-A700-000006000000}" name="SLG" dataDxfId="4080">
      <calculatedColumnFormula>IFERROR(((PHI_H[[#This Row],[H]]-PHI_H[[#This Row],[2B]]-PHI_H[[#This Row],[3B]]-PHI_H[[#This Row],[HR]])+(PHI_H[[#This Row],[2B]]*2)+(PHI_H[[#This Row],[3B]]*3)+(PHI_H[[#This Row],[HR]]*4))/PHI_H[[#This Row],[AB]],0)</calculatedColumnFormula>
    </tableColumn>
    <tableColumn id="7" xr3:uid="{00000000-0010-0000-A700-000007000000}" name="G" dataDxfId="4079"/>
    <tableColumn id="8" xr3:uid="{00000000-0010-0000-A700-000008000000}" name="AB" dataDxfId="4078"/>
    <tableColumn id="9" xr3:uid="{00000000-0010-0000-A700-000009000000}" name="R" dataDxfId="4077"/>
    <tableColumn id="10" xr3:uid="{00000000-0010-0000-A700-00000A000000}" name="H" dataDxfId="4076"/>
    <tableColumn id="11" xr3:uid="{00000000-0010-0000-A700-00000B000000}" name="2B" dataDxfId="4075"/>
    <tableColumn id="12" xr3:uid="{00000000-0010-0000-A700-00000C000000}" name="3B" dataDxfId="4074"/>
    <tableColumn id="13" xr3:uid="{00000000-0010-0000-A700-00000D000000}" name="HR" dataDxfId="4073"/>
    <tableColumn id="14" xr3:uid="{00000000-0010-0000-A700-00000E000000}" name="RBI" dataDxfId="4072"/>
    <tableColumn id="15" xr3:uid="{00000000-0010-0000-A700-00000F000000}" name="BB" dataDxfId="4071"/>
    <tableColumn id="16" xr3:uid="{00000000-0010-0000-A700-000010000000}" name="K" dataDxfId="4070"/>
    <tableColumn id="17" xr3:uid="{00000000-0010-0000-A700-000011000000}" name="SB" dataDxfId="4069"/>
    <tableColumn id="18" xr3:uid="{00000000-0010-0000-A700-000012000000}" name="HS" dataDxfId="4068"/>
    <tableColumn id="19" xr3:uid="{00000000-0010-0000-A700-000013000000}" name="LS" dataDxfId="4067"/>
    <tableColumn id="20" xr3:uid="{00000000-0010-0000-A700-000014000000}" name="TB" dataDxfId="4066">
      <calculatedColumnFormula>IFERROR((PHI_H[[#This Row],[H]]-PHI_H[[#This Row],[2B]]-PHI_H[[#This Row],[3B]]-PHI_H[[#This Row],[HR]])+(PHI_H[[#This Row],[2B]]*2)+(PHI_H[[#This Row],[3B]]*3)+(PHI_H[[#This Row],[HR]]*4),0)</calculatedColumnFormula>
    </tableColumn>
    <tableColumn id="21" xr3:uid="{00000000-0010-0000-A700-000015000000}" name="OPS" dataDxfId="4065">
      <calculatedColumnFormula>PHI_H[[#This Row],[OBP]]+PHI_H[[#This Row],[SLG]]</calculatedColumnFormula>
    </tableColumn>
    <tableColumn id="22" xr3:uid="{00000000-0010-0000-A700-000016000000}" name="*" dataDxfId="4064"/>
    <tableColumn id="23" xr3:uid="{00000000-0010-0000-A700-000017000000}" name="#" dataDxfId="4063"/>
  </tableColumns>
  <tableStyleInfo name="TableStyleMedium7" showFirstColumn="0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A8000000}" name="PHI_P" displayName="PHI_P" ref="A20:S30" totalsRowShown="0" headerRowDxfId="4062" dataDxfId="4060" headerRowBorderDxfId="4061">
  <autoFilter ref="A20:S30" xr:uid="{00000000-0009-0000-0100-000048000000}"/>
  <sortState xmlns:xlrd2="http://schemas.microsoft.com/office/spreadsheetml/2017/richdata2" ref="A21:S30">
    <sortCondition ref="S20:S30"/>
  </sortState>
  <tableColumns count="19">
    <tableColumn id="1" xr3:uid="{00000000-0010-0000-A800-000001000000}" name="TM" dataDxfId="4059"/>
    <tableColumn id="2" xr3:uid="{00000000-0010-0000-A800-000002000000}" name="@" dataDxfId="4058"/>
    <tableColumn id="3" xr3:uid="{00000000-0010-0000-A800-000003000000}" name="NAME" dataDxfId="4057"/>
    <tableColumn id="4" xr3:uid="{00000000-0010-0000-A800-000004000000}" name="ERA" dataDxfId="4056">
      <calculatedColumnFormula>IFERROR((PHI_P[[#This Row],[R]]*9)/PHI_P[[#This Row],[IP]],0)</calculatedColumnFormula>
    </tableColumn>
    <tableColumn id="5" xr3:uid="{00000000-0010-0000-A800-000005000000}" name="W" dataDxfId="4055"/>
    <tableColumn id="6" xr3:uid="{00000000-0010-0000-A800-000006000000}" name="L" dataDxfId="4054"/>
    <tableColumn id="7" xr3:uid="{00000000-0010-0000-A800-000007000000}" name="G" dataDxfId="4053"/>
    <tableColumn id="8" xr3:uid="{00000000-0010-0000-A800-000008000000}" name="IP" dataDxfId="4052"/>
    <tableColumn id="9" xr3:uid="{00000000-0010-0000-A800-000009000000}" name="H" dataDxfId="4051"/>
    <tableColumn id="10" xr3:uid="{00000000-0010-0000-A800-00000A000000}" name="R" dataDxfId="4050"/>
    <tableColumn id="11" xr3:uid="{00000000-0010-0000-A800-00000B000000}" name="BB" dataDxfId="4049"/>
    <tableColumn id="12" xr3:uid="{00000000-0010-0000-A800-00000C000000}" name="K" dataDxfId="4048"/>
    <tableColumn id="13" xr3:uid="{00000000-0010-0000-A800-00000D000000}" name="SV" dataDxfId="4047"/>
    <tableColumn id="14" xr3:uid="{00000000-0010-0000-A800-00000E000000}" name="WH" dataDxfId="4046">
      <calculatedColumnFormula>IFERROR((PHI_P[[#This Row],[BB]]+PHI_P[[#This Row],[H]])/PHI_P[[#This Row],[IP]],0)</calculatedColumnFormula>
    </tableColumn>
    <tableColumn id="15" xr3:uid="{00000000-0010-0000-A800-00000F000000}" name="QS" dataDxfId="4045"/>
    <tableColumn id="16" xr3:uid="{00000000-0010-0000-A800-000010000000}" name="UQ" dataDxfId="4044"/>
    <tableColumn id="17" xr3:uid="{00000000-0010-0000-A800-000011000000}" name="CG" dataDxfId="4043"/>
    <tableColumn id="18" xr3:uid="{00000000-0010-0000-A800-000012000000}" name="SH" dataDxfId="4042"/>
    <tableColumn id="19" xr3:uid="{00000000-0010-0000-A800-000013000000}" name="#" dataDxfId="4041"/>
  </tableColumns>
  <tableStyleInfo name="TableStyleMedium7" showFirstColumn="0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A9000000}" name="ATL_H162" displayName="ATL_H162" ref="Z65:AV79" totalsRowShown="0" headerRowDxfId="4040" dataDxfId="4038" headerRowBorderDxfId="4039">
  <autoFilter ref="Z65:AV79" xr:uid="{00000000-0009-0000-0100-0000A1000000}"/>
  <sortState xmlns:xlrd2="http://schemas.microsoft.com/office/spreadsheetml/2017/richdata2" ref="Z66:AV79">
    <sortCondition ref="AV65:AV79"/>
  </sortState>
  <tableColumns count="23">
    <tableColumn id="1" xr3:uid="{00000000-0010-0000-A900-000001000000}" name="TM" dataDxfId="4037"/>
    <tableColumn id="2" xr3:uid="{00000000-0010-0000-A900-000002000000}" name="@" dataDxfId="4036"/>
    <tableColumn id="3" xr3:uid="{00000000-0010-0000-A900-000003000000}" name="NAME" dataDxfId="4035"/>
    <tableColumn id="4" xr3:uid="{00000000-0010-0000-A900-000004000000}" name="BA" dataDxfId="4034">
      <calculatedColumnFormula>IFERROR(ATL_H162[[#This Row],[H]]/ATL_H162[[#This Row],[AB]],0)</calculatedColumnFormula>
    </tableColumn>
    <tableColumn id="5" xr3:uid="{00000000-0010-0000-A900-000005000000}" name="OBP" dataDxfId="4033">
      <calculatedColumnFormula>IFERROR((ATL_H162[[#This Row],[H]]+ATL_H162[[#This Row],[BB]])/(ATL_H162[[#This Row],[BB]]+ATL_H162[[#This Row],[AB]]),0)</calculatedColumnFormula>
    </tableColumn>
    <tableColumn id="6" xr3:uid="{00000000-0010-0000-A900-000006000000}" name="SLG" dataDxfId="4032">
      <calculatedColumnFormula>IFERROR(((ATL_H162[[#This Row],[H]]-ATL_H162[[#This Row],[2B]]-ATL_H162[[#This Row],[3B]]-ATL_H162[[#This Row],[HR]])+(ATL_H162[[#This Row],[2B]]*2)+(ATL_H162[[#This Row],[3B]]*3)+(ATL_H162[[#This Row],[HR]]*4))/ATL_H162[[#This Row],[AB]],0)</calculatedColumnFormula>
    </tableColumn>
    <tableColumn id="7" xr3:uid="{00000000-0010-0000-A900-000007000000}" name="G" dataDxfId="4031"/>
    <tableColumn id="8" xr3:uid="{00000000-0010-0000-A900-000008000000}" name="AB" dataDxfId="4030"/>
    <tableColumn id="9" xr3:uid="{00000000-0010-0000-A900-000009000000}" name="R" dataDxfId="4029"/>
    <tableColumn id="10" xr3:uid="{00000000-0010-0000-A900-00000A000000}" name="H" dataDxfId="4028"/>
    <tableColumn id="11" xr3:uid="{00000000-0010-0000-A900-00000B000000}" name="2B" dataDxfId="4027"/>
    <tableColumn id="12" xr3:uid="{00000000-0010-0000-A900-00000C000000}" name="3B" dataDxfId="4026"/>
    <tableColumn id="13" xr3:uid="{00000000-0010-0000-A900-00000D000000}" name="HR" dataDxfId="4025"/>
    <tableColumn id="14" xr3:uid="{00000000-0010-0000-A900-00000E000000}" name="RBI" dataDxfId="4024"/>
    <tableColumn id="15" xr3:uid="{00000000-0010-0000-A900-00000F000000}" name="BB" dataDxfId="4023"/>
    <tableColumn id="16" xr3:uid="{00000000-0010-0000-A900-000010000000}" name="K" dataDxfId="4022"/>
    <tableColumn id="17" xr3:uid="{00000000-0010-0000-A900-000011000000}" name="SB" dataDxfId="4021"/>
    <tableColumn id="18" xr3:uid="{00000000-0010-0000-A900-000012000000}" name="HS" dataDxfId="4020"/>
    <tableColumn id="21" xr3:uid="{00000000-0010-0000-A900-000015000000}" name="LS" dataDxfId="4019"/>
    <tableColumn id="19" xr3:uid="{00000000-0010-0000-A900-000013000000}" name="TB" dataDxfId="4018">
      <calculatedColumnFormula>IFERROR((ATL_H162[[#This Row],[H]]-ATL_H162[[#This Row],[2B]]-ATL_H162[[#This Row],[3B]]-ATL_H162[[#This Row],[HR]])+(ATL_H162[[#This Row],[2B]]*2)+(ATL_H162[[#This Row],[3B]]*3)+(ATL_H162[[#This Row],[HR]]*4),0)</calculatedColumnFormula>
    </tableColumn>
    <tableColumn id="23" xr3:uid="{00000000-0010-0000-A900-000017000000}" name="OPS" dataDxfId="4017">
      <calculatedColumnFormula>ATL_H162[[#This Row],[OBP]]+ATL_H162[[#This Row],[SLG]]</calculatedColumnFormula>
    </tableColumn>
    <tableColumn id="22" xr3:uid="{00000000-0010-0000-A900-000016000000}" name="*" dataDxfId="4016"/>
    <tableColumn id="20" xr3:uid="{00000000-0010-0000-A900-000014000000}" name="#" dataDxfId="4015"/>
  </tableColumns>
  <tableStyleInfo name="TableStyleMedium2" showFirstColumn="0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AA000000}" name="ATL_P163" displayName="ATL_P163" ref="Z82:AR92" totalsRowShown="0" headerRowDxfId="4014" dataDxfId="4012" headerRowBorderDxfId="4013">
  <autoFilter ref="Z82:AR92" xr:uid="{00000000-0009-0000-0100-0000A2000000}"/>
  <sortState xmlns:xlrd2="http://schemas.microsoft.com/office/spreadsheetml/2017/richdata2" ref="Z83:AR92">
    <sortCondition ref="AR82:AR92"/>
  </sortState>
  <tableColumns count="19">
    <tableColumn id="1" xr3:uid="{00000000-0010-0000-AA00-000001000000}" name="TM" dataDxfId="4011"/>
    <tableColumn id="2" xr3:uid="{00000000-0010-0000-AA00-000002000000}" name="@" dataDxfId="4010"/>
    <tableColumn id="3" xr3:uid="{00000000-0010-0000-AA00-000003000000}" name="NAME" dataDxfId="4009"/>
    <tableColumn id="4" xr3:uid="{00000000-0010-0000-AA00-000004000000}" name="ERA" dataDxfId="4008">
      <calculatedColumnFormula>IFERROR((ATL_P163[[#This Row],[R]]*9)/ATL_P163[[#This Row],[IP]],0)</calculatedColumnFormula>
    </tableColumn>
    <tableColumn id="5" xr3:uid="{00000000-0010-0000-AA00-000005000000}" name="W" dataDxfId="4007"/>
    <tableColumn id="6" xr3:uid="{00000000-0010-0000-AA00-000006000000}" name="L" dataDxfId="4006"/>
    <tableColumn id="7" xr3:uid="{00000000-0010-0000-AA00-000007000000}" name="G" dataDxfId="4005"/>
    <tableColumn id="8" xr3:uid="{00000000-0010-0000-AA00-000008000000}" name="IP" dataDxfId="4004"/>
    <tableColumn id="9" xr3:uid="{00000000-0010-0000-AA00-000009000000}" name="H" dataDxfId="4003"/>
    <tableColumn id="10" xr3:uid="{00000000-0010-0000-AA00-00000A000000}" name="R" dataDxfId="4002"/>
    <tableColumn id="11" xr3:uid="{00000000-0010-0000-AA00-00000B000000}" name="BB" dataDxfId="4001"/>
    <tableColumn id="12" xr3:uid="{00000000-0010-0000-AA00-00000C000000}" name="K" dataDxfId="4000"/>
    <tableColumn id="13" xr3:uid="{00000000-0010-0000-AA00-00000D000000}" name="SV" dataDxfId="3999"/>
    <tableColumn id="14" xr3:uid="{00000000-0010-0000-AA00-00000E000000}" name="WH" dataDxfId="3998">
      <calculatedColumnFormula>IFERROR((ATL_P163[[#This Row],[BB]]+ATL_P163[[#This Row],[H]])/ATL_P163[[#This Row],[IP]],0)</calculatedColumnFormula>
    </tableColumn>
    <tableColumn id="15" xr3:uid="{00000000-0010-0000-AA00-00000F000000}" name="QS" dataDxfId="3997"/>
    <tableColumn id="16" xr3:uid="{00000000-0010-0000-AA00-000010000000}" name="UQ" dataDxfId="3996"/>
    <tableColumn id="17" xr3:uid="{00000000-0010-0000-AA00-000011000000}" name="CG" dataDxfId="3995"/>
    <tableColumn id="18" xr3:uid="{00000000-0010-0000-AA00-000012000000}" name="SH" dataDxfId="3994"/>
    <tableColumn id="19" xr3:uid="{00000000-0010-0000-AA00-000013000000}" name="#" dataDxfId="3993"/>
  </tableColumns>
  <tableStyleInfo name="TableStyleMedium2" showFirstColumn="0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AB000000}" name="NYM_H164" displayName="NYM_H164" ref="Z34:AV48" totalsRowShown="0" headerRowDxfId="3992" dataDxfId="3990" headerRowBorderDxfId="3991">
  <autoFilter ref="Z34:AV48" xr:uid="{00000000-0009-0000-0100-0000A3000000}"/>
  <sortState xmlns:xlrd2="http://schemas.microsoft.com/office/spreadsheetml/2017/richdata2" ref="Z35:AV48">
    <sortCondition ref="AV34:AV48"/>
  </sortState>
  <tableColumns count="23">
    <tableColumn id="1" xr3:uid="{00000000-0010-0000-AB00-000001000000}" name="TM" dataDxfId="3989"/>
    <tableColumn id="2" xr3:uid="{00000000-0010-0000-AB00-000002000000}" name="@" dataDxfId="3988"/>
    <tableColumn id="3" xr3:uid="{00000000-0010-0000-AB00-000003000000}" name="NAME" dataDxfId="3987"/>
    <tableColumn id="4" xr3:uid="{00000000-0010-0000-AB00-000004000000}" name="BA" dataDxfId="3986">
      <calculatedColumnFormula>IFERROR(NYM_H164[[#This Row],[H]]/NYM_H164[[#This Row],[AB]],0)</calculatedColumnFormula>
    </tableColumn>
    <tableColumn id="5" xr3:uid="{00000000-0010-0000-AB00-000005000000}" name="OBP" dataDxfId="3985">
      <calculatedColumnFormula>IFERROR((NYM_H164[[#This Row],[H]]+NYM_H164[[#This Row],[BB]])/(NYM_H164[[#This Row],[BB]]+NYM_H164[[#This Row],[AB]]),0)</calculatedColumnFormula>
    </tableColumn>
    <tableColumn id="6" xr3:uid="{00000000-0010-0000-AB00-000006000000}" name="SLG" dataDxfId="3984">
      <calculatedColumnFormula>IFERROR(((NYM_H164[[#This Row],[H]]-NYM_H164[[#This Row],[2B]]-NYM_H164[[#This Row],[3B]]-NYM_H164[[#This Row],[HR]])+(NYM_H164[[#This Row],[2B]]*2)+(NYM_H164[[#This Row],[3B]]*3)+(NYM_H164[[#This Row],[HR]]*4))/NYM_H164[[#This Row],[AB]],0)</calculatedColumnFormula>
    </tableColumn>
    <tableColumn id="7" xr3:uid="{00000000-0010-0000-AB00-000007000000}" name="G" dataDxfId="3983"/>
    <tableColumn id="8" xr3:uid="{00000000-0010-0000-AB00-000008000000}" name="AB" dataDxfId="3982"/>
    <tableColumn id="9" xr3:uid="{00000000-0010-0000-AB00-000009000000}" name="R" dataDxfId="3981"/>
    <tableColumn id="10" xr3:uid="{00000000-0010-0000-AB00-00000A000000}" name="H" dataDxfId="3980"/>
    <tableColumn id="11" xr3:uid="{00000000-0010-0000-AB00-00000B000000}" name="2B" dataDxfId="3979"/>
    <tableColumn id="12" xr3:uid="{00000000-0010-0000-AB00-00000C000000}" name="3B" dataDxfId="3978"/>
    <tableColumn id="13" xr3:uid="{00000000-0010-0000-AB00-00000D000000}" name="HR" dataDxfId="3977"/>
    <tableColumn id="14" xr3:uid="{00000000-0010-0000-AB00-00000E000000}" name="RBI" dataDxfId="3976"/>
    <tableColumn id="15" xr3:uid="{00000000-0010-0000-AB00-00000F000000}" name="BB" dataDxfId="3975"/>
    <tableColumn id="16" xr3:uid="{00000000-0010-0000-AB00-000010000000}" name="K" dataDxfId="3974"/>
    <tableColumn id="17" xr3:uid="{00000000-0010-0000-AB00-000011000000}" name="SB" dataDxfId="3973"/>
    <tableColumn id="18" xr3:uid="{00000000-0010-0000-AB00-000012000000}" name="HS" dataDxfId="3972"/>
    <tableColumn id="19" xr3:uid="{00000000-0010-0000-AB00-000013000000}" name="LS" dataDxfId="3971"/>
    <tableColumn id="20" xr3:uid="{00000000-0010-0000-AB00-000014000000}" name="TB" dataDxfId="3970">
      <calculatedColumnFormula>IFERROR((NYM_H164[[#This Row],[H]]-NYM_H164[[#This Row],[2B]]-NYM_H164[[#This Row],[3B]]-NYM_H164[[#This Row],[HR]])+(NYM_H164[[#This Row],[2B]]*2)+(NYM_H164[[#This Row],[3B]]*3)+(NYM_H164[[#This Row],[HR]]*4),0)</calculatedColumnFormula>
    </tableColumn>
    <tableColumn id="21" xr3:uid="{00000000-0010-0000-AB00-000015000000}" name="OPS" dataDxfId="3969">
      <calculatedColumnFormula>NYM_H164[[#This Row],[OBP]]+NYM_H164[[#This Row],[SLG]]</calculatedColumnFormula>
    </tableColumn>
    <tableColumn id="22" xr3:uid="{00000000-0010-0000-AB00-000016000000}" name="*" dataDxfId="3968"/>
    <tableColumn id="23" xr3:uid="{00000000-0010-0000-AB00-000017000000}" name="#" dataDxfId="3967"/>
  </tableColumns>
  <tableStyleInfo name="TableStyleMedium3" showFirstColumn="0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AC000000}" name="NYM_P165" displayName="NYM_P165" ref="Z51:AR61" totalsRowShown="0" headerRowDxfId="3966" dataDxfId="3964" headerRowBorderDxfId="3965">
  <autoFilter ref="Z51:AR61" xr:uid="{00000000-0009-0000-0100-0000A4000000}"/>
  <sortState xmlns:xlrd2="http://schemas.microsoft.com/office/spreadsheetml/2017/richdata2" ref="Z52:AR61">
    <sortCondition ref="AR51:AR61"/>
  </sortState>
  <tableColumns count="19">
    <tableColumn id="1" xr3:uid="{00000000-0010-0000-AC00-000001000000}" name="TM" dataDxfId="3963"/>
    <tableColumn id="2" xr3:uid="{00000000-0010-0000-AC00-000002000000}" name="@" dataDxfId="3962"/>
    <tableColumn id="3" xr3:uid="{00000000-0010-0000-AC00-000003000000}" name="NAME" dataDxfId="3961"/>
    <tableColumn id="4" xr3:uid="{00000000-0010-0000-AC00-000004000000}" name="ERA" dataDxfId="3960">
      <calculatedColumnFormula>IFERROR((NYM_P165[[#This Row],[R]]*9)/NYM_P165[[#This Row],[IP]],0)</calculatedColumnFormula>
    </tableColumn>
    <tableColumn id="5" xr3:uid="{00000000-0010-0000-AC00-000005000000}" name="W" dataDxfId="3959"/>
    <tableColumn id="6" xr3:uid="{00000000-0010-0000-AC00-000006000000}" name="L" dataDxfId="3958"/>
    <tableColumn id="7" xr3:uid="{00000000-0010-0000-AC00-000007000000}" name="G" dataDxfId="3957"/>
    <tableColumn id="8" xr3:uid="{00000000-0010-0000-AC00-000008000000}" name="IP" dataDxfId="3956"/>
    <tableColumn id="9" xr3:uid="{00000000-0010-0000-AC00-000009000000}" name="H" dataDxfId="3955"/>
    <tableColumn id="10" xr3:uid="{00000000-0010-0000-AC00-00000A000000}" name="R" dataDxfId="3954"/>
    <tableColumn id="11" xr3:uid="{00000000-0010-0000-AC00-00000B000000}" name="BB" dataDxfId="3953"/>
    <tableColumn id="12" xr3:uid="{00000000-0010-0000-AC00-00000C000000}" name="K" dataDxfId="3952"/>
    <tableColumn id="13" xr3:uid="{00000000-0010-0000-AC00-00000D000000}" name="SV" dataDxfId="3951"/>
    <tableColumn id="14" xr3:uid="{00000000-0010-0000-AC00-00000E000000}" name="WH" dataDxfId="3950">
      <calculatedColumnFormula>IFERROR((NYM_P165[[#This Row],[BB]]+NYM_P165[[#This Row],[H]])/NYM_P165[[#This Row],[IP]],0)</calculatedColumnFormula>
    </tableColumn>
    <tableColumn id="15" xr3:uid="{00000000-0010-0000-AC00-00000F000000}" name="QS" dataDxfId="3949"/>
    <tableColumn id="16" xr3:uid="{00000000-0010-0000-AC00-000010000000}" name="UQ" dataDxfId="3948"/>
    <tableColumn id="17" xr3:uid="{00000000-0010-0000-AC00-000011000000}" name="CG" dataDxfId="3947"/>
    <tableColumn id="18" xr3:uid="{00000000-0010-0000-AC00-000012000000}" name="SH" dataDxfId="3946"/>
    <tableColumn id="19" xr3:uid="{00000000-0010-0000-AC00-000013000000}" name="#" dataDxfId="3945"/>
  </tableColumns>
  <tableStyleInfo name="TableStyleMedium3" showFirstColumn="0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AD000000}" name="MIA_H166" displayName="MIA_H166" ref="Z127:AV141" totalsRowShown="0" headerRowDxfId="3944" dataDxfId="3942" headerRowBorderDxfId="3943">
  <autoFilter ref="Z127:AV141" xr:uid="{00000000-0009-0000-0100-0000A5000000}"/>
  <sortState xmlns:xlrd2="http://schemas.microsoft.com/office/spreadsheetml/2017/richdata2" ref="Z128:AV141">
    <sortCondition descending="1" ref="AS127:AS141"/>
  </sortState>
  <tableColumns count="23">
    <tableColumn id="1" xr3:uid="{00000000-0010-0000-AD00-000001000000}" name="TM" dataDxfId="3941"/>
    <tableColumn id="2" xr3:uid="{00000000-0010-0000-AD00-000002000000}" name="@" dataDxfId="3940"/>
    <tableColumn id="3" xr3:uid="{00000000-0010-0000-AD00-000003000000}" name="NAME" dataDxfId="3939"/>
    <tableColumn id="4" xr3:uid="{00000000-0010-0000-AD00-000004000000}" name="BA" dataDxfId="3938">
      <calculatedColumnFormula>IFERROR(MIA_H166[[#This Row],[H]]/MIA_H166[[#This Row],[AB]],0)</calculatedColumnFormula>
    </tableColumn>
    <tableColumn id="5" xr3:uid="{00000000-0010-0000-AD00-000005000000}" name="OBP" dataDxfId="3937">
      <calculatedColumnFormula>IFERROR((MIA_H166[[#This Row],[H]]+MIA_H166[[#This Row],[BB]])/(MIA_H166[[#This Row],[BB]]+MIA_H166[[#This Row],[AB]]),0)</calculatedColumnFormula>
    </tableColumn>
    <tableColumn id="6" xr3:uid="{00000000-0010-0000-AD00-000006000000}" name="SLG" dataDxfId="3936">
      <calculatedColumnFormula>IFERROR(((MIA_H166[[#This Row],[H]]-MIA_H166[[#This Row],[2B]]-MIA_H166[[#This Row],[3B]]-MIA_H166[[#This Row],[HR]])+(MIA_H166[[#This Row],[2B]]*2)+(MIA_H166[[#This Row],[3B]]*3)+(MIA_H166[[#This Row],[HR]]*4))/MIA_H166[[#This Row],[AB]],0)</calculatedColumnFormula>
    </tableColumn>
    <tableColumn id="7" xr3:uid="{00000000-0010-0000-AD00-000007000000}" name="G" dataDxfId="3935"/>
    <tableColumn id="8" xr3:uid="{00000000-0010-0000-AD00-000008000000}" name="AB" dataDxfId="3934"/>
    <tableColumn id="9" xr3:uid="{00000000-0010-0000-AD00-000009000000}" name="R" dataDxfId="3933"/>
    <tableColumn id="10" xr3:uid="{00000000-0010-0000-AD00-00000A000000}" name="H" dataDxfId="3932"/>
    <tableColumn id="11" xr3:uid="{00000000-0010-0000-AD00-00000B000000}" name="2B" dataDxfId="3931"/>
    <tableColumn id="12" xr3:uid="{00000000-0010-0000-AD00-00000C000000}" name="3B" dataDxfId="3930"/>
    <tableColumn id="13" xr3:uid="{00000000-0010-0000-AD00-00000D000000}" name="HR" dataDxfId="3929"/>
    <tableColumn id="14" xr3:uid="{00000000-0010-0000-AD00-00000E000000}" name="RBI" dataDxfId="3928"/>
    <tableColumn id="15" xr3:uid="{00000000-0010-0000-AD00-00000F000000}" name="BB" dataDxfId="3927"/>
    <tableColumn id="16" xr3:uid="{00000000-0010-0000-AD00-000010000000}" name="K" dataDxfId="3926"/>
    <tableColumn id="17" xr3:uid="{00000000-0010-0000-AD00-000011000000}" name="SB" dataDxfId="3925"/>
    <tableColumn id="18" xr3:uid="{00000000-0010-0000-AD00-000012000000}" name="HS" dataDxfId="3924"/>
    <tableColumn id="19" xr3:uid="{00000000-0010-0000-AD00-000013000000}" name="LS" dataDxfId="3923"/>
    <tableColumn id="20" xr3:uid="{00000000-0010-0000-AD00-000014000000}" name="TB" dataDxfId="3922">
      <calculatedColumnFormula>IFERROR((MIA_H166[[#This Row],[H]]-MIA_H166[[#This Row],[2B]]-MIA_H166[[#This Row],[3B]]-MIA_H166[[#This Row],[HR]])+(MIA_H166[[#This Row],[2B]]*2)+(MIA_H166[[#This Row],[3B]]*3)+(MIA_H166[[#This Row],[HR]]*4),0)</calculatedColumnFormula>
    </tableColumn>
    <tableColumn id="21" xr3:uid="{00000000-0010-0000-AD00-000015000000}" name="OPS" dataDxfId="3921">
      <calculatedColumnFormula>MIA_H166[[#This Row],[OBP]]+MIA_H166[[#This Row],[SLG]]</calculatedColumnFormula>
    </tableColumn>
    <tableColumn id="22" xr3:uid="{00000000-0010-0000-AD00-000016000000}" name="*" dataDxfId="3920"/>
    <tableColumn id="23" xr3:uid="{00000000-0010-0000-AD00-000017000000}" name="#" dataDxfId="3919"/>
  </tableColumns>
  <tableStyleInfo name="TableStyleMedium7" showFirstColumn="0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AE000000}" name="MIA_P167" displayName="MIA_P167" ref="Z144:AR154" totalsRowShown="0" headerRowDxfId="3918" dataDxfId="3916" headerRowBorderDxfId="3917">
  <autoFilter ref="Z144:AR154" xr:uid="{00000000-0009-0000-0100-0000A6000000}"/>
  <sortState xmlns:xlrd2="http://schemas.microsoft.com/office/spreadsheetml/2017/richdata2" ref="Z145:AR154">
    <sortCondition ref="AR144:AR154"/>
  </sortState>
  <tableColumns count="19">
    <tableColumn id="1" xr3:uid="{00000000-0010-0000-AE00-000001000000}" name="TM" dataDxfId="3915"/>
    <tableColumn id="2" xr3:uid="{00000000-0010-0000-AE00-000002000000}" name="@" dataDxfId="3914"/>
    <tableColumn id="3" xr3:uid="{00000000-0010-0000-AE00-000003000000}" name="NAME" dataDxfId="3913"/>
    <tableColumn id="4" xr3:uid="{00000000-0010-0000-AE00-000004000000}" name="ERA" dataDxfId="3912">
      <calculatedColumnFormula>IFERROR((MIA_P167[[#This Row],[R]]*9)/MIA_P167[[#This Row],[IP]],0)</calculatedColumnFormula>
    </tableColumn>
    <tableColumn id="5" xr3:uid="{00000000-0010-0000-AE00-000005000000}" name="W" dataDxfId="3911"/>
    <tableColumn id="6" xr3:uid="{00000000-0010-0000-AE00-000006000000}" name="L" dataDxfId="3910"/>
    <tableColumn id="7" xr3:uid="{00000000-0010-0000-AE00-000007000000}" name="G" dataDxfId="3909"/>
    <tableColumn id="8" xr3:uid="{00000000-0010-0000-AE00-000008000000}" name="IP" dataDxfId="3908"/>
    <tableColumn id="9" xr3:uid="{00000000-0010-0000-AE00-000009000000}" name="H" dataDxfId="3907"/>
    <tableColumn id="10" xr3:uid="{00000000-0010-0000-AE00-00000A000000}" name="R" dataDxfId="3906"/>
    <tableColumn id="11" xr3:uid="{00000000-0010-0000-AE00-00000B000000}" name="BB" dataDxfId="3905"/>
    <tableColumn id="12" xr3:uid="{00000000-0010-0000-AE00-00000C000000}" name="K" dataDxfId="3904"/>
    <tableColumn id="13" xr3:uid="{00000000-0010-0000-AE00-00000D000000}" name="SV" dataDxfId="3903"/>
    <tableColumn id="14" xr3:uid="{00000000-0010-0000-AE00-00000E000000}" name="WH" dataDxfId="3902">
      <calculatedColumnFormula>IFERROR((MIA_P167[[#This Row],[BB]]+MIA_P167[[#This Row],[H]])/MIA_P167[[#This Row],[IP]],0)</calculatedColumnFormula>
    </tableColumn>
    <tableColumn id="15" xr3:uid="{00000000-0010-0000-AE00-00000F000000}" name="QS" dataDxfId="3901"/>
    <tableColumn id="16" xr3:uid="{00000000-0010-0000-AE00-000010000000}" name="UQ" dataDxfId="3900"/>
    <tableColumn id="17" xr3:uid="{00000000-0010-0000-AE00-000011000000}" name="CG" dataDxfId="3899"/>
    <tableColumn id="18" xr3:uid="{00000000-0010-0000-AE00-000012000000}" name="SH" dataDxfId="3898"/>
    <tableColumn id="19" xr3:uid="{00000000-0010-0000-AE00-000013000000}" name="#" dataDxfId="3897"/>
  </tableColumns>
  <tableStyleInfo name="TableStyleMedium7" showFirstColumn="0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00000000-000C-0000-FFFF-FFFFAF000000}" name="WSH_H168" displayName="WSH_H168" ref="Z96:AV110" totalsRowShown="0" headerRowDxfId="3896" dataDxfId="3894" headerRowBorderDxfId="3895">
  <autoFilter ref="Z96:AV110" xr:uid="{00000000-0009-0000-0100-0000A7000000}"/>
  <sortState xmlns:xlrd2="http://schemas.microsoft.com/office/spreadsheetml/2017/richdata2" ref="Z97:AV110">
    <sortCondition ref="AV96:AV110"/>
  </sortState>
  <tableColumns count="23">
    <tableColumn id="1" xr3:uid="{00000000-0010-0000-AF00-000001000000}" name="TM" dataDxfId="3893"/>
    <tableColumn id="2" xr3:uid="{00000000-0010-0000-AF00-000002000000}" name="@" dataDxfId="3892"/>
    <tableColumn id="3" xr3:uid="{00000000-0010-0000-AF00-000003000000}" name="NAME" dataDxfId="3891"/>
    <tableColumn id="4" xr3:uid="{00000000-0010-0000-AF00-000004000000}" name="BA" dataDxfId="3890">
      <calculatedColumnFormula>IFERROR(WSH_H168[[#This Row],[H]]/WSH_H168[[#This Row],[AB]],0)</calculatedColumnFormula>
    </tableColumn>
    <tableColumn id="5" xr3:uid="{00000000-0010-0000-AF00-000005000000}" name="OBP" dataDxfId="3889">
      <calculatedColumnFormula>IFERROR((WSH_H168[[#This Row],[H]]+WSH_H168[[#This Row],[BB]])/(WSH_H168[[#This Row],[BB]]+WSH_H168[[#This Row],[AB]]),0)</calculatedColumnFormula>
    </tableColumn>
    <tableColumn id="6" xr3:uid="{00000000-0010-0000-AF00-000006000000}" name="SLG" dataDxfId="3888">
      <calculatedColumnFormula>IFERROR(((WSH_H168[[#This Row],[H]]-WSH_H168[[#This Row],[2B]]-WSH_H168[[#This Row],[3B]]-WSH_H168[[#This Row],[HR]])+(WSH_H168[[#This Row],[2B]]*2)+(WSH_H168[[#This Row],[3B]]*3)+(WSH_H168[[#This Row],[HR]]*4))/WSH_H168[[#This Row],[AB]],0)</calculatedColumnFormula>
    </tableColumn>
    <tableColumn id="7" xr3:uid="{00000000-0010-0000-AF00-000007000000}" name="G" dataDxfId="3887"/>
    <tableColumn id="8" xr3:uid="{00000000-0010-0000-AF00-000008000000}" name="AB" dataDxfId="3886"/>
    <tableColumn id="9" xr3:uid="{00000000-0010-0000-AF00-000009000000}" name="R" dataDxfId="3885"/>
    <tableColumn id="10" xr3:uid="{00000000-0010-0000-AF00-00000A000000}" name="H" dataDxfId="3884"/>
    <tableColumn id="11" xr3:uid="{00000000-0010-0000-AF00-00000B000000}" name="2B" dataDxfId="3883"/>
    <tableColumn id="12" xr3:uid="{00000000-0010-0000-AF00-00000C000000}" name="3B" dataDxfId="3882"/>
    <tableColumn id="13" xr3:uid="{00000000-0010-0000-AF00-00000D000000}" name="HR" dataDxfId="3881"/>
    <tableColumn id="14" xr3:uid="{00000000-0010-0000-AF00-00000E000000}" name="RBI" dataDxfId="3880"/>
    <tableColumn id="15" xr3:uid="{00000000-0010-0000-AF00-00000F000000}" name="BB" dataDxfId="3879"/>
    <tableColumn id="16" xr3:uid="{00000000-0010-0000-AF00-000010000000}" name="K" dataDxfId="3878"/>
    <tableColumn id="17" xr3:uid="{00000000-0010-0000-AF00-000011000000}" name="SB" dataDxfId="3877"/>
    <tableColumn id="18" xr3:uid="{00000000-0010-0000-AF00-000012000000}" name="HS" dataDxfId="3876"/>
    <tableColumn id="19" xr3:uid="{00000000-0010-0000-AF00-000013000000}" name="LS" dataDxfId="3875"/>
    <tableColumn id="20" xr3:uid="{00000000-0010-0000-AF00-000014000000}" name="TB" dataDxfId="3874">
      <calculatedColumnFormula>IFERROR((WSH_H168[[#This Row],[H]]-WSH_H168[[#This Row],[2B]]-WSH_H168[[#This Row],[3B]]-WSH_H168[[#This Row],[HR]])+(WSH_H168[[#This Row],[2B]]*2)+(WSH_H168[[#This Row],[3B]]*3)+(WSH_H168[[#This Row],[HR]]*4),0)</calculatedColumnFormula>
    </tableColumn>
    <tableColumn id="21" xr3:uid="{00000000-0010-0000-AF00-000015000000}" name="OPS" dataDxfId="3873">
      <calculatedColumnFormula>WSH_H168[[#This Row],[OBP]]+WSH_H168[[#This Row],[SLG]]</calculatedColumnFormula>
    </tableColumn>
    <tableColumn id="22" xr3:uid="{00000000-0010-0000-AF00-000016000000}" name="*" dataDxfId="3872"/>
    <tableColumn id="23" xr3:uid="{00000000-0010-0000-AF00-000017000000}" name="#" dataDxfId="3871"/>
  </tableColumns>
  <tableStyleInfo name="TableStyleMedium3" showFirstColumn="0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0000000-000C-0000-FFFF-FFFFB0000000}" name="WSH_P169" displayName="WSH_P169" ref="Z113:AR123" totalsRowShown="0" headerRowDxfId="3870" dataDxfId="3868" headerRowBorderDxfId="3869">
  <autoFilter ref="Z113:AR123" xr:uid="{00000000-0009-0000-0100-0000A8000000}"/>
  <sortState xmlns:xlrd2="http://schemas.microsoft.com/office/spreadsheetml/2017/richdata2" ref="Z114:AR123">
    <sortCondition ref="AR113:AR123"/>
  </sortState>
  <tableColumns count="19">
    <tableColumn id="1" xr3:uid="{00000000-0010-0000-B000-000001000000}" name="TM" dataDxfId="3867"/>
    <tableColumn id="2" xr3:uid="{00000000-0010-0000-B000-000002000000}" name="@" dataDxfId="3866"/>
    <tableColumn id="3" xr3:uid="{00000000-0010-0000-B000-000003000000}" name="NAME" dataDxfId="3865"/>
    <tableColumn id="4" xr3:uid="{00000000-0010-0000-B000-000004000000}" name="ERA" dataDxfId="3864">
      <calculatedColumnFormula>IFERROR((WSH_P169[[#This Row],[R]]*9)/WSH_P169[[#This Row],[IP]],0)</calculatedColumnFormula>
    </tableColumn>
    <tableColumn id="5" xr3:uid="{00000000-0010-0000-B000-000005000000}" name="W" dataDxfId="3863"/>
    <tableColumn id="6" xr3:uid="{00000000-0010-0000-B000-000006000000}" name="L" dataDxfId="3862"/>
    <tableColumn id="7" xr3:uid="{00000000-0010-0000-B000-000007000000}" name="G" dataDxfId="3861"/>
    <tableColumn id="8" xr3:uid="{00000000-0010-0000-B000-000008000000}" name="IP" dataDxfId="3860"/>
    <tableColumn id="9" xr3:uid="{00000000-0010-0000-B000-000009000000}" name="H" dataDxfId="3859"/>
    <tableColumn id="10" xr3:uid="{00000000-0010-0000-B000-00000A000000}" name="R" dataDxfId="3858"/>
    <tableColumn id="11" xr3:uid="{00000000-0010-0000-B000-00000B000000}" name="BB" dataDxfId="3857"/>
    <tableColumn id="12" xr3:uid="{00000000-0010-0000-B000-00000C000000}" name="K" dataDxfId="3856"/>
    <tableColumn id="13" xr3:uid="{00000000-0010-0000-B000-00000D000000}" name="SV" dataDxfId="3855"/>
    <tableColumn id="14" xr3:uid="{00000000-0010-0000-B000-00000E000000}" name="WH" dataDxfId="3854">
      <calculatedColumnFormula>IFERROR((WSH_P169[[#This Row],[BB]]+WSH_P169[[#This Row],[H]])/WSH_P169[[#This Row],[IP]],0)</calculatedColumnFormula>
    </tableColumn>
    <tableColumn id="15" xr3:uid="{00000000-0010-0000-B000-00000F000000}" name="QS" dataDxfId="3853"/>
    <tableColumn id="16" xr3:uid="{00000000-0010-0000-B000-000010000000}" name="UQ" dataDxfId="3852"/>
    <tableColumn id="17" xr3:uid="{00000000-0010-0000-B000-000011000000}" name="CG" dataDxfId="3851"/>
    <tableColumn id="18" xr3:uid="{00000000-0010-0000-B000-000012000000}" name="SH" dataDxfId="3850"/>
    <tableColumn id="19" xr3:uid="{00000000-0010-0000-B000-000013000000}" name="#" dataDxfId="3849"/>
  </tableColumns>
  <tableStyleInfo name="TableStyleMedium3" showFirstColumn="0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B1000000}" name="PHI_H170" displayName="PHI_H170" ref="Z3:AV17" totalsRowShown="0" headerRowDxfId="3848" dataDxfId="3846" headerRowBorderDxfId="3847">
  <autoFilter ref="Z3:AV17" xr:uid="{00000000-0009-0000-0100-0000A9000000}"/>
  <sortState xmlns:xlrd2="http://schemas.microsoft.com/office/spreadsheetml/2017/richdata2" ref="Z4:AV17">
    <sortCondition ref="AV3:AV17"/>
  </sortState>
  <tableColumns count="23">
    <tableColumn id="1" xr3:uid="{00000000-0010-0000-B100-000001000000}" name="TM" dataDxfId="3845"/>
    <tableColumn id="2" xr3:uid="{00000000-0010-0000-B100-000002000000}" name="@" dataDxfId="3844"/>
    <tableColumn id="3" xr3:uid="{00000000-0010-0000-B100-000003000000}" name="NAME" dataDxfId="3843"/>
    <tableColumn id="4" xr3:uid="{00000000-0010-0000-B100-000004000000}" name="BA" dataDxfId="3842">
      <calculatedColumnFormula>IFERROR(PHI_H170[[#This Row],[H]]/PHI_H170[[#This Row],[AB]],0)</calculatedColumnFormula>
    </tableColumn>
    <tableColumn id="5" xr3:uid="{00000000-0010-0000-B100-000005000000}" name="OBP" dataDxfId="3841">
      <calculatedColumnFormula>IFERROR((PHI_H170[[#This Row],[H]]+PHI_H170[[#This Row],[BB]])/(PHI_H170[[#This Row],[BB]]+PHI_H170[[#This Row],[AB]]),0)</calculatedColumnFormula>
    </tableColumn>
    <tableColumn id="6" xr3:uid="{00000000-0010-0000-B100-000006000000}" name="SLG" dataDxfId="3840">
      <calculatedColumnFormula>IFERROR(((PHI_H170[[#This Row],[H]]-PHI_H170[[#This Row],[2B]]-PHI_H170[[#This Row],[3B]]-PHI_H170[[#This Row],[HR]])+(PHI_H170[[#This Row],[2B]]*2)+(PHI_H170[[#This Row],[3B]]*3)+(PHI_H170[[#This Row],[HR]]*4))/PHI_H170[[#This Row],[AB]],0)</calculatedColumnFormula>
    </tableColumn>
    <tableColumn id="7" xr3:uid="{00000000-0010-0000-B100-000007000000}" name="G" dataDxfId="3839"/>
    <tableColumn id="8" xr3:uid="{00000000-0010-0000-B100-000008000000}" name="AB" dataDxfId="3838"/>
    <tableColumn id="9" xr3:uid="{00000000-0010-0000-B100-000009000000}" name="R" dataDxfId="3837"/>
    <tableColumn id="10" xr3:uid="{00000000-0010-0000-B100-00000A000000}" name="H" dataDxfId="3836"/>
    <tableColumn id="11" xr3:uid="{00000000-0010-0000-B100-00000B000000}" name="2B" dataDxfId="3835"/>
    <tableColumn id="12" xr3:uid="{00000000-0010-0000-B100-00000C000000}" name="3B" dataDxfId="3834"/>
    <tableColumn id="13" xr3:uid="{00000000-0010-0000-B100-00000D000000}" name="HR" dataDxfId="3833"/>
    <tableColumn id="14" xr3:uid="{00000000-0010-0000-B100-00000E000000}" name="RBI" dataDxfId="3832"/>
    <tableColumn id="15" xr3:uid="{00000000-0010-0000-B100-00000F000000}" name="BB" dataDxfId="3831"/>
    <tableColumn id="16" xr3:uid="{00000000-0010-0000-B100-000010000000}" name="K" dataDxfId="3830"/>
    <tableColumn id="17" xr3:uid="{00000000-0010-0000-B100-000011000000}" name="SB" dataDxfId="3829"/>
    <tableColumn id="18" xr3:uid="{00000000-0010-0000-B100-000012000000}" name="HS" dataDxfId="3828"/>
    <tableColumn id="19" xr3:uid="{00000000-0010-0000-B100-000013000000}" name="LS" dataDxfId="3827"/>
    <tableColumn id="20" xr3:uid="{00000000-0010-0000-B100-000014000000}" name="TB" dataDxfId="3826">
      <calculatedColumnFormula>IFERROR((PHI_H170[[#This Row],[H]]-PHI_H170[[#This Row],[2B]]-PHI_H170[[#This Row],[3B]]-PHI_H170[[#This Row],[HR]])+(PHI_H170[[#This Row],[2B]]*2)+(PHI_H170[[#This Row],[3B]]*3)+(PHI_H170[[#This Row],[HR]]*4),0)</calculatedColumnFormula>
    </tableColumn>
    <tableColumn id="21" xr3:uid="{00000000-0010-0000-B100-000015000000}" name="OPS" dataDxfId="3825">
      <calculatedColumnFormula>PHI_H170[[#This Row],[OBP]]+PHI_H170[[#This Row],[SLG]]</calculatedColumnFormula>
    </tableColumn>
    <tableColumn id="22" xr3:uid="{00000000-0010-0000-B100-000016000000}" name="*" dataDxfId="3824"/>
    <tableColumn id="23" xr3:uid="{00000000-0010-0000-B100-000017000000}" name="#" dataDxfId="3823"/>
  </tableColumns>
  <tableStyleInfo name="TableStyleMedium7" showFirstColumn="0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B2000000}" name="PHI_P171" displayName="PHI_P171" ref="Z20:AR30" totalsRowShown="0" headerRowDxfId="3822" dataDxfId="3820" headerRowBorderDxfId="3821">
  <autoFilter ref="Z20:AR30" xr:uid="{00000000-0009-0000-0100-0000AA000000}"/>
  <tableColumns count="19">
    <tableColumn id="1" xr3:uid="{00000000-0010-0000-B200-000001000000}" name="TM" dataDxfId="3819"/>
    <tableColumn id="2" xr3:uid="{00000000-0010-0000-B200-000002000000}" name="@" dataDxfId="3818"/>
    <tableColumn id="3" xr3:uid="{00000000-0010-0000-B200-000003000000}" name="NAME" dataDxfId="3817"/>
    <tableColumn id="4" xr3:uid="{00000000-0010-0000-B200-000004000000}" name="ERA" dataDxfId="3816">
      <calculatedColumnFormula>IFERROR((PHI_P171[[#This Row],[R]]*9)/PHI_P171[[#This Row],[IP]],0)</calculatedColumnFormula>
    </tableColumn>
    <tableColumn id="5" xr3:uid="{00000000-0010-0000-B200-000005000000}" name="W" dataDxfId="3815"/>
    <tableColumn id="6" xr3:uid="{00000000-0010-0000-B200-000006000000}" name="L" dataDxfId="3814"/>
    <tableColumn id="7" xr3:uid="{00000000-0010-0000-B200-000007000000}" name="G" dataDxfId="3813"/>
    <tableColumn id="8" xr3:uid="{00000000-0010-0000-B200-000008000000}" name="IP" dataDxfId="3812"/>
    <tableColumn id="9" xr3:uid="{00000000-0010-0000-B200-000009000000}" name="H" dataDxfId="3811"/>
    <tableColumn id="10" xr3:uid="{00000000-0010-0000-B200-00000A000000}" name="R" dataDxfId="3810"/>
    <tableColumn id="11" xr3:uid="{00000000-0010-0000-B200-00000B000000}" name="BB" dataDxfId="3809"/>
    <tableColumn id="12" xr3:uid="{00000000-0010-0000-B200-00000C000000}" name="K" dataDxfId="3808"/>
    <tableColumn id="13" xr3:uid="{00000000-0010-0000-B200-00000D000000}" name="SV" dataDxfId="3807"/>
    <tableColumn id="14" xr3:uid="{00000000-0010-0000-B200-00000E000000}" name="WH" dataDxfId="3806">
      <calculatedColumnFormula>IFERROR((PHI_P171[[#This Row],[BB]]+PHI_P171[[#This Row],[H]])/PHI_P171[[#This Row],[IP]],0)</calculatedColumnFormula>
    </tableColumn>
    <tableColumn id="15" xr3:uid="{00000000-0010-0000-B200-00000F000000}" name="QS" dataDxfId="3805"/>
    <tableColumn id="16" xr3:uid="{00000000-0010-0000-B200-000010000000}" name="UQ" dataDxfId="3804"/>
    <tableColumn id="17" xr3:uid="{00000000-0010-0000-B200-000011000000}" name="CG" dataDxfId="3803"/>
    <tableColumn id="18" xr3:uid="{00000000-0010-0000-B200-000012000000}" name="SH" dataDxfId="3802"/>
    <tableColumn id="19" xr3:uid="{00000000-0010-0000-B200-000013000000}" name="#" dataDxfId="3801"/>
  </tableColumns>
  <tableStyleInfo name="TableStyleMedium7" showFirstColumn="0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B3000000}" name="ATL_H67" displayName="ATL_H67" ref="Z159:AV173" totalsRowShown="0" headerRowDxfId="3800" dataDxfId="3798" headerRowBorderDxfId="3799">
  <autoFilter ref="Z159:AV173" xr:uid="{00000000-0009-0000-0100-0000AB000000}"/>
  <sortState xmlns:xlrd2="http://schemas.microsoft.com/office/spreadsheetml/2017/richdata2" ref="Z160:AV173">
    <sortCondition ref="AV159:AV173"/>
  </sortState>
  <tableColumns count="23">
    <tableColumn id="1" xr3:uid="{00000000-0010-0000-B300-000001000000}" name="TM" dataDxfId="3797"/>
    <tableColumn id="2" xr3:uid="{00000000-0010-0000-B300-000002000000}" name="@" dataDxfId="3796"/>
    <tableColumn id="3" xr3:uid="{00000000-0010-0000-B300-000003000000}" name="NAME" dataDxfId="3795"/>
    <tableColumn id="4" xr3:uid="{00000000-0010-0000-B300-000004000000}" name="BA" dataDxfId="3794">
      <calculatedColumnFormula>IFERROR(ATL_H67[[#This Row],[H]]/ATL_H67[[#This Row],[AB]],0)</calculatedColumnFormula>
    </tableColumn>
    <tableColumn id="5" xr3:uid="{00000000-0010-0000-B300-000005000000}" name="OBP" dataDxfId="3793">
      <calculatedColumnFormula>IFERROR((ATL_H67[[#This Row],[H]]+ATL_H67[[#This Row],[BB]])/(ATL_H67[[#This Row],[BB]]+ATL_H67[[#This Row],[AB]]),0)</calculatedColumnFormula>
    </tableColumn>
    <tableColumn id="6" xr3:uid="{00000000-0010-0000-B300-000006000000}" name="SLG" dataDxfId="3792">
      <calculatedColumnFormula>IFERROR(((ATL_H67[[#This Row],[H]]-ATL_H67[[#This Row],[2B]]-ATL_H67[[#This Row],[3B]]-ATL_H67[[#This Row],[HR]])+(ATL_H67[[#This Row],[2B]]*2)+(ATL_H67[[#This Row],[3B]]*3)+(ATL_H67[[#This Row],[HR]]*4))/ATL_H67[[#This Row],[AB]],0)</calculatedColumnFormula>
    </tableColumn>
    <tableColumn id="7" xr3:uid="{00000000-0010-0000-B300-000007000000}" name="G" dataDxfId="3791"/>
    <tableColumn id="8" xr3:uid="{00000000-0010-0000-B300-000008000000}" name="AB" dataDxfId="3790"/>
    <tableColumn id="9" xr3:uid="{00000000-0010-0000-B300-000009000000}" name="R" dataDxfId="3789"/>
    <tableColumn id="10" xr3:uid="{00000000-0010-0000-B300-00000A000000}" name="H" dataDxfId="3788"/>
    <tableColumn id="11" xr3:uid="{00000000-0010-0000-B300-00000B000000}" name="2B" dataDxfId="3787"/>
    <tableColumn id="12" xr3:uid="{00000000-0010-0000-B300-00000C000000}" name="3B" dataDxfId="3786"/>
    <tableColumn id="13" xr3:uid="{00000000-0010-0000-B300-00000D000000}" name="HR" dataDxfId="3785"/>
    <tableColumn id="14" xr3:uid="{00000000-0010-0000-B300-00000E000000}" name="RBI" dataDxfId="3784"/>
    <tableColumn id="15" xr3:uid="{00000000-0010-0000-B300-00000F000000}" name="BB" dataDxfId="3783"/>
    <tableColumn id="16" xr3:uid="{00000000-0010-0000-B300-000010000000}" name="K" dataDxfId="3782"/>
    <tableColumn id="17" xr3:uid="{00000000-0010-0000-B300-000011000000}" name="SB" dataDxfId="3781"/>
    <tableColumn id="18" xr3:uid="{00000000-0010-0000-B300-000012000000}" name="HS" dataDxfId="3780"/>
    <tableColumn id="21" xr3:uid="{00000000-0010-0000-B300-000015000000}" name="LS" dataDxfId="3779"/>
    <tableColumn id="19" xr3:uid="{00000000-0010-0000-B300-000013000000}" name="TB" dataDxfId="3778">
      <calculatedColumnFormula>IFERROR((ATL_H67[[#This Row],[H]]-ATL_H67[[#This Row],[2B]]-ATL_H67[[#This Row],[3B]]-ATL_H67[[#This Row],[HR]])+(ATL_H67[[#This Row],[2B]]*2)+(ATL_H67[[#This Row],[3B]]*3)+(ATL_H67[[#This Row],[HR]]*4),0)</calculatedColumnFormula>
    </tableColumn>
    <tableColumn id="23" xr3:uid="{00000000-0010-0000-B300-000017000000}" name="OPS" dataDxfId="3777">
      <calculatedColumnFormula>ATL_H67[[#This Row],[OBP]]+ATL_H67[[#This Row],[SLG]]</calculatedColumnFormula>
    </tableColumn>
    <tableColumn id="22" xr3:uid="{00000000-0010-0000-B300-000016000000}" name="*" dataDxfId="3776"/>
    <tableColumn id="20" xr3:uid="{00000000-0010-0000-B300-000014000000}" name="#" dataDxfId="3775"/>
  </tableColumns>
  <tableStyleInfo name="TableStyleMedium2" showFirstColumn="0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B4000000}" name="ATL_P68" displayName="ATL_P68" ref="Z176:AR186" totalsRowShown="0" headerRowDxfId="3774" dataDxfId="3772" headerRowBorderDxfId="3773">
  <autoFilter ref="Z176:AR186" xr:uid="{00000000-0009-0000-0100-0000AC000000}"/>
  <sortState xmlns:xlrd2="http://schemas.microsoft.com/office/spreadsheetml/2017/richdata2" ref="Z177:AR186">
    <sortCondition ref="AR176:AR186"/>
  </sortState>
  <tableColumns count="19">
    <tableColumn id="1" xr3:uid="{00000000-0010-0000-B400-000001000000}" name="TM" dataDxfId="3771"/>
    <tableColumn id="2" xr3:uid="{00000000-0010-0000-B400-000002000000}" name="@" dataDxfId="3770"/>
    <tableColumn id="3" xr3:uid="{00000000-0010-0000-B400-000003000000}" name="NAME" dataDxfId="3769"/>
    <tableColumn id="4" xr3:uid="{00000000-0010-0000-B400-000004000000}" name="ERA" dataDxfId="3768">
      <calculatedColumnFormula>IFERROR((ATL_P68[[#This Row],[R]]*9)/ATL_P68[[#This Row],[IP]],0)</calculatedColumnFormula>
    </tableColumn>
    <tableColumn id="5" xr3:uid="{00000000-0010-0000-B400-000005000000}" name="W" dataDxfId="3767"/>
    <tableColumn id="6" xr3:uid="{00000000-0010-0000-B400-000006000000}" name="L" dataDxfId="3766"/>
    <tableColumn id="7" xr3:uid="{00000000-0010-0000-B400-000007000000}" name="G" dataDxfId="3765"/>
    <tableColumn id="8" xr3:uid="{00000000-0010-0000-B400-000008000000}" name="IP" dataDxfId="3764"/>
    <tableColumn id="9" xr3:uid="{00000000-0010-0000-B400-000009000000}" name="H" dataDxfId="3763"/>
    <tableColumn id="10" xr3:uid="{00000000-0010-0000-B400-00000A000000}" name="R" dataDxfId="3762"/>
    <tableColumn id="11" xr3:uid="{00000000-0010-0000-B400-00000B000000}" name="BB" dataDxfId="3761"/>
    <tableColumn id="12" xr3:uid="{00000000-0010-0000-B400-00000C000000}" name="K" dataDxfId="3760"/>
    <tableColumn id="13" xr3:uid="{00000000-0010-0000-B400-00000D000000}" name="SV" dataDxfId="3759"/>
    <tableColumn id="14" xr3:uid="{00000000-0010-0000-B400-00000E000000}" name="WH" dataDxfId="3758">
      <calculatedColumnFormula>IFERROR((ATL_P68[[#This Row],[BB]]+ATL_P68[[#This Row],[H]])/ATL_P68[[#This Row],[IP]],0)</calculatedColumnFormula>
    </tableColumn>
    <tableColumn id="15" xr3:uid="{00000000-0010-0000-B400-00000F000000}" name="QS" dataDxfId="3757"/>
    <tableColumn id="16" xr3:uid="{00000000-0010-0000-B400-000010000000}" name="UQ" dataDxfId="3756"/>
    <tableColumn id="17" xr3:uid="{00000000-0010-0000-B400-000011000000}" name="CG" dataDxfId="3755"/>
    <tableColumn id="18" xr3:uid="{00000000-0010-0000-B400-000012000000}" name="SH" dataDxfId="3754"/>
    <tableColumn id="19" xr3:uid="{00000000-0010-0000-B400-000013000000}" name="#" dataDxfId="3753"/>
  </tableColumns>
  <tableStyleInfo name="TableStyleMedium2" showFirstColumn="0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B5000000}" name="NYM_H69" displayName="NYM_H69" ref="Z190:AV204" totalsRowShown="0" headerRowDxfId="3752" dataDxfId="3750" headerRowBorderDxfId="3751">
  <autoFilter ref="Z190:AV204" xr:uid="{00000000-0009-0000-0100-0000AD000000}"/>
  <sortState xmlns:xlrd2="http://schemas.microsoft.com/office/spreadsheetml/2017/richdata2" ref="Z191:AV204">
    <sortCondition ref="AV190:AV204"/>
  </sortState>
  <tableColumns count="23">
    <tableColumn id="1" xr3:uid="{00000000-0010-0000-B500-000001000000}" name="TM" dataDxfId="3749"/>
    <tableColumn id="2" xr3:uid="{00000000-0010-0000-B500-000002000000}" name="@" dataDxfId="3748"/>
    <tableColumn id="3" xr3:uid="{00000000-0010-0000-B500-000003000000}" name="NAME" dataDxfId="3747"/>
    <tableColumn id="4" xr3:uid="{00000000-0010-0000-B500-000004000000}" name="BA" dataDxfId="3746">
      <calculatedColumnFormula>IFERROR(NYM_H69[[#This Row],[H]]/NYM_H69[[#This Row],[AB]],0)</calculatedColumnFormula>
    </tableColumn>
    <tableColumn id="5" xr3:uid="{00000000-0010-0000-B500-000005000000}" name="OBP" dataDxfId="3745">
      <calculatedColumnFormula>IFERROR((NYM_H69[[#This Row],[H]]+NYM_H69[[#This Row],[BB]])/(NYM_H69[[#This Row],[BB]]+NYM_H69[[#This Row],[AB]]),0)</calculatedColumnFormula>
    </tableColumn>
    <tableColumn id="6" xr3:uid="{00000000-0010-0000-B500-000006000000}" name="SLG" dataDxfId="3744">
      <calculatedColumnFormula>IFERROR(((NYM_H69[[#This Row],[H]]-NYM_H69[[#This Row],[2B]]-NYM_H69[[#This Row],[3B]]-NYM_H69[[#This Row],[HR]])+(NYM_H69[[#This Row],[2B]]*2)+(NYM_H69[[#This Row],[3B]]*3)+(NYM_H69[[#This Row],[HR]]*4))/NYM_H69[[#This Row],[AB]],0)</calculatedColumnFormula>
    </tableColumn>
    <tableColumn id="7" xr3:uid="{00000000-0010-0000-B500-000007000000}" name="G" dataDxfId="3743"/>
    <tableColumn id="8" xr3:uid="{00000000-0010-0000-B500-000008000000}" name="AB" dataDxfId="3742"/>
    <tableColumn id="9" xr3:uid="{00000000-0010-0000-B500-000009000000}" name="R" dataDxfId="3741"/>
    <tableColumn id="10" xr3:uid="{00000000-0010-0000-B500-00000A000000}" name="H" dataDxfId="3740"/>
    <tableColumn id="11" xr3:uid="{00000000-0010-0000-B500-00000B000000}" name="2B" dataDxfId="3739"/>
    <tableColumn id="12" xr3:uid="{00000000-0010-0000-B500-00000C000000}" name="3B" dataDxfId="3738"/>
    <tableColumn id="13" xr3:uid="{00000000-0010-0000-B500-00000D000000}" name="HR" dataDxfId="3737"/>
    <tableColumn id="14" xr3:uid="{00000000-0010-0000-B500-00000E000000}" name="RBI" dataDxfId="3736"/>
    <tableColumn id="15" xr3:uid="{00000000-0010-0000-B500-00000F000000}" name="BB" dataDxfId="3735"/>
    <tableColumn id="16" xr3:uid="{00000000-0010-0000-B500-000010000000}" name="K" dataDxfId="3734"/>
    <tableColumn id="17" xr3:uid="{00000000-0010-0000-B500-000011000000}" name="SB" dataDxfId="3733"/>
    <tableColumn id="18" xr3:uid="{00000000-0010-0000-B500-000012000000}" name="HS" dataDxfId="3732"/>
    <tableColumn id="19" xr3:uid="{00000000-0010-0000-B500-000013000000}" name="LS" dataDxfId="3731"/>
    <tableColumn id="20" xr3:uid="{00000000-0010-0000-B500-000014000000}" name="TB" dataDxfId="3730">
      <calculatedColumnFormula>IFERROR((NYM_H69[[#This Row],[H]]-NYM_H69[[#This Row],[2B]]-NYM_H69[[#This Row],[3B]]-NYM_H69[[#This Row],[HR]])+(NYM_H69[[#This Row],[2B]]*2)+(NYM_H69[[#This Row],[3B]]*3)+(NYM_H69[[#This Row],[HR]]*4),0)</calculatedColumnFormula>
    </tableColumn>
    <tableColumn id="21" xr3:uid="{00000000-0010-0000-B500-000015000000}" name="OPS" dataDxfId="3729">
      <calculatedColumnFormula>NYM_H69[[#This Row],[OBP]]+NYM_H69[[#This Row],[SLG]]</calculatedColumnFormula>
    </tableColumn>
    <tableColumn id="22" xr3:uid="{00000000-0010-0000-B500-000016000000}" name="*" dataDxfId="3728"/>
    <tableColumn id="23" xr3:uid="{00000000-0010-0000-B500-000017000000}" name="#" dataDxfId="3727"/>
  </tableColumns>
  <tableStyleInfo name="TableStyleMedium3" showFirstColumn="0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00000000-000C-0000-FFFF-FFFFB6000000}" name="NYM_P70" displayName="NYM_P70" ref="Z207:AR217" totalsRowShown="0" headerRowDxfId="3726" dataDxfId="3724" headerRowBorderDxfId="3725">
  <autoFilter ref="Z207:AR217" xr:uid="{00000000-0009-0000-0100-0000AE000000}"/>
  <sortState xmlns:xlrd2="http://schemas.microsoft.com/office/spreadsheetml/2017/richdata2" ref="Z208:AR217">
    <sortCondition ref="AR207:AR217"/>
  </sortState>
  <tableColumns count="19">
    <tableColumn id="1" xr3:uid="{00000000-0010-0000-B600-000001000000}" name="TM" dataDxfId="3723"/>
    <tableColumn id="2" xr3:uid="{00000000-0010-0000-B600-000002000000}" name="@" dataDxfId="3722"/>
    <tableColumn id="3" xr3:uid="{00000000-0010-0000-B600-000003000000}" name="NAME" dataDxfId="3721"/>
    <tableColumn id="4" xr3:uid="{00000000-0010-0000-B600-000004000000}" name="ERA" dataDxfId="3720">
      <calculatedColumnFormula>IFERROR((NYM_P70[[#This Row],[R]]*9)/NYM_P70[[#This Row],[IP]],0)</calculatedColumnFormula>
    </tableColumn>
    <tableColumn id="5" xr3:uid="{00000000-0010-0000-B600-000005000000}" name="W" dataDxfId="3719"/>
    <tableColumn id="6" xr3:uid="{00000000-0010-0000-B600-000006000000}" name="L" dataDxfId="3718"/>
    <tableColumn id="7" xr3:uid="{00000000-0010-0000-B600-000007000000}" name="G" dataDxfId="3717"/>
    <tableColumn id="8" xr3:uid="{00000000-0010-0000-B600-000008000000}" name="IP" dataDxfId="3716"/>
    <tableColumn id="9" xr3:uid="{00000000-0010-0000-B600-000009000000}" name="H" dataDxfId="3715"/>
    <tableColumn id="10" xr3:uid="{00000000-0010-0000-B600-00000A000000}" name="R" dataDxfId="3714"/>
    <tableColumn id="11" xr3:uid="{00000000-0010-0000-B600-00000B000000}" name="BB" dataDxfId="3713"/>
    <tableColumn id="12" xr3:uid="{00000000-0010-0000-B600-00000C000000}" name="K" dataDxfId="3712"/>
    <tableColumn id="13" xr3:uid="{00000000-0010-0000-B600-00000D000000}" name="SV" dataDxfId="3711"/>
    <tableColumn id="14" xr3:uid="{00000000-0010-0000-B600-00000E000000}" name="WH" dataDxfId="3710">
      <calculatedColumnFormula>IFERROR((NYM_P70[[#This Row],[BB]]+NYM_P70[[#This Row],[H]])/NYM_P70[[#This Row],[IP]],0)</calculatedColumnFormula>
    </tableColumn>
    <tableColumn id="15" xr3:uid="{00000000-0010-0000-B600-00000F000000}" name="QS" dataDxfId="3709"/>
    <tableColumn id="16" xr3:uid="{00000000-0010-0000-B600-000010000000}" name="UQ" dataDxfId="3708"/>
    <tableColumn id="17" xr3:uid="{00000000-0010-0000-B600-000011000000}" name="CG" dataDxfId="3707"/>
    <tableColumn id="18" xr3:uid="{00000000-0010-0000-B600-000012000000}" name="SH" dataDxfId="3706"/>
    <tableColumn id="19" xr3:uid="{00000000-0010-0000-B600-000013000000}" name="#" dataDxfId="3705"/>
  </tableColumns>
  <tableStyleInfo name="TableStyleMedium3" showFirstColumn="0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B7000000}" name="ATL_H162176" displayName="ATL_H162176" ref="AY65:BU79" totalsRowShown="0" headerRowDxfId="3704" dataDxfId="3702" headerRowBorderDxfId="3703">
  <autoFilter ref="AY65:BU79" xr:uid="{00000000-0009-0000-0100-0000AF000000}"/>
  <sortState xmlns:xlrd2="http://schemas.microsoft.com/office/spreadsheetml/2017/richdata2" ref="AY66:BU79">
    <sortCondition ref="BU65:BU79"/>
  </sortState>
  <tableColumns count="23">
    <tableColumn id="1" xr3:uid="{00000000-0010-0000-B700-000001000000}" name="TM" dataDxfId="3701"/>
    <tableColumn id="2" xr3:uid="{00000000-0010-0000-B700-000002000000}" name="@" dataDxfId="3700"/>
    <tableColumn id="3" xr3:uid="{00000000-0010-0000-B700-000003000000}" name="NAME" dataDxfId="3699"/>
    <tableColumn id="4" xr3:uid="{00000000-0010-0000-B700-000004000000}" name="BA" dataDxfId="3698">
      <calculatedColumnFormula>IFERROR(ATL_H162176[[#This Row],[H]]/ATL_H162176[[#This Row],[AB]],0)</calculatedColumnFormula>
    </tableColumn>
    <tableColumn id="5" xr3:uid="{00000000-0010-0000-B700-000005000000}" name="OBP" dataDxfId="3697">
      <calculatedColumnFormula>IFERROR((ATL_H162176[[#This Row],[BB]]+ATL_H162176[[#This Row],[H]])/(ATL_H162176[[#This Row],[BB]]+ATL_H162176[[#This Row],[AB]]),0)</calculatedColumnFormula>
    </tableColumn>
    <tableColumn id="6" xr3:uid="{00000000-0010-0000-B700-000006000000}" name="SLG" dataDxfId="3696">
      <calculatedColumnFormula>IFERROR(((ATL_H162176[[#This Row],[H]]-ATL_H162176[[#This Row],[2B]]-ATL_H162176[[#This Row],[3B]]-ATL_H162176[[#This Row],[HR]])+(ATL_H162176[[#This Row],[2B]]*2)+(ATL_H162176[[#This Row],[3B]]*3)+(ATL_H162176[[#This Row],[HR]]*4))/ATL_H162176[[#This Row],[AB]],0)</calculatedColumnFormula>
    </tableColumn>
    <tableColumn id="7" xr3:uid="{00000000-0010-0000-B700-000007000000}" name="G" dataDxfId="3695"/>
    <tableColumn id="8" xr3:uid="{00000000-0010-0000-B700-000008000000}" name="AB" dataDxfId="3694"/>
    <tableColumn id="9" xr3:uid="{00000000-0010-0000-B700-000009000000}" name="R" dataDxfId="3693"/>
    <tableColumn id="10" xr3:uid="{00000000-0010-0000-B700-00000A000000}" name="H" dataDxfId="3692"/>
    <tableColumn id="11" xr3:uid="{00000000-0010-0000-B700-00000B000000}" name="2B" dataDxfId="3691"/>
    <tableColumn id="12" xr3:uid="{00000000-0010-0000-B700-00000C000000}" name="3B" dataDxfId="3690"/>
    <tableColumn id="13" xr3:uid="{00000000-0010-0000-B700-00000D000000}" name="HR" dataDxfId="3689"/>
    <tableColumn id="14" xr3:uid="{00000000-0010-0000-B700-00000E000000}" name="RBI" dataDxfId="3688"/>
    <tableColumn id="15" xr3:uid="{00000000-0010-0000-B700-00000F000000}" name="BB" dataDxfId="3687"/>
    <tableColumn id="16" xr3:uid="{00000000-0010-0000-B700-000010000000}" name="K" dataDxfId="3686"/>
    <tableColumn id="17" xr3:uid="{00000000-0010-0000-B700-000011000000}" name="SB" dataDxfId="3685"/>
    <tableColumn id="18" xr3:uid="{00000000-0010-0000-B700-000012000000}" name="HS" dataDxfId="3684"/>
    <tableColumn id="21" xr3:uid="{00000000-0010-0000-B700-000015000000}" name="LS" dataDxfId="3683"/>
    <tableColumn id="19" xr3:uid="{00000000-0010-0000-B700-000013000000}" name="TB" dataDxfId="3682">
      <calculatedColumnFormula>IFERROR((ATL_H162176[[#This Row],[H]]-ATL_H162176[[#This Row],[2B]]-ATL_H162176[[#This Row],[3B]]-ATL_H162176[[#This Row],[HR]])+(ATL_H162176[[#This Row],[2B]]*2)+(ATL_H162176[[#This Row],[3B]]*3)+(ATL_H162176[[#This Row],[HR]]*4),0)</calculatedColumnFormula>
    </tableColumn>
    <tableColumn id="23" xr3:uid="{00000000-0010-0000-B700-000017000000}" name="OPS" dataDxfId="3681">
      <calculatedColumnFormula>IFERROR(ATL_H162176[[#This Row],[OBP]]+ATL_H162176[[#This Row],[SLG]],0)</calculatedColumnFormula>
    </tableColumn>
    <tableColumn id="22" xr3:uid="{00000000-0010-0000-B700-000016000000}" name="*" dataDxfId="3680"/>
    <tableColumn id="20" xr3:uid="{00000000-0010-0000-B700-000014000000}" name="#" dataDxfId="3679"/>
  </tableColumns>
  <tableStyleInfo name="TableStyleMedium2" showFirstColumn="0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0000000-000C-0000-FFFF-FFFFB8000000}" name="ATL_P163177" displayName="ATL_P163177" ref="AY82:BQ92" totalsRowShown="0" headerRowDxfId="3678" dataDxfId="3676" headerRowBorderDxfId="3677">
  <autoFilter ref="AY82:BQ92" xr:uid="{00000000-0009-0000-0100-0000B0000000}"/>
  <sortState xmlns:xlrd2="http://schemas.microsoft.com/office/spreadsheetml/2017/richdata2" ref="AY83:BQ92">
    <sortCondition ref="BQ82:BQ92"/>
  </sortState>
  <tableColumns count="19">
    <tableColumn id="1" xr3:uid="{00000000-0010-0000-B800-000001000000}" name="TM" dataDxfId="3675"/>
    <tableColumn id="2" xr3:uid="{00000000-0010-0000-B800-000002000000}" name="@" dataDxfId="3674"/>
    <tableColumn id="3" xr3:uid="{00000000-0010-0000-B800-000003000000}" name="NAME" dataDxfId="3673"/>
    <tableColumn id="4" xr3:uid="{00000000-0010-0000-B800-000004000000}" name="ERA" dataDxfId="3672">
      <calculatedColumnFormula>IFERROR((ATL_P163177[[#This Row],[R]]*9)/ATL_P163177[[#This Row],[IP]],0)</calculatedColumnFormula>
    </tableColumn>
    <tableColumn id="5" xr3:uid="{00000000-0010-0000-B800-000005000000}" name="W" dataDxfId="3671"/>
    <tableColumn id="6" xr3:uid="{00000000-0010-0000-B800-000006000000}" name="L" dataDxfId="3670"/>
    <tableColumn id="7" xr3:uid="{00000000-0010-0000-B800-000007000000}" name="G" dataDxfId="3669"/>
    <tableColumn id="8" xr3:uid="{00000000-0010-0000-B800-000008000000}" name="IP" dataDxfId="3668"/>
    <tableColumn id="9" xr3:uid="{00000000-0010-0000-B800-000009000000}" name="H" dataDxfId="3667"/>
    <tableColumn id="10" xr3:uid="{00000000-0010-0000-B800-00000A000000}" name="R" dataDxfId="3666"/>
    <tableColumn id="11" xr3:uid="{00000000-0010-0000-B800-00000B000000}" name="BB" dataDxfId="3665"/>
    <tableColumn id="12" xr3:uid="{00000000-0010-0000-B800-00000C000000}" name="K" dataDxfId="3664"/>
    <tableColumn id="13" xr3:uid="{00000000-0010-0000-B800-00000D000000}" name="SV" dataDxfId="3663"/>
    <tableColumn id="14" xr3:uid="{00000000-0010-0000-B800-00000E000000}" name="WH" dataDxfId="3662">
      <calculatedColumnFormula>IFERROR((ATL_P163177[[#This Row],[BB]]+ATL_P163177[[#This Row],[H]])/ATL_P163177[[#This Row],[IP]],0)</calculatedColumnFormula>
    </tableColumn>
    <tableColumn id="15" xr3:uid="{00000000-0010-0000-B800-00000F000000}" name="QS" dataDxfId="3661"/>
    <tableColumn id="16" xr3:uid="{00000000-0010-0000-B800-000010000000}" name="UQ" dataDxfId="3660"/>
    <tableColumn id="17" xr3:uid="{00000000-0010-0000-B800-000011000000}" name="CG" dataDxfId="3659"/>
    <tableColumn id="18" xr3:uid="{00000000-0010-0000-B800-000012000000}" name="SH" dataDxfId="3658"/>
    <tableColumn id="19" xr3:uid="{00000000-0010-0000-B800-000013000000}" name="#" dataDxfId="3657"/>
  </tableColumns>
  <tableStyleInfo name="TableStyleMedium2" showFirstColumn="0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B9000000}" name="NYM_H164178" displayName="NYM_H164178" ref="AY34:BU48" totalsRowShown="0" headerRowDxfId="3656" dataDxfId="3654" headerRowBorderDxfId="3655">
  <autoFilter ref="AY34:BU48" xr:uid="{00000000-0009-0000-0100-0000B1000000}"/>
  <sortState xmlns:xlrd2="http://schemas.microsoft.com/office/spreadsheetml/2017/richdata2" ref="AY35:BU48">
    <sortCondition ref="BU34:BU48"/>
  </sortState>
  <tableColumns count="23">
    <tableColumn id="1" xr3:uid="{00000000-0010-0000-B900-000001000000}" name="TM" dataDxfId="3653"/>
    <tableColumn id="2" xr3:uid="{00000000-0010-0000-B900-000002000000}" name="@" dataDxfId="3652"/>
    <tableColumn id="3" xr3:uid="{00000000-0010-0000-B900-000003000000}" name="NAME" dataDxfId="3651"/>
    <tableColumn id="4" xr3:uid="{00000000-0010-0000-B900-000004000000}" name="BA" dataDxfId="3650">
      <calculatedColumnFormula>IFERROR(NYM_H164178[[#This Row],[H]]/NYM_H164178[[#This Row],[AB]],0)</calculatedColumnFormula>
    </tableColumn>
    <tableColumn id="5" xr3:uid="{00000000-0010-0000-B900-000005000000}" name="OBP" dataDxfId="3649">
      <calculatedColumnFormula>IFERROR((NYM_H164178[[#This Row],[H]]+NYM_H164178[[#This Row],[BB]])/(NYM_H164178[[#This Row],[BB]]+NYM_H164178[[#This Row],[AB]]),0)</calculatedColumnFormula>
    </tableColumn>
    <tableColumn id="6" xr3:uid="{00000000-0010-0000-B900-000006000000}" name="SLG" dataDxfId="3648">
      <calculatedColumnFormula>IFERROR(((NYM_H164178[[#This Row],[H]]-NYM_H164178[[#This Row],[2B]]-NYM_H164178[[#This Row],[3B]]-NYM_H164178[[#This Row],[HR]])+(NYM_H164178[[#This Row],[2B]]*2)+(NYM_H164178[[#This Row],[3B]]*3)+(NYM_H164178[[#This Row],[HR]]*4))/NYM_H164178[[#This Row],[AB]],0)</calculatedColumnFormula>
    </tableColumn>
    <tableColumn id="7" xr3:uid="{00000000-0010-0000-B900-000007000000}" name="G" dataDxfId="3647"/>
    <tableColumn id="8" xr3:uid="{00000000-0010-0000-B900-000008000000}" name="AB" dataDxfId="3646"/>
    <tableColumn id="9" xr3:uid="{00000000-0010-0000-B900-000009000000}" name="R" dataDxfId="3645"/>
    <tableColumn id="10" xr3:uid="{00000000-0010-0000-B900-00000A000000}" name="H" dataDxfId="3644"/>
    <tableColumn id="11" xr3:uid="{00000000-0010-0000-B900-00000B000000}" name="2B" dataDxfId="3643"/>
    <tableColumn id="12" xr3:uid="{00000000-0010-0000-B900-00000C000000}" name="3B" dataDxfId="3642"/>
    <tableColumn id="13" xr3:uid="{00000000-0010-0000-B900-00000D000000}" name="HR" dataDxfId="3641"/>
    <tableColumn id="14" xr3:uid="{00000000-0010-0000-B900-00000E000000}" name="RBI" dataDxfId="3640"/>
    <tableColumn id="15" xr3:uid="{00000000-0010-0000-B900-00000F000000}" name="BB" dataDxfId="3639"/>
    <tableColumn id="16" xr3:uid="{00000000-0010-0000-B900-000010000000}" name="K" dataDxfId="3638"/>
    <tableColumn id="17" xr3:uid="{00000000-0010-0000-B900-000011000000}" name="SB" dataDxfId="3637"/>
    <tableColumn id="18" xr3:uid="{00000000-0010-0000-B900-000012000000}" name="HS" dataDxfId="3636"/>
    <tableColumn id="19" xr3:uid="{00000000-0010-0000-B900-000013000000}" name="LS" dataDxfId="3635"/>
    <tableColumn id="20" xr3:uid="{00000000-0010-0000-B900-000014000000}" name="TB" dataDxfId="3634">
      <calculatedColumnFormula>(NYM_H164178[[#This Row],[H]]-NYM_H164178[[#This Row],[2B]]-NYM_H164178[[#This Row],[3B]]-NYM_H164178[[#This Row],[HR]])+(NYM_H164178[[#This Row],[2B]]*2)+(NYM_H164178[[#This Row],[3B]]*3)+(NYM_H164178[[#This Row],[HR]]*4)</calculatedColumnFormula>
    </tableColumn>
    <tableColumn id="21" xr3:uid="{00000000-0010-0000-B900-000015000000}" name="OPS" dataDxfId="3633">
      <calculatedColumnFormula>IFERROR(NYM_H164178[[#This Row],[OBP]]+NYM_H164178[[#This Row],[SLG]],0)</calculatedColumnFormula>
    </tableColumn>
    <tableColumn id="22" xr3:uid="{00000000-0010-0000-B900-000016000000}" name="*" dataDxfId="3632"/>
    <tableColumn id="23" xr3:uid="{00000000-0010-0000-B900-000017000000}" name="#" dataDxfId="3631"/>
  </tableColumns>
  <tableStyleInfo name="TableStyleMedium3" showFirstColumn="0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00000000-000C-0000-FFFF-FFFFBA000000}" name="NYM_P165179" displayName="NYM_P165179" ref="AY51:BQ61" totalsRowShown="0" headerRowDxfId="3630" dataDxfId="3628" headerRowBorderDxfId="3629">
  <autoFilter ref="AY51:BQ61" xr:uid="{00000000-0009-0000-0100-0000B2000000}"/>
  <sortState xmlns:xlrd2="http://schemas.microsoft.com/office/spreadsheetml/2017/richdata2" ref="AY52:BQ61">
    <sortCondition ref="BQ51:BQ61"/>
  </sortState>
  <tableColumns count="19">
    <tableColumn id="1" xr3:uid="{00000000-0010-0000-BA00-000001000000}" name="TM" dataDxfId="3627"/>
    <tableColumn id="2" xr3:uid="{00000000-0010-0000-BA00-000002000000}" name="@" dataDxfId="3626"/>
    <tableColumn id="3" xr3:uid="{00000000-0010-0000-BA00-000003000000}" name="NAME" dataDxfId="3625"/>
    <tableColumn id="4" xr3:uid="{00000000-0010-0000-BA00-000004000000}" name="ERA" dataDxfId="3624">
      <calculatedColumnFormula>IFERROR((NYM_P165179[[#This Row],[R]]*9)/NYM_P165179[[#This Row],[IP]],0)</calculatedColumnFormula>
    </tableColumn>
    <tableColumn id="5" xr3:uid="{00000000-0010-0000-BA00-000005000000}" name="W" dataDxfId="3623"/>
    <tableColumn id="6" xr3:uid="{00000000-0010-0000-BA00-000006000000}" name="L" dataDxfId="3622"/>
    <tableColumn id="7" xr3:uid="{00000000-0010-0000-BA00-000007000000}" name="G" dataDxfId="3621"/>
    <tableColumn id="8" xr3:uid="{00000000-0010-0000-BA00-000008000000}" name="IP" dataDxfId="3620"/>
    <tableColumn id="9" xr3:uid="{00000000-0010-0000-BA00-000009000000}" name="H" dataDxfId="3619"/>
    <tableColumn id="10" xr3:uid="{00000000-0010-0000-BA00-00000A000000}" name="R" dataDxfId="3618"/>
    <tableColumn id="11" xr3:uid="{00000000-0010-0000-BA00-00000B000000}" name="BB" dataDxfId="3617"/>
    <tableColumn id="12" xr3:uid="{00000000-0010-0000-BA00-00000C000000}" name="K" dataDxfId="3616"/>
    <tableColumn id="13" xr3:uid="{00000000-0010-0000-BA00-00000D000000}" name="SV" dataDxfId="3615"/>
    <tableColumn id="14" xr3:uid="{00000000-0010-0000-BA00-00000E000000}" name="WH" dataDxfId="3614">
      <calculatedColumnFormula>IFERROR((NYM_P165179[[#This Row],[BB]]+NYM_P165179[[#This Row],[H]])/NYM_P165179[[#This Row],[IP]],0)</calculatedColumnFormula>
    </tableColumn>
    <tableColumn id="15" xr3:uid="{00000000-0010-0000-BA00-00000F000000}" name="QS" dataDxfId="3613"/>
    <tableColumn id="16" xr3:uid="{00000000-0010-0000-BA00-000010000000}" name="UQ" dataDxfId="3612"/>
    <tableColumn id="17" xr3:uid="{00000000-0010-0000-BA00-000011000000}" name="CG" dataDxfId="3611"/>
    <tableColumn id="18" xr3:uid="{00000000-0010-0000-BA00-000012000000}" name="SH" dataDxfId="3610"/>
    <tableColumn id="19" xr3:uid="{00000000-0010-0000-BA00-000013000000}" name="#" dataDxfId="3609"/>
  </tableColumns>
  <tableStyleInfo name="TableStyleMedium3" showFirstColumn="0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BB000000}" name="MIA_H166180" displayName="MIA_H166180" ref="AY127:BU141" totalsRowShown="0" headerRowDxfId="3608" dataDxfId="3606" headerRowBorderDxfId="3607">
  <autoFilter ref="AY127:BU141" xr:uid="{00000000-0009-0000-0100-0000B3000000}"/>
  <sortState xmlns:xlrd2="http://schemas.microsoft.com/office/spreadsheetml/2017/richdata2" ref="AY128:BU141">
    <sortCondition ref="BU127:BU141"/>
  </sortState>
  <tableColumns count="23">
    <tableColumn id="1" xr3:uid="{00000000-0010-0000-BB00-000001000000}" name="TM" dataDxfId="3605"/>
    <tableColumn id="2" xr3:uid="{00000000-0010-0000-BB00-000002000000}" name="@" dataDxfId="3604"/>
    <tableColumn id="3" xr3:uid="{00000000-0010-0000-BB00-000003000000}" name="NAME" dataDxfId="3603"/>
    <tableColumn id="4" xr3:uid="{00000000-0010-0000-BB00-000004000000}" name="BA" dataDxfId="3602">
      <calculatedColumnFormula>IFERROR(MIA_H166180[[#This Row],[H]]/MIA_H166180[[#This Row],[AB]],0)</calculatedColumnFormula>
    </tableColumn>
    <tableColumn id="5" xr3:uid="{00000000-0010-0000-BB00-000005000000}" name="OBP" dataDxfId="3601">
      <calculatedColumnFormula>IFERROR((MIA_H166180[[#This Row],[BB]]+MIA_H166180[[#This Row],[H]])/(MIA_H166180[[#This Row],[BB]]+MIA_H166180[[#This Row],[AB]]),0)</calculatedColumnFormula>
    </tableColumn>
    <tableColumn id="6" xr3:uid="{00000000-0010-0000-BB00-000006000000}" name="SLG" dataDxfId="3600">
      <calculatedColumnFormula>IFERROR(((MIA_H166180[[#This Row],[H]]-MIA_H166180[[#This Row],[2B]]-MIA_H166180[[#This Row],[3B]]-MIA_H166180[[#This Row],[HR]])+(MIA_H166180[[#This Row],[2B]]*2)+(MIA_H166180[[#This Row],[3B]]*3)+(MIA_H166180[[#This Row],[HR]]*4))/MIA_H166180[[#This Row],[AB]],0)</calculatedColumnFormula>
    </tableColumn>
    <tableColumn id="7" xr3:uid="{00000000-0010-0000-BB00-000007000000}" name="G" dataDxfId="3599"/>
    <tableColumn id="8" xr3:uid="{00000000-0010-0000-BB00-000008000000}" name="AB" dataDxfId="3598"/>
    <tableColumn id="9" xr3:uid="{00000000-0010-0000-BB00-000009000000}" name="R" dataDxfId="3597"/>
    <tableColumn id="10" xr3:uid="{00000000-0010-0000-BB00-00000A000000}" name="H" dataDxfId="3596"/>
    <tableColumn id="11" xr3:uid="{00000000-0010-0000-BB00-00000B000000}" name="2B" dataDxfId="3595"/>
    <tableColumn id="12" xr3:uid="{00000000-0010-0000-BB00-00000C000000}" name="3B" dataDxfId="3594"/>
    <tableColumn id="13" xr3:uid="{00000000-0010-0000-BB00-00000D000000}" name="HR" dataDxfId="3593"/>
    <tableColumn id="14" xr3:uid="{00000000-0010-0000-BB00-00000E000000}" name="RBI" dataDxfId="3592"/>
    <tableColumn id="15" xr3:uid="{00000000-0010-0000-BB00-00000F000000}" name="BB" dataDxfId="3591"/>
    <tableColumn id="16" xr3:uid="{00000000-0010-0000-BB00-000010000000}" name="K" dataDxfId="3590"/>
    <tableColumn id="17" xr3:uid="{00000000-0010-0000-BB00-000011000000}" name="SB" dataDxfId="3589"/>
    <tableColumn id="18" xr3:uid="{00000000-0010-0000-BB00-000012000000}" name="HS" dataDxfId="3588"/>
    <tableColumn id="19" xr3:uid="{00000000-0010-0000-BB00-000013000000}" name="LS" dataDxfId="3587"/>
    <tableColumn id="20" xr3:uid="{00000000-0010-0000-BB00-000014000000}" name="TB" dataDxfId="3586">
      <calculatedColumnFormula>(MIA_H166180[[#This Row],[H]]-MIA_H166180[[#This Row],[2B]]-MIA_H166180[[#This Row],[3B]]-MIA_H166180[[#This Row],[HR]])+(MIA_H166180[[#This Row],[2B]]*2)+(MIA_H166180[[#This Row],[3B]]*3)+(MIA_H166180[[#This Row],[HR]]*4)</calculatedColumnFormula>
    </tableColumn>
    <tableColumn id="21" xr3:uid="{00000000-0010-0000-BB00-000015000000}" name="OPS" dataDxfId="3585">
      <calculatedColumnFormula>IFERROR(MIA_H166180[[#This Row],[OBP]]+MIA_H166180[[#This Row],[SLG]],0)</calculatedColumnFormula>
    </tableColumn>
    <tableColumn id="22" xr3:uid="{00000000-0010-0000-BB00-000016000000}" name="*" dataDxfId="3584"/>
    <tableColumn id="23" xr3:uid="{00000000-0010-0000-BB00-000017000000}" name="#" dataDxfId="3583"/>
  </tableColumns>
  <tableStyleInfo name="TableStyleMedium7" showFirstColumn="0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BC000000}" name="MIA_P167181" displayName="MIA_P167181" ref="AY144:BQ154" totalsRowShown="0" headerRowDxfId="3582" dataDxfId="3580" headerRowBorderDxfId="3581">
  <autoFilter ref="AY144:BQ154" xr:uid="{00000000-0009-0000-0100-0000B4000000}"/>
  <sortState xmlns:xlrd2="http://schemas.microsoft.com/office/spreadsheetml/2017/richdata2" ref="AY145:BQ154">
    <sortCondition ref="BQ144:BQ154"/>
  </sortState>
  <tableColumns count="19">
    <tableColumn id="1" xr3:uid="{00000000-0010-0000-BC00-000001000000}" name="TM" dataDxfId="3579"/>
    <tableColumn id="2" xr3:uid="{00000000-0010-0000-BC00-000002000000}" name="@" dataDxfId="3578"/>
    <tableColumn id="3" xr3:uid="{00000000-0010-0000-BC00-000003000000}" name="NAME" dataDxfId="3577"/>
    <tableColumn id="4" xr3:uid="{00000000-0010-0000-BC00-000004000000}" name="ERA" dataDxfId="3576">
      <calculatedColumnFormula>IFERROR((MIA_P167181[[#This Row],[R]]*9)/MIA_P167181[[#This Row],[IP]],0)</calculatedColumnFormula>
    </tableColumn>
    <tableColumn id="5" xr3:uid="{00000000-0010-0000-BC00-000005000000}" name="W" dataDxfId="3575"/>
    <tableColumn id="6" xr3:uid="{00000000-0010-0000-BC00-000006000000}" name="L" dataDxfId="3574"/>
    <tableColumn id="7" xr3:uid="{00000000-0010-0000-BC00-000007000000}" name="G" dataDxfId="3573"/>
    <tableColumn id="8" xr3:uid="{00000000-0010-0000-BC00-000008000000}" name="IP" dataDxfId="3572"/>
    <tableColumn id="9" xr3:uid="{00000000-0010-0000-BC00-000009000000}" name="H" dataDxfId="3571"/>
    <tableColumn id="10" xr3:uid="{00000000-0010-0000-BC00-00000A000000}" name="R" dataDxfId="3570"/>
    <tableColumn id="11" xr3:uid="{00000000-0010-0000-BC00-00000B000000}" name="BB" dataDxfId="3569"/>
    <tableColumn id="12" xr3:uid="{00000000-0010-0000-BC00-00000C000000}" name="K" dataDxfId="3568"/>
    <tableColumn id="13" xr3:uid="{00000000-0010-0000-BC00-00000D000000}" name="SV" dataDxfId="3567"/>
    <tableColumn id="14" xr3:uid="{00000000-0010-0000-BC00-00000E000000}" name="WH" dataDxfId="3566">
      <calculatedColumnFormula>IFERROR((MIA_P167181[[#This Row],[BB]]+MIA_P167181[[#This Row],[H]])/MIA_P167181[[#This Row],[IP]],0)</calculatedColumnFormula>
    </tableColumn>
    <tableColumn id="15" xr3:uid="{00000000-0010-0000-BC00-00000F000000}" name="QS" dataDxfId="3565"/>
    <tableColumn id="16" xr3:uid="{00000000-0010-0000-BC00-000010000000}" name="UQ" dataDxfId="3564"/>
    <tableColumn id="17" xr3:uid="{00000000-0010-0000-BC00-000011000000}" name="CG" dataDxfId="3563"/>
    <tableColumn id="18" xr3:uid="{00000000-0010-0000-BC00-000012000000}" name="SH" dataDxfId="3562"/>
    <tableColumn id="19" xr3:uid="{00000000-0010-0000-BC00-000013000000}" name="#" dataDxfId="3561"/>
  </tableColumns>
  <tableStyleInfo name="TableStyleMedium7" showFirstColumn="0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BD000000}" name="WSH_H168182" displayName="WSH_H168182" ref="AY96:BU110" totalsRowShown="0" headerRowDxfId="3560" dataDxfId="3558" headerRowBorderDxfId="3559">
  <autoFilter ref="AY96:BU110" xr:uid="{00000000-0009-0000-0100-0000B5000000}"/>
  <sortState xmlns:xlrd2="http://schemas.microsoft.com/office/spreadsheetml/2017/richdata2" ref="AY97:BU110">
    <sortCondition ref="BU96:BU110"/>
  </sortState>
  <tableColumns count="23">
    <tableColumn id="1" xr3:uid="{00000000-0010-0000-BD00-000001000000}" name="TM" dataDxfId="3557"/>
    <tableColumn id="2" xr3:uid="{00000000-0010-0000-BD00-000002000000}" name="@" dataDxfId="3556"/>
    <tableColumn id="3" xr3:uid="{00000000-0010-0000-BD00-000003000000}" name="NAME" dataDxfId="3555"/>
    <tableColumn id="4" xr3:uid="{00000000-0010-0000-BD00-000004000000}" name="BA" dataDxfId="3554">
      <calculatedColumnFormula>IFERROR(WSH_H168182[[#This Row],[H]]/WSH_H168182[[#This Row],[AB]],0)</calculatedColumnFormula>
    </tableColumn>
    <tableColumn id="5" xr3:uid="{00000000-0010-0000-BD00-000005000000}" name="OBP" dataDxfId="3553">
      <calculatedColumnFormula>IFERROR((WSH_H168182[[#This Row],[BB]]+WSH_H168182[[#This Row],[H]])/(WSH_H168182[[#This Row],[BB]]+WSH_H168182[[#This Row],[AB]]),0)</calculatedColumnFormula>
    </tableColumn>
    <tableColumn id="6" xr3:uid="{00000000-0010-0000-BD00-000006000000}" name="SLG" dataDxfId="3552">
      <calculatedColumnFormula>IFERROR(((WSH_H168182[[#This Row],[H]]-WSH_H168182[[#This Row],[2B]]-WSH_H168182[[#This Row],[3B]]-WSH_H168182[[#This Row],[HR]])+(WSH_H168182[[#This Row],[2B]]*2)+(WSH_H168182[[#This Row],[3B]]*3)+(WSH_H168182[[#This Row],[HR]]*4))/WSH_H168182[[#This Row],[AB]],0)</calculatedColumnFormula>
    </tableColumn>
    <tableColumn id="7" xr3:uid="{00000000-0010-0000-BD00-000007000000}" name="G" dataDxfId="3551"/>
    <tableColumn id="8" xr3:uid="{00000000-0010-0000-BD00-000008000000}" name="AB" dataDxfId="3550"/>
    <tableColumn id="9" xr3:uid="{00000000-0010-0000-BD00-000009000000}" name="R" dataDxfId="3549"/>
    <tableColumn id="10" xr3:uid="{00000000-0010-0000-BD00-00000A000000}" name="H" dataDxfId="3548"/>
    <tableColumn id="11" xr3:uid="{00000000-0010-0000-BD00-00000B000000}" name="2B" dataDxfId="3547"/>
    <tableColumn id="12" xr3:uid="{00000000-0010-0000-BD00-00000C000000}" name="3B" dataDxfId="3546"/>
    <tableColumn id="13" xr3:uid="{00000000-0010-0000-BD00-00000D000000}" name="HR" dataDxfId="3545"/>
    <tableColumn id="14" xr3:uid="{00000000-0010-0000-BD00-00000E000000}" name="RBI" dataDxfId="3544"/>
    <tableColumn id="15" xr3:uid="{00000000-0010-0000-BD00-00000F000000}" name="BB" dataDxfId="3543"/>
    <tableColumn id="16" xr3:uid="{00000000-0010-0000-BD00-000010000000}" name="K" dataDxfId="3542"/>
    <tableColumn id="17" xr3:uid="{00000000-0010-0000-BD00-000011000000}" name="SB" dataDxfId="3541"/>
    <tableColumn id="18" xr3:uid="{00000000-0010-0000-BD00-000012000000}" name="HS" dataDxfId="3540"/>
    <tableColumn id="19" xr3:uid="{00000000-0010-0000-BD00-000013000000}" name="LS" dataDxfId="3539"/>
    <tableColumn id="20" xr3:uid="{00000000-0010-0000-BD00-000014000000}" name="TB" dataDxfId="3538">
      <calculatedColumnFormula>IFERROR((WSH_H168182[[#This Row],[H]]-WSH_H168182[[#This Row],[2B]]-WSH_H168182[[#This Row],[3B]]-WSH_H168182[[#This Row],[HR]])+(WSH_H168182[[#This Row],[2B]]*2)+(WSH_H168182[[#This Row],[3B]]*3)+(WSH_H168182[[#This Row],[HR]]*4),0)</calculatedColumnFormula>
    </tableColumn>
    <tableColumn id="21" xr3:uid="{00000000-0010-0000-BD00-000015000000}" name="OPS" dataDxfId="3537">
      <calculatedColumnFormula>IFERROR(WSH_H168182[[#This Row],[OBP]]+WSH_H168182[[#This Row],[SLG]],0)</calculatedColumnFormula>
    </tableColumn>
    <tableColumn id="22" xr3:uid="{00000000-0010-0000-BD00-000016000000}" name="*" dataDxfId="3536"/>
    <tableColumn id="23" xr3:uid="{00000000-0010-0000-BD00-000017000000}" name="#" dataDxfId="3535"/>
  </tableColumns>
  <tableStyleInfo name="TableStyleMedium3" showFirstColumn="0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BE000000}" name="WSH_P169183" displayName="WSH_P169183" ref="AY113:BQ123" totalsRowShown="0" headerRowDxfId="3534" dataDxfId="3532" headerRowBorderDxfId="3533">
  <autoFilter ref="AY113:BQ123" xr:uid="{00000000-0009-0000-0100-0000B6000000}"/>
  <sortState xmlns:xlrd2="http://schemas.microsoft.com/office/spreadsheetml/2017/richdata2" ref="AY114:BQ123">
    <sortCondition ref="BQ113:BQ123"/>
  </sortState>
  <tableColumns count="19">
    <tableColumn id="1" xr3:uid="{00000000-0010-0000-BE00-000001000000}" name="TM" dataDxfId="3531"/>
    <tableColumn id="2" xr3:uid="{00000000-0010-0000-BE00-000002000000}" name="@" dataDxfId="3530"/>
    <tableColumn id="3" xr3:uid="{00000000-0010-0000-BE00-000003000000}" name="NAME" dataDxfId="3529"/>
    <tableColumn id="4" xr3:uid="{00000000-0010-0000-BE00-000004000000}" name="ERA" dataDxfId="3528">
      <calculatedColumnFormula>IFERROR((WSH_P169183[[#This Row],[R]]*9)/WSH_P169183[[#This Row],[IP]],0)</calculatedColumnFormula>
    </tableColumn>
    <tableColumn id="5" xr3:uid="{00000000-0010-0000-BE00-000005000000}" name="W" dataDxfId="3527"/>
    <tableColumn id="6" xr3:uid="{00000000-0010-0000-BE00-000006000000}" name="L" dataDxfId="3526"/>
    <tableColumn id="7" xr3:uid="{00000000-0010-0000-BE00-000007000000}" name="G" dataDxfId="3525"/>
    <tableColumn id="8" xr3:uid="{00000000-0010-0000-BE00-000008000000}" name="IP" dataDxfId="3524"/>
    <tableColumn id="9" xr3:uid="{00000000-0010-0000-BE00-000009000000}" name="H" dataDxfId="3523"/>
    <tableColumn id="10" xr3:uid="{00000000-0010-0000-BE00-00000A000000}" name="R" dataDxfId="3522"/>
    <tableColumn id="11" xr3:uid="{00000000-0010-0000-BE00-00000B000000}" name="BB" dataDxfId="3521"/>
    <tableColumn id="12" xr3:uid="{00000000-0010-0000-BE00-00000C000000}" name="K" dataDxfId="3520"/>
    <tableColumn id="13" xr3:uid="{00000000-0010-0000-BE00-00000D000000}" name="SV" dataDxfId="3519"/>
    <tableColumn id="14" xr3:uid="{00000000-0010-0000-BE00-00000E000000}" name="WH" dataDxfId="3518">
      <calculatedColumnFormula>IFERROR((WSH_P169183[[#This Row],[BB]]+WSH_P169183[[#This Row],[H]])/WSH_P169183[[#This Row],[IP]],0)</calculatedColumnFormula>
    </tableColumn>
    <tableColumn id="15" xr3:uid="{00000000-0010-0000-BE00-00000F000000}" name="QS" dataDxfId="3517"/>
    <tableColumn id="16" xr3:uid="{00000000-0010-0000-BE00-000010000000}" name="UQ" dataDxfId="3516"/>
    <tableColumn id="17" xr3:uid="{00000000-0010-0000-BE00-000011000000}" name="CG" dataDxfId="3515"/>
    <tableColumn id="18" xr3:uid="{00000000-0010-0000-BE00-000012000000}" name="SH" dataDxfId="3514"/>
    <tableColumn id="19" xr3:uid="{00000000-0010-0000-BE00-000013000000}" name="#" dataDxfId="3513"/>
  </tableColumns>
  <tableStyleInfo name="TableStyleMedium3" showFirstColumn="0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0000000-000C-0000-FFFF-FFFFBF000000}" name="PHI_H170184" displayName="PHI_H170184" ref="AY3:BU17" totalsRowShown="0" headerRowDxfId="3512" dataDxfId="3510" headerRowBorderDxfId="3511">
  <autoFilter ref="AY3:BU17" xr:uid="{00000000-0009-0000-0100-0000B7000000}"/>
  <sortState xmlns:xlrd2="http://schemas.microsoft.com/office/spreadsheetml/2017/richdata2" ref="AY4:BU17">
    <sortCondition descending="1" ref="BR3:BR17"/>
  </sortState>
  <tableColumns count="23">
    <tableColumn id="1" xr3:uid="{00000000-0010-0000-BF00-000001000000}" name="TM" dataDxfId="3509"/>
    <tableColumn id="2" xr3:uid="{00000000-0010-0000-BF00-000002000000}" name="@" dataDxfId="3508"/>
    <tableColumn id="3" xr3:uid="{00000000-0010-0000-BF00-000003000000}" name="NAME" dataDxfId="3507"/>
    <tableColumn id="4" xr3:uid="{00000000-0010-0000-BF00-000004000000}" name="BA" dataDxfId="3506">
      <calculatedColumnFormula>IFERROR(PHI_H170184[[#This Row],[H]]/PHI_H170184[[#This Row],[AB]],0)</calculatedColumnFormula>
    </tableColumn>
    <tableColumn id="5" xr3:uid="{00000000-0010-0000-BF00-000005000000}" name="OBP" dataDxfId="3505">
      <calculatedColumnFormula>IFERROR((PHI_H170184[[#This Row],[BB]]+PHI_H170184[[#This Row],[H]])/(PHI_H170184[[#This Row],[BB]]+PHI_H170184[[#This Row],[AB]]),0)</calculatedColumnFormula>
    </tableColumn>
    <tableColumn id="6" xr3:uid="{00000000-0010-0000-BF00-000006000000}" name="SLG" dataDxfId="3504">
      <calculatedColumnFormula>IFERROR(((PHI_H170184[[#This Row],[H]]-PHI_H170184[[#This Row],[2B]]-PHI_H170184[[#This Row],[3B]]-PHI_H170184[[#This Row],[HR]])+(PHI_H170184[[#This Row],[2B]]*2)+(PHI_H170184[[#This Row],[3B]]*3)+(PHI_H170184[[#This Row],[HR]]*4))/PHI_H170184[[#This Row],[AB]],0)</calculatedColumnFormula>
    </tableColumn>
    <tableColumn id="7" xr3:uid="{00000000-0010-0000-BF00-000007000000}" name="G" dataDxfId="3503"/>
    <tableColumn id="8" xr3:uid="{00000000-0010-0000-BF00-000008000000}" name="AB" dataDxfId="3502"/>
    <tableColumn id="9" xr3:uid="{00000000-0010-0000-BF00-000009000000}" name="R" dataDxfId="3501"/>
    <tableColumn id="10" xr3:uid="{00000000-0010-0000-BF00-00000A000000}" name="H" dataDxfId="3500"/>
    <tableColumn id="11" xr3:uid="{00000000-0010-0000-BF00-00000B000000}" name="2B" dataDxfId="3499"/>
    <tableColumn id="12" xr3:uid="{00000000-0010-0000-BF00-00000C000000}" name="3B" dataDxfId="3498"/>
    <tableColumn id="13" xr3:uid="{00000000-0010-0000-BF00-00000D000000}" name="HR" dataDxfId="3497"/>
    <tableColumn id="14" xr3:uid="{00000000-0010-0000-BF00-00000E000000}" name="RBI" dataDxfId="3496"/>
    <tableColumn id="15" xr3:uid="{00000000-0010-0000-BF00-00000F000000}" name="BB" dataDxfId="3495"/>
    <tableColumn id="16" xr3:uid="{00000000-0010-0000-BF00-000010000000}" name="K" dataDxfId="3494"/>
    <tableColumn id="17" xr3:uid="{00000000-0010-0000-BF00-000011000000}" name="SB" dataDxfId="3493"/>
    <tableColumn id="18" xr3:uid="{00000000-0010-0000-BF00-000012000000}" name="HS" dataDxfId="3492"/>
    <tableColumn id="19" xr3:uid="{00000000-0010-0000-BF00-000013000000}" name="LS" dataDxfId="3491"/>
    <tableColumn id="20" xr3:uid="{00000000-0010-0000-BF00-000014000000}" name="TB" dataDxfId="3490">
      <calculatedColumnFormula>(PHI_H170184[[#This Row],[H]]-PHI_H170184[[#This Row],[2B]]-PHI_H170184[[#This Row],[3B]]-PHI_H170184[[#This Row],[HR]])+(PHI_H170184[[#This Row],[2B]]*2)+(PHI_H170184[[#This Row],[3B]]*3)+(PHI_H170184[[#This Row],[HR]]*4)</calculatedColumnFormula>
    </tableColumn>
    <tableColumn id="21" xr3:uid="{00000000-0010-0000-BF00-000015000000}" name="OPS" dataDxfId="3489">
      <calculatedColumnFormula>IFERROR(PHI_H170184[[#This Row],[OBP]]+PHI_H170184[[#This Row],[SLG]],0)</calculatedColumnFormula>
    </tableColumn>
    <tableColumn id="22" xr3:uid="{00000000-0010-0000-BF00-000016000000}" name="*" dataDxfId="3488"/>
    <tableColumn id="23" xr3:uid="{00000000-0010-0000-BF00-000017000000}" name="#" dataDxfId="3487"/>
  </tableColumns>
  <tableStyleInfo name="TableStyleMedium7" showFirstColumn="0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C0000000}" name="PHI_P171185" displayName="PHI_P171185" ref="AY20:BQ30" totalsRowShown="0" headerRowDxfId="3486" dataDxfId="3484" headerRowBorderDxfId="3485">
  <autoFilter ref="AY20:BQ30" xr:uid="{00000000-0009-0000-0100-0000B8000000}"/>
  <tableColumns count="19">
    <tableColumn id="1" xr3:uid="{00000000-0010-0000-C000-000001000000}" name="TM" dataDxfId="3483"/>
    <tableColumn id="2" xr3:uid="{00000000-0010-0000-C000-000002000000}" name="@" dataDxfId="3482"/>
    <tableColumn id="3" xr3:uid="{00000000-0010-0000-C000-000003000000}" name="NAME" dataDxfId="3481"/>
    <tableColumn id="4" xr3:uid="{00000000-0010-0000-C000-000004000000}" name="ERA" dataDxfId="3480">
      <calculatedColumnFormula>IFERROR((PHI_P171185[[#This Row],[R]]*9)/PHI_P171185[[#This Row],[IP]],0)</calculatedColumnFormula>
    </tableColumn>
    <tableColumn id="5" xr3:uid="{00000000-0010-0000-C000-000005000000}" name="W" dataDxfId="3479"/>
    <tableColumn id="6" xr3:uid="{00000000-0010-0000-C000-000006000000}" name="L" dataDxfId="3478"/>
    <tableColumn id="7" xr3:uid="{00000000-0010-0000-C000-000007000000}" name="G" dataDxfId="3477"/>
    <tableColumn id="8" xr3:uid="{00000000-0010-0000-C000-000008000000}" name="IP" dataDxfId="3476"/>
    <tableColumn id="9" xr3:uid="{00000000-0010-0000-C000-000009000000}" name="H" dataDxfId="3475"/>
    <tableColumn id="10" xr3:uid="{00000000-0010-0000-C000-00000A000000}" name="R" dataDxfId="3474"/>
    <tableColumn id="11" xr3:uid="{00000000-0010-0000-C000-00000B000000}" name="BB" dataDxfId="3473"/>
    <tableColumn id="12" xr3:uid="{00000000-0010-0000-C000-00000C000000}" name="K" dataDxfId="3472"/>
    <tableColumn id="13" xr3:uid="{00000000-0010-0000-C000-00000D000000}" name="SV" dataDxfId="3471"/>
    <tableColumn id="14" xr3:uid="{00000000-0010-0000-C000-00000E000000}" name="WH" dataDxfId="3470">
      <calculatedColumnFormula>IFERROR((PHI_P171185[[#This Row],[BB]]+PHI_P171185[[#This Row],[H]])/PHI_P171185[[#This Row],[IP]],0)</calculatedColumnFormula>
    </tableColumn>
    <tableColumn id="15" xr3:uid="{00000000-0010-0000-C000-00000F000000}" name="QS" dataDxfId="3469"/>
    <tableColumn id="16" xr3:uid="{00000000-0010-0000-C000-000010000000}" name="UQ" dataDxfId="3468"/>
    <tableColumn id="17" xr3:uid="{00000000-0010-0000-C000-000011000000}" name="CG" dataDxfId="3467"/>
    <tableColumn id="18" xr3:uid="{00000000-0010-0000-C000-000012000000}" name="SH" dataDxfId="3466"/>
    <tableColumn id="19" xr3:uid="{00000000-0010-0000-C000-000013000000}" name="#" dataDxfId="3465"/>
  </tableColumns>
  <tableStyleInfo name="TableStyleMedium7" showFirstColumn="0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C1000000}" name="NYM_H59" displayName="NYM_H59" ref="AY190:BU204" totalsRowShown="0" headerRowDxfId="3464" dataDxfId="3462" headerRowBorderDxfId="3463">
  <autoFilter ref="AY190:BU204" xr:uid="{00000000-0009-0000-0100-0000B9000000}"/>
  <sortState xmlns:xlrd2="http://schemas.microsoft.com/office/spreadsheetml/2017/richdata2" ref="AY191:BU204">
    <sortCondition descending="1" ref="BR190:BR204"/>
  </sortState>
  <tableColumns count="23">
    <tableColumn id="1" xr3:uid="{00000000-0010-0000-C100-000001000000}" name="TM" dataDxfId="3461"/>
    <tableColumn id="2" xr3:uid="{00000000-0010-0000-C100-000002000000}" name="@" dataDxfId="3460"/>
    <tableColumn id="3" xr3:uid="{00000000-0010-0000-C100-000003000000}" name="NAME" dataDxfId="3459"/>
    <tableColumn id="4" xr3:uid="{00000000-0010-0000-C100-000004000000}" name="BA" dataDxfId="3458">
      <calculatedColumnFormula>IFERROR(NYM_H59[[#This Row],[H]]/NYM_H59[[#This Row],[AB]],0)</calculatedColumnFormula>
    </tableColumn>
    <tableColumn id="5" xr3:uid="{00000000-0010-0000-C100-000005000000}" name="OBP" dataDxfId="3457">
      <calculatedColumnFormula>IFERROR((NYM_H59[[#This Row],[H]]+NYM_H59[[#This Row],[BB]])/(NYM_H59[[#This Row],[BB]]+NYM_H59[[#This Row],[AB]]),0)</calculatedColumnFormula>
    </tableColumn>
    <tableColumn id="6" xr3:uid="{00000000-0010-0000-C100-000006000000}" name="SLG" dataDxfId="3456">
      <calculatedColumnFormula>IFERROR(((NYM_H59[[#This Row],[H]]-NYM_H59[[#This Row],[2B]]-NYM_H59[[#This Row],[3B]]-NYM_H59[[#This Row],[HR]])+(NYM_H59[[#This Row],[2B]]*2)+(NYM_H59[[#This Row],[3B]]*3)+(NYM_H59[[#This Row],[HR]]*4))/NYM_H59[[#This Row],[AB]],0)</calculatedColumnFormula>
    </tableColumn>
    <tableColumn id="7" xr3:uid="{00000000-0010-0000-C100-000007000000}" name="G" dataDxfId="3455"/>
    <tableColumn id="8" xr3:uid="{00000000-0010-0000-C100-000008000000}" name="AB" dataDxfId="3454"/>
    <tableColumn id="9" xr3:uid="{00000000-0010-0000-C100-000009000000}" name="R" dataDxfId="3453"/>
    <tableColumn id="10" xr3:uid="{00000000-0010-0000-C100-00000A000000}" name="H" dataDxfId="3452"/>
    <tableColumn id="11" xr3:uid="{00000000-0010-0000-C100-00000B000000}" name="2B" dataDxfId="3451"/>
    <tableColumn id="12" xr3:uid="{00000000-0010-0000-C100-00000C000000}" name="3B" dataDxfId="3450"/>
    <tableColumn id="13" xr3:uid="{00000000-0010-0000-C100-00000D000000}" name="HR" dataDxfId="3449"/>
    <tableColumn id="14" xr3:uid="{00000000-0010-0000-C100-00000E000000}" name="RBI" dataDxfId="3448"/>
    <tableColumn id="15" xr3:uid="{00000000-0010-0000-C100-00000F000000}" name="BB" dataDxfId="3447"/>
    <tableColumn id="16" xr3:uid="{00000000-0010-0000-C100-000010000000}" name="K" dataDxfId="3446"/>
    <tableColumn id="17" xr3:uid="{00000000-0010-0000-C100-000011000000}" name="SB" dataDxfId="3445"/>
    <tableColumn id="18" xr3:uid="{00000000-0010-0000-C100-000012000000}" name="HS" dataDxfId="3444"/>
    <tableColumn id="19" xr3:uid="{00000000-0010-0000-C100-000013000000}" name="LS" dataDxfId="3443"/>
    <tableColumn id="20" xr3:uid="{00000000-0010-0000-C100-000014000000}" name="TB" dataDxfId="3442">
      <calculatedColumnFormula>(NYM_H59[[#This Row],[H]]-NYM_H59[[#This Row],[2B]]-NYM_H59[[#This Row],[3B]]-NYM_H59[[#This Row],[HR]])+(NYM_H59[[#This Row],[2B]]*2)+(NYM_H59[[#This Row],[3B]]*3)+(NYM_H59[[#This Row],[HR]]*4)</calculatedColumnFormula>
    </tableColumn>
    <tableColumn id="21" xr3:uid="{00000000-0010-0000-C100-000015000000}" name="OPS" dataDxfId="3441">
      <calculatedColumnFormula>IFERROR(NYM_H59[[#This Row],[OBP]]+NYM_H59[[#This Row],[SLG]],0)</calculatedColumnFormula>
    </tableColumn>
    <tableColumn id="22" xr3:uid="{00000000-0010-0000-C100-000016000000}" name="*" dataDxfId="3440"/>
    <tableColumn id="23" xr3:uid="{00000000-0010-0000-C100-000017000000}" name="#" dataDxfId="3439"/>
  </tableColumns>
  <tableStyleInfo name="TableStyleMedium3" showFirstColumn="0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C2000000}" name="NYM_P60" displayName="NYM_P60" ref="AY207:BQ217" totalsRowShown="0" headerRowDxfId="3438" dataDxfId="3436" headerRowBorderDxfId="3437">
  <autoFilter ref="AY207:BQ217" xr:uid="{00000000-0009-0000-0100-0000BA000000}"/>
  <sortState xmlns:xlrd2="http://schemas.microsoft.com/office/spreadsheetml/2017/richdata2" ref="AY208:BQ217">
    <sortCondition ref="BQ207:BQ217"/>
  </sortState>
  <tableColumns count="19">
    <tableColumn id="1" xr3:uid="{00000000-0010-0000-C200-000001000000}" name="TM" dataDxfId="3435"/>
    <tableColumn id="2" xr3:uid="{00000000-0010-0000-C200-000002000000}" name="@" dataDxfId="3434"/>
    <tableColumn id="3" xr3:uid="{00000000-0010-0000-C200-000003000000}" name="NAME" dataDxfId="3433"/>
    <tableColumn id="4" xr3:uid="{00000000-0010-0000-C200-000004000000}" name="ERA" dataDxfId="3432">
      <calculatedColumnFormula>IFERROR((NYM_P60[[#This Row],[R]]*9)/NYM_P60[[#This Row],[IP]],0)</calculatedColumnFormula>
    </tableColumn>
    <tableColumn id="5" xr3:uid="{00000000-0010-0000-C200-000005000000}" name="W" dataDxfId="3431"/>
    <tableColumn id="6" xr3:uid="{00000000-0010-0000-C200-000006000000}" name="L" dataDxfId="3430"/>
    <tableColumn id="7" xr3:uid="{00000000-0010-0000-C200-000007000000}" name="G" dataDxfId="3429"/>
    <tableColumn id="8" xr3:uid="{00000000-0010-0000-C200-000008000000}" name="IP" dataDxfId="3428"/>
    <tableColumn id="9" xr3:uid="{00000000-0010-0000-C200-000009000000}" name="H" dataDxfId="3427"/>
    <tableColumn id="10" xr3:uid="{00000000-0010-0000-C200-00000A000000}" name="R" dataDxfId="3426"/>
    <tableColumn id="11" xr3:uid="{00000000-0010-0000-C200-00000B000000}" name="BB" dataDxfId="3425"/>
    <tableColumn id="12" xr3:uid="{00000000-0010-0000-C200-00000C000000}" name="K" dataDxfId="3424"/>
    <tableColumn id="13" xr3:uid="{00000000-0010-0000-C200-00000D000000}" name="SV" dataDxfId="3423"/>
    <tableColumn id="14" xr3:uid="{00000000-0010-0000-C200-00000E000000}" name="WH" dataDxfId="3422">
      <calculatedColumnFormula>IFERROR((NYM_P60[[#This Row],[BB]]+NYM_P60[[#This Row],[H]])/NYM_P60[[#This Row],[IP]],0)</calculatedColumnFormula>
    </tableColumn>
    <tableColumn id="15" xr3:uid="{00000000-0010-0000-C200-00000F000000}" name="QS" dataDxfId="3421"/>
    <tableColumn id="16" xr3:uid="{00000000-0010-0000-C200-000010000000}" name="UQ" dataDxfId="3420"/>
    <tableColumn id="17" xr3:uid="{00000000-0010-0000-C200-000011000000}" name="CG" dataDxfId="3419"/>
    <tableColumn id="18" xr3:uid="{00000000-0010-0000-C200-000012000000}" name="SH" dataDxfId="3418"/>
    <tableColumn id="19" xr3:uid="{00000000-0010-0000-C200-000013000000}" name="#" dataDxfId="3417"/>
  </tableColumns>
  <tableStyleInfo name="TableStyleMedium3" showFirstColumn="0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C3000000}" name="PHI_H74" displayName="PHI_H74" ref="AY159:BU173" totalsRowShown="0" headerRowDxfId="3416" dataDxfId="3414" headerRowBorderDxfId="3415">
  <autoFilter ref="AY159:BU173" xr:uid="{00000000-0009-0000-0100-0000BB000000}"/>
  <sortState xmlns:xlrd2="http://schemas.microsoft.com/office/spreadsheetml/2017/richdata2" ref="AY160:BU173">
    <sortCondition ref="BU159:BU173"/>
  </sortState>
  <tableColumns count="23">
    <tableColumn id="1" xr3:uid="{00000000-0010-0000-C300-000001000000}" name="TM" dataDxfId="3413"/>
    <tableColumn id="2" xr3:uid="{00000000-0010-0000-C300-000002000000}" name="@" dataDxfId="3412"/>
    <tableColumn id="3" xr3:uid="{00000000-0010-0000-C300-000003000000}" name="NAME" dataDxfId="3411"/>
    <tableColumn id="4" xr3:uid="{00000000-0010-0000-C300-000004000000}" name="BA" dataDxfId="3410">
      <calculatedColumnFormula>IFERROR(PHI_H74[[#This Row],[H]]/PHI_H74[[#This Row],[AB]],0)</calculatedColumnFormula>
    </tableColumn>
    <tableColumn id="5" xr3:uid="{00000000-0010-0000-C300-000005000000}" name="OBP" dataDxfId="3409">
      <calculatedColumnFormula>IFERROR((PHI_H74[[#This Row],[BB]]+PHI_H74[[#This Row],[H]])/(PHI_H74[[#This Row],[BB]]+PHI_H74[[#This Row],[AB]]),0)</calculatedColumnFormula>
    </tableColumn>
    <tableColumn id="6" xr3:uid="{00000000-0010-0000-C300-000006000000}" name="SLG" dataDxfId="3408">
      <calculatedColumnFormula>IFERROR(((PHI_H74[[#This Row],[H]]-PHI_H74[[#This Row],[2B]]-PHI_H74[[#This Row],[3B]]-PHI_H74[[#This Row],[HR]])+(PHI_H74[[#This Row],[2B]]*2)+(PHI_H74[[#This Row],[3B]]*3)+(PHI_H74[[#This Row],[HR]]*4))/PHI_H74[[#This Row],[AB]],0)</calculatedColumnFormula>
    </tableColumn>
    <tableColumn id="7" xr3:uid="{00000000-0010-0000-C300-000007000000}" name="G" dataDxfId="3407"/>
    <tableColumn id="8" xr3:uid="{00000000-0010-0000-C300-000008000000}" name="AB" dataDxfId="3406"/>
    <tableColumn id="9" xr3:uid="{00000000-0010-0000-C300-000009000000}" name="R" dataDxfId="3405"/>
    <tableColumn id="10" xr3:uid="{00000000-0010-0000-C300-00000A000000}" name="H" dataDxfId="3404"/>
    <tableColumn id="11" xr3:uid="{00000000-0010-0000-C300-00000B000000}" name="2B" dataDxfId="3403"/>
    <tableColumn id="12" xr3:uid="{00000000-0010-0000-C300-00000C000000}" name="3B" dataDxfId="3402"/>
    <tableColumn id="13" xr3:uid="{00000000-0010-0000-C300-00000D000000}" name="HR" dataDxfId="3401"/>
    <tableColumn id="14" xr3:uid="{00000000-0010-0000-C300-00000E000000}" name="RBI" dataDxfId="3400"/>
    <tableColumn id="15" xr3:uid="{00000000-0010-0000-C300-00000F000000}" name="BB" dataDxfId="3399"/>
    <tableColumn id="16" xr3:uid="{00000000-0010-0000-C300-000010000000}" name="K" dataDxfId="3398"/>
    <tableColumn id="17" xr3:uid="{00000000-0010-0000-C300-000011000000}" name="SB" dataDxfId="3397"/>
    <tableColumn id="18" xr3:uid="{00000000-0010-0000-C300-000012000000}" name="HS" dataDxfId="3396"/>
    <tableColumn id="19" xr3:uid="{00000000-0010-0000-C300-000013000000}" name="LS" dataDxfId="3395"/>
    <tableColumn id="20" xr3:uid="{00000000-0010-0000-C300-000014000000}" name="TB" dataDxfId="3394">
      <calculatedColumnFormula>(PHI_H74[[#This Row],[H]]-PHI_H74[[#This Row],[2B]]-PHI_H74[[#This Row],[3B]]-PHI_H74[[#This Row],[HR]])+(PHI_H74[[#This Row],[2B]]*2)+(PHI_H74[[#This Row],[3B]]*3)+(PHI_H74[[#This Row],[HR]]*4)</calculatedColumnFormula>
    </tableColumn>
    <tableColumn id="21" xr3:uid="{00000000-0010-0000-C300-000015000000}" name="OPS" dataDxfId="3393">
      <calculatedColumnFormula>IFERROR(PHI_H74[[#This Row],[OBP]]+PHI_H74[[#This Row],[SLG]],0)</calculatedColumnFormula>
    </tableColumn>
    <tableColumn id="22" xr3:uid="{00000000-0010-0000-C300-000016000000}" name="*" dataDxfId="3392"/>
    <tableColumn id="23" xr3:uid="{00000000-0010-0000-C300-000017000000}" name="#" dataDxfId="3391"/>
  </tableColumns>
  <tableStyleInfo name="TableStyleMedium7" showFirstColumn="0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C4000000}" name="PHI_P87" displayName="PHI_P87" ref="AY176:BQ186" totalsRowShown="0" headerRowDxfId="3390" dataDxfId="3388" headerRowBorderDxfId="3389">
  <autoFilter ref="AY176:BQ186" xr:uid="{00000000-0009-0000-0100-0000BC000000}"/>
  <sortState xmlns:xlrd2="http://schemas.microsoft.com/office/spreadsheetml/2017/richdata2" ref="AY177:BQ186">
    <sortCondition ref="BQ176:BQ186"/>
  </sortState>
  <tableColumns count="19">
    <tableColumn id="1" xr3:uid="{00000000-0010-0000-C400-000001000000}" name="TM" dataDxfId="3387"/>
    <tableColumn id="2" xr3:uid="{00000000-0010-0000-C400-000002000000}" name="@" dataDxfId="3386"/>
    <tableColumn id="3" xr3:uid="{00000000-0010-0000-C400-000003000000}" name="NAME" dataDxfId="3385"/>
    <tableColumn id="4" xr3:uid="{00000000-0010-0000-C400-000004000000}" name="ERA" dataDxfId="3384">
      <calculatedColumnFormula>IFERROR((PHI_P87[[#This Row],[R]]*9)/PHI_P87[[#This Row],[IP]],0)</calculatedColumnFormula>
    </tableColumn>
    <tableColumn id="5" xr3:uid="{00000000-0010-0000-C400-000005000000}" name="W" dataDxfId="3383"/>
    <tableColumn id="6" xr3:uid="{00000000-0010-0000-C400-000006000000}" name="L" dataDxfId="3382"/>
    <tableColumn id="7" xr3:uid="{00000000-0010-0000-C400-000007000000}" name="G" dataDxfId="3381"/>
    <tableColumn id="8" xr3:uid="{00000000-0010-0000-C400-000008000000}" name="IP" dataDxfId="3380"/>
    <tableColumn id="9" xr3:uid="{00000000-0010-0000-C400-000009000000}" name="H" dataDxfId="3379"/>
    <tableColumn id="10" xr3:uid="{00000000-0010-0000-C400-00000A000000}" name="R" dataDxfId="3378"/>
    <tableColumn id="11" xr3:uid="{00000000-0010-0000-C400-00000B000000}" name="BB" dataDxfId="3377"/>
    <tableColumn id="12" xr3:uid="{00000000-0010-0000-C400-00000C000000}" name="K" dataDxfId="3376"/>
    <tableColumn id="13" xr3:uid="{00000000-0010-0000-C400-00000D000000}" name="SV" dataDxfId="3375"/>
    <tableColumn id="14" xr3:uid="{00000000-0010-0000-C400-00000E000000}" name="WH" dataDxfId="3374">
      <calculatedColumnFormula>IFERROR((PHI_P87[[#This Row],[BB]]+PHI_P87[[#This Row],[H]])/PHI_P87[[#This Row],[IP]],0)</calculatedColumnFormula>
    </tableColumn>
    <tableColumn id="15" xr3:uid="{00000000-0010-0000-C400-00000F000000}" name="QS" dataDxfId="3373"/>
    <tableColumn id="16" xr3:uid="{00000000-0010-0000-C400-000010000000}" name="UQ" dataDxfId="3372"/>
    <tableColumn id="17" xr3:uid="{00000000-0010-0000-C400-000011000000}" name="CG" dataDxfId="3371"/>
    <tableColumn id="18" xr3:uid="{00000000-0010-0000-C400-000012000000}" name="SH" dataDxfId="3370"/>
    <tableColumn id="19" xr3:uid="{00000000-0010-0000-C400-000013000000}" name="#" dataDxfId="3369"/>
  </tableColumns>
  <tableStyleInfo name="TableStyleMedium7" showFirstColumn="0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00000000-000C-0000-FFFF-FFFFC5000000}" name="PHI_H74120" displayName="PHI_H74120" ref="AY221:BU235" totalsRowShown="0" headerRowDxfId="3368" dataDxfId="3366" headerRowBorderDxfId="3367">
  <autoFilter ref="AY221:BU235" xr:uid="{00000000-0009-0000-0100-0000BD000000}"/>
  <sortState xmlns:xlrd2="http://schemas.microsoft.com/office/spreadsheetml/2017/richdata2" ref="AY222:BU235">
    <sortCondition ref="BU221:BU235"/>
  </sortState>
  <tableColumns count="23">
    <tableColumn id="1" xr3:uid="{00000000-0010-0000-C500-000001000000}" name="TM" dataDxfId="3365"/>
    <tableColumn id="2" xr3:uid="{00000000-0010-0000-C500-000002000000}" name="@" dataDxfId="3364"/>
    <tableColumn id="3" xr3:uid="{00000000-0010-0000-C500-000003000000}" name="NAME" dataDxfId="3363"/>
    <tableColumn id="4" xr3:uid="{00000000-0010-0000-C500-000004000000}" name="BA" dataDxfId="3362">
      <calculatedColumnFormula>IFERROR(PHI_H74120[[#This Row],[H]]/PHI_H74120[[#This Row],[AB]],0)</calculatedColumnFormula>
    </tableColumn>
    <tableColumn id="5" xr3:uid="{00000000-0010-0000-C500-000005000000}" name="OBP" dataDxfId="3361">
      <calculatedColumnFormula>IFERROR((PHI_H74120[[#This Row],[BB]]+PHI_H74120[[#This Row],[H]])/(PHI_H74120[[#This Row],[BB]]+PHI_H74120[[#This Row],[AB]]),0)</calculatedColumnFormula>
    </tableColumn>
    <tableColumn id="6" xr3:uid="{00000000-0010-0000-C500-000006000000}" name="SLG" dataDxfId="3360">
      <calculatedColumnFormula>IFERROR(((PHI_H74120[[#This Row],[H]]-PHI_H74120[[#This Row],[2B]]-PHI_H74120[[#This Row],[3B]]-PHI_H74120[[#This Row],[HR]])+(PHI_H74120[[#This Row],[2B]]*2)+(PHI_H74120[[#This Row],[3B]]*3)+(PHI_H74120[[#This Row],[HR]]*4))/PHI_H74120[[#This Row],[AB]],0)</calculatedColumnFormula>
    </tableColumn>
    <tableColumn id="7" xr3:uid="{00000000-0010-0000-C500-000007000000}" name="G" dataDxfId="3359"/>
    <tableColumn id="8" xr3:uid="{00000000-0010-0000-C500-000008000000}" name="AB" dataDxfId="3358"/>
    <tableColumn id="9" xr3:uid="{00000000-0010-0000-C500-000009000000}" name="R" dataDxfId="3357"/>
    <tableColumn id="10" xr3:uid="{00000000-0010-0000-C500-00000A000000}" name="H" dataDxfId="3356"/>
    <tableColumn id="11" xr3:uid="{00000000-0010-0000-C500-00000B000000}" name="2B" dataDxfId="3355"/>
    <tableColumn id="12" xr3:uid="{00000000-0010-0000-C500-00000C000000}" name="3B" dataDxfId="3354"/>
    <tableColumn id="13" xr3:uid="{00000000-0010-0000-C500-00000D000000}" name="HR" dataDxfId="3353"/>
    <tableColumn id="14" xr3:uid="{00000000-0010-0000-C500-00000E000000}" name="RBI" dataDxfId="3352"/>
    <tableColumn id="15" xr3:uid="{00000000-0010-0000-C500-00000F000000}" name="BB" dataDxfId="3351"/>
    <tableColumn id="16" xr3:uid="{00000000-0010-0000-C500-000010000000}" name="K" dataDxfId="3350"/>
    <tableColumn id="17" xr3:uid="{00000000-0010-0000-C500-000011000000}" name="SB" dataDxfId="3349"/>
    <tableColumn id="18" xr3:uid="{00000000-0010-0000-C500-000012000000}" name="HS" dataDxfId="3348"/>
    <tableColumn id="19" xr3:uid="{00000000-0010-0000-C500-000013000000}" name="LS" dataDxfId="3347"/>
    <tableColumn id="20" xr3:uid="{00000000-0010-0000-C500-000014000000}" name="TB" dataDxfId="3346">
      <calculatedColumnFormula>(PHI_H74120[[#This Row],[H]]-PHI_H74120[[#This Row],[2B]]-PHI_H74120[[#This Row],[3B]]-PHI_H74120[[#This Row],[HR]])+(PHI_H74120[[#This Row],[2B]]*2)+(PHI_H74120[[#This Row],[3B]]*3)+(PHI_H74120[[#This Row],[HR]]*4)</calculatedColumnFormula>
    </tableColumn>
    <tableColumn id="21" xr3:uid="{00000000-0010-0000-C500-000015000000}" name="OPS" dataDxfId="3345">
      <calculatedColumnFormula>IFERROR(PHI_H74120[[#This Row],[OBP]]+PHI_H74120[[#This Row],[SLG]],0)</calculatedColumnFormula>
    </tableColumn>
    <tableColumn id="22" xr3:uid="{00000000-0010-0000-C500-000016000000}" name="*" dataDxfId="3344"/>
    <tableColumn id="23" xr3:uid="{00000000-0010-0000-C500-000017000000}" name="#" dataDxfId="3343"/>
  </tableColumns>
  <tableStyleInfo name="TableStyleMedium7" showFirstColumn="0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C6000000}" name="PHI_P87121" displayName="PHI_P87121" ref="AY238:BQ248" totalsRowShown="0" headerRowDxfId="3342" dataDxfId="3340" headerRowBorderDxfId="3341">
  <autoFilter ref="AY238:BQ248" xr:uid="{00000000-0009-0000-0100-0000BE000000}"/>
  <sortState xmlns:xlrd2="http://schemas.microsoft.com/office/spreadsheetml/2017/richdata2" ref="AY239:BQ248">
    <sortCondition ref="BQ238:BQ248"/>
  </sortState>
  <tableColumns count="19">
    <tableColumn id="1" xr3:uid="{00000000-0010-0000-C600-000001000000}" name="TM" dataDxfId="3339"/>
    <tableColumn id="2" xr3:uid="{00000000-0010-0000-C600-000002000000}" name="@" dataDxfId="3338"/>
    <tableColumn id="3" xr3:uid="{00000000-0010-0000-C600-000003000000}" name="NAME" dataDxfId="3337"/>
    <tableColumn id="4" xr3:uid="{00000000-0010-0000-C600-000004000000}" name="ERA" dataDxfId="3336">
      <calculatedColumnFormula>IFERROR((PHI_P87121[[#This Row],[R]]*9)/PHI_P87121[[#This Row],[IP]],0)</calculatedColumnFormula>
    </tableColumn>
    <tableColumn id="5" xr3:uid="{00000000-0010-0000-C600-000005000000}" name="W" dataDxfId="3335"/>
    <tableColumn id="6" xr3:uid="{00000000-0010-0000-C600-000006000000}" name="L" dataDxfId="3334"/>
    <tableColumn id="7" xr3:uid="{00000000-0010-0000-C600-000007000000}" name="G" dataDxfId="3333"/>
    <tableColumn id="8" xr3:uid="{00000000-0010-0000-C600-000008000000}" name="IP" dataDxfId="3332"/>
    <tableColumn id="9" xr3:uid="{00000000-0010-0000-C600-000009000000}" name="H" dataDxfId="3331"/>
    <tableColumn id="10" xr3:uid="{00000000-0010-0000-C600-00000A000000}" name="R" dataDxfId="3330"/>
    <tableColumn id="11" xr3:uid="{00000000-0010-0000-C600-00000B000000}" name="BB" dataDxfId="3329"/>
    <tableColumn id="12" xr3:uid="{00000000-0010-0000-C600-00000C000000}" name="K" dataDxfId="3328"/>
    <tableColumn id="13" xr3:uid="{00000000-0010-0000-C600-00000D000000}" name="SV" dataDxfId="3327"/>
    <tableColumn id="14" xr3:uid="{00000000-0010-0000-C600-00000E000000}" name="WH" dataDxfId="3326">
      <calculatedColumnFormula>IFERROR((PHI_P87121[[#This Row],[BB]]+PHI_P87121[[#This Row],[H]])/PHI_P87121[[#This Row],[IP]],0)</calculatedColumnFormula>
    </tableColumn>
    <tableColumn id="15" xr3:uid="{00000000-0010-0000-C600-00000F000000}" name="QS" dataDxfId="3325"/>
    <tableColumn id="16" xr3:uid="{00000000-0010-0000-C600-000010000000}" name="UQ" dataDxfId="3324"/>
    <tableColumn id="17" xr3:uid="{00000000-0010-0000-C600-000011000000}" name="CG" dataDxfId="3323"/>
    <tableColumn id="18" xr3:uid="{00000000-0010-0000-C600-000012000000}" name="SH" dataDxfId="3322"/>
    <tableColumn id="19" xr3:uid="{00000000-0010-0000-C600-000013000000}" name="#" dataDxfId="3321"/>
  </tableColumns>
  <tableStyleInfo name="TableStyleMedium7" showFirstColumn="0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C7000000}" name="ATL_H90" displayName="ATL_H90" ref="A221:W235" totalsRowShown="0" headerRowDxfId="3320" dataDxfId="3318" headerRowBorderDxfId="3319">
  <autoFilter ref="A221:W235" xr:uid="{00000000-0009-0000-0100-000059000000}"/>
  <sortState xmlns:xlrd2="http://schemas.microsoft.com/office/spreadsheetml/2017/richdata2" ref="A222:W235">
    <sortCondition ref="W221:W235"/>
  </sortState>
  <tableColumns count="23">
    <tableColumn id="1" xr3:uid="{00000000-0010-0000-C700-000001000000}" name="TM" dataDxfId="3317"/>
    <tableColumn id="2" xr3:uid="{00000000-0010-0000-C700-000002000000}" name="@" dataDxfId="3316"/>
    <tableColumn id="3" xr3:uid="{00000000-0010-0000-C700-000003000000}" name="NAME" dataDxfId="3315"/>
    <tableColumn id="4" xr3:uid="{00000000-0010-0000-C700-000004000000}" name="BA" dataDxfId="3314">
      <calculatedColumnFormula>IFERROR(ATL_H90[[#This Row],[H]]/ATL_H90[[#This Row],[AB]],0)</calculatedColumnFormula>
    </tableColumn>
    <tableColumn id="5" xr3:uid="{00000000-0010-0000-C700-000005000000}" name="OBP" dataDxfId="3313">
      <calculatedColumnFormula>IFERROR((ATL_H90[[#This Row],[H]]+ATL_H90[[#This Row],[BB]])/(ATL_H90[[#This Row],[BB]]+ATL_H90[[#This Row],[AB]]),0)</calculatedColumnFormula>
    </tableColumn>
    <tableColumn id="6" xr3:uid="{00000000-0010-0000-C700-000006000000}" name="SLG" dataDxfId="3312">
      <calculatedColumnFormula>IFERROR(((ATL_H90[[#This Row],[H]]-ATL_H90[[#This Row],[2B]]-ATL_H90[[#This Row],[3B]]-ATL_H90[[#This Row],[HR]])+(ATL_H90[[#This Row],[2B]]*2)+(ATL_H90[[#This Row],[3B]]*3)+(ATL_H90[[#This Row],[HR]]*4))/ATL_H90[[#This Row],[AB]],0)</calculatedColumnFormula>
    </tableColumn>
    <tableColumn id="7" xr3:uid="{00000000-0010-0000-C700-000007000000}" name="G" dataDxfId="3311"/>
    <tableColumn id="8" xr3:uid="{00000000-0010-0000-C700-000008000000}" name="AB" dataDxfId="3310"/>
    <tableColumn id="9" xr3:uid="{00000000-0010-0000-C700-000009000000}" name="R" dataDxfId="3309"/>
    <tableColumn id="10" xr3:uid="{00000000-0010-0000-C700-00000A000000}" name="H" dataDxfId="3308"/>
    <tableColumn id="11" xr3:uid="{00000000-0010-0000-C700-00000B000000}" name="2B" dataDxfId="3307"/>
    <tableColumn id="12" xr3:uid="{00000000-0010-0000-C700-00000C000000}" name="3B" dataDxfId="3306"/>
    <tableColumn id="13" xr3:uid="{00000000-0010-0000-C700-00000D000000}" name="HR" dataDxfId="3305"/>
    <tableColumn id="14" xr3:uid="{00000000-0010-0000-C700-00000E000000}" name="RBI" dataDxfId="3304"/>
    <tableColumn id="15" xr3:uid="{00000000-0010-0000-C700-00000F000000}" name="BB" dataDxfId="3303"/>
    <tableColumn id="16" xr3:uid="{00000000-0010-0000-C700-000010000000}" name="K" dataDxfId="3302"/>
    <tableColumn id="17" xr3:uid="{00000000-0010-0000-C700-000011000000}" name="SB" dataDxfId="3301"/>
    <tableColumn id="18" xr3:uid="{00000000-0010-0000-C700-000012000000}" name="HS" dataDxfId="3300"/>
    <tableColumn id="21" xr3:uid="{00000000-0010-0000-C700-000015000000}" name="LS" dataDxfId="3299"/>
    <tableColumn id="19" xr3:uid="{00000000-0010-0000-C700-000013000000}" name="TB" dataDxfId="3298">
      <calculatedColumnFormula>IFERROR((ATL_H90[[#This Row],[H]]-ATL_H90[[#This Row],[2B]]-ATL_H90[[#This Row],[3B]]-ATL_H90[[#This Row],[HR]])+(ATL_H90[[#This Row],[2B]]*2)+(ATL_H90[[#This Row],[3B]]*3)+(ATL_H90[[#This Row],[HR]]*4),0)</calculatedColumnFormula>
    </tableColumn>
    <tableColumn id="23" xr3:uid="{00000000-0010-0000-C700-000017000000}" name="OPS" dataDxfId="3297">
      <calculatedColumnFormula>ATL_H90[[#This Row],[OBP]]+ATL_H90[[#This Row],[SLG]]</calculatedColumnFormula>
    </tableColumn>
    <tableColumn id="22" xr3:uid="{00000000-0010-0000-C700-000016000000}" name="*" dataDxfId="3296"/>
    <tableColumn id="20" xr3:uid="{00000000-0010-0000-C700-000014000000}" name="#" dataDxfId="3295"/>
  </tableColumns>
  <tableStyleInfo name="TableStyleMedium2" showFirstColumn="0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C8000000}" name="ATL_P91" displayName="ATL_P91" ref="A238:S248" totalsRowShown="0" headerRowDxfId="3294" dataDxfId="3292" headerRowBorderDxfId="3293">
  <autoFilter ref="A238:S248" xr:uid="{00000000-0009-0000-0100-00005A000000}"/>
  <sortState xmlns:xlrd2="http://schemas.microsoft.com/office/spreadsheetml/2017/richdata2" ref="A239:S248">
    <sortCondition ref="S238:S248"/>
  </sortState>
  <tableColumns count="19">
    <tableColumn id="1" xr3:uid="{00000000-0010-0000-C800-000001000000}" name="TM" dataDxfId="3291"/>
    <tableColumn id="2" xr3:uid="{00000000-0010-0000-C800-000002000000}" name="@" dataDxfId="3290"/>
    <tableColumn id="3" xr3:uid="{00000000-0010-0000-C800-000003000000}" name="NAME" dataDxfId="3289"/>
    <tableColumn id="4" xr3:uid="{00000000-0010-0000-C800-000004000000}" name="ERA" dataDxfId="3288">
      <calculatedColumnFormula>IFERROR((ATL_P91[[#This Row],[R]]*9)/ATL_P91[[#This Row],[IP]],0)</calculatedColumnFormula>
    </tableColumn>
    <tableColumn id="5" xr3:uid="{00000000-0010-0000-C800-000005000000}" name="W" dataDxfId="3287"/>
    <tableColumn id="6" xr3:uid="{00000000-0010-0000-C800-000006000000}" name="L" dataDxfId="3286"/>
    <tableColumn id="7" xr3:uid="{00000000-0010-0000-C800-000007000000}" name="G" dataDxfId="3285"/>
    <tableColumn id="8" xr3:uid="{00000000-0010-0000-C800-000008000000}" name="IP" dataDxfId="3284"/>
    <tableColumn id="9" xr3:uid="{00000000-0010-0000-C800-000009000000}" name="H" dataDxfId="3283"/>
    <tableColumn id="10" xr3:uid="{00000000-0010-0000-C800-00000A000000}" name="R" dataDxfId="3282"/>
    <tableColumn id="11" xr3:uid="{00000000-0010-0000-C800-00000B000000}" name="BB" dataDxfId="3281"/>
    <tableColumn id="12" xr3:uid="{00000000-0010-0000-C800-00000C000000}" name="K" dataDxfId="3280"/>
    <tableColumn id="13" xr3:uid="{00000000-0010-0000-C800-00000D000000}" name="SV" dataDxfId="3279"/>
    <tableColumn id="14" xr3:uid="{00000000-0010-0000-C800-00000E000000}" name="WH" dataDxfId="3278">
      <calculatedColumnFormula>IFERROR((ATL_P91[[#This Row],[BB]]+ATL_P91[[#This Row],[H]])/ATL_P91[[#This Row],[IP]],0)</calculatedColumnFormula>
    </tableColumn>
    <tableColumn id="15" xr3:uid="{00000000-0010-0000-C800-00000F000000}" name="QS" dataDxfId="3277"/>
    <tableColumn id="16" xr3:uid="{00000000-0010-0000-C800-000010000000}" name="UQ" dataDxfId="3276"/>
    <tableColumn id="17" xr3:uid="{00000000-0010-0000-C800-000011000000}" name="CG" dataDxfId="3275"/>
    <tableColumn id="18" xr3:uid="{00000000-0010-0000-C800-000012000000}" name="SH" dataDxfId="3274"/>
    <tableColumn id="19" xr3:uid="{00000000-0010-0000-C800-000013000000}" name="#" dataDxfId="3273"/>
  </tableColumns>
  <tableStyleInfo name="TableStyleMedium2" showFirstColumn="0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C9000000}" name="NYM_H102" displayName="NYM_H102" ref="A190:W204" totalsRowShown="0" headerRowDxfId="3272" dataDxfId="3270" headerRowBorderDxfId="3271">
  <autoFilter ref="A190:W204" xr:uid="{00000000-0009-0000-0100-000065000000}"/>
  <sortState xmlns:xlrd2="http://schemas.microsoft.com/office/spreadsheetml/2017/richdata2" ref="A191:W204">
    <sortCondition descending="1" ref="T190:T204"/>
  </sortState>
  <tableColumns count="23">
    <tableColumn id="1" xr3:uid="{00000000-0010-0000-C900-000001000000}" name="TM" dataDxfId="3269"/>
    <tableColumn id="2" xr3:uid="{00000000-0010-0000-C900-000002000000}" name="@" dataDxfId="3268"/>
    <tableColumn id="3" xr3:uid="{00000000-0010-0000-C900-000003000000}" name="NAME" dataDxfId="3267"/>
    <tableColumn id="4" xr3:uid="{00000000-0010-0000-C900-000004000000}" name="BA" dataDxfId="3266">
      <calculatedColumnFormula>IFERROR(NYM_H102[[#This Row],[H]]/NYM_H102[[#This Row],[AB]],0)</calculatedColumnFormula>
    </tableColumn>
    <tableColumn id="5" xr3:uid="{00000000-0010-0000-C900-000005000000}" name="OBP" dataDxfId="3265">
      <calculatedColumnFormula>IFERROR((NYM_H102[[#This Row],[H]]+NYM_H102[[#This Row],[BB]])/(NYM_H102[[#This Row],[BB]]+NYM_H102[[#This Row],[AB]]),0)</calculatedColumnFormula>
    </tableColumn>
    <tableColumn id="6" xr3:uid="{00000000-0010-0000-C900-000006000000}" name="SLG" dataDxfId="3264">
      <calculatedColumnFormula>IFERROR(((NYM_H102[[#This Row],[H]]-NYM_H102[[#This Row],[2B]]-NYM_H102[[#This Row],[3B]]-NYM_H102[[#This Row],[HR]])+(NYM_H102[[#This Row],[2B]]*2)+(NYM_H102[[#This Row],[3B]]*3)+(NYM_H102[[#This Row],[HR]]*4))/NYM_H102[[#This Row],[AB]],0)</calculatedColumnFormula>
    </tableColumn>
    <tableColumn id="7" xr3:uid="{00000000-0010-0000-C900-000007000000}" name="G" dataDxfId="3263"/>
    <tableColumn id="8" xr3:uid="{00000000-0010-0000-C900-000008000000}" name="AB" dataDxfId="3262"/>
    <tableColumn id="9" xr3:uid="{00000000-0010-0000-C900-000009000000}" name="R" dataDxfId="3261"/>
    <tableColumn id="10" xr3:uid="{00000000-0010-0000-C900-00000A000000}" name="H" dataDxfId="3260"/>
    <tableColumn id="11" xr3:uid="{00000000-0010-0000-C900-00000B000000}" name="2B" dataDxfId="3259"/>
    <tableColumn id="12" xr3:uid="{00000000-0010-0000-C900-00000C000000}" name="3B" dataDxfId="3258"/>
    <tableColumn id="13" xr3:uid="{00000000-0010-0000-C900-00000D000000}" name="HR" dataDxfId="3257"/>
    <tableColumn id="14" xr3:uid="{00000000-0010-0000-C900-00000E000000}" name="RBI" dataDxfId="3256"/>
    <tableColumn id="15" xr3:uid="{00000000-0010-0000-C900-00000F000000}" name="BB" dataDxfId="3255"/>
    <tableColumn id="16" xr3:uid="{00000000-0010-0000-C900-000010000000}" name="K" dataDxfId="3254"/>
    <tableColumn id="17" xr3:uid="{00000000-0010-0000-C900-000011000000}" name="SB" dataDxfId="3253"/>
    <tableColumn id="18" xr3:uid="{00000000-0010-0000-C900-000012000000}" name="HS" dataDxfId="3252"/>
    <tableColumn id="19" xr3:uid="{00000000-0010-0000-C900-000013000000}" name="LS" dataDxfId="3251"/>
    <tableColumn id="20" xr3:uid="{00000000-0010-0000-C900-000014000000}" name="TB" dataDxfId="3250">
      <calculatedColumnFormula>IFERROR((NYM_H102[[#This Row],[H]]-NYM_H102[[#This Row],[2B]]-NYM_H102[[#This Row],[3B]]-NYM_H102[[#This Row],[HR]])+(NYM_H102[[#This Row],[2B]]*2)+(NYM_H102[[#This Row],[3B]]*3)+(NYM_H102[[#This Row],[HR]]*4),0)</calculatedColumnFormula>
    </tableColumn>
    <tableColumn id="21" xr3:uid="{00000000-0010-0000-C900-000015000000}" name="OPS" dataDxfId="3249">
      <calculatedColumnFormula>NYM_H102[[#This Row],[OBP]]+NYM_H102[[#This Row],[SLG]]</calculatedColumnFormula>
    </tableColumn>
    <tableColumn id="22" xr3:uid="{00000000-0010-0000-C900-000016000000}" name="*" dataDxfId="3248"/>
    <tableColumn id="23" xr3:uid="{00000000-0010-0000-C900-000017000000}" name="#" dataDxfId="3247"/>
  </tableColumns>
  <tableStyleInfo name="TableStyleMedium3" showFirstColumn="0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00000000-000C-0000-FFFF-FFFFCA000000}" name="NYM_P264" displayName="NYM_P264" ref="A207:S217" totalsRowShown="0" headerRowDxfId="3246" dataDxfId="3244" headerRowBorderDxfId="3245">
  <autoFilter ref="A207:S217" xr:uid="{00000000-0009-0000-0100-000007010000}"/>
  <sortState xmlns:xlrd2="http://schemas.microsoft.com/office/spreadsheetml/2017/richdata2" ref="A208:S217">
    <sortCondition ref="S51:S61"/>
  </sortState>
  <tableColumns count="19">
    <tableColumn id="1" xr3:uid="{00000000-0010-0000-CA00-000001000000}" name="TM" dataDxfId="3243"/>
    <tableColumn id="2" xr3:uid="{00000000-0010-0000-CA00-000002000000}" name="@" dataDxfId="3242"/>
    <tableColumn id="3" xr3:uid="{00000000-0010-0000-CA00-000003000000}" name="NAME" dataDxfId="3241"/>
    <tableColumn id="4" xr3:uid="{00000000-0010-0000-CA00-000004000000}" name="ERA" dataDxfId="3240">
      <calculatedColumnFormula>IFERROR((NYM_P264[[#This Row],[R]]*9)/NYM_P264[[#This Row],[IP]],0)</calculatedColumnFormula>
    </tableColumn>
    <tableColumn id="5" xr3:uid="{00000000-0010-0000-CA00-000005000000}" name="W" dataDxfId="3239"/>
    <tableColumn id="6" xr3:uid="{00000000-0010-0000-CA00-000006000000}" name="L" dataDxfId="3238"/>
    <tableColumn id="7" xr3:uid="{00000000-0010-0000-CA00-000007000000}" name="G" dataDxfId="3237"/>
    <tableColumn id="8" xr3:uid="{00000000-0010-0000-CA00-000008000000}" name="IP" dataDxfId="3236"/>
    <tableColumn id="9" xr3:uid="{00000000-0010-0000-CA00-000009000000}" name="H" dataDxfId="3235"/>
    <tableColumn id="10" xr3:uid="{00000000-0010-0000-CA00-00000A000000}" name="R" dataDxfId="3234"/>
    <tableColumn id="11" xr3:uid="{00000000-0010-0000-CA00-00000B000000}" name="BB" dataDxfId="3233"/>
    <tableColumn id="12" xr3:uid="{00000000-0010-0000-CA00-00000C000000}" name="K" dataDxfId="3232"/>
    <tableColumn id="13" xr3:uid="{00000000-0010-0000-CA00-00000D000000}" name="SV" dataDxfId="3231"/>
    <tableColumn id="14" xr3:uid="{00000000-0010-0000-CA00-00000E000000}" name="WH" dataDxfId="3230">
      <calculatedColumnFormula>IFERROR((NYM_P264[[#This Row],[BB]]+NYM_P264[[#This Row],[H]])/NYM_P264[[#This Row],[IP]],0)</calculatedColumnFormula>
    </tableColumn>
    <tableColumn id="15" xr3:uid="{00000000-0010-0000-CA00-00000F000000}" name="QS" dataDxfId="3229"/>
    <tableColumn id="16" xr3:uid="{00000000-0010-0000-CA00-000010000000}" name="UQ" dataDxfId="3228"/>
    <tableColumn id="17" xr3:uid="{00000000-0010-0000-CA00-000011000000}" name="CG" dataDxfId="3227"/>
    <tableColumn id="18" xr3:uid="{00000000-0010-0000-CA00-000012000000}" name="SH" dataDxfId="3226"/>
    <tableColumn id="19" xr3:uid="{00000000-0010-0000-CA00-000013000000}" name="#" dataDxfId="3225"/>
  </tableColumns>
  <tableStyleInfo name="TableStyleMedium3" showFirstColumn="0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00000000-000C-0000-FFFF-FFFFCB000000}" name="PHI_H265" displayName="PHI_H265" ref="A159:W173" totalsRowShown="0" headerRowDxfId="3224" dataDxfId="3222" headerRowBorderDxfId="3223">
  <autoFilter ref="A159:W173" xr:uid="{00000000-0009-0000-0100-000008010000}"/>
  <sortState xmlns:xlrd2="http://schemas.microsoft.com/office/spreadsheetml/2017/richdata2" ref="A160:W173">
    <sortCondition ref="W159:W173"/>
  </sortState>
  <tableColumns count="23">
    <tableColumn id="1" xr3:uid="{00000000-0010-0000-CB00-000001000000}" name="TM" dataDxfId="3221"/>
    <tableColumn id="2" xr3:uid="{00000000-0010-0000-CB00-000002000000}" name="@" dataDxfId="3220"/>
    <tableColumn id="3" xr3:uid="{00000000-0010-0000-CB00-000003000000}" name="NAME" dataDxfId="3219"/>
    <tableColumn id="4" xr3:uid="{00000000-0010-0000-CB00-000004000000}" name="BA" dataDxfId="3218">
      <calculatedColumnFormula>IFERROR(PHI_H265[[#This Row],[H]]/PHI_H265[[#This Row],[AB]],0)</calculatedColumnFormula>
    </tableColumn>
    <tableColumn id="5" xr3:uid="{00000000-0010-0000-CB00-000005000000}" name="OBP" dataDxfId="3217">
      <calculatedColumnFormula>IFERROR((PHI_H265[[#This Row],[H]]+PHI_H265[[#This Row],[BB]])/(PHI_H265[[#This Row],[BB]]+PHI_H265[[#This Row],[AB]]),0)</calculatedColumnFormula>
    </tableColumn>
    <tableColumn id="6" xr3:uid="{00000000-0010-0000-CB00-000006000000}" name="SLG" dataDxfId="3216">
      <calculatedColumnFormula>IFERROR(((PHI_H265[[#This Row],[H]]-PHI_H265[[#This Row],[2B]]-PHI_H265[[#This Row],[3B]]-PHI_H265[[#This Row],[HR]])+(PHI_H265[[#This Row],[2B]]*2)+(PHI_H265[[#This Row],[3B]]*3)+(PHI_H265[[#This Row],[HR]]*4))/PHI_H265[[#This Row],[AB]],0)</calculatedColumnFormula>
    </tableColumn>
    <tableColumn id="7" xr3:uid="{00000000-0010-0000-CB00-000007000000}" name="G" dataDxfId="3215"/>
    <tableColumn id="8" xr3:uid="{00000000-0010-0000-CB00-000008000000}" name="AB" dataDxfId="3214"/>
    <tableColumn id="9" xr3:uid="{00000000-0010-0000-CB00-000009000000}" name="R" dataDxfId="3213"/>
    <tableColumn id="10" xr3:uid="{00000000-0010-0000-CB00-00000A000000}" name="H" dataDxfId="3212"/>
    <tableColumn id="11" xr3:uid="{00000000-0010-0000-CB00-00000B000000}" name="2B" dataDxfId="3211"/>
    <tableColumn id="12" xr3:uid="{00000000-0010-0000-CB00-00000C000000}" name="3B" dataDxfId="3210"/>
    <tableColumn id="13" xr3:uid="{00000000-0010-0000-CB00-00000D000000}" name="HR" dataDxfId="3209"/>
    <tableColumn id="14" xr3:uid="{00000000-0010-0000-CB00-00000E000000}" name="RBI" dataDxfId="3208"/>
    <tableColumn id="15" xr3:uid="{00000000-0010-0000-CB00-00000F000000}" name="BB" dataDxfId="3207"/>
    <tableColumn id="16" xr3:uid="{00000000-0010-0000-CB00-000010000000}" name="K" dataDxfId="3206"/>
    <tableColumn id="17" xr3:uid="{00000000-0010-0000-CB00-000011000000}" name="SB" dataDxfId="3205"/>
    <tableColumn id="18" xr3:uid="{00000000-0010-0000-CB00-000012000000}" name="HS" dataDxfId="3204"/>
    <tableColumn id="19" xr3:uid="{00000000-0010-0000-CB00-000013000000}" name="LS" dataDxfId="3203"/>
    <tableColumn id="20" xr3:uid="{00000000-0010-0000-CB00-000014000000}" name="TB" dataDxfId="3202">
      <calculatedColumnFormula>IFERROR((PHI_H265[[#This Row],[H]]-PHI_H265[[#This Row],[2B]]-PHI_H265[[#This Row],[3B]]-PHI_H265[[#This Row],[HR]])+(PHI_H265[[#This Row],[2B]]*2)+(PHI_H265[[#This Row],[3B]]*3)+(PHI_H265[[#This Row],[HR]]*4),0)</calculatedColumnFormula>
    </tableColumn>
    <tableColumn id="21" xr3:uid="{00000000-0010-0000-CB00-000015000000}" name="OPS" dataDxfId="3201">
      <calculatedColumnFormula>PHI_H265[[#This Row],[OBP]]+PHI_H265[[#This Row],[SLG]]</calculatedColumnFormula>
    </tableColumn>
    <tableColumn id="22" xr3:uid="{00000000-0010-0000-CB00-000016000000}" name="*" dataDxfId="3200"/>
    <tableColumn id="23" xr3:uid="{00000000-0010-0000-CB00-000017000000}" name="#" dataDxfId="3199"/>
  </tableColumns>
  <tableStyleInfo name="TableStyleMedium7" showFirstColumn="0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00000000-000C-0000-FFFF-FFFFCC000000}" name="PHI_P270" displayName="PHI_P270" ref="A176:S186" totalsRowShown="0" headerRowDxfId="3198" dataDxfId="3196" headerRowBorderDxfId="3197">
  <autoFilter ref="A176:S186" xr:uid="{00000000-0009-0000-0100-00000D010000}"/>
  <sortState xmlns:xlrd2="http://schemas.microsoft.com/office/spreadsheetml/2017/richdata2" ref="A177:S186">
    <sortCondition ref="S176:S186"/>
  </sortState>
  <tableColumns count="19">
    <tableColumn id="1" xr3:uid="{00000000-0010-0000-CC00-000001000000}" name="TM" dataDxfId="3195"/>
    <tableColumn id="2" xr3:uid="{00000000-0010-0000-CC00-000002000000}" name="@" dataDxfId="3194"/>
    <tableColumn id="3" xr3:uid="{00000000-0010-0000-CC00-000003000000}" name="NAME" dataDxfId="3193"/>
    <tableColumn id="4" xr3:uid="{00000000-0010-0000-CC00-000004000000}" name="ERA" dataDxfId="3192">
      <calculatedColumnFormula>IFERROR((PHI_P270[[#This Row],[R]]*9)/PHI_P270[[#This Row],[IP]],0)</calculatedColumnFormula>
    </tableColumn>
    <tableColumn id="5" xr3:uid="{00000000-0010-0000-CC00-000005000000}" name="W" dataDxfId="3191"/>
    <tableColumn id="6" xr3:uid="{00000000-0010-0000-CC00-000006000000}" name="L" dataDxfId="3190"/>
    <tableColumn id="7" xr3:uid="{00000000-0010-0000-CC00-000007000000}" name="G" dataDxfId="3189"/>
    <tableColumn id="8" xr3:uid="{00000000-0010-0000-CC00-000008000000}" name="IP" dataDxfId="3188"/>
    <tableColumn id="9" xr3:uid="{00000000-0010-0000-CC00-000009000000}" name="H" dataDxfId="3187"/>
    <tableColumn id="10" xr3:uid="{00000000-0010-0000-CC00-00000A000000}" name="R" dataDxfId="3186"/>
    <tableColumn id="11" xr3:uid="{00000000-0010-0000-CC00-00000B000000}" name="BB" dataDxfId="3185"/>
    <tableColumn id="12" xr3:uid="{00000000-0010-0000-CC00-00000C000000}" name="K" dataDxfId="3184"/>
    <tableColumn id="13" xr3:uid="{00000000-0010-0000-CC00-00000D000000}" name="SV" dataDxfId="3183"/>
    <tableColumn id="14" xr3:uid="{00000000-0010-0000-CC00-00000E000000}" name="WH" dataDxfId="3182">
      <calculatedColumnFormula>IFERROR((PHI_P270[[#This Row],[BB]]+PHI_P270[[#This Row],[H]])/PHI_P270[[#This Row],[IP]],0)</calculatedColumnFormula>
    </tableColumn>
    <tableColumn id="15" xr3:uid="{00000000-0010-0000-CC00-00000F000000}" name="QS" dataDxfId="3181"/>
    <tableColumn id="16" xr3:uid="{00000000-0010-0000-CC00-000010000000}" name="UQ" dataDxfId="3180"/>
    <tableColumn id="17" xr3:uid="{00000000-0010-0000-CC00-000011000000}" name="CG" dataDxfId="3179"/>
    <tableColumn id="18" xr3:uid="{00000000-0010-0000-CC00-000012000000}" name="SH" dataDxfId="3178"/>
    <tableColumn id="19" xr3:uid="{00000000-0010-0000-CC00-000013000000}" name="#" dataDxfId="3177"/>
  </tableColumns>
  <tableStyleInfo name="TableStyleMedium7" showFirstColumn="0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CD000000}" name="STL_H" displayName="STL_H" ref="A3:W17" totalsRowShown="0" headerRowDxfId="3176" dataDxfId="3174" headerRowBorderDxfId="3175">
  <autoFilter ref="A3:W17" xr:uid="{00000000-0009-0000-0100-00004D000000}"/>
  <sortState xmlns:xlrd2="http://schemas.microsoft.com/office/spreadsheetml/2017/richdata2" ref="A4:W17">
    <sortCondition descending="1" ref="T3:T17"/>
  </sortState>
  <tableColumns count="23">
    <tableColumn id="1" xr3:uid="{00000000-0010-0000-CD00-000001000000}" name="TM" dataDxfId="3173"/>
    <tableColumn id="2" xr3:uid="{00000000-0010-0000-CD00-000002000000}" name="@" dataDxfId="3172"/>
    <tableColumn id="3" xr3:uid="{00000000-0010-0000-CD00-000003000000}" name="NAME" dataDxfId="3171"/>
    <tableColumn id="4" xr3:uid="{00000000-0010-0000-CD00-000004000000}" name="BA" dataDxfId="3170">
      <calculatedColumnFormula>IFERROR(STL_H[[#This Row],[H]]/STL_H[[#This Row],[AB]],0)</calculatedColumnFormula>
    </tableColumn>
    <tableColumn id="5" xr3:uid="{00000000-0010-0000-CD00-000005000000}" name="OBP" dataDxfId="3169">
      <calculatedColumnFormula>IFERROR((STL_H[[#This Row],[H]]+STL_H[[#This Row],[BB]])/(STL_H[[#This Row],[AB]]+STL_H[[#This Row],[BB]]),0)</calculatedColumnFormula>
    </tableColumn>
    <tableColumn id="6" xr3:uid="{00000000-0010-0000-CD00-000006000000}" name="SLG" dataDxfId="3168">
      <calculatedColumnFormula>IFERROR(((STL_H[[#This Row],[H]]-STL_H[[#This Row],[2B]]-STL_H[[#This Row],[3B]]-STL_H[[#This Row],[HR]])+(STL_H[[#This Row],[2B]]*2)+(STL_H[[#This Row],[3B]]*3)+(STL_H[[#This Row],[HR]]*4))/STL_H[[#This Row],[AB]],0)</calculatedColumnFormula>
    </tableColumn>
    <tableColumn id="7" xr3:uid="{00000000-0010-0000-CD00-000007000000}" name="G" dataDxfId="3167"/>
    <tableColumn id="8" xr3:uid="{00000000-0010-0000-CD00-000008000000}" name="AB" dataDxfId="3166"/>
    <tableColumn id="9" xr3:uid="{00000000-0010-0000-CD00-000009000000}" name="R" dataDxfId="3165"/>
    <tableColumn id="10" xr3:uid="{00000000-0010-0000-CD00-00000A000000}" name="H" dataDxfId="3164"/>
    <tableColumn id="11" xr3:uid="{00000000-0010-0000-CD00-00000B000000}" name="2B" dataDxfId="3163"/>
    <tableColumn id="12" xr3:uid="{00000000-0010-0000-CD00-00000C000000}" name="3B" dataDxfId="3162"/>
    <tableColumn id="13" xr3:uid="{00000000-0010-0000-CD00-00000D000000}" name="HR" dataDxfId="3161"/>
    <tableColumn id="14" xr3:uid="{00000000-0010-0000-CD00-00000E000000}" name="RBI" dataDxfId="3160"/>
    <tableColumn id="15" xr3:uid="{00000000-0010-0000-CD00-00000F000000}" name="BB" dataDxfId="3159"/>
    <tableColumn id="16" xr3:uid="{00000000-0010-0000-CD00-000010000000}" name="K" dataDxfId="3158"/>
    <tableColumn id="17" xr3:uid="{00000000-0010-0000-CD00-000011000000}" name="SB" dataDxfId="3157"/>
    <tableColumn id="18" xr3:uid="{00000000-0010-0000-CD00-000012000000}" name="HS" dataDxfId="3156"/>
    <tableColumn id="19" xr3:uid="{00000000-0010-0000-CD00-000013000000}" name="LS" dataDxfId="3155"/>
    <tableColumn id="20" xr3:uid="{00000000-0010-0000-CD00-000014000000}" name="TB" dataDxfId="3154">
      <calculatedColumnFormula>IFERROR((STL_H[[#This Row],[H]]-STL_H[[#This Row],[2B]]-STL_H[[#This Row],[3B]]-STL_H[[#This Row],[HR]])+(STL_H[[#This Row],[2B]]*2)+(STL_H[[#This Row],[3B]]*3)+(STL_H[[#This Row],[HR]]*4),0)</calculatedColumnFormula>
    </tableColumn>
    <tableColumn id="21" xr3:uid="{00000000-0010-0000-CD00-000015000000}" name="OPS" dataDxfId="3153">
      <calculatedColumnFormula>STL_H[[#This Row],[OBP]]+STL_H[[#This Row],[SLG]]</calculatedColumnFormula>
    </tableColumn>
    <tableColumn id="22" xr3:uid="{00000000-0010-0000-CD00-000016000000}" name="*" dataDxfId="3152"/>
    <tableColumn id="23" xr3:uid="{00000000-0010-0000-CD00-000017000000}" name="#" dataDxfId="3151"/>
  </tableColumns>
  <tableStyleInfo name="TableStyleMedium3" showFirstColumn="0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CE000000}" name="STL_P" displayName="STL_P" ref="A20:S30" totalsRowShown="0" headerRowDxfId="3150" dataDxfId="3148" headerRowBorderDxfId="3149">
  <autoFilter ref="A20:S30" xr:uid="{00000000-0009-0000-0100-00004E000000}"/>
  <sortState xmlns:xlrd2="http://schemas.microsoft.com/office/spreadsheetml/2017/richdata2" ref="A21:S30">
    <sortCondition ref="S20:S30"/>
  </sortState>
  <tableColumns count="19">
    <tableColumn id="1" xr3:uid="{00000000-0010-0000-CE00-000001000000}" name="TM" dataDxfId="3147"/>
    <tableColumn id="2" xr3:uid="{00000000-0010-0000-CE00-000002000000}" name="@" dataDxfId="3146"/>
    <tableColumn id="3" xr3:uid="{00000000-0010-0000-CE00-000003000000}" name="NAME" dataDxfId="3145"/>
    <tableColumn id="4" xr3:uid="{00000000-0010-0000-CE00-000004000000}" name="ERA" dataDxfId="3144">
      <calculatedColumnFormula>IFERROR((STL_P[[#This Row],[R]]*9)/STL_P[[#This Row],[IP]],0)</calculatedColumnFormula>
    </tableColumn>
    <tableColumn id="5" xr3:uid="{00000000-0010-0000-CE00-000005000000}" name="W" dataDxfId="3143"/>
    <tableColumn id="6" xr3:uid="{00000000-0010-0000-CE00-000006000000}" name="L" dataDxfId="3142"/>
    <tableColumn id="7" xr3:uid="{00000000-0010-0000-CE00-000007000000}" name="G" dataDxfId="3141"/>
    <tableColumn id="8" xr3:uid="{00000000-0010-0000-CE00-000008000000}" name="IP" dataDxfId="3140"/>
    <tableColumn id="9" xr3:uid="{00000000-0010-0000-CE00-000009000000}" name="H" dataDxfId="3139"/>
    <tableColumn id="10" xr3:uid="{00000000-0010-0000-CE00-00000A000000}" name="R" dataDxfId="3138"/>
    <tableColumn id="11" xr3:uid="{00000000-0010-0000-CE00-00000B000000}" name="BB" dataDxfId="3137"/>
    <tableColumn id="12" xr3:uid="{00000000-0010-0000-CE00-00000C000000}" name="K" dataDxfId="3136"/>
    <tableColumn id="13" xr3:uid="{00000000-0010-0000-CE00-00000D000000}" name="SV" dataDxfId="3135"/>
    <tableColumn id="14" xr3:uid="{00000000-0010-0000-CE00-00000E000000}" name="WH" dataDxfId="3134">
      <calculatedColumnFormula>IFERROR((STL_P[[#This Row],[BB]]+STL_P[[#This Row],[H]])/STL_P[[#This Row],[IP]],0)</calculatedColumnFormula>
    </tableColumn>
    <tableColumn id="15" xr3:uid="{00000000-0010-0000-CE00-00000F000000}" name="QS" dataDxfId="3133"/>
    <tableColumn id="16" xr3:uid="{00000000-0010-0000-CE00-000010000000}" name="UQ" dataDxfId="3132"/>
    <tableColumn id="17" xr3:uid="{00000000-0010-0000-CE00-000011000000}" name="CG" dataDxfId="3131"/>
    <tableColumn id="18" xr3:uid="{00000000-0010-0000-CE00-000012000000}" name="SH" dataDxfId="3130"/>
    <tableColumn id="19" xr3:uid="{00000000-0010-0000-CE00-000013000000}" name="#" dataDxfId="3129"/>
  </tableColumns>
  <tableStyleInfo name="TableStyleMedium3" showFirstColumn="0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CF000000}" name="CHC_C" displayName="CHC_C" ref="A34:W48" totalsRowShown="0" headerRowDxfId="3128" dataDxfId="3126" headerRowBorderDxfId="3127">
  <autoFilter ref="A34:W48" xr:uid="{00000000-0009-0000-0100-00004F000000}"/>
  <sortState xmlns:xlrd2="http://schemas.microsoft.com/office/spreadsheetml/2017/richdata2" ref="A35:W48">
    <sortCondition descending="1" ref="T34:T48"/>
  </sortState>
  <tableColumns count="23">
    <tableColumn id="1" xr3:uid="{00000000-0010-0000-CF00-000001000000}" name="TM" dataDxfId="3125"/>
    <tableColumn id="2" xr3:uid="{00000000-0010-0000-CF00-000002000000}" name="@" dataDxfId="3124"/>
    <tableColumn id="3" xr3:uid="{00000000-0010-0000-CF00-000003000000}" name="NAME" dataDxfId="3123"/>
    <tableColumn id="4" xr3:uid="{00000000-0010-0000-CF00-000004000000}" name="BA" dataDxfId="3122">
      <calculatedColumnFormula>IFERROR(CHC_C[[#This Row],[H]]/CHC_C[[#This Row],[AB]],0)</calculatedColumnFormula>
    </tableColumn>
    <tableColumn id="5" xr3:uid="{00000000-0010-0000-CF00-000005000000}" name="OBP" dataDxfId="3121">
      <calculatedColumnFormula>IFERROR((CHC_C[[#This Row],[H]]+CHC_C[[#This Row],[BB]])/(CHC_C[[#This Row],[BB]]+CHC_C[[#This Row],[AB]]),0)</calculatedColumnFormula>
    </tableColumn>
    <tableColumn id="6" xr3:uid="{00000000-0010-0000-CF00-000006000000}" name="SLG" dataDxfId="3120">
      <calculatedColumnFormula>IFERROR(((CHC_C[[#This Row],[H]]-CHC_C[[#This Row],[2B]]-CHC_C[[#This Row],[3B]]-CHC_C[[#This Row],[HR]])+(CHC_C[[#This Row],[2B]]*2)+(CHC_C[[#This Row],[3B]]*3)+(CHC_C[[#This Row],[HR]]*4))/CHC_C[[#This Row],[AB]],0)</calculatedColumnFormula>
    </tableColumn>
    <tableColumn id="7" xr3:uid="{00000000-0010-0000-CF00-000007000000}" name="G" dataDxfId="3119"/>
    <tableColumn id="8" xr3:uid="{00000000-0010-0000-CF00-000008000000}" name="AB" dataDxfId="3118"/>
    <tableColumn id="9" xr3:uid="{00000000-0010-0000-CF00-000009000000}" name="R" dataDxfId="3117"/>
    <tableColumn id="10" xr3:uid="{00000000-0010-0000-CF00-00000A000000}" name="H" dataDxfId="3116"/>
    <tableColumn id="11" xr3:uid="{00000000-0010-0000-CF00-00000B000000}" name="2B" dataDxfId="3115"/>
    <tableColumn id="12" xr3:uid="{00000000-0010-0000-CF00-00000C000000}" name="3B" dataDxfId="3114"/>
    <tableColumn id="13" xr3:uid="{00000000-0010-0000-CF00-00000D000000}" name="HR" dataDxfId="3113"/>
    <tableColumn id="14" xr3:uid="{00000000-0010-0000-CF00-00000E000000}" name="RBI" dataDxfId="3112"/>
    <tableColumn id="15" xr3:uid="{00000000-0010-0000-CF00-00000F000000}" name="BB" dataDxfId="3111"/>
    <tableColumn id="16" xr3:uid="{00000000-0010-0000-CF00-000010000000}" name="K" dataDxfId="3110"/>
    <tableColumn id="17" xr3:uid="{00000000-0010-0000-CF00-000011000000}" name="SB" dataDxfId="3109"/>
    <tableColumn id="18" xr3:uid="{00000000-0010-0000-CF00-000012000000}" name="HS" dataDxfId="3108"/>
    <tableColumn id="19" xr3:uid="{00000000-0010-0000-CF00-000013000000}" name="LS" dataDxfId="3107"/>
    <tableColumn id="20" xr3:uid="{00000000-0010-0000-CF00-000014000000}" name="TB" dataDxfId="3106">
      <calculatedColumnFormula>IFERROR((CHC_C[[#This Row],[H]]-CHC_C[[#This Row],[2B]]-CHC_C[[#This Row],[3B]]-CHC_C[[#This Row],[HR]])+(CHC_C[[#This Row],[2B]]*2)+(CHC_C[[#This Row],[3B]]*3)+(CHC_C[[#This Row],[HR]]*4),0)</calculatedColumnFormula>
    </tableColumn>
    <tableColumn id="21" xr3:uid="{00000000-0010-0000-CF00-000015000000}" name="OPS" dataDxfId="3105">
      <calculatedColumnFormula>CHC_C[[#This Row],[OBP]]+CHC_C[[#This Row],[SLG]]</calculatedColumnFormula>
    </tableColumn>
    <tableColumn id="22" xr3:uid="{00000000-0010-0000-CF00-000016000000}" name="*" dataDxfId="3104"/>
    <tableColumn id="23" xr3:uid="{00000000-0010-0000-CF00-000017000000}" name="#" dataDxfId="3103"/>
  </tableColumns>
  <tableStyleInfo name="TableStyleMedium5" showFirstColumn="0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D0000000}" name="CHC_P" displayName="CHC_P" ref="A51:S61" totalsRowShown="0" headerRowDxfId="3102" dataDxfId="3100" headerRowBorderDxfId="3101">
  <autoFilter ref="A51:S61" xr:uid="{00000000-0009-0000-0100-000050000000}"/>
  <sortState xmlns:xlrd2="http://schemas.microsoft.com/office/spreadsheetml/2017/richdata2" ref="A52:S61">
    <sortCondition ref="S51:S61"/>
  </sortState>
  <tableColumns count="19">
    <tableColumn id="1" xr3:uid="{00000000-0010-0000-D000-000001000000}" name="TM" dataDxfId="3099"/>
    <tableColumn id="2" xr3:uid="{00000000-0010-0000-D000-000002000000}" name="@" dataDxfId="3098"/>
    <tableColumn id="3" xr3:uid="{00000000-0010-0000-D000-000003000000}" name="NAME" dataDxfId="3097"/>
    <tableColumn id="4" xr3:uid="{00000000-0010-0000-D000-000004000000}" name="ERA" dataDxfId="3096">
      <calculatedColumnFormula>IFERROR((CHC_P[[#This Row],[R]]*9)/CHC_P[[#This Row],[IP]],0)</calculatedColumnFormula>
    </tableColumn>
    <tableColumn id="5" xr3:uid="{00000000-0010-0000-D000-000005000000}" name="W" dataDxfId="3095"/>
    <tableColumn id="6" xr3:uid="{00000000-0010-0000-D000-000006000000}" name="L" dataDxfId="3094"/>
    <tableColumn id="7" xr3:uid="{00000000-0010-0000-D000-000007000000}" name="G" dataDxfId="3093"/>
    <tableColumn id="8" xr3:uid="{00000000-0010-0000-D000-000008000000}" name="IP" dataDxfId="3092"/>
    <tableColumn id="9" xr3:uid="{00000000-0010-0000-D000-000009000000}" name="H" dataDxfId="3091"/>
    <tableColumn id="10" xr3:uid="{00000000-0010-0000-D000-00000A000000}" name="R" dataDxfId="3090"/>
    <tableColumn id="11" xr3:uid="{00000000-0010-0000-D000-00000B000000}" name="BB" dataDxfId="3089"/>
    <tableColumn id="12" xr3:uid="{00000000-0010-0000-D000-00000C000000}" name="K" dataDxfId="3088"/>
    <tableColumn id="13" xr3:uid="{00000000-0010-0000-D000-00000D000000}" name="SV" dataDxfId="3087"/>
    <tableColumn id="14" xr3:uid="{00000000-0010-0000-D000-00000E000000}" name="WH" dataDxfId="3086">
      <calculatedColumnFormula>IFERROR((CHC_P[[#This Row],[BB]]+CHC_P[[#This Row],[H]])/CHC_P[[#This Row],[IP]],0)</calculatedColumnFormula>
    </tableColumn>
    <tableColumn id="15" xr3:uid="{00000000-0010-0000-D000-00000F000000}" name="QS" dataDxfId="3085"/>
    <tableColumn id="16" xr3:uid="{00000000-0010-0000-D000-000010000000}" name="UQ" dataDxfId="3084"/>
    <tableColumn id="17" xr3:uid="{00000000-0010-0000-D000-000011000000}" name="CG" dataDxfId="3083"/>
    <tableColumn id="18" xr3:uid="{00000000-0010-0000-D000-000012000000}" name="SH" dataDxfId="3082"/>
    <tableColumn id="19" xr3:uid="{00000000-0010-0000-D000-000013000000}" name="#" dataDxfId="3081"/>
  </tableColumns>
  <tableStyleInfo name="TableStyleMedium5" showFirstColumn="0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D1000000}" name="CIN_H" displayName="CIN_H" ref="A65:W79" totalsRowShown="0" headerRowDxfId="3080" dataDxfId="3078" headerRowBorderDxfId="3079">
  <autoFilter ref="A65:W79" xr:uid="{00000000-0009-0000-0100-000051000000}"/>
  <sortState xmlns:xlrd2="http://schemas.microsoft.com/office/spreadsheetml/2017/richdata2" ref="A66:W79">
    <sortCondition ref="W65:W79"/>
  </sortState>
  <tableColumns count="23">
    <tableColumn id="1" xr3:uid="{00000000-0010-0000-D100-000001000000}" name="TM" dataDxfId="3077"/>
    <tableColumn id="2" xr3:uid="{00000000-0010-0000-D100-000002000000}" name="@" dataDxfId="3076"/>
    <tableColumn id="3" xr3:uid="{00000000-0010-0000-D100-000003000000}" name="NAME" dataDxfId="3075"/>
    <tableColumn id="4" xr3:uid="{00000000-0010-0000-D100-000004000000}" name="BA" dataDxfId="3074">
      <calculatedColumnFormula>IFERROR(CIN_H[[#This Row],[H]]/CIN_H[[#This Row],[AB]],0)</calculatedColumnFormula>
    </tableColumn>
    <tableColumn id="5" xr3:uid="{00000000-0010-0000-D100-000005000000}" name="OBP" dataDxfId="3073">
      <calculatedColumnFormula>IFERROR((CIN_H[[#This Row],[H]]+CIN_H[[#This Row],[BB]])/(CIN_H[[#This Row],[BB]]+CIN_H[[#This Row],[AB]]),0)</calculatedColumnFormula>
    </tableColumn>
    <tableColumn id="6" xr3:uid="{00000000-0010-0000-D100-000006000000}" name="SLG" dataDxfId="3072">
      <calculatedColumnFormula>IFERROR(((CIN_H[[#This Row],[H]]-CIN_H[[#This Row],[2B]]-CIN_H[[#This Row],[3B]]-CIN_H[[#This Row],[HR]])+(CIN_H[[#This Row],[2B]]*2)+(CIN_H[[#This Row],[3B]]*3)+(CIN_H[[#This Row],[HR]]*4))/CIN_H[[#This Row],[AB]],0)</calculatedColumnFormula>
    </tableColumn>
    <tableColumn id="7" xr3:uid="{00000000-0010-0000-D100-000007000000}" name="G" dataDxfId="3071"/>
    <tableColumn id="8" xr3:uid="{00000000-0010-0000-D100-000008000000}" name="AB" dataDxfId="3070"/>
    <tableColumn id="9" xr3:uid="{00000000-0010-0000-D100-000009000000}" name="R" dataDxfId="3069"/>
    <tableColumn id="10" xr3:uid="{00000000-0010-0000-D100-00000A000000}" name="H" dataDxfId="3068"/>
    <tableColumn id="11" xr3:uid="{00000000-0010-0000-D100-00000B000000}" name="2B" dataDxfId="3067"/>
    <tableColumn id="12" xr3:uid="{00000000-0010-0000-D100-00000C000000}" name="3B" dataDxfId="3066"/>
    <tableColumn id="13" xr3:uid="{00000000-0010-0000-D100-00000D000000}" name="HR" dataDxfId="3065"/>
    <tableColumn id="14" xr3:uid="{00000000-0010-0000-D100-00000E000000}" name="RBI" dataDxfId="3064"/>
    <tableColumn id="15" xr3:uid="{00000000-0010-0000-D100-00000F000000}" name="BB" dataDxfId="3063"/>
    <tableColumn id="16" xr3:uid="{00000000-0010-0000-D100-000010000000}" name="K" dataDxfId="3062"/>
    <tableColumn id="17" xr3:uid="{00000000-0010-0000-D100-000011000000}" name="SB" dataDxfId="3061"/>
    <tableColumn id="18" xr3:uid="{00000000-0010-0000-D100-000012000000}" name="HS" dataDxfId="3060"/>
    <tableColumn id="19" xr3:uid="{00000000-0010-0000-D100-000013000000}" name="LS" dataDxfId="3059"/>
    <tableColumn id="20" xr3:uid="{00000000-0010-0000-D100-000014000000}" name="TB" dataDxfId="3058">
      <calculatedColumnFormula>IFERROR((CIN_H[[#This Row],[H]]-CIN_H[[#This Row],[2B]]-CIN_H[[#This Row],[3B]]-CIN_H[[#This Row],[HR]])+(CIN_H[[#This Row],[2B]]*2)+(CIN_H[[#This Row],[3B]]*3)+(CIN_H[[#This Row],[HR]]*4),0)</calculatedColumnFormula>
    </tableColumn>
    <tableColumn id="21" xr3:uid="{00000000-0010-0000-D100-000015000000}" name="OPS" dataDxfId="3057">
      <calculatedColumnFormula>CIN_H[[#This Row],[OBP]]+CIN_H[[#This Row],[SLG]]</calculatedColumnFormula>
    </tableColumn>
    <tableColumn id="22" xr3:uid="{00000000-0010-0000-D100-000016000000}" name="*" dataDxfId="3056"/>
    <tableColumn id="23" xr3:uid="{00000000-0010-0000-D100-000017000000}" name="#" dataDxfId="3055"/>
  </tableColumns>
  <tableStyleInfo name="TableStyleMedium3" showFirstColumn="0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D2000000}" name="CIN_P" displayName="CIN_P" ref="A82:S92" totalsRowShown="0" headerRowDxfId="3054" dataDxfId="3052" headerRowBorderDxfId="3053">
  <autoFilter ref="A82:S92" xr:uid="{00000000-0009-0000-0100-000052000000}"/>
  <sortState xmlns:xlrd2="http://schemas.microsoft.com/office/spreadsheetml/2017/richdata2" ref="A83:S92">
    <sortCondition ref="S82:S92"/>
  </sortState>
  <tableColumns count="19">
    <tableColumn id="1" xr3:uid="{00000000-0010-0000-D200-000001000000}" name="TM" dataDxfId="3051"/>
    <tableColumn id="2" xr3:uid="{00000000-0010-0000-D200-000002000000}" name="@" dataDxfId="3050"/>
    <tableColumn id="3" xr3:uid="{00000000-0010-0000-D200-000003000000}" name="NAME" dataDxfId="3049"/>
    <tableColumn id="4" xr3:uid="{00000000-0010-0000-D200-000004000000}" name="ERA" dataDxfId="3048">
      <calculatedColumnFormula>IFERROR((CIN_P[[#This Row],[R]]*9)/CIN_P[[#This Row],[IP]],0)</calculatedColumnFormula>
    </tableColumn>
    <tableColumn id="5" xr3:uid="{00000000-0010-0000-D200-000005000000}" name="W" dataDxfId="3047"/>
    <tableColumn id="6" xr3:uid="{00000000-0010-0000-D200-000006000000}" name="L" dataDxfId="3046"/>
    <tableColumn id="7" xr3:uid="{00000000-0010-0000-D200-000007000000}" name="G" dataDxfId="3045"/>
    <tableColumn id="8" xr3:uid="{00000000-0010-0000-D200-000008000000}" name="IP" dataDxfId="3044"/>
    <tableColumn id="9" xr3:uid="{00000000-0010-0000-D200-000009000000}" name="H" dataDxfId="3043"/>
    <tableColumn id="10" xr3:uid="{00000000-0010-0000-D200-00000A000000}" name="R" dataDxfId="3042"/>
    <tableColumn id="11" xr3:uid="{00000000-0010-0000-D200-00000B000000}" name="BB" dataDxfId="3041"/>
    <tableColumn id="12" xr3:uid="{00000000-0010-0000-D200-00000C000000}" name="K" dataDxfId="3040"/>
    <tableColumn id="13" xr3:uid="{00000000-0010-0000-D200-00000D000000}" name="SV" dataDxfId="3039"/>
    <tableColumn id="14" xr3:uid="{00000000-0010-0000-D200-00000E000000}" name="WH" dataDxfId="3038">
      <calculatedColumnFormula>IFERROR((CIN_P[[#This Row],[BB]]+CIN_P[[#This Row],[H]])/CIN_P[[#This Row],[IP]],0)</calculatedColumnFormula>
    </tableColumn>
    <tableColumn id="15" xr3:uid="{00000000-0010-0000-D200-00000F000000}" name="QS" dataDxfId="3037"/>
    <tableColumn id="16" xr3:uid="{00000000-0010-0000-D200-000010000000}" name="UQ" dataDxfId="3036"/>
    <tableColumn id="17" xr3:uid="{00000000-0010-0000-D200-000011000000}" name="CG" dataDxfId="3035"/>
    <tableColumn id="18" xr3:uid="{00000000-0010-0000-D200-000012000000}" name="SH" dataDxfId="3034"/>
    <tableColumn id="19" xr3:uid="{00000000-0010-0000-D200-000013000000}" name="#" dataDxfId="3033"/>
  </tableColumns>
  <tableStyleInfo name="TableStyleMedium3" showFirstColumn="0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D3000000}" name="MIL_H" displayName="MIL_H" ref="A96:W110" totalsRowShown="0" headerRowDxfId="3032" dataDxfId="3030" headerRowBorderDxfId="3031">
  <autoFilter ref="A96:W110" xr:uid="{00000000-0009-0000-0100-000053000000}"/>
  <sortState xmlns:xlrd2="http://schemas.microsoft.com/office/spreadsheetml/2017/richdata2" ref="A97:W110">
    <sortCondition ref="W96:W110"/>
  </sortState>
  <tableColumns count="23">
    <tableColumn id="1" xr3:uid="{00000000-0010-0000-D300-000001000000}" name="TM" dataDxfId="3029"/>
    <tableColumn id="2" xr3:uid="{00000000-0010-0000-D300-000002000000}" name="@" dataDxfId="3028"/>
    <tableColumn id="3" xr3:uid="{00000000-0010-0000-D300-000003000000}" name="NAME" dataDxfId="3027"/>
    <tableColumn id="4" xr3:uid="{00000000-0010-0000-D300-000004000000}" name="BA" dataDxfId="3026">
      <calculatedColumnFormula>IFERROR(MIL_H[[#This Row],[H]]/MIL_H[[#This Row],[AB]],0)</calculatedColumnFormula>
    </tableColumn>
    <tableColumn id="5" xr3:uid="{00000000-0010-0000-D300-000005000000}" name="OBP" dataDxfId="3025">
      <calculatedColumnFormula>IFERROR((MIL_H[[#This Row],[H]]+MIL_H[[#This Row],[BB]])/(MIL_H[[#This Row],[BB]]+MIL_H[[#This Row],[AB]]),0)</calculatedColumnFormula>
    </tableColumn>
    <tableColumn id="6" xr3:uid="{00000000-0010-0000-D300-000006000000}" name="SLG" dataDxfId="3024">
      <calculatedColumnFormula>IFERROR(((MIL_H[[#This Row],[H]]-MIL_H[[#This Row],[2B]]-MIL_H[[#This Row],[3B]]-MIL_H[[#This Row],[HR]])+(MIL_H[[#This Row],[2B]]*2)+(MIL_H[[#This Row],[3B]]*3)+(MIL_H[[#This Row],[HR]]*4))/MIL_H[[#This Row],[AB]],0)</calculatedColumnFormula>
    </tableColumn>
    <tableColumn id="7" xr3:uid="{00000000-0010-0000-D300-000007000000}" name="G" dataDxfId="3023"/>
    <tableColumn id="8" xr3:uid="{00000000-0010-0000-D300-000008000000}" name="AB" dataDxfId="3022"/>
    <tableColumn id="9" xr3:uid="{00000000-0010-0000-D300-000009000000}" name="R" dataDxfId="3021"/>
    <tableColumn id="10" xr3:uid="{00000000-0010-0000-D300-00000A000000}" name="H" dataDxfId="3020"/>
    <tableColumn id="11" xr3:uid="{00000000-0010-0000-D300-00000B000000}" name="2B" dataDxfId="3019"/>
    <tableColumn id="12" xr3:uid="{00000000-0010-0000-D300-00000C000000}" name="3B" dataDxfId="3018"/>
    <tableColumn id="13" xr3:uid="{00000000-0010-0000-D300-00000D000000}" name="HR" dataDxfId="3017"/>
    <tableColumn id="14" xr3:uid="{00000000-0010-0000-D300-00000E000000}" name="RBI" dataDxfId="3016"/>
    <tableColumn id="15" xr3:uid="{00000000-0010-0000-D300-00000F000000}" name="BB" dataDxfId="3015"/>
    <tableColumn id="16" xr3:uid="{00000000-0010-0000-D300-000010000000}" name="K" dataDxfId="3014"/>
    <tableColumn id="17" xr3:uid="{00000000-0010-0000-D300-000011000000}" name="SB" dataDxfId="3013"/>
    <tableColumn id="18" xr3:uid="{00000000-0010-0000-D300-000012000000}" name="HS" dataDxfId="3012"/>
    <tableColumn id="19" xr3:uid="{00000000-0010-0000-D300-000013000000}" name="LS" dataDxfId="3011"/>
    <tableColumn id="20" xr3:uid="{00000000-0010-0000-D300-000014000000}" name="TB" dataDxfId="3010">
      <calculatedColumnFormula>IFERROR((MIL_H[[#This Row],[H]]-MIL_H[[#This Row],[2B]]-MIL_H[[#This Row],[3B]]-MIL_H[[#This Row],[HR]])+(MIL_H[[#This Row],[2B]]*2)+(MIL_H[[#This Row],[3B]]*3)+(MIL_H[[#This Row],[HR]]*4),0)</calculatedColumnFormula>
    </tableColumn>
    <tableColumn id="21" xr3:uid="{00000000-0010-0000-D300-000015000000}" name="OPS" dataDxfId="3009">
      <calculatedColumnFormula>MIL_H[[#This Row],[OBP]]+MIL_H[[#This Row],[SLG]]</calculatedColumnFormula>
    </tableColumn>
    <tableColumn id="22" xr3:uid="{00000000-0010-0000-D300-000016000000}" name="*" dataDxfId="3008"/>
    <tableColumn id="23" xr3:uid="{00000000-0010-0000-D300-000017000000}" name="#" dataDxfId="3007"/>
  </tableColumns>
  <tableStyleInfo name="TableStyleMedium5" showFirstColumn="0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D4000000}" name="MIL_P" displayName="MIL_P" ref="A113:S123" totalsRowShown="0" headerRowDxfId="3006" dataDxfId="3004" headerRowBorderDxfId="3005">
  <autoFilter ref="A113:S123" xr:uid="{00000000-0009-0000-0100-000054000000}"/>
  <sortState xmlns:xlrd2="http://schemas.microsoft.com/office/spreadsheetml/2017/richdata2" ref="A114:S123">
    <sortCondition ref="S113:S123"/>
  </sortState>
  <tableColumns count="19">
    <tableColumn id="1" xr3:uid="{00000000-0010-0000-D400-000001000000}" name="TM" dataDxfId="3003"/>
    <tableColumn id="2" xr3:uid="{00000000-0010-0000-D400-000002000000}" name="@" dataDxfId="3002"/>
    <tableColumn id="3" xr3:uid="{00000000-0010-0000-D400-000003000000}" name="NAME" dataDxfId="3001"/>
    <tableColumn id="4" xr3:uid="{00000000-0010-0000-D400-000004000000}" name="ERA" dataDxfId="3000">
      <calculatedColumnFormula>IFERROR((MIL_P[[#This Row],[R]]*9)/MIL_P[[#This Row],[IP]],0)</calculatedColumnFormula>
    </tableColumn>
    <tableColumn id="5" xr3:uid="{00000000-0010-0000-D400-000005000000}" name="W" dataDxfId="2999"/>
    <tableColumn id="6" xr3:uid="{00000000-0010-0000-D400-000006000000}" name="L" dataDxfId="2998"/>
    <tableColumn id="7" xr3:uid="{00000000-0010-0000-D400-000007000000}" name="G" dataDxfId="2997"/>
    <tableColumn id="8" xr3:uid="{00000000-0010-0000-D400-000008000000}" name="IP" dataDxfId="2996"/>
    <tableColumn id="9" xr3:uid="{00000000-0010-0000-D400-000009000000}" name="H" dataDxfId="2995"/>
    <tableColumn id="10" xr3:uid="{00000000-0010-0000-D400-00000A000000}" name="R" dataDxfId="2994"/>
    <tableColumn id="11" xr3:uid="{00000000-0010-0000-D400-00000B000000}" name="BB" dataDxfId="2993"/>
    <tableColumn id="12" xr3:uid="{00000000-0010-0000-D400-00000C000000}" name="K" dataDxfId="2992"/>
    <tableColumn id="13" xr3:uid="{00000000-0010-0000-D400-00000D000000}" name="SV" dataDxfId="2991"/>
    <tableColumn id="14" xr3:uid="{00000000-0010-0000-D400-00000E000000}" name="WH" dataDxfId="2990">
      <calculatedColumnFormula>IFERROR((MIL_P[[#This Row],[BB]]+MIL_P[[#This Row],[H]])/MIL_P[[#This Row],[IP]],0)</calculatedColumnFormula>
    </tableColumn>
    <tableColumn id="15" xr3:uid="{00000000-0010-0000-D400-00000F000000}" name="QS" dataDxfId="2989"/>
    <tableColumn id="16" xr3:uid="{00000000-0010-0000-D400-000010000000}" name="UQ" dataDxfId="2988"/>
    <tableColumn id="17" xr3:uid="{00000000-0010-0000-D400-000011000000}" name="CG" dataDxfId="2987"/>
    <tableColumn id="18" xr3:uid="{00000000-0010-0000-D400-000012000000}" name="SH" dataDxfId="2986"/>
    <tableColumn id="19" xr3:uid="{00000000-0010-0000-D400-000013000000}" name="#" dataDxfId="2985"/>
  </tableColumns>
  <tableStyleInfo name="TableStyleMedium5" showFirstColumn="0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D5000000}" name="PIT_H" displayName="PIT_H" ref="A127:W141" totalsRowShown="0" headerRowDxfId="2984" dataDxfId="2982" headerRowBorderDxfId="2983">
  <autoFilter ref="A127:W141" xr:uid="{00000000-0009-0000-0100-000055000000}"/>
  <sortState xmlns:xlrd2="http://schemas.microsoft.com/office/spreadsheetml/2017/richdata2" ref="A128:W141">
    <sortCondition descending="1" ref="T127:T141"/>
  </sortState>
  <tableColumns count="23">
    <tableColumn id="1" xr3:uid="{00000000-0010-0000-D500-000001000000}" name="TM" dataDxfId="2981"/>
    <tableColumn id="2" xr3:uid="{00000000-0010-0000-D500-000002000000}" name="@" dataDxfId="2980"/>
    <tableColumn id="3" xr3:uid="{00000000-0010-0000-D500-000003000000}" name="NAME" dataDxfId="2979"/>
    <tableColumn id="4" xr3:uid="{00000000-0010-0000-D500-000004000000}" name="BA" dataDxfId="2978">
      <calculatedColumnFormula>IFERROR(PIT_H[[#This Row],[H]]/PIT_H[[#This Row],[AB]],0)</calculatedColumnFormula>
    </tableColumn>
    <tableColumn id="5" xr3:uid="{00000000-0010-0000-D500-000005000000}" name="OBP" dataDxfId="2977">
      <calculatedColumnFormula>IFERROR((PIT_H[[#This Row],[H]]+PIT_H[[#This Row],[BB]])/(PIT_H[[#This Row],[BB]]+PIT_H[[#This Row],[AB]]),0)</calculatedColumnFormula>
    </tableColumn>
    <tableColumn id="6" xr3:uid="{00000000-0010-0000-D500-000006000000}" name="SLG" dataDxfId="2976">
      <calculatedColumnFormula>IFERROR(((PIT_H[[#This Row],[H]]-PIT_H[[#This Row],[2B]]-PIT_H[[#This Row],[3B]]-PIT_H[[#This Row],[HR]])+(PIT_H[[#This Row],[2B]]*2)+(PIT_H[[#This Row],[3B]]*3)+(PIT_H[[#This Row],[HR]]*4))/PIT_H[[#This Row],[AB]],0)</calculatedColumnFormula>
    </tableColumn>
    <tableColumn id="7" xr3:uid="{00000000-0010-0000-D500-000007000000}" name="G" dataDxfId="2975"/>
    <tableColumn id="8" xr3:uid="{00000000-0010-0000-D500-000008000000}" name="AB" dataDxfId="2974"/>
    <tableColumn id="9" xr3:uid="{00000000-0010-0000-D500-000009000000}" name="R" dataDxfId="2973"/>
    <tableColumn id="10" xr3:uid="{00000000-0010-0000-D500-00000A000000}" name="H" dataDxfId="2972"/>
    <tableColumn id="11" xr3:uid="{00000000-0010-0000-D500-00000B000000}" name="2B" dataDxfId="2971"/>
    <tableColumn id="12" xr3:uid="{00000000-0010-0000-D500-00000C000000}" name="3B" dataDxfId="2970"/>
    <tableColumn id="13" xr3:uid="{00000000-0010-0000-D500-00000D000000}" name="HR" dataDxfId="2969"/>
    <tableColumn id="14" xr3:uid="{00000000-0010-0000-D500-00000E000000}" name="RBI" dataDxfId="2968"/>
    <tableColumn id="15" xr3:uid="{00000000-0010-0000-D500-00000F000000}" name="BB" dataDxfId="2967"/>
    <tableColumn id="16" xr3:uid="{00000000-0010-0000-D500-000010000000}" name="K" dataDxfId="2966"/>
    <tableColumn id="17" xr3:uid="{00000000-0010-0000-D500-000011000000}" name="SB" dataDxfId="2965"/>
    <tableColumn id="18" xr3:uid="{00000000-0010-0000-D500-000012000000}" name="HS" dataDxfId="2964"/>
    <tableColumn id="19" xr3:uid="{00000000-0010-0000-D500-000013000000}" name="LS" dataDxfId="2963"/>
    <tableColumn id="20" xr3:uid="{00000000-0010-0000-D500-000014000000}" name="TB" dataDxfId="2962">
      <calculatedColumnFormula>IFERROR((PIT_H[[#This Row],[H]]-PIT_H[[#This Row],[2B]]-PIT_H[[#This Row],[3B]]-PIT_H[[#This Row],[HR]])+(PIT_H[[#This Row],[2B]]*2)+(PIT_H[[#This Row],[3B]]*3)+(PIT_H[[#This Row],[HR]]*4),0)</calculatedColumnFormula>
    </tableColumn>
    <tableColumn id="21" xr3:uid="{00000000-0010-0000-D500-000015000000}" name="OPS" dataDxfId="2961">
      <calculatedColumnFormula>PIT_H[[#This Row],[OBP]]+PIT_H[[#This Row],[SLG]]</calculatedColumnFormula>
    </tableColumn>
    <tableColumn id="22" xr3:uid="{00000000-0010-0000-D500-000016000000}" name="*" dataDxfId="2960"/>
    <tableColumn id="23" xr3:uid="{00000000-0010-0000-D500-000017000000}" name="#" dataDxfId="2959"/>
  </tableColumns>
  <tableStyleInfo name="TableStyleMedium7" showFirstColumn="0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D6000000}" name="PIT_P" displayName="PIT_P" ref="A144:S154" totalsRowShown="0" headerRowDxfId="2958" dataDxfId="2956" headerRowBorderDxfId="2957">
  <autoFilter ref="A144:S154" xr:uid="{00000000-0009-0000-0100-000056000000}"/>
  <sortState xmlns:xlrd2="http://schemas.microsoft.com/office/spreadsheetml/2017/richdata2" ref="A145:S154">
    <sortCondition ref="S144:S154"/>
  </sortState>
  <tableColumns count="19">
    <tableColumn id="1" xr3:uid="{00000000-0010-0000-D600-000001000000}" name="TM" dataDxfId="2955"/>
    <tableColumn id="2" xr3:uid="{00000000-0010-0000-D600-000002000000}" name="@" dataDxfId="2954"/>
    <tableColumn id="3" xr3:uid="{00000000-0010-0000-D600-000003000000}" name="NAME" dataDxfId="2953"/>
    <tableColumn id="4" xr3:uid="{00000000-0010-0000-D600-000004000000}" name="ERA" dataDxfId="2952">
      <calculatedColumnFormula>IFERROR((PIT_P[[#This Row],[R]]*9)/PIT_P[[#This Row],[IP]],0)</calculatedColumnFormula>
    </tableColumn>
    <tableColumn id="5" xr3:uid="{00000000-0010-0000-D600-000005000000}" name="W" dataDxfId="2951"/>
    <tableColumn id="6" xr3:uid="{00000000-0010-0000-D600-000006000000}" name="L" dataDxfId="2950"/>
    <tableColumn id="7" xr3:uid="{00000000-0010-0000-D600-000007000000}" name="G" dataDxfId="2949"/>
    <tableColumn id="8" xr3:uid="{00000000-0010-0000-D600-000008000000}" name="IP" dataDxfId="2948"/>
    <tableColumn id="9" xr3:uid="{00000000-0010-0000-D600-000009000000}" name="H" dataDxfId="2947"/>
    <tableColumn id="10" xr3:uid="{00000000-0010-0000-D600-00000A000000}" name="R" dataDxfId="2946"/>
    <tableColumn id="11" xr3:uid="{00000000-0010-0000-D600-00000B000000}" name="BB" dataDxfId="2945"/>
    <tableColumn id="12" xr3:uid="{00000000-0010-0000-D600-00000C000000}" name="K" dataDxfId="2944"/>
    <tableColumn id="13" xr3:uid="{00000000-0010-0000-D600-00000D000000}" name="SV" dataDxfId="2943"/>
    <tableColumn id="14" xr3:uid="{00000000-0010-0000-D600-00000E000000}" name="WH" dataDxfId="2942">
      <calculatedColumnFormula>IFERROR((PIT_P[[#This Row],[BB]]+PIT_P[[#This Row],[H]])/PIT_P[[#This Row],[IP]],0)</calculatedColumnFormula>
    </tableColumn>
    <tableColumn id="15" xr3:uid="{00000000-0010-0000-D600-00000F000000}" name="QS" dataDxfId="2941"/>
    <tableColumn id="16" xr3:uid="{00000000-0010-0000-D600-000010000000}" name="UQ" dataDxfId="2940"/>
    <tableColumn id="17" xr3:uid="{00000000-0010-0000-D600-000011000000}" name="CG" dataDxfId="2939"/>
    <tableColumn id="18" xr3:uid="{00000000-0010-0000-D600-000012000000}" name="SH" dataDxfId="2938"/>
    <tableColumn id="19" xr3:uid="{00000000-0010-0000-D600-000013000000}" name="#" dataDxfId="2937"/>
  </tableColumns>
  <tableStyleInfo name="TableStyleMedium7" showFirstColumn="0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D7000000}" name="STL_H134" displayName="STL_H134" ref="Z3:AV17" totalsRowShown="0" headerRowDxfId="2936" dataDxfId="2934" headerRowBorderDxfId="2935">
  <autoFilter ref="Z3:AV17" xr:uid="{00000000-0009-0000-0100-000085000000}"/>
  <sortState xmlns:xlrd2="http://schemas.microsoft.com/office/spreadsheetml/2017/richdata2" ref="Z4:AV17">
    <sortCondition ref="AV3:AV17"/>
  </sortState>
  <tableColumns count="23">
    <tableColumn id="1" xr3:uid="{00000000-0010-0000-D700-000001000000}" name="TM" dataDxfId="2933"/>
    <tableColumn id="2" xr3:uid="{00000000-0010-0000-D700-000002000000}" name="@" dataDxfId="2932"/>
    <tableColumn id="3" xr3:uid="{00000000-0010-0000-D700-000003000000}" name="NAME" dataDxfId="2931"/>
    <tableColumn id="4" xr3:uid="{00000000-0010-0000-D700-000004000000}" name="BA" dataDxfId="2930">
      <calculatedColumnFormula>IFERROR(STL_H134[[#This Row],[H]]/STL_H134[[#This Row],[AB]],0)</calculatedColumnFormula>
    </tableColumn>
    <tableColumn id="5" xr3:uid="{00000000-0010-0000-D700-000005000000}" name="OBP" dataDxfId="2929">
      <calculatedColumnFormula>IFERROR((STL_H134[[#This Row],[H]]+STL_H134[[#This Row],[BB]])/(STL_H134[[#This Row],[AB]]+STL_H134[[#This Row],[BB]]),0)</calculatedColumnFormula>
    </tableColumn>
    <tableColumn id="6" xr3:uid="{00000000-0010-0000-D700-000006000000}" name="SLG" dataDxfId="2928">
      <calculatedColumnFormula>IFERROR(((STL_H134[[#This Row],[H]]-STL_H134[[#This Row],[2B]]-STL_H134[[#This Row],[3B]]-STL_H134[[#This Row],[HR]])+(STL_H134[[#This Row],[2B]]*2)+(STL_H134[[#This Row],[3B]]*3)+(STL_H134[[#This Row],[HR]]*4))/STL_H134[[#This Row],[AB]],0)</calculatedColumnFormula>
    </tableColumn>
    <tableColumn id="7" xr3:uid="{00000000-0010-0000-D700-000007000000}" name="G" dataDxfId="2927"/>
    <tableColumn id="8" xr3:uid="{00000000-0010-0000-D700-000008000000}" name="AB" dataDxfId="2926"/>
    <tableColumn id="9" xr3:uid="{00000000-0010-0000-D700-000009000000}" name="R" dataDxfId="2925"/>
    <tableColumn id="10" xr3:uid="{00000000-0010-0000-D700-00000A000000}" name="H" dataDxfId="2924"/>
    <tableColumn id="11" xr3:uid="{00000000-0010-0000-D700-00000B000000}" name="2B" dataDxfId="2923"/>
    <tableColumn id="12" xr3:uid="{00000000-0010-0000-D700-00000C000000}" name="3B" dataDxfId="2922"/>
    <tableColumn id="13" xr3:uid="{00000000-0010-0000-D700-00000D000000}" name="HR" dataDxfId="2921"/>
    <tableColumn id="14" xr3:uid="{00000000-0010-0000-D700-00000E000000}" name="RBI" dataDxfId="2920"/>
    <tableColumn id="15" xr3:uid="{00000000-0010-0000-D700-00000F000000}" name="BB" dataDxfId="2919"/>
    <tableColumn id="16" xr3:uid="{00000000-0010-0000-D700-000010000000}" name="K" dataDxfId="2918"/>
    <tableColumn id="17" xr3:uid="{00000000-0010-0000-D700-000011000000}" name="SB" dataDxfId="2917"/>
    <tableColumn id="18" xr3:uid="{00000000-0010-0000-D700-000012000000}" name="HS" dataDxfId="2916"/>
    <tableColumn id="19" xr3:uid="{00000000-0010-0000-D700-000013000000}" name="LS" dataDxfId="2915"/>
    <tableColumn id="20" xr3:uid="{00000000-0010-0000-D700-000014000000}" name="TB" dataDxfId="2914">
      <calculatedColumnFormula>IFERROR((STL_H134[[#This Row],[H]]-STL_H134[[#This Row],[2B]]-STL_H134[[#This Row],[3B]]-STL_H134[[#This Row],[HR]])+(STL_H134[[#This Row],[2B]]*2)+(STL_H134[[#This Row],[3B]]*3)+(STL_H134[[#This Row],[HR]]*4),0)</calculatedColumnFormula>
    </tableColumn>
    <tableColumn id="21" xr3:uid="{00000000-0010-0000-D700-000015000000}" name="OPS" dataDxfId="2913">
      <calculatedColumnFormula>STL_H134[[#This Row],[OBP]]+STL_H134[[#This Row],[SLG]]</calculatedColumnFormula>
    </tableColumn>
    <tableColumn id="22" xr3:uid="{00000000-0010-0000-D700-000016000000}" name="*" dataDxfId="2912"/>
    <tableColumn id="23" xr3:uid="{00000000-0010-0000-D700-000017000000}" name="#" dataDxfId="2911"/>
  </tableColumns>
  <tableStyleInfo name="TableStyleMedium3" showFirstColumn="0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D8000000}" name="STL_P135" displayName="STL_P135" ref="Z20:AR30" totalsRowShown="0" headerRowDxfId="2910" dataDxfId="2908" headerRowBorderDxfId="2909">
  <autoFilter ref="Z20:AR30" xr:uid="{00000000-0009-0000-0100-000086000000}"/>
  <sortState xmlns:xlrd2="http://schemas.microsoft.com/office/spreadsheetml/2017/richdata2" ref="Z21:AR30">
    <sortCondition ref="AR20:AR30"/>
  </sortState>
  <tableColumns count="19">
    <tableColumn id="1" xr3:uid="{00000000-0010-0000-D800-000001000000}" name="TM" dataDxfId="2907"/>
    <tableColumn id="2" xr3:uid="{00000000-0010-0000-D800-000002000000}" name="@" dataDxfId="2906"/>
    <tableColumn id="3" xr3:uid="{00000000-0010-0000-D800-000003000000}" name="NAME" dataDxfId="2905"/>
    <tableColumn id="4" xr3:uid="{00000000-0010-0000-D800-000004000000}" name="ERA" dataDxfId="2904">
      <calculatedColumnFormula>IFERROR((STL_P135[[#This Row],[R]]*9)/STL_P135[[#This Row],[IP]],0)</calculatedColumnFormula>
    </tableColumn>
    <tableColumn id="5" xr3:uid="{00000000-0010-0000-D800-000005000000}" name="W" dataDxfId="2903"/>
    <tableColumn id="6" xr3:uid="{00000000-0010-0000-D800-000006000000}" name="L" dataDxfId="2902"/>
    <tableColumn id="7" xr3:uid="{00000000-0010-0000-D800-000007000000}" name="G" dataDxfId="2901"/>
    <tableColumn id="8" xr3:uid="{00000000-0010-0000-D800-000008000000}" name="IP" dataDxfId="2900"/>
    <tableColumn id="9" xr3:uid="{00000000-0010-0000-D800-000009000000}" name="H" dataDxfId="2899"/>
    <tableColumn id="10" xr3:uid="{00000000-0010-0000-D800-00000A000000}" name="R" dataDxfId="2898"/>
    <tableColumn id="11" xr3:uid="{00000000-0010-0000-D800-00000B000000}" name="BB" dataDxfId="2897"/>
    <tableColumn id="12" xr3:uid="{00000000-0010-0000-D800-00000C000000}" name="K" dataDxfId="2896"/>
    <tableColumn id="13" xr3:uid="{00000000-0010-0000-D800-00000D000000}" name="SV" dataDxfId="2895"/>
    <tableColumn id="14" xr3:uid="{00000000-0010-0000-D800-00000E000000}" name="WH" dataDxfId="2894">
      <calculatedColumnFormula>IFERROR((STL_P135[[#This Row],[BB]]+STL_P135[[#This Row],[H]])/STL_P135[[#This Row],[IP]],0)</calculatedColumnFormula>
    </tableColumn>
    <tableColumn id="15" xr3:uid="{00000000-0010-0000-D800-00000F000000}" name="QS" dataDxfId="2893"/>
    <tableColumn id="16" xr3:uid="{00000000-0010-0000-D800-000010000000}" name="UQ" dataDxfId="2892"/>
    <tableColumn id="17" xr3:uid="{00000000-0010-0000-D800-000011000000}" name="CG" dataDxfId="2891"/>
    <tableColumn id="18" xr3:uid="{00000000-0010-0000-D800-000012000000}" name="SH" dataDxfId="2890"/>
    <tableColumn id="19" xr3:uid="{00000000-0010-0000-D800-000013000000}" name="#" dataDxfId="2889"/>
  </tableColumns>
  <tableStyleInfo name="TableStyleMedium3" showFirstColumn="0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D9000000}" name="STL_H148" displayName="STL_H148" ref="AY3:BU17" totalsRowShown="0" headerRowDxfId="2888" dataDxfId="2886" headerRowBorderDxfId="2887">
  <autoFilter ref="AY3:BU17" xr:uid="{00000000-0009-0000-0100-000087000000}"/>
  <sortState xmlns:xlrd2="http://schemas.microsoft.com/office/spreadsheetml/2017/richdata2" ref="AY4:BU17">
    <sortCondition descending="1" ref="BR3:BR17"/>
  </sortState>
  <tableColumns count="23">
    <tableColumn id="1" xr3:uid="{00000000-0010-0000-D900-000001000000}" name="TM" dataDxfId="2885"/>
    <tableColumn id="2" xr3:uid="{00000000-0010-0000-D900-000002000000}" name="@" dataDxfId="2884"/>
    <tableColumn id="3" xr3:uid="{00000000-0010-0000-D900-000003000000}" name="NAME" dataDxfId="2883"/>
    <tableColumn id="4" xr3:uid="{00000000-0010-0000-D900-000004000000}" name="BA" dataDxfId="2882">
      <calculatedColumnFormula>IFERROR(STL_H148[[#This Row],[H]]/STL_H148[[#This Row],[AB]],0)</calculatedColumnFormula>
    </tableColumn>
    <tableColumn id="5" xr3:uid="{00000000-0010-0000-D900-000005000000}" name="OBP" dataDxfId="2881">
      <calculatedColumnFormula>IFERROR((STL_H148[[#This Row],[BB]]+STL_H148[[#This Row],[H]])/(STL_H148[[#This Row],[BB]]+STL_H148[[#This Row],[AB]]),0)</calculatedColumnFormula>
    </tableColumn>
    <tableColumn id="6" xr3:uid="{00000000-0010-0000-D900-000006000000}" name="SLG" dataDxfId="2880">
      <calculatedColumnFormula>IFERROR(((STL_H148[[#This Row],[H]]-STL_H148[[#This Row],[2B]]-STL_H148[[#This Row],[3B]]-STL_H148[[#This Row],[HR]])+(STL_H148[[#This Row],[2B]]*2)+(STL_H148[[#This Row],[3B]]*3)+(STL_H148[[#This Row],[HR]]*4))/STL_H148[[#This Row],[AB]],0)</calculatedColumnFormula>
    </tableColumn>
    <tableColumn id="7" xr3:uid="{00000000-0010-0000-D900-000007000000}" name="G" dataDxfId="2879"/>
    <tableColumn id="8" xr3:uid="{00000000-0010-0000-D900-000008000000}" name="AB" dataDxfId="2878"/>
    <tableColumn id="9" xr3:uid="{00000000-0010-0000-D900-000009000000}" name="R" dataDxfId="2877"/>
    <tableColumn id="10" xr3:uid="{00000000-0010-0000-D900-00000A000000}" name="H" dataDxfId="2876"/>
    <tableColumn id="11" xr3:uid="{00000000-0010-0000-D900-00000B000000}" name="2B" dataDxfId="2875"/>
    <tableColumn id="12" xr3:uid="{00000000-0010-0000-D900-00000C000000}" name="3B" dataDxfId="2874"/>
    <tableColumn id="13" xr3:uid="{00000000-0010-0000-D900-00000D000000}" name="HR" dataDxfId="2873"/>
    <tableColumn id="14" xr3:uid="{00000000-0010-0000-D900-00000E000000}" name="RBI" dataDxfId="2872"/>
    <tableColumn id="15" xr3:uid="{00000000-0010-0000-D900-00000F000000}" name="BB" dataDxfId="2871"/>
    <tableColumn id="16" xr3:uid="{00000000-0010-0000-D900-000010000000}" name="K" dataDxfId="2870"/>
    <tableColumn id="17" xr3:uid="{00000000-0010-0000-D900-000011000000}" name="SB" dataDxfId="2869"/>
    <tableColumn id="18" xr3:uid="{00000000-0010-0000-D900-000012000000}" name="HS" dataDxfId="2868"/>
    <tableColumn id="19" xr3:uid="{00000000-0010-0000-D900-000013000000}" name="LS" dataDxfId="2867"/>
    <tableColumn id="20" xr3:uid="{00000000-0010-0000-D900-000014000000}" name="TB" dataDxfId="2866">
      <calculatedColumnFormula>IFERROR((STL_H148[[#This Row],[H]]-STL_H148[[#This Row],[2B]]-STL_H148[[#This Row],[3B]]-STL_H148[[#This Row],[HR]])+(STL_H148[[#This Row],[2B]]*2)+(STL_H148[[#This Row],[3B]]*3)+(STL_H148[[#This Row],[HR]]*4),0)</calculatedColumnFormula>
    </tableColumn>
    <tableColumn id="21" xr3:uid="{00000000-0010-0000-D900-000015000000}" name="OPS" dataDxfId="2865">
      <calculatedColumnFormula>IFERROR(STL_H148[[#This Row],[OBP]]+STL_H148[[#This Row],[SLG]],0)</calculatedColumnFormula>
    </tableColumn>
    <tableColumn id="22" xr3:uid="{00000000-0010-0000-D900-000016000000}" name="*" dataDxfId="2864"/>
    <tableColumn id="23" xr3:uid="{00000000-0010-0000-D900-000017000000}" name="#" dataDxfId="2863"/>
  </tableColumns>
  <tableStyleInfo name="TableStyleMedium3" showFirstColumn="0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DA000000}" name="STL_P149" displayName="STL_P149" ref="AY20:BQ30" totalsRowShown="0" headerRowDxfId="2862" dataDxfId="2860" headerRowBorderDxfId="2861">
  <autoFilter ref="AY20:BQ30" xr:uid="{00000000-0009-0000-0100-000088000000}"/>
  <sortState xmlns:xlrd2="http://schemas.microsoft.com/office/spreadsheetml/2017/richdata2" ref="AY21:BQ30">
    <sortCondition ref="BQ20:BQ30"/>
  </sortState>
  <tableColumns count="19">
    <tableColumn id="1" xr3:uid="{00000000-0010-0000-DA00-000001000000}" name="TM" dataDxfId="2859"/>
    <tableColumn id="2" xr3:uid="{00000000-0010-0000-DA00-000002000000}" name="@" dataDxfId="2858"/>
    <tableColumn id="3" xr3:uid="{00000000-0010-0000-DA00-000003000000}" name="NAME" dataDxfId="2857"/>
    <tableColumn id="4" xr3:uid="{00000000-0010-0000-DA00-000004000000}" name="ERA" dataDxfId="2856">
      <calculatedColumnFormula>IFERROR((STL_P149[[#This Row],[R]]*9)/STL_P149[[#This Row],[IP]],0)</calculatedColumnFormula>
    </tableColumn>
    <tableColumn id="5" xr3:uid="{00000000-0010-0000-DA00-000005000000}" name="W" dataDxfId="2855"/>
    <tableColumn id="6" xr3:uid="{00000000-0010-0000-DA00-000006000000}" name="L" dataDxfId="2854"/>
    <tableColumn id="7" xr3:uid="{00000000-0010-0000-DA00-000007000000}" name="G" dataDxfId="2853"/>
    <tableColumn id="8" xr3:uid="{00000000-0010-0000-DA00-000008000000}" name="IP" dataDxfId="2852"/>
    <tableColumn id="9" xr3:uid="{00000000-0010-0000-DA00-000009000000}" name="H" dataDxfId="2851"/>
    <tableColumn id="10" xr3:uid="{00000000-0010-0000-DA00-00000A000000}" name="R" dataDxfId="2850"/>
    <tableColumn id="11" xr3:uid="{00000000-0010-0000-DA00-00000B000000}" name="BB" dataDxfId="2849"/>
    <tableColumn id="12" xr3:uid="{00000000-0010-0000-DA00-00000C000000}" name="K" dataDxfId="2848"/>
    <tableColumn id="13" xr3:uid="{00000000-0010-0000-DA00-00000D000000}" name="SV" dataDxfId="2847"/>
    <tableColumn id="14" xr3:uid="{00000000-0010-0000-DA00-00000E000000}" name="WH" dataDxfId="2846">
      <calculatedColumnFormula>IFERROR((STL_P149[[#This Row],[BB]]+STL_P149[[#This Row],[H]])/STL_P149[[#This Row],[IP]],0)</calculatedColumnFormula>
    </tableColumn>
    <tableColumn id="15" xr3:uid="{00000000-0010-0000-DA00-00000F000000}" name="QS" dataDxfId="2845"/>
    <tableColumn id="16" xr3:uid="{00000000-0010-0000-DA00-000010000000}" name="UQ" dataDxfId="2844"/>
    <tableColumn id="17" xr3:uid="{00000000-0010-0000-DA00-000011000000}" name="CG" dataDxfId="2843"/>
    <tableColumn id="18" xr3:uid="{00000000-0010-0000-DA00-000012000000}" name="SH" dataDxfId="2842"/>
    <tableColumn id="19" xr3:uid="{00000000-0010-0000-DA00-000013000000}" name="#" dataDxfId="2841"/>
  </tableColumns>
  <tableStyleInfo name="TableStyleMedium3" showFirstColumn="0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DB000000}" name="CHC_C138" displayName="CHC_C138" ref="Z34:AV48" totalsRowShown="0" headerRowDxfId="2840" dataDxfId="2838" headerRowBorderDxfId="2839">
  <autoFilter ref="Z34:AV48" xr:uid="{00000000-0009-0000-0100-000089000000}"/>
  <sortState xmlns:xlrd2="http://schemas.microsoft.com/office/spreadsheetml/2017/richdata2" ref="Z35:AV48">
    <sortCondition descending="1" ref="AS34:AS48"/>
  </sortState>
  <tableColumns count="23">
    <tableColumn id="1" xr3:uid="{00000000-0010-0000-DB00-000001000000}" name="TM" dataDxfId="2837"/>
    <tableColumn id="2" xr3:uid="{00000000-0010-0000-DB00-000002000000}" name="@" dataDxfId="2836"/>
    <tableColumn id="3" xr3:uid="{00000000-0010-0000-DB00-000003000000}" name="NAME" dataDxfId="2835"/>
    <tableColumn id="4" xr3:uid="{00000000-0010-0000-DB00-000004000000}" name="BA" dataDxfId="2834">
      <calculatedColumnFormula>IFERROR(CHC_C138[[#This Row],[H]]/CHC_C138[[#This Row],[AB]],0)</calculatedColumnFormula>
    </tableColumn>
    <tableColumn id="5" xr3:uid="{00000000-0010-0000-DB00-000005000000}" name="OBP" dataDxfId="2833">
      <calculatedColumnFormula>IFERROR((CHC_C138[[#This Row],[H]]+CHC_C138[[#This Row],[BB]])/(CHC_C138[[#This Row],[BB]]+CHC_C138[[#This Row],[AB]]),0)</calculatedColumnFormula>
    </tableColumn>
    <tableColumn id="6" xr3:uid="{00000000-0010-0000-DB00-000006000000}" name="SLG" dataDxfId="2832">
      <calculatedColumnFormula>IFERROR(((CHC_C138[[#This Row],[H]]-CHC_C138[[#This Row],[2B]]-CHC_C138[[#This Row],[3B]]-CHC_C138[[#This Row],[HR]])+(CHC_C138[[#This Row],[2B]]*2)+(CHC_C138[[#This Row],[3B]]*3)+(CHC_C138[[#This Row],[HR]]*4))/CHC_C138[[#This Row],[AB]],0)</calculatedColumnFormula>
    </tableColumn>
    <tableColumn id="7" xr3:uid="{00000000-0010-0000-DB00-000007000000}" name="G" dataDxfId="2831"/>
    <tableColumn id="8" xr3:uid="{00000000-0010-0000-DB00-000008000000}" name="AB" dataDxfId="2830"/>
    <tableColumn id="9" xr3:uid="{00000000-0010-0000-DB00-000009000000}" name="R" dataDxfId="2829"/>
    <tableColumn id="10" xr3:uid="{00000000-0010-0000-DB00-00000A000000}" name="H" dataDxfId="2828"/>
    <tableColumn id="11" xr3:uid="{00000000-0010-0000-DB00-00000B000000}" name="2B" dataDxfId="2827"/>
    <tableColumn id="12" xr3:uid="{00000000-0010-0000-DB00-00000C000000}" name="3B" dataDxfId="2826"/>
    <tableColumn id="13" xr3:uid="{00000000-0010-0000-DB00-00000D000000}" name="HR" dataDxfId="2825"/>
    <tableColumn id="14" xr3:uid="{00000000-0010-0000-DB00-00000E000000}" name="RBI" dataDxfId="2824"/>
    <tableColumn id="15" xr3:uid="{00000000-0010-0000-DB00-00000F000000}" name="BB" dataDxfId="2823"/>
    <tableColumn id="16" xr3:uid="{00000000-0010-0000-DB00-000010000000}" name="K" dataDxfId="2822"/>
    <tableColumn id="17" xr3:uid="{00000000-0010-0000-DB00-000011000000}" name="SB" dataDxfId="2821"/>
    <tableColumn id="18" xr3:uid="{00000000-0010-0000-DB00-000012000000}" name="HS" dataDxfId="2820"/>
    <tableColumn id="19" xr3:uid="{00000000-0010-0000-DB00-000013000000}" name="LS" dataDxfId="2819"/>
    <tableColumn id="20" xr3:uid="{00000000-0010-0000-DB00-000014000000}" name="TB" dataDxfId="2818">
      <calculatedColumnFormula>IFERROR((CHC_C138[[#This Row],[H]]-CHC_C138[[#This Row],[2B]]-CHC_C138[[#This Row],[3B]]-CHC_C138[[#This Row],[HR]])+(CHC_C138[[#This Row],[2B]]*2)+(CHC_C138[[#This Row],[3B]]*3)+(CHC_C138[[#This Row],[HR]]*4),0)</calculatedColumnFormula>
    </tableColumn>
    <tableColumn id="21" xr3:uid="{00000000-0010-0000-DB00-000015000000}" name="OPS" dataDxfId="2817">
      <calculatedColumnFormula>CHC_C138[[#This Row],[OBP]]+CHC_C138[[#This Row],[SLG]]</calculatedColumnFormula>
    </tableColumn>
    <tableColumn id="22" xr3:uid="{00000000-0010-0000-DB00-000016000000}" name="*" dataDxfId="2816"/>
    <tableColumn id="23" xr3:uid="{00000000-0010-0000-DB00-000017000000}" name="#" dataDxfId="2815"/>
  </tableColumns>
  <tableStyleInfo name="TableStyleMedium5" showFirstColumn="0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DC000000}" name="CHC_P139" displayName="CHC_P139" ref="Z51:AR61" totalsRowShown="0" headerRowDxfId="2814" dataDxfId="2812" headerRowBorderDxfId="2813">
  <autoFilter ref="Z51:AR61" xr:uid="{00000000-0009-0000-0100-00008A000000}"/>
  <sortState xmlns:xlrd2="http://schemas.microsoft.com/office/spreadsheetml/2017/richdata2" ref="Z52:AR61">
    <sortCondition ref="AR51:AR61"/>
  </sortState>
  <tableColumns count="19">
    <tableColumn id="1" xr3:uid="{00000000-0010-0000-DC00-000001000000}" name="TM" dataDxfId="2811"/>
    <tableColumn id="2" xr3:uid="{00000000-0010-0000-DC00-000002000000}" name="@" dataDxfId="2810"/>
    <tableColumn id="3" xr3:uid="{00000000-0010-0000-DC00-000003000000}" name="NAME" dataDxfId="2809"/>
    <tableColumn id="4" xr3:uid="{00000000-0010-0000-DC00-000004000000}" name="ERA" dataDxfId="2808">
      <calculatedColumnFormula>IFERROR((CHC_P139[[#This Row],[R]]*9)/CHC_P139[[#This Row],[IP]],0)</calculatedColumnFormula>
    </tableColumn>
    <tableColumn id="5" xr3:uid="{00000000-0010-0000-DC00-000005000000}" name="W" dataDxfId="2807"/>
    <tableColumn id="6" xr3:uid="{00000000-0010-0000-DC00-000006000000}" name="L" dataDxfId="2806"/>
    <tableColumn id="7" xr3:uid="{00000000-0010-0000-DC00-000007000000}" name="G" dataDxfId="2805"/>
    <tableColumn id="8" xr3:uid="{00000000-0010-0000-DC00-000008000000}" name="IP" dataDxfId="2804"/>
    <tableColumn id="9" xr3:uid="{00000000-0010-0000-DC00-000009000000}" name="H" dataDxfId="2803"/>
    <tableColumn id="10" xr3:uid="{00000000-0010-0000-DC00-00000A000000}" name="R" dataDxfId="2802"/>
    <tableColumn id="11" xr3:uid="{00000000-0010-0000-DC00-00000B000000}" name="BB" dataDxfId="2801"/>
    <tableColumn id="12" xr3:uid="{00000000-0010-0000-DC00-00000C000000}" name="K" dataDxfId="2800"/>
    <tableColumn id="13" xr3:uid="{00000000-0010-0000-DC00-00000D000000}" name="SV" dataDxfId="2799"/>
    <tableColumn id="14" xr3:uid="{00000000-0010-0000-DC00-00000E000000}" name="WH" dataDxfId="2798">
      <calculatedColumnFormula>IFERROR((CHC_P139[[#This Row],[BB]]+CHC_P139[[#This Row],[H]])/CHC_P139[[#This Row],[IP]],0)</calculatedColumnFormula>
    </tableColumn>
    <tableColumn id="15" xr3:uid="{00000000-0010-0000-DC00-00000F000000}" name="QS" dataDxfId="2797"/>
    <tableColumn id="16" xr3:uid="{00000000-0010-0000-DC00-000010000000}" name="UQ" dataDxfId="2796"/>
    <tableColumn id="17" xr3:uid="{00000000-0010-0000-DC00-000011000000}" name="CG" dataDxfId="2795"/>
    <tableColumn id="18" xr3:uid="{00000000-0010-0000-DC00-000012000000}" name="SH" dataDxfId="2794"/>
    <tableColumn id="19" xr3:uid="{00000000-0010-0000-DC00-000013000000}" name="#" dataDxfId="2793"/>
  </tableColumns>
  <tableStyleInfo name="TableStyleMedium5" showFirstColumn="0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DD000000}" name="CHC_C150" displayName="CHC_C150" ref="AY34:BU48" totalsRowShown="0" headerRowDxfId="2792" dataDxfId="2790" headerRowBorderDxfId="2791">
  <autoFilter ref="AY34:BU48" xr:uid="{00000000-0009-0000-0100-00008B000000}"/>
  <sortState xmlns:xlrd2="http://schemas.microsoft.com/office/spreadsheetml/2017/richdata2" ref="AY35:BU48">
    <sortCondition ref="BU34:BU48"/>
  </sortState>
  <tableColumns count="23">
    <tableColumn id="1" xr3:uid="{00000000-0010-0000-DD00-000001000000}" name="TM" dataDxfId="2789"/>
    <tableColumn id="2" xr3:uid="{00000000-0010-0000-DD00-000002000000}" name="@" dataDxfId="2788"/>
    <tableColumn id="3" xr3:uid="{00000000-0010-0000-DD00-000003000000}" name="NAME" dataDxfId="2787"/>
    <tableColumn id="4" xr3:uid="{00000000-0010-0000-DD00-000004000000}" name="BA" dataDxfId="2786">
      <calculatedColumnFormula>IFERROR(CHC_C150[[#This Row],[H]]/CHC_C150[[#This Row],[AB]],0)</calculatedColumnFormula>
    </tableColumn>
    <tableColumn id="5" xr3:uid="{00000000-0010-0000-DD00-000005000000}" name="OBP" dataDxfId="2785">
      <calculatedColumnFormula>IFERROR((CHC_C150[[#This Row],[BB]]+CHC_C150[[#This Row],[H]])/(CHC_C150[[#This Row],[AB]]+CHC_C150[[#This Row],[BB]]),0)</calculatedColumnFormula>
    </tableColumn>
    <tableColumn id="6" xr3:uid="{00000000-0010-0000-DD00-000006000000}" name="SLG" dataDxfId="2784">
      <calculatedColumnFormula>IFERROR(((CHC_C150[[#This Row],[H]]-CHC_C150[[#This Row],[2B]]-CHC_C150[[#This Row],[3B]]-CHC_C150[[#This Row],[HR]])+(CHC_C150[[#This Row],[2B]]*2)+(CHC_C150[[#This Row],[3B]]*3)+(CHC_C150[[#This Row],[HR]]*4))/CHC_C150[[#This Row],[AB]],0)</calculatedColumnFormula>
    </tableColumn>
    <tableColumn id="7" xr3:uid="{00000000-0010-0000-DD00-000007000000}" name="G" dataDxfId="2783"/>
    <tableColumn id="8" xr3:uid="{00000000-0010-0000-DD00-000008000000}" name="AB" dataDxfId="2782"/>
    <tableColumn id="9" xr3:uid="{00000000-0010-0000-DD00-000009000000}" name="R" dataDxfId="2781"/>
    <tableColumn id="10" xr3:uid="{00000000-0010-0000-DD00-00000A000000}" name="H" dataDxfId="2780"/>
    <tableColumn id="11" xr3:uid="{00000000-0010-0000-DD00-00000B000000}" name="2B" dataDxfId="2779"/>
    <tableColumn id="12" xr3:uid="{00000000-0010-0000-DD00-00000C000000}" name="3B" dataDxfId="2778"/>
    <tableColumn id="13" xr3:uid="{00000000-0010-0000-DD00-00000D000000}" name="HR" dataDxfId="2777"/>
    <tableColumn id="14" xr3:uid="{00000000-0010-0000-DD00-00000E000000}" name="RBI" dataDxfId="2776"/>
    <tableColumn id="15" xr3:uid="{00000000-0010-0000-DD00-00000F000000}" name="BB" dataDxfId="2775"/>
    <tableColumn id="16" xr3:uid="{00000000-0010-0000-DD00-000010000000}" name="K" dataDxfId="2774"/>
    <tableColumn id="17" xr3:uid="{00000000-0010-0000-DD00-000011000000}" name="SB" dataDxfId="2773"/>
    <tableColumn id="18" xr3:uid="{00000000-0010-0000-DD00-000012000000}" name="HS" dataDxfId="2772"/>
    <tableColumn id="19" xr3:uid="{00000000-0010-0000-DD00-000013000000}" name="LS" dataDxfId="2771"/>
    <tableColumn id="20" xr3:uid="{00000000-0010-0000-DD00-000014000000}" name="TB" dataDxfId="2770">
      <calculatedColumnFormula>((CHC_C150[[#This Row],[H]]-CHC_C150[[#This Row],[2B]]-CHC_C150[[#This Row],[3B]]-CHC_C150[[#This Row],[HR]])+(CHC_C150[[#This Row],[2B]]*2)+(CHC_C150[[#This Row],[3B]]*3)+(CHC_C150[[#This Row],[HR]]*4))</calculatedColumnFormula>
    </tableColumn>
    <tableColumn id="21" xr3:uid="{00000000-0010-0000-DD00-000015000000}" name="OPS" dataDxfId="2769">
      <calculatedColumnFormula>IFERROR(CHC_C150[[#This Row],[OBP]]+CHC_C150[[#This Row],[SLG]],0)</calculatedColumnFormula>
    </tableColumn>
    <tableColumn id="22" xr3:uid="{00000000-0010-0000-DD00-000016000000}" name="*" dataDxfId="2768"/>
    <tableColumn id="23" xr3:uid="{00000000-0010-0000-DD00-000017000000}" name="#" dataDxfId="2767"/>
  </tableColumns>
  <tableStyleInfo name="TableStyleMedium5" showFirstColumn="0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DE000000}" name="CHC_P151" displayName="CHC_P151" ref="AY51:BQ61" totalsRowShown="0" headerRowDxfId="2766" dataDxfId="2764" headerRowBorderDxfId="2765">
  <autoFilter ref="AY51:BQ61" xr:uid="{00000000-0009-0000-0100-00008C000000}"/>
  <sortState xmlns:xlrd2="http://schemas.microsoft.com/office/spreadsheetml/2017/richdata2" ref="AY52:BQ61">
    <sortCondition ref="BQ51:BQ61"/>
  </sortState>
  <tableColumns count="19">
    <tableColumn id="1" xr3:uid="{00000000-0010-0000-DE00-000001000000}" name="TM" dataDxfId="2763"/>
    <tableColumn id="2" xr3:uid="{00000000-0010-0000-DE00-000002000000}" name="@" dataDxfId="2762"/>
    <tableColumn id="3" xr3:uid="{00000000-0010-0000-DE00-000003000000}" name="NAME" dataDxfId="2761"/>
    <tableColumn id="4" xr3:uid="{00000000-0010-0000-DE00-000004000000}" name="ERA" dataDxfId="2760">
      <calculatedColumnFormula>IFERROR(CHC_P151[[#This Row],[R]]*9/CHC_P151[[#This Row],[IP]],0)</calculatedColumnFormula>
    </tableColumn>
    <tableColumn id="5" xr3:uid="{00000000-0010-0000-DE00-000005000000}" name="W" dataDxfId="2759"/>
    <tableColumn id="6" xr3:uid="{00000000-0010-0000-DE00-000006000000}" name="L" dataDxfId="2758"/>
    <tableColumn id="7" xr3:uid="{00000000-0010-0000-DE00-000007000000}" name="G" dataDxfId="2757"/>
    <tableColumn id="8" xr3:uid="{00000000-0010-0000-DE00-000008000000}" name="IP" dataDxfId="2756"/>
    <tableColumn id="9" xr3:uid="{00000000-0010-0000-DE00-000009000000}" name="H" dataDxfId="2755"/>
    <tableColumn id="10" xr3:uid="{00000000-0010-0000-DE00-00000A000000}" name="R" dataDxfId="2754"/>
    <tableColumn id="11" xr3:uid="{00000000-0010-0000-DE00-00000B000000}" name="BB" dataDxfId="2753"/>
    <tableColumn id="12" xr3:uid="{00000000-0010-0000-DE00-00000C000000}" name="K" dataDxfId="2752"/>
    <tableColumn id="13" xr3:uid="{00000000-0010-0000-DE00-00000D000000}" name="SV" dataDxfId="2751"/>
    <tableColumn id="14" xr3:uid="{00000000-0010-0000-DE00-00000E000000}" name="WH" dataDxfId="2750">
      <calculatedColumnFormula>IFERROR((CHC_P151[[#This Row],[BB]]+CHC_P151[[#This Row],[H]])/CHC_P151[[#This Row],[IP]],0)</calculatedColumnFormula>
    </tableColumn>
    <tableColumn id="15" xr3:uid="{00000000-0010-0000-DE00-00000F000000}" name="QS" dataDxfId="2749"/>
    <tableColumn id="16" xr3:uid="{00000000-0010-0000-DE00-000010000000}" name="UQ" dataDxfId="2748"/>
    <tableColumn id="17" xr3:uid="{00000000-0010-0000-DE00-000011000000}" name="CG" dataDxfId="2747"/>
    <tableColumn id="18" xr3:uid="{00000000-0010-0000-DE00-000012000000}" name="SH" dataDxfId="2746"/>
    <tableColumn id="19" xr3:uid="{00000000-0010-0000-DE00-000013000000}" name="#" dataDxfId="2745"/>
  </tableColumns>
  <tableStyleInfo name="TableStyleMedium5" showFirstColumn="0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DF000000}" name="CIN_H142" displayName="CIN_H142" ref="Z65:AV79" totalsRowShown="0" headerRowDxfId="2744" dataDxfId="2742" headerRowBorderDxfId="2743">
  <autoFilter ref="Z65:AV79" xr:uid="{00000000-0009-0000-0100-00008D000000}"/>
  <sortState xmlns:xlrd2="http://schemas.microsoft.com/office/spreadsheetml/2017/richdata2" ref="Z66:AV79">
    <sortCondition ref="AV65:AV79"/>
  </sortState>
  <tableColumns count="23">
    <tableColumn id="1" xr3:uid="{00000000-0010-0000-DF00-000001000000}" name="TM" dataDxfId="2741"/>
    <tableColumn id="2" xr3:uid="{00000000-0010-0000-DF00-000002000000}" name="@" dataDxfId="2740"/>
    <tableColumn id="3" xr3:uid="{00000000-0010-0000-DF00-000003000000}" name="NAME" dataDxfId="2739"/>
    <tableColumn id="4" xr3:uid="{00000000-0010-0000-DF00-000004000000}" name="BA" dataDxfId="2738">
      <calculatedColumnFormula>IFERROR(CIN_H142[[#This Row],[H]]/CIN_H142[[#This Row],[AB]],0)</calculatedColumnFormula>
    </tableColumn>
    <tableColumn id="5" xr3:uid="{00000000-0010-0000-DF00-000005000000}" name="OBP" dataDxfId="2737">
      <calculatedColumnFormula>IFERROR((CIN_H142[[#This Row],[H]]+CIN_H142[[#This Row],[BB]])/(CIN_H142[[#This Row],[BB]]+CIN_H142[[#This Row],[AB]]),0)</calculatedColumnFormula>
    </tableColumn>
    <tableColumn id="6" xr3:uid="{00000000-0010-0000-DF00-000006000000}" name="SLG" dataDxfId="2736">
      <calculatedColumnFormula>IFERROR(((CIN_H142[[#This Row],[H]]-CIN_H142[[#This Row],[2B]]-CIN_H142[[#This Row],[3B]]-CIN_H142[[#This Row],[HR]])+(CIN_H142[[#This Row],[2B]]*2)+(CIN_H142[[#This Row],[3B]]*3)+(CIN_H142[[#This Row],[HR]]*4))/CIN_H142[[#This Row],[AB]],0)</calculatedColumnFormula>
    </tableColumn>
    <tableColumn id="7" xr3:uid="{00000000-0010-0000-DF00-000007000000}" name="G" dataDxfId="2735"/>
    <tableColumn id="8" xr3:uid="{00000000-0010-0000-DF00-000008000000}" name="AB" dataDxfId="2734"/>
    <tableColumn id="9" xr3:uid="{00000000-0010-0000-DF00-000009000000}" name="R" dataDxfId="2733"/>
    <tableColumn id="10" xr3:uid="{00000000-0010-0000-DF00-00000A000000}" name="H" dataDxfId="2732"/>
    <tableColumn id="11" xr3:uid="{00000000-0010-0000-DF00-00000B000000}" name="2B" dataDxfId="2731"/>
    <tableColumn id="12" xr3:uid="{00000000-0010-0000-DF00-00000C000000}" name="3B" dataDxfId="2730"/>
    <tableColumn id="13" xr3:uid="{00000000-0010-0000-DF00-00000D000000}" name="HR" dataDxfId="2729"/>
    <tableColumn id="14" xr3:uid="{00000000-0010-0000-DF00-00000E000000}" name="RBI" dataDxfId="2728"/>
    <tableColumn id="15" xr3:uid="{00000000-0010-0000-DF00-00000F000000}" name="BB" dataDxfId="2727"/>
    <tableColumn id="16" xr3:uid="{00000000-0010-0000-DF00-000010000000}" name="K" dataDxfId="2726"/>
    <tableColumn id="17" xr3:uid="{00000000-0010-0000-DF00-000011000000}" name="SB" dataDxfId="2725"/>
    <tableColumn id="18" xr3:uid="{00000000-0010-0000-DF00-000012000000}" name="HS" dataDxfId="2724"/>
    <tableColumn id="19" xr3:uid="{00000000-0010-0000-DF00-000013000000}" name="LS" dataDxfId="2723"/>
    <tableColumn id="20" xr3:uid="{00000000-0010-0000-DF00-000014000000}" name="TB" dataDxfId="2722">
      <calculatedColumnFormula>IFERROR((CIN_H142[[#This Row],[H]]-CIN_H142[[#This Row],[2B]]-CIN_H142[[#This Row],[3B]]-CIN_H142[[#This Row],[HR]])+(CIN_H142[[#This Row],[2B]]*2)+(CIN_H142[[#This Row],[3B]]*3)+(CIN_H142[[#This Row],[HR]]*4),0)</calculatedColumnFormula>
    </tableColumn>
    <tableColumn id="21" xr3:uid="{00000000-0010-0000-DF00-000015000000}" name="OPS" dataDxfId="2721">
      <calculatedColumnFormula>CIN_H142[[#This Row],[OBP]]+CIN_H142[[#This Row],[SLG]]</calculatedColumnFormula>
    </tableColumn>
    <tableColumn id="22" xr3:uid="{00000000-0010-0000-DF00-000016000000}" name="*" dataDxfId="2720"/>
    <tableColumn id="23" xr3:uid="{00000000-0010-0000-DF00-000017000000}" name="#" dataDxfId="2719"/>
  </tableColumns>
  <tableStyleInfo name="TableStyleMedium3" showFirstColumn="0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E0000000}" name="CIN_P143" displayName="CIN_P143" ref="Z82:AR92" totalsRowShown="0" headerRowDxfId="2718" dataDxfId="2716" headerRowBorderDxfId="2717">
  <autoFilter ref="Z82:AR92" xr:uid="{00000000-0009-0000-0100-00008E000000}"/>
  <sortState xmlns:xlrd2="http://schemas.microsoft.com/office/spreadsheetml/2017/richdata2" ref="Z83:AR92">
    <sortCondition ref="AR82:AR92"/>
  </sortState>
  <tableColumns count="19">
    <tableColumn id="1" xr3:uid="{00000000-0010-0000-E000-000001000000}" name="TM" dataDxfId="2715"/>
    <tableColumn id="2" xr3:uid="{00000000-0010-0000-E000-000002000000}" name="@" dataDxfId="2714"/>
    <tableColumn id="3" xr3:uid="{00000000-0010-0000-E000-000003000000}" name="NAME" dataDxfId="2713"/>
    <tableColumn id="4" xr3:uid="{00000000-0010-0000-E000-000004000000}" name="ERA" dataDxfId="2712">
      <calculatedColumnFormula>IFERROR((CIN_P143[[#This Row],[R]]*9)/CIN_P143[[#This Row],[IP]],0)</calculatedColumnFormula>
    </tableColumn>
    <tableColumn id="5" xr3:uid="{00000000-0010-0000-E000-000005000000}" name="W" dataDxfId="2711"/>
    <tableColumn id="6" xr3:uid="{00000000-0010-0000-E000-000006000000}" name="L" dataDxfId="2710"/>
    <tableColumn id="7" xr3:uid="{00000000-0010-0000-E000-000007000000}" name="G" dataDxfId="2709"/>
    <tableColumn id="8" xr3:uid="{00000000-0010-0000-E000-000008000000}" name="IP" dataDxfId="2708"/>
    <tableColumn id="9" xr3:uid="{00000000-0010-0000-E000-000009000000}" name="H" dataDxfId="2707"/>
    <tableColumn id="10" xr3:uid="{00000000-0010-0000-E000-00000A000000}" name="R" dataDxfId="2706"/>
    <tableColumn id="11" xr3:uid="{00000000-0010-0000-E000-00000B000000}" name="BB" dataDxfId="2705"/>
    <tableColumn id="12" xr3:uid="{00000000-0010-0000-E000-00000C000000}" name="K" dataDxfId="2704"/>
    <tableColumn id="13" xr3:uid="{00000000-0010-0000-E000-00000D000000}" name="SV" dataDxfId="2703"/>
    <tableColumn id="14" xr3:uid="{00000000-0010-0000-E000-00000E000000}" name="WH" dataDxfId="2702">
      <calculatedColumnFormula>IFERROR((CIN_P143[[#This Row],[BB]]+CIN_P143[[#This Row],[H]])/CIN_P143[[#This Row],[IP]],0)</calculatedColumnFormula>
    </tableColumn>
    <tableColumn id="15" xr3:uid="{00000000-0010-0000-E000-00000F000000}" name="QS" dataDxfId="2701"/>
    <tableColumn id="16" xr3:uid="{00000000-0010-0000-E000-000010000000}" name="UQ" dataDxfId="2700"/>
    <tableColumn id="17" xr3:uid="{00000000-0010-0000-E000-000011000000}" name="CG" dataDxfId="2699"/>
    <tableColumn id="18" xr3:uid="{00000000-0010-0000-E000-000012000000}" name="SH" dataDxfId="2698"/>
    <tableColumn id="19" xr3:uid="{00000000-0010-0000-E000-000013000000}" name="#" dataDxfId="2697"/>
  </tableColumns>
  <tableStyleInfo name="TableStyleMedium3" showFirstColumn="0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E1000000}" name="CIN_H152" displayName="CIN_H152" ref="AY65:BU79" totalsRowShown="0" headerRowDxfId="2696" dataDxfId="2694" headerRowBorderDxfId="2695">
  <autoFilter ref="AY65:BU79" xr:uid="{00000000-0009-0000-0100-00008F000000}"/>
  <sortState xmlns:xlrd2="http://schemas.microsoft.com/office/spreadsheetml/2017/richdata2" ref="AY66:BU79">
    <sortCondition descending="1" ref="BR65:BR79"/>
  </sortState>
  <tableColumns count="23">
    <tableColumn id="1" xr3:uid="{00000000-0010-0000-E100-000001000000}" name="TM" dataDxfId="2693"/>
    <tableColumn id="2" xr3:uid="{00000000-0010-0000-E100-000002000000}" name="@" dataDxfId="2692"/>
    <tableColumn id="3" xr3:uid="{00000000-0010-0000-E100-000003000000}" name="NAME" dataDxfId="2691"/>
    <tableColumn id="4" xr3:uid="{00000000-0010-0000-E100-000004000000}" name="BA" dataDxfId="2690">
      <calculatedColumnFormula>IFERROR(CIN_H152[[#This Row],[H]]/CIN_H152[[#This Row],[AB]],0)</calculatedColumnFormula>
    </tableColumn>
    <tableColumn id="5" xr3:uid="{00000000-0010-0000-E100-000005000000}" name="OBP" dataDxfId="2689">
      <calculatedColumnFormula>IFERROR((CIN_H152[[#This Row],[BB]]+CIN_H152[[#This Row],[H]])/(CIN_H152[[#This Row],[BB]]+CIN_H152[[#This Row],[AB]]),0)</calculatedColumnFormula>
    </tableColumn>
    <tableColumn id="6" xr3:uid="{00000000-0010-0000-E100-000006000000}" name="SLG" dataDxfId="2688">
      <calculatedColumnFormula>IFERROR(((CIN_H152[[#This Row],[H]]-CIN_H152[[#This Row],[2B]]-CIN_H152[[#This Row],[3B]]-CIN_H152[[#This Row],[HR]])+(CIN_H152[[#This Row],[2B]]*2)+(CIN_H152[[#This Row],[3B]]*3)+(CIN_H152[[#This Row],[HR]]*4))/CIN_H152[[#This Row],[AB]],0)</calculatedColumnFormula>
    </tableColumn>
    <tableColumn id="7" xr3:uid="{00000000-0010-0000-E100-000007000000}" name="G" dataDxfId="2687"/>
    <tableColumn id="8" xr3:uid="{00000000-0010-0000-E100-000008000000}" name="AB" dataDxfId="2686"/>
    <tableColumn id="9" xr3:uid="{00000000-0010-0000-E100-000009000000}" name="R" dataDxfId="2685"/>
    <tableColumn id="10" xr3:uid="{00000000-0010-0000-E100-00000A000000}" name="H" dataDxfId="2684"/>
    <tableColumn id="11" xr3:uid="{00000000-0010-0000-E100-00000B000000}" name="2B" dataDxfId="2683"/>
    <tableColumn id="12" xr3:uid="{00000000-0010-0000-E100-00000C000000}" name="3B" dataDxfId="2682"/>
    <tableColumn id="13" xr3:uid="{00000000-0010-0000-E100-00000D000000}" name="HR" dataDxfId="2681"/>
    <tableColumn id="14" xr3:uid="{00000000-0010-0000-E100-00000E000000}" name="RBI" dataDxfId="2680"/>
    <tableColumn id="15" xr3:uid="{00000000-0010-0000-E100-00000F000000}" name="BB" dataDxfId="2679"/>
    <tableColumn id="16" xr3:uid="{00000000-0010-0000-E100-000010000000}" name="K" dataDxfId="2678"/>
    <tableColumn id="17" xr3:uid="{00000000-0010-0000-E100-000011000000}" name="SB" dataDxfId="2677"/>
    <tableColumn id="18" xr3:uid="{00000000-0010-0000-E100-000012000000}" name="HS" dataDxfId="2676"/>
    <tableColumn id="19" xr3:uid="{00000000-0010-0000-E100-000013000000}" name="LS" dataDxfId="2675"/>
    <tableColumn id="20" xr3:uid="{00000000-0010-0000-E100-000014000000}" name="TB" dataDxfId="2674">
      <calculatedColumnFormula>IFERROR((CIN_H152[[#This Row],[H]]-CIN_H152[[#This Row],[2B]]-CIN_H152[[#This Row],[3B]]-CIN_H152[[#This Row],[HR]])+(CIN_H152[[#This Row],[2B]]*2)+(CIN_H152[[#This Row],[3B]]*3)+(CIN_H152[[#This Row],[HR]]*4),0)</calculatedColumnFormula>
    </tableColumn>
    <tableColumn id="21" xr3:uid="{00000000-0010-0000-E100-000015000000}" name="OPS" dataDxfId="2673">
      <calculatedColumnFormula>IFERROR(CIN_H152[[#This Row],[OBP]]+CIN_H152[[#This Row],[SLG]],0)</calculatedColumnFormula>
    </tableColumn>
    <tableColumn id="22" xr3:uid="{00000000-0010-0000-E100-000016000000}" name="*" dataDxfId="2672"/>
    <tableColumn id="23" xr3:uid="{00000000-0010-0000-E100-000017000000}" name="#" dataDxfId="2671"/>
  </tableColumns>
  <tableStyleInfo name="TableStyleMedium3" showFirstColumn="0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E2000000}" name="CIN_P153" displayName="CIN_P153" ref="AY82:BQ92" totalsRowShown="0" headerRowDxfId="2670" dataDxfId="2668" headerRowBorderDxfId="2669">
  <autoFilter ref="AY82:BQ92" xr:uid="{00000000-0009-0000-0100-000090000000}"/>
  <sortState xmlns:xlrd2="http://schemas.microsoft.com/office/spreadsheetml/2017/richdata2" ref="AY83:BQ92">
    <sortCondition ref="BQ82:BQ92"/>
  </sortState>
  <tableColumns count="19">
    <tableColumn id="1" xr3:uid="{00000000-0010-0000-E200-000001000000}" name="TM" dataDxfId="2667"/>
    <tableColumn id="2" xr3:uid="{00000000-0010-0000-E200-000002000000}" name="@" dataDxfId="2666"/>
    <tableColumn id="3" xr3:uid="{00000000-0010-0000-E200-000003000000}" name="NAME" dataDxfId="2665"/>
    <tableColumn id="4" xr3:uid="{00000000-0010-0000-E200-000004000000}" name="ERA" dataDxfId="2664">
      <calculatedColumnFormula>IFERROR((CIN_P153[[#This Row],[R]]*9)/CIN_P153[[#This Row],[IP]],0)</calculatedColumnFormula>
    </tableColumn>
    <tableColumn id="5" xr3:uid="{00000000-0010-0000-E200-000005000000}" name="W" dataDxfId="2663"/>
    <tableColumn id="6" xr3:uid="{00000000-0010-0000-E200-000006000000}" name="L" dataDxfId="2662"/>
    <tableColumn id="7" xr3:uid="{00000000-0010-0000-E200-000007000000}" name="G" dataDxfId="2661"/>
    <tableColumn id="8" xr3:uid="{00000000-0010-0000-E200-000008000000}" name="IP" dataDxfId="2660"/>
    <tableColumn id="9" xr3:uid="{00000000-0010-0000-E200-000009000000}" name="H" dataDxfId="2659"/>
    <tableColumn id="10" xr3:uid="{00000000-0010-0000-E200-00000A000000}" name="R" dataDxfId="2658"/>
    <tableColumn id="11" xr3:uid="{00000000-0010-0000-E200-00000B000000}" name="BB" dataDxfId="2657"/>
    <tableColumn id="12" xr3:uid="{00000000-0010-0000-E200-00000C000000}" name="K" dataDxfId="2656"/>
    <tableColumn id="13" xr3:uid="{00000000-0010-0000-E200-00000D000000}" name="SV" dataDxfId="2655"/>
    <tableColumn id="14" xr3:uid="{00000000-0010-0000-E200-00000E000000}" name="WH" dataDxfId="2654">
      <calculatedColumnFormula>IFERROR((CIN_P153[[#This Row],[BB]]+CIN_P153[[#This Row],[H]])/CIN_P153[[#This Row],[IP]],0)</calculatedColumnFormula>
    </tableColumn>
    <tableColumn id="15" xr3:uid="{00000000-0010-0000-E200-00000F000000}" name="QS" dataDxfId="2653"/>
    <tableColumn id="16" xr3:uid="{00000000-0010-0000-E200-000010000000}" name="UQ" dataDxfId="2652"/>
    <tableColumn id="17" xr3:uid="{00000000-0010-0000-E200-000011000000}" name="CG" dataDxfId="2651"/>
    <tableColumn id="18" xr3:uid="{00000000-0010-0000-E200-000012000000}" name="SH" dataDxfId="2650"/>
    <tableColumn id="19" xr3:uid="{00000000-0010-0000-E200-000013000000}" name="#" dataDxfId="2649"/>
  </tableColumns>
  <tableStyleInfo name="TableStyleMedium3" showFirstColumn="0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E3000000}" name="MIL_H146" displayName="MIL_H146" ref="Z96:AV110" totalsRowShown="0" headerRowDxfId="2648" dataDxfId="2646" headerRowBorderDxfId="2647">
  <autoFilter ref="Z96:AV110" xr:uid="{00000000-0009-0000-0100-000091000000}"/>
  <sortState xmlns:xlrd2="http://schemas.microsoft.com/office/spreadsheetml/2017/richdata2" ref="Z97:AV110">
    <sortCondition ref="AV96:AV110"/>
  </sortState>
  <tableColumns count="23">
    <tableColumn id="1" xr3:uid="{00000000-0010-0000-E300-000001000000}" name="TM" dataDxfId="2645"/>
    <tableColumn id="2" xr3:uid="{00000000-0010-0000-E300-000002000000}" name="@" dataDxfId="2644"/>
    <tableColumn id="3" xr3:uid="{00000000-0010-0000-E300-000003000000}" name="NAME" dataDxfId="2643"/>
    <tableColumn id="4" xr3:uid="{00000000-0010-0000-E300-000004000000}" name="BA" dataDxfId="2642">
      <calculatedColumnFormula>IFERROR(MIL_H146[[#This Row],[H]]/MIL_H146[[#This Row],[AB]],0)</calculatedColumnFormula>
    </tableColumn>
    <tableColumn id="5" xr3:uid="{00000000-0010-0000-E300-000005000000}" name="OBP" dataDxfId="2641">
      <calculatedColumnFormula>IFERROR((MIL_H146[[#This Row],[H]]+MIL_H146[[#This Row],[BB]])/(MIL_H146[[#This Row],[BB]]+MIL_H146[[#This Row],[AB]]),0)</calculatedColumnFormula>
    </tableColumn>
    <tableColumn id="6" xr3:uid="{00000000-0010-0000-E300-000006000000}" name="SLG" dataDxfId="2640">
      <calculatedColumnFormula>IFERROR(((MIL_H146[[#This Row],[H]]-MIL_H146[[#This Row],[2B]]-MIL_H146[[#This Row],[3B]]-MIL_H146[[#This Row],[HR]])+(MIL_H146[[#This Row],[2B]]*2)+(MIL_H146[[#This Row],[3B]]*3)+(MIL_H146[[#This Row],[HR]]*4))/MIL_H146[[#This Row],[AB]],0)</calculatedColumnFormula>
    </tableColumn>
    <tableColumn id="7" xr3:uid="{00000000-0010-0000-E300-000007000000}" name="G" dataDxfId="2639"/>
    <tableColumn id="8" xr3:uid="{00000000-0010-0000-E300-000008000000}" name="AB" dataDxfId="2638"/>
    <tableColumn id="9" xr3:uid="{00000000-0010-0000-E300-000009000000}" name="R" dataDxfId="2637"/>
    <tableColumn id="10" xr3:uid="{00000000-0010-0000-E300-00000A000000}" name="H" dataDxfId="2636"/>
    <tableColumn id="11" xr3:uid="{00000000-0010-0000-E300-00000B000000}" name="2B" dataDxfId="2635"/>
    <tableColumn id="12" xr3:uid="{00000000-0010-0000-E300-00000C000000}" name="3B" dataDxfId="2634"/>
    <tableColumn id="13" xr3:uid="{00000000-0010-0000-E300-00000D000000}" name="HR" dataDxfId="2633"/>
    <tableColumn id="14" xr3:uid="{00000000-0010-0000-E300-00000E000000}" name="RBI" dataDxfId="2632"/>
    <tableColumn id="15" xr3:uid="{00000000-0010-0000-E300-00000F000000}" name="BB" dataDxfId="2631"/>
    <tableColumn id="16" xr3:uid="{00000000-0010-0000-E300-000010000000}" name="K" dataDxfId="2630"/>
    <tableColumn id="17" xr3:uid="{00000000-0010-0000-E300-000011000000}" name="SB" dataDxfId="2629"/>
    <tableColumn id="18" xr3:uid="{00000000-0010-0000-E300-000012000000}" name="HS" dataDxfId="2628"/>
    <tableColumn id="19" xr3:uid="{00000000-0010-0000-E300-000013000000}" name="LS" dataDxfId="2627"/>
    <tableColumn id="20" xr3:uid="{00000000-0010-0000-E300-000014000000}" name="TB" dataDxfId="2626">
      <calculatedColumnFormula>IFERROR((MIL_H146[[#This Row],[H]]-MIL_H146[[#This Row],[2B]]-MIL_H146[[#This Row],[3B]]-MIL_H146[[#This Row],[HR]])+(MIL_H146[[#This Row],[2B]]*2)+(MIL_H146[[#This Row],[3B]]*3)+(MIL_H146[[#This Row],[HR]]*4),0)</calculatedColumnFormula>
    </tableColumn>
    <tableColumn id="21" xr3:uid="{00000000-0010-0000-E300-000015000000}" name="OPS" dataDxfId="2625">
      <calculatedColumnFormula>MIL_H146[[#This Row],[OBP]]+MIL_H146[[#This Row],[SLG]]</calculatedColumnFormula>
    </tableColumn>
    <tableColumn id="22" xr3:uid="{00000000-0010-0000-E300-000016000000}" name="*" dataDxfId="2624"/>
    <tableColumn id="23" xr3:uid="{00000000-0010-0000-E300-000017000000}" name="#" dataDxfId="2623"/>
  </tableColumns>
  <tableStyleInfo name="TableStyleMedium5" showFirstColumn="0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E4000000}" name="MIL_P147" displayName="MIL_P147" ref="Z113:AR123" totalsRowShown="0" headerRowDxfId="2622" dataDxfId="2620" headerRowBorderDxfId="2621">
  <autoFilter ref="Z113:AR123" xr:uid="{00000000-0009-0000-0100-000092000000}"/>
  <tableColumns count="19">
    <tableColumn id="1" xr3:uid="{00000000-0010-0000-E400-000001000000}" name="TM" dataDxfId="2619"/>
    <tableColumn id="2" xr3:uid="{00000000-0010-0000-E400-000002000000}" name="@" dataDxfId="2618"/>
    <tableColumn id="3" xr3:uid="{00000000-0010-0000-E400-000003000000}" name="NAME" dataDxfId="2617"/>
    <tableColumn id="4" xr3:uid="{00000000-0010-0000-E400-000004000000}" name="ERA" dataDxfId="2616">
      <calculatedColumnFormula>IFERROR((MIL_P147[[#This Row],[R]]*9)/MIL_P147[[#This Row],[IP]],0)</calculatedColumnFormula>
    </tableColumn>
    <tableColumn id="5" xr3:uid="{00000000-0010-0000-E400-000005000000}" name="W" dataDxfId="2615"/>
    <tableColumn id="6" xr3:uid="{00000000-0010-0000-E400-000006000000}" name="L" dataDxfId="2614"/>
    <tableColumn id="7" xr3:uid="{00000000-0010-0000-E400-000007000000}" name="G" dataDxfId="2613"/>
    <tableColumn id="8" xr3:uid="{00000000-0010-0000-E400-000008000000}" name="IP" dataDxfId="2612"/>
    <tableColumn id="9" xr3:uid="{00000000-0010-0000-E400-000009000000}" name="H" dataDxfId="2611"/>
    <tableColumn id="10" xr3:uid="{00000000-0010-0000-E400-00000A000000}" name="R" dataDxfId="2610"/>
    <tableColumn id="11" xr3:uid="{00000000-0010-0000-E400-00000B000000}" name="BB" dataDxfId="2609"/>
    <tableColumn id="12" xr3:uid="{00000000-0010-0000-E400-00000C000000}" name="K" dataDxfId="2608"/>
    <tableColumn id="13" xr3:uid="{00000000-0010-0000-E400-00000D000000}" name="SV" dataDxfId="2607"/>
    <tableColumn id="14" xr3:uid="{00000000-0010-0000-E400-00000E000000}" name="WH" dataDxfId="2606">
      <calculatedColumnFormula>IFERROR((MIL_P147[[#This Row],[BB]]+MIL_P147[[#This Row],[H]])/MIL_P147[[#This Row],[IP]],0)</calculatedColumnFormula>
    </tableColumn>
    <tableColumn id="15" xr3:uid="{00000000-0010-0000-E400-00000F000000}" name="QS" dataDxfId="2605"/>
    <tableColumn id="16" xr3:uid="{00000000-0010-0000-E400-000010000000}" name="UQ" dataDxfId="2604"/>
    <tableColumn id="17" xr3:uid="{00000000-0010-0000-E400-000011000000}" name="CG" dataDxfId="2603"/>
    <tableColumn id="18" xr3:uid="{00000000-0010-0000-E400-000012000000}" name="SH" dataDxfId="2602"/>
    <tableColumn id="19" xr3:uid="{00000000-0010-0000-E400-000013000000}" name="#" dataDxfId="2601"/>
  </tableColumns>
  <tableStyleInfo name="TableStyleMedium5" showFirstColumn="0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E5000000}" name="MIL_H154" displayName="MIL_H154" ref="AY96:BU110" totalsRowShown="0" headerRowDxfId="2600" dataDxfId="2598" headerRowBorderDxfId="2599">
  <autoFilter ref="AY96:BU110" xr:uid="{00000000-0009-0000-0100-000093000000}"/>
  <sortState xmlns:xlrd2="http://schemas.microsoft.com/office/spreadsheetml/2017/richdata2" ref="AY97:BU110">
    <sortCondition descending="1" ref="BR96:BR110"/>
  </sortState>
  <tableColumns count="23">
    <tableColumn id="1" xr3:uid="{00000000-0010-0000-E500-000001000000}" name="TM" dataDxfId="2597"/>
    <tableColumn id="2" xr3:uid="{00000000-0010-0000-E500-000002000000}" name="@" dataDxfId="2596"/>
    <tableColumn id="3" xr3:uid="{00000000-0010-0000-E500-000003000000}" name="NAME" dataDxfId="2595"/>
    <tableColumn id="4" xr3:uid="{00000000-0010-0000-E500-000004000000}" name="BA" dataDxfId="2594">
      <calculatedColumnFormula>IFERROR(MIL_H154[[#This Row],[H]]/MIL_H154[[#This Row],[AB]],0)</calculatedColumnFormula>
    </tableColumn>
    <tableColumn id="5" xr3:uid="{00000000-0010-0000-E500-000005000000}" name="OBP" dataDxfId="2593">
      <calculatedColumnFormula>IFERROR((MIL_H154[[#This Row],[H]]+MIL_H154[[#This Row],[BB]])/(MIL_H154[[#This Row],[BB]]+MIL_H154[[#This Row],[AB]]),0)</calculatedColumnFormula>
    </tableColumn>
    <tableColumn id="6" xr3:uid="{00000000-0010-0000-E500-000006000000}" name="SLG" dataDxfId="2592">
      <calculatedColumnFormula>IFERROR(((MIL_H154[[#This Row],[H]]-MIL_H154[[#This Row],[2B]]-MIL_H154[[#This Row],[3B]]-MIL_H154[[#This Row],[HR]])+(MIL_H154[[#This Row],[2B]]*2)+(MIL_H154[[#This Row],[3B]]*3)+(MIL_H154[[#This Row],[HR]]*4))/MIL_H154[[#This Row],[AB]],0)</calculatedColumnFormula>
    </tableColumn>
    <tableColumn id="7" xr3:uid="{00000000-0010-0000-E500-000007000000}" name="G" dataDxfId="2591"/>
    <tableColumn id="8" xr3:uid="{00000000-0010-0000-E500-000008000000}" name="AB" dataDxfId="2590"/>
    <tableColumn id="9" xr3:uid="{00000000-0010-0000-E500-000009000000}" name="R" dataDxfId="2589"/>
    <tableColumn id="10" xr3:uid="{00000000-0010-0000-E500-00000A000000}" name="H" dataDxfId="2588"/>
    <tableColumn id="11" xr3:uid="{00000000-0010-0000-E500-00000B000000}" name="2B" dataDxfId="2587"/>
    <tableColumn id="12" xr3:uid="{00000000-0010-0000-E500-00000C000000}" name="3B" dataDxfId="2586"/>
    <tableColumn id="13" xr3:uid="{00000000-0010-0000-E500-00000D000000}" name="HR" dataDxfId="2585"/>
    <tableColumn id="14" xr3:uid="{00000000-0010-0000-E500-00000E000000}" name="RBI" dataDxfId="2584"/>
    <tableColumn id="15" xr3:uid="{00000000-0010-0000-E500-00000F000000}" name="BB" dataDxfId="2583"/>
    <tableColumn id="16" xr3:uid="{00000000-0010-0000-E500-000010000000}" name="K" dataDxfId="2582"/>
    <tableColumn id="17" xr3:uid="{00000000-0010-0000-E500-000011000000}" name="SB" dataDxfId="2581"/>
    <tableColumn id="18" xr3:uid="{00000000-0010-0000-E500-000012000000}" name="HS" dataDxfId="2580"/>
    <tableColumn id="19" xr3:uid="{00000000-0010-0000-E500-000013000000}" name="LS" dataDxfId="2579"/>
    <tableColumn id="20" xr3:uid="{00000000-0010-0000-E500-000014000000}" name="TB" dataDxfId="2578">
      <calculatedColumnFormula>(MIL_H154[[#This Row],[H]]-MIL_H154[[#This Row],[2B]]-MIL_H154[[#This Row],[3B]]-MIL_H154[[#This Row],[HR]])+(MIL_H154[[#This Row],[2B]]*2)+(MIL_H154[[#This Row],[3B]]*3)+(MIL_H154[[#This Row],[HR]]*4)</calculatedColumnFormula>
    </tableColumn>
    <tableColumn id="21" xr3:uid="{00000000-0010-0000-E500-000015000000}" name="OPS" dataDxfId="2577">
      <calculatedColumnFormula>IFERROR(MIL_H154[[#This Row],[OBP]]+MIL_H154[[#This Row],[SLG]],0)</calculatedColumnFormula>
    </tableColumn>
    <tableColumn id="22" xr3:uid="{00000000-0010-0000-E500-000016000000}" name="*" dataDxfId="2576"/>
    <tableColumn id="23" xr3:uid="{00000000-0010-0000-E500-000017000000}" name="#" dataDxfId="2575"/>
  </tableColumns>
  <tableStyleInfo name="TableStyleMedium5" showFirstColumn="0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E6000000}" name="MIL_P155" displayName="MIL_P155" ref="AY113:BQ123" totalsRowShown="0" headerRowDxfId="2574" dataDxfId="2572" headerRowBorderDxfId="2573">
  <autoFilter ref="AY113:BQ123" xr:uid="{00000000-0009-0000-0100-000094000000}"/>
  <tableColumns count="19">
    <tableColumn id="1" xr3:uid="{00000000-0010-0000-E600-000001000000}" name="TM" dataDxfId="2571"/>
    <tableColumn id="2" xr3:uid="{00000000-0010-0000-E600-000002000000}" name="@" dataDxfId="2570"/>
    <tableColumn id="3" xr3:uid="{00000000-0010-0000-E600-000003000000}" name="NAME" dataDxfId="2569"/>
    <tableColumn id="4" xr3:uid="{00000000-0010-0000-E600-000004000000}" name="ERA" dataDxfId="2568">
      <calculatedColumnFormula>IFERROR((MIL_P155[[#This Row],[R]]*9)/MIL_P155[[#This Row],[IP]],0)</calculatedColumnFormula>
    </tableColumn>
    <tableColumn id="5" xr3:uid="{00000000-0010-0000-E600-000005000000}" name="W" dataDxfId="2567"/>
    <tableColumn id="6" xr3:uid="{00000000-0010-0000-E600-000006000000}" name="L" dataDxfId="2566"/>
    <tableColumn id="7" xr3:uid="{00000000-0010-0000-E600-000007000000}" name="G" dataDxfId="2565"/>
    <tableColumn id="8" xr3:uid="{00000000-0010-0000-E600-000008000000}" name="IP" dataDxfId="2564"/>
    <tableColumn id="9" xr3:uid="{00000000-0010-0000-E600-000009000000}" name="H" dataDxfId="2563"/>
    <tableColumn id="10" xr3:uid="{00000000-0010-0000-E600-00000A000000}" name="R" dataDxfId="2562"/>
    <tableColumn id="11" xr3:uid="{00000000-0010-0000-E600-00000B000000}" name="BB" dataDxfId="2561"/>
    <tableColumn id="12" xr3:uid="{00000000-0010-0000-E600-00000C000000}" name="K" dataDxfId="2560"/>
    <tableColumn id="13" xr3:uid="{00000000-0010-0000-E600-00000D000000}" name="SV" dataDxfId="2559"/>
    <tableColumn id="14" xr3:uid="{00000000-0010-0000-E600-00000E000000}" name="WH" dataDxfId="2558">
      <calculatedColumnFormula>IFERROR((MIL_P155[[#This Row],[BB]]+MIL_P155[[#This Row],[H]])/MIL_P155[[#This Row],[IP]],0)</calculatedColumnFormula>
    </tableColumn>
    <tableColumn id="15" xr3:uid="{00000000-0010-0000-E600-00000F000000}" name="QS" dataDxfId="2557"/>
    <tableColumn id="16" xr3:uid="{00000000-0010-0000-E600-000010000000}" name="UQ" dataDxfId="2556"/>
    <tableColumn id="17" xr3:uid="{00000000-0010-0000-E600-000011000000}" name="CG" dataDxfId="2555"/>
    <tableColumn id="18" xr3:uid="{00000000-0010-0000-E600-000012000000}" name="SH" dataDxfId="2554"/>
    <tableColumn id="19" xr3:uid="{00000000-0010-0000-E600-000013000000}" name="#" dataDxfId="2553"/>
  </tableColumns>
  <tableStyleInfo name="TableStyleMedium5" showFirstColumn="0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E7000000}" name="PIT_H150" displayName="PIT_H150" ref="Z127:AV141" totalsRowShown="0" headerRowDxfId="2552" dataDxfId="2550" headerRowBorderDxfId="2551">
  <autoFilter ref="Z127:AV141" xr:uid="{00000000-0009-0000-0100-000095000000}"/>
  <sortState xmlns:xlrd2="http://schemas.microsoft.com/office/spreadsheetml/2017/richdata2" ref="Z128:AV141">
    <sortCondition ref="AV127:AV141"/>
  </sortState>
  <tableColumns count="23">
    <tableColumn id="1" xr3:uid="{00000000-0010-0000-E700-000001000000}" name="TM" dataDxfId="2549"/>
    <tableColumn id="2" xr3:uid="{00000000-0010-0000-E700-000002000000}" name="@" dataDxfId="2548"/>
    <tableColumn id="3" xr3:uid="{00000000-0010-0000-E700-000003000000}" name="NAME" dataDxfId="2547"/>
    <tableColumn id="4" xr3:uid="{00000000-0010-0000-E700-000004000000}" name="BA" dataDxfId="2546">
      <calculatedColumnFormula>IFERROR(PIT_H150[[#This Row],[H]]/PIT_H150[[#This Row],[AB]],0)</calculatedColumnFormula>
    </tableColumn>
    <tableColumn id="5" xr3:uid="{00000000-0010-0000-E700-000005000000}" name="OBP" dataDxfId="2545">
      <calculatedColumnFormula>IFERROR((PIT_H150[[#This Row],[H]]+PIT_H150[[#This Row],[BB]])/(PIT_H150[[#This Row],[BB]]+PIT_H150[[#This Row],[AB]]),0)</calculatedColumnFormula>
    </tableColumn>
    <tableColumn id="6" xr3:uid="{00000000-0010-0000-E700-000006000000}" name="SLG" dataDxfId="2544">
      <calculatedColumnFormula>IFERROR(((PIT_H150[[#This Row],[H]]-PIT_H150[[#This Row],[2B]]-PIT_H150[[#This Row],[3B]]-PIT_H150[[#This Row],[HR]])+(PIT_H150[[#This Row],[2B]]*2)+(PIT_H150[[#This Row],[3B]]*3)+(PIT_H150[[#This Row],[HR]]*4))/PIT_H150[[#This Row],[AB]],0)</calculatedColumnFormula>
    </tableColumn>
    <tableColumn id="7" xr3:uid="{00000000-0010-0000-E700-000007000000}" name="G" dataDxfId="2543"/>
    <tableColumn id="8" xr3:uid="{00000000-0010-0000-E700-000008000000}" name="AB" dataDxfId="2542"/>
    <tableColumn id="9" xr3:uid="{00000000-0010-0000-E700-000009000000}" name="R" dataDxfId="2541"/>
    <tableColumn id="10" xr3:uid="{00000000-0010-0000-E700-00000A000000}" name="H" dataDxfId="2540"/>
    <tableColumn id="11" xr3:uid="{00000000-0010-0000-E700-00000B000000}" name="2B" dataDxfId="2539"/>
    <tableColumn id="12" xr3:uid="{00000000-0010-0000-E700-00000C000000}" name="3B" dataDxfId="2538"/>
    <tableColumn id="13" xr3:uid="{00000000-0010-0000-E700-00000D000000}" name="HR" dataDxfId="2537"/>
    <tableColumn id="14" xr3:uid="{00000000-0010-0000-E700-00000E000000}" name="RBI" dataDxfId="2536"/>
    <tableColumn id="15" xr3:uid="{00000000-0010-0000-E700-00000F000000}" name="BB" dataDxfId="2535"/>
    <tableColumn id="16" xr3:uid="{00000000-0010-0000-E700-000010000000}" name="K" dataDxfId="2534"/>
    <tableColumn id="17" xr3:uid="{00000000-0010-0000-E700-000011000000}" name="SB" dataDxfId="2533"/>
    <tableColumn id="18" xr3:uid="{00000000-0010-0000-E700-000012000000}" name="HS" dataDxfId="2532"/>
    <tableColumn id="19" xr3:uid="{00000000-0010-0000-E700-000013000000}" name="LS" dataDxfId="2531"/>
    <tableColumn id="20" xr3:uid="{00000000-0010-0000-E700-000014000000}" name="TB" dataDxfId="2530">
      <calculatedColumnFormula>IFERROR((PIT_H150[[#This Row],[H]]-PIT_H150[[#This Row],[2B]]-PIT_H150[[#This Row],[3B]]-PIT_H150[[#This Row],[HR]])+(PIT_H150[[#This Row],[2B]]*2)+(PIT_H150[[#This Row],[3B]]*3)+(PIT_H150[[#This Row],[HR]]*4),0)</calculatedColumnFormula>
    </tableColumn>
    <tableColumn id="21" xr3:uid="{00000000-0010-0000-E700-000015000000}" name="OPS" dataDxfId="2529">
      <calculatedColumnFormula>PIT_H150[[#This Row],[OBP]]+PIT_H150[[#This Row],[SLG]]</calculatedColumnFormula>
    </tableColumn>
    <tableColumn id="22" xr3:uid="{00000000-0010-0000-E700-000016000000}" name="*" dataDxfId="2528"/>
    <tableColumn id="23" xr3:uid="{00000000-0010-0000-E700-000017000000}" name="#" dataDxfId="2527"/>
  </tableColumns>
  <tableStyleInfo name="TableStyleMedium7" showFirstColumn="0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E8000000}" name="PIT_P151" displayName="PIT_P151" ref="Z144:AR154" totalsRowShown="0" headerRowDxfId="2526" dataDxfId="2524" headerRowBorderDxfId="2525">
  <autoFilter ref="Z144:AR154" xr:uid="{00000000-0009-0000-0100-000096000000}"/>
  <sortState xmlns:xlrd2="http://schemas.microsoft.com/office/spreadsheetml/2017/richdata2" ref="Z145:AR154">
    <sortCondition ref="AR144:AR154"/>
  </sortState>
  <tableColumns count="19">
    <tableColumn id="1" xr3:uid="{00000000-0010-0000-E800-000001000000}" name="TM" dataDxfId="2523"/>
    <tableColumn id="2" xr3:uid="{00000000-0010-0000-E800-000002000000}" name="@" dataDxfId="2522"/>
    <tableColumn id="3" xr3:uid="{00000000-0010-0000-E800-000003000000}" name="NAME" dataDxfId="2521"/>
    <tableColumn id="4" xr3:uid="{00000000-0010-0000-E800-000004000000}" name="ERA" dataDxfId="2520">
      <calculatedColumnFormula>IFERROR((PIT_P151[[#This Row],[R]]*9)/PIT_P151[[#This Row],[IP]],0)</calculatedColumnFormula>
    </tableColumn>
    <tableColumn id="5" xr3:uid="{00000000-0010-0000-E800-000005000000}" name="W" dataDxfId="2519"/>
    <tableColumn id="6" xr3:uid="{00000000-0010-0000-E800-000006000000}" name="L" dataDxfId="2518"/>
    <tableColumn id="7" xr3:uid="{00000000-0010-0000-E800-000007000000}" name="G" dataDxfId="2517"/>
    <tableColumn id="8" xr3:uid="{00000000-0010-0000-E800-000008000000}" name="IP" dataDxfId="2516"/>
    <tableColumn id="9" xr3:uid="{00000000-0010-0000-E800-000009000000}" name="H" dataDxfId="2515"/>
    <tableColumn id="10" xr3:uid="{00000000-0010-0000-E800-00000A000000}" name="R" dataDxfId="2514"/>
    <tableColumn id="11" xr3:uid="{00000000-0010-0000-E800-00000B000000}" name="BB" dataDxfId="2513"/>
    <tableColumn id="12" xr3:uid="{00000000-0010-0000-E800-00000C000000}" name="K" dataDxfId="2512"/>
    <tableColumn id="13" xr3:uid="{00000000-0010-0000-E800-00000D000000}" name="SV" dataDxfId="2511"/>
    <tableColumn id="14" xr3:uid="{00000000-0010-0000-E800-00000E000000}" name="WH" dataDxfId="2510">
      <calculatedColumnFormula>IFERROR((PIT_P151[[#This Row],[BB]]+PIT_P151[[#This Row],[H]])/PIT_P151[[#This Row],[IP]],0)</calculatedColumnFormula>
    </tableColumn>
    <tableColumn id="15" xr3:uid="{00000000-0010-0000-E800-00000F000000}" name="QS" dataDxfId="2509"/>
    <tableColumn id="16" xr3:uid="{00000000-0010-0000-E800-000010000000}" name="UQ" dataDxfId="2508"/>
    <tableColumn id="17" xr3:uid="{00000000-0010-0000-E800-000011000000}" name="CG" dataDxfId="2507"/>
    <tableColumn id="18" xr3:uid="{00000000-0010-0000-E800-000012000000}" name="SH" dataDxfId="2506"/>
    <tableColumn id="19" xr3:uid="{00000000-0010-0000-E800-000013000000}" name="#" dataDxfId="2505"/>
  </tableColumns>
  <tableStyleInfo name="TableStyleMedium7" showFirstColumn="0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E9000000}" name="PIT_H156" displayName="PIT_H156" ref="AY127:BU141" totalsRowShown="0" headerRowDxfId="2504" dataDxfId="2502" headerRowBorderDxfId="2503">
  <autoFilter ref="AY127:BU141" xr:uid="{00000000-0009-0000-0100-000097000000}"/>
  <sortState xmlns:xlrd2="http://schemas.microsoft.com/office/spreadsheetml/2017/richdata2" ref="AY128:BU141">
    <sortCondition ref="BU127:BU141"/>
  </sortState>
  <tableColumns count="23">
    <tableColumn id="1" xr3:uid="{00000000-0010-0000-E900-000001000000}" name="TM" dataDxfId="2501"/>
    <tableColumn id="2" xr3:uid="{00000000-0010-0000-E900-000002000000}" name="@" dataDxfId="2500"/>
    <tableColumn id="3" xr3:uid="{00000000-0010-0000-E900-000003000000}" name="NAME" dataDxfId="2499"/>
    <tableColumn id="4" xr3:uid="{00000000-0010-0000-E900-000004000000}" name="BA" dataDxfId="2498">
      <calculatedColumnFormula>IFERROR(PIT_H156[[#This Row],[H]]/PIT_H156[[#This Row],[AB]],0)</calculatedColumnFormula>
    </tableColumn>
    <tableColumn id="5" xr3:uid="{00000000-0010-0000-E900-000005000000}" name="OBP" dataDxfId="2497">
      <calculatedColumnFormula>IFERROR((PIT_H156[[#This Row],[BB]]+PIT_H156[[#This Row],[H]])/(PIT_H156[[#This Row],[BB]]+PIT_H156[[#This Row],[AB]]),0)</calculatedColumnFormula>
    </tableColumn>
    <tableColumn id="6" xr3:uid="{00000000-0010-0000-E900-000006000000}" name="SLG" dataDxfId="2496">
      <calculatedColumnFormula>IFERROR(((PIT_H156[[#This Row],[H]]-PIT_H156[[#This Row],[2B]]-PIT_H156[[#This Row],[3B]]-PIT_H156[[#This Row],[HR]])+(PIT_H156[[#This Row],[2B]]*2)+(PIT_H156[[#This Row],[3B]]*3)+(PIT_H156[[#This Row],[HR]]*4))/PIT_H156[[#This Row],[AB]],0)</calculatedColumnFormula>
    </tableColumn>
    <tableColumn id="7" xr3:uid="{00000000-0010-0000-E900-000007000000}" name="G" dataDxfId="2495"/>
    <tableColumn id="8" xr3:uid="{00000000-0010-0000-E900-000008000000}" name="AB" dataDxfId="2494"/>
    <tableColumn id="9" xr3:uid="{00000000-0010-0000-E900-000009000000}" name="R" dataDxfId="2493"/>
    <tableColumn id="10" xr3:uid="{00000000-0010-0000-E900-00000A000000}" name="H" dataDxfId="2492"/>
    <tableColumn id="11" xr3:uid="{00000000-0010-0000-E900-00000B000000}" name="2B" dataDxfId="2491"/>
    <tableColumn id="12" xr3:uid="{00000000-0010-0000-E900-00000C000000}" name="3B" dataDxfId="2490"/>
    <tableColumn id="13" xr3:uid="{00000000-0010-0000-E900-00000D000000}" name="HR" dataDxfId="2489"/>
    <tableColumn id="14" xr3:uid="{00000000-0010-0000-E900-00000E000000}" name="RBI" dataDxfId="2488"/>
    <tableColumn id="15" xr3:uid="{00000000-0010-0000-E900-00000F000000}" name="BB" dataDxfId="2487"/>
    <tableColumn id="16" xr3:uid="{00000000-0010-0000-E900-000010000000}" name="K" dataDxfId="2486"/>
    <tableColumn id="17" xr3:uid="{00000000-0010-0000-E900-000011000000}" name="SB" dataDxfId="2485"/>
    <tableColumn id="18" xr3:uid="{00000000-0010-0000-E900-000012000000}" name="HS" dataDxfId="2484"/>
    <tableColumn id="19" xr3:uid="{00000000-0010-0000-E900-000013000000}" name="LS" dataDxfId="2483"/>
    <tableColumn id="20" xr3:uid="{00000000-0010-0000-E900-000014000000}" name="TB" dataDxfId="2482">
      <calculatedColumnFormula>(PIT_H156[[#This Row],[H]]-PIT_H156[[#This Row],[2B]]-PIT_H156[[#This Row],[3B]]-PIT_H156[[#This Row],[HR]])+(PIT_H156[[#This Row],[2B]]*2)+(PIT_H156[[#This Row],[3B]]*3)+(PIT_H156[[#This Row],[HR]]*4)</calculatedColumnFormula>
    </tableColumn>
    <tableColumn id="21" xr3:uid="{00000000-0010-0000-E900-000015000000}" name="OPS" dataDxfId="2481">
      <calculatedColumnFormula>IFERROR(PIT_H156[[#This Row],[OBP]]+PIT_H156[[#This Row],[SLG]],0)</calculatedColumnFormula>
    </tableColumn>
    <tableColumn id="22" xr3:uid="{00000000-0010-0000-E900-000016000000}" name="*" dataDxfId="2480"/>
    <tableColumn id="23" xr3:uid="{00000000-0010-0000-E900-000017000000}" name="#" dataDxfId="2479"/>
  </tableColumns>
  <tableStyleInfo name="TableStyleMedium7" showFirstColumn="0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EA000000}" name="PIT_P157" displayName="PIT_P157" ref="AY144:BQ154" totalsRowShown="0" headerRowDxfId="2478" dataDxfId="2476" headerRowBorderDxfId="2477">
  <autoFilter ref="AY144:BQ154" xr:uid="{00000000-0009-0000-0100-000098000000}"/>
  <sortState xmlns:xlrd2="http://schemas.microsoft.com/office/spreadsheetml/2017/richdata2" ref="AY145:BQ154">
    <sortCondition ref="BQ144:BQ154"/>
  </sortState>
  <tableColumns count="19">
    <tableColumn id="1" xr3:uid="{00000000-0010-0000-EA00-000001000000}" name="TM" dataDxfId="2475"/>
    <tableColumn id="2" xr3:uid="{00000000-0010-0000-EA00-000002000000}" name="@" dataDxfId="2474"/>
    <tableColumn id="3" xr3:uid="{00000000-0010-0000-EA00-000003000000}" name="NAME" dataDxfId="2473"/>
    <tableColumn id="4" xr3:uid="{00000000-0010-0000-EA00-000004000000}" name="ERA" dataDxfId="2472">
      <calculatedColumnFormula>IFERROR((PIT_P157[[#This Row],[R]]*9)/PIT_P157[[#This Row],[IP]],0)</calculatedColumnFormula>
    </tableColumn>
    <tableColumn id="5" xr3:uid="{00000000-0010-0000-EA00-000005000000}" name="W" dataDxfId="2471"/>
    <tableColumn id="6" xr3:uid="{00000000-0010-0000-EA00-000006000000}" name="L" dataDxfId="2470"/>
    <tableColumn id="7" xr3:uid="{00000000-0010-0000-EA00-000007000000}" name="G" dataDxfId="2469"/>
    <tableColumn id="8" xr3:uid="{00000000-0010-0000-EA00-000008000000}" name="IP" dataDxfId="2468"/>
    <tableColumn id="9" xr3:uid="{00000000-0010-0000-EA00-000009000000}" name="H" dataDxfId="2467"/>
    <tableColumn id="10" xr3:uid="{00000000-0010-0000-EA00-00000A000000}" name="R" dataDxfId="2466"/>
    <tableColumn id="11" xr3:uid="{00000000-0010-0000-EA00-00000B000000}" name="BB" dataDxfId="2465"/>
    <tableColumn id="12" xr3:uid="{00000000-0010-0000-EA00-00000C000000}" name="K" dataDxfId="2464"/>
    <tableColumn id="13" xr3:uid="{00000000-0010-0000-EA00-00000D000000}" name="SV" dataDxfId="2463"/>
    <tableColumn id="14" xr3:uid="{00000000-0010-0000-EA00-00000E000000}" name="WH" dataDxfId="2462">
      <calculatedColumnFormula>IFERROR((PIT_P157[[#This Row],[BB]]+PIT_P157[[#This Row],[H]])/PIT_P157[[#This Row],[IP]],0)</calculatedColumnFormula>
    </tableColumn>
    <tableColumn id="15" xr3:uid="{00000000-0010-0000-EA00-00000F000000}" name="QS" dataDxfId="2461"/>
    <tableColumn id="16" xr3:uid="{00000000-0010-0000-EA00-000010000000}" name="UQ" dataDxfId="2460"/>
    <tableColumn id="17" xr3:uid="{00000000-0010-0000-EA00-000011000000}" name="CG" dataDxfId="2459"/>
    <tableColumn id="18" xr3:uid="{00000000-0010-0000-EA00-000012000000}" name="SH" dataDxfId="2458"/>
    <tableColumn id="19" xr3:uid="{00000000-0010-0000-EA00-000013000000}" name="#" dataDxfId="2457"/>
  </tableColumns>
  <tableStyleInfo name="TableStyleMedium7" showFirstColumn="0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EB000000}" name="CIN_H81" displayName="CIN_H81" ref="Z159:AV173" totalsRowShown="0" headerRowDxfId="2456" dataDxfId="2454" headerRowBorderDxfId="2455">
  <autoFilter ref="Z159:AV173" xr:uid="{00000000-0009-0000-0100-000099000000}"/>
  <sortState xmlns:xlrd2="http://schemas.microsoft.com/office/spreadsheetml/2017/richdata2" ref="Z160:AV173">
    <sortCondition ref="AV159:AV173"/>
  </sortState>
  <tableColumns count="23">
    <tableColumn id="1" xr3:uid="{00000000-0010-0000-EB00-000001000000}" name="TM" dataDxfId="2453"/>
    <tableColumn id="2" xr3:uid="{00000000-0010-0000-EB00-000002000000}" name="@" dataDxfId="2452"/>
    <tableColumn id="3" xr3:uid="{00000000-0010-0000-EB00-000003000000}" name="NAME" dataDxfId="2451"/>
    <tableColumn id="4" xr3:uid="{00000000-0010-0000-EB00-000004000000}" name="BA" dataDxfId="2450">
      <calculatedColumnFormula>IFERROR(CIN_H81[[#This Row],[H]]/CIN_H81[[#This Row],[AB]],0)</calculatedColumnFormula>
    </tableColumn>
    <tableColumn id="5" xr3:uid="{00000000-0010-0000-EB00-000005000000}" name="OBP" dataDxfId="2449">
      <calculatedColumnFormula>IFERROR((CIN_H81[[#This Row],[H]]+CIN_H81[[#This Row],[BB]])/(CIN_H81[[#This Row],[BB]]+CIN_H81[[#This Row],[AB]]),0)</calculatedColumnFormula>
    </tableColumn>
    <tableColumn id="6" xr3:uid="{00000000-0010-0000-EB00-000006000000}" name="SLG" dataDxfId="2448">
      <calculatedColumnFormula>IFERROR(((CIN_H81[[#This Row],[H]]-CIN_H81[[#This Row],[2B]]-CIN_H81[[#This Row],[3B]]-CIN_H81[[#This Row],[HR]])+(CIN_H81[[#This Row],[2B]]*2)+(CIN_H81[[#This Row],[3B]]*3)+(CIN_H81[[#This Row],[HR]]*4))/CIN_H81[[#This Row],[AB]],0)</calculatedColumnFormula>
    </tableColumn>
    <tableColumn id="7" xr3:uid="{00000000-0010-0000-EB00-000007000000}" name="G" dataDxfId="2447"/>
    <tableColumn id="8" xr3:uid="{00000000-0010-0000-EB00-000008000000}" name="AB" dataDxfId="2446"/>
    <tableColumn id="9" xr3:uid="{00000000-0010-0000-EB00-000009000000}" name="R" dataDxfId="2445"/>
    <tableColumn id="10" xr3:uid="{00000000-0010-0000-EB00-00000A000000}" name="H" dataDxfId="2444"/>
    <tableColumn id="11" xr3:uid="{00000000-0010-0000-EB00-00000B000000}" name="2B" dataDxfId="2443"/>
    <tableColumn id="12" xr3:uid="{00000000-0010-0000-EB00-00000C000000}" name="3B" dataDxfId="2442"/>
    <tableColumn id="13" xr3:uid="{00000000-0010-0000-EB00-00000D000000}" name="HR" dataDxfId="2441"/>
    <tableColumn id="14" xr3:uid="{00000000-0010-0000-EB00-00000E000000}" name="RBI" dataDxfId="2440"/>
    <tableColumn id="15" xr3:uid="{00000000-0010-0000-EB00-00000F000000}" name="BB" dataDxfId="2439"/>
    <tableColumn id="16" xr3:uid="{00000000-0010-0000-EB00-000010000000}" name="K" dataDxfId="2438"/>
    <tableColumn id="17" xr3:uid="{00000000-0010-0000-EB00-000011000000}" name="SB" dataDxfId="2437"/>
    <tableColumn id="18" xr3:uid="{00000000-0010-0000-EB00-000012000000}" name="HS" dataDxfId="2436"/>
    <tableColumn id="19" xr3:uid="{00000000-0010-0000-EB00-000013000000}" name="LS" dataDxfId="2435"/>
    <tableColumn id="20" xr3:uid="{00000000-0010-0000-EB00-000014000000}" name="TB" dataDxfId="2434">
      <calculatedColumnFormula>IFERROR((CIN_H81[[#This Row],[H]]-CIN_H81[[#This Row],[2B]]-CIN_H81[[#This Row],[3B]]-CIN_H81[[#This Row],[HR]])+(CIN_H81[[#This Row],[2B]]*2)+(CIN_H81[[#This Row],[3B]]*3)+(CIN_H81[[#This Row],[HR]]*4),0)</calculatedColumnFormula>
    </tableColumn>
    <tableColumn id="21" xr3:uid="{00000000-0010-0000-EB00-000015000000}" name="OPS" dataDxfId="2433">
      <calculatedColumnFormula>CIN_H81[[#This Row],[OBP]]+CIN_H81[[#This Row],[SLG]]</calculatedColumnFormula>
    </tableColumn>
    <tableColumn id="22" xr3:uid="{00000000-0010-0000-EB00-000016000000}" name="*" dataDxfId="2432"/>
    <tableColumn id="23" xr3:uid="{00000000-0010-0000-EB00-000017000000}" name="#" dataDxfId="2431"/>
  </tableColumns>
  <tableStyleInfo name="TableStyleMedium3" showFirstColumn="0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EC000000}" name="CIN_P82" displayName="CIN_P82" ref="Z176:AR186" totalsRowShown="0" headerRowDxfId="2430" dataDxfId="2428" headerRowBorderDxfId="2429">
  <autoFilter ref="Z176:AR186" xr:uid="{00000000-0009-0000-0100-00009A000000}"/>
  <sortState xmlns:xlrd2="http://schemas.microsoft.com/office/spreadsheetml/2017/richdata2" ref="Z177:AR186">
    <sortCondition ref="AR176:AR186"/>
  </sortState>
  <tableColumns count="19">
    <tableColumn id="1" xr3:uid="{00000000-0010-0000-EC00-000001000000}" name="TM" dataDxfId="2427"/>
    <tableColumn id="2" xr3:uid="{00000000-0010-0000-EC00-000002000000}" name="@" dataDxfId="2426"/>
    <tableColumn id="3" xr3:uid="{00000000-0010-0000-EC00-000003000000}" name="NAME" dataDxfId="2425"/>
    <tableColumn id="4" xr3:uid="{00000000-0010-0000-EC00-000004000000}" name="ERA" dataDxfId="2424">
      <calculatedColumnFormula>IFERROR((CIN_P82[[#This Row],[R]]*9)/CIN_P82[[#This Row],[IP]],0)</calculatedColumnFormula>
    </tableColumn>
    <tableColumn id="5" xr3:uid="{00000000-0010-0000-EC00-000005000000}" name="W" dataDxfId="2423"/>
    <tableColumn id="6" xr3:uid="{00000000-0010-0000-EC00-000006000000}" name="L" dataDxfId="2422"/>
    <tableColumn id="7" xr3:uid="{00000000-0010-0000-EC00-000007000000}" name="G" dataDxfId="2421"/>
    <tableColumn id="8" xr3:uid="{00000000-0010-0000-EC00-000008000000}" name="IP" dataDxfId="2420"/>
    <tableColumn id="9" xr3:uid="{00000000-0010-0000-EC00-000009000000}" name="H" dataDxfId="2419"/>
    <tableColumn id="10" xr3:uid="{00000000-0010-0000-EC00-00000A000000}" name="R" dataDxfId="2418"/>
    <tableColumn id="11" xr3:uid="{00000000-0010-0000-EC00-00000B000000}" name="BB" dataDxfId="2417"/>
    <tableColumn id="12" xr3:uid="{00000000-0010-0000-EC00-00000C000000}" name="K" dataDxfId="2416"/>
    <tableColumn id="13" xr3:uid="{00000000-0010-0000-EC00-00000D000000}" name="SV" dataDxfId="2415"/>
    <tableColumn id="14" xr3:uid="{00000000-0010-0000-EC00-00000E000000}" name="WH" dataDxfId="2414">
      <calculatedColumnFormula>IFERROR((CIN_P82[[#This Row],[BB]]+CIN_P82[[#This Row],[H]])/CIN_P82[[#This Row],[IP]],0)</calculatedColumnFormula>
    </tableColumn>
    <tableColumn id="15" xr3:uid="{00000000-0010-0000-EC00-00000F000000}" name="QS" dataDxfId="2413"/>
    <tableColumn id="16" xr3:uid="{00000000-0010-0000-EC00-000010000000}" name="UQ" dataDxfId="2412"/>
    <tableColumn id="17" xr3:uid="{00000000-0010-0000-EC00-000011000000}" name="CG" dataDxfId="2411"/>
    <tableColumn id="18" xr3:uid="{00000000-0010-0000-EC00-000012000000}" name="SH" dataDxfId="2410"/>
    <tableColumn id="19" xr3:uid="{00000000-0010-0000-EC00-000013000000}" name="#" dataDxfId="2409"/>
  </tableColumns>
  <tableStyleInfo name="TableStyleMedium3" showFirstColumn="0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ED000000}" name="CHC_C83" displayName="CHC_C83" ref="Z190:AV204" totalsRowShown="0" headerRowDxfId="2408" dataDxfId="2406" headerRowBorderDxfId="2407">
  <autoFilter ref="Z190:AV204" xr:uid="{00000000-0009-0000-0100-00009B000000}"/>
  <sortState xmlns:xlrd2="http://schemas.microsoft.com/office/spreadsheetml/2017/richdata2" ref="Z191:AV204">
    <sortCondition ref="AV190:AV204"/>
  </sortState>
  <tableColumns count="23">
    <tableColumn id="1" xr3:uid="{00000000-0010-0000-ED00-000001000000}" name="TM" dataDxfId="2405"/>
    <tableColumn id="2" xr3:uid="{00000000-0010-0000-ED00-000002000000}" name="@" dataDxfId="2404"/>
    <tableColumn id="3" xr3:uid="{00000000-0010-0000-ED00-000003000000}" name="NAME" dataDxfId="2403"/>
    <tableColumn id="4" xr3:uid="{00000000-0010-0000-ED00-000004000000}" name="BA" dataDxfId="2402">
      <calculatedColumnFormula>IFERROR(CHC_C83[[#This Row],[H]]/CHC_C83[[#This Row],[AB]],0)</calculatedColumnFormula>
    </tableColumn>
    <tableColumn id="5" xr3:uid="{00000000-0010-0000-ED00-000005000000}" name="OBP" dataDxfId="2401">
      <calculatedColumnFormula>IFERROR((CHC_C83[[#This Row],[H]]+CHC_C83[[#This Row],[BB]])/(CHC_C83[[#This Row],[BB]]+CHC_C83[[#This Row],[AB]]),0)</calculatedColumnFormula>
    </tableColumn>
    <tableColumn id="6" xr3:uid="{00000000-0010-0000-ED00-000006000000}" name="SLG" dataDxfId="2400">
      <calculatedColumnFormula>IFERROR(((CHC_C83[[#This Row],[H]]-CHC_C83[[#This Row],[2B]]-CHC_C83[[#This Row],[3B]]-CHC_C83[[#This Row],[HR]])+(CHC_C83[[#This Row],[2B]]*2)+(CHC_C83[[#This Row],[3B]]*3)+(CHC_C83[[#This Row],[HR]]*4))/CHC_C83[[#This Row],[AB]],0)</calculatedColumnFormula>
    </tableColumn>
    <tableColumn id="7" xr3:uid="{00000000-0010-0000-ED00-000007000000}" name="G" dataDxfId="2399"/>
    <tableColumn id="8" xr3:uid="{00000000-0010-0000-ED00-000008000000}" name="AB" dataDxfId="2398"/>
    <tableColumn id="9" xr3:uid="{00000000-0010-0000-ED00-000009000000}" name="R" dataDxfId="2397"/>
    <tableColumn id="10" xr3:uid="{00000000-0010-0000-ED00-00000A000000}" name="H" dataDxfId="2396"/>
    <tableColumn id="11" xr3:uid="{00000000-0010-0000-ED00-00000B000000}" name="2B" dataDxfId="2395"/>
    <tableColumn id="12" xr3:uid="{00000000-0010-0000-ED00-00000C000000}" name="3B" dataDxfId="2394"/>
    <tableColumn id="13" xr3:uid="{00000000-0010-0000-ED00-00000D000000}" name="HR" dataDxfId="2393"/>
    <tableColumn id="14" xr3:uid="{00000000-0010-0000-ED00-00000E000000}" name="RBI" dataDxfId="2392"/>
    <tableColumn id="15" xr3:uid="{00000000-0010-0000-ED00-00000F000000}" name="BB" dataDxfId="2391"/>
    <tableColumn id="16" xr3:uid="{00000000-0010-0000-ED00-000010000000}" name="K" dataDxfId="2390"/>
    <tableColumn id="17" xr3:uid="{00000000-0010-0000-ED00-000011000000}" name="SB" dataDxfId="2389"/>
    <tableColumn id="18" xr3:uid="{00000000-0010-0000-ED00-000012000000}" name="HS" dataDxfId="2388"/>
    <tableColumn id="19" xr3:uid="{00000000-0010-0000-ED00-000013000000}" name="LS" dataDxfId="2387"/>
    <tableColumn id="20" xr3:uid="{00000000-0010-0000-ED00-000014000000}" name="TB" dataDxfId="2386">
      <calculatedColumnFormula>IFERROR((CHC_C83[[#This Row],[H]]-CHC_C83[[#This Row],[2B]]-CHC_C83[[#This Row],[3B]]-CHC_C83[[#This Row],[HR]])+(CHC_C83[[#This Row],[2B]]*2)+(CHC_C83[[#This Row],[3B]]*3)+(CHC_C83[[#This Row],[HR]]*4),0)</calculatedColumnFormula>
    </tableColumn>
    <tableColumn id="21" xr3:uid="{00000000-0010-0000-ED00-000015000000}" name="OPS" dataDxfId="2385">
      <calculatedColumnFormula>CHC_C83[[#This Row],[OBP]]+CHC_C83[[#This Row],[SLG]]</calculatedColumnFormula>
    </tableColumn>
    <tableColumn id="22" xr3:uid="{00000000-0010-0000-ED00-000016000000}" name="*" dataDxfId="2384"/>
    <tableColumn id="23" xr3:uid="{00000000-0010-0000-ED00-000017000000}" name="#" dataDxfId="2383"/>
  </tableColumns>
  <tableStyleInfo name="TableStyleMedium5" showFirstColumn="0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EE000000}" name="CHC_P84" displayName="CHC_P84" ref="Z207:AR217" totalsRowShown="0" headerRowDxfId="2382" dataDxfId="2380" headerRowBorderDxfId="2381">
  <autoFilter ref="Z207:AR217" xr:uid="{00000000-0009-0000-0100-00009C000000}"/>
  <sortState xmlns:xlrd2="http://schemas.microsoft.com/office/spreadsheetml/2017/richdata2" ref="Z208:AR217">
    <sortCondition ref="AR207:AR217"/>
  </sortState>
  <tableColumns count="19">
    <tableColumn id="1" xr3:uid="{00000000-0010-0000-EE00-000001000000}" name="TM" dataDxfId="2379"/>
    <tableColumn id="2" xr3:uid="{00000000-0010-0000-EE00-000002000000}" name="@" dataDxfId="2378"/>
    <tableColumn id="3" xr3:uid="{00000000-0010-0000-EE00-000003000000}" name="NAME" dataDxfId="2377"/>
    <tableColumn id="4" xr3:uid="{00000000-0010-0000-EE00-000004000000}" name="ERA" dataDxfId="2376">
      <calculatedColumnFormula>IFERROR((CHC_P84[[#This Row],[R]]*9)/CHC_P84[[#This Row],[IP]],0)</calculatedColumnFormula>
    </tableColumn>
    <tableColumn id="5" xr3:uid="{00000000-0010-0000-EE00-000005000000}" name="W" dataDxfId="2375"/>
    <tableColumn id="6" xr3:uid="{00000000-0010-0000-EE00-000006000000}" name="L" dataDxfId="2374"/>
    <tableColumn id="7" xr3:uid="{00000000-0010-0000-EE00-000007000000}" name="G" dataDxfId="2373"/>
    <tableColumn id="8" xr3:uid="{00000000-0010-0000-EE00-000008000000}" name="IP" dataDxfId="2372"/>
    <tableColumn id="9" xr3:uid="{00000000-0010-0000-EE00-000009000000}" name="H" dataDxfId="2371"/>
    <tableColumn id="10" xr3:uid="{00000000-0010-0000-EE00-00000A000000}" name="R" dataDxfId="2370"/>
    <tableColumn id="11" xr3:uid="{00000000-0010-0000-EE00-00000B000000}" name="BB" dataDxfId="2369"/>
    <tableColumn id="12" xr3:uid="{00000000-0010-0000-EE00-00000C000000}" name="K" dataDxfId="2368"/>
    <tableColumn id="13" xr3:uid="{00000000-0010-0000-EE00-00000D000000}" name="SV" dataDxfId="2367"/>
    <tableColumn id="14" xr3:uid="{00000000-0010-0000-EE00-00000E000000}" name="WH" dataDxfId="2366">
      <calculatedColumnFormula>IFERROR((CHC_P84[[#This Row],[BB]]+CHC_P84[[#This Row],[H]])/CHC_P84[[#This Row],[IP]],0)</calculatedColumnFormula>
    </tableColumn>
    <tableColumn id="15" xr3:uid="{00000000-0010-0000-EE00-00000F000000}" name="QS" dataDxfId="2365"/>
    <tableColumn id="16" xr3:uid="{00000000-0010-0000-EE00-000010000000}" name="UQ" dataDxfId="2364"/>
    <tableColumn id="17" xr3:uid="{00000000-0010-0000-EE00-000011000000}" name="CG" dataDxfId="2363"/>
    <tableColumn id="18" xr3:uid="{00000000-0010-0000-EE00-000012000000}" name="SH" dataDxfId="2362"/>
    <tableColumn id="19" xr3:uid="{00000000-0010-0000-EE00-000013000000}" name="#" dataDxfId="2361"/>
  </tableColumns>
  <tableStyleInfo name="TableStyleMedium5" showFirstColumn="0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EF000000}" name="MIL_H78" displayName="MIL_H78" ref="AY159:BU173" totalsRowShown="0" headerRowDxfId="2360" dataDxfId="2358" headerRowBorderDxfId="2359">
  <autoFilter ref="AY159:BU173" xr:uid="{00000000-0009-0000-0100-00009D000000}"/>
  <sortState xmlns:xlrd2="http://schemas.microsoft.com/office/spreadsheetml/2017/richdata2" ref="AY160:BU173">
    <sortCondition ref="BU159:BU173"/>
  </sortState>
  <tableColumns count="23">
    <tableColumn id="1" xr3:uid="{00000000-0010-0000-EF00-000001000000}" name="TM" dataDxfId="2357"/>
    <tableColumn id="2" xr3:uid="{00000000-0010-0000-EF00-000002000000}" name="@" dataDxfId="2356"/>
    <tableColumn id="3" xr3:uid="{00000000-0010-0000-EF00-000003000000}" name="NAME" dataDxfId="2355"/>
    <tableColumn id="4" xr3:uid="{00000000-0010-0000-EF00-000004000000}" name="BA" dataDxfId="2354">
      <calculatedColumnFormula>IFERROR(MIL_H78[[#This Row],[H]]/MIL_H78[[#This Row],[AB]],0)</calculatedColumnFormula>
    </tableColumn>
    <tableColumn id="5" xr3:uid="{00000000-0010-0000-EF00-000005000000}" name="OBP" dataDxfId="2353">
      <calculatedColumnFormula>IFERROR((MIL_H78[[#This Row],[H]]+MIL_H78[[#This Row],[BB]])/(MIL_H78[[#This Row],[BB]]+MIL_H78[[#This Row],[AB]]),0)</calculatedColumnFormula>
    </tableColumn>
    <tableColumn id="6" xr3:uid="{00000000-0010-0000-EF00-000006000000}" name="SLG" dataDxfId="2352">
      <calculatedColumnFormula>IFERROR(((MIL_H78[[#This Row],[H]]-MIL_H78[[#This Row],[2B]]-MIL_H78[[#This Row],[3B]]-MIL_H78[[#This Row],[HR]])+(MIL_H78[[#This Row],[2B]]*2)+(MIL_H78[[#This Row],[3B]]*3)+(MIL_H78[[#This Row],[HR]]*4))/MIL_H78[[#This Row],[AB]],0)</calculatedColumnFormula>
    </tableColumn>
    <tableColumn id="7" xr3:uid="{00000000-0010-0000-EF00-000007000000}" name="G" dataDxfId="2351"/>
    <tableColumn id="8" xr3:uid="{00000000-0010-0000-EF00-000008000000}" name="AB" dataDxfId="2350"/>
    <tableColumn id="9" xr3:uid="{00000000-0010-0000-EF00-000009000000}" name="R" dataDxfId="2349"/>
    <tableColumn id="10" xr3:uid="{00000000-0010-0000-EF00-00000A000000}" name="H" dataDxfId="2348"/>
    <tableColumn id="11" xr3:uid="{00000000-0010-0000-EF00-00000B000000}" name="2B" dataDxfId="2347"/>
    <tableColumn id="12" xr3:uid="{00000000-0010-0000-EF00-00000C000000}" name="3B" dataDxfId="2346"/>
    <tableColumn id="13" xr3:uid="{00000000-0010-0000-EF00-00000D000000}" name="HR" dataDxfId="2345"/>
    <tableColumn id="14" xr3:uid="{00000000-0010-0000-EF00-00000E000000}" name="RBI" dataDxfId="2344"/>
    <tableColumn id="15" xr3:uid="{00000000-0010-0000-EF00-00000F000000}" name="BB" dataDxfId="2343"/>
    <tableColumn id="16" xr3:uid="{00000000-0010-0000-EF00-000010000000}" name="K" dataDxfId="2342"/>
    <tableColumn id="17" xr3:uid="{00000000-0010-0000-EF00-000011000000}" name="SB" dataDxfId="2341"/>
    <tableColumn id="18" xr3:uid="{00000000-0010-0000-EF00-000012000000}" name="HS" dataDxfId="2340"/>
    <tableColumn id="19" xr3:uid="{00000000-0010-0000-EF00-000013000000}" name="LS" dataDxfId="2339"/>
    <tableColumn id="20" xr3:uid="{00000000-0010-0000-EF00-000014000000}" name="TB" dataDxfId="2338">
      <calculatedColumnFormula>(MIL_H78[[#This Row],[H]]-MIL_H78[[#This Row],[2B]]-MIL_H78[[#This Row],[3B]]-MIL_H78[[#This Row],[HR]])+(MIL_H78[[#This Row],[2B]]*2)+(MIL_H78[[#This Row],[3B]]*3)+(MIL_H78[[#This Row],[HR]]*4)</calculatedColumnFormula>
    </tableColumn>
    <tableColumn id="21" xr3:uid="{00000000-0010-0000-EF00-000015000000}" name="OPS" dataDxfId="2337">
      <calculatedColumnFormula>IFERROR(MIL_H78[[#This Row],[OBP]]+MIL_H78[[#This Row],[SLG]],0)</calculatedColumnFormula>
    </tableColumn>
    <tableColumn id="22" xr3:uid="{00000000-0010-0000-EF00-000016000000}" name="*" dataDxfId="2336"/>
    <tableColumn id="23" xr3:uid="{00000000-0010-0000-EF00-000017000000}" name="#" dataDxfId="2335"/>
  </tableColumns>
  <tableStyleInfo name="TableStyleMedium5" showFirstColumn="0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F0000000}" name="MIL_P98" displayName="MIL_P98" ref="AY176:BQ186" totalsRowShown="0" headerRowDxfId="2334" dataDxfId="2332" headerRowBorderDxfId="2333">
  <autoFilter ref="AY176:BQ186" xr:uid="{00000000-0009-0000-0100-00009E000000}"/>
  <tableColumns count="19">
    <tableColumn id="1" xr3:uid="{00000000-0010-0000-F000-000001000000}" name="TM" dataDxfId="2331"/>
    <tableColumn id="2" xr3:uid="{00000000-0010-0000-F000-000002000000}" name="@" dataDxfId="2330"/>
    <tableColumn id="3" xr3:uid="{00000000-0010-0000-F000-000003000000}" name="NAME" dataDxfId="2329"/>
    <tableColumn id="4" xr3:uid="{00000000-0010-0000-F000-000004000000}" name="ERA" dataDxfId="2328">
      <calculatedColumnFormula>IFERROR((MIL_P98[[#This Row],[R]]*9)/MIL_P98[[#This Row],[IP]],0)</calculatedColumnFormula>
    </tableColumn>
    <tableColumn id="5" xr3:uid="{00000000-0010-0000-F000-000005000000}" name="W" dataDxfId="2327"/>
    <tableColumn id="6" xr3:uid="{00000000-0010-0000-F000-000006000000}" name="L" dataDxfId="2326"/>
    <tableColumn id="7" xr3:uid="{00000000-0010-0000-F000-000007000000}" name="G" dataDxfId="2325"/>
    <tableColumn id="8" xr3:uid="{00000000-0010-0000-F000-000008000000}" name="IP" dataDxfId="2324"/>
    <tableColumn id="9" xr3:uid="{00000000-0010-0000-F000-000009000000}" name="H" dataDxfId="2323"/>
    <tableColumn id="10" xr3:uid="{00000000-0010-0000-F000-00000A000000}" name="R" dataDxfId="2322"/>
    <tableColumn id="11" xr3:uid="{00000000-0010-0000-F000-00000B000000}" name="BB" dataDxfId="2321"/>
    <tableColumn id="12" xr3:uid="{00000000-0010-0000-F000-00000C000000}" name="K" dataDxfId="2320"/>
    <tableColumn id="13" xr3:uid="{00000000-0010-0000-F000-00000D000000}" name="SV" dataDxfId="2319"/>
    <tableColumn id="14" xr3:uid="{00000000-0010-0000-F000-00000E000000}" name="WH" dataDxfId="2318">
      <calculatedColumnFormula>IFERROR((MIL_P98[[#This Row],[BB]]+MIL_P98[[#This Row],[H]])/MIL_P98[[#This Row],[IP]],0)</calculatedColumnFormula>
    </tableColumn>
    <tableColumn id="15" xr3:uid="{00000000-0010-0000-F000-00000F000000}" name="QS" dataDxfId="2317"/>
    <tableColumn id="16" xr3:uid="{00000000-0010-0000-F000-000010000000}" name="UQ" dataDxfId="2316"/>
    <tableColumn id="17" xr3:uid="{00000000-0010-0000-F000-000011000000}" name="CG" dataDxfId="2315"/>
    <tableColumn id="18" xr3:uid="{00000000-0010-0000-F000-000012000000}" name="SH" dataDxfId="2314"/>
    <tableColumn id="19" xr3:uid="{00000000-0010-0000-F000-000013000000}" name="#" dataDxfId="2313"/>
  </tableColumns>
  <tableStyleInfo name="TableStyleMedium5" showFirstColumn="0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F1000000}" name="STL_H107" displayName="STL_H107" ref="AY190:BU204" totalsRowShown="0" headerRowDxfId="2312" dataDxfId="2310" headerRowBorderDxfId="2311">
  <autoFilter ref="AY190:BU204" xr:uid="{00000000-0009-0000-0100-00009F000000}"/>
  <sortState xmlns:xlrd2="http://schemas.microsoft.com/office/spreadsheetml/2017/richdata2" ref="AY191:BU204">
    <sortCondition ref="BU190:BU204"/>
  </sortState>
  <tableColumns count="23">
    <tableColumn id="1" xr3:uid="{00000000-0010-0000-F100-000001000000}" name="TM" dataDxfId="2309"/>
    <tableColumn id="2" xr3:uid="{00000000-0010-0000-F100-000002000000}" name="@" dataDxfId="2308"/>
    <tableColumn id="3" xr3:uid="{00000000-0010-0000-F100-000003000000}" name="NAME" dataDxfId="2307"/>
    <tableColumn id="4" xr3:uid="{00000000-0010-0000-F100-000004000000}" name="BA" dataDxfId="2306">
      <calculatedColumnFormula>IFERROR(STL_H107[[#This Row],[H]]/STL_H107[[#This Row],[AB]],0)</calculatedColumnFormula>
    </tableColumn>
    <tableColumn id="5" xr3:uid="{00000000-0010-0000-F100-000005000000}" name="OBP" dataDxfId="2305">
      <calculatedColumnFormula>IFERROR((STL_H107[[#This Row],[BB]]+STL_H107[[#This Row],[H]])/(STL_H107[[#This Row],[BB]]+STL_H107[[#This Row],[AB]]),0)</calculatedColumnFormula>
    </tableColumn>
    <tableColumn id="6" xr3:uid="{00000000-0010-0000-F100-000006000000}" name="SLG" dataDxfId="2304">
      <calculatedColumnFormula>IFERROR(((STL_H107[[#This Row],[H]]-STL_H107[[#This Row],[2B]]-STL_H107[[#This Row],[3B]]-STL_H107[[#This Row],[HR]])+(STL_H107[[#This Row],[2B]]*2)+(STL_H107[[#This Row],[3B]]*3)+(STL_H107[[#This Row],[HR]]*4))/STL_H107[[#This Row],[AB]],0)</calculatedColumnFormula>
    </tableColumn>
    <tableColumn id="7" xr3:uid="{00000000-0010-0000-F100-000007000000}" name="G" dataDxfId="2303"/>
    <tableColumn id="8" xr3:uid="{00000000-0010-0000-F100-000008000000}" name="AB" dataDxfId="2302"/>
    <tableColumn id="9" xr3:uid="{00000000-0010-0000-F100-000009000000}" name="R" dataDxfId="2301"/>
    <tableColumn id="10" xr3:uid="{00000000-0010-0000-F100-00000A000000}" name="H" dataDxfId="2300"/>
    <tableColumn id="11" xr3:uid="{00000000-0010-0000-F100-00000B000000}" name="2B" dataDxfId="2299"/>
    <tableColumn id="12" xr3:uid="{00000000-0010-0000-F100-00000C000000}" name="3B" dataDxfId="2298"/>
    <tableColumn id="13" xr3:uid="{00000000-0010-0000-F100-00000D000000}" name="HR" dataDxfId="2297"/>
    <tableColumn id="14" xr3:uid="{00000000-0010-0000-F100-00000E000000}" name="RBI" dataDxfId="2296"/>
    <tableColumn id="15" xr3:uid="{00000000-0010-0000-F100-00000F000000}" name="BB" dataDxfId="2295"/>
    <tableColumn id="16" xr3:uid="{00000000-0010-0000-F100-000010000000}" name="K" dataDxfId="2294"/>
    <tableColumn id="17" xr3:uid="{00000000-0010-0000-F100-000011000000}" name="SB" dataDxfId="2293"/>
    <tableColumn id="18" xr3:uid="{00000000-0010-0000-F100-000012000000}" name="HS" dataDxfId="2292"/>
    <tableColumn id="19" xr3:uid="{00000000-0010-0000-F100-000013000000}" name="LS" dataDxfId="2291"/>
    <tableColumn id="20" xr3:uid="{00000000-0010-0000-F100-000014000000}" name="TB" dataDxfId="2290">
      <calculatedColumnFormula>IFERROR((STL_H107[[#This Row],[H]]-STL_H107[[#This Row],[2B]]-STL_H107[[#This Row],[3B]]-STL_H107[[#This Row],[HR]])+(STL_H107[[#This Row],[2B]]*2)+(STL_H107[[#This Row],[3B]]*3)+(STL_H107[[#This Row],[HR]]*4),0)</calculatedColumnFormula>
    </tableColumn>
    <tableColumn id="21" xr3:uid="{00000000-0010-0000-F100-000015000000}" name="OPS" dataDxfId="2289">
      <calculatedColumnFormula>IFERROR(STL_H107[[#This Row],[OBP]]+STL_H107[[#This Row],[SLG]],0)</calculatedColumnFormula>
    </tableColumn>
    <tableColumn id="22" xr3:uid="{00000000-0010-0000-F100-000016000000}" name="*" dataDxfId="2288"/>
    <tableColumn id="23" xr3:uid="{00000000-0010-0000-F100-000017000000}" name="#" dataDxfId="2287"/>
  </tableColumns>
  <tableStyleInfo name="TableStyleMedium3" showFirstColumn="0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F2000000}" name="STL_P108" displayName="STL_P108" ref="AY207:BQ217" totalsRowShown="0" headerRowDxfId="2286" dataDxfId="2284" headerRowBorderDxfId="2285">
  <autoFilter ref="AY207:BQ217" xr:uid="{00000000-0009-0000-0100-0000A0000000}"/>
  <sortState xmlns:xlrd2="http://schemas.microsoft.com/office/spreadsheetml/2017/richdata2" ref="AY208:BQ217">
    <sortCondition ref="BQ207:BQ217"/>
  </sortState>
  <tableColumns count="19">
    <tableColumn id="1" xr3:uid="{00000000-0010-0000-F200-000001000000}" name="TM" dataDxfId="2283"/>
    <tableColumn id="2" xr3:uid="{00000000-0010-0000-F200-000002000000}" name="@" dataDxfId="2282"/>
    <tableColumn id="3" xr3:uid="{00000000-0010-0000-F200-000003000000}" name="NAME" dataDxfId="2281"/>
    <tableColumn id="4" xr3:uid="{00000000-0010-0000-F200-000004000000}" name="ERA" dataDxfId="2280">
      <calculatedColumnFormula>IFERROR((STL_P108[[#This Row],[R]]*9)/STL_P108[[#This Row],[IP]],0)</calculatedColumnFormula>
    </tableColumn>
    <tableColumn id="5" xr3:uid="{00000000-0010-0000-F200-000005000000}" name="W" dataDxfId="2279"/>
    <tableColumn id="6" xr3:uid="{00000000-0010-0000-F200-000006000000}" name="L" dataDxfId="2278"/>
    <tableColumn id="7" xr3:uid="{00000000-0010-0000-F200-000007000000}" name="G" dataDxfId="2277"/>
    <tableColumn id="8" xr3:uid="{00000000-0010-0000-F200-000008000000}" name="IP" dataDxfId="2276"/>
    <tableColumn id="9" xr3:uid="{00000000-0010-0000-F200-000009000000}" name="H" dataDxfId="2275"/>
    <tableColumn id="10" xr3:uid="{00000000-0010-0000-F200-00000A000000}" name="R" dataDxfId="2274"/>
    <tableColumn id="11" xr3:uid="{00000000-0010-0000-F200-00000B000000}" name="BB" dataDxfId="2273"/>
    <tableColumn id="12" xr3:uid="{00000000-0010-0000-F200-00000C000000}" name="K" dataDxfId="2272"/>
    <tableColumn id="13" xr3:uid="{00000000-0010-0000-F200-00000D000000}" name="SV" dataDxfId="2271"/>
    <tableColumn id="14" xr3:uid="{00000000-0010-0000-F200-00000E000000}" name="WH" dataDxfId="2270">
      <calculatedColumnFormula>IFERROR((STL_P108[[#This Row],[BB]]+STL_P108[[#This Row],[H]])/STL_P108[[#This Row],[IP]],0)</calculatedColumnFormula>
    </tableColumn>
    <tableColumn id="15" xr3:uid="{00000000-0010-0000-F200-00000F000000}" name="QS" dataDxfId="2269"/>
    <tableColumn id="16" xr3:uid="{00000000-0010-0000-F200-000010000000}" name="UQ" dataDxfId="2268"/>
    <tableColumn id="17" xr3:uid="{00000000-0010-0000-F200-000011000000}" name="CG" dataDxfId="2267"/>
    <tableColumn id="18" xr3:uid="{00000000-0010-0000-F200-000012000000}" name="SH" dataDxfId="2266"/>
    <tableColumn id="19" xr3:uid="{00000000-0010-0000-F200-000013000000}" name="#" dataDxfId="2265"/>
  </tableColumns>
  <tableStyleInfo name="TableStyleMedium3" showFirstColumn="0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F3000000}" name="STL_H271" displayName="STL_H271" ref="A159:W173" totalsRowShown="0" headerRowDxfId="2264" dataDxfId="2262" headerRowBorderDxfId="2263">
  <autoFilter ref="A159:W173" xr:uid="{00000000-0009-0000-0100-00000E010000}"/>
  <sortState xmlns:xlrd2="http://schemas.microsoft.com/office/spreadsheetml/2017/richdata2" ref="A160:W173">
    <sortCondition descending="1" ref="T159:T173"/>
  </sortState>
  <tableColumns count="23">
    <tableColumn id="1" xr3:uid="{00000000-0010-0000-F300-000001000000}" name="TM" dataDxfId="2261"/>
    <tableColumn id="2" xr3:uid="{00000000-0010-0000-F300-000002000000}" name="@" dataDxfId="2260"/>
    <tableColumn id="3" xr3:uid="{00000000-0010-0000-F300-000003000000}" name="NAME" dataDxfId="2259"/>
    <tableColumn id="4" xr3:uid="{00000000-0010-0000-F300-000004000000}" name="BA" dataDxfId="2258">
      <calculatedColumnFormula>IFERROR(STL_H271[[#This Row],[H]]/STL_H271[[#This Row],[AB]],0)</calculatedColumnFormula>
    </tableColumn>
    <tableColumn id="5" xr3:uid="{00000000-0010-0000-F300-000005000000}" name="OBP" dataDxfId="2257">
      <calculatedColumnFormula>IFERROR((STL_H271[[#This Row],[H]]+STL_H271[[#This Row],[BB]])/(STL_H271[[#This Row],[AB]]+STL_H271[[#This Row],[BB]]),0)</calculatedColumnFormula>
    </tableColumn>
    <tableColumn id="6" xr3:uid="{00000000-0010-0000-F300-000006000000}" name="SLG" dataDxfId="2256">
      <calculatedColumnFormula>IFERROR(((STL_H271[[#This Row],[H]]-STL_H271[[#This Row],[2B]]-STL_H271[[#This Row],[3B]]-STL_H271[[#This Row],[HR]])+(STL_H271[[#This Row],[2B]]*2)+(STL_H271[[#This Row],[3B]]*3)+(STL_H271[[#This Row],[HR]]*4))/STL_H271[[#This Row],[AB]],0)</calculatedColumnFormula>
    </tableColumn>
    <tableColumn id="7" xr3:uid="{00000000-0010-0000-F300-000007000000}" name="G" dataDxfId="2255"/>
    <tableColumn id="8" xr3:uid="{00000000-0010-0000-F300-000008000000}" name="AB" dataDxfId="2254"/>
    <tableColumn id="9" xr3:uid="{00000000-0010-0000-F300-000009000000}" name="R" dataDxfId="2253"/>
    <tableColumn id="10" xr3:uid="{00000000-0010-0000-F300-00000A000000}" name="H" dataDxfId="2252"/>
    <tableColumn id="11" xr3:uid="{00000000-0010-0000-F300-00000B000000}" name="2B" dataDxfId="2251"/>
    <tableColumn id="12" xr3:uid="{00000000-0010-0000-F300-00000C000000}" name="3B" dataDxfId="2250"/>
    <tableColumn id="13" xr3:uid="{00000000-0010-0000-F300-00000D000000}" name="HR" dataDxfId="2249"/>
    <tableColumn id="14" xr3:uid="{00000000-0010-0000-F300-00000E000000}" name="RBI" dataDxfId="2248"/>
    <tableColumn id="15" xr3:uid="{00000000-0010-0000-F300-00000F000000}" name="BB" dataDxfId="2247"/>
    <tableColumn id="16" xr3:uid="{00000000-0010-0000-F300-000010000000}" name="K" dataDxfId="2246"/>
    <tableColumn id="17" xr3:uid="{00000000-0010-0000-F300-000011000000}" name="SB" dataDxfId="2245"/>
    <tableColumn id="18" xr3:uid="{00000000-0010-0000-F300-000012000000}" name="HS" dataDxfId="2244"/>
    <tableColumn id="19" xr3:uid="{00000000-0010-0000-F300-000013000000}" name="LS" dataDxfId="2243"/>
    <tableColumn id="20" xr3:uid="{00000000-0010-0000-F300-000014000000}" name="TB" dataDxfId="2242">
      <calculatedColumnFormula>IFERROR((STL_H271[[#This Row],[H]]-STL_H271[[#This Row],[2B]]-STL_H271[[#This Row],[3B]]-STL_H271[[#This Row],[HR]])+(STL_H271[[#This Row],[2B]]*2)+(STL_H271[[#This Row],[3B]]*3)+(STL_H271[[#This Row],[HR]]*4),0)</calculatedColumnFormula>
    </tableColumn>
    <tableColumn id="21" xr3:uid="{00000000-0010-0000-F300-000015000000}" name="OPS" dataDxfId="2241">
      <calculatedColumnFormula>STL_H271[[#This Row],[OBP]]+STL_H271[[#This Row],[SLG]]</calculatedColumnFormula>
    </tableColumn>
    <tableColumn id="22" xr3:uid="{00000000-0010-0000-F300-000016000000}" name="*" dataDxfId="2240"/>
    <tableColumn id="23" xr3:uid="{00000000-0010-0000-F300-000017000000}" name="#" dataDxfId="2239"/>
  </tableColumns>
  <tableStyleInfo name="TableStyleMedium3" showFirstColumn="0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00000000-000C-0000-FFFF-FFFFF4000000}" name="STL_P272" displayName="STL_P272" ref="A176:S186" totalsRowShown="0" headerRowDxfId="2238" dataDxfId="2236" headerRowBorderDxfId="2237">
  <autoFilter ref="A176:S186" xr:uid="{00000000-0009-0000-0100-00000F010000}"/>
  <sortState xmlns:xlrd2="http://schemas.microsoft.com/office/spreadsheetml/2017/richdata2" ref="A177:S186">
    <sortCondition ref="S20:S30"/>
  </sortState>
  <tableColumns count="19">
    <tableColumn id="1" xr3:uid="{00000000-0010-0000-F400-000001000000}" name="TM" dataDxfId="2235"/>
    <tableColumn id="2" xr3:uid="{00000000-0010-0000-F400-000002000000}" name="@" dataDxfId="2234"/>
    <tableColumn id="3" xr3:uid="{00000000-0010-0000-F400-000003000000}" name="NAME" dataDxfId="2233"/>
    <tableColumn id="4" xr3:uid="{00000000-0010-0000-F400-000004000000}" name="ERA" dataDxfId="2232">
      <calculatedColumnFormula>IFERROR((STL_P272[[#This Row],[R]]*9)/STL_P272[[#This Row],[IP]],0)</calculatedColumnFormula>
    </tableColumn>
    <tableColumn id="5" xr3:uid="{00000000-0010-0000-F400-000005000000}" name="W" dataDxfId="2231"/>
    <tableColumn id="6" xr3:uid="{00000000-0010-0000-F400-000006000000}" name="L" dataDxfId="2230"/>
    <tableColumn id="7" xr3:uid="{00000000-0010-0000-F400-000007000000}" name="G" dataDxfId="2229"/>
    <tableColumn id="8" xr3:uid="{00000000-0010-0000-F400-000008000000}" name="IP" dataDxfId="2228"/>
    <tableColumn id="9" xr3:uid="{00000000-0010-0000-F400-000009000000}" name="H" dataDxfId="2227"/>
    <tableColumn id="10" xr3:uid="{00000000-0010-0000-F400-00000A000000}" name="R" dataDxfId="2226"/>
    <tableColumn id="11" xr3:uid="{00000000-0010-0000-F400-00000B000000}" name="BB" dataDxfId="2225"/>
    <tableColumn id="12" xr3:uid="{00000000-0010-0000-F400-00000C000000}" name="K" dataDxfId="2224"/>
    <tableColumn id="13" xr3:uid="{00000000-0010-0000-F400-00000D000000}" name="SV" dataDxfId="2223"/>
    <tableColumn id="14" xr3:uid="{00000000-0010-0000-F400-00000E000000}" name="WH" dataDxfId="2222">
      <calculatedColumnFormula>IFERROR((STL_P272[[#This Row],[BB]]+STL_P272[[#This Row],[H]])/STL_P272[[#This Row],[IP]],0)</calculatedColumnFormula>
    </tableColumn>
    <tableColumn id="15" xr3:uid="{00000000-0010-0000-F400-00000F000000}" name="QS" dataDxfId="2221"/>
    <tableColumn id="16" xr3:uid="{00000000-0010-0000-F400-000010000000}" name="UQ" dataDxfId="2220"/>
    <tableColumn id="17" xr3:uid="{00000000-0010-0000-F400-000011000000}" name="CG" dataDxfId="2219"/>
    <tableColumn id="18" xr3:uid="{00000000-0010-0000-F400-000012000000}" name="SH" dataDxfId="2218"/>
    <tableColumn id="19" xr3:uid="{00000000-0010-0000-F400-000013000000}" name="#" dataDxfId="2217"/>
  </tableColumns>
  <tableStyleInfo name="TableStyleMedium3" showFirstColumn="0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F5000000}" name="COL_H" displayName="COL_H" ref="A96:W110" totalsRowShown="0" headerRowDxfId="2216" headerRowBorderDxfId="2215">
  <autoFilter ref="A96:W110" xr:uid="{00000000-0009-0000-0100-00005B000000}"/>
  <sortState xmlns:xlrd2="http://schemas.microsoft.com/office/spreadsheetml/2017/richdata2" ref="A97:W110">
    <sortCondition descending="1" ref="T96:T110"/>
  </sortState>
  <tableColumns count="23">
    <tableColumn id="1" xr3:uid="{00000000-0010-0000-F500-000001000000}" name="TM" dataDxfId="2214"/>
    <tableColumn id="2" xr3:uid="{00000000-0010-0000-F500-000002000000}" name="@" dataDxfId="2213"/>
    <tableColumn id="3" xr3:uid="{00000000-0010-0000-F500-000003000000}" name="NAME" dataDxfId="2212"/>
    <tableColumn id="4" xr3:uid="{00000000-0010-0000-F500-000004000000}" name="BA" dataDxfId="2211">
      <calculatedColumnFormula>IFERROR(COL_H[[#This Row],[H]]/COL_H[[#This Row],[AB]],0)</calculatedColumnFormula>
    </tableColumn>
    <tableColumn id="5" xr3:uid="{00000000-0010-0000-F500-000005000000}" name="OBP" dataDxfId="2210">
      <calculatedColumnFormula>IFERROR((COL_H[[#This Row],[H]]+COL_H[[#This Row],[BB]])/(COL_H[[#This Row],[BB]]+COL_H[[#This Row],[AB]]),0)</calculatedColumnFormula>
    </tableColumn>
    <tableColumn id="6" xr3:uid="{00000000-0010-0000-F500-000006000000}" name="SLG" dataDxfId="2209">
      <calculatedColumnFormula>IFERROR(((COL_H[[#This Row],[H]]-COL_H[[#This Row],[2B]]-COL_H[[#This Row],[3B]]-COL_H[[#This Row],[HR]])+(COL_H[[#This Row],[2B]]*2)+(COL_H[[#This Row],[3B]]*3)+(COL_H[[#This Row],[HR]]*4))/COL_H[[#This Row],[AB]],0)</calculatedColumnFormula>
    </tableColumn>
    <tableColumn id="7" xr3:uid="{00000000-0010-0000-F500-000007000000}" name="G" dataDxfId="2208"/>
    <tableColumn id="8" xr3:uid="{00000000-0010-0000-F500-000008000000}" name="AB" dataDxfId="2207"/>
    <tableColumn id="9" xr3:uid="{00000000-0010-0000-F500-000009000000}" name="R" dataDxfId="2206"/>
    <tableColumn id="10" xr3:uid="{00000000-0010-0000-F500-00000A000000}" name="H" dataDxfId="2205"/>
    <tableColumn id="11" xr3:uid="{00000000-0010-0000-F500-00000B000000}" name="2B" dataDxfId="2204"/>
    <tableColumn id="12" xr3:uid="{00000000-0010-0000-F500-00000C000000}" name="3B" dataDxfId="2203"/>
    <tableColumn id="13" xr3:uid="{00000000-0010-0000-F500-00000D000000}" name="HR" dataDxfId="2202"/>
    <tableColumn id="14" xr3:uid="{00000000-0010-0000-F500-00000E000000}" name="RBI" dataDxfId="2201"/>
    <tableColumn id="15" xr3:uid="{00000000-0010-0000-F500-00000F000000}" name="BB" dataDxfId="2200"/>
    <tableColumn id="16" xr3:uid="{00000000-0010-0000-F500-000010000000}" name="K" dataDxfId="2199"/>
    <tableColumn id="17" xr3:uid="{00000000-0010-0000-F500-000011000000}" name="SB" dataDxfId="2198"/>
    <tableColumn id="18" xr3:uid="{00000000-0010-0000-F500-000012000000}" name="HS" dataDxfId="2197"/>
    <tableColumn id="19" xr3:uid="{00000000-0010-0000-F500-000013000000}" name="LS" dataDxfId="2196"/>
    <tableColumn id="20" xr3:uid="{00000000-0010-0000-F500-000014000000}" name="TB" dataDxfId="2195">
      <calculatedColumnFormula>IFERROR((COL_H[[#This Row],[H]]-COL_H[[#This Row],[2B]]-COL_H[[#This Row],[3B]]-COL_H[[#This Row],[HR]])+(COL_H[[#This Row],[2B]]*2)+(COL_H[[#This Row],[3B]]*3)+(COL_H[[#This Row],[HR]]*4),0)</calculatedColumnFormula>
    </tableColumn>
    <tableColumn id="21" xr3:uid="{00000000-0010-0000-F500-000015000000}" name="OPS" dataDxfId="2194">
      <calculatedColumnFormula>COL_H[[#This Row],[OBP]]+COL_H[[#This Row],[SLG]]</calculatedColumnFormula>
    </tableColumn>
    <tableColumn id="22" xr3:uid="{00000000-0010-0000-F500-000016000000}" name="*" dataDxfId="2193"/>
    <tableColumn id="23" xr3:uid="{00000000-0010-0000-F500-000017000000}" name="#" dataDxfId="2192"/>
  </tableColumns>
  <tableStyleInfo name="TableStyleMedium1" showFirstColumn="0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F6000000}" name="COL_P" displayName="COL_P" ref="A113:S123" totalsRowShown="0" headerRowDxfId="2191" headerRowBorderDxfId="2190">
  <autoFilter ref="A113:S123" xr:uid="{00000000-0009-0000-0100-00005C000000}"/>
  <sortState xmlns:xlrd2="http://schemas.microsoft.com/office/spreadsheetml/2017/richdata2" ref="A114:S123">
    <sortCondition ref="S113:S123"/>
  </sortState>
  <tableColumns count="19">
    <tableColumn id="1" xr3:uid="{00000000-0010-0000-F600-000001000000}" name="TM" dataDxfId="2189"/>
    <tableColumn id="2" xr3:uid="{00000000-0010-0000-F600-000002000000}" name="@" dataDxfId="2188"/>
    <tableColumn id="3" xr3:uid="{00000000-0010-0000-F600-000003000000}" name="NAME" dataDxfId="2187"/>
    <tableColumn id="4" xr3:uid="{00000000-0010-0000-F600-000004000000}" name="ERA" dataDxfId="2186">
      <calculatedColumnFormula>IFERROR((COL_P[[#This Row],[R]]*9)/COL_P[[#This Row],[IP]],0)</calculatedColumnFormula>
    </tableColumn>
    <tableColumn id="5" xr3:uid="{00000000-0010-0000-F600-000005000000}" name="W" dataDxfId="2185"/>
    <tableColumn id="6" xr3:uid="{00000000-0010-0000-F600-000006000000}" name="L" dataDxfId="2184"/>
    <tableColumn id="7" xr3:uid="{00000000-0010-0000-F600-000007000000}" name="G" dataDxfId="2183"/>
    <tableColumn id="8" xr3:uid="{00000000-0010-0000-F600-000008000000}" name="IP" dataDxfId="2182"/>
    <tableColumn id="9" xr3:uid="{00000000-0010-0000-F600-000009000000}" name="H" dataDxfId="2181"/>
    <tableColumn id="10" xr3:uid="{00000000-0010-0000-F600-00000A000000}" name="R" dataDxfId="2180"/>
    <tableColumn id="11" xr3:uid="{00000000-0010-0000-F600-00000B000000}" name="BB" dataDxfId="2179"/>
    <tableColumn id="12" xr3:uid="{00000000-0010-0000-F600-00000C000000}" name="K" dataDxfId="2178"/>
    <tableColumn id="13" xr3:uid="{00000000-0010-0000-F600-00000D000000}" name="SV" dataDxfId="2177"/>
    <tableColumn id="14" xr3:uid="{00000000-0010-0000-F600-00000E000000}" name="WH" dataDxfId="2176">
      <calculatedColumnFormula>IFERROR((COL_P[[#This Row],[BB]]+COL_P[[#This Row],[H]])/COL_P[[#This Row],[IP]],0)</calculatedColumnFormula>
    </tableColumn>
    <tableColumn id="15" xr3:uid="{00000000-0010-0000-F600-00000F000000}" name="QS" dataDxfId="2175"/>
    <tableColumn id="16" xr3:uid="{00000000-0010-0000-F600-000010000000}" name="UQ" dataDxfId="2174"/>
    <tableColumn id="17" xr3:uid="{00000000-0010-0000-F600-000011000000}" name="CG" dataDxfId="2173"/>
    <tableColumn id="18" xr3:uid="{00000000-0010-0000-F600-000012000000}" name="SH" dataDxfId="2172"/>
    <tableColumn id="19" xr3:uid="{00000000-0010-0000-F600-000013000000}" name="#" dataDxfId="2171"/>
  </tableColumns>
  <tableStyleInfo name="TableStyleMedium1" showFirstColumn="0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F7000000}" name="ARI_P" displayName="ARI_P" ref="A144:S154" totalsRowShown="0" headerRowDxfId="2170" headerRowBorderDxfId="2169">
  <autoFilter ref="A144:S154" xr:uid="{00000000-0009-0000-0100-00005D000000}"/>
  <sortState xmlns:xlrd2="http://schemas.microsoft.com/office/spreadsheetml/2017/richdata2" ref="A145:S154">
    <sortCondition ref="S144:S154"/>
  </sortState>
  <tableColumns count="19">
    <tableColumn id="1" xr3:uid="{00000000-0010-0000-F700-000001000000}" name="TM" dataDxfId="2168"/>
    <tableColumn id="2" xr3:uid="{00000000-0010-0000-F700-000002000000}" name="@" dataDxfId="2167"/>
    <tableColumn id="3" xr3:uid="{00000000-0010-0000-F700-000003000000}" name="NAME" dataDxfId="2166"/>
    <tableColumn id="4" xr3:uid="{00000000-0010-0000-F700-000004000000}" name="ERA" dataDxfId="2165">
      <calculatedColumnFormula>IFERROR((ARI_P[[#This Row],[R]]*9)/ARI_P[[#This Row],[IP]],0)</calculatedColumnFormula>
    </tableColumn>
    <tableColumn id="5" xr3:uid="{00000000-0010-0000-F700-000005000000}" name="W" dataDxfId="2164"/>
    <tableColumn id="6" xr3:uid="{00000000-0010-0000-F700-000006000000}" name="L" dataDxfId="2163"/>
    <tableColumn id="7" xr3:uid="{00000000-0010-0000-F700-000007000000}" name="G" dataDxfId="2162"/>
    <tableColumn id="8" xr3:uid="{00000000-0010-0000-F700-000008000000}" name="IP" dataDxfId="2161"/>
    <tableColumn id="9" xr3:uid="{00000000-0010-0000-F700-000009000000}" name="H" dataDxfId="2160"/>
    <tableColumn id="10" xr3:uid="{00000000-0010-0000-F700-00000A000000}" name="R" dataDxfId="2159"/>
    <tableColumn id="11" xr3:uid="{00000000-0010-0000-F700-00000B000000}" name="BB" dataDxfId="2158"/>
    <tableColumn id="12" xr3:uid="{00000000-0010-0000-F700-00000C000000}" name="K" dataDxfId="2157"/>
    <tableColumn id="13" xr3:uid="{00000000-0010-0000-F700-00000D000000}" name="SV" dataDxfId="2156"/>
    <tableColumn id="14" xr3:uid="{00000000-0010-0000-F700-00000E000000}" name="WH" dataDxfId="2155">
      <calculatedColumnFormula>IFERROR((ARI_P[[#This Row],[BB]]+ARI_P[[#This Row],[H]])/ARI_P[[#This Row],[IP]],0)</calculatedColumnFormula>
    </tableColumn>
    <tableColumn id="15" xr3:uid="{00000000-0010-0000-F700-00000F000000}" name="QS" dataDxfId="2154"/>
    <tableColumn id="16" xr3:uid="{00000000-0010-0000-F700-000010000000}" name="UQ" dataDxfId="2153"/>
    <tableColumn id="17" xr3:uid="{00000000-0010-0000-F700-000011000000}" name="CG" dataDxfId="2152"/>
    <tableColumn id="18" xr3:uid="{00000000-0010-0000-F700-000012000000}" name="SH" dataDxfId="2151"/>
    <tableColumn id="19" xr3:uid="{00000000-0010-0000-F700-000013000000}" name="#" dataDxfId="2150"/>
  </tableColumns>
  <tableStyleInfo name="TableStyleMedium3" showFirstColumn="0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F8000000}" name="SDP_P" displayName="SDP_P" ref="A82:S92" totalsRowShown="0" headerRowDxfId="2149" headerRowBorderDxfId="2148">
  <autoFilter ref="A82:S92" xr:uid="{00000000-0009-0000-0100-00005E000000}"/>
  <sortState xmlns:xlrd2="http://schemas.microsoft.com/office/spreadsheetml/2017/richdata2" ref="A83:S92">
    <sortCondition ref="S82:S92"/>
  </sortState>
  <tableColumns count="19">
    <tableColumn id="1" xr3:uid="{00000000-0010-0000-F800-000001000000}" name="TM" dataDxfId="2147"/>
    <tableColumn id="2" xr3:uid="{00000000-0010-0000-F800-000002000000}" name="@" dataDxfId="2146"/>
    <tableColumn id="3" xr3:uid="{00000000-0010-0000-F800-000003000000}" name="NAME" dataDxfId="2145"/>
    <tableColumn id="4" xr3:uid="{00000000-0010-0000-F800-000004000000}" name="ERA" dataDxfId="2144">
      <calculatedColumnFormula>IFERROR((SDP_P[[#This Row],[R]]*9)/SDP_P[[#This Row],[IP]],0)</calculatedColumnFormula>
    </tableColumn>
    <tableColumn id="5" xr3:uid="{00000000-0010-0000-F800-000005000000}" name="W" dataDxfId="2143"/>
    <tableColumn id="6" xr3:uid="{00000000-0010-0000-F800-000006000000}" name="L" dataDxfId="2142"/>
    <tableColumn id="7" xr3:uid="{00000000-0010-0000-F800-000007000000}" name="G" dataDxfId="2141"/>
    <tableColumn id="8" xr3:uid="{00000000-0010-0000-F800-000008000000}" name="IP" dataDxfId="2140"/>
    <tableColumn id="9" xr3:uid="{00000000-0010-0000-F800-000009000000}" name="H" dataDxfId="2139"/>
    <tableColumn id="10" xr3:uid="{00000000-0010-0000-F800-00000A000000}" name="R" dataDxfId="2138"/>
    <tableColumn id="11" xr3:uid="{00000000-0010-0000-F800-00000B000000}" name="BB" dataDxfId="2137"/>
    <tableColumn id="12" xr3:uid="{00000000-0010-0000-F800-00000C000000}" name="K" dataDxfId="2136"/>
    <tableColumn id="13" xr3:uid="{00000000-0010-0000-F800-00000D000000}" name="SV" dataDxfId="2135"/>
    <tableColumn id="14" xr3:uid="{00000000-0010-0000-F800-00000E000000}" name="WH" dataDxfId="2134">
      <calculatedColumnFormula>IFERROR((SDP_P[[#This Row],[BB]]+SDP_P[[#This Row],[H]])/SDP_P[[#This Row],[IP]],0)</calculatedColumnFormula>
    </tableColumn>
    <tableColumn id="15" xr3:uid="{00000000-0010-0000-F800-00000F000000}" name="QS" dataDxfId="2133"/>
    <tableColumn id="16" xr3:uid="{00000000-0010-0000-F800-000010000000}" name="UQ" dataDxfId="2132"/>
    <tableColumn id="17" xr3:uid="{00000000-0010-0000-F800-000011000000}" name="CG" dataDxfId="2131"/>
    <tableColumn id="18" xr3:uid="{00000000-0010-0000-F800-000012000000}" name="SH" dataDxfId="2130"/>
    <tableColumn id="19" xr3:uid="{00000000-0010-0000-F800-000013000000}" name="#" dataDxfId="2129"/>
  </tableColumns>
  <tableStyleInfo name="TableStyleMedium3" showFirstColumn="0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F9000000}" name="SDP_H" displayName="SDP_H" ref="A65:W79" totalsRowShown="0" headerRowDxfId="2128" headerRowBorderDxfId="2127">
  <autoFilter ref="A65:W79" xr:uid="{00000000-0009-0000-0100-00005F000000}"/>
  <sortState xmlns:xlrd2="http://schemas.microsoft.com/office/spreadsheetml/2017/richdata2" ref="A66:W79">
    <sortCondition ref="W65:W79"/>
  </sortState>
  <tableColumns count="23">
    <tableColumn id="1" xr3:uid="{00000000-0010-0000-F900-000001000000}" name="TM" dataDxfId="2126"/>
    <tableColumn id="2" xr3:uid="{00000000-0010-0000-F900-000002000000}" name="@" dataDxfId="2125"/>
    <tableColumn id="3" xr3:uid="{00000000-0010-0000-F900-000003000000}" name="NAME" dataDxfId="2124"/>
    <tableColumn id="4" xr3:uid="{00000000-0010-0000-F900-000004000000}" name="BA" dataDxfId="2123">
      <calculatedColumnFormula>IFERROR(SDP_H[[#This Row],[H]]/SDP_H[[#This Row],[AB]],0)</calculatedColumnFormula>
    </tableColumn>
    <tableColumn id="5" xr3:uid="{00000000-0010-0000-F900-000005000000}" name="OBP" dataDxfId="2122">
      <calculatedColumnFormula>IFERROR((SDP_H[[#This Row],[H]]+SDP_H[[#This Row],[BB]])/(SDP_H[[#This Row],[BB]]+SDP_H[[#This Row],[AB]]),0)</calculatedColumnFormula>
    </tableColumn>
    <tableColumn id="6" xr3:uid="{00000000-0010-0000-F900-000006000000}" name="SLG" dataDxfId="2121">
      <calculatedColumnFormula>IFERROR(((SDP_H[[#This Row],[H]]-SDP_H[[#This Row],[2B]]-SDP_H[[#This Row],[3B]]-SDP_H[[#This Row],[HR]])+(SDP_H[[#This Row],[2B]]*2)+(SDP_H[[#This Row],[3B]]*3)+(SDP_H[[#This Row],[HR]]*4))/SDP_H[[#This Row],[AB]],0)</calculatedColumnFormula>
    </tableColumn>
    <tableColumn id="7" xr3:uid="{00000000-0010-0000-F900-000007000000}" name="G" dataDxfId="2120"/>
    <tableColumn id="8" xr3:uid="{00000000-0010-0000-F900-000008000000}" name="AB" dataDxfId="2119"/>
    <tableColumn id="9" xr3:uid="{00000000-0010-0000-F900-000009000000}" name="R" dataDxfId="2118"/>
    <tableColumn id="10" xr3:uid="{00000000-0010-0000-F900-00000A000000}" name="H" dataDxfId="2117"/>
    <tableColumn id="11" xr3:uid="{00000000-0010-0000-F900-00000B000000}" name="2B" dataDxfId="2116"/>
    <tableColumn id="12" xr3:uid="{00000000-0010-0000-F900-00000C000000}" name="3B" dataDxfId="2115"/>
    <tableColumn id="13" xr3:uid="{00000000-0010-0000-F900-00000D000000}" name="HR" dataDxfId="2114"/>
    <tableColumn id="14" xr3:uid="{00000000-0010-0000-F900-00000E000000}" name="RBI" dataDxfId="2113"/>
    <tableColumn id="15" xr3:uid="{00000000-0010-0000-F900-00000F000000}" name="BB" dataDxfId="2112"/>
    <tableColumn id="16" xr3:uid="{00000000-0010-0000-F900-000010000000}" name="K" dataDxfId="2111"/>
    <tableColumn id="17" xr3:uid="{00000000-0010-0000-F900-000011000000}" name="SB" dataDxfId="2110"/>
    <tableColumn id="18" xr3:uid="{00000000-0010-0000-F900-000012000000}" name="HS" dataDxfId="2109"/>
    <tableColumn id="19" xr3:uid="{00000000-0010-0000-F900-000013000000}" name="LS" dataDxfId="2108"/>
    <tableColumn id="20" xr3:uid="{00000000-0010-0000-F900-000014000000}" name="TB" dataDxfId="2107">
      <calculatedColumnFormula>IFERROR((SDP_H[[#This Row],[H]]-SDP_H[[#This Row],[2B]]-SDP_H[[#This Row],[3B]]-SDP_H[[#This Row],[HR]])+(SDP_H[[#This Row],[2B]]*2)+(SDP_H[[#This Row],[3B]]*3)+(SDP_H[[#This Row],[HR]]*4),0)</calculatedColumnFormula>
    </tableColumn>
    <tableColumn id="21" xr3:uid="{00000000-0010-0000-F900-000015000000}" name="OPS" dataDxfId="2106">
      <calculatedColumnFormula>SDP_H[[#This Row],[OBP]]+SDP_H[[#This Row],[SLG]]</calculatedColumnFormula>
    </tableColumn>
    <tableColumn id="22" xr3:uid="{00000000-0010-0000-F900-000016000000}" name="*" dataDxfId="2105"/>
    <tableColumn id="23" xr3:uid="{00000000-0010-0000-F900-000017000000}" name="#" dataDxfId="2104"/>
  </tableColumns>
  <tableStyleInfo name="TableStyleMedium3" showFirstColumn="0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FA000000}" name="SFG_P" displayName="SFG_P" ref="A20:S30" totalsRowShown="0" headerRowDxfId="2103" headerRowBorderDxfId="2102">
  <autoFilter ref="A20:S30" xr:uid="{00000000-0009-0000-0100-000060000000}"/>
  <sortState xmlns:xlrd2="http://schemas.microsoft.com/office/spreadsheetml/2017/richdata2" ref="A21:S30">
    <sortCondition ref="S20:S30"/>
  </sortState>
  <tableColumns count="19">
    <tableColumn id="1" xr3:uid="{00000000-0010-0000-FA00-000001000000}" name="TM" dataDxfId="2101"/>
    <tableColumn id="2" xr3:uid="{00000000-0010-0000-FA00-000002000000}" name="@" dataDxfId="2100"/>
    <tableColumn id="3" xr3:uid="{00000000-0010-0000-FA00-000003000000}" name="NAME" dataDxfId="2099"/>
    <tableColumn id="4" xr3:uid="{00000000-0010-0000-FA00-000004000000}" name="ERA" dataDxfId="2098">
      <calculatedColumnFormula>IFERROR((SFG_P[[#This Row],[R]]*9)/SFG_P[[#This Row],[IP]],0)</calculatedColumnFormula>
    </tableColumn>
    <tableColumn id="5" xr3:uid="{00000000-0010-0000-FA00-000005000000}" name="W" dataDxfId="2097"/>
    <tableColumn id="6" xr3:uid="{00000000-0010-0000-FA00-000006000000}" name="L" dataDxfId="2096"/>
    <tableColumn id="7" xr3:uid="{00000000-0010-0000-FA00-000007000000}" name="G" dataDxfId="2095"/>
    <tableColumn id="8" xr3:uid="{00000000-0010-0000-FA00-000008000000}" name="IP" dataDxfId="2094"/>
    <tableColumn id="9" xr3:uid="{00000000-0010-0000-FA00-000009000000}" name="H" dataDxfId="2093"/>
    <tableColumn id="10" xr3:uid="{00000000-0010-0000-FA00-00000A000000}" name="R" dataDxfId="2092"/>
    <tableColumn id="11" xr3:uid="{00000000-0010-0000-FA00-00000B000000}" name="BB" dataDxfId="2091"/>
    <tableColumn id="12" xr3:uid="{00000000-0010-0000-FA00-00000C000000}" name="K" dataDxfId="2090"/>
    <tableColumn id="13" xr3:uid="{00000000-0010-0000-FA00-00000D000000}" name="SV" dataDxfId="2089"/>
    <tableColumn id="14" xr3:uid="{00000000-0010-0000-FA00-00000E000000}" name="WH" dataDxfId="2088">
      <calculatedColumnFormula>IFERROR((SFG_P[[#This Row],[BB]]+SFG_P[[#This Row],[H]])/SFG_P[[#This Row],[IP]],0)</calculatedColumnFormula>
    </tableColumn>
    <tableColumn id="15" xr3:uid="{00000000-0010-0000-FA00-00000F000000}" name="QS" dataDxfId="2087"/>
    <tableColumn id="16" xr3:uid="{00000000-0010-0000-FA00-000010000000}" name="UQ" dataDxfId="2086"/>
    <tableColumn id="17" xr3:uid="{00000000-0010-0000-FA00-000011000000}" name="CG" dataDxfId="2085"/>
    <tableColumn id="18" xr3:uid="{00000000-0010-0000-FA00-000012000000}" name="SH" dataDxfId="2084"/>
    <tableColumn id="19" xr3:uid="{00000000-0010-0000-FA00-000013000000}" name="#" dataDxfId="2083"/>
  </tableColumns>
  <tableStyleInfo name="TableStyleMedium3" showFirstColumn="0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FB000000}" name="SFG_H" displayName="SFG_H" ref="A3:W17" totalsRowShown="0" headerRowDxfId="2082" headerRowBorderDxfId="2081">
  <autoFilter ref="A3:W17" xr:uid="{00000000-0009-0000-0100-000061000000}"/>
  <sortState xmlns:xlrd2="http://schemas.microsoft.com/office/spreadsheetml/2017/richdata2" ref="A4:W17">
    <sortCondition ref="W3:W17"/>
  </sortState>
  <tableColumns count="23">
    <tableColumn id="1" xr3:uid="{00000000-0010-0000-FB00-000001000000}" name="TM" dataDxfId="2080"/>
    <tableColumn id="2" xr3:uid="{00000000-0010-0000-FB00-000002000000}" name="@" dataDxfId="2079"/>
    <tableColumn id="3" xr3:uid="{00000000-0010-0000-FB00-000003000000}" name="NAME" dataDxfId="2078"/>
    <tableColumn id="4" xr3:uid="{00000000-0010-0000-FB00-000004000000}" name="BA" dataDxfId="2077">
      <calculatedColumnFormula>IFERROR(SFG_H[[#This Row],[H]]/SFG_H[[#This Row],[AB]],0)</calculatedColumnFormula>
    </tableColumn>
    <tableColumn id="5" xr3:uid="{00000000-0010-0000-FB00-000005000000}" name="OBP" dataDxfId="2076">
      <calculatedColumnFormula>IFERROR((SFG_H[[#This Row],[H]]+SFG_H[[#This Row],[BB]])/(SFG_H[[#This Row],[BB]]+SFG_H[[#This Row],[AB]]),0)</calculatedColumnFormula>
    </tableColumn>
    <tableColumn id="6" xr3:uid="{00000000-0010-0000-FB00-000006000000}" name="SLG" dataDxfId="2075">
      <calculatedColumnFormula>IFERROR(((SFG_H[[#This Row],[H]]-SFG_H[[#This Row],[2B]]-SFG_H[[#This Row],[3B]]-SFG_H[[#This Row],[HR]])+(SFG_H[[#This Row],[2B]]*2)+(SFG_H[[#This Row],[3B]]*3)+(SFG_H[[#This Row],[HR]]*4))/SFG_H[[#This Row],[AB]],0)</calculatedColumnFormula>
    </tableColumn>
    <tableColumn id="7" xr3:uid="{00000000-0010-0000-FB00-000007000000}" name="G" dataDxfId="2074"/>
    <tableColumn id="8" xr3:uid="{00000000-0010-0000-FB00-000008000000}" name="AB" dataDxfId="2073"/>
    <tableColumn id="9" xr3:uid="{00000000-0010-0000-FB00-000009000000}" name="R" dataDxfId="2072"/>
    <tableColumn id="10" xr3:uid="{00000000-0010-0000-FB00-00000A000000}" name="H" dataDxfId="2071"/>
    <tableColumn id="11" xr3:uid="{00000000-0010-0000-FB00-00000B000000}" name="2B" dataDxfId="2070"/>
    <tableColumn id="12" xr3:uid="{00000000-0010-0000-FB00-00000C000000}" name="3B" dataDxfId="2069"/>
    <tableColumn id="13" xr3:uid="{00000000-0010-0000-FB00-00000D000000}" name="HR" dataDxfId="2068"/>
    <tableColumn id="14" xr3:uid="{00000000-0010-0000-FB00-00000E000000}" name="RBI" dataDxfId="2067"/>
    <tableColumn id="15" xr3:uid="{00000000-0010-0000-FB00-00000F000000}" name="BB" dataDxfId="2066"/>
    <tableColumn id="16" xr3:uid="{00000000-0010-0000-FB00-000010000000}" name="K" dataDxfId="2065"/>
    <tableColumn id="17" xr3:uid="{00000000-0010-0000-FB00-000011000000}" name="SB" dataDxfId="2064"/>
    <tableColumn id="18" xr3:uid="{00000000-0010-0000-FB00-000012000000}" name="HS" dataDxfId="2063"/>
    <tableColumn id="19" xr3:uid="{00000000-0010-0000-FB00-000013000000}" name="LS" dataDxfId="2062"/>
    <tableColumn id="20" xr3:uid="{00000000-0010-0000-FB00-000014000000}" name="TB" dataDxfId="2061">
      <calculatedColumnFormula>IFERROR((SFG_H[[#This Row],[H]]-SFG_H[[#This Row],[2B]]-SFG_H[[#This Row],[3B]]-SFG_H[[#This Row],[HR]])+(SFG_H[[#This Row],[2B]]*2)+(SFG_H[[#This Row],[3B]]*3)+(SFG_H[[#This Row],[HR]]*4),0)</calculatedColumnFormula>
    </tableColumn>
    <tableColumn id="21" xr3:uid="{00000000-0010-0000-FB00-000015000000}" name="OPS" dataDxfId="2060">
      <calculatedColumnFormula>SFG_H[[#This Row],[OBP]]+SFG_H[[#This Row],[SLG]]</calculatedColumnFormula>
    </tableColumn>
    <tableColumn id="22" xr3:uid="{00000000-0010-0000-FB00-000016000000}" name="*" dataDxfId="2059"/>
    <tableColumn id="23" xr3:uid="{00000000-0010-0000-FB00-000017000000}" name="#" dataDxfId="2058"/>
  </tableColumns>
  <tableStyleInfo name="TableStyleMedium3" showFirstColumn="0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FC000000}" name="LAD_P" displayName="LAD_P" ref="A51:S61" totalsRowShown="0" headerRowDxfId="2057" headerRowBorderDxfId="2056">
  <autoFilter ref="A51:S61" xr:uid="{00000000-0009-0000-0100-000062000000}"/>
  <sortState xmlns:xlrd2="http://schemas.microsoft.com/office/spreadsheetml/2017/richdata2" ref="A52:S61">
    <sortCondition ref="S51:S61"/>
  </sortState>
  <tableColumns count="19">
    <tableColumn id="1" xr3:uid="{00000000-0010-0000-FC00-000001000000}" name="TM" dataDxfId="2055"/>
    <tableColumn id="2" xr3:uid="{00000000-0010-0000-FC00-000002000000}" name="@" dataDxfId="2054"/>
    <tableColumn id="3" xr3:uid="{00000000-0010-0000-FC00-000003000000}" name="NAME" dataDxfId="2053"/>
    <tableColumn id="4" xr3:uid="{00000000-0010-0000-FC00-000004000000}" name="ERA" dataDxfId="2052">
      <calculatedColumnFormula>IFERROR((LAD_P[[#This Row],[R]]*9)/LAD_P[[#This Row],[IP]],0)</calculatedColumnFormula>
    </tableColumn>
    <tableColumn id="5" xr3:uid="{00000000-0010-0000-FC00-000005000000}" name="W" dataDxfId="2051"/>
    <tableColumn id="6" xr3:uid="{00000000-0010-0000-FC00-000006000000}" name="L" dataDxfId="2050"/>
    <tableColumn id="7" xr3:uid="{00000000-0010-0000-FC00-000007000000}" name="G" dataDxfId="2049"/>
    <tableColumn id="8" xr3:uid="{00000000-0010-0000-FC00-000008000000}" name="IP" dataDxfId="2048"/>
    <tableColumn id="9" xr3:uid="{00000000-0010-0000-FC00-000009000000}" name="H" dataDxfId="2047"/>
    <tableColumn id="10" xr3:uid="{00000000-0010-0000-FC00-00000A000000}" name="R" dataDxfId="2046"/>
    <tableColumn id="11" xr3:uid="{00000000-0010-0000-FC00-00000B000000}" name="BB" dataDxfId="2045"/>
    <tableColumn id="12" xr3:uid="{00000000-0010-0000-FC00-00000C000000}" name="K" dataDxfId="2044"/>
    <tableColumn id="13" xr3:uid="{00000000-0010-0000-FC00-00000D000000}" name="SV" dataDxfId="2043"/>
    <tableColumn id="14" xr3:uid="{00000000-0010-0000-FC00-00000E000000}" name="WH" dataDxfId="2042">
      <calculatedColumnFormula>IFERROR((LAD_P[[#This Row],[BB]]+LAD_P[[#This Row],[H]])/LAD_P[[#This Row],[IP]],0)</calculatedColumnFormula>
    </tableColumn>
    <tableColumn id="15" xr3:uid="{00000000-0010-0000-FC00-00000F000000}" name="QS" dataDxfId="2041"/>
    <tableColumn id="16" xr3:uid="{00000000-0010-0000-FC00-000010000000}" name="UQ" dataDxfId="2040"/>
    <tableColumn id="17" xr3:uid="{00000000-0010-0000-FC00-000011000000}" name="CG" dataDxfId="2039"/>
    <tableColumn id="18" xr3:uid="{00000000-0010-0000-FC00-000012000000}" name="SH" dataDxfId="2038"/>
    <tableColumn id="19" xr3:uid="{00000000-0010-0000-FC00-000013000000}" name="#" dataDxfId="2037"/>
  </tableColumns>
  <tableStyleInfo name="TableStyleMedium5" showFirstColumn="0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FD000000}" name="LAD_H" displayName="LAD_H" ref="A34:W48" totalsRowShown="0" headerRowDxfId="2036" headerRowBorderDxfId="2035">
  <autoFilter ref="A34:W48" xr:uid="{00000000-0009-0000-0100-000063000000}"/>
  <sortState xmlns:xlrd2="http://schemas.microsoft.com/office/spreadsheetml/2017/richdata2" ref="A35:W48">
    <sortCondition descending="1" ref="T34:T48"/>
  </sortState>
  <tableColumns count="23">
    <tableColumn id="1" xr3:uid="{00000000-0010-0000-FD00-000001000000}" name="TM" dataDxfId="2034"/>
    <tableColumn id="2" xr3:uid="{00000000-0010-0000-FD00-000002000000}" name="@" dataDxfId="2033"/>
    <tableColumn id="3" xr3:uid="{00000000-0010-0000-FD00-000003000000}" name="NAME" dataDxfId="2032"/>
    <tableColumn id="4" xr3:uid="{00000000-0010-0000-FD00-000004000000}" name="BA" dataDxfId="2031">
      <calculatedColumnFormula>IFERROR(LAD_H[[#This Row],[H]]/LAD_H[[#This Row],[AB]],0)</calculatedColumnFormula>
    </tableColumn>
    <tableColumn id="5" xr3:uid="{00000000-0010-0000-FD00-000005000000}" name="OBP" dataDxfId="2030">
      <calculatedColumnFormula>IFERROR((LAD_H[[#This Row],[H]]+LAD_H[[#This Row],[BB]])/(LAD_H[[#This Row],[BB]]+LAD_H[[#This Row],[AB]]),0)</calculatedColumnFormula>
    </tableColumn>
    <tableColumn id="6" xr3:uid="{00000000-0010-0000-FD00-000006000000}" name="SLG" dataDxfId="2029">
      <calculatedColumnFormula>IFERROR(((LAD_H[[#This Row],[H]]-LAD_H[[#This Row],[2B]]-LAD_H[[#This Row],[3B]]-LAD_H[[#This Row],[HR]])+(LAD_H[[#This Row],[2B]]*2)+(LAD_H[[#This Row],[3B]]*3)+(LAD_H[[#This Row],[HR]]*4))/LAD_H[[#This Row],[AB]],0)</calculatedColumnFormula>
    </tableColumn>
    <tableColumn id="7" xr3:uid="{00000000-0010-0000-FD00-000007000000}" name="G" dataDxfId="2028"/>
    <tableColumn id="8" xr3:uid="{00000000-0010-0000-FD00-000008000000}" name="AB" dataDxfId="2027"/>
    <tableColumn id="9" xr3:uid="{00000000-0010-0000-FD00-000009000000}" name="R" dataDxfId="2026"/>
    <tableColumn id="10" xr3:uid="{00000000-0010-0000-FD00-00000A000000}" name="H" dataDxfId="2025"/>
    <tableColumn id="11" xr3:uid="{00000000-0010-0000-FD00-00000B000000}" name="2B" dataDxfId="2024"/>
    <tableColumn id="12" xr3:uid="{00000000-0010-0000-FD00-00000C000000}" name="3B" dataDxfId="2023"/>
    <tableColumn id="13" xr3:uid="{00000000-0010-0000-FD00-00000D000000}" name="HR" dataDxfId="2022"/>
    <tableColumn id="14" xr3:uid="{00000000-0010-0000-FD00-00000E000000}" name="RBI" dataDxfId="2021"/>
    <tableColumn id="15" xr3:uid="{00000000-0010-0000-FD00-00000F000000}" name="BB" dataDxfId="2020"/>
    <tableColumn id="16" xr3:uid="{00000000-0010-0000-FD00-000010000000}" name="K" dataDxfId="2019"/>
    <tableColumn id="17" xr3:uid="{00000000-0010-0000-FD00-000011000000}" name="SB" dataDxfId="2018"/>
    <tableColumn id="18" xr3:uid="{00000000-0010-0000-FD00-000012000000}" name="HS" dataDxfId="2017"/>
    <tableColumn id="19" xr3:uid="{00000000-0010-0000-FD00-000013000000}" name="LS" dataDxfId="2016"/>
    <tableColumn id="20" xr3:uid="{00000000-0010-0000-FD00-000014000000}" name="TB" dataDxfId="2015">
      <calculatedColumnFormula>IFERROR((LAD_H[[#This Row],[H]]-LAD_H[[#This Row],[2B]]-LAD_H[[#This Row],[3B]]-LAD_H[[#This Row],[HR]])+(LAD_H[[#This Row],[2B]]*2)+(LAD_H[[#This Row],[3B]]*3)+(LAD_H[[#This Row],[HR]]*4),0)</calculatedColumnFormula>
    </tableColumn>
    <tableColumn id="21" xr3:uid="{00000000-0010-0000-FD00-000015000000}" name="OPS" dataDxfId="2014">
      <calculatedColumnFormula>LAD_H[[#This Row],[OBP]]+LAD_H[[#This Row],[SLG]]</calculatedColumnFormula>
    </tableColumn>
    <tableColumn id="22" xr3:uid="{00000000-0010-0000-FD00-000016000000}" name="*" dataDxfId="2013"/>
    <tableColumn id="23" xr3:uid="{00000000-0010-0000-FD00-000017000000}" name="#" dataDxfId="2012"/>
  </tableColumns>
  <tableStyleInfo name="TableStyleMedium5" showFirstColumn="0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FE000000}" name="ARI_H" displayName="ARI_H" ref="A127:W141" totalsRowShown="0" headerRowDxfId="2011" headerRowBorderDxfId="2010">
  <autoFilter ref="A127:W141" xr:uid="{00000000-0009-0000-0100-000064000000}"/>
  <sortState xmlns:xlrd2="http://schemas.microsoft.com/office/spreadsheetml/2017/richdata2" ref="A128:W141">
    <sortCondition ref="W127:W141"/>
  </sortState>
  <tableColumns count="23">
    <tableColumn id="1" xr3:uid="{00000000-0010-0000-FE00-000001000000}" name="TM" dataDxfId="2009"/>
    <tableColumn id="2" xr3:uid="{00000000-0010-0000-FE00-000002000000}" name="@" dataDxfId="2008"/>
    <tableColumn id="3" xr3:uid="{00000000-0010-0000-FE00-000003000000}" name="NAME" dataDxfId="2007"/>
    <tableColumn id="4" xr3:uid="{00000000-0010-0000-FE00-000004000000}" name="BA" dataDxfId="2006">
      <calculatedColumnFormula>IFERROR(ARI_H[[#This Row],[H]]/ARI_H[[#This Row],[AB]],0)</calculatedColumnFormula>
    </tableColumn>
    <tableColumn id="5" xr3:uid="{00000000-0010-0000-FE00-000005000000}" name="OBP" dataDxfId="2005">
      <calculatedColumnFormula>IFERROR((ARI_H[[#This Row],[H]]+ARI_H[[#This Row],[BB]])/(ARI_H[[#This Row],[BB]]+ARI_H[[#This Row],[AB]]),0)</calculatedColumnFormula>
    </tableColumn>
    <tableColumn id="6" xr3:uid="{00000000-0010-0000-FE00-000006000000}" name="SLG" dataDxfId="2004">
      <calculatedColumnFormula>IFERROR(((ARI_H[[#This Row],[H]]-ARI_H[[#This Row],[2B]]-ARI_H[[#This Row],[3B]]-ARI_H[[#This Row],[HR]])+(ARI_H[[#This Row],[2B]]*2)+(ARI_H[[#This Row],[3B]]*3)+(ARI_H[[#This Row],[HR]]*4))/ARI_H[[#This Row],[AB]],0)</calculatedColumnFormula>
    </tableColumn>
    <tableColumn id="7" xr3:uid="{00000000-0010-0000-FE00-000007000000}" name="G" dataDxfId="2003"/>
    <tableColumn id="8" xr3:uid="{00000000-0010-0000-FE00-000008000000}" name="AB" dataDxfId="2002"/>
    <tableColumn id="9" xr3:uid="{00000000-0010-0000-FE00-000009000000}" name="R" dataDxfId="2001"/>
    <tableColumn id="10" xr3:uid="{00000000-0010-0000-FE00-00000A000000}" name="H" dataDxfId="2000"/>
    <tableColumn id="11" xr3:uid="{00000000-0010-0000-FE00-00000B000000}" name="2B" dataDxfId="1999"/>
    <tableColumn id="12" xr3:uid="{00000000-0010-0000-FE00-00000C000000}" name="3B" dataDxfId="1998"/>
    <tableColumn id="13" xr3:uid="{00000000-0010-0000-FE00-00000D000000}" name="HR" dataDxfId="1997"/>
    <tableColumn id="14" xr3:uid="{00000000-0010-0000-FE00-00000E000000}" name="RBI" dataDxfId="1996"/>
    <tableColumn id="15" xr3:uid="{00000000-0010-0000-FE00-00000F000000}" name="BB" dataDxfId="1995"/>
    <tableColumn id="16" xr3:uid="{00000000-0010-0000-FE00-000010000000}" name="K" dataDxfId="1994"/>
    <tableColumn id="17" xr3:uid="{00000000-0010-0000-FE00-000011000000}" name="SB" dataDxfId="1993"/>
    <tableColumn id="18" xr3:uid="{00000000-0010-0000-FE00-000012000000}" name="HS" dataDxfId="1992"/>
    <tableColumn id="19" xr3:uid="{00000000-0010-0000-FE00-000013000000}" name="LS" dataDxfId="1991"/>
    <tableColumn id="20" xr3:uid="{00000000-0010-0000-FE00-000014000000}" name="TB" dataDxfId="1990">
      <calculatedColumnFormula>IFERROR((ARI_H[[#This Row],[H]]-ARI_H[[#This Row],[2B]]-ARI_H[[#This Row],[3B]]-ARI_H[[#This Row],[HR]])+(ARI_H[[#This Row],[2B]]*2)+(ARI_H[[#This Row],[3B]]*3)+(ARI_H[[#This Row],[HR]]*4),0)</calculatedColumnFormula>
    </tableColumn>
    <tableColumn id="21" xr3:uid="{00000000-0010-0000-FE00-000015000000}" name="OPS" dataDxfId="1989">
      <calculatedColumnFormula>ARI_H[[#This Row],[OBP]]+ARI_H[[#This Row],[SLG]]</calculatedColumnFormula>
    </tableColumn>
    <tableColumn id="22" xr3:uid="{00000000-0010-0000-FE00-000016000000}" name="*" dataDxfId="1988"/>
    <tableColumn id="23" xr3:uid="{00000000-0010-0000-FE00-000017000000}" name="#" dataDxfId="1987"/>
  </tableColumns>
  <tableStyleInfo name="TableStyleMedium3" showFirstColumn="0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FF000000}" name="COL_H103" displayName="COL_H103" ref="Z96:AV110" totalsRowShown="0" headerRowDxfId="1986" headerRowBorderDxfId="1985">
  <autoFilter ref="Z96:AV110" xr:uid="{00000000-0009-0000-0100-000066000000}"/>
  <sortState xmlns:xlrd2="http://schemas.microsoft.com/office/spreadsheetml/2017/richdata2" ref="Z97:AV110">
    <sortCondition descending="1" ref="AS96:AS110"/>
  </sortState>
  <tableColumns count="23">
    <tableColumn id="1" xr3:uid="{00000000-0010-0000-FF00-000001000000}" name="TM" dataDxfId="1984"/>
    <tableColumn id="2" xr3:uid="{00000000-0010-0000-FF00-000002000000}" name="@" dataDxfId="1983"/>
    <tableColumn id="3" xr3:uid="{00000000-0010-0000-FF00-000003000000}" name="NAME" dataDxfId="1982"/>
    <tableColumn id="4" xr3:uid="{00000000-0010-0000-FF00-000004000000}" name="BA" dataDxfId="1981">
      <calculatedColumnFormula>IFERROR(COL_H103[[#This Row],[H]]/COL_H103[[#This Row],[AB]],0)</calculatedColumnFormula>
    </tableColumn>
    <tableColumn id="5" xr3:uid="{00000000-0010-0000-FF00-000005000000}" name="OBP" dataDxfId="1980">
      <calculatedColumnFormula>IFERROR((COL_H103[[#This Row],[H]]+COL_H103[[#This Row],[BB]])/(COL_H103[[#This Row],[BB]]+COL_H103[[#This Row],[AB]]),0)</calculatedColumnFormula>
    </tableColumn>
    <tableColumn id="6" xr3:uid="{00000000-0010-0000-FF00-000006000000}" name="SLG" dataDxfId="1979">
      <calculatedColumnFormula>IFERROR(((COL_H103[[#This Row],[H]]-COL_H103[[#This Row],[2B]]-COL_H103[[#This Row],[3B]]-COL_H103[[#This Row],[HR]])+(COL_H103[[#This Row],[2B]]*2)+(COL_H103[[#This Row],[3B]]*3)+(COL_H103[[#This Row],[HR]]*4))/COL_H103[[#This Row],[AB]],0)</calculatedColumnFormula>
    </tableColumn>
    <tableColumn id="7" xr3:uid="{00000000-0010-0000-FF00-000007000000}" name="G" dataDxfId="1978"/>
    <tableColumn id="8" xr3:uid="{00000000-0010-0000-FF00-000008000000}" name="AB" dataDxfId="1977"/>
    <tableColumn id="9" xr3:uid="{00000000-0010-0000-FF00-000009000000}" name="R" dataDxfId="1976"/>
    <tableColumn id="10" xr3:uid="{00000000-0010-0000-FF00-00000A000000}" name="H" dataDxfId="1975"/>
    <tableColumn id="11" xr3:uid="{00000000-0010-0000-FF00-00000B000000}" name="2B" dataDxfId="1974"/>
    <tableColumn id="12" xr3:uid="{00000000-0010-0000-FF00-00000C000000}" name="3B" dataDxfId="1973"/>
    <tableColumn id="13" xr3:uid="{00000000-0010-0000-FF00-00000D000000}" name="HR" dataDxfId="1972"/>
    <tableColumn id="14" xr3:uid="{00000000-0010-0000-FF00-00000E000000}" name="RBI" dataDxfId="1971"/>
    <tableColumn id="15" xr3:uid="{00000000-0010-0000-FF00-00000F000000}" name="BB" dataDxfId="1970"/>
    <tableColumn id="16" xr3:uid="{00000000-0010-0000-FF00-000010000000}" name="K" dataDxfId="1969"/>
    <tableColumn id="17" xr3:uid="{00000000-0010-0000-FF00-000011000000}" name="SB" dataDxfId="1968"/>
    <tableColumn id="18" xr3:uid="{00000000-0010-0000-FF00-000012000000}" name="HS" dataDxfId="1967"/>
    <tableColumn id="19" xr3:uid="{00000000-0010-0000-FF00-000013000000}" name="LS" dataDxfId="1966"/>
    <tableColumn id="20" xr3:uid="{00000000-0010-0000-FF00-000014000000}" name="TB" dataDxfId="1965">
      <calculatedColumnFormula>IFERROR((COL_H103[[#This Row],[H]]-COL_H103[[#This Row],[2B]]-COL_H103[[#This Row],[3B]]-COL_H103[[#This Row],[HR]])+(COL_H103[[#This Row],[2B]]*2)+(COL_H103[[#This Row],[3B]]*3)+(COL_H103[[#This Row],[HR]]*4),0)</calculatedColumnFormula>
    </tableColumn>
    <tableColumn id="21" xr3:uid="{00000000-0010-0000-FF00-000015000000}" name="OPS" dataDxfId="1964">
      <calculatedColumnFormula>COL_H103[[#This Row],[OBP]]+COL_H103[[#This Row],[SLG]]</calculatedColumnFormula>
    </tableColumn>
    <tableColumn id="22" xr3:uid="{00000000-0010-0000-FF00-000016000000}" name="*" dataDxfId="1963"/>
    <tableColumn id="23" xr3:uid="{00000000-0010-0000-FF00-000017000000}" name="#" dataDxfId="1962"/>
  </tableColumns>
  <tableStyleInfo name="TableStyleMedium1" showFirstColumn="0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00010000}" name="COL_P104" displayName="COL_P104" ref="Z113:AR123" totalsRowShown="0" headerRowDxfId="1961" headerRowBorderDxfId="1960">
  <autoFilter ref="Z113:AR123" xr:uid="{00000000-0009-0000-0100-000067000000}"/>
  <sortState xmlns:xlrd2="http://schemas.microsoft.com/office/spreadsheetml/2017/richdata2" ref="Z114:AR123">
    <sortCondition ref="AR113:AR123"/>
  </sortState>
  <tableColumns count="19">
    <tableColumn id="1" xr3:uid="{00000000-0010-0000-0001-000001000000}" name="TM" dataDxfId="1959"/>
    <tableColumn id="2" xr3:uid="{00000000-0010-0000-0001-000002000000}" name="@" dataDxfId="1958"/>
    <tableColumn id="3" xr3:uid="{00000000-0010-0000-0001-000003000000}" name="NAME" dataDxfId="1957"/>
    <tableColumn id="4" xr3:uid="{00000000-0010-0000-0001-000004000000}" name="ERA" dataDxfId="1956">
      <calculatedColumnFormula>IFERROR((COL_P104[[#This Row],[R]]*9)/COL_P104[[#This Row],[IP]],0)</calculatedColumnFormula>
    </tableColumn>
    <tableColumn id="5" xr3:uid="{00000000-0010-0000-0001-000005000000}" name="W" dataDxfId="1955"/>
    <tableColumn id="6" xr3:uid="{00000000-0010-0000-0001-000006000000}" name="L" dataDxfId="1954"/>
    <tableColumn id="7" xr3:uid="{00000000-0010-0000-0001-000007000000}" name="G" dataDxfId="1953"/>
    <tableColumn id="8" xr3:uid="{00000000-0010-0000-0001-000008000000}" name="IP" dataDxfId="1952"/>
    <tableColumn id="9" xr3:uid="{00000000-0010-0000-0001-000009000000}" name="H" dataDxfId="1951"/>
    <tableColumn id="10" xr3:uid="{00000000-0010-0000-0001-00000A000000}" name="R" dataDxfId="1950"/>
    <tableColumn id="11" xr3:uid="{00000000-0010-0000-0001-00000B000000}" name="BB" dataDxfId="1949"/>
    <tableColumn id="12" xr3:uid="{00000000-0010-0000-0001-00000C000000}" name="K" dataDxfId="1948"/>
    <tableColumn id="13" xr3:uid="{00000000-0010-0000-0001-00000D000000}" name="SV" dataDxfId="1947"/>
    <tableColumn id="14" xr3:uid="{00000000-0010-0000-0001-00000E000000}" name="WH" dataDxfId="1946">
      <calculatedColumnFormula>IFERROR((COL_P104[[#This Row],[BB]]+COL_P104[[#This Row],[H]])/COL_P104[[#This Row],[IP]],0)</calculatedColumnFormula>
    </tableColumn>
    <tableColumn id="15" xr3:uid="{00000000-0010-0000-0001-00000F000000}" name="QS" dataDxfId="1945"/>
    <tableColumn id="16" xr3:uid="{00000000-0010-0000-0001-000010000000}" name="UQ" dataDxfId="1944"/>
    <tableColumn id="17" xr3:uid="{00000000-0010-0000-0001-000011000000}" name="CG" dataDxfId="1943"/>
    <tableColumn id="18" xr3:uid="{00000000-0010-0000-0001-000012000000}" name="SH" dataDxfId="1942"/>
    <tableColumn id="19" xr3:uid="{00000000-0010-0000-0001-000013000000}" name="#" dataDxfId="1941"/>
  </tableColumns>
  <tableStyleInfo name="TableStyleMedium1" showFirstColumn="0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01010000}" name="ARI_P105" displayName="ARI_P105" ref="Z144:AR154" totalsRowShown="0" headerRowDxfId="1940" headerRowBorderDxfId="1939">
  <autoFilter ref="Z144:AR154" xr:uid="{00000000-0009-0000-0100-000068000000}"/>
  <sortState xmlns:xlrd2="http://schemas.microsoft.com/office/spreadsheetml/2017/richdata2" ref="Z145:AR154">
    <sortCondition ref="AR144:AR154"/>
  </sortState>
  <tableColumns count="19">
    <tableColumn id="1" xr3:uid="{00000000-0010-0000-0101-000001000000}" name="TM" dataDxfId="1938"/>
    <tableColumn id="2" xr3:uid="{00000000-0010-0000-0101-000002000000}" name="@" dataDxfId="1937"/>
    <tableColumn id="3" xr3:uid="{00000000-0010-0000-0101-000003000000}" name="NAME" dataDxfId="1936"/>
    <tableColumn id="4" xr3:uid="{00000000-0010-0000-0101-000004000000}" name="ERA" dataDxfId="1935">
      <calculatedColumnFormula>IFERROR((ARI_P105[[#This Row],[R]]*9)/ARI_P105[[#This Row],[IP]],0)</calculatedColumnFormula>
    </tableColumn>
    <tableColumn id="5" xr3:uid="{00000000-0010-0000-0101-000005000000}" name="W" dataDxfId="1934"/>
    <tableColumn id="6" xr3:uid="{00000000-0010-0000-0101-000006000000}" name="L" dataDxfId="1933"/>
    <tableColumn id="7" xr3:uid="{00000000-0010-0000-0101-000007000000}" name="G" dataDxfId="1932"/>
    <tableColumn id="8" xr3:uid="{00000000-0010-0000-0101-000008000000}" name="IP" dataDxfId="1931"/>
    <tableColumn id="9" xr3:uid="{00000000-0010-0000-0101-000009000000}" name="H" dataDxfId="1930"/>
    <tableColumn id="10" xr3:uid="{00000000-0010-0000-0101-00000A000000}" name="R" dataDxfId="1929"/>
    <tableColumn id="11" xr3:uid="{00000000-0010-0000-0101-00000B000000}" name="BB" dataDxfId="1928"/>
    <tableColumn id="12" xr3:uid="{00000000-0010-0000-0101-00000C000000}" name="K" dataDxfId="1927"/>
    <tableColumn id="13" xr3:uid="{00000000-0010-0000-0101-00000D000000}" name="SV" dataDxfId="1926"/>
    <tableColumn id="14" xr3:uid="{00000000-0010-0000-0101-00000E000000}" name="WH" dataDxfId="1925">
      <calculatedColumnFormula>IFERROR((ARI_P105[[#This Row],[BB]]+ARI_P105[[#This Row],[H]])/ARI_P105[[#This Row],[IP]],0)</calculatedColumnFormula>
    </tableColumn>
    <tableColumn id="15" xr3:uid="{00000000-0010-0000-0101-00000F000000}" name="QS" dataDxfId="1924"/>
    <tableColumn id="16" xr3:uid="{00000000-0010-0000-0101-000010000000}" name="UQ" dataDxfId="1923"/>
    <tableColumn id="17" xr3:uid="{00000000-0010-0000-0101-000011000000}" name="CG" dataDxfId="1922"/>
    <tableColumn id="18" xr3:uid="{00000000-0010-0000-0101-000012000000}" name="SH" dataDxfId="1921"/>
    <tableColumn id="19" xr3:uid="{00000000-0010-0000-0101-000013000000}" name="#" dataDxfId="1920"/>
  </tableColumns>
  <tableStyleInfo name="TableStyleMedium3" showFirstColumn="0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02010000}" name="SDP_P106" displayName="SDP_P106" ref="Z82:AR92" totalsRowShown="0" headerRowDxfId="1919" headerRowBorderDxfId="1918">
  <autoFilter ref="Z82:AR92" xr:uid="{00000000-0009-0000-0100-000069000000}"/>
  <sortState xmlns:xlrd2="http://schemas.microsoft.com/office/spreadsheetml/2017/richdata2" ref="Z83:AP92">
    <sortCondition ref="AP82:AP92"/>
  </sortState>
  <tableColumns count="19">
    <tableColumn id="1" xr3:uid="{00000000-0010-0000-0201-000001000000}" name="TM" dataDxfId="1917"/>
    <tableColumn id="2" xr3:uid="{00000000-0010-0000-0201-000002000000}" name="@" dataDxfId="1916"/>
    <tableColumn id="3" xr3:uid="{00000000-0010-0000-0201-000003000000}" name="NAME" dataDxfId="1915"/>
    <tableColumn id="4" xr3:uid="{00000000-0010-0000-0201-000004000000}" name="ERA" dataDxfId="1914">
      <calculatedColumnFormula>IFERROR((SDP_P106[[#This Row],[R]]*9)/SDP_P106[[#This Row],[IP]],0)</calculatedColumnFormula>
    </tableColumn>
    <tableColumn id="5" xr3:uid="{00000000-0010-0000-0201-000005000000}" name="W" dataDxfId="1913"/>
    <tableColumn id="6" xr3:uid="{00000000-0010-0000-0201-000006000000}" name="L" dataDxfId="1912"/>
    <tableColumn id="7" xr3:uid="{00000000-0010-0000-0201-000007000000}" name="G" dataDxfId="1911"/>
    <tableColumn id="8" xr3:uid="{00000000-0010-0000-0201-000008000000}" name="IP" dataDxfId="1910"/>
    <tableColumn id="9" xr3:uid="{00000000-0010-0000-0201-000009000000}" name="H" dataDxfId="1909"/>
    <tableColumn id="10" xr3:uid="{00000000-0010-0000-0201-00000A000000}" name="R" dataDxfId="1908"/>
    <tableColumn id="11" xr3:uid="{00000000-0010-0000-0201-00000B000000}" name="BB" dataDxfId="1907"/>
    <tableColumn id="12" xr3:uid="{00000000-0010-0000-0201-00000C000000}" name="K" dataDxfId="1906"/>
    <tableColumn id="13" xr3:uid="{00000000-0010-0000-0201-00000D000000}" name="SV" dataDxfId="1905"/>
    <tableColumn id="14" xr3:uid="{00000000-0010-0000-0201-00000E000000}" name="WH" dataDxfId="1904">
      <calculatedColumnFormula>IFERROR((SDP_P106[[#This Row],[BB]]+SDP_P106[[#This Row],[H]])/SDP_P106[[#This Row],[IP]],0)</calculatedColumnFormula>
    </tableColumn>
    <tableColumn id="15" xr3:uid="{00000000-0010-0000-0201-00000F000000}" name="QS" dataDxfId="1903"/>
    <tableColumn id="16" xr3:uid="{00000000-0010-0000-0201-000010000000}" name="UQ" dataDxfId="1902"/>
    <tableColumn id="17" xr3:uid="{00000000-0010-0000-0201-000011000000}" name="CG" dataDxfId="1901"/>
    <tableColumn id="18" xr3:uid="{00000000-0010-0000-0201-000012000000}" name="SH" dataDxfId="1900"/>
    <tableColumn id="19" xr3:uid="{00000000-0010-0000-0201-000013000000}" name="#" dataDxfId="1899"/>
  </tableColumns>
  <tableStyleInfo name="TableStyleMedium3" showFirstColumn="0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03010000}" name="SDP_H107" displayName="SDP_H107" ref="Z65:AV79" totalsRowShown="0" headerRowDxfId="1898" headerRowBorderDxfId="1897">
  <autoFilter ref="Z65:AV79" xr:uid="{00000000-0009-0000-0100-00006A000000}"/>
  <sortState xmlns:xlrd2="http://schemas.microsoft.com/office/spreadsheetml/2017/richdata2" ref="Z66:AV79">
    <sortCondition descending="1" ref="AS65:AS79"/>
  </sortState>
  <tableColumns count="23">
    <tableColumn id="1" xr3:uid="{00000000-0010-0000-0301-000001000000}" name="TM" dataDxfId="1896"/>
    <tableColumn id="2" xr3:uid="{00000000-0010-0000-0301-000002000000}" name="@" dataDxfId="1895"/>
    <tableColumn id="3" xr3:uid="{00000000-0010-0000-0301-000003000000}" name="NAME" dataDxfId="1894"/>
    <tableColumn id="4" xr3:uid="{00000000-0010-0000-0301-000004000000}" name="BA" dataDxfId="1893">
      <calculatedColumnFormula>IFERROR(SDP_H107[[#This Row],[H]]/SDP_H107[[#This Row],[AB]],0)</calculatedColumnFormula>
    </tableColumn>
    <tableColumn id="5" xr3:uid="{00000000-0010-0000-0301-000005000000}" name="OBP" dataDxfId="1892">
      <calculatedColumnFormula>IFERROR((SDP_H107[[#This Row],[H]]+SDP_H107[[#This Row],[BB]])/(SDP_H107[[#This Row],[BB]]+SDP_H107[[#This Row],[AB]]),0)</calculatedColumnFormula>
    </tableColumn>
    <tableColumn id="6" xr3:uid="{00000000-0010-0000-0301-000006000000}" name="SLG" dataDxfId="1891">
      <calculatedColumnFormula>IFERROR(((SDP_H107[[#This Row],[H]]-SDP_H107[[#This Row],[2B]]-SDP_H107[[#This Row],[3B]]-SDP_H107[[#This Row],[HR]])+(SDP_H107[[#This Row],[2B]]*2)+(SDP_H107[[#This Row],[3B]]*3)+(SDP_H107[[#This Row],[HR]]*4))/SDP_H107[[#This Row],[AB]],0)</calculatedColumnFormula>
    </tableColumn>
    <tableColumn id="7" xr3:uid="{00000000-0010-0000-0301-000007000000}" name="G" dataDxfId="1890"/>
    <tableColumn id="8" xr3:uid="{00000000-0010-0000-0301-000008000000}" name="AB" dataDxfId="1889"/>
    <tableColumn id="9" xr3:uid="{00000000-0010-0000-0301-000009000000}" name="R" dataDxfId="1888"/>
    <tableColumn id="10" xr3:uid="{00000000-0010-0000-0301-00000A000000}" name="H" dataDxfId="1887"/>
    <tableColumn id="11" xr3:uid="{00000000-0010-0000-0301-00000B000000}" name="2B" dataDxfId="1886"/>
    <tableColumn id="12" xr3:uid="{00000000-0010-0000-0301-00000C000000}" name="3B" dataDxfId="1885"/>
    <tableColumn id="13" xr3:uid="{00000000-0010-0000-0301-00000D000000}" name="HR" dataDxfId="1884"/>
    <tableColumn id="14" xr3:uid="{00000000-0010-0000-0301-00000E000000}" name="RBI" dataDxfId="1883"/>
    <tableColumn id="15" xr3:uid="{00000000-0010-0000-0301-00000F000000}" name="BB" dataDxfId="1882"/>
    <tableColumn id="16" xr3:uid="{00000000-0010-0000-0301-000010000000}" name="K" dataDxfId="1881"/>
    <tableColumn id="17" xr3:uid="{00000000-0010-0000-0301-000011000000}" name="SB" dataDxfId="1880"/>
    <tableColumn id="18" xr3:uid="{00000000-0010-0000-0301-000012000000}" name="HS" dataDxfId="1879"/>
    <tableColumn id="19" xr3:uid="{00000000-0010-0000-0301-000013000000}" name="LS" dataDxfId="1878"/>
    <tableColumn id="20" xr3:uid="{00000000-0010-0000-0301-000014000000}" name="TB" dataDxfId="1877">
      <calculatedColumnFormula>IFERROR((SDP_H107[[#This Row],[H]]-SDP_H107[[#This Row],[2B]]-SDP_H107[[#This Row],[3B]]-SDP_H107[[#This Row],[HR]])+(SDP_H107[[#This Row],[2B]]*2)+(SDP_H107[[#This Row],[3B]]*3)+(SDP_H107[[#This Row],[HR]]*4),0)</calculatedColumnFormula>
    </tableColumn>
    <tableColumn id="21" xr3:uid="{00000000-0010-0000-0301-000015000000}" name="OPS" dataDxfId="1876">
      <calculatedColumnFormula>SDP_H107[[#This Row],[OBP]]+SDP_H107[[#This Row],[SLG]]</calculatedColumnFormula>
    </tableColumn>
    <tableColumn id="22" xr3:uid="{00000000-0010-0000-0301-000016000000}" name="*" dataDxfId="1875"/>
    <tableColumn id="23" xr3:uid="{00000000-0010-0000-0301-000017000000}" name="#" dataDxfId="1874"/>
  </tableColumns>
  <tableStyleInfo name="TableStyleMedium3" showFirstColumn="0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04010000}" name="SFG_P109" displayName="SFG_P109" ref="Z20:AR30" totalsRowShown="0" headerRowDxfId="1873" headerRowBorderDxfId="1872">
  <autoFilter ref="Z20:AR30" xr:uid="{00000000-0009-0000-0100-00006C000000}"/>
  <sortState xmlns:xlrd2="http://schemas.microsoft.com/office/spreadsheetml/2017/richdata2" ref="Z21:AR30">
    <sortCondition ref="AR20:AR30"/>
  </sortState>
  <tableColumns count="19">
    <tableColumn id="1" xr3:uid="{00000000-0010-0000-0401-000001000000}" name="TM" dataDxfId="1871"/>
    <tableColumn id="2" xr3:uid="{00000000-0010-0000-0401-000002000000}" name="@" dataDxfId="1870"/>
    <tableColumn id="3" xr3:uid="{00000000-0010-0000-0401-000003000000}" name="NAME" dataDxfId="1869"/>
    <tableColumn id="4" xr3:uid="{00000000-0010-0000-0401-000004000000}" name="ERA" dataDxfId="1868">
      <calculatedColumnFormula>IFERROR((SFG_P109[[#This Row],[R]]*9)/SFG_P109[[#This Row],[IP]],0)</calculatedColumnFormula>
    </tableColumn>
    <tableColumn id="5" xr3:uid="{00000000-0010-0000-0401-000005000000}" name="W" dataDxfId="1867"/>
    <tableColumn id="6" xr3:uid="{00000000-0010-0000-0401-000006000000}" name="L" dataDxfId="1866"/>
    <tableColumn id="7" xr3:uid="{00000000-0010-0000-0401-000007000000}" name="G" dataDxfId="1865"/>
    <tableColumn id="8" xr3:uid="{00000000-0010-0000-0401-000008000000}" name="IP" dataDxfId="1864"/>
    <tableColumn id="9" xr3:uid="{00000000-0010-0000-0401-000009000000}" name="H" dataDxfId="1863"/>
    <tableColumn id="10" xr3:uid="{00000000-0010-0000-0401-00000A000000}" name="R" dataDxfId="1862"/>
    <tableColumn id="11" xr3:uid="{00000000-0010-0000-0401-00000B000000}" name="BB" dataDxfId="1861"/>
    <tableColumn id="12" xr3:uid="{00000000-0010-0000-0401-00000C000000}" name="K" dataDxfId="1860"/>
    <tableColumn id="13" xr3:uid="{00000000-0010-0000-0401-00000D000000}" name="SV" dataDxfId="1859"/>
    <tableColumn id="14" xr3:uid="{00000000-0010-0000-0401-00000E000000}" name="WH" dataDxfId="1858">
      <calculatedColumnFormula>IFERROR((SFG_P109[[#This Row],[BB]]+SFG_P109[[#This Row],[H]])/SFG_P109[[#This Row],[IP]],0)</calculatedColumnFormula>
    </tableColumn>
    <tableColumn id="15" xr3:uid="{00000000-0010-0000-0401-00000F000000}" name="QS" dataDxfId="1857"/>
    <tableColumn id="16" xr3:uid="{00000000-0010-0000-0401-000010000000}" name="UQ" dataDxfId="1856"/>
    <tableColumn id="17" xr3:uid="{00000000-0010-0000-0401-000011000000}" name="CG" dataDxfId="1855"/>
    <tableColumn id="18" xr3:uid="{00000000-0010-0000-0401-000012000000}" name="SH" dataDxfId="1854"/>
    <tableColumn id="19" xr3:uid="{00000000-0010-0000-0401-000013000000}" name="#" dataDxfId="1853"/>
  </tableColumns>
  <tableStyleInfo name="TableStyleMedium3" showFirstColumn="0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05010000}" name="SFG_H110" displayName="SFG_H110" ref="Z3:AV17" totalsRowShown="0" headerRowDxfId="1852" headerRowBorderDxfId="1851">
  <autoFilter ref="Z3:AV17" xr:uid="{00000000-0009-0000-0100-00006D000000}"/>
  <sortState xmlns:xlrd2="http://schemas.microsoft.com/office/spreadsheetml/2017/richdata2" ref="Z4:AV17">
    <sortCondition ref="AV3:AV17"/>
  </sortState>
  <tableColumns count="23">
    <tableColumn id="1" xr3:uid="{00000000-0010-0000-0501-000001000000}" name="TM" dataDxfId="1850"/>
    <tableColumn id="2" xr3:uid="{00000000-0010-0000-0501-000002000000}" name="@" dataDxfId="1849"/>
    <tableColumn id="3" xr3:uid="{00000000-0010-0000-0501-000003000000}" name="NAME" dataDxfId="1848"/>
    <tableColumn id="4" xr3:uid="{00000000-0010-0000-0501-000004000000}" name="BA" dataDxfId="1847">
      <calculatedColumnFormula>IFERROR(SFG_H110[[#This Row],[H]]/SFG_H110[[#This Row],[AB]],0)</calculatedColumnFormula>
    </tableColumn>
    <tableColumn id="5" xr3:uid="{00000000-0010-0000-0501-000005000000}" name="OBP" dataDxfId="1846">
      <calculatedColumnFormula>IFERROR((SFG_H110[[#This Row],[H]]+SFG_H110[[#This Row],[BB]])/(SFG_H110[[#This Row],[BB]]+SFG_H110[[#This Row],[AB]]),0)</calculatedColumnFormula>
    </tableColumn>
    <tableColumn id="6" xr3:uid="{00000000-0010-0000-0501-000006000000}" name="SLG" dataDxfId="1845">
      <calculatedColumnFormula>IFERROR(((SFG_H110[[#This Row],[H]]-SFG_H110[[#This Row],[2B]]-SFG_H110[[#This Row],[3B]]-SFG_H110[[#This Row],[HR]])+(SFG_H110[[#This Row],[2B]]*2)+(SFG_H110[[#This Row],[3B]]*3)+(SFG_H110[[#This Row],[HR]]*4))/SFG_H110[[#This Row],[AB]],0)</calculatedColumnFormula>
    </tableColumn>
    <tableColumn id="7" xr3:uid="{00000000-0010-0000-0501-000007000000}" name="G" dataDxfId="1844"/>
    <tableColumn id="8" xr3:uid="{00000000-0010-0000-0501-000008000000}" name="AB" dataDxfId="1843"/>
    <tableColumn id="9" xr3:uid="{00000000-0010-0000-0501-000009000000}" name="R" dataDxfId="1842"/>
    <tableColumn id="10" xr3:uid="{00000000-0010-0000-0501-00000A000000}" name="H" dataDxfId="1841"/>
    <tableColumn id="11" xr3:uid="{00000000-0010-0000-0501-00000B000000}" name="2B" dataDxfId="1840"/>
    <tableColumn id="12" xr3:uid="{00000000-0010-0000-0501-00000C000000}" name="3B" dataDxfId="1839"/>
    <tableColumn id="13" xr3:uid="{00000000-0010-0000-0501-00000D000000}" name="HR" dataDxfId="1838"/>
    <tableColumn id="14" xr3:uid="{00000000-0010-0000-0501-00000E000000}" name="RBI" dataDxfId="1837"/>
    <tableColumn id="15" xr3:uid="{00000000-0010-0000-0501-00000F000000}" name="BB" dataDxfId="1836"/>
    <tableColumn id="16" xr3:uid="{00000000-0010-0000-0501-000010000000}" name="K" dataDxfId="1835"/>
    <tableColumn id="17" xr3:uid="{00000000-0010-0000-0501-000011000000}" name="SB" dataDxfId="1834"/>
    <tableColumn id="18" xr3:uid="{00000000-0010-0000-0501-000012000000}" name="HS" dataDxfId="1833"/>
    <tableColumn id="19" xr3:uid="{00000000-0010-0000-0501-000013000000}" name="LS" dataDxfId="1832"/>
    <tableColumn id="20" xr3:uid="{00000000-0010-0000-0501-000014000000}" name="TB" dataDxfId="1831">
      <calculatedColumnFormula>IFERROR((SFG_H110[[#This Row],[H]]-SFG_H110[[#This Row],[2B]]-SFG_H110[[#This Row],[3B]]-SFG_H110[[#This Row],[HR]])+(SFG_H110[[#This Row],[2B]]*2)+(SFG_H110[[#This Row],[3B]]*3)+(SFG_H110[[#This Row],[HR]]*4),0)</calculatedColumnFormula>
    </tableColumn>
    <tableColumn id="21" xr3:uid="{00000000-0010-0000-0501-000015000000}" name="OPS" dataDxfId="1830">
      <calculatedColumnFormula>SFG_H110[[#This Row],[OBP]]+SFG_H110[[#This Row],[SLG]]</calculatedColumnFormula>
    </tableColumn>
    <tableColumn id="22" xr3:uid="{00000000-0010-0000-0501-000016000000}" name="*" dataDxfId="1829"/>
    <tableColumn id="23" xr3:uid="{00000000-0010-0000-0501-000017000000}" name="#" dataDxfId="1828"/>
  </tableColumns>
  <tableStyleInfo name="TableStyleMedium3" showFirstColumn="0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06010000}" name="LAD_P111" displayName="LAD_P111" ref="Z51:AR61" totalsRowShown="0" headerRowDxfId="1827" headerRowBorderDxfId="1826">
  <autoFilter ref="Z51:AR61" xr:uid="{00000000-0009-0000-0100-00006E000000}"/>
  <sortState xmlns:xlrd2="http://schemas.microsoft.com/office/spreadsheetml/2017/richdata2" ref="Z52:AR61">
    <sortCondition ref="AR51:AR61"/>
  </sortState>
  <tableColumns count="19">
    <tableColumn id="1" xr3:uid="{00000000-0010-0000-0601-000001000000}" name="TM" dataDxfId="1825"/>
    <tableColumn id="2" xr3:uid="{00000000-0010-0000-0601-000002000000}" name="@" dataDxfId="1824"/>
    <tableColumn id="3" xr3:uid="{00000000-0010-0000-0601-000003000000}" name="NAME" dataDxfId="1823"/>
    <tableColumn id="4" xr3:uid="{00000000-0010-0000-0601-000004000000}" name="ERA" dataDxfId="1822">
      <calculatedColumnFormula>IFERROR((LAD_P111[[#This Row],[R]]*9)/LAD_P111[[#This Row],[IP]],0)</calculatedColumnFormula>
    </tableColumn>
    <tableColumn id="5" xr3:uid="{00000000-0010-0000-0601-000005000000}" name="W" dataDxfId="1821"/>
    <tableColumn id="6" xr3:uid="{00000000-0010-0000-0601-000006000000}" name="L" dataDxfId="1820"/>
    <tableColumn id="7" xr3:uid="{00000000-0010-0000-0601-000007000000}" name="G" dataDxfId="1819"/>
    <tableColumn id="8" xr3:uid="{00000000-0010-0000-0601-000008000000}" name="IP" dataDxfId="1818"/>
    <tableColumn id="9" xr3:uid="{00000000-0010-0000-0601-000009000000}" name="H" dataDxfId="1817"/>
    <tableColumn id="10" xr3:uid="{00000000-0010-0000-0601-00000A000000}" name="R" dataDxfId="1816"/>
    <tableColumn id="11" xr3:uid="{00000000-0010-0000-0601-00000B000000}" name="BB" dataDxfId="1815"/>
    <tableColumn id="12" xr3:uid="{00000000-0010-0000-0601-00000C000000}" name="K" dataDxfId="1814"/>
    <tableColumn id="13" xr3:uid="{00000000-0010-0000-0601-00000D000000}" name="SV" dataDxfId="1813"/>
    <tableColumn id="14" xr3:uid="{00000000-0010-0000-0601-00000E000000}" name="WH" dataDxfId="1812">
      <calculatedColumnFormula>IFERROR((LAD_P111[[#This Row],[BB]]+LAD_P111[[#This Row],[H]])/LAD_P111[[#This Row],[IP]],0)</calculatedColumnFormula>
    </tableColumn>
    <tableColumn id="15" xr3:uid="{00000000-0010-0000-0601-00000F000000}" name="QS" dataDxfId="1811"/>
    <tableColumn id="16" xr3:uid="{00000000-0010-0000-0601-000010000000}" name="UQ" dataDxfId="1810"/>
    <tableColumn id="17" xr3:uid="{00000000-0010-0000-0601-000011000000}" name="CG" dataDxfId="1809"/>
    <tableColumn id="18" xr3:uid="{00000000-0010-0000-0601-000012000000}" name="SH" dataDxfId="1808"/>
    <tableColumn id="19" xr3:uid="{00000000-0010-0000-0601-000013000000}" name="#" dataDxfId="1807"/>
  </tableColumns>
  <tableStyleInfo name="TableStyleMedium5" showFirstColumn="0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07010000}" name="LAD_H112" displayName="LAD_H112" ref="Z34:AV48" totalsRowShown="0" headerRowDxfId="1806" headerRowBorderDxfId="1805">
  <autoFilter ref="Z34:AV48" xr:uid="{00000000-0009-0000-0100-00006F000000}"/>
  <sortState xmlns:xlrd2="http://schemas.microsoft.com/office/spreadsheetml/2017/richdata2" ref="Z35:AV48">
    <sortCondition ref="AV34:AV48"/>
  </sortState>
  <tableColumns count="23">
    <tableColumn id="1" xr3:uid="{00000000-0010-0000-0701-000001000000}" name="TM" dataDxfId="1804"/>
    <tableColumn id="2" xr3:uid="{00000000-0010-0000-0701-000002000000}" name="@" dataDxfId="1803"/>
    <tableColumn id="3" xr3:uid="{00000000-0010-0000-0701-000003000000}" name="NAME" dataDxfId="1802"/>
    <tableColumn id="4" xr3:uid="{00000000-0010-0000-0701-000004000000}" name="BA" dataDxfId="1801">
      <calculatedColumnFormula>IFERROR(LAD_H112[[#This Row],[H]]/LAD_H112[[#This Row],[AB]],0)</calculatedColumnFormula>
    </tableColumn>
    <tableColumn id="5" xr3:uid="{00000000-0010-0000-0701-000005000000}" name="OBP" dataDxfId="1800">
      <calculatedColumnFormula>IFERROR((LAD_H112[[#This Row],[H]]+LAD_H112[[#This Row],[BB]])/(LAD_H112[[#This Row],[BB]]+LAD_H112[[#This Row],[AB]]),0)</calculatedColumnFormula>
    </tableColumn>
    <tableColumn id="6" xr3:uid="{00000000-0010-0000-0701-000006000000}" name="SLG" dataDxfId="1799">
      <calculatedColumnFormula>IFERROR(((LAD_H112[[#This Row],[H]]-LAD_H112[[#This Row],[2B]]-LAD_H112[[#This Row],[3B]]-LAD_H112[[#This Row],[HR]])+(LAD_H112[[#This Row],[2B]]*2)+(LAD_H112[[#This Row],[3B]]*3)+(LAD_H112[[#This Row],[HR]]*4))/LAD_H112[[#This Row],[AB]],0)</calculatedColumnFormula>
    </tableColumn>
    <tableColumn id="7" xr3:uid="{00000000-0010-0000-0701-000007000000}" name="G" dataDxfId="1798"/>
    <tableColumn id="8" xr3:uid="{00000000-0010-0000-0701-000008000000}" name="AB" dataDxfId="1797"/>
    <tableColumn id="9" xr3:uid="{00000000-0010-0000-0701-000009000000}" name="R" dataDxfId="1796"/>
    <tableColumn id="10" xr3:uid="{00000000-0010-0000-0701-00000A000000}" name="H" dataDxfId="1795"/>
    <tableColumn id="11" xr3:uid="{00000000-0010-0000-0701-00000B000000}" name="2B" dataDxfId="1794"/>
    <tableColumn id="12" xr3:uid="{00000000-0010-0000-0701-00000C000000}" name="3B" dataDxfId="1793"/>
    <tableColumn id="13" xr3:uid="{00000000-0010-0000-0701-00000D000000}" name="HR" dataDxfId="1792"/>
    <tableColumn id="14" xr3:uid="{00000000-0010-0000-0701-00000E000000}" name="RBI" dataDxfId="1791"/>
    <tableColumn id="15" xr3:uid="{00000000-0010-0000-0701-00000F000000}" name="BB" dataDxfId="1790"/>
    <tableColumn id="16" xr3:uid="{00000000-0010-0000-0701-000010000000}" name="K" dataDxfId="1789"/>
    <tableColumn id="17" xr3:uid="{00000000-0010-0000-0701-000011000000}" name="SB" dataDxfId="1788"/>
    <tableColumn id="18" xr3:uid="{00000000-0010-0000-0701-000012000000}" name="HS" dataDxfId="1787"/>
    <tableColumn id="19" xr3:uid="{00000000-0010-0000-0701-000013000000}" name="LS" dataDxfId="1786"/>
    <tableColumn id="20" xr3:uid="{00000000-0010-0000-0701-000014000000}" name="TB" dataDxfId="1785">
      <calculatedColumnFormula>IFERROR((LAD_H112[[#This Row],[H]]-LAD_H112[[#This Row],[2B]]-LAD_H112[[#This Row],[3B]]-LAD_H112[[#This Row],[HR]])+(LAD_H112[[#This Row],[2B]]*2)+(LAD_H112[[#This Row],[3B]]*3)+(LAD_H112[[#This Row],[HR]]*4),0)</calculatedColumnFormula>
    </tableColumn>
    <tableColumn id="21" xr3:uid="{00000000-0010-0000-0701-000015000000}" name="OPS" dataDxfId="1784">
      <calculatedColumnFormula>LAD_H112[[#This Row],[OBP]]+LAD_H112[[#This Row],[SLG]]</calculatedColumnFormula>
    </tableColumn>
    <tableColumn id="22" xr3:uid="{00000000-0010-0000-0701-000016000000}" name="*" dataDxfId="1783"/>
    <tableColumn id="23" xr3:uid="{00000000-0010-0000-0701-000017000000}" name="#" dataDxfId="1782"/>
  </tableColumns>
  <tableStyleInfo name="TableStyleMedium5" showFirstColumn="0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08010000}" name="ARI_H113" displayName="ARI_H113" ref="Z127:AV141" totalsRowShown="0" headerRowDxfId="1781" headerRowBorderDxfId="1780">
  <autoFilter ref="Z127:AV141" xr:uid="{00000000-0009-0000-0100-000070000000}"/>
  <sortState xmlns:xlrd2="http://schemas.microsoft.com/office/spreadsheetml/2017/richdata2" ref="Z128:AV141">
    <sortCondition ref="AV127:AV141"/>
  </sortState>
  <tableColumns count="23">
    <tableColumn id="1" xr3:uid="{00000000-0010-0000-0801-000001000000}" name="TM" dataDxfId="1779"/>
    <tableColumn id="2" xr3:uid="{00000000-0010-0000-0801-000002000000}" name="@" dataDxfId="1778"/>
    <tableColumn id="3" xr3:uid="{00000000-0010-0000-0801-000003000000}" name="NAME" dataDxfId="1777"/>
    <tableColumn id="4" xr3:uid="{00000000-0010-0000-0801-000004000000}" name="BA" dataDxfId="1776">
      <calculatedColumnFormula>IFERROR(ARI_H113[[#This Row],[H]]/ARI_H113[[#This Row],[AB]],0)</calculatedColumnFormula>
    </tableColumn>
    <tableColumn id="5" xr3:uid="{00000000-0010-0000-0801-000005000000}" name="OBP" dataDxfId="1775">
      <calculatedColumnFormula>IFERROR((ARI_H113[[#This Row],[H]]+ARI_H113[[#This Row],[BB]])/(ARI_H113[[#This Row],[BB]]+ARI_H113[[#This Row],[AB]]),0)</calculatedColumnFormula>
    </tableColumn>
    <tableColumn id="6" xr3:uid="{00000000-0010-0000-0801-000006000000}" name="SLG" dataDxfId="1774">
      <calculatedColumnFormula>IFERROR(((ARI_H113[[#This Row],[H]]-ARI_H113[[#This Row],[2B]]-ARI_H113[[#This Row],[3B]]-ARI_H113[[#This Row],[HR]])+(ARI_H113[[#This Row],[2B]]*2)+(ARI_H113[[#This Row],[3B]]*3)+(ARI_H113[[#This Row],[HR]]*4))/ARI_H113[[#This Row],[AB]],0)</calculatedColumnFormula>
    </tableColumn>
    <tableColumn id="7" xr3:uid="{00000000-0010-0000-0801-000007000000}" name="G" dataDxfId="1773"/>
    <tableColumn id="8" xr3:uid="{00000000-0010-0000-0801-000008000000}" name="AB" dataDxfId="1772"/>
    <tableColumn id="9" xr3:uid="{00000000-0010-0000-0801-000009000000}" name="R" dataDxfId="1771"/>
    <tableColumn id="10" xr3:uid="{00000000-0010-0000-0801-00000A000000}" name="H" dataDxfId="1770"/>
    <tableColumn id="11" xr3:uid="{00000000-0010-0000-0801-00000B000000}" name="2B" dataDxfId="1769"/>
    <tableColumn id="12" xr3:uid="{00000000-0010-0000-0801-00000C000000}" name="3B" dataDxfId="1768"/>
    <tableColumn id="13" xr3:uid="{00000000-0010-0000-0801-00000D000000}" name="HR" dataDxfId="1767"/>
    <tableColumn id="14" xr3:uid="{00000000-0010-0000-0801-00000E000000}" name="RBI" dataDxfId="1766"/>
    <tableColumn id="15" xr3:uid="{00000000-0010-0000-0801-00000F000000}" name="BB" dataDxfId="1765"/>
    <tableColumn id="16" xr3:uid="{00000000-0010-0000-0801-000010000000}" name="K" dataDxfId="1764"/>
    <tableColumn id="17" xr3:uid="{00000000-0010-0000-0801-000011000000}" name="SB" dataDxfId="1763"/>
    <tableColumn id="18" xr3:uid="{00000000-0010-0000-0801-000012000000}" name="HS" dataDxfId="1762"/>
    <tableColumn id="19" xr3:uid="{00000000-0010-0000-0801-000013000000}" name="LS" dataDxfId="1761"/>
    <tableColumn id="20" xr3:uid="{00000000-0010-0000-0801-000014000000}" name="TB" dataDxfId="1760">
      <calculatedColumnFormula>IFERROR((ARI_H113[[#This Row],[H]]-ARI_H113[[#This Row],[2B]]-ARI_H113[[#This Row],[3B]]-ARI_H113[[#This Row],[HR]])+(ARI_H113[[#This Row],[2B]]*2)+(ARI_H113[[#This Row],[3B]]*3)+(ARI_H113[[#This Row],[HR]]*4),0)</calculatedColumnFormula>
    </tableColumn>
    <tableColumn id="21" xr3:uid="{00000000-0010-0000-0801-000015000000}" name="OPS" dataDxfId="1759">
      <calculatedColumnFormula>ARI_H113[[#This Row],[OBP]]+ARI_H113[[#This Row],[SLG]]</calculatedColumnFormula>
    </tableColumn>
    <tableColumn id="22" xr3:uid="{00000000-0010-0000-0801-000016000000}" name="*" dataDxfId="1758"/>
    <tableColumn id="23" xr3:uid="{00000000-0010-0000-0801-000017000000}" name="#" dataDxfId="1757"/>
  </tableColumns>
  <tableStyleInfo name="TableStyleMedium3" showFirstColumn="0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09010000}" name="SFG_H53" displayName="SFG_H53" ref="Z159:AV173" totalsRowShown="0" headerRowDxfId="1756" headerRowBorderDxfId="1755">
  <autoFilter ref="Z159:AV173" xr:uid="{00000000-0009-0000-0100-000071000000}"/>
  <sortState xmlns:xlrd2="http://schemas.microsoft.com/office/spreadsheetml/2017/richdata2" ref="Z160:AV173">
    <sortCondition ref="AV159:AV173"/>
  </sortState>
  <tableColumns count="23">
    <tableColumn id="1" xr3:uid="{00000000-0010-0000-0901-000001000000}" name="TM" dataDxfId="1754"/>
    <tableColumn id="2" xr3:uid="{00000000-0010-0000-0901-000002000000}" name="@" dataDxfId="1753"/>
    <tableColumn id="3" xr3:uid="{00000000-0010-0000-0901-000003000000}" name="NAME" dataDxfId="1752"/>
    <tableColumn id="4" xr3:uid="{00000000-0010-0000-0901-000004000000}" name="BA" dataDxfId="1751">
      <calculatedColumnFormula>IFERROR(SFG_H53[[#This Row],[H]]/SFG_H53[[#This Row],[AB]],0)</calculatedColumnFormula>
    </tableColumn>
    <tableColumn id="5" xr3:uid="{00000000-0010-0000-0901-000005000000}" name="OBP" dataDxfId="1750">
      <calculatedColumnFormula>IFERROR((SFG_H53[[#This Row],[H]]+SFG_H53[[#This Row],[BB]])/(SFG_H53[[#This Row],[BB]]+SFG_H53[[#This Row],[AB]]),0)</calculatedColumnFormula>
    </tableColumn>
    <tableColumn id="6" xr3:uid="{00000000-0010-0000-0901-000006000000}" name="SLG" dataDxfId="1749">
      <calculatedColumnFormula>IFERROR(((SFG_H53[[#This Row],[H]]-SFG_H53[[#This Row],[2B]]-SFG_H53[[#This Row],[3B]]-SFG_H53[[#This Row],[HR]])+(SFG_H53[[#This Row],[2B]]*2)+(SFG_H53[[#This Row],[3B]]*3)+(SFG_H53[[#This Row],[HR]]*4))/SFG_H53[[#This Row],[AB]],0)</calculatedColumnFormula>
    </tableColumn>
    <tableColumn id="7" xr3:uid="{00000000-0010-0000-0901-000007000000}" name="G" dataDxfId="1748"/>
    <tableColumn id="8" xr3:uid="{00000000-0010-0000-0901-000008000000}" name="AB" dataDxfId="1747"/>
    <tableColumn id="9" xr3:uid="{00000000-0010-0000-0901-000009000000}" name="R" dataDxfId="1746"/>
    <tableColumn id="10" xr3:uid="{00000000-0010-0000-0901-00000A000000}" name="H" dataDxfId="1745"/>
    <tableColumn id="11" xr3:uid="{00000000-0010-0000-0901-00000B000000}" name="2B" dataDxfId="1744"/>
    <tableColumn id="12" xr3:uid="{00000000-0010-0000-0901-00000C000000}" name="3B" dataDxfId="1743"/>
    <tableColumn id="13" xr3:uid="{00000000-0010-0000-0901-00000D000000}" name="HR" dataDxfId="1742"/>
    <tableColumn id="14" xr3:uid="{00000000-0010-0000-0901-00000E000000}" name="RBI" dataDxfId="1741"/>
    <tableColumn id="15" xr3:uid="{00000000-0010-0000-0901-00000F000000}" name="BB" dataDxfId="1740"/>
    <tableColumn id="16" xr3:uid="{00000000-0010-0000-0901-000010000000}" name="K" dataDxfId="1739"/>
    <tableColumn id="17" xr3:uid="{00000000-0010-0000-0901-000011000000}" name="SB" dataDxfId="1738"/>
    <tableColumn id="18" xr3:uid="{00000000-0010-0000-0901-000012000000}" name="HS" dataDxfId="1737"/>
    <tableColumn id="19" xr3:uid="{00000000-0010-0000-0901-000013000000}" name="LS" dataDxfId="1736"/>
    <tableColumn id="20" xr3:uid="{00000000-0010-0000-0901-000014000000}" name="TB" dataDxfId="1735">
      <calculatedColumnFormula>IFERROR((SFG_H53[[#This Row],[H]]-SFG_H53[[#This Row],[2B]]-SFG_H53[[#This Row],[3B]]-SFG_H53[[#This Row],[HR]])+(SFG_H53[[#This Row],[2B]]*2)+(SFG_H53[[#This Row],[3B]]*3)+(SFG_H53[[#This Row],[HR]]*4),0)</calculatedColumnFormula>
    </tableColumn>
    <tableColumn id="21" xr3:uid="{00000000-0010-0000-0901-000015000000}" name="OPS" dataDxfId="1734">
      <calculatedColumnFormula>SFG_H53[[#This Row],[OBP]]+SFG_H53[[#This Row],[SLG]]</calculatedColumnFormula>
    </tableColumn>
    <tableColumn id="22" xr3:uid="{00000000-0010-0000-0901-000016000000}" name="*" dataDxfId="1733"/>
    <tableColumn id="23" xr3:uid="{00000000-0010-0000-0901-000017000000}" name="#" dataDxfId="1732"/>
  </tableColumns>
  <tableStyleInfo name="TableStyleMedium3" showFirstColumn="0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0A010000}" name="SFG_P54" displayName="SFG_P54" ref="Z176:AR186" totalsRowShown="0" headerRowDxfId="1731" headerRowBorderDxfId="1730">
  <autoFilter ref="Z176:AR186" xr:uid="{00000000-0009-0000-0100-000072000000}"/>
  <sortState xmlns:xlrd2="http://schemas.microsoft.com/office/spreadsheetml/2017/richdata2" ref="Z177:AR186">
    <sortCondition ref="AR176:AR186"/>
  </sortState>
  <tableColumns count="19">
    <tableColumn id="1" xr3:uid="{00000000-0010-0000-0A01-000001000000}" name="TM" dataDxfId="1729"/>
    <tableColumn id="2" xr3:uid="{00000000-0010-0000-0A01-000002000000}" name="@" dataDxfId="1728"/>
    <tableColumn id="3" xr3:uid="{00000000-0010-0000-0A01-000003000000}" name="NAME" dataDxfId="1727"/>
    <tableColumn id="4" xr3:uid="{00000000-0010-0000-0A01-000004000000}" name="ERA" dataDxfId="1726">
      <calculatedColumnFormula>IFERROR((SFG_P54[[#This Row],[R]]*9)/SFG_P54[[#This Row],[IP]],0)</calculatedColumnFormula>
    </tableColumn>
    <tableColumn id="5" xr3:uid="{00000000-0010-0000-0A01-000005000000}" name="W" dataDxfId="1725"/>
    <tableColumn id="6" xr3:uid="{00000000-0010-0000-0A01-000006000000}" name="L" dataDxfId="1724"/>
    <tableColumn id="7" xr3:uid="{00000000-0010-0000-0A01-000007000000}" name="G" dataDxfId="1723"/>
    <tableColumn id="8" xr3:uid="{00000000-0010-0000-0A01-000008000000}" name="IP" dataDxfId="1722"/>
    <tableColumn id="9" xr3:uid="{00000000-0010-0000-0A01-000009000000}" name="H" dataDxfId="1721"/>
    <tableColumn id="10" xr3:uid="{00000000-0010-0000-0A01-00000A000000}" name="R" dataDxfId="1720"/>
    <tableColumn id="11" xr3:uid="{00000000-0010-0000-0A01-00000B000000}" name="BB" dataDxfId="1719"/>
    <tableColumn id="12" xr3:uid="{00000000-0010-0000-0A01-00000C000000}" name="K" dataDxfId="1718"/>
    <tableColumn id="13" xr3:uid="{00000000-0010-0000-0A01-00000D000000}" name="SV" dataDxfId="1717"/>
    <tableColumn id="14" xr3:uid="{00000000-0010-0000-0A01-00000E000000}" name="WH" dataDxfId="1716">
      <calculatedColumnFormula>IFERROR((SFG_P54[[#This Row],[BB]]+SFG_P54[[#This Row],[H]])/SFG_P54[[#This Row],[IP]],0)</calculatedColumnFormula>
    </tableColumn>
    <tableColumn id="15" xr3:uid="{00000000-0010-0000-0A01-00000F000000}" name="QS" dataDxfId="1715"/>
    <tableColumn id="16" xr3:uid="{00000000-0010-0000-0A01-000010000000}" name="UQ" dataDxfId="1714"/>
    <tableColumn id="17" xr3:uid="{00000000-0010-0000-0A01-000011000000}" name="CG" dataDxfId="1713"/>
    <tableColumn id="18" xr3:uid="{00000000-0010-0000-0A01-000012000000}" name="SH" dataDxfId="1712"/>
    <tableColumn id="19" xr3:uid="{00000000-0010-0000-0A01-000013000000}" name="#" dataDxfId="1711"/>
  </tableColumns>
  <tableStyleInfo name="TableStyleMedium3" showFirstColumn="0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0B010000}" name="LAD_H65" displayName="LAD_H65" ref="Z190:AV204" totalsRowShown="0" headerRowDxfId="1710" headerRowBorderDxfId="1709">
  <autoFilter ref="Z190:AV204" xr:uid="{00000000-0009-0000-0100-000073000000}"/>
  <sortState xmlns:xlrd2="http://schemas.microsoft.com/office/spreadsheetml/2017/richdata2" ref="Z191:AV204">
    <sortCondition ref="AV190:AV204"/>
  </sortState>
  <tableColumns count="23">
    <tableColumn id="1" xr3:uid="{00000000-0010-0000-0B01-000001000000}" name="TM" dataDxfId="1708"/>
    <tableColumn id="2" xr3:uid="{00000000-0010-0000-0B01-000002000000}" name="@" dataDxfId="1707"/>
    <tableColumn id="3" xr3:uid="{00000000-0010-0000-0B01-000003000000}" name="NAME" dataDxfId="1706"/>
    <tableColumn id="4" xr3:uid="{00000000-0010-0000-0B01-000004000000}" name="BA" dataDxfId="1705">
      <calculatedColumnFormula>IFERROR(LAD_H65[[#This Row],[H]]/LAD_H65[[#This Row],[AB]],0)</calculatedColumnFormula>
    </tableColumn>
    <tableColumn id="5" xr3:uid="{00000000-0010-0000-0B01-000005000000}" name="OBP" dataDxfId="1704">
      <calculatedColumnFormula>IFERROR((LAD_H65[[#This Row],[H]]+LAD_H65[[#This Row],[BB]])/(LAD_H65[[#This Row],[BB]]+LAD_H65[[#This Row],[AB]]),0)</calculatedColumnFormula>
    </tableColumn>
    <tableColumn id="6" xr3:uid="{00000000-0010-0000-0B01-000006000000}" name="SLG" dataDxfId="1703">
      <calculatedColumnFormula>IFERROR(((LAD_H65[[#This Row],[H]]-LAD_H65[[#This Row],[2B]]-LAD_H65[[#This Row],[3B]]-LAD_H65[[#This Row],[HR]])+(LAD_H65[[#This Row],[2B]]*2)+(LAD_H65[[#This Row],[3B]]*3)+(LAD_H65[[#This Row],[HR]]*4))/LAD_H65[[#This Row],[AB]],0)</calculatedColumnFormula>
    </tableColumn>
    <tableColumn id="7" xr3:uid="{00000000-0010-0000-0B01-000007000000}" name="G" dataDxfId="1702"/>
    <tableColumn id="8" xr3:uid="{00000000-0010-0000-0B01-000008000000}" name="AB" dataDxfId="1701"/>
    <tableColumn id="9" xr3:uid="{00000000-0010-0000-0B01-000009000000}" name="R" dataDxfId="1700"/>
    <tableColumn id="10" xr3:uid="{00000000-0010-0000-0B01-00000A000000}" name="H" dataDxfId="1699"/>
    <tableColumn id="11" xr3:uid="{00000000-0010-0000-0B01-00000B000000}" name="2B" dataDxfId="1698"/>
    <tableColumn id="12" xr3:uid="{00000000-0010-0000-0B01-00000C000000}" name="3B" dataDxfId="1697"/>
    <tableColumn id="13" xr3:uid="{00000000-0010-0000-0B01-00000D000000}" name="HR" dataDxfId="1696"/>
    <tableColumn id="14" xr3:uid="{00000000-0010-0000-0B01-00000E000000}" name="RBI" dataDxfId="1695"/>
    <tableColumn id="15" xr3:uid="{00000000-0010-0000-0B01-00000F000000}" name="BB" dataDxfId="1694"/>
    <tableColumn id="16" xr3:uid="{00000000-0010-0000-0B01-000010000000}" name="K" dataDxfId="1693"/>
    <tableColumn id="17" xr3:uid="{00000000-0010-0000-0B01-000011000000}" name="SB" dataDxfId="1692"/>
    <tableColumn id="18" xr3:uid="{00000000-0010-0000-0B01-000012000000}" name="HS" dataDxfId="1691"/>
    <tableColumn id="19" xr3:uid="{00000000-0010-0000-0B01-000013000000}" name="LS" dataDxfId="1690"/>
    <tableColumn id="20" xr3:uid="{00000000-0010-0000-0B01-000014000000}" name="TB" dataDxfId="1689">
      <calculatedColumnFormula>IFERROR((LAD_H65[[#This Row],[H]]-LAD_H65[[#This Row],[2B]]-LAD_H65[[#This Row],[3B]]-LAD_H65[[#This Row],[HR]])+(LAD_H65[[#This Row],[2B]]*2)+(LAD_H65[[#This Row],[3B]]*3)+(LAD_H65[[#This Row],[HR]]*4),0)</calculatedColumnFormula>
    </tableColumn>
    <tableColumn id="21" xr3:uid="{00000000-0010-0000-0B01-000015000000}" name="OPS" dataDxfId="1688">
      <calculatedColumnFormula>LAD_H65[[#This Row],[OBP]]+LAD_H65[[#This Row],[SLG]]</calculatedColumnFormula>
    </tableColumn>
    <tableColumn id="22" xr3:uid="{00000000-0010-0000-0B01-000016000000}" name="*" dataDxfId="1687"/>
    <tableColumn id="23" xr3:uid="{00000000-0010-0000-0B01-000017000000}" name="#" dataDxfId="1686"/>
  </tableColumns>
  <tableStyleInfo name="TableStyleMedium5" showFirstColumn="0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0C010000}" name="LAD_P66" displayName="LAD_P66" ref="Z207:AR217" totalsRowShown="0" headerRowDxfId="1685" headerRowBorderDxfId="1684">
  <autoFilter ref="Z207:AR217" xr:uid="{00000000-0009-0000-0100-000074000000}"/>
  <sortState xmlns:xlrd2="http://schemas.microsoft.com/office/spreadsheetml/2017/richdata2" ref="Z208:AR217">
    <sortCondition ref="AR207:AR217"/>
  </sortState>
  <tableColumns count="19">
    <tableColumn id="1" xr3:uid="{00000000-0010-0000-0C01-000001000000}" name="TM" dataDxfId="1683"/>
    <tableColumn id="2" xr3:uid="{00000000-0010-0000-0C01-000002000000}" name="@" dataDxfId="1682"/>
    <tableColumn id="3" xr3:uid="{00000000-0010-0000-0C01-000003000000}" name="NAME" dataDxfId="1681"/>
    <tableColumn id="4" xr3:uid="{00000000-0010-0000-0C01-000004000000}" name="ERA" dataDxfId="1680">
      <calculatedColumnFormula>IFERROR((LAD_P66[[#This Row],[R]]*9)/LAD_P66[[#This Row],[IP]],0)</calculatedColumnFormula>
    </tableColumn>
    <tableColumn id="5" xr3:uid="{00000000-0010-0000-0C01-000005000000}" name="W" dataDxfId="1679"/>
    <tableColumn id="6" xr3:uid="{00000000-0010-0000-0C01-000006000000}" name="L" dataDxfId="1678"/>
    <tableColumn id="7" xr3:uid="{00000000-0010-0000-0C01-000007000000}" name="G" dataDxfId="1677"/>
    <tableColumn id="8" xr3:uid="{00000000-0010-0000-0C01-000008000000}" name="IP" dataDxfId="1676"/>
    <tableColumn id="9" xr3:uid="{00000000-0010-0000-0C01-000009000000}" name="H" dataDxfId="1675"/>
    <tableColumn id="10" xr3:uid="{00000000-0010-0000-0C01-00000A000000}" name="R" dataDxfId="1674"/>
    <tableColumn id="11" xr3:uid="{00000000-0010-0000-0C01-00000B000000}" name="BB" dataDxfId="1673"/>
    <tableColumn id="12" xr3:uid="{00000000-0010-0000-0C01-00000C000000}" name="K" dataDxfId="1672"/>
    <tableColumn id="13" xr3:uid="{00000000-0010-0000-0C01-00000D000000}" name="SV" dataDxfId="1671"/>
    <tableColumn id="14" xr3:uid="{00000000-0010-0000-0C01-00000E000000}" name="WH" dataDxfId="1670">
      <calculatedColumnFormula>IFERROR((LAD_P66[[#This Row],[BB]]+LAD_P66[[#This Row],[H]])/LAD_P66[[#This Row],[IP]],0)</calculatedColumnFormula>
    </tableColumn>
    <tableColumn id="15" xr3:uid="{00000000-0010-0000-0C01-00000F000000}" name="QS" dataDxfId="1669"/>
    <tableColumn id="16" xr3:uid="{00000000-0010-0000-0C01-000010000000}" name="UQ" dataDxfId="1668"/>
    <tableColumn id="17" xr3:uid="{00000000-0010-0000-0C01-000011000000}" name="CG" dataDxfId="1667"/>
    <tableColumn id="18" xr3:uid="{00000000-0010-0000-0C01-000012000000}" name="SH" dataDxfId="1666"/>
    <tableColumn id="19" xr3:uid="{00000000-0010-0000-0C01-000013000000}" name="#" dataDxfId="1665"/>
  </tableColumns>
  <tableStyleInfo name="TableStyleMedium5" showFirstColumn="0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0D010000}" name="SFG_H5394" displayName="SFG_H5394" ref="Z221:AV235" totalsRowShown="0" headerRowDxfId="1664" headerRowBorderDxfId="1663">
  <autoFilter ref="Z221:AV235" xr:uid="{00000000-0009-0000-0100-000075000000}"/>
  <sortState xmlns:xlrd2="http://schemas.microsoft.com/office/spreadsheetml/2017/richdata2" ref="Z222:AV235">
    <sortCondition ref="AV221:AV235"/>
  </sortState>
  <tableColumns count="23">
    <tableColumn id="1" xr3:uid="{00000000-0010-0000-0D01-000001000000}" name="TM" dataDxfId="1662"/>
    <tableColumn id="2" xr3:uid="{00000000-0010-0000-0D01-000002000000}" name="@" dataDxfId="1661"/>
    <tableColumn id="3" xr3:uid="{00000000-0010-0000-0D01-000003000000}" name="NAME" dataDxfId="1660"/>
    <tableColumn id="4" xr3:uid="{00000000-0010-0000-0D01-000004000000}" name="BA" dataDxfId="1659">
      <calculatedColumnFormula>IFERROR(SFG_H5394[[#This Row],[H]]/SFG_H5394[[#This Row],[AB]],0)</calculatedColumnFormula>
    </tableColumn>
    <tableColumn id="5" xr3:uid="{00000000-0010-0000-0D01-000005000000}" name="OBP" dataDxfId="1658">
      <calculatedColumnFormula>IFERROR((SFG_H5394[[#This Row],[H]]+SFG_H5394[[#This Row],[BB]])/(SFG_H5394[[#This Row],[BB]]+SFG_H5394[[#This Row],[AB]]),0)</calculatedColumnFormula>
    </tableColumn>
    <tableColumn id="6" xr3:uid="{00000000-0010-0000-0D01-000006000000}" name="SLG" dataDxfId="1657">
      <calculatedColumnFormula>IFERROR(((SFG_H5394[[#This Row],[H]]-SFG_H5394[[#This Row],[2B]]-SFG_H5394[[#This Row],[3B]]-SFG_H5394[[#This Row],[HR]])+(SFG_H5394[[#This Row],[2B]]*2)+(SFG_H5394[[#This Row],[3B]]*3)+(SFG_H5394[[#This Row],[HR]]*4))/SFG_H5394[[#This Row],[AB]],0)</calculatedColumnFormula>
    </tableColumn>
    <tableColumn id="7" xr3:uid="{00000000-0010-0000-0D01-000007000000}" name="G" dataDxfId="1656"/>
    <tableColumn id="8" xr3:uid="{00000000-0010-0000-0D01-000008000000}" name="AB" dataDxfId="1655"/>
    <tableColumn id="9" xr3:uid="{00000000-0010-0000-0D01-000009000000}" name="R" dataDxfId="1654"/>
    <tableColumn id="10" xr3:uid="{00000000-0010-0000-0D01-00000A000000}" name="H" dataDxfId="1653"/>
    <tableColumn id="11" xr3:uid="{00000000-0010-0000-0D01-00000B000000}" name="2B" dataDxfId="1652"/>
    <tableColumn id="12" xr3:uid="{00000000-0010-0000-0D01-00000C000000}" name="3B" dataDxfId="1651"/>
    <tableColumn id="13" xr3:uid="{00000000-0010-0000-0D01-00000D000000}" name="HR" dataDxfId="1650"/>
    <tableColumn id="14" xr3:uid="{00000000-0010-0000-0D01-00000E000000}" name="RBI" dataDxfId="1649"/>
    <tableColumn id="15" xr3:uid="{00000000-0010-0000-0D01-00000F000000}" name="BB" dataDxfId="1648"/>
    <tableColumn id="16" xr3:uid="{00000000-0010-0000-0D01-000010000000}" name="K" dataDxfId="1647"/>
    <tableColumn id="17" xr3:uid="{00000000-0010-0000-0D01-000011000000}" name="SB" dataDxfId="1646"/>
    <tableColumn id="18" xr3:uid="{00000000-0010-0000-0D01-000012000000}" name="HS" dataDxfId="1645"/>
    <tableColumn id="19" xr3:uid="{00000000-0010-0000-0D01-000013000000}" name="LS" dataDxfId="1644"/>
    <tableColumn id="20" xr3:uid="{00000000-0010-0000-0D01-000014000000}" name="TB" dataDxfId="1643">
      <calculatedColumnFormula>IFERROR((SFG_H5394[[#This Row],[H]]-SFG_H5394[[#This Row],[2B]]-SFG_H5394[[#This Row],[3B]]-SFG_H5394[[#This Row],[HR]])+(SFG_H5394[[#This Row],[2B]]*2)+(SFG_H5394[[#This Row],[3B]]*3)+(SFG_H5394[[#This Row],[HR]]*4),0)</calculatedColumnFormula>
    </tableColumn>
    <tableColumn id="21" xr3:uid="{00000000-0010-0000-0D01-000015000000}" name="OPS" dataDxfId="1642">
      <calculatedColumnFormula>SFG_H5394[[#This Row],[OBP]]+SFG_H5394[[#This Row],[SLG]]</calculatedColumnFormula>
    </tableColumn>
    <tableColumn id="22" xr3:uid="{00000000-0010-0000-0D01-000016000000}" name="*" dataDxfId="1641"/>
    <tableColumn id="23" xr3:uid="{00000000-0010-0000-0D01-000017000000}" name="#" dataDxfId="1640"/>
  </tableColumns>
  <tableStyleInfo name="TableStyleMedium3" showFirstColumn="0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0E010000}" name="SFG_P5495" displayName="SFG_P5495" ref="Z238:AR248" totalsRowShown="0" headerRowDxfId="1639" headerRowBorderDxfId="1638">
  <autoFilter ref="Z238:AR248" xr:uid="{00000000-0009-0000-0100-000076000000}"/>
  <sortState xmlns:xlrd2="http://schemas.microsoft.com/office/spreadsheetml/2017/richdata2" ref="Z239:AR248">
    <sortCondition ref="AR238:AR248"/>
  </sortState>
  <tableColumns count="19">
    <tableColumn id="1" xr3:uid="{00000000-0010-0000-0E01-000001000000}" name="TM" dataDxfId="1637"/>
    <tableColumn id="2" xr3:uid="{00000000-0010-0000-0E01-000002000000}" name="@" dataDxfId="1636"/>
    <tableColumn id="3" xr3:uid="{00000000-0010-0000-0E01-000003000000}" name="NAME" dataDxfId="1635"/>
    <tableColumn id="4" xr3:uid="{00000000-0010-0000-0E01-000004000000}" name="ERA" dataDxfId="1634">
      <calculatedColumnFormula>IFERROR((SFG_P5495[[#This Row],[R]]*9)/SFG_P5495[[#This Row],[IP]],0)</calculatedColumnFormula>
    </tableColumn>
    <tableColumn id="5" xr3:uid="{00000000-0010-0000-0E01-000005000000}" name="W" dataDxfId="1633"/>
    <tableColumn id="6" xr3:uid="{00000000-0010-0000-0E01-000006000000}" name="L" dataDxfId="1632"/>
    <tableColumn id="7" xr3:uid="{00000000-0010-0000-0E01-000007000000}" name="G" dataDxfId="1631"/>
    <tableColumn id="8" xr3:uid="{00000000-0010-0000-0E01-000008000000}" name="IP" dataDxfId="1630"/>
    <tableColumn id="9" xr3:uid="{00000000-0010-0000-0E01-000009000000}" name="H" dataDxfId="1629"/>
    <tableColumn id="10" xr3:uid="{00000000-0010-0000-0E01-00000A000000}" name="R" dataDxfId="1628"/>
    <tableColumn id="11" xr3:uid="{00000000-0010-0000-0E01-00000B000000}" name="BB" dataDxfId="1627"/>
    <tableColumn id="12" xr3:uid="{00000000-0010-0000-0E01-00000C000000}" name="K" dataDxfId="1626"/>
    <tableColumn id="13" xr3:uid="{00000000-0010-0000-0E01-00000D000000}" name="SV" dataDxfId="1625"/>
    <tableColumn id="14" xr3:uid="{00000000-0010-0000-0E01-00000E000000}" name="WH" dataDxfId="1624">
      <calculatedColumnFormula>IFERROR((SFG_P5495[[#This Row],[BB]]+SFG_P5495[[#This Row],[H]])/SFG_P5495[[#This Row],[IP]],0)</calculatedColumnFormula>
    </tableColumn>
    <tableColumn id="15" xr3:uid="{00000000-0010-0000-0E01-00000F000000}" name="QS" dataDxfId="1623"/>
    <tableColumn id="16" xr3:uid="{00000000-0010-0000-0E01-000010000000}" name="UQ" dataDxfId="1622"/>
    <tableColumn id="17" xr3:uid="{00000000-0010-0000-0E01-000011000000}" name="CG" dataDxfId="1621"/>
    <tableColumn id="18" xr3:uid="{00000000-0010-0000-0E01-000012000000}" name="SH" dataDxfId="1620"/>
    <tableColumn id="19" xr3:uid="{00000000-0010-0000-0E01-000013000000}" name="#" dataDxfId="1619"/>
  </tableColumns>
  <tableStyleInfo name="TableStyleMedium3" showFirstColumn="0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0F010000}" name="SFG_H117" displayName="SFG_H117" ref="AY3:BU17" totalsRowShown="0" headerRowDxfId="1618" headerRowBorderDxfId="1617">
  <autoFilter ref="AY3:BU17" xr:uid="{00000000-0009-0000-0100-000077000000}"/>
  <sortState xmlns:xlrd2="http://schemas.microsoft.com/office/spreadsheetml/2017/richdata2" ref="AY4:BU17">
    <sortCondition descending="1" ref="BR3:BR17"/>
  </sortState>
  <tableColumns count="23">
    <tableColumn id="1" xr3:uid="{00000000-0010-0000-0F01-000001000000}" name="TM" dataDxfId="1616"/>
    <tableColumn id="2" xr3:uid="{00000000-0010-0000-0F01-000002000000}" name="@" dataDxfId="1615"/>
    <tableColumn id="3" xr3:uid="{00000000-0010-0000-0F01-000003000000}" name="NAME" dataDxfId="1614"/>
    <tableColumn id="4" xr3:uid="{00000000-0010-0000-0F01-000004000000}" name="BA" dataDxfId="1613">
      <calculatedColumnFormula>IFERROR(SFG_H117[[#This Row],[H]]/SFG_H117[[#This Row],[AB]],0)</calculatedColumnFormula>
    </tableColumn>
    <tableColumn id="5" xr3:uid="{00000000-0010-0000-0F01-000005000000}" name="OBP" dataDxfId="1612">
      <calculatedColumnFormula>IFERROR((SFG_H117[[#This Row],[BB]]+SFG_H117[[#This Row],[H]])/(SFG_H117[[#This Row],[BB]]+SFG_H117[[#This Row],[AB]]),0)</calculatedColumnFormula>
    </tableColumn>
    <tableColumn id="6" xr3:uid="{00000000-0010-0000-0F01-000006000000}" name="SLG" dataDxfId="1611">
      <calculatedColumnFormula>IFERROR(((SFG_H117[[#This Row],[H]]-SFG_H117[[#This Row],[2B]]-SFG_H117[[#This Row],[3B]]-SFG_H117[[#This Row],[HR]])+(SFG_H117[[#This Row],[2B]]*2)+(SFG_H117[[#This Row],[3B]]*3)+(SFG_H117[[#This Row],[HR]]*4))/SFG_H117[[#This Row],[AB]],0)</calculatedColumnFormula>
    </tableColumn>
    <tableColumn id="7" xr3:uid="{00000000-0010-0000-0F01-000007000000}" name="G" dataDxfId="1610"/>
    <tableColumn id="8" xr3:uid="{00000000-0010-0000-0F01-000008000000}" name="AB" dataDxfId="1609"/>
    <tableColumn id="9" xr3:uid="{00000000-0010-0000-0F01-000009000000}" name="R" dataDxfId="1608"/>
    <tableColumn id="10" xr3:uid="{00000000-0010-0000-0F01-00000A000000}" name="H" dataDxfId="1607"/>
    <tableColumn id="11" xr3:uid="{00000000-0010-0000-0F01-00000B000000}" name="2B" dataDxfId="1606"/>
    <tableColumn id="12" xr3:uid="{00000000-0010-0000-0F01-00000C000000}" name="3B" dataDxfId="1605"/>
    <tableColumn id="13" xr3:uid="{00000000-0010-0000-0F01-00000D000000}" name="HR" dataDxfId="1604"/>
    <tableColumn id="14" xr3:uid="{00000000-0010-0000-0F01-00000E000000}" name="RBI" dataDxfId="1603"/>
    <tableColumn id="15" xr3:uid="{00000000-0010-0000-0F01-00000F000000}" name="BB" dataDxfId="1602"/>
    <tableColumn id="16" xr3:uid="{00000000-0010-0000-0F01-000010000000}" name="K" dataDxfId="1601"/>
    <tableColumn id="17" xr3:uid="{00000000-0010-0000-0F01-000011000000}" name="SB" dataDxfId="1600"/>
    <tableColumn id="18" xr3:uid="{00000000-0010-0000-0F01-000012000000}" name="HS" dataDxfId="1599"/>
    <tableColumn id="19" xr3:uid="{00000000-0010-0000-0F01-000013000000}" name="LS" dataDxfId="1598"/>
    <tableColumn id="20" xr3:uid="{00000000-0010-0000-0F01-000014000000}" name="TB" dataDxfId="1597">
      <calculatedColumnFormula>(SFG_H117[[#This Row],[H]]-SFG_H117[[#This Row],[2B]]-SFG_H117[[#This Row],[3B]]-SFG_H117[[#This Row],[HR]])+(SFG_H117[[#This Row],[2B]]*2)+(SFG_H117[[#This Row],[3B]]*3)+(SFG_H117[[#This Row],[HR]]*4)</calculatedColumnFormula>
    </tableColumn>
    <tableColumn id="21" xr3:uid="{00000000-0010-0000-0F01-000015000000}" name="OPS" dataDxfId="1596">
      <calculatedColumnFormula>IFERROR(SFG_H117[[#This Row],[OBP]]+SFG_H117[[#This Row],[SLG]],0)</calculatedColumnFormula>
    </tableColumn>
    <tableColumn id="22" xr3:uid="{00000000-0010-0000-0F01-000016000000}" name="*" dataDxfId="1595"/>
    <tableColumn id="23" xr3:uid="{00000000-0010-0000-0F01-000017000000}" name="#" dataDxfId="1594"/>
  </tableColumns>
  <tableStyleInfo name="TableStyleMedium3" showFirstColumn="0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10010000}" name="SFG_P118" displayName="SFG_P118" ref="AY20:BQ30" totalsRowShown="0" headerRowDxfId="1593" headerRowBorderDxfId="1592">
  <autoFilter ref="AY20:BQ30" xr:uid="{00000000-0009-0000-0100-000078000000}"/>
  <sortState xmlns:xlrd2="http://schemas.microsoft.com/office/spreadsheetml/2017/richdata2" ref="AY21:BQ30">
    <sortCondition ref="BQ20:BQ30"/>
  </sortState>
  <tableColumns count="19">
    <tableColumn id="1" xr3:uid="{00000000-0010-0000-1001-000001000000}" name="TM" dataDxfId="1591"/>
    <tableColumn id="2" xr3:uid="{00000000-0010-0000-1001-000002000000}" name="@" dataDxfId="1590"/>
    <tableColumn id="3" xr3:uid="{00000000-0010-0000-1001-000003000000}" name="NAME" dataDxfId="1589"/>
    <tableColumn id="4" xr3:uid="{00000000-0010-0000-1001-000004000000}" name="ERA" dataDxfId="1588">
      <calculatedColumnFormula>IFERROR((SFG_P118[[#This Row],[R]]*9)/SFG_P118[[#This Row],[IP]],0)</calculatedColumnFormula>
    </tableColumn>
    <tableColumn id="5" xr3:uid="{00000000-0010-0000-1001-000005000000}" name="W" dataDxfId="1587"/>
    <tableColumn id="6" xr3:uid="{00000000-0010-0000-1001-000006000000}" name="L" dataDxfId="1586"/>
    <tableColumn id="7" xr3:uid="{00000000-0010-0000-1001-000007000000}" name="G" dataDxfId="1585"/>
    <tableColumn id="8" xr3:uid="{00000000-0010-0000-1001-000008000000}" name="IP" dataDxfId="1584"/>
    <tableColumn id="9" xr3:uid="{00000000-0010-0000-1001-000009000000}" name="H" dataDxfId="1583"/>
    <tableColumn id="10" xr3:uid="{00000000-0010-0000-1001-00000A000000}" name="R" dataDxfId="1582"/>
    <tableColumn id="11" xr3:uid="{00000000-0010-0000-1001-00000B000000}" name="BB" dataDxfId="1581"/>
    <tableColumn id="12" xr3:uid="{00000000-0010-0000-1001-00000C000000}" name="K" dataDxfId="1580"/>
    <tableColumn id="13" xr3:uid="{00000000-0010-0000-1001-00000D000000}" name="SV" dataDxfId="1579"/>
    <tableColumn id="14" xr3:uid="{00000000-0010-0000-1001-00000E000000}" name="WH" dataDxfId="1578">
      <calculatedColumnFormula>IFERROR((SFG_P118[[#This Row],[BB]]+SFG_P118[[#This Row],[H]])/SFG_P118[[#This Row],[IP]],0)</calculatedColumnFormula>
    </tableColumn>
    <tableColumn id="15" xr3:uid="{00000000-0010-0000-1001-00000F000000}" name="QS" dataDxfId="1577"/>
    <tableColumn id="16" xr3:uid="{00000000-0010-0000-1001-000010000000}" name="UQ" dataDxfId="1576"/>
    <tableColumn id="17" xr3:uid="{00000000-0010-0000-1001-000011000000}" name="CG" dataDxfId="1575"/>
    <tableColumn id="18" xr3:uid="{00000000-0010-0000-1001-000012000000}" name="SH" dataDxfId="1574"/>
    <tableColumn id="19" xr3:uid="{00000000-0010-0000-1001-000013000000}" name="#" dataDxfId="1573"/>
  </tableColumns>
  <tableStyleInfo name="TableStyleMedium3" showFirstColumn="0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11010000}" name="LAD_H119" displayName="LAD_H119" ref="AY34:BU48" totalsRowShown="0" headerRowDxfId="1572" headerRowBorderDxfId="1571">
  <autoFilter ref="AY34:BU48" xr:uid="{00000000-0009-0000-0100-000079000000}"/>
  <sortState xmlns:xlrd2="http://schemas.microsoft.com/office/spreadsheetml/2017/richdata2" ref="AY35:BU48">
    <sortCondition ref="BU34:BU48"/>
  </sortState>
  <tableColumns count="23">
    <tableColumn id="1" xr3:uid="{00000000-0010-0000-1101-000001000000}" name="TM" dataDxfId="1570"/>
    <tableColumn id="2" xr3:uid="{00000000-0010-0000-1101-000002000000}" name="@" dataDxfId="1569"/>
    <tableColumn id="3" xr3:uid="{00000000-0010-0000-1101-000003000000}" name="NAME" dataDxfId="1568"/>
    <tableColumn id="4" xr3:uid="{00000000-0010-0000-1101-000004000000}" name="BA" dataDxfId="1567">
      <calculatedColumnFormula>IFERROR(LAD_H119[[#This Row],[H]]/LAD_H119[[#This Row],[AB]],0)</calculatedColumnFormula>
    </tableColumn>
    <tableColumn id="5" xr3:uid="{00000000-0010-0000-1101-000005000000}" name="OBP" dataDxfId="1566">
      <calculatedColumnFormula>IFERROR((LAD_H119[[#This Row],[BB]]+LAD_H119[[#This Row],[H]])/(LAD_H119[[#This Row],[AB]]+LAD_H119[[#This Row],[BB]]),0)</calculatedColumnFormula>
    </tableColumn>
    <tableColumn id="6" xr3:uid="{00000000-0010-0000-1101-000006000000}" name="SLG" dataDxfId="1565">
      <calculatedColumnFormula>IFERROR(((LAD_H119[[#This Row],[H]]-LAD_H119[[#This Row],[2B]]-LAD_H119[[#This Row],[3B]]-LAD_H119[[#This Row],[HR]])+(LAD_H119[[#This Row],[2B]]*2)+(LAD_H119[[#This Row],[3B]]*3)+(LAD_H119[[#This Row],[HR]]*4))/LAD_H119[[#This Row],[AB]],0)</calculatedColumnFormula>
    </tableColumn>
    <tableColumn id="7" xr3:uid="{00000000-0010-0000-1101-000007000000}" name="G" dataDxfId="1564"/>
    <tableColumn id="8" xr3:uid="{00000000-0010-0000-1101-000008000000}" name="AB" dataDxfId="1563"/>
    <tableColumn id="9" xr3:uid="{00000000-0010-0000-1101-000009000000}" name="R" dataDxfId="1562"/>
    <tableColumn id="10" xr3:uid="{00000000-0010-0000-1101-00000A000000}" name="H" dataDxfId="1561"/>
    <tableColumn id="11" xr3:uid="{00000000-0010-0000-1101-00000B000000}" name="2B" dataDxfId="1560"/>
    <tableColumn id="12" xr3:uid="{00000000-0010-0000-1101-00000C000000}" name="3B" dataDxfId="1559"/>
    <tableColumn id="13" xr3:uid="{00000000-0010-0000-1101-00000D000000}" name="HR" dataDxfId="1558"/>
    <tableColumn id="14" xr3:uid="{00000000-0010-0000-1101-00000E000000}" name="RBI" dataDxfId="1557"/>
    <tableColumn id="15" xr3:uid="{00000000-0010-0000-1101-00000F000000}" name="BB" dataDxfId="1556"/>
    <tableColumn id="16" xr3:uid="{00000000-0010-0000-1101-000010000000}" name="K" dataDxfId="1555"/>
    <tableColumn id="17" xr3:uid="{00000000-0010-0000-1101-000011000000}" name="SB" dataDxfId="1554"/>
    <tableColumn id="18" xr3:uid="{00000000-0010-0000-1101-000012000000}" name="HS" dataDxfId="1553"/>
    <tableColumn id="19" xr3:uid="{00000000-0010-0000-1101-000013000000}" name="LS" dataDxfId="1552"/>
    <tableColumn id="20" xr3:uid="{00000000-0010-0000-1101-000014000000}" name="TB" dataDxfId="1551">
      <calculatedColumnFormula>(LAD_H119[[#This Row],[H]]-LAD_H119[[#This Row],[2B]]-LAD_H119[[#This Row],[3B]]-LAD_H119[[#This Row],[HR]])+(LAD_H119[[#This Row],[2B]]*2)+(LAD_H119[[#This Row],[3B]]*3)+(LAD_H119[[#This Row],[HR]]*4)</calculatedColumnFormula>
    </tableColumn>
    <tableColumn id="21" xr3:uid="{00000000-0010-0000-1101-000015000000}" name="OPS" dataDxfId="1550">
      <calculatedColumnFormula>IFERROR(LAD_H119[[#This Row],[OBP]]+LAD_H119[[#This Row],[SLG]],0)</calculatedColumnFormula>
    </tableColumn>
    <tableColumn id="22" xr3:uid="{00000000-0010-0000-1101-000016000000}" name="*" dataDxfId="1549"/>
    <tableColumn id="23" xr3:uid="{00000000-0010-0000-1101-000017000000}" name="#" dataDxfId="1548"/>
  </tableColumns>
  <tableStyleInfo name="TableStyleMedium5" showFirstColumn="0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12010000}" name="LAD_P120" displayName="LAD_P120" ref="AY51:BQ61" totalsRowShown="0" headerRowDxfId="1547" headerRowBorderDxfId="1546">
  <autoFilter ref="AY51:BQ61" xr:uid="{00000000-0009-0000-0100-00007A000000}"/>
  <sortState xmlns:xlrd2="http://schemas.microsoft.com/office/spreadsheetml/2017/richdata2" ref="AY52:BQ61">
    <sortCondition ref="BQ51:BQ61"/>
  </sortState>
  <tableColumns count="19">
    <tableColumn id="1" xr3:uid="{00000000-0010-0000-1201-000001000000}" name="TM" dataDxfId="1545"/>
    <tableColumn id="2" xr3:uid="{00000000-0010-0000-1201-000002000000}" name="@" dataDxfId="1544"/>
    <tableColumn id="3" xr3:uid="{00000000-0010-0000-1201-000003000000}" name="NAME" dataDxfId="1543"/>
    <tableColumn id="4" xr3:uid="{00000000-0010-0000-1201-000004000000}" name="ERA" dataDxfId="1542">
      <calculatedColumnFormula>IFERROR((LAD_P120[[#This Row],[R]]*9)/LAD_P120[[#This Row],[IP]],0)</calculatedColumnFormula>
    </tableColumn>
    <tableColumn id="5" xr3:uid="{00000000-0010-0000-1201-000005000000}" name="W" dataDxfId="1541"/>
    <tableColumn id="6" xr3:uid="{00000000-0010-0000-1201-000006000000}" name="L" dataDxfId="1540"/>
    <tableColumn id="7" xr3:uid="{00000000-0010-0000-1201-000007000000}" name="G" dataDxfId="1539"/>
    <tableColumn id="8" xr3:uid="{00000000-0010-0000-1201-000008000000}" name="IP" dataDxfId="1538"/>
    <tableColumn id="9" xr3:uid="{00000000-0010-0000-1201-000009000000}" name="H" dataDxfId="1537"/>
    <tableColumn id="10" xr3:uid="{00000000-0010-0000-1201-00000A000000}" name="R" dataDxfId="1536"/>
    <tableColumn id="11" xr3:uid="{00000000-0010-0000-1201-00000B000000}" name="BB" dataDxfId="1535"/>
    <tableColumn id="12" xr3:uid="{00000000-0010-0000-1201-00000C000000}" name="K" dataDxfId="1534"/>
    <tableColumn id="13" xr3:uid="{00000000-0010-0000-1201-00000D000000}" name="SV" dataDxfId="1533"/>
    <tableColumn id="14" xr3:uid="{00000000-0010-0000-1201-00000E000000}" name="WH" dataDxfId="1532">
      <calculatedColumnFormula>IFERROR((LAD_P120[[#This Row],[BB]]+LAD_P120[[#This Row],[H]])/LAD_P120[[#This Row],[IP]],0)</calculatedColumnFormula>
    </tableColumn>
    <tableColumn id="15" xr3:uid="{00000000-0010-0000-1201-00000F000000}" name="QS" dataDxfId="1531"/>
    <tableColumn id="16" xr3:uid="{00000000-0010-0000-1201-000010000000}" name="UQ" dataDxfId="1530"/>
    <tableColumn id="17" xr3:uid="{00000000-0010-0000-1201-000011000000}" name="CG" dataDxfId="1529"/>
    <tableColumn id="18" xr3:uid="{00000000-0010-0000-1201-000012000000}" name="SH" dataDxfId="1528"/>
    <tableColumn id="19" xr3:uid="{00000000-0010-0000-1201-000013000000}" name="#" dataDxfId="1527"/>
  </tableColumns>
  <tableStyleInfo name="TableStyleMedium5" showFirstColumn="0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13010000}" name="SDP_H121" displayName="SDP_H121" ref="AY65:BU79" totalsRowShown="0" headerRowDxfId="1526" headerRowBorderDxfId="1525">
  <autoFilter ref="AY65:BU79" xr:uid="{00000000-0009-0000-0100-00007B000000}"/>
  <sortState xmlns:xlrd2="http://schemas.microsoft.com/office/spreadsheetml/2017/richdata2" ref="AY66:BU79">
    <sortCondition ref="BU65:BU79"/>
  </sortState>
  <tableColumns count="23">
    <tableColumn id="1" xr3:uid="{00000000-0010-0000-1301-000001000000}" name="TM" dataDxfId="1524"/>
    <tableColumn id="2" xr3:uid="{00000000-0010-0000-1301-000002000000}" name="@" dataDxfId="1523"/>
    <tableColumn id="3" xr3:uid="{00000000-0010-0000-1301-000003000000}" name="NAME" dataDxfId="1522"/>
    <tableColumn id="4" xr3:uid="{00000000-0010-0000-1301-000004000000}" name="BA" dataDxfId="1521">
      <calculatedColumnFormula>IFERROR(SDP_H121[[#This Row],[H]]/SDP_H121[[#This Row],[AB]],0)</calculatedColumnFormula>
    </tableColumn>
    <tableColumn id="5" xr3:uid="{00000000-0010-0000-1301-000005000000}" name="OBP" dataDxfId="1520">
      <calculatedColumnFormula>IFERROR((SDP_H121[[#This Row],[BB]]+SDP_H121[[#This Row],[H]])/(SDP_H121[[#This Row],[BB]]+SDP_H121[[#This Row],[AB]]),0)</calculatedColumnFormula>
    </tableColumn>
    <tableColumn id="6" xr3:uid="{00000000-0010-0000-1301-000006000000}" name="SLG" dataDxfId="1519">
      <calculatedColumnFormula>IFERROR(((SDP_H121[[#This Row],[H]]-SDP_H121[[#This Row],[2B]]-SDP_H121[[#This Row],[3B]]-SDP_H121[[#This Row],[HR]])+(SDP_H121[[#This Row],[2B]]*2)+(SDP_H121[[#This Row],[3B]]*2)+(SDP_H121[[#This Row],[HR]]*4))/SDP_H121[[#This Row],[AB]],0)</calculatedColumnFormula>
    </tableColumn>
    <tableColumn id="7" xr3:uid="{00000000-0010-0000-1301-000007000000}" name="G" dataDxfId="1518"/>
    <tableColumn id="8" xr3:uid="{00000000-0010-0000-1301-000008000000}" name="AB" dataDxfId="1517"/>
    <tableColumn id="9" xr3:uid="{00000000-0010-0000-1301-000009000000}" name="R" dataDxfId="1516"/>
    <tableColumn id="10" xr3:uid="{00000000-0010-0000-1301-00000A000000}" name="H" dataDxfId="1515"/>
    <tableColumn id="11" xr3:uid="{00000000-0010-0000-1301-00000B000000}" name="2B" dataDxfId="1514"/>
    <tableColumn id="12" xr3:uid="{00000000-0010-0000-1301-00000C000000}" name="3B" dataDxfId="1513"/>
    <tableColumn id="13" xr3:uid="{00000000-0010-0000-1301-00000D000000}" name="HR" dataDxfId="1512"/>
    <tableColumn id="14" xr3:uid="{00000000-0010-0000-1301-00000E000000}" name="RBI" dataDxfId="1511"/>
    <tableColumn id="15" xr3:uid="{00000000-0010-0000-1301-00000F000000}" name="BB" dataDxfId="1510"/>
    <tableColumn id="16" xr3:uid="{00000000-0010-0000-1301-000010000000}" name="K" dataDxfId="1509"/>
    <tableColumn id="17" xr3:uid="{00000000-0010-0000-1301-000011000000}" name="SB" dataDxfId="1508"/>
    <tableColumn id="18" xr3:uid="{00000000-0010-0000-1301-000012000000}" name="HS" dataDxfId="1507"/>
    <tableColumn id="19" xr3:uid="{00000000-0010-0000-1301-000013000000}" name="LS" dataDxfId="1506"/>
    <tableColumn id="20" xr3:uid="{00000000-0010-0000-1301-000014000000}" name="TB" dataDxfId="1505">
      <calculatedColumnFormula>(SDP_H121[[#This Row],[H]]-SDP_H121[[#This Row],[2B]]-SDP_H121[[#This Row],[3B]]-SDP_H121[[#This Row],[HR]])+(SDP_H121[[#This Row],[2B]]*2)+(SDP_H121[[#This Row],[3B]]*3)+(SDP_H121[[#This Row],[HR]]*4)</calculatedColumnFormula>
    </tableColumn>
    <tableColumn id="21" xr3:uid="{00000000-0010-0000-1301-000015000000}" name="OPS" dataDxfId="1504">
      <calculatedColumnFormula>IFERROR(SDP_H121[[#This Row],[OBP]]+SDP_H121[[#This Row],[SLG]],0)</calculatedColumnFormula>
    </tableColumn>
    <tableColumn id="22" xr3:uid="{00000000-0010-0000-1301-000016000000}" name="*" dataDxfId="1503"/>
    <tableColumn id="23" xr3:uid="{00000000-0010-0000-1301-000017000000}" name="#" dataDxfId="1502"/>
  </tableColumns>
  <tableStyleInfo name="TableStyleMedium3" showFirstColumn="0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14010000}" name="SDP_P122" displayName="SDP_P122" ref="AY82:BQ92" totalsRowShown="0" headerRowDxfId="1501" headerRowBorderDxfId="1500">
  <autoFilter ref="AY82:BQ92" xr:uid="{00000000-0009-0000-0100-00007C000000}"/>
  <sortState xmlns:xlrd2="http://schemas.microsoft.com/office/spreadsheetml/2017/richdata2" ref="AY83:BQ92">
    <sortCondition ref="BQ51:BQ61"/>
  </sortState>
  <tableColumns count="19">
    <tableColumn id="1" xr3:uid="{00000000-0010-0000-1401-000001000000}" name="TM" dataDxfId="1499"/>
    <tableColumn id="2" xr3:uid="{00000000-0010-0000-1401-000002000000}" name="@" dataDxfId="1498"/>
    <tableColumn id="3" xr3:uid="{00000000-0010-0000-1401-000003000000}" name="NAME" dataDxfId="1497"/>
    <tableColumn id="4" xr3:uid="{00000000-0010-0000-1401-000004000000}" name="ERA" dataDxfId="1496">
      <calculatedColumnFormula>IFERROR((SDP_P122[[#This Row],[R]]*9)/SDP_P122[[#This Row],[IP]],0)</calculatedColumnFormula>
    </tableColumn>
    <tableColumn id="5" xr3:uid="{00000000-0010-0000-1401-000005000000}" name="W" dataDxfId="1495"/>
    <tableColumn id="6" xr3:uid="{00000000-0010-0000-1401-000006000000}" name="L" dataDxfId="1494"/>
    <tableColumn id="7" xr3:uid="{00000000-0010-0000-1401-000007000000}" name="G" dataDxfId="1493"/>
    <tableColumn id="8" xr3:uid="{00000000-0010-0000-1401-000008000000}" name="IP" dataDxfId="1492"/>
    <tableColumn id="9" xr3:uid="{00000000-0010-0000-1401-000009000000}" name="H" dataDxfId="1491"/>
    <tableColumn id="10" xr3:uid="{00000000-0010-0000-1401-00000A000000}" name="R" dataDxfId="1490"/>
    <tableColumn id="11" xr3:uid="{00000000-0010-0000-1401-00000B000000}" name="BB" dataDxfId="1489"/>
    <tableColumn id="12" xr3:uid="{00000000-0010-0000-1401-00000C000000}" name="K" dataDxfId="1488"/>
    <tableColumn id="13" xr3:uid="{00000000-0010-0000-1401-00000D000000}" name="SV" dataDxfId="1487"/>
    <tableColumn id="14" xr3:uid="{00000000-0010-0000-1401-00000E000000}" name="WH" dataDxfId="1486">
      <calculatedColumnFormula>IFERROR((SDP_P122[[#This Row],[BB]]+SDP_P122[[#This Row],[H]])/SDP_P122[[#This Row],[IP]],0)</calculatedColumnFormula>
    </tableColumn>
    <tableColumn id="15" xr3:uid="{00000000-0010-0000-1401-00000F000000}" name="QS" dataDxfId="1485"/>
    <tableColumn id="16" xr3:uid="{00000000-0010-0000-1401-000010000000}" name="UQ" dataDxfId="1484"/>
    <tableColumn id="17" xr3:uid="{00000000-0010-0000-1401-000011000000}" name="CG" dataDxfId="1483"/>
    <tableColumn id="18" xr3:uid="{00000000-0010-0000-1401-000012000000}" name="SH" dataDxfId="1482"/>
    <tableColumn id="19" xr3:uid="{00000000-0010-0000-1401-000013000000}" name="#" dataDxfId="1481"/>
  </tableColumns>
  <tableStyleInfo name="TableStyleMedium3" showFirstColumn="0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15010000}" name="ARI_P123" displayName="ARI_P123" ref="AY144:BQ154" totalsRowShown="0" headerRowDxfId="1480" headerRowBorderDxfId="1479">
  <autoFilter ref="AY144:BQ154" xr:uid="{00000000-0009-0000-0100-00007D000000}"/>
  <sortState xmlns:xlrd2="http://schemas.microsoft.com/office/spreadsheetml/2017/richdata2" ref="AY145:BQ154">
    <sortCondition ref="BQ144:BQ154"/>
  </sortState>
  <tableColumns count="19">
    <tableColumn id="1" xr3:uid="{00000000-0010-0000-1501-000001000000}" name="TM" dataDxfId="1478"/>
    <tableColumn id="2" xr3:uid="{00000000-0010-0000-1501-000002000000}" name="@" dataDxfId="1477"/>
    <tableColumn id="3" xr3:uid="{00000000-0010-0000-1501-000003000000}" name="NAME" dataDxfId="1476"/>
    <tableColumn id="4" xr3:uid="{00000000-0010-0000-1501-000004000000}" name="ERA" dataDxfId="1475">
      <calculatedColumnFormula>IFERROR((ARI_P123[[#This Row],[R]]*9)/ARI_P123[[#This Row],[IP]],0)</calculatedColumnFormula>
    </tableColumn>
    <tableColumn id="5" xr3:uid="{00000000-0010-0000-1501-000005000000}" name="W" dataDxfId="1474"/>
    <tableColumn id="6" xr3:uid="{00000000-0010-0000-1501-000006000000}" name="L" dataDxfId="1473"/>
    <tableColumn id="7" xr3:uid="{00000000-0010-0000-1501-000007000000}" name="G" dataDxfId="1472"/>
    <tableColumn id="8" xr3:uid="{00000000-0010-0000-1501-000008000000}" name="IP" dataDxfId="1471"/>
    <tableColumn id="9" xr3:uid="{00000000-0010-0000-1501-000009000000}" name="H" dataDxfId="1470"/>
    <tableColumn id="10" xr3:uid="{00000000-0010-0000-1501-00000A000000}" name="R" dataDxfId="1469"/>
    <tableColumn id="11" xr3:uid="{00000000-0010-0000-1501-00000B000000}" name="BB" dataDxfId="1468"/>
    <tableColumn id="12" xr3:uid="{00000000-0010-0000-1501-00000C000000}" name="K" dataDxfId="1467"/>
    <tableColumn id="13" xr3:uid="{00000000-0010-0000-1501-00000D000000}" name="SV" dataDxfId="1466"/>
    <tableColumn id="14" xr3:uid="{00000000-0010-0000-1501-00000E000000}" name="WH" dataDxfId="1465">
      <calculatedColumnFormula>IFERROR((ARI_P123[[#This Row],[BB]]+ARI_P123[[#This Row],[H]])/ARI_P123[[#This Row],[IP]],0)</calculatedColumnFormula>
    </tableColumn>
    <tableColumn id="15" xr3:uid="{00000000-0010-0000-1501-00000F000000}" name="QS" dataDxfId="1464"/>
    <tableColumn id="16" xr3:uid="{00000000-0010-0000-1501-000010000000}" name="UQ" dataDxfId="1463"/>
    <tableColumn id="17" xr3:uid="{00000000-0010-0000-1501-000011000000}" name="CG" dataDxfId="1462"/>
    <tableColumn id="18" xr3:uid="{00000000-0010-0000-1501-000012000000}" name="SH" dataDxfId="1461"/>
    <tableColumn id="19" xr3:uid="{00000000-0010-0000-1501-000013000000}" name="#" dataDxfId="1460"/>
  </tableColumns>
  <tableStyleInfo name="TableStyleMedium3" showFirstColumn="0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16010000}" name="ARI_H124" displayName="ARI_H124" ref="AY127:BU141" totalsRowShown="0" headerRowDxfId="1459" headerRowBorderDxfId="1458">
  <autoFilter ref="AY127:BU141" xr:uid="{00000000-0009-0000-0100-00007E000000}"/>
  <sortState xmlns:xlrd2="http://schemas.microsoft.com/office/spreadsheetml/2017/richdata2" ref="AY128:BU141">
    <sortCondition descending="1" ref="BR127:BR141"/>
  </sortState>
  <tableColumns count="23">
    <tableColumn id="1" xr3:uid="{00000000-0010-0000-1601-000001000000}" name="TM" dataDxfId="1457"/>
    <tableColumn id="2" xr3:uid="{00000000-0010-0000-1601-000002000000}" name="@" dataDxfId="1456"/>
    <tableColumn id="3" xr3:uid="{00000000-0010-0000-1601-000003000000}" name="NAME" dataDxfId="1455"/>
    <tableColumn id="4" xr3:uid="{00000000-0010-0000-1601-000004000000}" name="BA" dataDxfId="1454">
      <calculatedColumnFormula>IFERROR(ARI_H124[[#This Row],[H]]/ARI_H124[[#This Row],[AB]],0)</calculatedColumnFormula>
    </tableColumn>
    <tableColumn id="5" xr3:uid="{00000000-0010-0000-1601-000005000000}" name="OBP" dataDxfId="1453">
      <calculatedColumnFormula>IFERROR((ARI_H124[[#This Row],[BB]]+ARI_H124[[#This Row],[H]])/(ARI_H124[[#This Row],[BB]]+ARI_H124[[#This Row],[AB]]),0)</calculatedColumnFormula>
    </tableColumn>
    <tableColumn id="6" xr3:uid="{00000000-0010-0000-1601-000006000000}" name="SLG" dataDxfId="1452">
      <calculatedColumnFormula>IFERROR(((ARI_H124[[#This Row],[H]]-ARI_H124[[#This Row],[2B]]-ARI_H124[[#This Row],[3B]]-ARI_H124[[#This Row],[HR]])+(ARI_H124[[#This Row],[2B]]*2)+(ARI_H124[[#This Row],[3B]]*3)+(ARI_H124[[#This Row],[HR]]*4))/ARI_H124[[#This Row],[AB]],0)</calculatedColumnFormula>
    </tableColumn>
    <tableColumn id="7" xr3:uid="{00000000-0010-0000-1601-000007000000}" name="G" dataDxfId="1451"/>
    <tableColumn id="8" xr3:uid="{00000000-0010-0000-1601-000008000000}" name="AB" dataDxfId="1450"/>
    <tableColumn id="9" xr3:uid="{00000000-0010-0000-1601-000009000000}" name="R" dataDxfId="1449"/>
    <tableColumn id="10" xr3:uid="{00000000-0010-0000-1601-00000A000000}" name="H" dataDxfId="1448"/>
    <tableColumn id="11" xr3:uid="{00000000-0010-0000-1601-00000B000000}" name="2B" dataDxfId="1447"/>
    <tableColumn id="12" xr3:uid="{00000000-0010-0000-1601-00000C000000}" name="3B" dataDxfId="1446"/>
    <tableColumn id="13" xr3:uid="{00000000-0010-0000-1601-00000D000000}" name="HR" dataDxfId="1445"/>
    <tableColumn id="14" xr3:uid="{00000000-0010-0000-1601-00000E000000}" name="RBI" dataDxfId="1444"/>
    <tableColumn id="15" xr3:uid="{00000000-0010-0000-1601-00000F000000}" name="BB" dataDxfId="1443"/>
    <tableColumn id="16" xr3:uid="{00000000-0010-0000-1601-000010000000}" name="K" dataDxfId="1442"/>
    <tableColumn id="17" xr3:uid="{00000000-0010-0000-1601-000011000000}" name="SB" dataDxfId="1441"/>
    <tableColumn id="18" xr3:uid="{00000000-0010-0000-1601-000012000000}" name="HS" dataDxfId="1440"/>
    <tableColumn id="19" xr3:uid="{00000000-0010-0000-1601-000013000000}" name="LS" dataDxfId="1439"/>
    <tableColumn id="20" xr3:uid="{00000000-0010-0000-1601-000014000000}" name="TB" dataDxfId="1438">
      <calculatedColumnFormula>(ARI_H124[[#This Row],[H]]-ARI_H124[[#This Row],[2B]]-ARI_H124[[#This Row],[3B]]-ARI_H124[[#This Row],[HR]])+(ARI_H124[[#This Row],[2B]]*2)+(ARI_H124[[#This Row],[3B]]*3)+(ARI_H124[[#This Row],[HR]]*4)</calculatedColumnFormula>
    </tableColumn>
    <tableColumn id="21" xr3:uid="{00000000-0010-0000-1601-000015000000}" name="OPS" dataDxfId="1437">
      <calculatedColumnFormula>IFERROR(ARI_H124[[#This Row],[OBP]]+ARI_H124[[#This Row],[SLG]],0)</calculatedColumnFormula>
    </tableColumn>
    <tableColumn id="22" xr3:uid="{00000000-0010-0000-1601-000016000000}" name="*" dataDxfId="1436"/>
    <tableColumn id="23" xr3:uid="{00000000-0010-0000-1601-000017000000}" name="#" dataDxfId="1435"/>
  </tableColumns>
  <tableStyleInfo name="TableStyleMedium3" showFirstColumn="0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17010000}" name="COL_P125" displayName="COL_P125" ref="AY113:BQ123" totalsRowShown="0" headerRowDxfId="1434" headerRowBorderDxfId="1433">
  <autoFilter ref="AY113:BQ123" xr:uid="{00000000-0009-0000-0100-00007F000000}"/>
  <sortState xmlns:xlrd2="http://schemas.microsoft.com/office/spreadsheetml/2017/richdata2" ref="AY114:BQ123">
    <sortCondition ref="BQ113:BQ123"/>
  </sortState>
  <tableColumns count="19">
    <tableColumn id="1" xr3:uid="{00000000-0010-0000-1701-000001000000}" name="TM" dataDxfId="1432"/>
    <tableColumn id="2" xr3:uid="{00000000-0010-0000-1701-000002000000}" name="@" dataDxfId="1431"/>
    <tableColumn id="3" xr3:uid="{00000000-0010-0000-1701-000003000000}" name="NAME" dataDxfId="1430"/>
    <tableColumn id="4" xr3:uid="{00000000-0010-0000-1701-000004000000}" name="ERA" dataDxfId="1429">
      <calculatedColumnFormula>IFERROR((COL_P125[[#This Row],[R]]*9)/COL_P125[[#This Row],[IP]],0)</calculatedColumnFormula>
    </tableColumn>
    <tableColumn id="5" xr3:uid="{00000000-0010-0000-1701-000005000000}" name="W" dataDxfId="1428"/>
    <tableColumn id="6" xr3:uid="{00000000-0010-0000-1701-000006000000}" name="L" dataDxfId="1427"/>
    <tableColumn id="7" xr3:uid="{00000000-0010-0000-1701-000007000000}" name="G" dataDxfId="1426"/>
    <tableColumn id="8" xr3:uid="{00000000-0010-0000-1701-000008000000}" name="IP" dataDxfId="1425"/>
    <tableColumn id="9" xr3:uid="{00000000-0010-0000-1701-000009000000}" name="H" dataDxfId="1424"/>
    <tableColumn id="10" xr3:uid="{00000000-0010-0000-1701-00000A000000}" name="R" dataDxfId="1423"/>
    <tableColumn id="11" xr3:uid="{00000000-0010-0000-1701-00000B000000}" name="BB" dataDxfId="1422"/>
    <tableColumn id="12" xr3:uid="{00000000-0010-0000-1701-00000C000000}" name="K" dataDxfId="1421"/>
    <tableColumn id="13" xr3:uid="{00000000-0010-0000-1701-00000D000000}" name="SV" dataDxfId="1420"/>
    <tableColumn id="14" xr3:uid="{00000000-0010-0000-1701-00000E000000}" name="WH" dataDxfId="1419">
      <calculatedColumnFormula>IFERROR((COL_P125[[#This Row],[BB]]+COL_P125[[#This Row],[H]])/COL_P125[[#This Row],[IP]],0)</calculatedColumnFormula>
    </tableColumn>
    <tableColumn id="15" xr3:uid="{00000000-0010-0000-1701-00000F000000}" name="QS" dataDxfId="1418"/>
    <tableColumn id="16" xr3:uid="{00000000-0010-0000-1701-000010000000}" name="UQ" dataDxfId="1417"/>
    <tableColumn id="17" xr3:uid="{00000000-0010-0000-1701-000011000000}" name="CG" dataDxfId="1416"/>
    <tableColumn id="18" xr3:uid="{00000000-0010-0000-1701-000012000000}" name="SH" dataDxfId="1415"/>
    <tableColumn id="19" xr3:uid="{00000000-0010-0000-1701-000013000000}" name="#" dataDxfId="1414"/>
  </tableColumns>
  <tableStyleInfo name="TableStyleMedium1" showFirstColumn="0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18010000}" name="COL_H126" displayName="COL_H126" ref="AY96:BU110" totalsRowShown="0" headerRowDxfId="1413" headerRowBorderDxfId="1412">
  <autoFilter ref="AY96:BU110" xr:uid="{00000000-0009-0000-0100-000080000000}"/>
  <sortState xmlns:xlrd2="http://schemas.microsoft.com/office/spreadsheetml/2017/richdata2" ref="AY97:BU110">
    <sortCondition descending="1" ref="BR96:BR110"/>
  </sortState>
  <tableColumns count="23">
    <tableColumn id="1" xr3:uid="{00000000-0010-0000-1801-000001000000}" name="TM" dataDxfId="1411"/>
    <tableColumn id="2" xr3:uid="{00000000-0010-0000-1801-000002000000}" name="@" dataDxfId="1410"/>
    <tableColumn id="3" xr3:uid="{00000000-0010-0000-1801-000003000000}" name="NAME" dataDxfId="1409"/>
    <tableColumn id="4" xr3:uid="{00000000-0010-0000-1801-000004000000}" name="BA" dataDxfId="1408">
      <calculatedColumnFormula>IFERROR(COL_H126[[#This Row],[H]]/COL_H126[[#This Row],[AB]],0)</calculatedColumnFormula>
    </tableColumn>
    <tableColumn id="5" xr3:uid="{00000000-0010-0000-1801-000005000000}" name="OBP" dataDxfId="1407">
      <calculatedColumnFormula>IFERROR((COL_H126[[#This Row],[BB]]+COL_H126[[#This Row],[H]])/(COL_H126[[#This Row],[BB]]+COL_H126[[#This Row],[AB]]),0)</calculatedColumnFormula>
    </tableColumn>
    <tableColumn id="6" xr3:uid="{00000000-0010-0000-1801-000006000000}" name="SLG" dataDxfId="1406">
      <calculatedColumnFormula>IFERROR(((COL_H126[[#This Row],[H]]-COL_H126[[#This Row],[2B]]-COL_H126[[#This Row],[3B]]-COL_H126[[#This Row],[HR]])+(COL_H126[[#This Row],[2B]]*2)+(COL_H126[[#This Row],[3B]]*3)+(COL_H126[[#This Row],[HR]]*4))/COL_H126[[#This Row],[AB]],0)</calculatedColumnFormula>
    </tableColumn>
    <tableColumn id="7" xr3:uid="{00000000-0010-0000-1801-000007000000}" name="G" dataDxfId="1405"/>
    <tableColumn id="8" xr3:uid="{00000000-0010-0000-1801-000008000000}" name="AB" dataDxfId="1404"/>
    <tableColumn id="9" xr3:uid="{00000000-0010-0000-1801-000009000000}" name="R" dataDxfId="1403"/>
    <tableColumn id="10" xr3:uid="{00000000-0010-0000-1801-00000A000000}" name="H" dataDxfId="1402"/>
    <tableColumn id="11" xr3:uid="{00000000-0010-0000-1801-00000B000000}" name="2B" dataDxfId="1401"/>
    <tableColumn id="12" xr3:uid="{00000000-0010-0000-1801-00000C000000}" name="3B" dataDxfId="1400"/>
    <tableColumn id="13" xr3:uid="{00000000-0010-0000-1801-00000D000000}" name="HR" dataDxfId="1399"/>
    <tableColumn id="14" xr3:uid="{00000000-0010-0000-1801-00000E000000}" name="RBI" dataDxfId="1398"/>
    <tableColumn id="15" xr3:uid="{00000000-0010-0000-1801-00000F000000}" name="BB" dataDxfId="1397"/>
    <tableColumn id="16" xr3:uid="{00000000-0010-0000-1801-000010000000}" name="K" dataDxfId="1396"/>
    <tableColumn id="17" xr3:uid="{00000000-0010-0000-1801-000011000000}" name="SB" dataDxfId="1395"/>
    <tableColumn id="18" xr3:uid="{00000000-0010-0000-1801-000012000000}" name="HS" dataDxfId="1394"/>
    <tableColumn id="19" xr3:uid="{00000000-0010-0000-1801-000013000000}" name="LS" dataDxfId="1393"/>
    <tableColumn id="20" xr3:uid="{00000000-0010-0000-1801-000014000000}" name="TB" dataDxfId="1392">
      <calculatedColumnFormula>(COL_H126[[#This Row],[H]]-COL_H126[[#This Row],[2B]]-COL_H126[[#This Row],[3B]]-COL_H126[[#This Row],[HR]])+(COL_H126[[#This Row],[2B]]*2)+(COL_H126[[#This Row],[3B]]*3)+(COL_H126[[#This Row],[HR]]*4)</calculatedColumnFormula>
    </tableColumn>
    <tableColumn id="21" xr3:uid="{00000000-0010-0000-1801-000015000000}" name="OPS" dataDxfId="1391">
      <calculatedColumnFormula>IFERROR(COL_H126[[#This Row],[OBP]]+COL_H126[[#This Row],[SLG]],0)</calculatedColumnFormula>
    </tableColumn>
    <tableColumn id="22" xr3:uid="{00000000-0010-0000-1801-000016000000}" name="*" dataDxfId="1390"/>
    <tableColumn id="23" xr3:uid="{00000000-0010-0000-1801-000017000000}" name="#" dataDxfId="1389"/>
  </tableColumns>
  <tableStyleInfo name="TableStyleMedium1" showFirstColumn="0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19010000}" name="SDP_P67" displayName="SDP_P67" ref="AY207:BQ217" totalsRowShown="0" headerRowDxfId="1388" headerRowBorderDxfId="1387">
  <autoFilter ref="AY207:BQ217" xr:uid="{00000000-0009-0000-0100-000081000000}"/>
  <sortState xmlns:xlrd2="http://schemas.microsoft.com/office/spreadsheetml/2017/richdata2" ref="AY208:BQ217">
    <sortCondition ref="BQ207:BQ217"/>
  </sortState>
  <tableColumns count="19">
    <tableColumn id="1" xr3:uid="{00000000-0010-0000-1901-000001000000}" name="TM" dataDxfId="1386"/>
    <tableColumn id="2" xr3:uid="{00000000-0010-0000-1901-000002000000}" name="@" dataDxfId="1385"/>
    <tableColumn id="3" xr3:uid="{00000000-0010-0000-1901-000003000000}" name="NAME" dataDxfId="1384"/>
    <tableColumn id="4" xr3:uid="{00000000-0010-0000-1901-000004000000}" name="ERA" dataDxfId="1383">
      <calculatedColumnFormula>IFERROR((SDP_P67[[#This Row],[R]]*9)/SDP_P67[[#This Row],[IP]],0)</calculatedColumnFormula>
    </tableColumn>
    <tableColumn id="5" xr3:uid="{00000000-0010-0000-1901-000005000000}" name="W" dataDxfId="1382"/>
    <tableColumn id="6" xr3:uid="{00000000-0010-0000-1901-000006000000}" name="L" dataDxfId="1381"/>
    <tableColumn id="7" xr3:uid="{00000000-0010-0000-1901-000007000000}" name="G" dataDxfId="1380"/>
    <tableColumn id="8" xr3:uid="{00000000-0010-0000-1901-000008000000}" name="IP" dataDxfId="1379"/>
    <tableColumn id="9" xr3:uid="{00000000-0010-0000-1901-000009000000}" name="H" dataDxfId="1378"/>
    <tableColumn id="10" xr3:uid="{00000000-0010-0000-1901-00000A000000}" name="R" dataDxfId="1377"/>
    <tableColumn id="11" xr3:uid="{00000000-0010-0000-1901-00000B000000}" name="BB" dataDxfId="1376"/>
    <tableColumn id="12" xr3:uid="{00000000-0010-0000-1901-00000C000000}" name="K" dataDxfId="1375"/>
    <tableColumn id="13" xr3:uid="{00000000-0010-0000-1901-00000D000000}" name="SV" dataDxfId="1374"/>
    <tableColumn id="14" xr3:uid="{00000000-0010-0000-1901-00000E000000}" name="WH" dataDxfId="1373">
      <calculatedColumnFormula>IFERROR((SDP_P67[[#This Row],[BB]]+SDP_P67[[#This Row],[H]])/SDP_P67[[#This Row],[IP]],0)</calculatedColumnFormula>
    </tableColumn>
    <tableColumn id="15" xr3:uid="{00000000-0010-0000-1901-00000F000000}" name="QS" dataDxfId="1372"/>
    <tableColumn id="16" xr3:uid="{00000000-0010-0000-1901-000010000000}" name="UQ" dataDxfId="1371"/>
    <tableColumn id="17" xr3:uid="{00000000-0010-0000-1901-000011000000}" name="CG" dataDxfId="1370"/>
    <tableColumn id="18" xr3:uid="{00000000-0010-0000-1901-000012000000}" name="SH" dataDxfId="1369"/>
    <tableColumn id="19" xr3:uid="{00000000-0010-0000-1901-000013000000}" name="#" dataDxfId="1368"/>
  </tableColumns>
  <tableStyleInfo name="TableStyleMedium3" showFirstColumn="0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1A010000}" name="SDP_H68" displayName="SDP_H68" ref="AY190:BU204" totalsRowShown="0" headerRowDxfId="1367" headerRowBorderDxfId="1366">
  <autoFilter ref="AY190:BU204" xr:uid="{00000000-0009-0000-0100-000082000000}"/>
  <sortState xmlns:xlrd2="http://schemas.microsoft.com/office/spreadsheetml/2017/richdata2" ref="AY191:BU204">
    <sortCondition ref="BU190:BU204"/>
  </sortState>
  <tableColumns count="23">
    <tableColumn id="1" xr3:uid="{00000000-0010-0000-1A01-000001000000}" name="TM" dataDxfId="1365"/>
    <tableColumn id="2" xr3:uid="{00000000-0010-0000-1A01-000002000000}" name="@" dataDxfId="1364"/>
    <tableColumn id="3" xr3:uid="{00000000-0010-0000-1A01-000003000000}" name="NAME" dataDxfId="1363"/>
    <tableColumn id="4" xr3:uid="{00000000-0010-0000-1A01-000004000000}" name="BA" dataDxfId="1362">
      <calculatedColumnFormula>IFERROR(SDP_H68[[#This Row],[H]]/SDP_H68[[#This Row],[AB]],0)</calculatedColumnFormula>
    </tableColumn>
    <tableColumn id="5" xr3:uid="{00000000-0010-0000-1A01-000005000000}" name="OBP" dataDxfId="1361">
      <calculatedColumnFormula>IFERROR((SDP_H68[[#This Row],[BB]]+SDP_H68[[#This Row],[H]])/(SDP_H68[[#This Row],[BB]]+SDP_H68[[#This Row],[AB]]),0)</calculatedColumnFormula>
    </tableColumn>
    <tableColumn id="6" xr3:uid="{00000000-0010-0000-1A01-000006000000}" name="SLG" dataDxfId="1360">
      <calculatedColumnFormula>IFERROR(((SDP_H68[[#This Row],[H]]-SDP_H68[[#This Row],[2B]]-SDP_H68[[#This Row],[3B]]-SDP_H68[[#This Row],[HR]])+(SDP_H68[[#This Row],[2B]]*2)+(SDP_H68[[#This Row],[3B]]*2)+(SDP_H68[[#This Row],[HR]]*4))/SDP_H68[[#This Row],[AB]],0)</calculatedColumnFormula>
    </tableColumn>
    <tableColumn id="7" xr3:uid="{00000000-0010-0000-1A01-000007000000}" name="G" dataDxfId="1359"/>
    <tableColumn id="8" xr3:uid="{00000000-0010-0000-1A01-000008000000}" name="AB" dataDxfId="1358"/>
    <tableColumn id="9" xr3:uid="{00000000-0010-0000-1A01-000009000000}" name="R" dataDxfId="1357"/>
    <tableColumn id="10" xr3:uid="{00000000-0010-0000-1A01-00000A000000}" name="H" dataDxfId="1356"/>
    <tableColumn id="11" xr3:uid="{00000000-0010-0000-1A01-00000B000000}" name="2B" dataDxfId="1355"/>
    <tableColumn id="12" xr3:uid="{00000000-0010-0000-1A01-00000C000000}" name="3B" dataDxfId="1354"/>
    <tableColumn id="13" xr3:uid="{00000000-0010-0000-1A01-00000D000000}" name="HR" dataDxfId="1353"/>
    <tableColumn id="14" xr3:uid="{00000000-0010-0000-1A01-00000E000000}" name="RBI" dataDxfId="1352"/>
    <tableColumn id="15" xr3:uid="{00000000-0010-0000-1A01-00000F000000}" name="BB" dataDxfId="1351"/>
    <tableColumn id="16" xr3:uid="{00000000-0010-0000-1A01-000010000000}" name="K" dataDxfId="1350"/>
    <tableColumn id="17" xr3:uid="{00000000-0010-0000-1A01-000011000000}" name="SB" dataDxfId="1349"/>
    <tableColumn id="18" xr3:uid="{00000000-0010-0000-1A01-000012000000}" name="HS" dataDxfId="1348"/>
    <tableColumn id="19" xr3:uid="{00000000-0010-0000-1A01-000013000000}" name="LS" dataDxfId="1347"/>
    <tableColumn id="20" xr3:uid="{00000000-0010-0000-1A01-000014000000}" name="TB" dataDxfId="1346">
      <calculatedColumnFormula>(SDP_H68[[#This Row],[H]]-SDP_H68[[#This Row],[2B]]-SDP_H68[[#This Row],[3B]]-SDP_H68[[#This Row],[HR]])+(SDP_H68[[#This Row],[2B]]*2)+(SDP_H68[[#This Row],[3B]]*3)+(SDP_H68[[#This Row],[HR]]*4)</calculatedColumnFormula>
    </tableColumn>
    <tableColumn id="21" xr3:uid="{00000000-0010-0000-1A01-000015000000}" name="OPS" dataDxfId="1345">
      <calculatedColumnFormula>IFERROR(SDP_H68[[#This Row],[OBP]]+SDP_H68[[#This Row],[SLG]],0)</calculatedColumnFormula>
    </tableColumn>
    <tableColumn id="22" xr3:uid="{00000000-0010-0000-1A01-000016000000}" name="*" dataDxfId="1344"/>
    <tableColumn id="23" xr3:uid="{00000000-0010-0000-1A01-000017000000}" name="#" dataDxfId="1343"/>
  </tableColumns>
  <tableStyleInfo name="TableStyleMedium3" showFirstColumn="0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1B010000}" name="SFG_P73" displayName="SFG_P73" ref="AY176:BQ186" totalsRowShown="0" headerRowDxfId="1342" headerRowBorderDxfId="1341">
  <autoFilter ref="AY176:BQ186" xr:uid="{00000000-0009-0000-0100-000083000000}"/>
  <sortState xmlns:xlrd2="http://schemas.microsoft.com/office/spreadsheetml/2017/richdata2" ref="AY177:BQ186">
    <sortCondition ref="BQ176:BQ186"/>
  </sortState>
  <tableColumns count="19">
    <tableColumn id="1" xr3:uid="{00000000-0010-0000-1B01-000001000000}" name="TM" dataDxfId="1340"/>
    <tableColumn id="2" xr3:uid="{00000000-0010-0000-1B01-000002000000}" name="@" dataDxfId="1339"/>
    <tableColumn id="3" xr3:uid="{00000000-0010-0000-1B01-000003000000}" name="NAME" dataDxfId="1338"/>
    <tableColumn id="4" xr3:uid="{00000000-0010-0000-1B01-000004000000}" name="ERA" dataDxfId="1337">
      <calculatedColumnFormula>IFERROR((SFG_P73[[#This Row],[R]]*9)/SFG_P73[[#This Row],[IP]],0)</calculatedColumnFormula>
    </tableColumn>
    <tableColumn id="5" xr3:uid="{00000000-0010-0000-1B01-000005000000}" name="W" dataDxfId="1336"/>
    <tableColumn id="6" xr3:uid="{00000000-0010-0000-1B01-000006000000}" name="L" dataDxfId="1335"/>
    <tableColumn id="7" xr3:uid="{00000000-0010-0000-1B01-000007000000}" name="G" dataDxfId="1334"/>
    <tableColumn id="8" xr3:uid="{00000000-0010-0000-1B01-000008000000}" name="IP" dataDxfId="1333"/>
    <tableColumn id="9" xr3:uid="{00000000-0010-0000-1B01-000009000000}" name="H" dataDxfId="1332"/>
    <tableColumn id="10" xr3:uid="{00000000-0010-0000-1B01-00000A000000}" name="R" dataDxfId="1331"/>
    <tableColumn id="11" xr3:uid="{00000000-0010-0000-1B01-00000B000000}" name="BB" dataDxfId="1330"/>
    <tableColumn id="12" xr3:uid="{00000000-0010-0000-1B01-00000C000000}" name="K" dataDxfId="1329"/>
    <tableColumn id="13" xr3:uid="{00000000-0010-0000-1B01-00000D000000}" name="SV" dataDxfId="1328"/>
    <tableColumn id="14" xr3:uid="{00000000-0010-0000-1B01-00000E000000}" name="WH" dataDxfId="1327">
      <calculatedColumnFormula>IFERROR((SFG_P73[[#This Row],[BB]]+SFG_P73[[#This Row],[H]])/SFG_P73[[#This Row],[IP]],0)</calculatedColumnFormula>
    </tableColumn>
    <tableColumn id="15" xr3:uid="{00000000-0010-0000-1B01-00000F000000}" name="QS" dataDxfId="1326"/>
    <tableColumn id="16" xr3:uid="{00000000-0010-0000-1B01-000010000000}" name="UQ" dataDxfId="1325"/>
    <tableColumn id="17" xr3:uid="{00000000-0010-0000-1B01-000011000000}" name="CG" dataDxfId="1324"/>
    <tableColumn id="18" xr3:uid="{00000000-0010-0000-1B01-000012000000}" name="SH" dataDxfId="1323"/>
    <tableColumn id="19" xr3:uid="{00000000-0010-0000-1B01-000013000000}" name="#" dataDxfId="1322"/>
  </tableColumns>
  <tableStyleInfo name="TableStyleMedium3" showFirstColumn="0" showLastColumn="0" showRowStripes="1" showColumnStripes="0"/>
</table>
</file>

<file path=xl/tables/table2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1C010000}" name="SFG_H74" displayName="SFG_H74" ref="AY159:BU173" totalsRowShown="0" headerRowDxfId="1321" headerRowBorderDxfId="1320">
  <autoFilter ref="AY159:BU173" xr:uid="{00000000-0009-0000-0100-000084000000}"/>
  <sortState xmlns:xlrd2="http://schemas.microsoft.com/office/spreadsheetml/2017/richdata2" ref="AY160:BU173">
    <sortCondition ref="BU159:BU173"/>
  </sortState>
  <tableColumns count="23">
    <tableColumn id="1" xr3:uid="{00000000-0010-0000-1C01-000001000000}" name="TM" dataDxfId="1319"/>
    <tableColumn id="2" xr3:uid="{00000000-0010-0000-1C01-000002000000}" name="@" dataDxfId="1318"/>
    <tableColumn id="3" xr3:uid="{00000000-0010-0000-1C01-000003000000}" name="NAME" dataDxfId="1317"/>
    <tableColumn id="4" xr3:uid="{00000000-0010-0000-1C01-000004000000}" name="BA" dataDxfId="1316">
      <calculatedColumnFormula>IFERROR(SFG_H74[[#This Row],[H]]/SFG_H74[[#This Row],[AB]],0)</calculatedColumnFormula>
    </tableColumn>
    <tableColumn id="5" xr3:uid="{00000000-0010-0000-1C01-000005000000}" name="OBP" dataDxfId="1315">
      <calculatedColumnFormula>IFERROR((SFG_H74[[#This Row],[BB]]+SFG_H74[[#This Row],[H]])/(SFG_H74[[#This Row],[BB]]+SFG_H74[[#This Row],[AB]]),0)</calculatedColumnFormula>
    </tableColumn>
    <tableColumn id="6" xr3:uid="{00000000-0010-0000-1C01-000006000000}" name="SLG" dataDxfId="1314">
      <calculatedColumnFormula>IFERROR(((SFG_H74[[#This Row],[H]]-SFG_H74[[#This Row],[2B]]-SFG_H74[[#This Row],[3B]]-SFG_H74[[#This Row],[HR]])+(SFG_H74[[#This Row],[2B]]*2)+(SFG_H74[[#This Row],[3B]]*3)+(SFG_H74[[#This Row],[HR]]*4))/SFG_H74[[#This Row],[AB]],0)</calculatedColumnFormula>
    </tableColumn>
    <tableColumn id="7" xr3:uid="{00000000-0010-0000-1C01-000007000000}" name="G" dataDxfId="1313"/>
    <tableColumn id="8" xr3:uid="{00000000-0010-0000-1C01-000008000000}" name="AB" dataDxfId="1312"/>
    <tableColumn id="9" xr3:uid="{00000000-0010-0000-1C01-000009000000}" name="R" dataDxfId="1311"/>
    <tableColumn id="10" xr3:uid="{00000000-0010-0000-1C01-00000A000000}" name="H" dataDxfId="1310"/>
    <tableColumn id="11" xr3:uid="{00000000-0010-0000-1C01-00000B000000}" name="2B" dataDxfId="1309"/>
    <tableColumn id="12" xr3:uid="{00000000-0010-0000-1C01-00000C000000}" name="3B" dataDxfId="1308"/>
    <tableColumn id="13" xr3:uid="{00000000-0010-0000-1C01-00000D000000}" name="HR" dataDxfId="1307"/>
    <tableColumn id="14" xr3:uid="{00000000-0010-0000-1C01-00000E000000}" name="RBI" dataDxfId="1306"/>
    <tableColumn id="15" xr3:uid="{00000000-0010-0000-1C01-00000F000000}" name="BB" dataDxfId="1305"/>
    <tableColumn id="16" xr3:uid="{00000000-0010-0000-1C01-000010000000}" name="K" dataDxfId="1304"/>
    <tableColumn id="17" xr3:uid="{00000000-0010-0000-1C01-000011000000}" name="SB" dataDxfId="1303"/>
    <tableColumn id="18" xr3:uid="{00000000-0010-0000-1C01-000012000000}" name="HS" dataDxfId="1302"/>
    <tableColumn id="19" xr3:uid="{00000000-0010-0000-1C01-000013000000}" name="LS" dataDxfId="1301"/>
    <tableColumn id="20" xr3:uid="{00000000-0010-0000-1C01-000014000000}" name="TB" dataDxfId="1300">
      <calculatedColumnFormula>(SFG_H74[[#This Row],[H]]-SFG_H74[[#This Row],[2B]]-SFG_H74[[#This Row],[3B]]-SFG_H74[[#This Row],[HR]])+(SFG_H74[[#This Row],[2B]]*2)+(SFG_H74[[#This Row],[3B]]*3)+(SFG_H74[[#This Row],[HR]]*4)</calculatedColumnFormula>
    </tableColumn>
    <tableColumn id="21" xr3:uid="{00000000-0010-0000-1C01-000015000000}" name="OPS" dataDxfId="1299">
      <calculatedColumnFormula>IFERROR(SFG_H74[[#This Row],[OBP]]+SFG_H74[[#This Row],[SLG]],0)</calculatedColumnFormula>
    </tableColumn>
    <tableColumn id="22" xr3:uid="{00000000-0010-0000-1C01-000016000000}" name="*" dataDxfId="1298"/>
    <tableColumn id="23" xr3:uid="{00000000-0010-0000-1C01-000017000000}" name="#" dataDxfId="1297"/>
  </tableColumns>
  <tableStyleInfo name="TableStyleMedium3" showFirstColumn="0" showLastColumn="0" showRowStripes="1" showColumnStripes="0"/>
</table>
</file>

<file path=xl/tables/table2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00000000-000C-0000-FFFF-FFFF1D010000}" name="SDP_P273" displayName="SDP_P273" ref="A207:S217" totalsRowShown="0" headerRowDxfId="1296" headerRowBorderDxfId="1295">
  <autoFilter ref="A207:S217" xr:uid="{00000000-0009-0000-0100-000010010000}"/>
  <sortState xmlns:xlrd2="http://schemas.microsoft.com/office/spreadsheetml/2017/richdata2" ref="A208:S217">
    <sortCondition ref="S82:S92"/>
  </sortState>
  <tableColumns count="19">
    <tableColumn id="1" xr3:uid="{00000000-0010-0000-1D01-000001000000}" name="TM" dataDxfId="1294"/>
    <tableColumn id="2" xr3:uid="{00000000-0010-0000-1D01-000002000000}" name="@" dataDxfId="1293"/>
    <tableColumn id="3" xr3:uid="{00000000-0010-0000-1D01-000003000000}" name="NAME" dataDxfId="1292"/>
    <tableColumn id="4" xr3:uid="{00000000-0010-0000-1D01-000004000000}" name="ERA" dataDxfId="1291">
      <calculatedColumnFormula>IFERROR((SDP_P273[[#This Row],[R]]*9)/SDP_P273[[#This Row],[IP]],0)</calculatedColumnFormula>
    </tableColumn>
    <tableColumn id="5" xr3:uid="{00000000-0010-0000-1D01-000005000000}" name="W" dataDxfId="1290"/>
    <tableColumn id="6" xr3:uid="{00000000-0010-0000-1D01-000006000000}" name="L" dataDxfId="1289"/>
    <tableColumn id="7" xr3:uid="{00000000-0010-0000-1D01-000007000000}" name="G" dataDxfId="1288"/>
    <tableColumn id="8" xr3:uid="{00000000-0010-0000-1D01-000008000000}" name="IP" dataDxfId="1287"/>
    <tableColumn id="9" xr3:uid="{00000000-0010-0000-1D01-000009000000}" name="H" dataDxfId="1286"/>
    <tableColumn id="10" xr3:uid="{00000000-0010-0000-1D01-00000A000000}" name="R" dataDxfId="1285"/>
    <tableColumn id="11" xr3:uid="{00000000-0010-0000-1D01-00000B000000}" name="BB" dataDxfId="1284"/>
    <tableColumn id="12" xr3:uid="{00000000-0010-0000-1D01-00000C000000}" name="K" dataDxfId="1283"/>
    <tableColumn id="13" xr3:uid="{00000000-0010-0000-1D01-00000D000000}" name="SV" dataDxfId="1282"/>
    <tableColumn id="14" xr3:uid="{00000000-0010-0000-1D01-00000E000000}" name="WH" dataDxfId="1281">
      <calculatedColumnFormula>IFERROR((SDP_P273[[#This Row],[BB]]+SDP_P273[[#This Row],[H]])/SDP_P273[[#This Row],[IP]],0)</calculatedColumnFormula>
    </tableColumn>
    <tableColumn id="15" xr3:uid="{00000000-0010-0000-1D01-00000F000000}" name="QS" dataDxfId="1280"/>
    <tableColumn id="16" xr3:uid="{00000000-0010-0000-1D01-000010000000}" name="UQ" dataDxfId="1279"/>
    <tableColumn id="17" xr3:uid="{00000000-0010-0000-1D01-000011000000}" name="CG" dataDxfId="1278"/>
    <tableColumn id="18" xr3:uid="{00000000-0010-0000-1D01-000012000000}" name="SH" dataDxfId="1277"/>
    <tableColumn id="19" xr3:uid="{00000000-0010-0000-1D01-000013000000}" name="#" dataDxfId="1276"/>
  </tableColumns>
  <tableStyleInfo name="TableStyleMedium3" showFirstColumn="0" showLastColumn="0" showRowStripes="1" showColumnStripes="0"/>
</table>
</file>

<file path=xl/tables/table2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00000000-000C-0000-FFFF-FFFF1E010000}" name="SDP_H274" displayName="SDP_H274" ref="A190:W204" totalsRowShown="0" headerRowDxfId="1275" headerRowBorderDxfId="1274">
  <autoFilter ref="A190:W204" xr:uid="{00000000-0009-0000-0100-000011010000}"/>
  <sortState xmlns:xlrd2="http://schemas.microsoft.com/office/spreadsheetml/2017/richdata2" ref="A191:W204">
    <sortCondition descending="1" ref="T190:T204"/>
  </sortState>
  <tableColumns count="23">
    <tableColumn id="1" xr3:uid="{00000000-0010-0000-1E01-000001000000}" name="TM" dataDxfId="1273"/>
    <tableColumn id="2" xr3:uid="{00000000-0010-0000-1E01-000002000000}" name="@" dataDxfId="1272"/>
    <tableColumn id="3" xr3:uid="{00000000-0010-0000-1E01-000003000000}" name="NAME" dataDxfId="1271"/>
    <tableColumn id="4" xr3:uid="{00000000-0010-0000-1E01-000004000000}" name="BA" dataDxfId="1270">
      <calculatedColumnFormula>IFERROR(SDP_H274[[#This Row],[H]]/SDP_H274[[#This Row],[AB]],0)</calculatedColumnFormula>
    </tableColumn>
    <tableColumn id="5" xr3:uid="{00000000-0010-0000-1E01-000005000000}" name="OBP" dataDxfId="1269">
      <calculatedColumnFormula>IFERROR((SDP_H274[[#This Row],[H]]+SDP_H274[[#This Row],[BB]])/(SDP_H274[[#This Row],[BB]]+SDP_H274[[#This Row],[AB]]),0)</calculatedColumnFormula>
    </tableColumn>
    <tableColumn id="6" xr3:uid="{00000000-0010-0000-1E01-000006000000}" name="SLG" dataDxfId="1268">
      <calculatedColumnFormula>IFERROR(((SDP_H274[[#This Row],[H]]-SDP_H274[[#This Row],[2B]]-SDP_H274[[#This Row],[3B]]-SDP_H274[[#This Row],[HR]])+(SDP_H274[[#This Row],[2B]]*2)+(SDP_H274[[#This Row],[3B]]*3)+(SDP_H274[[#This Row],[HR]]*4))/SDP_H274[[#This Row],[AB]],0)</calculatedColumnFormula>
    </tableColumn>
    <tableColumn id="7" xr3:uid="{00000000-0010-0000-1E01-000007000000}" name="G" dataDxfId="1267"/>
    <tableColumn id="8" xr3:uid="{00000000-0010-0000-1E01-000008000000}" name="AB" dataDxfId="1266"/>
    <tableColumn id="9" xr3:uid="{00000000-0010-0000-1E01-000009000000}" name="R" dataDxfId="1265"/>
    <tableColumn id="10" xr3:uid="{00000000-0010-0000-1E01-00000A000000}" name="H" dataDxfId="1264"/>
    <tableColumn id="11" xr3:uid="{00000000-0010-0000-1E01-00000B000000}" name="2B" dataDxfId="1263"/>
    <tableColumn id="12" xr3:uid="{00000000-0010-0000-1E01-00000C000000}" name="3B" dataDxfId="1262"/>
    <tableColumn id="13" xr3:uid="{00000000-0010-0000-1E01-00000D000000}" name="HR" dataDxfId="1261"/>
    <tableColumn id="14" xr3:uid="{00000000-0010-0000-1E01-00000E000000}" name="RBI" dataDxfId="1260"/>
    <tableColumn id="15" xr3:uid="{00000000-0010-0000-1E01-00000F000000}" name="BB" dataDxfId="1259"/>
    <tableColumn id="16" xr3:uid="{00000000-0010-0000-1E01-000010000000}" name="K" dataDxfId="1258"/>
    <tableColumn id="17" xr3:uid="{00000000-0010-0000-1E01-000011000000}" name="SB" dataDxfId="1257"/>
    <tableColumn id="18" xr3:uid="{00000000-0010-0000-1E01-000012000000}" name="HS" dataDxfId="1256"/>
    <tableColumn id="19" xr3:uid="{00000000-0010-0000-1E01-000013000000}" name="LS" dataDxfId="1255"/>
    <tableColumn id="20" xr3:uid="{00000000-0010-0000-1E01-000014000000}" name="TB" dataDxfId="1254">
      <calculatedColumnFormula>IFERROR((SDP_H274[[#This Row],[H]]-SDP_H274[[#This Row],[2B]]-SDP_H274[[#This Row],[3B]]-SDP_H274[[#This Row],[HR]])+(SDP_H274[[#This Row],[2B]]*2)+(SDP_H274[[#This Row],[3B]]*3)+(SDP_H274[[#This Row],[HR]]*4),0)</calculatedColumnFormula>
    </tableColumn>
    <tableColumn id="21" xr3:uid="{00000000-0010-0000-1E01-000015000000}" name="OPS" dataDxfId="1253">
      <calculatedColumnFormula>SDP_H274[[#This Row],[OBP]]+SDP_H274[[#This Row],[SLG]]</calculatedColumnFormula>
    </tableColumn>
    <tableColumn id="22" xr3:uid="{00000000-0010-0000-1E01-000016000000}" name="*" dataDxfId="1252"/>
    <tableColumn id="23" xr3:uid="{00000000-0010-0000-1E01-000017000000}" name="#" dataDxfId="1251"/>
  </tableColumns>
  <tableStyleInfo name="TableStyleMedium3" showFirstColumn="0" showLastColumn="0" showRowStripes="1" showColumnStripes="0"/>
</table>
</file>

<file path=xl/tables/table2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00000000-000C-0000-FFFF-FFFF1F010000}" name="LAD_P275" displayName="LAD_P275" ref="A176:S186" totalsRowShown="0" headerRowDxfId="1250" headerRowBorderDxfId="1249">
  <autoFilter ref="A176:S186" xr:uid="{00000000-0009-0000-0100-000012010000}"/>
  <sortState xmlns:xlrd2="http://schemas.microsoft.com/office/spreadsheetml/2017/richdata2" ref="A177:S186">
    <sortCondition ref="S176:S186"/>
  </sortState>
  <tableColumns count="19">
    <tableColumn id="1" xr3:uid="{00000000-0010-0000-1F01-000001000000}" name="TM" dataDxfId="1248"/>
    <tableColumn id="2" xr3:uid="{00000000-0010-0000-1F01-000002000000}" name="@" dataDxfId="1247"/>
    <tableColumn id="3" xr3:uid="{00000000-0010-0000-1F01-000003000000}" name="NAME" dataDxfId="1246"/>
    <tableColumn id="4" xr3:uid="{00000000-0010-0000-1F01-000004000000}" name="ERA" dataDxfId="1245">
      <calculatedColumnFormula>IFERROR((LAD_P275[[#This Row],[R]]*9)/LAD_P275[[#This Row],[IP]],0)</calculatedColumnFormula>
    </tableColumn>
    <tableColumn id="5" xr3:uid="{00000000-0010-0000-1F01-000005000000}" name="W" dataDxfId="1244"/>
    <tableColumn id="6" xr3:uid="{00000000-0010-0000-1F01-000006000000}" name="L" dataDxfId="1243"/>
    <tableColumn id="7" xr3:uid="{00000000-0010-0000-1F01-000007000000}" name="G" dataDxfId="1242"/>
    <tableColumn id="8" xr3:uid="{00000000-0010-0000-1F01-000008000000}" name="IP" dataDxfId="1241"/>
    <tableColumn id="9" xr3:uid="{00000000-0010-0000-1F01-000009000000}" name="H" dataDxfId="1240"/>
    <tableColumn id="10" xr3:uid="{00000000-0010-0000-1F01-00000A000000}" name="R" dataDxfId="1239"/>
    <tableColumn id="11" xr3:uid="{00000000-0010-0000-1F01-00000B000000}" name="BB" dataDxfId="1238"/>
    <tableColumn id="12" xr3:uid="{00000000-0010-0000-1F01-00000C000000}" name="K" dataDxfId="1237"/>
    <tableColumn id="13" xr3:uid="{00000000-0010-0000-1F01-00000D000000}" name="SV" dataDxfId="1236"/>
    <tableColumn id="14" xr3:uid="{00000000-0010-0000-1F01-00000E000000}" name="WH" dataDxfId="1235">
      <calculatedColumnFormula>IFERROR((LAD_P275[[#This Row],[BB]]+LAD_P275[[#This Row],[H]])/LAD_P275[[#This Row],[IP]],0)</calculatedColumnFormula>
    </tableColumn>
    <tableColumn id="15" xr3:uid="{00000000-0010-0000-1F01-00000F000000}" name="QS" dataDxfId="1234"/>
    <tableColumn id="16" xr3:uid="{00000000-0010-0000-1F01-000010000000}" name="UQ" dataDxfId="1233"/>
    <tableColumn id="17" xr3:uid="{00000000-0010-0000-1F01-000011000000}" name="CG" dataDxfId="1232"/>
    <tableColumn id="18" xr3:uid="{00000000-0010-0000-1F01-000012000000}" name="SH" dataDxfId="1231"/>
    <tableColumn id="19" xr3:uid="{00000000-0010-0000-1F01-000013000000}" name="#" dataDxfId="1230"/>
  </tableColumns>
  <tableStyleInfo name="TableStyleMedium5" showFirstColumn="0" showLastColumn="0" showRowStripes="1" showColumnStripes="0"/>
</table>
</file>

<file path=xl/tables/table2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20010000}" name="LAD_H276" displayName="LAD_H276" ref="A159:W173" totalsRowShown="0" headerRowDxfId="1229" headerRowBorderDxfId="1228">
  <autoFilter ref="A159:W173" xr:uid="{00000000-0009-0000-0100-000013010000}"/>
  <sortState xmlns:xlrd2="http://schemas.microsoft.com/office/spreadsheetml/2017/richdata2" ref="A160:W173">
    <sortCondition descending="1" ref="T159:T173"/>
  </sortState>
  <tableColumns count="23">
    <tableColumn id="1" xr3:uid="{00000000-0010-0000-2001-000001000000}" name="TM" dataDxfId="1227"/>
    <tableColumn id="2" xr3:uid="{00000000-0010-0000-2001-000002000000}" name="@" dataDxfId="1226"/>
    <tableColumn id="3" xr3:uid="{00000000-0010-0000-2001-000003000000}" name="NAME" dataDxfId="1225"/>
    <tableColumn id="4" xr3:uid="{00000000-0010-0000-2001-000004000000}" name="BA" dataDxfId="1224">
      <calculatedColumnFormula>IFERROR(LAD_H276[[#This Row],[H]]/LAD_H276[[#This Row],[AB]],0)</calculatedColumnFormula>
    </tableColumn>
    <tableColumn id="5" xr3:uid="{00000000-0010-0000-2001-000005000000}" name="OBP" dataDxfId="1223">
      <calculatedColumnFormula>IFERROR((LAD_H276[[#This Row],[H]]+LAD_H276[[#This Row],[BB]])/(LAD_H276[[#This Row],[BB]]+LAD_H276[[#This Row],[AB]]),0)</calculatedColumnFormula>
    </tableColumn>
    <tableColumn id="6" xr3:uid="{00000000-0010-0000-2001-000006000000}" name="SLG" dataDxfId="1222">
      <calculatedColumnFormula>IFERROR(((LAD_H276[[#This Row],[H]]-LAD_H276[[#This Row],[2B]]-LAD_H276[[#This Row],[3B]]-LAD_H276[[#This Row],[HR]])+(LAD_H276[[#This Row],[2B]]*2)+(LAD_H276[[#This Row],[3B]]*3)+(LAD_H276[[#This Row],[HR]]*4))/LAD_H276[[#This Row],[AB]],0)</calculatedColumnFormula>
    </tableColumn>
    <tableColumn id="7" xr3:uid="{00000000-0010-0000-2001-000007000000}" name="G" dataDxfId="1221"/>
    <tableColumn id="8" xr3:uid="{00000000-0010-0000-2001-000008000000}" name="AB" dataDxfId="1220"/>
    <tableColumn id="9" xr3:uid="{00000000-0010-0000-2001-000009000000}" name="R" dataDxfId="1219"/>
    <tableColumn id="10" xr3:uid="{00000000-0010-0000-2001-00000A000000}" name="H" dataDxfId="1218"/>
    <tableColumn id="11" xr3:uid="{00000000-0010-0000-2001-00000B000000}" name="2B" dataDxfId="1217"/>
    <tableColumn id="12" xr3:uid="{00000000-0010-0000-2001-00000C000000}" name="3B" dataDxfId="1216"/>
    <tableColumn id="13" xr3:uid="{00000000-0010-0000-2001-00000D000000}" name="HR" dataDxfId="1215"/>
    <tableColumn id="14" xr3:uid="{00000000-0010-0000-2001-00000E000000}" name="RBI" dataDxfId="1214"/>
    <tableColumn id="15" xr3:uid="{00000000-0010-0000-2001-00000F000000}" name="BB" dataDxfId="1213"/>
    <tableColumn id="16" xr3:uid="{00000000-0010-0000-2001-000010000000}" name="K" dataDxfId="1212"/>
    <tableColumn id="17" xr3:uid="{00000000-0010-0000-2001-000011000000}" name="SB" dataDxfId="1211"/>
    <tableColumn id="18" xr3:uid="{00000000-0010-0000-2001-000012000000}" name="HS" dataDxfId="1210"/>
    <tableColumn id="19" xr3:uid="{00000000-0010-0000-2001-000013000000}" name="LS" dataDxfId="1209"/>
    <tableColumn id="20" xr3:uid="{00000000-0010-0000-2001-000014000000}" name="TB" dataDxfId="1208">
      <calculatedColumnFormula>IFERROR((LAD_H276[[#This Row],[H]]-LAD_H276[[#This Row],[2B]]-LAD_H276[[#This Row],[3B]]-LAD_H276[[#This Row],[HR]])+(LAD_H276[[#This Row],[2B]]*2)+(LAD_H276[[#This Row],[3B]]*3)+(LAD_H276[[#This Row],[HR]]*4),0)</calculatedColumnFormula>
    </tableColumn>
    <tableColumn id="21" xr3:uid="{00000000-0010-0000-2001-000015000000}" name="OPS" dataDxfId="1207">
      <calculatedColumnFormula>LAD_H276[[#This Row],[OBP]]+LAD_H276[[#This Row],[SLG]]</calculatedColumnFormula>
    </tableColumn>
    <tableColumn id="22" xr3:uid="{00000000-0010-0000-2001-000016000000}" name="*" dataDxfId="1206"/>
    <tableColumn id="23" xr3:uid="{00000000-0010-0000-2001-000017000000}" name="#" dataDxfId="1205"/>
  </tableColumns>
  <tableStyleInfo name="TableStyleMedium5" showFirstColumn="0" showLastColumn="0" showRowStripes="1" showColumnStripes="0"/>
</table>
</file>

<file path=xl/tables/table2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00000000-000C-0000-FFFF-FFFF21010000}" name="LAD_P275279" displayName="LAD_P275279" ref="A238:S248" totalsRowShown="0" headerRowDxfId="1204" headerRowBorderDxfId="1203">
  <autoFilter ref="A238:S248" xr:uid="{00000000-0009-0000-0100-000016010000}"/>
  <sortState xmlns:xlrd2="http://schemas.microsoft.com/office/spreadsheetml/2017/richdata2" ref="A239:S248">
    <sortCondition ref="S238:S248"/>
  </sortState>
  <tableColumns count="19">
    <tableColumn id="1" xr3:uid="{00000000-0010-0000-2101-000001000000}" name="TM" dataDxfId="1202"/>
    <tableColumn id="2" xr3:uid="{00000000-0010-0000-2101-000002000000}" name="@" dataDxfId="1201"/>
    <tableColumn id="3" xr3:uid="{00000000-0010-0000-2101-000003000000}" name="NAME" dataDxfId="1200"/>
    <tableColumn id="4" xr3:uid="{00000000-0010-0000-2101-000004000000}" name="ERA" dataDxfId="1199">
      <calculatedColumnFormula>IFERROR((LAD_P275279[[#This Row],[R]]*9)/LAD_P275279[[#This Row],[IP]],0)</calculatedColumnFormula>
    </tableColumn>
    <tableColumn id="5" xr3:uid="{00000000-0010-0000-2101-000005000000}" name="W" dataDxfId="1198"/>
    <tableColumn id="6" xr3:uid="{00000000-0010-0000-2101-000006000000}" name="L" dataDxfId="1197"/>
    <tableColumn id="7" xr3:uid="{00000000-0010-0000-2101-000007000000}" name="G" dataDxfId="1196"/>
    <tableColumn id="8" xr3:uid="{00000000-0010-0000-2101-000008000000}" name="IP" dataDxfId="1195"/>
    <tableColumn id="9" xr3:uid="{00000000-0010-0000-2101-000009000000}" name="H" dataDxfId="1194"/>
    <tableColumn id="10" xr3:uid="{00000000-0010-0000-2101-00000A000000}" name="R" dataDxfId="1193"/>
    <tableColumn id="11" xr3:uid="{00000000-0010-0000-2101-00000B000000}" name="BB" dataDxfId="1192"/>
    <tableColumn id="12" xr3:uid="{00000000-0010-0000-2101-00000C000000}" name="K" dataDxfId="1191"/>
    <tableColumn id="13" xr3:uid="{00000000-0010-0000-2101-00000D000000}" name="SV" dataDxfId="1190"/>
    <tableColumn id="14" xr3:uid="{00000000-0010-0000-2101-00000E000000}" name="WH" dataDxfId="1189">
      <calculatedColumnFormula>IFERROR((LAD_P275279[[#This Row],[BB]]+LAD_P275279[[#This Row],[H]])/LAD_P275279[[#This Row],[IP]],0)</calculatedColumnFormula>
    </tableColumn>
    <tableColumn id="15" xr3:uid="{00000000-0010-0000-2101-00000F000000}" name="QS" dataDxfId="1188"/>
    <tableColumn id="16" xr3:uid="{00000000-0010-0000-2101-000010000000}" name="UQ" dataDxfId="1187"/>
    <tableColumn id="17" xr3:uid="{00000000-0010-0000-2101-000011000000}" name="CG" dataDxfId="1186"/>
    <tableColumn id="18" xr3:uid="{00000000-0010-0000-2101-000012000000}" name="SH" dataDxfId="1185"/>
    <tableColumn id="19" xr3:uid="{00000000-0010-0000-2101-000013000000}" name="#" dataDxfId="1184"/>
  </tableColumns>
  <tableStyleInfo name="TableStyleMedium5" showFirstColumn="0" showLastColumn="0" showRowStripes="1" showColumnStripes="0"/>
</table>
</file>

<file path=xl/tables/table2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00000000-000C-0000-FFFF-FFFF22010000}" name="LAD_H276280" displayName="LAD_H276280" ref="A221:W235" totalsRowShown="0" headerRowDxfId="1183" headerRowBorderDxfId="1182">
  <autoFilter ref="A221:W235" xr:uid="{00000000-0009-0000-0100-000017010000}"/>
  <sortState xmlns:xlrd2="http://schemas.microsoft.com/office/spreadsheetml/2017/richdata2" ref="A222:W235">
    <sortCondition descending="1" ref="T221:T235"/>
  </sortState>
  <tableColumns count="23">
    <tableColumn id="1" xr3:uid="{00000000-0010-0000-2201-000001000000}" name="TM" dataDxfId="1181"/>
    <tableColumn id="2" xr3:uid="{00000000-0010-0000-2201-000002000000}" name="@" dataDxfId="1180"/>
    <tableColumn id="3" xr3:uid="{00000000-0010-0000-2201-000003000000}" name="NAME" dataDxfId="1179"/>
    <tableColumn id="4" xr3:uid="{00000000-0010-0000-2201-000004000000}" name="BA" dataDxfId="1178">
      <calculatedColumnFormula>IFERROR(LAD_H276280[[#This Row],[H]]/LAD_H276280[[#This Row],[AB]],0)</calculatedColumnFormula>
    </tableColumn>
    <tableColumn id="5" xr3:uid="{00000000-0010-0000-2201-000005000000}" name="OBP" dataDxfId="1177">
      <calculatedColumnFormula>IFERROR((LAD_H276280[[#This Row],[H]]+LAD_H276280[[#This Row],[BB]])/(LAD_H276280[[#This Row],[BB]]+LAD_H276280[[#This Row],[AB]]),0)</calculatedColumnFormula>
    </tableColumn>
    <tableColumn id="6" xr3:uid="{00000000-0010-0000-2201-000006000000}" name="SLG" dataDxfId="1176">
      <calculatedColumnFormula>IFERROR(((LAD_H276280[[#This Row],[H]]-LAD_H276280[[#This Row],[2B]]-LAD_H276280[[#This Row],[3B]]-LAD_H276280[[#This Row],[HR]])+(LAD_H276280[[#This Row],[2B]]*2)+(LAD_H276280[[#This Row],[3B]]*3)+(LAD_H276280[[#This Row],[HR]]*4))/LAD_H276280[[#This Row],[AB]],0)</calculatedColumnFormula>
    </tableColumn>
    <tableColumn id="7" xr3:uid="{00000000-0010-0000-2201-000007000000}" name="G" dataDxfId="1175"/>
    <tableColumn id="8" xr3:uid="{00000000-0010-0000-2201-000008000000}" name="AB" dataDxfId="1174"/>
    <tableColumn id="9" xr3:uid="{00000000-0010-0000-2201-000009000000}" name="R" dataDxfId="1173"/>
    <tableColumn id="10" xr3:uid="{00000000-0010-0000-2201-00000A000000}" name="H" dataDxfId="1172"/>
    <tableColumn id="11" xr3:uid="{00000000-0010-0000-2201-00000B000000}" name="2B" dataDxfId="1171"/>
    <tableColumn id="12" xr3:uid="{00000000-0010-0000-2201-00000C000000}" name="3B" dataDxfId="1170"/>
    <tableColumn id="13" xr3:uid="{00000000-0010-0000-2201-00000D000000}" name="HR" dataDxfId="1169"/>
    <tableColumn id="14" xr3:uid="{00000000-0010-0000-2201-00000E000000}" name="RBI" dataDxfId="1168"/>
    <tableColumn id="15" xr3:uid="{00000000-0010-0000-2201-00000F000000}" name="BB" dataDxfId="1167"/>
    <tableColumn id="16" xr3:uid="{00000000-0010-0000-2201-000010000000}" name="K" dataDxfId="1166"/>
    <tableColumn id="17" xr3:uid="{00000000-0010-0000-2201-000011000000}" name="SB" dataDxfId="1165"/>
    <tableColumn id="18" xr3:uid="{00000000-0010-0000-2201-000012000000}" name="HS" dataDxfId="1164"/>
    <tableColumn id="19" xr3:uid="{00000000-0010-0000-2201-000013000000}" name="LS" dataDxfId="1163"/>
    <tableColumn id="20" xr3:uid="{00000000-0010-0000-2201-000014000000}" name="TB" dataDxfId="1162">
      <calculatedColumnFormula>IFERROR((LAD_H276280[[#This Row],[H]]-LAD_H276280[[#This Row],[2B]]-LAD_H276280[[#This Row],[3B]]-LAD_H276280[[#This Row],[HR]])+(LAD_H276280[[#This Row],[2B]]*2)+(LAD_H276280[[#This Row],[3B]]*3)+(LAD_H276280[[#This Row],[HR]]*4),0)</calculatedColumnFormula>
    </tableColumn>
    <tableColumn id="21" xr3:uid="{00000000-0010-0000-2201-000015000000}" name="OPS" dataDxfId="1161">
      <calculatedColumnFormula>LAD_H276280[[#This Row],[OBP]]+LAD_H276280[[#This Row],[SLG]]</calculatedColumnFormula>
    </tableColumn>
    <tableColumn id="22" xr3:uid="{00000000-0010-0000-2201-000016000000}" name="*" dataDxfId="1160"/>
    <tableColumn id="23" xr3:uid="{00000000-0010-0000-2201-000017000000}" name="#" dataDxfId="1159"/>
  </tableColumns>
  <tableStyleInfo name="TableStyleMedium5" showFirstColumn="0" showLastColumn="0" showRowStripes="1" showColumnStripes="0"/>
</table>
</file>

<file path=xl/tables/table2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23010000}" name="Table106" displayName="Table106" ref="A2:W212" totalsRowShown="0" headerRowDxfId="1158" dataDxfId="1156" headerRowBorderDxfId="1157">
  <autoFilter ref="A2:W212" xr:uid="{00000000-0009-0000-0100-00006B000000}"/>
  <sortState xmlns:xlrd2="http://schemas.microsoft.com/office/spreadsheetml/2017/richdata2" ref="A3:W212">
    <sortCondition ref="W2:W212"/>
  </sortState>
  <tableColumns count="23">
    <tableColumn id="1" xr3:uid="{00000000-0010-0000-2301-000001000000}" name="TM" dataDxfId="1155"/>
    <tableColumn id="2" xr3:uid="{00000000-0010-0000-2301-000002000000}" name="@" dataDxfId="1154"/>
    <tableColumn id="3" xr3:uid="{00000000-0010-0000-2301-000003000000}" name="NAME" dataDxfId="1153"/>
    <tableColumn id="4" xr3:uid="{00000000-0010-0000-2301-000004000000}" name="BA" dataDxfId="1152"/>
    <tableColumn id="5" xr3:uid="{00000000-0010-0000-2301-000005000000}" name="OBP" dataDxfId="1151"/>
    <tableColumn id="6" xr3:uid="{00000000-0010-0000-2301-000006000000}" name="SLG" dataDxfId="1150"/>
    <tableColumn id="7" xr3:uid="{00000000-0010-0000-2301-000007000000}" name="G" dataDxfId="1149"/>
    <tableColumn id="8" xr3:uid="{00000000-0010-0000-2301-000008000000}" name="AB" dataDxfId="1148"/>
    <tableColumn id="9" xr3:uid="{00000000-0010-0000-2301-000009000000}" name="R" dataDxfId="1147"/>
    <tableColumn id="10" xr3:uid="{00000000-0010-0000-2301-00000A000000}" name="H" dataDxfId="1146"/>
    <tableColumn id="11" xr3:uid="{00000000-0010-0000-2301-00000B000000}" name="2B" dataDxfId="1145"/>
    <tableColumn id="12" xr3:uid="{00000000-0010-0000-2301-00000C000000}" name="3B" dataDxfId="1144"/>
    <tableColumn id="13" xr3:uid="{00000000-0010-0000-2301-00000D000000}" name="HR" dataDxfId="1143"/>
    <tableColumn id="14" xr3:uid="{00000000-0010-0000-2301-00000E000000}" name="RBI" dataDxfId="1142"/>
    <tableColumn id="15" xr3:uid="{00000000-0010-0000-2301-00000F000000}" name="BB" dataDxfId="1141"/>
    <tableColumn id="16" xr3:uid="{00000000-0010-0000-2301-000010000000}" name="K" dataDxfId="1140"/>
    <tableColumn id="17" xr3:uid="{00000000-0010-0000-2301-000011000000}" name="SB" dataDxfId="1139"/>
    <tableColumn id="18" xr3:uid="{00000000-0010-0000-2301-000012000000}" name="HS" dataDxfId="1138"/>
    <tableColumn id="19" xr3:uid="{00000000-0010-0000-2301-000013000000}" name="LS" dataDxfId="1137"/>
    <tableColumn id="20" xr3:uid="{00000000-0010-0000-2301-000014000000}" name="TB" dataDxfId="1136"/>
    <tableColumn id="21" xr3:uid="{00000000-0010-0000-2301-000015000000}" name="OPS" dataDxfId="1135"/>
    <tableColumn id="22" xr3:uid="{00000000-0010-0000-2301-000016000000}" name="*" dataDxfId="1134"/>
    <tableColumn id="23" xr3:uid="{00000000-0010-0000-2301-000017000000}" name="#" dataDxfId="1133"/>
  </tableColumns>
  <tableStyleInfo name="TableStyleMedium3" showFirstColumn="0" showLastColumn="0" showRowStripes="1" showColumnStripes="0"/>
</table>
</file>

<file path=xl/tables/table2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3" xr:uid="{00000000-000C-0000-FFFF-FFFF24010000}" name="Table106294" displayName="Table106294" ref="Z2:AV212" totalsRowShown="0" headerRowDxfId="1132" dataDxfId="1130" headerRowBorderDxfId="1131">
  <autoFilter ref="Z2:AV212" xr:uid="{00000000-0009-0000-0100-000025010000}"/>
  <sortState xmlns:xlrd2="http://schemas.microsoft.com/office/spreadsheetml/2017/richdata2" ref="Z3:AV212">
    <sortCondition ref="AV2:AV212"/>
  </sortState>
  <tableColumns count="23">
    <tableColumn id="1" xr3:uid="{00000000-0010-0000-2401-000001000000}" name="TM" dataDxfId="1129"/>
    <tableColumn id="2" xr3:uid="{00000000-0010-0000-2401-000002000000}" name="@" dataDxfId="1128"/>
    <tableColumn id="3" xr3:uid="{00000000-0010-0000-2401-000003000000}" name="NAME" dataDxfId="1127"/>
    <tableColumn id="4" xr3:uid="{00000000-0010-0000-2401-000004000000}" name="BA" dataDxfId="1126"/>
    <tableColumn id="5" xr3:uid="{00000000-0010-0000-2401-000005000000}" name="OBP" dataDxfId="1125"/>
    <tableColumn id="6" xr3:uid="{00000000-0010-0000-2401-000006000000}" name="SLG" dataDxfId="1124"/>
    <tableColumn id="7" xr3:uid="{00000000-0010-0000-2401-000007000000}" name="G" dataDxfId="1123"/>
    <tableColumn id="8" xr3:uid="{00000000-0010-0000-2401-000008000000}" name="AB" dataDxfId="1122"/>
    <tableColumn id="9" xr3:uid="{00000000-0010-0000-2401-000009000000}" name="R" dataDxfId="1121"/>
    <tableColumn id="10" xr3:uid="{00000000-0010-0000-2401-00000A000000}" name="H" dataDxfId="1120"/>
    <tableColumn id="11" xr3:uid="{00000000-0010-0000-2401-00000B000000}" name="2B" dataDxfId="1119"/>
    <tableColumn id="12" xr3:uid="{00000000-0010-0000-2401-00000C000000}" name="3B" dataDxfId="1118"/>
    <tableColumn id="13" xr3:uid="{00000000-0010-0000-2401-00000D000000}" name="HR" dataDxfId="1117"/>
    <tableColumn id="14" xr3:uid="{00000000-0010-0000-2401-00000E000000}" name="RBI" dataDxfId="1116"/>
    <tableColumn id="15" xr3:uid="{00000000-0010-0000-2401-00000F000000}" name="BB" dataDxfId="1115"/>
    <tableColumn id="16" xr3:uid="{00000000-0010-0000-2401-000010000000}" name="K" dataDxfId="1114"/>
    <tableColumn id="17" xr3:uid="{00000000-0010-0000-2401-000011000000}" name="SB" dataDxfId="1113"/>
    <tableColumn id="18" xr3:uid="{00000000-0010-0000-2401-000012000000}" name="HS" dataDxfId="1112"/>
    <tableColumn id="19" xr3:uid="{00000000-0010-0000-2401-000013000000}" name="LS" dataDxfId="1111"/>
    <tableColumn id="20" xr3:uid="{00000000-0010-0000-2401-000014000000}" name="TB" dataDxfId="1110"/>
    <tableColumn id="21" xr3:uid="{00000000-0010-0000-2401-000015000000}" name="OPS" dataDxfId="1109"/>
    <tableColumn id="22" xr3:uid="{00000000-0010-0000-2401-000016000000}" name="*" dataDxfId="1108"/>
    <tableColumn id="23" xr3:uid="{00000000-0010-0000-2401-000017000000}" name="#" dataDxfId="1107"/>
  </tableColumns>
  <tableStyleInfo name="TableStyleMedium3" showFirstColumn="0" showLastColumn="0" showRowStripes="1" showColumnStripes="0"/>
</table>
</file>

<file path=xl/tables/table2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4" xr:uid="{00000000-000C-0000-FFFF-FFFF25010000}" name="Table106147" displayName="Table106147" ref="AY2:BU212" totalsRowShown="0" headerRowDxfId="1106" dataDxfId="1104" headerRowBorderDxfId="1105">
  <autoFilter ref="AY2:BU212" xr:uid="{00000000-0009-0000-0100-000026010000}"/>
  <sortState xmlns:xlrd2="http://schemas.microsoft.com/office/spreadsheetml/2017/richdata2" ref="AY3:BU212">
    <sortCondition ref="BU2:BU212"/>
  </sortState>
  <tableColumns count="23">
    <tableColumn id="1" xr3:uid="{00000000-0010-0000-2501-000001000000}" name="TM" dataDxfId="1103"/>
    <tableColumn id="2" xr3:uid="{00000000-0010-0000-2501-000002000000}" name="@" dataDxfId="1102"/>
    <tableColumn id="3" xr3:uid="{00000000-0010-0000-2501-000003000000}" name="NAME" dataDxfId="1101"/>
    <tableColumn id="4" xr3:uid="{00000000-0010-0000-2501-000004000000}" name="BA" dataDxfId="1100"/>
    <tableColumn id="5" xr3:uid="{00000000-0010-0000-2501-000005000000}" name="OBP" dataDxfId="1099"/>
    <tableColumn id="6" xr3:uid="{00000000-0010-0000-2501-000006000000}" name="SLG" dataDxfId="1098"/>
    <tableColumn id="7" xr3:uid="{00000000-0010-0000-2501-000007000000}" name="G" dataDxfId="1097"/>
    <tableColumn id="8" xr3:uid="{00000000-0010-0000-2501-000008000000}" name="AB" dataDxfId="1096"/>
    <tableColumn id="9" xr3:uid="{00000000-0010-0000-2501-000009000000}" name="R" dataDxfId="1095"/>
    <tableColumn id="10" xr3:uid="{00000000-0010-0000-2501-00000A000000}" name="H" dataDxfId="1094"/>
    <tableColumn id="11" xr3:uid="{00000000-0010-0000-2501-00000B000000}" name="2B" dataDxfId="1093"/>
    <tableColumn id="12" xr3:uid="{00000000-0010-0000-2501-00000C000000}" name="3B" dataDxfId="1092"/>
    <tableColumn id="13" xr3:uid="{00000000-0010-0000-2501-00000D000000}" name="HR" dataDxfId="1091"/>
    <tableColumn id="14" xr3:uid="{00000000-0010-0000-2501-00000E000000}" name="RBI" dataDxfId="1090"/>
    <tableColumn id="15" xr3:uid="{00000000-0010-0000-2501-00000F000000}" name="BB" dataDxfId="1089"/>
    <tableColumn id="16" xr3:uid="{00000000-0010-0000-2501-000010000000}" name="K" dataDxfId="1088"/>
    <tableColumn id="17" xr3:uid="{00000000-0010-0000-2501-000011000000}" name="SB" dataDxfId="1087"/>
    <tableColumn id="18" xr3:uid="{00000000-0010-0000-2501-000012000000}" name="HS" dataDxfId="1086"/>
    <tableColumn id="19" xr3:uid="{00000000-0010-0000-2501-000013000000}" name="LS" dataDxfId="1085"/>
    <tableColumn id="20" xr3:uid="{00000000-0010-0000-2501-000014000000}" name="TB" dataDxfId="1084"/>
    <tableColumn id="21" xr3:uid="{00000000-0010-0000-2501-000015000000}" name="OPS" dataDxfId="1083"/>
    <tableColumn id="22" xr3:uid="{00000000-0010-0000-2501-000016000000}" name="*" dataDxfId="1082"/>
    <tableColumn id="23" xr3:uid="{00000000-0010-0000-2501-000017000000}" name="#" dataDxfId="1081"/>
  </tableColumns>
  <tableStyleInfo name="TableStyleMedium3" showFirstColumn="0" showLastColumn="0" showRowStripes="1" showColumnStripes="0"/>
</table>
</file>

<file path=xl/tables/table2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26010000}" name="Table88" displayName="Table88" ref="A2:W212" totalsRowShown="0" headerRowDxfId="1080" dataDxfId="1078" headerRowBorderDxfId="1079">
  <autoFilter ref="A2:W212" xr:uid="{00000000-0009-0000-0100-000001000000}"/>
  <sortState xmlns:xlrd2="http://schemas.microsoft.com/office/spreadsheetml/2017/richdata2" ref="A3:W212">
    <sortCondition ref="W2:W212"/>
  </sortState>
  <tableColumns count="23">
    <tableColumn id="1" xr3:uid="{00000000-0010-0000-2601-000001000000}" name="TM" dataDxfId="1077"/>
    <tableColumn id="2" xr3:uid="{00000000-0010-0000-2601-000002000000}" name="@" dataDxfId="1076"/>
    <tableColumn id="3" xr3:uid="{00000000-0010-0000-2601-000003000000}" name="NAME" dataDxfId="1075"/>
    <tableColumn id="4" xr3:uid="{00000000-0010-0000-2601-000004000000}" name="BA" dataDxfId="1074"/>
    <tableColumn id="5" xr3:uid="{00000000-0010-0000-2601-000005000000}" name="OBP" dataDxfId="1073"/>
    <tableColumn id="6" xr3:uid="{00000000-0010-0000-2601-000006000000}" name="SLG" dataDxfId="1072"/>
    <tableColumn id="7" xr3:uid="{00000000-0010-0000-2601-000007000000}" name="G" dataDxfId="1071"/>
    <tableColumn id="8" xr3:uid="{00000000-0010-0000-2601-000008000000}" name="AB" dataDxfId="1070"/>
    <tableColumn id="9" xr3:uid="{00000000-0010-0000-2601-000009000000}" name="R" dataDxfId="1069"/>
    <tableColumn id="10" xr3:uid="{00000000-0010-0000-2601-00000A000000}" name="H" dataDxfId="1068"/>
    <tableColumn id="11" xr3:uid="{00000000-0010-0000-2601-00000B000000}" name="2B" dataDxfId="1067"/>
    <tableColumn id="12" xr3:uid="{00000000-0010-0000-2601-00000C000000}" name="3B" dataDxfId="1066"/>
    <tableColumn id="13" xr3:uid="{00000000-0010-0000-2601-00000D000000}" name="HR" dataDxfId="1065"/>
    <tableColumn id="14" xr3:uid="{00000000-0010-0000-2601-00000E000000}" name="RBI" dataDxfId="1064"/>
    <tableColumn id="15" xr3:uid="{00000000-0010-0000-2601-00000F000000}" name="BB" dataDxfId="1063"/>
    <tableColumn id="16" xr3:uid="{00000000-0010-0000-2601-000010000000}" name="K" dataDxfId="1062"/>
    <tableColumn id="17" xr3:uid="{00000000-0010-0000-2601-000011000000}" name="SB" dataDxfId="1061"/>
    <tableColumn id="18" xr3:uid="{00000000-0010-0000-2601-000012000000}" name="HS" dataDxfId="1060"/>
    <tableColumn id="19" xr3:uid="{00000000-0010-0000-2601-000013000000}" name="LS" dataDxfId="1059"/>
    <tableColumn id="20" xr3:uid="{00000000-0010-0000-2601-000014000000}" name="TB" dataDxfId="1058"/>
    <tableColumn id="21" xr3:uid="{00000000-0010-0000-2601-000015000000}" name="OPS" dataDxfId="1057"/>
    <tableColumn id="22" xr3:uid="{00000000-0010-0000-2601-000016000000}" name="*" dataDxfId="1056"/>
    <tableColumn id="23" xr3:uid="{00000000-0010-0000-2601-000017000000}" name="#" dataDxfId="1055"/>
  </tableColumns>
  <tableStyleInfo name="TableStyleMedium2" showFirstColumn="0" showLastColumn="0" showRowStripes="1" showColumnStripes="0"/>
</table>
</file>

<file path=xl/tables/table2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1" xr:uid="{00000000-000C-0000-FFFF-FFFF27010000}" name="Table88292" displayName="Table88292" ref="Z2:AV212" totalsRowShown="0" headerRowDxfId="1054" dataDxfId="1052" headerRowBorderDxfId="1053">
  <autoFilter ref="Z2:AV212" xr:uid="{00000000-0009-0000-0100-000023010000}"/>
  <sortState xmlns:xlrd2="http://schemas.microsoft.com/office/spreadsheetml/2017/richdata2" ref="Z3:AV212">
    <sortCondition ref="AV2:AV212"/>
  </sortState>
  <tableColumns count="23">
    <tableColumn id="1" xr3:uid="{00000000-0010-0000-2701-000001000000}" name="TM" dataDxfId="1051"/>
    <tableColumn id="2" xr3:uid="{00000000-0010-0000-2701-000002000000}" name="@" dataDxfId="1050"/>
    <tableColumn id="3" xr3:uid="{00000000-0010-0000-2701-000003000000}" name="NAME" dataDxfId="1049"/>
    <tableColumn id="4" xr3:uid="{00000000-0010-0000-2701-000004000000}" name="BA" dataDxfId="1048"/>
    <tableColumn id="5" xr3:uid="{00000000-0010-0000-2701-000005000000}" name="OBP" dataDxfId="1047"/>
    <tableColumn id="6" xr3:uid="{00000000-0010-0000-2701-000006000000}" name="SLG" dataDxfId="1046"/>
    <tableColumn id="7" xr3:uid="{00000000-0010-0000-2701-000007000000}" name="G" dataDxfId="1045"/>
    <tableColumn id="8" xr3:uid="{00000000-0010-0000-2701-000008000000}" name="AB" dataDxfId="1044"/>
    <tableColumn id="9" xr3:uid="{00000000-0010-0000-2701-000009000000}" name="R" dataDxfId="1043"/>
    <tableColumn id="10" xr3:uid="{00000000-0010-0000-2701-00000A000000}" name="H" dataDxfId="1042"/>
    <tableColumn id="11" xr3:uid="{00000000-0010-0000-2701-00000B000000}" name="2B" dataDxfId="1041"/>
    <tableColumn id="12" xr3:uid="{00000000-0010-0000-2701-00000C000000}" name="3B" dataDxfId="1040"/>
    <tableColumn id="13" xr3:uid="{00000000-0010-0000-2701-00000D000000}" name="HR" dataDxfId="1039"/>
    <tableColumn id="14" xr3:uid="{00000000-0010-0000-2701-00000E000000}" name="RBI" dataDxfId="1038"/>
    <tableColumn id="15" xr3:uid="{00000000-0010-0000-2701-00000F000000}" name="BB" dataDxfId="1037"/>
    <tableColumn id="16" xr3:uid="{00000000-0010-0000-2701-000010000000}" name="K" dataDxfId="1036"/>
    <tableColumn id="17" xr3:uid="{00000000-0010-0000-2701-000011000000}" name="SB" dataDxfId="1035"/>
    <tableColumn id="18" xr3:uid="{00000000-0010-0000-2701-000012000000}" name="HS" dataDxfId="1034"/>
    <tableColumn id="19" xr3:uid="{00000000-0010-0000-2701-000013000000}" name="LS" dataDxfId="1033"/>
    <tableColumn id="20" xr3:uid="{00000000-0010-0000-2701-000014000000}" name="TB" dataDxfId="1032"/>
    <tableColumn id="21" xr3:uid="{00000000-0010-0000-2701-000015000000}" name="OPS" dataDxfId="1031"/>
    <tableColumn id="22" xr3:uid="{00000000-0010-0000-2701-000016000000}" name="*" dataDxfId="1030"/>
    <tableColumn id="23" xr3:uid="{00000000-0010-0000-2701-000017000000}" name="#" dataDxfId="1029"/>
  </tableColumns>
  <tableStyleInfo name="TableStyleMedium2" showFirstColumn="0" showLastColumn="0" showRowStripes="1" showColumnStripes="0"/>
</table>
</file>

<file path=xl/tables/table2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28010000}" name="Table88146" displayName="Table88146" ref="AY2:BU212" totalsRowShown="0" headerRowDxfId="1028" dataDxfId="1026" headerRowBorderDxfId="1027">
  <autoFilter ref="AY2:BU212" xr:uid="{00000000-0009-0000-0100-000024010000}"/>
  <sortState xmlns:xlrd2="http://schemas.microsoft.com/office/spreadsheetml/2017/richdata2" ref="AY3:BU212">
    <sortCondition ref="BU2:BU212"/>
  </sortState>
  <tableColumns count="23">
    <tableColumn id="1" xr3:uid="{00000000-0010-0000-2801-000001000000}" name="TM" dataDxfId="1025"/>
    <tableColumn id="2" xr3:uid="{00000000-0010-0000-2801-000002000000}" name="@" dataDxfId="1024"/>
    <tableColumn id="3" xr3:uid="{00000000-0010-0000-2801-000003000000}" name="NAME" dataDxfId="1023"/>
    <tableColumn id="4" xr3:uid="{00000000-0010-0000-2801-000004000000}" name="BA" dataDxfId="1022"/>
    <tableColumn id="5" xr3:uid="{00000000-0010-0000-2801-000005000000}" name="OBP" dataDxfId="1021"/>
    <tableColumn id="6" xr3:uid="{00000000-0010-0000-2801-000006000000}" name="SLG" dataDxfId="1020"/>
    <tableColumn id="7" xr3:uid="{00000000-0010-0000-2801-000007000000}" name="G" dataDxfId="1019"/>
    <tableColumn id="8" xr3:uid="{00000000-0010-0000-2801-000008000000}" name="AB" dataDxfId="1018"/>
    <tableColumn id="9" xr3:uid="{00000000-0010-0000-2801-000009000000}" name="R" dataDxfId="1017"/>
    <tableColumn id="10" xr3:uid="{00000000-0010-0000-2801-00000A000000}" name="H" dataDxfId="1016"/>
    <tableColumn id="11" xr3:uid="{00000000-0010-0000-2801-00000B000000}" name="2B" dataDxfId="1015"/>
    <tableColumn id="12" xr3:uid="{00000000-0010-0000-2801-00000C000000}" name="3B" dataDxfId="1014"/>
    <tableColumn id="13" xr3:uid="{00000000-0010-0000-2801-00000D000000}" name="HR" dataDxfId="1013"/>
    <tableColumn id="14" xr3:uid="{00000000-0010-0000-2801-00000E000000}" name="RBI" dataDxfId="1012"/>
    <tableColumn id="15" xr3:uid="{00000000-0010-0000-2801-00000F000000}" name="BB" dataDxfId="1011"/>
    <tableColumn id="16" xr3:uid="{00000000-0010-0000-2801-000010000000}" name="K" dataDxfId="1010"/>
    <tableColumn id="17" xr3:uid="{00000000-0010-0000-2801-000011000000}" name="SB" dataDxfId="1009"/>
    <tableColumn id="18" xr3:uid="{00000000-0010-0000-2801-000012000000}" name="HS" dataDxfId="1008"/>
    <tableColumn id="19" xr3:uid="{00000000-0010-0000-2801-000013000000}" name="LS" dataDxfId="1007"/>
    <tableColumn id="20" xr3:uid="{00000000-0010-0000-2801-000014000000}" name="TB" dataDxfId="1006"/>
    <tableColumn id="21" xr3:uid="{00000000-0010-0000-2801-000015000000}" name="OPS" dataDxfId="1005"/>
    <tableColumn id="22" xr3:uid="{00000000-0010-0000-2801-000016000000}" name="*" dataDxfId="1004"/>
    <tableColumn id="23" xr3:uid="{00000000-0010-0000-2801-000017000000}" name="#" dataDxfId="1003"/>
  </tableColumns>
  <tableStyleInfo name="TableStyleMedium2" showFirstColumn="0" showLastColumn="0" showRowStripes="1" showColumnStripes="0"/>
</table>
</file>

<file path=xl/tables/table2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29010000}" name="Table70" displayName="Table70" ref="A2:S152" totalsRowShown="0" headerRowDxfId="1002" dataDxfId="1000" headerRowBorderDxfId="1001">
  <autoFilter ref="A2:S152" xr:uid="{00000000-0009-0000-0100-000002000000}"/>
  <sortState xmlns:xlrd2="http://schemas.microsoft.com/office/spreadsheetml/2017/richdata2" ref="A3:S152">
    <sortCondition ref="S2:S152"/>
  </sortState>
  <tableColumns count="19">
    <tableColumn id="1" xr3:uid="{00000000-0010-0000-2901-000001000000}" name="TM" dataDxfId="999"/>
    <tableColumn id="2" xr3:uid="{00000000-0010-0000-2901-000002000000}" name="@" dataDxfId="998"/>
    <tableColumn id="3" xr3:uid="{00000000-0010-0000-2901-000003000000}" name="NAME" dataDxfId="997"/>
    <tableColumn id="4" xr3:uid="{00000000-0010-0000-2901-000004000000}" name="ERA" dataDxfId="996"/>
    <tableColumn id="5" xr3:uid="{00000000-0010-0000-2901-000005000000}" name="W" dataDxfId="995"/>
    <tableColumn id="6" xr3:uid="{00000000-0010-0000-2901-000006000000}" name="L" dataDxfId="994"/>
    <tableColumn id="7" xr3:uid="{00000000-0010-0000-2901-000007000000}" name="G" dataDxfId="993"/>
    <tableColumn id="8" xr3:uid="{00000000-0010-0000-2901-000008000000}" name="IP" dataDxfId="992"/>
    <tableColumn id="9" xr3:uid="{00000000-0010-0000-2901-000009000000}" name="H" dataDxfId="991"/>
    <tableColumn id="10" xr3:uid="{00000000-0010-0000-2901-00000A000000}" name="R" dataDxfId="990"/>
    <tableColumn id="11" xr3:uid="{00000000-0010-0000-2901-00000B000000}" name="BB" dataDxfId="989"/>
    <tableColumn id="12" xr3:uid="{00000000-0010-0000-2901-00000C000000}" name="K" dataDxfId="988"/>
    <tableColumn id="13" xr3:uid="{00000000-0010-0000-2901-00000D000000}" name="SV" dataDxfId="987"/>
    <tableColumn id="14" xr3:uid="{00000000-0010-0000-2901-00000E000000}" name="WH" dataDxfId="986"/>
    <tableColumn id="15" xr3:uid="{00000000-0010-0000-2901-00000F000000}" name="QS" dataDxfId="985"/>
    <tableColumn id="16" xr3:uid="{00000000-0010-0000-2901-000010000000}" name="UQ" dataDxfId="984"/>
    <tableColumn id="17" xr3:uid="{00000000-0010-0000-2901-000011000000}" name="CG" dataDxfId="983"/>
    <tableColumn id="18" xr3:uid="{00000000-0010-0000-2901-000012000000}" name="SH" dataDxfId="982"/>
    <tableColumn id="19" xr3:uid="{00000000-0010-0000-2901-000013000000}" name="#" dataDxfId="981"/>
  </tableColumns>
  <tableStyleInfo name="TableStyleMedium3" showFirstColumn="0" showLastColumn="0" showRowStripes="1" showColumnStripes="0"/>
</table>
</file>

<file path=xl/tables/table2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9" xr:uid="{00000000-000C-0000-FFFF-FFFF2A010000}" name="Table70290" displayName="Table70290" ref="V2:AN152" totalsRowShown="0" headerRowDxfId="980" dataDxfId="978" headerRowBorderDxfId="979">
  <autoFilter ref="V2:AN152" xr:uid="{00000000-0009-0000-0100-000021010000}"/>
  <sortState xmlns:xlrd2="http://schemas.microsoft.com/office/spreadsheetml/2017/richdata2" ref="V3:AN152">
    <sortCondition ref="AN2:AN152"/>
  </sortState>
  <tableColumns count="19">
    <tableColumn id="1" xr3:uid="{00000000-0010-0000-2A01-000001000000}" name="TM" dataDxfId="977"/>
    <tableColumn id="2" xr3:uid="{00000000-0010-0000-2A01-000002000000}" name="@" dataDxfId="976"/>
    <tableColumn id="3" xr3:uid="{00000000-0010-0000-2A01-000003000000}" name="NAME" dataDxfId="975"/>
    <tableColumn id="4" xr3:uid="{00000000-0010-0000-2A01-000004000000}" name="ERA" dataDxfId="974"/>
    <tableColumn id="5" xr3:uid="{00000000-0010-0000-2A01-000005000000}" name="W" dataDxfId="973"/>
    <tableColumn id="6" xr3:uid="{00000000-0010-0000-2A01-000006000000}" name="L" dataDxfId="972"/>
    <tableColumn id="7" xr3:uid="{00000000-0010-0000-2A01-000007000000}" name="G" dataDxfId="971"/>
    <tableColumn id="8" xr3:uid="{00000000-0010-0000-2A01-000008000000}" name="IP" dataDxfId="970"/>
    <tableColumn id="9" xr3:uid="{00000000-0010-0000-2A01-000009000000}" name="H" dataDxfId="969"/>
    <tableColumn id="10" xr3:uid="{00000000-0010-0000-2A01-00000A000000}" name="R" dataDxfId="968"/>
    <tableColumn id="11" xr3:uid="{00000000-0010-0000-2A01-00000B000000}" name="BB" dataDxfId="967"/>
    <tableColumn id="12" xr3:uid="{00000000-0010-0000-2A01-00000C000000}" name="K" dataDxfId="966"/>
    <tableColumn id="13" xr3:uid="{00000000-0010-0000-2A01-00000D000000}" name="SV" dataDxfId="965"/>
    <tableColumn id="14" xr3:uid="{00000000-0010-0000-2A01-00000E000000}" name="WH" dataDxfId="964"/>
    <tableColumn id="15" xr3:uid="{00000000-0010-0000-2A01-00000F000000}" name="QS" dataDxfId="963"/>
    <tableColumn id="16" xr3:uid="{00000000-0010-0000-2A01-000010000000}" name="UQ" dataDxfId="962"/>
    <tableColumn id="17" xr3:uid="{00000000-0010-0000-2A01-000011000000}" name="CG" dataDxfId="961"/>
    <tableColumn id="18" xr3:uid="{00000000-0010-0000-2A01-000012000000}" name="SH" dataDxfId="960"/>
    <tableColumn id="19" xr3:uid="{00000000-0010-0000-2A01-000013000000}" name="#" dataDxfId="959"/>
  </tableColumns>
  <tableStyleInfo name="TableStyleMedium3" showFirstColumn="0" showLastColumn="0" showRowStripes="1" showColumnStripes="0"/>
</table>
</file>

<file path=xl/tables/table3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0" xr:uid="{00000000-000C-0000-FFFF-FFFF2B010000}" name="Table70145" displayName="Table70145" ref="AQ2:BI152" totalsRowShown="0" headerRowDxfId="958" dataDxfId="956" headerRowBorderDxfId="957">
  <autoFilter ref="AQ2:BI152" xr:uid="{00000000-0009-0000-0100-000022010000}"/>
  <sortState xmlns:xlrd2="http://schemas.microsoft.com/office/spreadsheetml/2017/richdata2" ref="AQ3:BI152">
    <sortCondition ref="BI2:BI152"/>
  </sortState>
  <tableColumns count="19">
    <tableColumn id="1" xr3:uid="{00000000-0010-0000-2B01-000001000000}" name="TM" dataDxfId="955"/>
    <tableColumn id="2" xr3:uid="{00000000-0010-0000-2B01-000002000000}" name="@" dataDxfId="954"/>
    <tableColumn id="3" xr3:uid="{00000000-0010-0000-2B01-000003000000}" name="NAME" dataDxfId="953"/>
    <tableColumn id="4" xr3:uid="{00000000-0010-0000-2B01-000004000000}" name="ERA" dataDxfId="952"/>
    <tableColumn id="5" xr3:uid="{00000000-0010-0000-2B01-000005000000}" name="W" dataDxfId="951"/>
    <tableColumn id="6" xr3:uid="{00000000-0010-0000-2B01-000006000000}" name="L" dataDxfId="950"/>
    <tableColumn id="7" xr3:uid="{00000000-0010-0000-2B01-000007000000}" name="G" dataDxfId="949"/>
    <tableColumn id="8" xr3:uid="{00000000-0010-0000-2B01-000008000000}" name="IP" dataDxfId="948"/>
    <tableColumn id="9" xr3:uid="{00000000-0010-0000-2B01-000009000000}" name="H" dataDxfId="947"/>
    <tableColumn id="10" xr3:uid="{00000000-0010-0000-2B01-00000A000000}" name="R" dataDxfId="946"/>
    <tableColumn id="11" xr3:uid="{00000000-0010-0000-2B01-00000B000000}" name="BB" dataDxfId="945"/>
    <tableColumn id="12" xr3:uid="{00000000-0010-0000-2B01-00000C000000}" name="K" dataDxfId="944"/>
    <tableColumn id="13" xr3:uid="{00000000-0010-0000-2B01-00000D000000}" name="SV" dataDxfId="943"/>
    <tableColumn id="14" xr3:uid="{00000000-0010-0000-2B01-00000E000000}" name="WH" dataDxfId="942"/>
    <tableColumn id="15" xr3:uid="{00000000-0010-0000-2B01-00000F000000}" name="QS" dataDxfId="941"/>
    <tableColumn id="16" xr3:uid="{00000000-0010-0000-2B01-000010000000}" name="UQ" dataDxfId="940"/>
    <tableColumn id="17" xr3:uid="{00000000-0010-0000-2B01-000011000000}" name="CG" dataDxfId="939"/>
    <tableColumn id="18" xr3:uid="{00000000-0010-0000-2B01-000012000000}" name="SH" dataDxfId="938"/>
    <tableColumn id="19" xr3:uid="{00000000-0010-0000-2B01-000013000000}" name="#" dataDxfId="937"/>
  </tableColumns>
  <tableStyleInfo name="TableStyleMedium3" showFirstColumn="0" showLastColumn="0" showRowStripes="1" showColumnStripes="0"/>
</table>
</file>

<file path=xl/tables/table3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2C010000}" name="Table107" displayName="Table107" ref="A2:S152" totalsRowShown="0" headerRowDxfId="936" dataDxfId="934" headerRowBorderDxfId="935">
  <autoFilter ref="A2:S152" xr:uid="{00000000-0009-0000-0100-000003000000}"/>
  <sortState xmlns:xlrd2="http://schemas.microsoft.com/office/spreadsheetml/2017/richdata2" ref="A3:S152">
    <sortCondition ref="S2:S152"/>
  </sortState>
  <tableColumns count="19">
    <tableColumn id="1" xr3:uid="{00000000-0010-0000-2C01-000001000000}" name="TM" dataDxfId="933"/>
    <tableColumn id="2" xr3:uid="{00000000-0010-0000-2C01-000002000000}" name="@" dataDxfId="932"/>
    <tableColumn id="3" xr3:uid="{00000000-0010-0000-2C01-000003000000}" name="NAME" dataDxfId="931"/>
    <tableColumn id="4" xr3:uid="{00000000-0010-0000-2C01-000004000000}" name="ERA" dataDxfId="930"/>
    <tableColumn id="5" xr3:uid="{00000000-0010-0000-2C01-000005000000}" name="W" dataDxfId="929"/>
    <tableColumn id="6" xr3:uid="{00000000-0010-0000-2C01-000006000000}" name="L" dataDxfId="928"/>
    <tableColumn id="7" xr3:uid="{00000000-0010-0000-2C01-000007000000}" name="G" dataDxfId="927"/>
    <tableColumn id="8" xr3:uid="{00000000-0010-0000-2C01-000008000000}" name="IP" dataDxfId="926"/>
    <tableColumn id="9" xr3:uid="{00000000-0010-0000-2C01-000009000000}" name="H" dataDxfId="925"/>
    <tableColumn id="10" xr3:uid="{00000000-0010-0000-2C01-00000A000000}" name="R" dataDxfId="924"/>
    <tableColumn id="11" xr3:uid="{00000000-0010-0000-2C01-00000B000000}" name="BB" dataDxfId="923"/>
    <tableColumn id="12" xr3:uid="{00000000-0010-0000-2C01-00000C000000}" name="K" dataDxfId="922"/>
    <tableColumn id="13" xr3:uid="{00000000-0010-0000-2C01-00000D000000}" name="SV" dataDxfId="921"/>
    <tableColumn id="14" xr3:uid="{00000000-0010-0000-2C01-00000E000000}" name="WH" dataDxfId="920"/>
    <tableColumn id="15" xr3:uid="{00000000-0010-0000-2C01-00000F000000}" name="QS" dataDxfId="919"/>
    <tableColumn id="16" xr3:uid="{00000000-0010-0000-2C01-000010000000}" name="UQ" dataDxfId="918"/>
    <tableColumn id="17" xr3:uid="{00000000-0010-0000-2C01-000011000000}" name="CG" dataDxfId="917"/>
    <tableColumn id="18" xr3:uid="{00000000-0010-0000-2C01-000012000000}" name="SH" dataDxfId="916"/>
    <tableColumn id="19" xr3:uid="{00000000-0010-0000-2C01-000013000000}" name="#" dataDxfId="915"/>
  </tableColumns>
  <tableStyleInfo name="TableStyleMedium2" showFirstColumn="0" showLastColumn="0" showRowStripes="1" showColumnStripes="0"/>
</table>
</file>

<file path=xl/tables/table3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7" xr:uid="{00000000-000C-0000-FFFF-FFFF2D010000}" name="Table107288" displayName="Table107288" ref="V2:AN152" totalsRowShown="0" headerRowDxfId="914" dataDxfId="912" headerRowBorderDxfId="913">
  <autoFilter ref="V2:AN152" xr:uid="{00000000-0009-0000-0100-00001F010000}"/>
  <sortState xmlns:xlrd2="http://schemas.microsoft.com/office/spreadsheetml/2017/richdata2" ref="V3:AN152">
    <sortCondition ref="AN2:AN152"/>
  </sortState>
  <tableColumns count="19">
    <tableColumn id="1" xr3:uid="{00000000-0010-0000-2D01-000001000000}" name="TM" dataDxfId="911"/>
    <tableColumn id="2" xr3:uid="{00000000-0010-0000-2D01-000002000000}" name="@" dataDxfId="910"/>
    <tableColumn id="3" xr3:uid="{00000000-0010-0000-2D01-000003000000}" name="NAME" dataDxfId="909"/>
    <tableColumn id="4" xr3:uid="{00000000-0010-0000-2D01-000004000000}" name="ERA" dataDxfId="908"/>
    <tableColumn id="5" xr3:uid="{00000000-0010-0000-2D01-000005000000}" name="W" dataDxfId="907"/>
    <tableColumn id="6" xr3:uid="{00000000-0010-0000-2D01-000006000000}" name="L" dataDxfId="906"/>
    <tableColumn id="7" xr3:uid="{00000000-0010-0000-2D01-000007000000}" name="G" dataDxfId="905"/>
    <tableColumn id="8" xr3:uid="{00000000-0010-0000-2D01-000008000000}" name="IP" dataDxfId="904"/>
    <tableColumn id="9" xr3:uid="{00000000-0010-0000-2D01-000009000000}" name="H" dataDxfId="903"/>
    <tableColumn id="10" xr3:uid="{00000000-0010-0000-2D01-00000A000000}" name="R" dataDxfId="902"/>
    <tableColumn id="11" xr3:uid="{00000000-0010-0000-2D01-00000B000000}" name="BB" dataDxfId="901"/>
    <tableColumn id="12" xr3:uid="{00000000-0010-0000-2D01-00000C000000}" name="K" dataDxfId="900"/>
    <tableColumn id="13" xr3:uid="{00000000-0010-0000-2D01-00000D000000}" name="SV" dataDxfId="899"/>
    <tableColumn id="14" xr3:uid="{00000000-0010-0000-2D01-00000E000000}" name="WH" dataDxfId="898"/>
    <tableColumn id="15" xr3:uid="{00000000-0010-0000-2D01-00000F000000}" name="QS" dataDxfId="897"/>
    <tableColumn id="16" xr3:uid="{00000000-0010-0000-2D01-000010000000}" name="UQ" dataDxfId="896"/>
    <tableColumn id="17" xr3:uid="{00000000-0010-0000-2D01-000011000000}" name="CG" dataDxfId="895"/>
    <tableColumn id="18" xr3:uid="{00000000-0010-0000-2D01-000012000000}" name="SH" dataDxfId="894"/>
    <tableColumn id="19" xr3:uid="{00000000-0010-0000-2D01-000013000000}" name="#" dataDxfId="893"/>
  </tableColumns>
  <tableStyleInfo name="TableStyleMedium5" showFirstColumn="0" showLastColumn="0" showRowStripes="1" showColumnStripes="0"/>
</table>
</file>

<file path=xl/tables/table3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8" xr:uid="{00000000-000C-0000-FFFF-FFFF2E010000}" name="Table107144" displayName="Table107144" ref="AQ2:BI152" totalsRowShown="0" headerRowDxfId="892" dataDxfId="890" headerRowBorderDxfId="891">
  <autoFilter ref="AQ2:BI152" xr:uid="{00000000-0009-0000-0100-000020010000}"/>
  <sortState xmlns:xlrd2="http://schemas.microsoft.com/office/spreadsheetml/2017/richdata2" ref="AQ3:BI152">
    <sortCondition ref="BI2:BI152"/>
  </sortState>
  <tableColumns count="19">
    <tableColumn id="1" xr3:uid="{00000000-0010-0000-2E01-000001000000}" name="TM" dataDxfId="889"/>
    <tableColumn id="2" xr3:uid="{00000000-0010-0000-2E01-000002000000}" name="@" dataDxfId="888"/>
    <tableColumn id="3" xr3:uid="{00000000-0010-0000-2E01-000003000000}" name="NAME" dataDxfId="887"/>
    <tableColumn id="4" xr3:uid="{00000000-0010-0000-2E01-000004000000}" name="ERA" dataDxfId="886"/>
    <tableColumn id="5" xr3:uid="{00000000-0010-0000-2E01-000005000000}" name="W" dataDxfId="885"/>
    <tableColumn id="6" xr3:uid="{00000000-0010-0000-2E01-000006000000}" name="L" dataDxfId="884"/>
    <tableColumn id="7" xr3:uid="{00000000-0010-0000-2E01-000007000000}" name="G" dataDxfId="883"/>
    <tableColumn id="8" xr3:uid="{00000000-0010-0000-2E01-000008000000}" name="IP" dataDxfId="882"/>
    <tableColumn id="9" xr3:uid="{00000000-0010-0000-2E01-000009000000}" name="H" dataDxfId="881"/>
    <tableColumn id="10" xr3:uid="{00000000-0010-0000-2E01-00000A000000}" name="R" dataDxfId="880"/>
    <tableColumn id="11" xr3:uid="{00000000-0010-0000-2E01-00000B000000}" name="BB" dataDxfId="879"/>
    <tableColumn id="12" xr3:uid="{00000000-0010-0000-2E01-00000C000000}" name="K" dataDxfId="878"/>
    <tableColumn id="13" xr3:uid="{00000000-0010-0000-2E01-00000D000000}" name="SV" dataDxfId="877"/>
    <tableColumn id="14" xr3:uid="{00000000-0010-0000-2E01-00000E000000}" name="WH" dataDxfId="876"/>
    <tableColumn id="15" xr3:uid="{00000000-0010-0000-2E01-00000F000000}" name="QS" dataDxfId="875"/>
    <tableColumn id="16" xr3:uid="{00000000-0010-0000-2E01-000010000000}" name="UQ" dataDxfId="874"/>
    <tableColumn id="17" xr3:uid="{00000000-0010-0000-2E01-000011000000}" name="CG" dataDxfId="873"/>
    <tableColumn id="18" xr3:uid="{00000000-0010-0000-2E01-000012000000}" name="SH" dataDxfId="872"/>
    <tableColumn id="19" xr3:uid="{00000000-0010-0000-2E01-000013000000}" name="#" dataDxfId="871"/>
  </tableColumns>
  <tableStyleInfo name="TableStyleMedium2" showFirstColumn="0" showLastColumn="0" showRowStripes="1" showColumnStripes="0"/>
</table>
</file>

<file path=xl/tables/table3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2F010000}" name="Table1" displayName="Table1" ref="B3:O18" totalsRowShown="0" headerRowDxfId="870" dataDxfId="868" headerRowBorderDxfId="869">
  <autoFilter ref="B3:O18" xr:uid="{00000000-0009-0000-0100-000004000000}"/>
  <sortState xmlns:xlrd2="http://schemas.microsoft.com/office/spreadsheetml/2017/richdata2" ref="B4:O18">
    <sortCondition descending="1" ref="F3:F18"/>
  </sortState>
  <tableColumns count="14">
    <tableColumn id="1" xr3:uid="{00000000-0010-0000-2F01-000001000000}" name="TEAM" dataDxfId="867"/>
    <tableColumn id="2" xr3:uid="{00000000-0010-0000-2F01-000002000000}" name="BA" dataDxfId="866"/>
    <tableColumn id="3" xr3:uid="{00000000-0010-0000-2F01-000003000000}" name="OBP" dataDxfId="865"/>
    <tableColumn id="4" xr3:uid="{00000000-0010-0000-2F01-000004000000}" name="SLG" dataDxfId="864"/>
    <tableColumn id="5" xr3:uid="{00000000-0010-0000-2F01-000005000000}" name="R" dataDxfId="863"/>
    <tableColumn id="6" xr3:uid="{00000000-0010-0000-2F01-000006000000}" name="H" dataDxfId="862"/>
    <tableColumn id="7" xr3:uid="{00000000-0010-0000-2F01-000007000000}" name="2B" dataDxfId="861"/>
    <tableColumn id="8" xr3:uid="{00000000-0010-0000-2F01-000008000000}" name="3B" dataDxfId="860"/>
    <tableColumn id="9" xr3:uid="{00000000-0010-0000-2F01-000009000000}" name="HR" dataDxfId="859"/>
    <tableColumn id="10" xr3:uid="{00000000-0010-0000-2F01-00000A000000}" name="BB" dataDxfId="858"/>
    <tableColumn id="11" xr3:uid="{00000000-0010-0000-2F01-00000B000000}" name="K" dataDxfId="857"/>
    <tableColumn id="12" xr3:uid="{00000000-0010-0000-2F01-00000C000000}" name="SB" dataDxfId="856"/>
    <tableColumn id="13" xr3:uid="{00000000-0010-0000-2F01-00000D000000}" name="TB" dataDxfId="855"/>
    <tableColumn id="14" xr3:uid="{00000000-0010-0000-2F01-00000E000000}" name="OPS" dataDxfId="854"/>
  </tableColumns>
  <tableStyleInfo name="TableStyleMedium7" showFirstColumn="0" showLastColumn="0" showRowStripes="1" showColumnStripes="0"/>
</table>
</file>

<file path=xl/tables/table3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30010000}" name="Table4" displayName="Table4" ref="B22:O37" totalsRowShown="0" headerRowDxfId="853" dataDxfId="851" headerRowBorderDxfId="852">
  <autoFilter ref="B22:O37" xr:uid="{00000000-0009-0000-0100-000005000000}"/>
  <sortState xmlns:xlrd2="http://schemas.microsoft.com/office/spreadsheetml/2017/richdata2" ref="B23:O37">
    <sortCondition descending="1" ref="C22:C37"/>
  </sortState>
  <tableColumns count="14">
    <tableColumn id="1" xr3:uid="{00000000-0010-0000-3001-000001000000}" name="TEAM" dataDxfId="850"/>
    <tableColumn id="2" xr3:uid="{00000000-0010-0000-3001-000002000000}" name="BA" dataDxfId="849"/>
    <tableColumn id="3" xr3:uid="{00000000-0010-0000-3001-000003000000}" name="OBP" dataDxfId="848"/>
    <tableColumn id="4" xr3:uid="{00000000-0010-0000-3001-000004000000}" name="SLG" dataDxfId="847"/>
    <tableColumn id="5" xr3:uid="{00000000-0010-0000-3001-000005000000}" name="R" dataDxfId="846"/>
    <tableColumn id="6" xr3:uid="{00000000-0010-0000-3001-000006000000}" name="H" dataDxfId="845"/>
    <tableColumn id="7" xr3:uid="{00000000-0010-0000-3001-000007000000}" name="2B" dataDxfId="844"/>
    <tableColumn id="8" xr3:uid="{00000000-0010-0000-3001-000008000000}" name="3B" dataDxfId="843"/>
    <tableColumn id="9" xr3:uid="{00000000-0010-0000-3001-000009000000}" name="HR" dataDxfId="842"/>
    <tableColumn id="10" xr3:uid="{00000000-0010-0000-3001-00000A000000}" name="BB" dataDxfId="841"/>
    <tableColumn id="11" xr3:uid="{00000000-0010-0000-3001-00000B000000}" name="K" dataDxfId="840"/>
    <tableColumn id="12" xr3:uid="{00000000-0010-0000-3001-00000C000000}" name="SB" dataDxfId="839"/>
    <tableColumn id="13" xr3:uid="{00000000-0010-0000-3001-00000D000000}" name="TB" dataDxfId="838"/>
    <tableColumn id="14" xr3:uid="{00000000-0010-0000-3001-00000E000000}" name="OPS" dataDxfId="837"/>
  </tableColumns>
  <tableStyleInfo name="TableStyleMedium7" showFirstColumn="0" showLastColumn="0" showRowStripes="1" showColumnStripes="0"/>
</table>
</file>

<file path=xl/tables/table3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31010000}" name="Table5" displayName="Table5" ref="R3:AD18" totalsRowShown="0" headerRowDxfId="836" dataDxfId="834" headerRowBorderDxfId="835">
  <autoFilter ref="R3:AD18" xr:uid="{00000000-0009-0000-0100-000006000000}"/>
  <sortState xmlns:xlrd2="http://schemas.microsoft.com/office/spreadsheetml/2017/richdata2" ref="R4:AD18">
    <sortCondition ref="V3:V18"/>
  </sortState>
  <tableColumns count="13">
    <tableColumn id="1" xr3:uid="{00000000-0010-0000-3101-000001000000}" name="TEAM" dataDxfId="833"/>
    <tableColumn id="2" xr3:uid="{00000000-0010-0000-3101-000002000000}" name="ERA" dataDxfId="832"/>
    <tableColumn id="3" xr3:uid="{00000000-0010-0000-3101-000003000000}" name="IP" dataDxfId="831"/>
    <tableColumn id="4" xr3:uid="{00000000-0010-0000-3101-000004000000}" name="H" dataDxfId="830"/>
    <tableColumn id="5" xr3:uid="{00000000-0010-0000-3101-000005000000}" name="R" dataDxfId="829"/>
    <tableColumn id="6" xr3:uid="{00000000-0010-0000-3101-000006000000}" name="BB" dataDxfId="828"/>
    <tableColumn id="7" xr3:uid="{00000000-0010-0000-3101-000007000000}" name="SO" dataDxfId="827"/>
    <tableColumn id="8" xr3:uid="{00000000-0010-0000-3101-000008000000}" name="SV" dataDxfId="826"/>
    <tableColumn id="9" xr3:uid="{00000000-0010-0000-3101-000009000000}" name="WH" dataDxfId="825"/>
    <tableColumn id="10" xr3:uid="{00000000-0010-0000-3101-00000A000000}" name="QS" dataDxfId="824"/>
    <tableColumn id="11" xr3:uid="{00000000-0010-0000-3101-00000B000000}" name="UQ" dataDxfId="823"/>
    <tableColumn id="12" xr3:uid="{00000000-0010-0000-3101-00000C000000}" name="CG" dataDxfId="822"/>
    <tableColumn id="13" xr3:uid="{00000000-0010-0000-3101-00000D000000}" name="SH" dataDxfId="821"/>
  </tableColumns>
  <tableStyleInfo name="TableStyleMedium7" showFirstColumn="0" showLastColumn="0" showRowStripes="1" showColumnStripes="0"/>
</table>
</file>

<file path=xl/tables/table3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32010000}" name="Table6" displayName="Table6" ref="R22:AD37" totalsRowShown="0" headerRowDxfId="820" dataDxfId="818" headerRowBorderDxfId="819">
  <autoFilter ref="R22:AD37" xr:uid="{00000000-0009-0000-0100-000007000000}"/>
  <sortState xmlns:xlrd2="http://schemas.microsoft.com/office/spreadsheetml/2017/richdata2" ref="R23:AD37">
    <sortCondition ref="V22:V37"/>
  </sortState>
  <tableColumns count="13">
    <tableColumn id="1" xr3:uid="{00000000-0010-0000-3201-000001000000}" name="TEAM" dataDxfId="817"/>
    <tableColumn id="2" xr3:uid="{00000000-0010-0000-3201-000002000000}" name="ERA" dataDxfId="816"/>
    <tableColumn id="3" xr3:uid="{00000000-0010-0000-3201-000003000000}" name="IP" dataDxfId="815"/>
    <tableColumn id="4" xr3:uid="{00000000-0010-0000-3201-000004000000}" name="H" dataDxfId="814"/>
    <tableColumn id="5" xr3:uid="{00000000-0010-0000-3201-000005000000}" name="R" dataDxfId="813"/>
    <tableColumn id="6" xr3:uid="{00000000-0010-0000-3201-000006000000}" name="BB" dataDxfId="812"/>
    <tableColumn id="7" xr3:uid="{00000000-0010-0000-3201-000007000000}" name="SO" dataDxfId="811"/>
    <tableColumn id="8" xr3:uid="{00000000-0010-0000-3201-000008000000}" name="SV" dataDxfId="810"/>
    <tableColumn id="9" xr3:uid="{00000000-0010-0000-3201-000009000000}" name="WH" dataDxfId="809"/>
    <tableColumn id="10" xr3:uid="{00000000-0010-0000-3201-00000A000000}" name="QS" dataDxfId="808"/>
    <tableColumn id="11" xr3:uid="{00000000-0010-0000-3201-00000B000000}" name="UQ" dataDxfId="807"/>
    <tableColumn id="12" xr3:uid="{00000000-0010-0000-3201-00000C000000}" name="CG" dataDxfId="806"/>
    <tableColumn id="13" xr3:uid="{00000000-0010-0000-3201-00000D000000}" name="SH" dataDxfId="805"/>
  </tableColumns>
  <tableStyleInfo name="TableStyleMedium7" showFirstColumn="0" showLastColumn="0" showRowStripes="1" showColumnStripes="0"/>
</table>
</file>

<file path=xl/tables/table3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3" xr:uid="{00000000-000C-0000-FFFF-FFFF33010000}" name="Table1354" displayName="Table1354" ref="AG3:AT18" totalsRowShown="0" headerRowDxfId="804" headerRowBorderDxfId="803">
  <autoFilter ref="AG3:AT18" xr:uid="{00000000-0009-0000-0100-000061010000}"/>
  <sortState xmlns:xlrd2="http://schemas.microsoft.com/office/spreadsheetml/2017/richdata2" ref="AG4:AT18">
    <sortCondition descending="1" ref="AK3:AK18"/>
  </sortState>
  <tableColumns count="14">
    <tableColumn id="1" xr3:uid="{00000000-0010-0000-3301-000001000000}" name="TEAM" dataDxfId="802"/>
    <tableColumn id="2" xr3:uid="{00000000-0010-0000-3301-000002000000}" name="BA" dataDxfId="801"/>
    <tableColumn id="3" xr3:uid="{00000000-0010-0000-3301-000003000000}" name="OBP" dataDxfId="800"/>
    <tableColumn id="4" xr3:uid="{00000000-0010-0000-3301-000004000000}" name="SLG" dataDxfId="799"/>
    <tableColumn id="5" xr3:uid="{00000000-0010-0000-3301-000005000000}" name="R" dataDxfId="798"/>
    <tableColumn id="6" xr3:uid="{00000000-0010-0000-3301-000006000000}" name="H" dataDxfId="797"/>
    <tableColumn id="7" xr3:uid="{00000000-0010-0000-3301-000007000000}" name="2B" dataDxfId="796"/>
    <tableColumn id="8" xr3:uid="{00000000-0010-0000-3301-000008000000}" name="3B" dataDxfId="795"/>
    <tableColumn id="9" xr3:uid="{00000000-0010-0000-3301-000009000000}" name="HR" dataDxfId="794"/>
    <tableColumn id="10" xr3:uid="{00000000-0010-0000-3301-00000A000000}" name="BB" dataDxfId="793"/>
    <tableColumn id="11" xr3:uid="{00000000-0010-0000-3301-00000B000000}" name="K" dataDxfId="792"/>
    <tableColumn id="12" xr3:uid="{00000000-0010-0000-3301-00000C000000}" name="SB" dataDxfId="791"/>
    <tableColumn id="13" xr3:uid="{00000000-0010-0000-3301-00000D000000}" name="TB" dataDxfId="790"/>
    <tableColumn id="14" xr3:uid="{00000000-0010-0000-3301-00000E000000}" name="OPS" dataDxfId="789"/>
  </tableColumns>
  <tableStyleInfo name="TableStyleMedium7" showFirstColumn="0" showLastColumn="0" showRowStripes="1" showColumnStripes="0"/>
</table>
</file>

<file path=xl/tables/table3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4" xr:uid="{00000000-000C-0000-FFFF-FFFF34010000}" name="Table4355" displayName="Table4355" ref="AG22:AT37" totalsRowShown="0" headerRowBorderDxfId="788">
  <autoFilter ref="AG22:AT37" xr:uid="{00000000-0009-0000-0100-000062010000}"/>
  <sortState xmlns:xlrd2="http://schemas.microsoft.com/office/spreadsheetml/2017/richdata2" ref="AG23:AT37">
    <sortCondition descending="1" ref="AH22:AH37"/>
  </sortState>
  <tableColumns count="14">
    <tableColumn id="1" xr3:uid="{00000000-0010-0000-3401-000001000000}" name="TEAM" dataDxfId="787"/>
    <tableColumn id="2" xr3:uid="{00000000-0010-0000-3401-000002000000}" name="BA" dataDxfId="786"/>
    <tableColumn id="3" xr3:uid="{00000000-0010-0000-3401-000003000000}" name="OBP" dataDxfId="785"/>
    <tableColumn id="4" xr3:uid="{00000000-0010-0000-3401-000004000000}" name="SLG" dataDxfId="784"/>
    <tableColumn id="5" xr3:uid="{00000000-0010-0000-3401-000005000000}" name="R" dataDxfId="783"/>
    <tableColumn id="6" xr3:uid="{00000000-0010-0000-3401-000006000000}" name="H" dataDxfId="782"/>
    <tableColumn id="7" xr3:uid="{00000000-0010-0000-3401-000007000000}" name="2B" dataDxfId="781"/>
    <tableColumn id="8" xr3:uid="{00000000-0010-0000-3401-000008000000}" name="3B" dataDxfId="780"/>
    <tableColumn id="9" xr3:uid="{00000000-0010-0000-3401-000009000000}" name="HR" dataDxfId="779"/>
    <tableColumn id="10" xr3:uid="{00000000-0010-0000-3401-00000A000000}" name="BB" dataDxfId="778"/>
    <tableColumn id="11" xr3:uid="{00000000-0010-0000-3401-00000B000000}" name="K" dataDxfId="777"/>
    <tableColumn id="12" xr3:uid="{00000000-0010-0000-3401-00000C000000}" name="SB" dataDxfId="776"/>
    <tableColumn id="13" xr3:uid="{00000000-0010-0000-3401-00000D000000}" name="TB" dataDxfId="775"/>
    <tableColumn id="14" xr3:uid="{00000000-0010-0000-3401-00000E000000}" name="OPS" dataDxfId="774"/>
  </tableColumns>
  <tableStyleInfo name="TableStyleMedium7" showFirstColumn="0" showLastColumn="0" showRowStripes="1" showColumnStripes="0"/>
</table>
</file>

<file path=xl/tables/table3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5" xr:uid="{00000000-000C-0000-FFFF-FFFF35010000}" name="Table5356" displayName="Table5356" ref="AW3:BI18" totalsRowShown="0" headerRowDxfId="773" headerRowBorderDxfId="772">
  <autoFilter ref="AW3:BI18" xr:uid="{00000000-0009-0000-0100-000063010000}"/>
  <sortState xmlns:xlrd2="http://schemas.microsoft.com/office/spreadsheetml/2017/richdata2" ref="AW4:BI18">
    <sortCondition ref="BA3:BA18"/>
  </sortState>
  <tableColumns count="13">
    <tableColumn id="1" xr3:uid="{00000000-0010-0000-3501-000001000000}" name="TEAM" dataDxfId="771"/>
    <tableColumn id="2" xr3:uid="{00000000-0010-0000-3501-000002000000}" name="ERA" dataDxfId="770"/>
    <tableColumn id="3" xr3:uid="{00000000-0010-0000-3501-000003000000}" name="IP" dataDxfId="769"/>
    <tableColumn id="4" xr3:uid="{00000000-0010-0000-3501-000004000000}" name="H" dataDxfId="768"/>
    <tableColumn id="5" xr3:uid="{00000000-0010-0000-3501-000005000000}" name="R" dataDxfId="767"/>
    <tableColumn id="6" xr3:uid="{00000000-0010-0000-3501-000006000000}" name="BB" dataDxfId="766"/>
    <tableColumn id="7" xr3:uid="{00000000-0010-0000-3501-000007000000}" name="SO" dataDxfId="765"/>
    <tableColumn id="8" xr3:uid="{00000000-0010-0000-3501-000008000000}" name="SV" dataDxfId="764"/>
    <tableColumn id="9" xr3:uid="{00000000-0010-0000-3501-000009000000}" name="WH" dataDxfId="763"/>
    <tableColumn id="10" xr3:uid="{00000000-0010-0000-3501-00000A000000}" name="QS" dataDxfId="762"/>
    <tableColumn id="11" xr3:uid="{00000000-0010-0000-3501-00000B000000}" name="UQ" dataDxfId="761"/>
    <tableColumn id="12" xr3:uid="{00000000-0010-0000-3501-00000C000000}" name="CG" dataDxfId="760"/>
    <tableColumn id="13" xr3:uid="{00000000-0010-0000-3501-00000D000000}" name="SH" dataDxfId="759"/>
  </tableColumns>
  <tableStyleInfo name="TableStyleMedium7" showFirstColumn="0" showLastColumn="0" showRowStripes="1" showColumnStripes="0"/>
</table>
</file>

<file path=xl/tables/table3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6" xr:uid="{00000000-000C-0000-FFFF-FFFF36010000}" name="Table6357" displayName="Table6357" ref="AW22:BI37" totalsRowShown="0" headerRowBorderDxfId="758">
  <autoFilter ref="AW22:BI37" xr:uid="{00000000-0009-0000-0100-000064010000}"/>
  <sortState xmlns:xlrd2="http://schemas.microsoft.com/office/spreadsheetml/2017/richdata2" ref="AW23:BI37">
    <sortCondition ref="BA22:BA37"/>
  </sortState>
  <tableColumns count="13">
    <tableColumn id="1" xr3:uid="{00000000-0010-0000-3601-000001000000}" name="TEAM" dataDxfId="757"/>
    <tableColumn id="2" xr3:uid="{00000000-0010-0000-3601-000002000000}" name="ERA" dataDxfId="756"/>
    <tableColumn id="3" xr3:uid="{00000000-0010-0000-3601-000003000000}" name="IP" dataDxfId="755"/>
    <tableColumn id="4" xr3:uid="{00000000-0010-0000-3601-000004000000}" name="H" dataDxfId="754"/>
    <tableColumn id="5" xr3:uid="{00000000-0010-0000-3601-000005000000}" name="R" dataDxfId="753"/>
    <tableColumn id="6" xr3:uid="{00000000-0010-0000-3601-000006000000}" name="BB" dataDxfId="752"/>
    <tableColumn id="7" xr3:uid="{00000000-0010-0000-3601-000007000000}" name="SO" dataDxfId="751"/>
    <tableColumn id="8" xr3:uid="{00000000-0010-0000-3601-000008000000}" name="SV" dataDxfId="750"/>
    <tableColumn id="9" xr3:uid="{00000000-0010-0000-3601-000009000000}" name="WH" dataDxfId="749"/>
    <tableColumn id="10" xr3:uid="{00000000-0010-0000-3601-00000A000000}" name="QS" dataDxfId="748"/>
    <tableColumn id="11" xr3:uid="{00000000-0010-0000-3601-00000B000000}" name="UQ" dataDxfId="747"/>
    <tableColumn id="12" xr3:uid="{00000000-0010-0000-3601-00000C000000}" name="CG" dataDxfId="746"/>
    <tableColumn id="13" xr3:uid="{00000000-0010-0000-3601-00000D000000}" name="SH" dataDxfId="745"/>
  </tableColumns>
  <tableStyleInfo name="TableStyleMedium7" showFirstColumn="0" showLastColumn="0" showRowStripes="1" showColumnStripes="0"/>
</table>
</file>

<file path=xl/tables/table3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7" xr:uid="{00000000-000C-0000-FFFF-FFFF37010000}" name="Table1358" displayName="Table1358" ref="BL3:BY18" totalsRowShown="0" headerRowDxfId="744" headerRowBorderDxfId="743">
  <autoFilter ref="BL3:BY18" xr:uid="{00000000-0009-0000-0100-000065010000}"/>
  <sortState xmlns:xlrd2="http://schemas.microsoft.com/office/spreadsheetml/2017/richdata2" ref="BL4:BY18">
    <sortCondition descending="1" ref="BM3:BM18"/>
  </sortState>
  <tableColumns count="14">
    <tableColumn id="1" xr3:uid="{00000000-0010-0000-3701-000001000000}" name="TEAM" dataDxfId="742"/>
    <tableColumn id="2" xr3:uid="{00000000-0010-0000-3701-000002000000}" name="BA" dataDxfId="741"/>
    <tableColumn id="3" xr3:uid="{00000000-0010-0000-3701-000003000000}" name="OBP" dataDxfId="740"/>
    <tableColumn id="4" xr3:uid="{00000000-0010-0000-3701-000004000000}" name="SLG" dataDxfId="739"/>
    <tableColumn id="5" xr3:uid="{00000000-0010-0000-3701-000005000000}" name="R" dataDxfId="738"/>
    <tableColumn id="6" xr3:uid="{00000000-0010-0000-3701-000006000000}" name="H" dataDxfId="737"/>
    <tableColumn id="7" xr3:uid="{00000000-0010-0000-3701-000007000000}" name="2B" dataDxfId="736"/>
    <tableColumn id="8" xr3:uid="{00000000-0010-0000-3701-000008000000}" name="3B" dataDxfId="735"/>
    <tableColumn id="9" xr3:uid="{00000000-0010-0000-3701-000009000000}" name="HR" dataDxfId="734"/>
    <tableColumn id="10" xr3:uid="{00000000-0010-0000-3701-00000A000000}" name="BB" dataDxfId="733"/>
    <tableColumn id="11" xr3:uid="{00000000-0010-0000-3701-00000B000000}" name="K" dataDxfId="732"/>
    <tableColumn id="12" xr3:uid="{00000000-0010-0000-3701-00000C000000}" name="SB" dataDxfId="731"/>
    <tableColumn id="13" xr3:uid="{00000000-0010-0000-3701-00000D000000}" name="TB" dataDxfId="730"/>
    <tableColumn id="14" xr3:uid="{00000000-0010-0000-3701-00000E000000}" name="OPS" dataDxfId="729"/>
  </tableColumns>
  <tableStyleInfo name="TableStyleMedium7" showFirstColumn="0" showLastColumn="0" showRowStripes="1" showColumnStripes="0"/>
</table>
</file>

<file path=xl/tables/table3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8" xr:uid="{00000000-000C-0000-FFFF-FFFF38010000}" name="Table4359" displayName="Table4359" ref="BL22:BY37" totalsRowShown="0" headerRowDxfId="728" headerRowBorderDxfId="727">
  <autoFilter ref="BL22:BY37" xr:uid="{00000000-0009-0000-0100-000066010000}"/>
  <sortState xmlns:xlrd2="http://schemas.microsoft.com/office/spreadsheetml/2017/richdata2" ref="BL23:BY37">
    <sortCondition descending="1" ref="BP22:BP37"/>
  </sortState>
  <tableColumns count="14">
    <tableColumn id="1" xr3:uid="{00000000-0010-0000-3801-000001000000}" name="TEAM" dataDxfId="726"/>
    <tableColumn id="2" xr3:uid="{00000000-0010-0000-3801-000002000000}" name="BA" dataDxfId="725"/>
    <tableColumn id="3" xr3:uid="{00000000-0010-0000-3801-000003000000}" name="OBP" dataDxfId="724"/>
    <tableColumn id="4" xr3:uid="{00000000-0010-0000-3801-000004000000}" name="SLG" dataDxfId="723"/>
    <tableColumn id="5" xr3:uid="{00000000-0010-0000-3801-000005000000}" name="R" dataDxfId="722"/>
    <tableColumn id="6" xr3:uid="{00000000-0010-0000-3801-000006000000}" name="H" dataDxfId="721"/>
    <tableColumn id="7" xr3:uid="{00000000-0010-0000-3801-000007000000}" name="2B" dataDxfId="720"/>
    <tableColumn id="8" xr3:uid="{00000000-0010-0000-3801-000008000000}" name="3B" dataDxfId="719"/>
    <tableColumn id="9" xr3:uid="{00000000-0010-0000-3801-000009000000}" name="HR" dataDxfId="718"/>
    <tableColumn id="10" xr3:uid="{00000000-0010-0000-3801-00000A000000}" name="BB" dataDxfId="717"/>
    <tableColumn id="11" xr3:uid="{00000000-0010-0000-3801-00000B000000}" name="K" dataDxfId="716"/>
    <tableColumn id="12" xr3:uid="{00000000-0010-0000-3801-00000C000000}" name="SB" dataDxfId="715"/>
    <tableColumn id="13" xr3:uid="{00000000-0010-0000-3801-00000D000000}" name="TB" dataDxfId="714"/>
    <tableColumn id="14" xr3:uid="{00000000-0010-0000-3801-00000E000000}" name="OPS" dataDxfId="713"/>
  </tableColumns>
  <tableStyleInfo name="TableStyleMedium7" showFirstColumn="0" showLastColumn="0" showRowStripes="1" showColumnStripes="0"/>
</table>
</file>

<file path=xl/tables/table3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9" xr:uid="{00000000-000C-0000-FFFF-FFFF39010000}" name="Table5360" displayName="Table5360" ref="CB3:CN18" totalsRowShown="0" headerRowDxfId="712" headerRowBorderDxfId="711">
  <autoFilter ref="CB3:CN18" xr:uid="{00000000-0009-0000-0100-000067010000}"/>
  <sortState xmlns:xlrd2="http://schemas.microsoft.com/office/spreadsheetml/2017/richdata2" ref="CB4:CN18">
    <sortCondition descending="1" ref="CN3:CN18"/>
  </sortState>
  <tableColumns count="13">
    <tableColumn id="1" xr3:uid="{00000000-0010-0000-3901-000001000000}" name="TEAM" dataDxfId="710"/>
    <tableColumn id="2" xr3:uid="{00000000-0010-0000-3901-000002000000}" name="ERA" dataDxfId="709"/>
    <tableColumn id="3" xr3:uid="{00000000-0010-0000-3901-000003000000}" name="IP" dataDxfId="708"/>
    <tableColumn id="4" xr3:uid="{00000000-0010-0000-3901-000004000000}" name="H" dataDxfId="707"/>
    <tableColumn id="5" xr3:uid="{00000000-0010-0000-3901-000005000000}" name="R" dataDxfId="706"/>
    <tableColumn id="6" xr3:uid="{00000000-0010-0000-3901-000006000000}" name="BB" dataDxfId="705"/>
    <tableColumn id="7" xr3:uid="{00000000-0010-0000-3901-000007000000}" name="SO" dataDxfId="704"/>
    <tableColumn id="8" xr3:uid="{00000000-0010-0000-3901-000008000000}" name="SV" dataDxfId="703"/>
    <tableColumn id="9" xr3:uid="{00000000-0010-0000-3901-000009000000}" name="WH" dataDxfId="702"/>
    <tableColumn id="10" xr3:uid="{00000000-0010-0000-3901-00000A000000}" name="QS" dataDxfId="701"/>
    <tableColumn id="11" xr3:uid="{00000000-0010-0000-3901-00000B000000}" name="UQ" dataDxfId="700"/>
    <tableColumn id="12" xr3:uid="{00000000-0010-0000-3901-00000C000000}" name="CG" dataDxfId="699"/>
    <tableColumn id="13" xr3:uid="{00000000-0010-0000-3901-00000D000000}" name="SH" dataDxfId="698"/>
  </tableColumns>
  <tableStyleInfo name="TableStyleMedium7" showFirstColumn="0" showLastColumn="0" showRowStripes="1" showColumnStripes="0"/>
</table>
</file>

<file path=xl/tables/table3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0" xr:uid="{00000000-000C-0000-FFFF-FFFF3A010000}" name="Table6361" displayName="Table6361" ref="CB22:CN37" totalsRowShown="0" headerRowDxfId="697" headerRowBorderDxfId="696">
  <autoFilter ref="CB22:CN37" xr:uid="{00000000-0009-0000-0100-000068010000}"/>
  <sortState xmlns:xlrd2="http://schemas.microsoft.com/office/spreadsheetml/2017/richdata2" ref="CB23:CN37">
    <sortCondition descending="1" ref="CN22:CN37"/>
  </sortState>
  <tableColumns count="13">
    <tableColumn id="1" xr3:uid="{00000000-0010-0000-3A01-000001000000}" name="TEAM" dataDxfId="695"/>
    <tableColumn id="2" xr3:uid="{00000000-0010-0000-3A01-000002000000}" name="ERA" dataDxfId="694"/>
    <tableColumn id="3" xr3:uid="{00000000-0010-0000-3A01-000003000000}" name="IP" dataDxfId="693"/>
    <tableColumn id="4" xr3:uid="{00000000-0010-0000-3A01-000004000000}" name="H" dataDxfId="692"/>
    <tableColumn id="5" xr3:uid="{00000000-0010-0000-3A01-000005000000}" name="R" dataDxfId="691"/>
    <tableColumn id="6" xr3:uid="{00000000-0010-0000-3A01-000006000000}" name="BB" dataDxfId="690"/>
    <tableColumn id="7" xr3:uid="{00000000-0010-0000-3A01-000007000000}" name="SO" dataDxfId="689"/>
    <tableColumn id="8" xr3:uid="{00000000-0010-0000-3A01-000008000000}" name="SV" dataDxfId="688"/>
    <tableColumn id="9" xr3:uid="{00000000-0010-0000-3A01-000009000000}" name="WH" dataDxfId="687"/>
    <tableColumn id="10" xr3:uid="{00000000-0010-0000-3A01-00000A000000}" name="QS" dataDxfId="686"/>
    <tableColumn id="11" xr3:uid="{00000000-0010-0000-3A01-00000B000000}" name="UQ" dataDxfId="685"/>
    <tableColumn id="12" xr3:uid="{00000000-0010-0000-3A01-00000C000000}" name="CG" dataDxfId="684"/>
    <tableColumn id="13" xr3:uid="{00000000-0010-0000-3A01-00000D000000}" name="SH" dataDxfId="683"/>
  </tableColumns>
  <tableStyleInfo name="TableStyleMedium7" showFirstColumn="0" showLastColumn="0" showRowStripes="1" showColumnStripes="0"/>
</table>
</file>

<file path=xl/tables/table3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00000000-000C-0000-FFFF-FFFF3B010000}" name="Table179281" displayName="Table179281" ref="B2:W20" totalsRowShown="0" headerRowDxfId="682" dataDxfId="680" headerRowBorderDxfId="681">
  <autoFilter ref="B2:W20" xr:uid="{00000000-0009-0000-0100-000018010000}"/>
  <sortState xmlns:xlrd2="http://schemas.microsoft.com/office/spreadsheetml/2017/richdata2" ref="B3:W20">
    <sortCondition ref="W2:W20"/>
  </sortState>
  <tableColumns count="22">
    <tableColumn id="1" xr3:uid="{00000000-0010-0000-3B01-000001000000}" name="@" dataDxfId="679"/>
    <tableColumn id="2" xr3:uid="{00000000-0010-0000-3B01-000002000000}" name="TM" dataDxfId="678"/>
    <tableColumn id="3" xr3:uid="{00000000-0010-0000-3B01-000003000000}" name="PLAYER" dataDxfId="677"/>
    <tableColumn id="4" xr3:uid="{00000000-0010-0000-3B01-000004000000}" name="BA" dataDxfId="676"/>
    <tableColumn id="5" xr3:uid="{00000000-0010-0000-3B01-000005000000}" name="OBP" dataDxfId="675"/>
    <tableColumn id="6" xr3:uid="{00000000-0010-0000-3B01-000006000000}" name="SLG" dataDxfId="674"/>
    <tableColumn id="7" xr3:uid="{00000000-0010-0000-3B01-000007000000}" name="G" dataDxfId="673"/>
    <tableColumn id="8" xr3:uid="{00000000-0010-0000-3B01-000008000000}" name="AB" dataDxfId="672"/>
    <tableColumn id="9" xr3:uid="{00000000-0010-0000-3B01-000009000000}" name="R" dataDxfId="671"/>
    <tableColumn id="10" xr3:uid="{00000000-0010-0000-3B01-00000A000000}" name="H" dataDxfId="670"/>
    <tableColumn id="11" xr3:uid="{00000000-0010-0000-3B01-00000B000000}" name="2B" dataDxfId="669"/>
    <tableColumn id="12" xr3:uid="{00000000-0010-0000-3B01-00000C000000}" name="3B" dataDxfId="668"/>
    <tableColumn id="13" xr3:uid="{00000000-0010-0000-3B01-00000D000000}" name="HR" dataDxfId="667"/>
    <tableColumn id="14" xr3:uid="{00000000-0010-0000-3B01-00000E000000}" name="RBI" dataDxfId="666"/>
    <tableColumn id="15" xr3:uid="{00000000-0010-0000-3B01-00000F000000}" name="BB" dataDxfId="665"/>
    <tableColumn id="16" xr3:uid="{00000000-0010-0000-3B01-000010000000}" name="K" dataDxfId="664"/>
    <tableColumn id="17" xr3:uid="{00000000-0010-0000-3B01-000011000000}" name="SB" dataDxfId="663"/>
    <tableColumn id="18" xr3:uid="{00000000-0010-0000-3B01-000012000000}" name="LS" dataDxfId="662"/>
    <tableColumn id="19" xr3:uid="{00000000-0010-0000-3B01-000013000000}" name="TB" dataDxfId="661"/>
    <tableColumn id="20" xr3:uid="{00000000-0010-0000-3B01-000014000000}" name="OPS" dataDxfId="660"/>
    <tableColumn id="21" xr3:uid="{00000000-0010-0000-3B01-000015000000}" name="*" dataDxfId="659"/>
    <tableColumn id="22" xr3:uid="{00000000-0010-0000-3B01-000016000000}" name="#" dataDxfId="658"/>
  </tableColumns>
  <tableStyleInfo name="TableStyleMedium7" showFirstColumn="0" showLastColumn="0" showRowStripes="1" showColumnStripes="0"/>
</table>
</file>

<file path=xl/tables/table3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00000000-000C-0000-FFFF-FFFF3C010000}" name="Table2282" displayName="Table2282" ref="B24:W42" totalsRowShown="0" headerRowDxfId="657" dataDxfId="655" headerRowBorderDxfId="656">
  <autoFilter ref="B24:W42" xr:uid="{00000000-0009-0000-0100-000019010000}"/>
  <sortState xmlns:xlrd2="http://schemas.microsoft.com/office/spreadsheetml/2017/richdata2" ref="B25:W42">
    <sortCondition ref="W24:W42"/>
  </sortState>
  <tableColumns count="22">
    <tableColumn id="1" xr3:uid="{00000000-0010-0000-3C01-000001000000}" name="@" dataDxfId="654"/>
    <tableColumn id="2" xr3:uid="{00000000-0010-0000-3C01-000002000000}" name="TM" dataDxfId="653"/>
    <tableColumn id="3" xr3:uid="{00000000-0010-0000-3C01-000003000000}" name="PLAYER" dataDxfId="652"/>
    <tableColumn id="4" xr3:uid="{00000000-0010-0000-3C01-000004000000}" name="BA" dataDxfId="651"/>
    <tableColumn id="5" xr3:uid="{00000000-0010-0000-3C01-000005000000}" name="OBP" dataDxfId="650"/>
    <tableColumn id="6" xr3:uid="{00000000-0010-0000-3C01-000006000000}" name="SLG" dataDxfId="649"/>
    <tableColumn id="7" xr3:uid="{00000000-0010-0000-3C01-000007000000}" name="G" dataDxfId="648"/>
    <tableColumn id="8" xr3:uid="{00000000-0010-0000-3C01-000008000000}" name="AB" dataDxfId="647"/>
    <tableColumn id="9" xr3:uid="{00000000-0010-0000-3C01-000009000000}" name="R" dataDxfId="646"/>
    <tableColumn id="10" xr3:uid="{00000000-0010-0000-3C01-00000A000000}" name="H" dataDxfId="645"/>
    <tableColumn id="11" xr3:uid="{00000000-0010-0000-3C01-00000B000000}" name="2B" dataDxfId="644"/>
    <tableColumn id="12" xr3:uid="{00000000-0010-0000-3C01-00000C000000}" name="3B" dataDxfId="643"/>
    <tableColumn id="13" xr3:uid="{00000000-0010-0000-3C01-00000D000000}" name="HR" dataDxfId="642"/>
    <tableColumn id="14" xr3:uid="{00000000-0010-0000-3C01-00000E000000}" name="RBI" dataDxfId="641"/>
    <tableColumn id="15" xr3:uid="{00000000-0010-0000-3C01-00000F000000}" name="BB" dataDxfId="640"/>
    <tableColumn id="16" xr3:uid="{00000000-0010-0000-3C01-000010000000}" name="K" dataDxfId="639"/>
    <tableColumn id="17" xr3:uid="{00000000-0010-0000-3C01-000011000000}" name="SB" dataDxfId="638"/>
    <tableColumn id="18" xr3:uid="{00000000-0010-0000-3C01-000012000000}" name="LS" dataDxfId="637"/>
    <tableColumn id="19" xr3:uid="{00000000-0010-0000-3C01-000013000000}" name="TB" dataDxfId="636"/>
    <tableColumn id="20" xr3:uid="{00000000-0010-0000-3C01-000014000000}" name="OPS" dataDxfId="635"/>
    <tableColumn id="21" xr3:uid="{00000000-0010-0000-3C01-000015000000}" name="*" dataDxfId="634"/>
    <tableColumn id="22" xr3:uid="{00000000-0010-0000-3C01-000016000000}" name="#" dataDxfId="633"/>
  </tableColumns>
  <tableStyleInfo name="TableStyleMedium7" showFirstColumn="0" showLastColumn="0" showRowStripes="1" showColumnStripes="0"/>
</table>
</file>

<file path=xl/tables/table3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2" xr:uid="{00000000-000C-0000-FFFF-FFFF3D010000}" name="Table381283" displayName="Table381283" ref="Y2:AO14" totalsRowShown="0" headerRowDxfId="632" dataDxfId="630" headerRowBorderDxfId="631">
  <autoFilter ref="Y2:AO14" xr:uid="{00000000-0009-0000-0100-00001A010000}"/>
  <sortState xmlns:xlrd2="http://schemas.microsoft.com/office/spreadsheetml/2017/richdata2" ref="Y3:AO14">
    <sortCondition ref="AO2:AO14"/>
  </sortState>
  <tableColumns count="17">
    <tableColumn id="1" xr3:uid="{00000000-0010-0000-3D01-000001000000}" name="@" dataDxfId="629"/>
    <tableColumn id="2" xr3:uid="{00000000-0010-0000-3D01-000002000000}" name="TM" dataDxfId="628"/>
    <tableColumn id="3" xr3:uid="{00000000-0010-0000-3D01-000003000000}" name="PLAYER" dataDxfId="627"/>
    <tableColumn id="4" xr3:uid="{00000000-0010-0000-3D01-000004000000}" name="ERA" dataDxfId="626"/>
    <tableColumn id="5" xr3:uid="{00000000-0010-0000-3D01-000005000000}" name="W" dataDxfId="625"/>
    <tableColumn id="6" xr3:uid="{00000000-0010-0000-3D01-000006000000}" name="L" dataDxfId="624"/>
    <tableColumn id="7" xr3:uid="{00000000-0010-0000-3D01-000007000000}" name="G" dataDxfId="623"/>
    <tableColumn id="8" xr3:uid="{00000000-0010-0000-3D01-000008000000}" name="IP" dataDxfId="622"/>
    <tableColumn id="9" xr3:uid="{00000000-0010-0000-3D01-000009000000}" name="H" dataDxfId="621"/>
    <tableColumn id="10" xr3:uid="{00000000-0010-0000-3D01-00000A000000}" name="R" dataDxfId="620"/>
    <tableColumn id="11" xr3:uid="{00000000-0010-0000-3D01-00000B000000}" name="BB" dataDxfId="619"/>
    <tableColumn id="12" xr3:uid="{00000000-0010-0000-3D01-00000C000000}" name="SO" dataDxfId="618"/>
    <tableColumn id="13" xr3:uid="{00000000-0010-0000-3D01-00000D000000}" name="SV" dataDxfId="617"/>
    <tableColumn id="14" xr3:uid="{00000000-0010-0000-3D01-00000E000000}" name="WH" dataDxfId="616"/>
    <tableColumn id="15" xr3:uid="{00000000-0010-0000-3D01-00000F000000}" name="UQ" dataDxfId="615"/>
    <tableColumn id="16" xr3:uid="{00000000-0010-0000-3D01-000010000000}" name="SH" dataDxfId="614"/>
    <tableColumn id="17" xr3:uid="{00000000-0010-0000-3D01-000011000000}" name="#" dataDxfId="613"/>
  </tableColumns>
  <tableStyleInfo name="TableStyleMedium7" showFirstColumn="0" showLastColumn="0" showRowStripes="1" showColumnStripes="0"/>
</table>
</file>

<file path=xl/tables/table3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3" xr:uid="{00000000-000C-0000-FFFF-FFFF3E010000}" name="Table482284" displayName="Table482284" ref="Y24:AO36" totalsRowShown="0" headerRowDxfId="612" dataDxfId="610" headerRowBorderDxfId="611">
  <autoFilter ref="Y24:AO36" xr:uid="{00000000-0009-0000-0100-00001B010000}"/>
  <sortState xmlns:xlrd2="http://schemas.microsoft.com/office/spreadsheetml/2017/richdata2" ref="Y25:AO36">
    <sortCondition ref="AO24:AO36"/>
  </sortState>
  <tableColumns count="17">
    <tableColumn id="1" xr3:uid="{00000000-0010-0000-3E01-000001000000}" name="@" dataDxfId="609"/>
    <tableColumn id="2" xr3:uid="{00000000-0010-0000-3E01-000002000000}" name="TM" dataDxfId="608"/>
    <tableColumn id="3" xr3:uid="{00000000-0010-0000-3E01-000003000000}" name="PLAYER" dataDxfId="607"/>
    <tableColumn id="4" xr3:uid="{00000000-0010-0000-3E01-000004000000}" name="ERA" dataDxfId="606"/>
    <tableColumn id="5" xr3:uid="{00000000-0010-0000-3E01-000005000000}" name="W" dataDxfId="605"/>
    <tableColumn id="6" xr3:uid="{00000000-0010-0000-3E01-000006000000}" name="L" dataDxfId="604"/>
    <tableColumn id="7" xr3:uid="{00000000-0010-0000-3E01-000007000000}" name="G" dataDxfId="603"/>
    <tableColumn id="8" xr3:uid="{00000000-0010-0000-3E01-000008000000}" name="IP" dataDxfId="602"/>
    <tableColumn id="9" xr3:uid="{00000000-0010-0000-3E01-000009000000}" name="H" dataDxfId="601"/>
    <tableColumn id="10" xr3:uid="{00000000-0010-0000-3E01-00000A000000}" name="R" dataDxfId="600"/>
    <tableColumn id="11" xr3:uid="{00000000-0010-0000-3E01-00000B000000}" name="BB" dataDxfId="599"/>
    <tableColumn id="12" xr3:uid="{00000000-0010-0000-3E01-00000C000000}" name="SO" dataDxfId="598"/>
    <tableColumn id="13" xr3:uid="{00000000-0010-0000-3E01-00000D000000}" name="SV" dataDxfId="597"/>
    <tableColumn id="14" xr3:uid="{00000000-0010-0000-3E01-00000E000000}" name="WH" dataDxfId="596"/>
    <tableColumn id="15" xr3:uid="{00000000-0010-0000-3E01-00000F000000}" name="UQ" dataDxfId="595"/>
    <tableColumn id="16" xr3:uid="{00000000-0010-0000-3E01-000010000000}" name="SH" dataDxfId="594"/>
    <tableColumn id="17" xr3:uid="{00000000-0010-0000-3E01-000011000000}" name="#" dataDxfId="593"/>
  </tableColumns>
  <tableStyleInfo name="TableStyleMedium7" showFirstColumn="0" showLastColumn="0" showRowStripes="1" showColumnStripes="0"/>
</table>
</file>

<file path=xl/tables/table3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4" xr:uid="{00000000-000C-0000-FFFF-FFFF3F010000}" name="Table583285" displayName="Table583285" ref="B46:W65" totalsRowShown="0" headerRowDxfId="592" dataDxfId="590" headerRowBorderDxfId="591">
  <autoFilter ref="B46:W65" xr:uid="{00000000-0009-0000-0100-00001C010000}"/>
  <sortState xmlns:xlrd2="http://schemas.microsoft.com/office/spreadsheetml/2017/richdata2" ref="B47:W64">
    <sortCondition ref="W46:W64"/>
  </sortState>
  <tableColumns count="22">
    <tableColumn id="1" xr3:uid="{00000000-0010-0000-3F01-000001000000}" name="@" dataDxfId="589"/>
    <tableColumn id="2" xr3:uid="{00000000-0010-0000-3F01-000002000000}" name="TM" dataDxfId="588"/>
    <tableColumn id="3" xr3:uid="{00000000-0010-0000-3F01-000003000000}" name="PLAYER" dataDxfId="587"/>
    <tableColumn id="4" xr3:uid="{00000000-0010-0000-3F01-000004000000}" name="BA" dataDxfId="586"/>
    <tableColumn id="5" xr3:uid="{00000000-0010-0000-3F01-000005000000}" name="OBP" dataDxfId="585"/>
    <tableColumn id="6" xr3:uid="{00000000-0010-0000-3F01-000006000000}" name="SLG" dataDxfId="584"/>
    <tableColumn id="7" xr3:uid="{00000000-0010-0000-3F01-000007000000}" name="G" dataDxfId="583"/>
    <tableColumn id="8" xr3:uid="{00000000-0010-0000-3F01-000008000000}" name="AB" dataDxfId="582"/>
    <tableColumn id="9" xr3:uid="{00000000-0010-0000-3F01-000009000000}" name="R" dataDxfId="581"/>
    <tableColumn id="10" xr3:uid="{00000000-0010-0000-3F01-00000A000000}" name="H" dataDxfId="580"/>
    <tableColumn id="11" xr3:uid="{00000000-0010-0000-3F01-00000B000000}" name="2B" dataDxfId="579"/>
    <tableColumn id="12" xr3:uid="{00000000-0010-0000-3F01-00000C000000}" name="3B" dataDxfId="578"/>
    <tableColumn id="13" xr3:uid="{00000000-0010-0000-3F01-00000D000000}" name="HR" dataDxfId="577"/>
    <tableColumn id="14" xr3:uid="{00000000-0010-0000-3F01-00000E000000}" name="RBI" dataDxfId="576"/>
    <tableColumn id="15" xr3:uid="{00000000-0010-0000-3F01-00000F000000}" name="BB" dataDxfId="575"/>
    <tableColumn id="16" xr3:uid="{00000000-0010-0000-3F01-000010000000}" name="K" dataDxfId="574"/>
    <tableColumn id="17" xr3:uid="{00000000-0010-0000-3F01-000011000000}" name="SB" dataDxfId="573"/>
    <tableColumn id="18" xr3:uid="{00000000-0010-0000-3F01-000012000000}" name="HS" dataDxfId="572"/>
    <tableColumn id="19" xr3:uid="{00000000-0010-0000-3F01-000013000000}" name="TB" dataDxfId="571"/>
    <tableColumn id="20" xr3:uid="{00000000-0010-0000-3F01-000014000000}" name="OPS" dataDxfId="570"/>
    <tableColumn id="21" xr3:uid="{00000000-0010-0000-3F01-000015000000}" name="*" dataDxfId="569"/>
    <tableColumn id="22" xr3:uid="{00000000-0010-0000-3F01-000016000000}" name="#" dataDxfId="568"/>
  </tableColumns>
  <tableStyleInfo name="TableStyleMedium7" showFirstColumn="0" showLastColumn="0" showRowStripes="1" showColumnStripes="0"/>
</table>
</file>

<file path=xl/tables/table3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5" xr:uid="{00000000-000C-0000-FFFF-FFFF40010000}" name="Table684286" displayName="Table684286" ref="B68:W87" totalsRowShown="0" headerRowDxfId="567" headerRowBorderDxfId="566">
  <autoFilter ref="B68:W87" xr:uid="{00000000-0009-0000-0100-00001D010000}"/>
  <sortState xmlns:xlrd2="http://schemas.microsoft.com/office/spreadsheetml/2017/richdata2" ref="B69:W86">
    <sortCondition ref="W68:W86"/>
  </sortState>
  <tableColumns count="22">
    <tableColumn id="1" xr3:uid="{00000000-0010-0000-4001-000001000000}" name="@" dataDxfId="565"/>
    <tableColumn id="2" xr3:uid="{00000000-0010-0000-4001-000002000000}" name="TM" dataDxfId="564"/>
    <tableColumn id="3" xr3:uid="{00000000-0010-0000-4001-000003000000}" name="PLAYER" dataDxfId="563"/>
    <tableColumn id="4" xr3:uid="{00000000-0010-0000-4001-000004000000}" name="BA" dataDxfId="562"/>
    <tableColumn id="5" xr3:uid="{00000000-0010-0000-4001-000005000000}" name="OBP" dataDxfId="561"/>
    <tableColumn id="6" xr3:uid="{00000000-0010-0000-4001-000006000000}" name="SLG" dataDxfId="560"/>
    <tableColumn id="7" xr3:uid="{00000000-0010-0000-4001-000007000000}" name="G" dataDxfId="559"/>
    <tableColumn id="8" xr3:uid="{00000000-0010-0000-4001-000008000000}" name="AB" dataDxfId="558"/>
    <tableColumn id="9" xr3:uid="{00000000-0010-0000-4001-000009000000}" name="R" dataDxfId="557"/>
    <tableColumn id="10" xr3:uid="{00000000-0010-0000-4001-00000A000000}" name="H" dataDxfId="556"/>
    <tableColumn id="11" xr3:uid="{00000000-0010-0000-4001-00000B000000}" name="2B" dataDxfId="555"/>
    <tableColumn id="12" xr3:uid="{00000000-0010-0000-4001-00000C000000}" name="3B" dataDxfId="554"/>
    <tableColumn id="13" xr3:uid="{00000000-0010-0000-4001-00000D000000}" name="HR" dataDxfId="553"/>
    <tableColumn id="14" xr3:uid="{00000000-0010-0000-4001-00000E000000}" name="RBI" dataDxfId="552"/>
    <tableColumn id="15" xr3:uid="{00000000-0010-0000-4001-00000F000000}" name="BB" dataDxfId="551"/>
    <tableColumn id="16" xr3:uid="{00000000-0010-0000-4001-000010000000}" name="K" dataDxfId="550"/>
    <tableColumn id="17" xr3:uid="{00000000-0010-0000-4001-000011000000}" name="SB" dataDxfId="549"/>
    <tableColumn id="18" xr3:uid="{00000000-0010-0000-4001-000012000000}" name="HS" dataDxfId="548"/>
    <tableColumn id="19" xr3:uid="{00000000-0010-0000-4001-000013000000}" name="TB" dataDxfId="547"/>
    <tableColumn id="20" xr3:uid="{00000000-0010-0000-4001-000014000000}" name="OPS" dataDxfId="546"/>
    <tableColumn id="21" xr3:uid="{00000000-0010-0000-4001-000015000000}" name="*" dataDxfId="545"/>
    <tableColumn id="22" xr3:uid="{00000000-0010-0000-4001-000016000000}" name="#" dataDxfId="544"/>
  </tableColumns>
  <tableStyleInfo name="TableStyleMedium7" showFirstColumn="0" showLastColumn="0" showRowStripes="1" showColumnStripes="0"/>
</table>
</file>

<file path=xl/tables/table3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6" xr:uid="{00000000-000C-0000-FFFF-FFFF41010000}" name="Table7287" displayName="Table7287" ref="Y46:AO59" totalsRowShown="0" headerRowDxfId="543" dataDxfId="541" headerRowBorderDxfId="542">
  <autoFilter ref="Y46:AO59" xr:uid="{00000000-0009-0000-0100-00001E010000}"/>
  <tableColumns count="17">
    <tableColumn id="1" xr3:uid="{00000000-0010-0000-4101-000001000000}" name="@" dataDxfId="540"/>
    <tableColumn id="2" xr3:uid="{00000000-0010-0000-4101-000002000000}" name="TM" dataDxfId="539"/>
    <tableColumn id="3" xr3:uid="{00000000-0010-0000-4101-000003000000}" name="PLAYER" dataDxfId="538"/>
    <tableColumn id="4" xr3:uid="{00000000-0010-0000-4101-000004000000}" name="ERA" dataDxfId="537"/>
    <tableColumn id="5" xr3:uid="{00000000-0010-0000-4101-000005000000}" name="W" dataDxfId="536"/>
    <tableColumn id="6" xr3:uid="{00000000-0010-0000-4101-000006000000}" name="L" dataDxfId="535"/>
    <tableColumn id="7" xr3:uid="{00000000-0010-0000-4101-000007000000}" name="G" dataDxfId="534"/>
    <tableColumn id="8" xr3:uid="{00000000-0010-0000-4101-000008000000}" name="IP" dataDxfId="533"/>
    <tableColumn id="9" xr3:uid="{00000000-0010-0000-4101-000009000000}" name="H" dataDxfId="532"/>
    <tableColumn id="10" xr3:uid="{00000000-0010-0000-4101-00000A000000}" name="R" dataDxfId="531"/>
    <tableColumn id="11" xr3:uid="{00000000-0010-0000-4101-00000B000000}" name="BB" dataDxfId="530"/>
    <tableColumn id="12" xr3:uid="{00000000-0010-0000-4101-00000C000000}" name="SO" dataDxfId="529"/>
    <tableColumn id="13" xr3:uid="{00000000-0010-0000-4101-00000D000000}" name="SV" dataDxfId="528"/>
    <tableColumn id="14" xr3:uid="{00000000-0010-0000-4101-00000E000000}" name="WH" dataDxfId="527"/>
    <tableColumn id="15" xr3:uid="{00000000-0010-0000-4101-00000F000000}" name="UQ" dataDxfId="526"/>
    <tableColumn id="16" xr3:uid="{00000000-0010-0000-4101-000010000000}" name="SH" dataDxfId="525"/>
    <tableColumn id="17" xr3:uid="{00000000-0010-0000-4101-000011000000}" name="#" dataDxfId="524"/>
  </tableColumns>
  <tableStyleInfo name="TableStyleMedium7" showFirstColumn="0" showLastColumn="0" showRowStripes="1" showColumnStripes="0"/>
</table>
</file>

<file path=xl/tables/table3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5" xr:uid="{00000000-000C-0000-FFFF-FFFF42010000}" name="Table886346" displayName="Table886346" ref="Y68:AO80" totalsRowShown="0" headerRowDxfId="523" dataDxfId="521" headerRowBorderDxfId="522">
  <autoFilter ref="Y68:AO80" xr:uid="{00000000-0009-0000-0100-000059010000}"/>
  <tableColumns count="17">
    <tableColumn id="1" xr3:uid="{00000000-0010-0000-4201-000001000000}" name="@" dataDxfId="520"/>
    <tableColumn id="2" xr3:uid="{00000000-0010-0000-4201-000002000000}" name="TM" dataDxfId="519"/>
    <tableColumn id="3" xr3:uid="{00000000-0010-0000-4201-000003000000}" name="PLAYER" dataDxfId="518"/>
    <tableColumn id="4" xr3:uid="{00000000-0010-0000-4201-000004000000}" name="ERA" dataDxfId="517">
      <calculatedColumnFormula>Table886346[[#This Row],[R]]*9/Table886346[[#This Row],[IP]]</calculatedColumnFormula>
    </tableColumn>
    <tableColumn id="5" xr3:uid="{00000000-0010-0000-4201-000005000000}" name="W" dataDxfId="516"/>
    <tableColumn id="6" xr3:uid="{00000000-0010-0000-4201-000006000000}" name="L" dataDxfId="515"/>
    <tableColumn id="7" xr3:uid="{00000000-0010-0000-4201-000007000000}" name="G" dataDxfId="514"/>
    <tableColumn id="8" xr3:uid="{00000000-0010-0000-4201-000008000000}" name="IP" dataDxfId="513"/>
    <tableColumn id="9" xr3:uid="{00000000-0010-0000-4201-000009000000}" name="H" dataDxfId="512"/>
    <tableColumn id="10" xr3:uid="{00000000-0010-0000-4201-00000A000000}" name="R" dataDxfId="511"/>
    <tableColumn id="11" xr3:uid="{00000000-0010-0000-4201-00000B000000}" name="BB" dataDxfId="510"/>
    <tableColumn id="12" xr3:uid="{00000000-0010-0000-4201-00000C000000}" name="SO" dataDxfId="509"/>
    <tableColumn id="13" xr3:uid="{00000000-0010-0000-4201-00000D000000}" name="SV" dataDxfId="508"/>
    <tableColumn id="14" xr3:uid="{00000000-0010-0000-4201-00000E000000}" name="WH" dataDxfId="507">
      <calculatedColumnFormula>(Table886346[[#This Row],[BB]]+Table886346[[#This Row],[H]])/Table886346[[#This Row],[IP]]</calculatedColumnFormula>
    </tableColumn>
    <tableColumn id="15" xr3:uid="{00000000-0010-0000-4201-00000F000000}" name="UQ" dataDxfId="506"/>
    <tableColumn id="16" xr3:uid="{00000000-0010-0000-4201-000010000000}" name="SH" dataDxfId="505"/>
    <tableColumn id="17" xr3:uid="{00000000-0010-0000-4201-000011000000}" name="#" dataDxfId="504"/>
  </tableColumns>
  <tableStyleInfo name="TableStyleMedium7" showFirstColumn="0" showLastColumn="0" showRowStripes="1" showColumnStripes="0"/>
</table>
</file>

<file path=xl/tables/table3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6" xr:uid="{00000000-000C-0000-FFFF-FFFF43010000}" name="Table179248347" displayName="Table179248347" ref="AQ2:BL20" totalsRowShown="0" headerRowDxfId="503" dataDxfId="501" headerRowBorderDxfId="502">
  <autoFilter ref="AQ2:BL20" xr:uid="{00000000-0009-0000-0100-00005A010000}"/>
  <sortState xmlns:xlrd2="http://schemas.microsoft.com/office/spreadsheetml/2017/richdata2" ref="AQ3:BL20">
    <sortCondition ref="BL2:BL20"/>
  </sortState>
  <tableColumns count="22">
    <tableColumn id="1" xr3:uid="{00000000-0010-0000-4301-000001000000}" name="@" dataDxfId="500"/>
    <tableColumn id="2" xr3:uid="{00000000-0010-0000-4301-000002000000}" name="TM" dataDxfId="499"/>
    <tableColumn id="3" xr3:uid="{00000000-0010-0000-4301-000003000000}" name="PLAYER" dataDxfId="498"/>
    <tableColumn id="4" xr3:uid="{00000000-0010-0000-4301-000004000000}" name="BA" dataDxfId="497"/>
    <tableColumn id="5" xr3:uid="{00000000-0010-0000-4301-000005000000}" name="OBP" dataDxfId="496"/>
    <tableColumn id="6" xr3:uid="{00000000-0010-0000-4301-000006000000}" name="SLG" dataDxfId="495"/>
    <tableColumn id="7" xr3:uid="{00000000-0010-0000-4301-000007000000}" name="G" dataDxfId="494"/>
    <tableColumn id="8" xr3:uid="{00000000-0010-0000-4301-000008000000}" name="AB" dataDxfId="493"/>
    <tableColumn id="9" xr3:uid="{00000000-0010-0000-4301-000009000000}" name="R" dataDxfId="492"/>
    <tableColumn id="10" xr3:uid="{00000000-0010-0000-4301-00000A000000}" name="H" dataDxfId="491"/>
    <tableColumn id="11" xr3:uid="{00000000-0010-0000-4301-00000B000000}" name="2B" dataDxfId="490"/>
    <tableColumn id="12" xr3:uid="{00000000-0010-0000-4301-00000C000000}" name="3B" dataDxfId="489"/>
    <tableColumn id="13" xr3:uid="{00000000-0010-0000-4301-00000D000000}" name="HR" dataDxfId="488"/>
    <tableColumn id="14" xr3:uid="{00000000-0010-0000-4301-00000E000000}" name="RBI" dataDxfId="487"/>
    <tableColumn id="15" xr3:uid="{00000000-0010-0000-4301-00000F000000}" name="BB" dataDxfId="486"/>
    <tableColumn id="16" xr3:uid="{00000000-0010-0000-4301-000010000000}" name="K" dataDxfId="485"/>
    <tableColumn id="17" xr3:uid="{00000000-0010-0000-4301-000011000000}" name="SB" dataDxfId="484"/>
    <tableColumn id="18" xr3:uid="{00000000-0010-0000-4301-000012000000}" name="LS" dataDxfId="483"/>
    <tableColumn id="19" xr3:uid="{00000000-0010-0000-4301-000013000000}" name="TB" dataDxfId="482"/>
    <tableColumn id="20" xr3:uid="{00000000-0010-0000-4301-000014000000}" name="OPS" dataDxfId="481"/>
    <tableColumn id="21" xr3:uid="{00000000-0010-0000-4301-000015000000}" name="*" dataDxfId="480"/>
    <tableColumn id="22" xr3:uid="{00000000-0010-0000-4301-000016000000}" name="#" dataDxfId="479"/>
  </tableColumns>
  <tableStyleInfo name="TableStyleMedium7" showFirstColumn="0" showLastColumn="0" showRowStripes="1" showColumnStripes="0"/>
</table>
</file>

<file path=xl/tables/table3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7" xr:uid="{00000000-000C-0000-FFFF-FFFF44010000}" name="Table2249348" displayName="Table2249348" ref="AQ24:BL42" totalsRowShown="0" headerRowDxfId="478" dataDxfId="476" headerRowBorderDxfId="477">
  <autoFilter ref="AQ24:BL42" xr:uid="{00000000-0009-0000-0100-00005B010000}"/>
  <sortState xmlns:xlrd2="http://schemas.microsoft.com/office/spreadsheetml/2017/richdata2" ref="AQ25:BL42">
    <sortCondition ref="BL24:BL42"/>
  </sortState>
  <tableColumns count="22">
    <tableColumn id="1" xr3:uid="{00000000-0010-0000-4401-000001000000}" name="@" dataDxfId="475"/>
    <tableColumn id="2" xr3:uid="{00000000-0010-0000-4401-000002000000}" name="TM" dataDxfId="474"/>
    <tableColumn id="3" xr3:uid="{00000000-0010-0000-4401-000003000000}" name="PLAYER" dataDxfId="473"/>
    <tableColumn id="4" xr3:uid="{00000000-0010-0000-4401-000004000000}" name="BA" dataDxfId="472"/>
    <tableColumn id="5" xr3:uid="{00000000-0010-0000-4401-000005000000}" name="OBP" dataDxfId="471"/>
    <tableColumn id="6" xr3:uid="{00000000-0010-0000-4401-000006000000}" name="SLG" dataDxfId="470"/>
    <tableColumn id="7" xr3:uid="{00000000-0010-0000-4401-000007000000}" name="G" dataDxfId="469"/>
    <tableColumn id="8" xr3:uid="{00000000-0010-0000-4401-000008000000}" name="AB" dataDxfId="468"/>
    <tableColumn id="9" xr3:uid="{00000000-0010-0000-4401-000009000000}" name="R" dataDxfId="467"/>
    <tableColumn id="10" xr3:uid="{00000000-0010-0000-4401-00000A000000}" name="H" dataDxfId="466"/>
    <tableColumn id="11" xr3:uid="{00000000-0010-0000-4401-00000B000000}" name="2B" dataDxfId="465"/>
    <tableColumn id="12" xr3:uid="{00000000-0010-0000-4401-00000C000000}" name="3B" dataDxfId="464"/>
    <tableColumn id="13" xr3:uid="{00000000-0010-0000-4401-00000D000000}" name="HR" dataDxfId="463"/>
    <tableColumn id="14" xr3:uid="{00000000-0010-0000-4401-00000E000000}" name="RBI" dataDxfId="462"/>
    <tableColumn id="15" xr3:uid="{00000000-0010-0000-4401-00000F000000}" name="BB" dataDxfId="461"/>
    <tableColumn id="16" xr3:uid="{00000000-0010-0000-4401-000010000000}" name="K" dataDxfId="460"/>
    <tableColumn id="17" xr3:uid="{00000000-0010-0000-4401-000011000000}" name="SB" dataDxfId="459"/>
    <tableColumn id="18" xr3:uid="{00000000-0010-0000-4401-000012000000}" name="LS" dataDxfId="458"/>
    <tableColumn id="19" xr3:uid="{00000000-0010-0000-4401-000013000000}" name="TB" dataDxfId="457"/>
    <tableColumn id="20" xr3:uid="{00000000-0010-0000-4401-000014000000}" name="OPS" dataDxfId="456"/>
    <tableColumn id="21" xr3:uid="{00000000-0010-0000-4401-000015000000}" name="*" dataDxfId="455"/>
    <tableColumn id="22" xr3:uid="{00000000-0010-0000-4401-000016000000}" name="#" dataDxfId="454"/>
  </tableColumns>
  <tableStyleInfo name="TableStyleMedium7" showFirstColumn="0" showLastColumn="0" showRowStripes="1" showColumnStripes="0"/>
</table>
</file>

<file path=xl/tables/table3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8" xr:uid="{00000000-000C-0000-FFFF-FFFF45010000}" name="Table381250349" displayName="Table381250349" ref="BN2:CD14" totalsRowShown="0" headerRowDxfId="453" dataDxfId="451" headerRowBorderDxfId="452">
  <autoFilter ref="BN2:CD14" xr:uid="{00000000-0009-0000-0100-00005C010000}"/>
  <sortState xmlns:xlrd2="http://schemas.microsoft.com/office/spreadsheetml/2017/richdata2" ref="BN3:CD14">
    <sortCondition ref="CD2:CD14"/>
  </sortState>
  <tableColumns count="17">
    <tableColumn id="1" xr3:uid="{00000000-0010-0000-4501-000001000000}" name="@" dataDxfId="450"/>
    <tableColumn id="2" xr3:uid="{00000000-0010-0000-4501-000002000000}" name="TM" dataDxfId="449"/>
    <tableColumn id="3" xr3:uid="{00000000-0010-0000-4501-000003000000}" name="PLAYER" dataDxfId="448"/>
    <tableColumn id="4" xr3:uid="{00000000-0010-0000-4501-000004000000}" name="ERA" dataDxfId="447"/>
    <tableColumn id="5" xr3:uid="{00000000-0010-0000-4501-000005000000}" name="W" dataDxfId="446"/>
    <tableColumn id="6" xr3:uid="{00000000-0010-0000-4501-000006000000}" name="L" dataDxfId="445"/>
    <tableColumn id="7" xr3:uid="{00000000-0010-0000-4501-000007000000}" name="G" dataDxfId="444"/>
    <tableColumn id="8" xr3:uid="{00000000-0010-0000-4501-000008000000}" name="IP" dataDxfId="443"/>
    <tableColumn id="9" xr3:uid="{00000000-0010-0000-4501-000009000000}" name="H" dataDxfId="442"/>
    <tableColumn id="10" xr3:uid="{00000000-0010-0000-4501-00000A000000}" name="R" dataDxfId="441"/>
    <tableColumn id="11" xr3:uid="{00000000-0010-0000-4501-00000B000000}" name="BB" dataDxfId="440"/>
    <tableColumn id="12" xr3:uid="{00000000-0010-0000-4501-00000C000000}" name="SO" dataDxfId="439"/>
    <tableColumn id="13" xr3:uid="{00000000-0010-0000-4501-00000D000000}" name="SV" dataDxfId="438"/>
    <tableColumn id="14" xr3:uid="{00000000-0010-0000-4501-00000E000000}" name="WH" dataDxfId="437"/>
    <tableColumn id="15" xr3:uid="{00000000-0010-0000-4501-00000F000000}" name="UQ" dataDxfId="436"/>
    <tableColumn id="16" xr3:uid="{00000000-0010-0000-4501-000010000000}" name="SH" dataDxfId="435"/>
    <tableColumn id="17" xr3:uid="{00000000-0010-0000-4501-000011000000}" name="#" dataDxfId="434"/>
  </tableColumns>
  <tableStyleInfo name="TableStyleMedium7" showFirstColumn="0" showLastColumn="0" showRowStripes="1" showColumnStripes="0"/>
</table>
</file>

<file path=xl/tables/table3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9" xr:uid="{00000000-000C-0000-FFFF-FFFF46010000}" name="Table482251350" displayName="Table482251350" ref="BN24:CD36" totalsRowShown="0" headerRowDxfId="433" dataDxfId="431" headerRowBorderDxfId="432">
  <autoFilter ref="BN24:CD36" xr:uid="{00000000-0009-0000-0100-00005D010000}"/>
  <sortState xmlns:xlrd2="http://schemas.microsoft.com/office/spreadsheetml/2017/richdata2" ref="BN25:CD36">
    <sortCondition ref="CD24:CD36"/>
  </sortState>
  <tableColumns count="17">
    <tableColumn id="1" xr3:uid="{00000000-0010-0000-4601-000001000000}" name="@" dataDxfId="430"/>
    <tableColumn id="2" xr3:uid="{00000000-0010-0000-4601-000002000000}" name="TM" dataDxfId="429"/>
    <tableColumn id="3" xr3:uid="{00000000-0010-0000-4601-000003000000}" name="PLAYER" dataDxfId="428"/>
    <tableColumn id="4" xr3:uid="{00000000-0010-0000-4601-000004000000}" name="ERA" dataDxfId="427"/>
    <tableColumn id="5" xr3:uid="{00000000-0010-0000-4601-000005000000}" name="W" dataDxfId="426"/>
    <tableColumn id="6" xr3:uid="{00000000-0010-0000-4601-000006000000}" name="L" dataDxfId="425"/>
    <tableColumn id="7" xr3:uid="{00000000-0010-0000-4601-000007000000}" name="G" dataDxfId="424"/>
    <tableColumn id="8" xr3:uid="{00000000-0010-0000-4601-000008000000}" name="IP" dataDxfId="423"/>
    <tableColumn id="9" xr3:uid="{00000000-0010-0000-4601-000009000000}" name="H" dataDxfId="422"/>
    <tableColumn id="10" xr3:uid="{00000000-0010-0000-4601-00000A000000}" name="R" dataDxfId="421"/>
    <tableColumn id="11" xr3:uid="{00000000-0010-0000-4601-00000B000000}" name="BB" dataDxfId="420"/>
    <tableColumn id="12" xr3:uid="{00000000-0010-0000-4601-00000C000000}" name="SO" dataDxfId="419"/>
    <tableColumn id="13" xr3:uid="{00000000-0010-0000-4601-00000D000000}" name="SV" dataDxfId="418"/>
    <tableColumn id="14" xr3:uid="{00000000-0010-0000-4601-00000E000000}" name="WH" dataDxfId="417"/>
    <tableColumn id="15" xr3:uid="{00000000-0010-0000-4601-00000F000000}" name="UQ" dataDxfId="416"/>
    <tableColumn id="16" xr3:uid="{00000000-0010-0000-4601-000010000000}" name="SH" dataDxfId="415"/>
    <tableColumn id="17" xr3:uid="{00000000-0010-0000-4601-000011000000}" name="#" dataDxfId="414"/>
  </tableColumns>
  <tableStyleInfo name="TableStyleMedium7" showFirstColumn="0" showLastColumn="0" showRowStripes="1" showColumnStripes="0"/>
</table>
</file>

<file path=xl/tables/table3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0" xr:uid="{00000000-000C-0000-FFFF-FFFF47010000}" name="Table583252351" displayName="Table583252351" ref="AQ46:BL65" totalsRowShown="0" headerRowDxfId="413" dataDxfId="411" headerRowBorderDxfId="412">
  <autoFilter ref="AQ46:BL65" xr:uid="{00000000-0009-0000-0100-00005E010000}"/>
  <sortState xmlns:xlrd2="http://schemas.microsoft.com/office/spreadsheetml/2017/richdata2" ref="AQ47:BL64">
    <sortCondition ref="BL46:BL64"/>
  </sortState>
  <tableColumns count="22">
    <tableColumn id="1" xr3:uid="{00000000-0010-0000-4701-000001000000}" name="@" dataDxfId="410"/>
    <tableColumn id="2" xr3:uid="{00000000-0010-0000-4701-000002000000}" name="TM" dataDxfId="409"/>
    <tableColumn id="3" xr3:uid="{00000000-0010-0000-4701-000003000000}" name="PLAYER" dataDxfId="408"/>
    <tableColumn id="4" xr3:uid="{00000000-0010-0000-4701-000004000000}" name="BA" dataDxfId="407"/>
    <tableColumn id="5" xr3:uid="{00000000-0010-0000-4701-000005000000}" name="OBP" dataDxfId="406"/>
    <tableColumn id="6" xr3:uid="{00000000-0010-0000-4701-000006000000}" name="SLG" dataDxfId="405"/>
    <tableColumn id="7" xr3:uid="{00000000-0010-0000-4701-000007000000}" name="G" dataDxfId="404"/>
    <tableColumn id="8" xr3:uid="{00000000-0010-0000-4701-000008000000}" name="AB" dataDxfId="403"/>
    <tableColumn id="9" xr3:uid="{00000000-0010-0000-4701-000009000000}" name="R" dataDxfId="402"/>
    <tableColumn id="10" xr3:uid="{00000000-0010-0000-4701-00000A000000}" name="H" dataDxfId="401"/>
    <tableColumn id="11" xr3:uid="{00000000-0010-0000-4701-00000B000000}" name="2B" dataDxfId="400"/>
    <tableColumn id="12" xr3:uid="{00000000-0010-0000-4701-00000C000000}" name="3B" dataDxfId="399"/>
    <tableColumn id="13" xr3:uid="{00000000-0010-0000-4701-00000D000000}" name="HR" dataDxfId="398"/>
    <tableColumn id="14" xr3:uid="{00000000-0010-0000-4701-00000E000000}" name="RBI" dataDxfId="397"/>
    <tableColumn id="15" xr3:uid="{00000000-0010-0000-4701-00000F000000}" name="BB" dataDxfId="396"/>
    <tableColumn id="16" xr3:uid="{00000000-0010-0000-4701-000010000000}" name="K" dataDxfId="395"/>
    <tableColumn id="17" xr3:uid="{00000000-0010-0000-4701-000011000000}" name="SB" dataDxfId="394"/>
    <tableColumn id="18" xr3:uid="{00000000-0010-0000-4701-000012000000}" name="HS" dataDxfId="393"/>
    <tableColumn id="19" xr3:uid="{00000000-0010-0000-4701-000013000000}" name="TB" dataDxfId="392"/>
    <tableColumn id="20" xr3:uid="{00000000-0010-0000-4701-000014000000}" name="OPS" dataDxfId="391"/>
    <tableColumn id="21" xr3:uid="{00000000-0010-0000-4701-000015000000}" name="*" dataDxfId="390"/>
    <tableColumn id="22" xr3:uid="{00000000-0010-0000-4701-000016000000}" name="#" dataDxfId="389"/>
  </tableColumns>
  <tableStyleInfo name="TableStyleMedium7" showFirstColumn="0" showLastColumn="0" showRowStripes="1" showColumnStripes="0"/>
</table>
</file>

<file path=xl/tables/table3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1" xr:uid="{00000000-000C-0000-FFFF-FFFF48010000}" name="Table684253352" displayName="Table684253352" ref="AQ68:BL87" totalsRowShown="0" headerRowDxfId="388" dataDxfId="386" headerRowBorderDxfId="387">
  <autoFilter ref="AQ68:BL87" xr:uid="{00000000-0009-0000-0100-00005F010000}"/>
  <sortState xmlns:xlrd2="http://schemas.microsoft.com/office/spreadsheetml/2017/richdata2" ref="AQ69:BL86">
    <sortCondition ref="BL68:BL86"/>
  </sortState>
  <tableColumns count="22">
    <tableColumn id="1" xr3:uid="{00000000-0010-0000-4801-000001000000}" name="@" dataDxfId="385"/>
    <tableColumn id="2" xr3:uid="{00000000-0010-0000-4801-000002000000}" name="TM" dataDxfId="384"/>
    <tableColumn id="3" xr3:uid="{00000000-0010-0000-4801-000003000000}" name="PLAYER" dataDxfId="383"/>
    <tableColumn id="4" xr3:uid="{00000000-0010-0000-4801-000004000000}" name="BA" dataDxfId="382"/>
    <tableColumn id="5" xr3:uid="{00000000-0010-0000-4801-000005000000}" name="OBP" dataDxfId="381"/>
    <tableColumn id="6" xr3:uid="{00000000-0010-0000-4801-000006000000}" name="SLG" dataDxfId="380"/>
    <tableColumn id="7" xr3:uid="{00000000-0010-0000-4801-000007000000}" name="G" dataDxfId="379"/>
    <tableColumn id="8" xr3:uid="{00000000-0010-0000-4801-000008000000}" name="AB" dataDxfId="378"/>
    <tableColumn id="9" xr3:uid="{00000000-0010-0000-4801-000009000000}" name="R" dataDxfId="377"/>
    <tableColumn id="10" xr3:uid="{00000000-0010-0000-4801-00000A000000}" name="H" dataDxfId="376"/>
    <tableColumn id="11" xr3:uid="{00000000-0010-0000-4801-00000B000000}" name="2B" dataDxfId="375"/>
    <tableColumn id="12" xr3:uid="{00000000-0010-0000-4801-00000C000000}" name="3B" dataDxfId="374"/>
    <tableColumn id="13" xr3:uid="{00000000-0010-0000-4801-00000D000000}" name="HR" dataDxfId="373"/>
    <tableColumn id="14" xr3:uid="{00000000-0010-0000-4801-00000E000000}" name="RBI" dataDxfId="372"/>
    <tableColumn id="15" xr3:uid="{00000000-0010-0000-4801-00000F000000}" name="BB" dataDxfId="371"/>
    <tableColumn id="16" xr3:uid="{00000000-0010-0000-4801-000010000000}" name="K" dataDxfId="370"/>
    <tableColumn id="17" xr3:uid="{00000000-0010-0000-4801-000011000000}" name="SB" dataDxfId="369"/>
    <tableColumn id="18" xr3:uid="{00000000-0010-0000-4801-000012000000}" name="HS" dataDxfId="368"/>
    <tableColumn id="19" xr3:uid="{00000000-0010-0000-4801-000013000000}" name="TB" dataDxfId="367">
      <calculatedColumnFormula>IFERROR((Table684253352[[#This Row],[H]]-Table684253352[[#This Row],[2B]]-Table684253352[[#This Row],[3B]]-Table684253352[[#This Row],[HR]])+(Table684253352[[#This Row],[2B]]*2)+(Table684253352[[#This Row],[3B]]*3)+(Table684253352[[#This Row],[HR]]*4),0)</calculatedColumnFormula>
    </tableColumn>
    <tableColumn id="20" xr3:uid="{00000000-0010-0000-4801-000014000000}" name="OPS" dataDxfId="366"/>
    <tableColumn id="21" xr3:uid="{00000000-0010-0000-4801-000015000000}" name="*" dataDxfId="365"/>
    <tableColumn id="22" xr3:uid="{00000000-0010-0000-4801-000016000000}" name="#" dataDxfId="364"/>
  </tableColumns>
  <tableStyleInfo name="TableStyleMedium7" showFirstColumn="0" showLastColumn="0" showRowStripes="1" showColumnStripes="0"/>
</table>
</file>

<file path=xl/tables/table3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2" xr:uid="{00000000-000C-0000-FFFF-FFFF49010000}" name="Table7254353" displayName="Table7254353" ref="BN46:CD59" totalsRowShown="0" headerRowDxfId="363" dataDxfId="361" headerRowBorderDxfId="362">
  <autoFilter ref="BN46:CD59" xr:uid="{00000000-0009-0000-0100-000060010000}"/>
  <tableColumns count="17">
    <tableColumn id="1" xr3:uid="{00000000-0010-0000-4901-000001000000}" name="@" dataDxfId="360"/>
    <tableColumn id="2" xr3:uid="{00000000-0010-0000-4901-000002000000}" name="TM" dataDxfId="359"/>
    <tableColumn id="3" xr3:uid="{00000000-0010-0000-4901-000003000000}" name="PLAYER" dataDxfId="358"/>
    <tableColumn id="4" xr3:uid="{00000000-0010-0000-4901-000004000000}" name="ERA" dataDxfId="357"/>
    <tableColumn id="5" xr3:uid="{00000000-0010-0000-4901-000005000000}" name="W" dataDxfId="356"/>
    <tableColumn id="6" xr3:uid="{00000000-0010-0000-4901-000006000000}" name="L" dataDxfId="355"/>
    <tableColumn id="7" xr3:uid="{00000000-0010-0000-4901-000007000000}" name="G" dataDxfId="354"/>
    <tableColumn id="8" xr3:uid="{00000000-0010-0000-4901-000008000000}" name="IP" dataDxfId="353"/>
    <tableColumn id="9" xr3:uid="{00000000-0010-0000-4901-000009000000}" name="H" dataDxfId="352"/>
    <tableColumn id="10" xr3:uid="{00000000-0010-0000-4901-00000A000000}" name="R" dataDxfId="351"/>
    <tableColumn id="11" xr3:uid="{00000000-0010-0000-4901-00000B000000}" name="BB" dataDxfId="350"/>
    <tableColumn id="12" xr3:uid="{00000000-0010-0000-4901-00000C000000}" name="SO" dataDxfId="349"/>
    <tableColumn id="13" xr3:uid="{00000000-0010-0000-4901-00000D000000}" name="SV" dataDxfId="348"/>
    <tableColumn id="14" xr3:uid="{00000000-0010-0000-4901-00000E000000}" name="WH" dataDxfId="347"/>
    <tableColumn id="15" xr3:uid="{00000000-0010-0000-4901-00000F000000}" name="UQ" dataDxfId="346"/>
    <tableColumn id="16" xr3:uid="{00000000-0010-0000-4901-000010000000}" name="SH" dataDxfId="345"/>
    <tableColumn id="17" xr3:uid="{00000000-0010-0000-4901-000011000000}" name="#" dataDxfId="344"/>
  </tableColumns>
  <tableStyleInfo name="TableStyleMedium7" showFirstColumn="0" showLastColumn="0" showRowStripes="1" showColumnStripes="0"/>
</table>
</file>

<file path=xl/tables/table3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1" xr:uid="{00000000-000C-0000-FFFF-FFFF4A010000}" name="Table886255362" displayName="Table886255362" ref="BN68:CD81" totalsRowShown="0" headerRowDxfId="343" dataDxfId="341" headerRowBorderDxfId="342">
  <autoFilter ref="BN68:CD81" xr:uid="{00000000-0009-0000-0100-000069010000}"/>
  <tableColumns count="17">
    <tableColumn id="1" xr3:uid="{00000000-0010-0000-4A01-000001000000}" name="@" dataDxfId="340"/>
    <tableColumn id="2" xr3:uid="{00000000-0010-0000-4A01-000002000000}" name="TM" dataDxfId="339"/>
    <tableColumn id="3" xr3:uid="{00000000-0010-0000-4A01-000003000000}" name="PLAYER" dataDxfId="338"/>
    <tableColumn id="4" xr3:uid="{00000000-0010-0000-4A01-000004000000}" name="ERA" dataDxfId="337"/>
    <tableColumn id="5" xr3:uid="{00000000-0010-0000-4A01-000005000000}" name="W" dataDxfId="336"/>
    <tableColumn id="6" xr3:uid="{00000000-0010-0000-4A01-000006000000}" name="L" dataDxfId="335"/>
    <tableColumn id="7" xr3:uid="{00000000-0010-0000-4A01-000007000000}" name="G" dataDxfId="334"/>
    <tableColumn id="8" xr3:uid="{00000000-0010-0000-4A01-000008000000}" name="IP" dataDxfId="333"/>
    <tableColumn id="9" xr3:uid="{00000000-0010-0000-4A01-000009000000}" name="H" dataDxfId="332"/>
    <tableColumn id="10" xr3:uid="{00000000-0010-0000-4A01-00000A000000}" name="R" dataDxfId="331"/>
    <tableColumn id="11" xr3:uid="{00000000-0010-0000-4A01-00000B000000}" name="BB" dataDxfId="330"/>
    <tableColumn id="12" xr3:uid="{00000000-0010-0000-4A01-00000C000000}" name="SO" dataDxfId="329"/>
    <tableColumn id="13" xr3:uid="{00000000-0010-0000-4A01-00000D000000}" name="SV" dataDxfId="328"/>
    <tableColumn id="14" xr3:uid="{00000000-0010-0000-4A01-00000E000000}" name="WH" dataDxfId="327"/>
    <tableColumn id="15" xr3:uid="{00000000-0010-0000-4A01-00000F000000}" name="UQ" dataDxfId="326"/>
    <tableColumn id="16" xr3:uid="{00000000-0010-0000-4A01-000010000000}" name="SH" dataDxfId="325"/>
    <tableColumn id="17" xr3:uid="{00000000-0010-0000-4A01-000011000000}" name="#" dataDxfId="324"/>
  </tableColumns>
  <tableStyleInfo name="TableStyleMedium7" showFirstColumn="0" showLastColumn="0" showRowStripes="1" showColumnStripes="0"/>
</table>
</file>

<file path=xl/tables/table3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2" xr:uid="{00000000-000C-0000-FFFF-FFFF4B010000}" name="Table179131363" displayName="Table179131363" ref="CG2:DB20" totalsRowShown="0" headerRowDxfId="323" dataDxfId="321" headerRowBorderDxfId="322">
  <autoFilter ref="CG2:DB20" xr:uid="{00000000-0009-0000-0100-00006A010000}"/>
  <sortState xmlns:xlrd2="http://schemas.microsoft.com/office/spreadsheetml/2017/richdata2" ref="CG3:DB20">
    <sortCondition ref="DB2:DB20"/>
  </sortState>
  <tableColumns count="22">
    <tableColumn id="1" xr3:uid="{00000000-0010-0000-4B01-000001000000}" name="@" dataDxfId="320"/>
    <tableColumn id="2" xr3:uid="{00000000-0010-0000-4B01-000002000000}" name="TM" dataDxfId="319"/>
    <tableColumn id="3" xr3:uid="{00000000-0010-0000-4B01-000003000000}" name="PLAYER" dataDxfId="318"/>
    <tableColumn id="4" xr3:uid="{00000000-0010-0000-4B01-000004000000}" name="BA" dataDxfId="317"/>
    <tableColumn id="5" xr3:uid="{00000000-0010-0000-4B01-000005000000}" name="OBP" dataDxfId="316"/>
    <tableColumn id="6" xr3:uid="{00000000-0010-0000-4B01-000006000000}" name="SLG" dataDxfId="315"/>
    <tableColumn id="7" xr3:uid="{00000000-0010-0000-4B01-000007000000}" name="G" dataDxfId="314"/>
    <tableColumn id="8" xr3:uid="{00000000-0010-0000-4B01-000008000000}" name="AB" dataDxfId="313"/>
    <tableColumn id="9" xr3:uid="{00000000-0010-0000-4B01-000009000000}" name="R" dataDxfId="312"/>
    <tableColumn id="10" xr3:uid="{00000000-0010-0000-4B01-00000A000000}" name="H" dataDxfId="311"/>
    <tableColumn id="11" xr3:uid="{00000000-0010-0000-4B01-00000B000000}" name="2B" dataDxfId="310"/>
    <tableColumn id="12" xr3:uid="{00000000-0010-0000-4B01-00000C000000}" name="3B" dataDxfId="309"/>
    <tableColumn id="13" xr3:uid="{00000000-0010-0000-4B01-00000D000000}" name="HR" dataDxfId="308"/>
    <tableColumn id="14" xr3:uid="{00000000-0010-0000-4B01-00000E000000}" name="RBI" dataDxfId="307"/>
    <tableColumn id="15" xr3:uid="{00000000-0010-0000-4B01-00000F000000}" name="BB" dataDxfId="306"/>
    <tableColumn id="16" xr3:uid="{00000000-0010-0000-4B01-000010000000}" name="K" dataDxfId="305"/>
    <tableColumn id="17" xr3:uid="{00000000-0010-0000-4B01-000011000000}" name="SB" dataDxfId="304"/>
    <tableColumn id="18" xr3:uid="{00000000-0010-0000-4B01-000012000000}" name="LS" dataDxfId="303"/>
    <tableColumn id="19" xr3:uid="{00000000-0010-0000-4B01-000013000000}" name="TB" dataDxfId="302"/>
    <tableColumn id="20" xr3:uid="{00000000-0010-0000-4B01-000014000000}" name="OPS" dataDxfId="301"/>
    <tableColumn id="21" xr3:uid="{00000000-0010-0000-4B01-000015000000}" name="*" dataDxfId="300"/>
    <tableColumn id="22" xr3:uid="{00000000-0010-0000-4B01-000016000000}" name="#" dataDxfId="299"/>
  </tableColumns>
  <tableStyleInfo name="TableStyleMedium7" showFirstColumn="0" showLastColumn="0" showRowStripes="1" showColumnStripes="0"/>
</table>
</file>

<file path=xl/tables/table3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3" xr:uid="{00000000-000C-0000-FFFF-FFFF4C010000}" name="Table2132364" displayName="Table2132364" ref="CG24:DB42" totalsRowShown="0" headerRowDxfId="298" dataDxfId="296" headerRowBorderDxfId="297">
  <autoFilter ref="CG24:DB42" xr:uid="{00000000-0009-0000-0100-00006B010000}"/>
  <sortState xmlns:xlrd2="http://schemas.microsoft.com/office/spreadsheetml/2017/richdata2" ref="CG25:DB42">
    <sortCondition ref="DB24:DB42"/>
  </sortState>
  <tableColumns count="22">
    <tableColumn id="1" xr3:uid="{00000000-0010-0000-4C01-000001000000}" name="@" dataDxfId="295"/>
    <tableColumn id="2" xr3:uid="{00000000-0010-0000-4C01-000002000000}" name="TM" dataDxfId="294"/>
    <tableColumn id="3" xr3:uid="{00000000-0010-0000-4C01-000003000000}" name="PLAYER" dataDxfId="293"/>
    <tableColumn id="4" xr3:uid="{00000000-0010-0000-4C01-000004000000}" name="BA" dataDxfId="292"/>
    <tableColumn id="5" xr3:uid="{00000000-0010-0000-4C01-000005000000}" name="OBP" dataDxfId="291"/>
    <tableColumn id="6" xr3:uid="{00000000-0010-0000-4C01-000006000000}" name="SLG" dataDxfId="290"/>
    <tableColumn id="7" xr3:uid="{00000000-0010-0000-4C01-000007000000}" name="G" dataDxfId="289"/>
    <tableColumn id="8" xr3:uid="{00000000-0010-0000-4C01-000008000000}" name="AB" dataDxfId="288"/>
    <tableColumn id="9" xr3:uid="{00000000-0010-0000-4C01-000009000000}" name="R" dataDxfId="287"/>
    <tableColumn id="10" xr3:uid="{00000000-0010-0000-4C01-00000A000000}" name="H" dataDxfId="286"/>
    <tableColumn id="11" xr3:uid="{00000000-0010-0000-4C01-00000B000000}" name="2B" dataDxfId="285"/>
    <tableColumn id="12" xr3:uid="{00000000-0010-0000-4C01-00000C000000}" name="3B" dataDxfId="284"/>
    <tableColumn id="13" xr3:uid="{00000000-0010-0000-4C01-00000D000000}" name="HR" dataDxfId="283"/>
    <tableColumn id="14" xr3:uid="{00000000-0010-0000-4C01-00000E000000}" name="RBI" dataDxfId="282"/>
    <tableColumn id="15" xr3:uid="{00000000-0010-0000-4C01-00000F000000}" name="BB" dataDxfId="281"/>
    <tableColumn id="16" xr3:uid="{00000000-0010-0000-4C01-000010000000}" name="K" dataDxfId="280"/>
    <tableColumn id="17" xr3:uid="{00000000-0010-0000-4C01-000011000000}" name="SB" dataDxfId="279"/>
    <tableColumn id="18" xr3:uid="{00000000-0010-0000-4C01-000012000000}" name="LS" dataDxfId="278"/>
    <tableColumn id="19" xr3:uid="{00000000-0010-0000-4C01-000013000000}" name="TB" dataDxfId="277"/>
    <tableColumn id="20" xr3:uid="{00000000-0010-0000-4C01-000014000000}" name="OPS" dataDxfId="276"/>
    <tableColumn id="21" xr3:uid="{00000000-0010-0000-4C01-000015000000}" name="*" dataDxfId="275"/>
    <tableColumn id="22" xr3:uid="{00000000-0010-0000-4C01-000016000000}" name="#" dataDxfId="274"/>
  </tableColumns>
  <tableStyleInfo name="TableStyleMedium7" showFirstColumn="0" showLastColumn="0" showRowStripes="1" showColumnStripes="0"/>
</table>
</file>

<file path=xl/tables/table3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4" xr:uid="{00000000-000C-0000-FFFF-FFFF4D010000}" name="Table381133365" displayName="Table381133365" ref="DD2:DT14" totalsRowShown="0" headerRowDxfId="273" dataDxfId="271" headerRowBorderDxfId="272">
  <autoFilter ref="DD2:DT14" xr:uid="{00000000-0009-0000-0100-00006C010000}"/>
  <sortState xmlns:xlrd2="http://schemas.microsoft.com/office/spreadsheetml/2017/richdata2" ref="DD3:DT14">
    <sortCondition ref="DT2:DT14"/>
  </sortState>
  <tableColumns count="17">
    <tableColumn id="1" xr3:uid="{00000000-0010-0000-4D01-000001000000}" name="@" dataDxfId="270"/>
    <tableColumn id="2" xr3:uid="{00000000-0010-0000-4D01-000002000000}" name="TM" dataDxfId="269"/>
    <tableColumn id="3" xr3:uid="{00000000-0010-0000-4D01-000003000000}" name="PLAYER" dataDxfId="268"/>
    <tableColumn id="4" xr3:uid="{00000000-0010-0000-4D01-000004000000}" name="ERA" dataDxfId="267"/>
    <tableColumn id="5" xr3:uid="{00000000-0010-0000-4D01-000005000000}" name="W" dataDxfId="266"/>
    <tableColumn id="6" xr3:uid="{00000000-0010-0000-4D01-000006000000}" name="L" dataDxfId="265"/>
    <tableColumn id="7" xr3:uid="{00000000-0010-0000-4D01-000007000000}" name="G" dataDxfId="264"/>
    <tableColumn id="8" xr3:uid="{00000000-0010-0000-4D01-000008000000}" name="IP" dataDxfId="263"/>
    <tableColumn id="9" xr3:uid="{00000000-0010-0000-4D01-000009000000}" name="H" dataDxfId="262"/>
    <tableColumn id="10" xr3:uid="{00000000-0010-0000-4D01-00000A000000}" name="R" dataDxfId="261"/>
    <tableColumn id="11" xr3:uid="{00000000-0010-0000-4D01-00000B000000}" name="BB" dataDxfId="260"/>
    <tableColumn id="12" xr3:uid="{00000000-0010-0000-4D01-00000C000000}" name="SO" dataDxfId="259"/>
    <tableColumn id="13" xr3:uid="{00000000-0010-0000-4D01-00000D000000}" name="SV" dataDxfId="258"/>
    <tableColumn id="14" xr3:uid="{00000000-0010-0000-4D01-00000E000000}" name="WH" dataDxfId="257"/>
    <tableColumn id="15" xr3:uid="{00000000-0010-0000-4D01-00000F000000}" name="UQ" dataDxfId="256"/>
    <tableColumn id="16" xr3:uid="{00000000-0010-0000-4D01-000010000000}" name="SH" dataDxfId="255"/>
    <tableColumn id="17" xr3:uid="{00000000-0010-0000-4D01-000011000000}" name="#" dataDxfId="254"/>
  </tableColumns>
  <tableStyleInfo name="TableStyleMedium7" showFirstColumn="0" showLastColumn="0" showRowStripes="1" showColumnStripes="0"/>
</table>
</file>

<file path=xl/tables/table3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5" xr:uid="{00000000-000C-0000-FFFF-FFFF4E010000}" name="Table482134366" displayName="Table482134366" ref="DD24:DT36" totalsRowShown="0" headerRowDxfId="253" dataDxfId="251" headerRowBorderDxfId="252">
  <autoFilter ref="DD24:DT36" xr:uid="{00000000-0009-0000-0100-00006D010000}"/>
  <sortState xmlns:xlrd2="http://schemas.microsoft.com/office/spreadsheetml/2017/richdata2" ref="DD25:DT36">
    <sortCondition ref="DT24:DT36"/>
  </sortState>
  <tableColumns count="17">
    <tableColumn id="1" xr3:uid="{00000000-0010-0000-4E01-000001000000}" name="@" dataDxfId="250"/>
    <tableColumn id="2" xr3:uid="{00000000-0010-0000-4E01-000002000000}" name="TM" dataDxfId="249"/>
    <tableColumn id="3" xr3:uid="{00000000-0010-0000-4E01-000003000000}" name="PLAYER" dataDxfId="248"/>
    <tableColumn id="4" xr3:uid="{00000000-0010-0000-4E01-000004000000}" name="ERA" dataDxfId="247"/>
    <tableColumn id="5" xr3:uid="{00000000-0010-0000-4E01-000005000000}" name="W" dataDxfId="246"/>
    <tableColumn id="6" xr3:uid="{00000000-0010-0000-4E01-000006000000}" name="L" dataDxfId="245"/>
    <tableColumn id="7" xr3:uid="{00000000-0010-0000-4E01-000007000000}" name="G" dataDxfId="244"/>
    <tableColumn id="8" xr3:uid="{00000000-0010-0000-4E01-000008000000}" name="IP" dataDxfId="243"/>
    <tableColumn id="9" xr3:uid="{00000000-0010-0000-4E01-000009000000}" name="H" dataDxfId="242"/>
    <tableColumn id="10" xr3:uid="{00000000-0010-0000-4E01-00000A000000}" name="R" dataDxfId="241"/>
    <tableColumn id="11" xr3:uid="{00000000-0010-0000-4E01-00000B000000}" name="BB" dataDxfId="240"/>
    <tableColumn id="12" xr3:uid="{00000000-0010-0000-4E01-00000C000000}" name="SO" dataDxfId="239"/>
    <tableColumn id="13" xr3:uid="{00000000-0010-0000-4E01-00000D000000}" name="SV" dataDxfId="238"/>
    <tableColumn id="14" xr3:uid="{00000000-0010-0000-4E01-00000E000000}" name="WH" dataDxfId="237"/>
    <tableColumn id="15" xr3:uid="{00000000-0010-0000-4E01-00000F000000}" name="UQ" dataDxfId="236"/>
    <tableColumn id="16" xr3:uid="{00000000-0010-0000-4E01-000010000000}" name="SH" dataDxfId="235"/>
    <tableColumn id="17" xr3:uid="{00000000-0010-0000-4E01-000011000000}" name="#" dataDxfId="234"/>
  </tableColumns>
  <tableStyleInfo name="TableStyleMedium7" showFirstColumn="0" showLastColumn="0" showRowStripes="1" showColumnStripes="0"/>
</table>
</file>

<file path=xl/tables/table3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6" xr:uid="{00000000-000C-0000-FFFF-FFFF4F010000}" name="Table583135367" displayName="Table583135367" ref="CG46:DB65" totalsRowShown="0" headerRowDxfId="233" dataDxfId="231" headerRowBorderDxfId="232">
  <autoFilter ref="CG46:DB65" xr:uid="{00000000-0009-0000-0100-00006E010000}"/>
  <tableColumns count="22">
    <tableColumn id="1" xr3:uid="{00000000-0010-0000-4F01-000001000000}" name="@" dataDxfId="230"/>
    <tableColumn id="2" xr3:uid="{00000000-0010-0000-4F01-000002000000}" name="TM" dataDxfId="229"/>
    <tableColumn id="3" xr3:uid="{00000000-0010-0000-4F01-000003000000}" name="PLAYER" dataDxfId="228"/>
    <tableColumn id="4" xr3:uid="{00000000-0010-0000-4F01-000004000000}" name="BA" dataDxfId="227"/>
    <tableColumn id="5" xr3:uid="{00000000-0010-0000-4F01-000005000000}" name="OBP" dataDxfId="226"/>
    <tableColumn id="6" xr3:uid="{00000000-0010-0000-4F01-000006000000}" name="SLG" dataDxfId="225"/>
    <tableColumn id="7" xr3:uid="{00000000-0010-0000-4F01-000007000000}" name="G" dataDxfId="224"/>
    <tableColumn id="8" xr3:uid="{00000000-0010-0000-4F01-000008000000}" name="AB" dataDxfId="223"/>
    <tableColumn id="9" xr3:uid="{00000000-0010-0000-4F01-000009000000}" name="R" dataDxfId="222"/>
    <tableColumn id="10" xr3:uid="{00000000-0010-0000-4F01-00000A000000}" name="H" dataDxfId="221"/>
    <tableColumn id="11" xr3:uid="{00000000-0010-0000-4F01-00000B000000}" name="2B" dataDxfId="220"/>
    <tableColumn id="12" xr3:uid="{00000000-0010-0000-4F01-00000C000000}" name="3B" dataDxfId="219"/>
    <tableColumn id="13" xr3:uid="{00000000-0010-0000-4F01-00000D000000}" name="HR" dataDxfId="218"/>
    <tableColumn id="14" xr3:uid="{00000000-0010-0000-4F01-00000E000000}" name="RBI" dataDxfId="217"/>
    <tableColumn id="15" xr3:uid="{00000000-0010-0000-4F01-00000F000000}" name="BB" dataDxfId="216"/>
    <tableColumn id="16" xr3:uid="{00000000-0010-0000-4F01-000010000000}" name="K" dataDxfId="215"/>
    <tableColumn id="17" xr3:uid="{00000000-0010-0000-4F01-000011000000}" name="SB" dataDxfId="214"/>
    <tableColumn id="18" xr3:uid="{00000000-0010-0000-4F01-000012000000}" name="HS" dataDxfId="213"/>
    <tableColumn id="19" xr3:uid="{00000000-0010-0000-4F01-000013000000}" name="TB" dataDxfId="212"/>
    <tableColumn id="20" xr3:uid="{00000000-0010-0000-4F01-000014000000}" name="OPS" dataDxfId="211"/>
    <tableColumn id="21" xr3:uid="{00000000-0010-0000-4F01-000015000000}" name="*" dataDxfId="210"/>
    <tableColumn id="22" xr3:uid="{00000000-0010-0000-4F01-000016000000}" name="#" dataDxfId="209"/>
  </tableColumns>
  <tableStyleInfo name="TableStyleMedium7" showFirstColumn="0" showLastColumn="0" showRowStripes="1" showColumnStripes="0"/>
</table>
</file>

<file path=xl/tables/table3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7" xr:uid="{00000000-000C-0000-FFFF-FFFF50010000}" name="Table684136368" displayName="Table684136368" ref="CG68:DB86" totalsRowShown="0" headerRowDxfId="208" dataDxfId="206" headerRowBorderDxfId="207">
  <autoFilter ref="CG68:DB86" xr:uid="{00000000-0009-0000-0100-00006F010000}"/>
  <tableColumns count="22">
    <tableColumn id="1" xr3:uid="{00000000-0010-0000-5001-000001000000}" name="@" dataDxfId="205"/>
    <tableColumn id="2" xr3:uid="{00000000-0010-0000-5001-000002000000}" name="TM" dataDxfId="204"/>
    <tableColumn id="3" xr3:uid="{00000000-0010-0000-5001-000003000000}" name="PLAYER" dataDxfId="203"/>
    <tableColumn id="4" xr3:uid="{00000000-0010-0000-5001-000004000000}" name="BA" dataDxfId="202"/>
    <tableColumn id="5" xr3:uid="{00000000-0010-0000-5001-000005000000}" name="OBP" dataDxfId="201"/>
    <tableColumn id="6" xr3:uid="{00000000-0010-0000-5001-000006000000}" name="SLG" dataDxfId="200"/>
    <tableColumn id="7" xr3:uid="{00000000-0010-0000-5001-000007000000}" name="G" dataDxfId="199"/>
    <tableColumn id="8" xr3:uid="{00000000-0010-0000-5001-000008000000}" name="AB" dataDxfId="198"/>
    <tableColumn id="9" xr3:uid="{00000000-0010-0000-5001-000009000000}" name="R" dataDxfId="197"/>
    <tableColumn id="10" xr3:uid="{00000000-0010-0000-5001-00000A000000}" name="H" dataDxfId="196"/>
    <tableColumn id="11" xr3:uid="{00000000-0010-0000-5001-00000B000000}" name="2B" dataDxfId="195"/>
    <tableColumn id="12" xr3:uid="{00000000-0010-0000-5001-00000C000000}" name="3B" dataDxfId="194"/>
    <tableColumn id="13" xr3:uid="{00000000-0010-0000-5001-00000D000000}" name="HR" dataDxfId="193"/>
    <tableColumn id="14" xr3:uid="{00000000-0010-0000-5001-00000E000000}" name="RBI" dataDxfId="192"/>
    <tableColumn id="15" xr3:uid="{00000000-0010-0000-5001-00000F000000}" name="BB" dataDxfId="191"/>
    <tableColumn id="16" xr3:uid="{00000000-0010-0000-5001-000010000000}" name="K" dataDxfId="190"/>
    <tableColumn id="17" xr3:uid="{00000000-0010-0000-5001-000011000000}" name="SB" dataDxfId="189"/>
    <tableColumn id="18" xr3:uid="{00000000-0010-0000-5001-000012000000}" name="LS" dataDxfId="188"/>
    <tableColumn id="19" xr3:uid="{00000000-0010-0000-5001-000013000000}" name="TB" dataDxfId="187"/>
    <tableColumn id="20" xr3:uid="{00000000-0010-0000-5001-000014000000}" name="OPS" dataDxfId="186"/>
    <tableColumn id="21" xr3:uid="{00000000-0010-0000-5001-000015000000}" name="*" dataDxfId="185"/>
    <tableColumn id="22" xr3:uid="{00000000-0010-0000-5001-000016000000}" name="#" dataDxfId="184"/>
  </tableColumns>
  <tableStyleInfo name="TableStyleMedium7" showFirstColumn="0" showLastColumn="0" showRowStripes="1" showColumnStripes="0"/>
</table>
</file>

<file path=xl/tables/table3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8" xr:uid="{00000000-000C-0000-FFFF-FFFF51010000}" name="Table7137369" displayName="Table7137369" ref="DD46:DT59" totalsRowShown="0" headerRowDxfId="183" dataDxfId="181" headerRowBorderDxfId="182">
  <autoFilter ref="DD46:DT59" xr:uid="{00000000-0009-0000-0100-000070010000}"/>
  <tableColumns count="17">
    <tableColumn id="1" xr3:uid="{00000000-0010-0000-5101-000001000000}" name="@" dataDxfId="180"/>
    <tableColumn id="2" xr3:uid="{00000000-0010-0000-5101-000002000000}" name="TM" dataDxfId="179"/>
    <tableColumn id="3" xr3:uid="{00000000-0010-0000-5101-000003000000}" name="PLAYER" dataDxfId="178"/>
    <tableColumn id="4" xr3:uid="{00000000-0010-0000-5101-000004000000}" name="ERA" dataDxfId="177"/>
    <tableColumn id="5" xr3:uid="{00000000-0010-0000-5101-000005000000}" name="W" dataDxfId="176"/>
    <tableColumn id="6" xr3:uid="{00000000-0010-0000-5101-000006000000}" name="L" dataDxfId="175"/>
    <tableColumn id="7" xr3:uid="{00000000-0010-0000-5101-000007000000}" name="G" dataDxfId="174"/>
    <tableColumn id="8" xr3:uid="{00000000-0010-0000-5101-000008000000}" name="IP" dataDxfId="173"/>
    <tableColumn id="9" xr3:uid="{00000000-0010-0000-5101-000009000000}" name="H" dataDxfId="172"/>
    <tableColumn id="10" xr3:uid="{00000000-0010-0000-5101-00000A000000}" name="R" dataDxfId="171"/>
    <tableColumn id="11" xr3:uid="{00000000-0010-0000-5101-00000B000000}" name="BB" dataDxfId="170"/>
    <tableColumn id="12" xr3:uid="{00000000-0010-0000-5101-00000C000000}" name="SO" dataDxfId="169"/>
    <tableColumn id="13" xr3:uid="{00000000-0010-0000-5101-00000D000000}" name="SV" dataDxfId="168"/>
    <tableColumn id="14" xr3:uid="{00000000-0010-0000-5101-00000E000000}" name="WH" dataDxfId="167"/>
    <tableColumn id="15" xr3:uid="{00000000-0010-0000-5101-00000F000000}" name="UQ" dataDxfId="166"/>
    <tableColumn id="16" xr3:uid="{00000000-0010-0000-5101-000010000000}" name="SH" dataDxfId="165"/>
    <tableColumn id="17" xr3:uid="{00000000-0010-0000-5101-000011000000}" name="#" dataDxfId="164"/>
  </tableColumns>
  <tableStyleInfo name="TableStyleMedium7" showFirstColumn="0" showLastColumn="0" showRowStripes="1" showColumnStripes="0"/>
</table>
</file>

<file path=xl/tables/table3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9" xr:uid="{00000000-000C-0000-FFFF-FFFF52010000}" name="Table886138370" displayName="Table886138370" ref="DD68:DT80" totalsRowShown="0" headerRowDxfId="163" dataDxfId="161" headerRowBorderDxfId="162">
  <autoFilter ref="DD68:DT80" xr:uid="{00000000-0009-0000-0100-000071010000}"/>
  <tableColumns count="17">
    <tableColumn id="1" xr3:uid="{00000000-0010-0000-5201-000001000000}" name="@" dataDxfId="160"/>
    <tableColumn id="2" xr3:uid="{00000000-0010-0000-5201-000002000000}" name="TM" dataDxfId="159"/>
    <tableColumn id="3" xr3:uid="{00000000-0010-0000-5201-000003000000}" name="PLAYER" dataDxfId="158"/>
    <tableColumn id="4" xr3:uid="{00000000-0010-0000-5201-000004000000}" name="ERA" dataDxfId="157"/>
    <tableColumn id="5" xr3:uid="{00000000-0010-0000-5201-000005000000}" name="W" dataDxfId="156"/>
    <tableColumn id="6" xr3:uid="{00000000-0010-0000-5201-000006000000}" name="L" dataDxfId="155"/>
    <tableColumn id="7" xr3:uid="{00000000-0010-0000-5201-000007000000}" name="G" dataDxfId="154"/>
    <tableColumn id="8" xr3:uid="{00000000-0010-0000-5201-000008000000}" name="IP" dataDxfId="153"/>
    <tableColumn id="9" xr3:uid="{00000000-0010-0000-5201-000009000000}" name="H" dataDxfId="152"/>
    <tableColumn id="10" xr3:uid="{00000000-0010-0000-5201-00000A000000}" name="R" dataDxfId="151"/>
    <tableColumn id="11" xr3:uid="{00000000-0010-0000-5201-00000B000000}" name="BB" dataDxfId="150"/>
    <tableColumn id="12" xr3:uid="{00000000-0010-0000-5201-00000C000000}" name="SO" dataDxfId="149"/>
    <tableColumn id="13" xr3:uid="{00000000-0010-0000-5201-00000D000000}" name="SV" dataDxfId="148"/>
    <tableColumn id="14" xr3:uid="{00000000-0010-0000-5201-00000E000000}" name="WH" dataDxfId="147"/>
    <tableColumn id="15" xr3:uid="{00000000-0010-0000-5201-00000F000000}" name="UQ" dataDxfId="146"/>
    <tableColumn id="16" xr3:uid="{00000000-0010-0000-5201-000010000000}" name="SH" dataDxfId="145"/>
    <tableColumn id="17" xr3:uid="{00000000-0010-0000-5201-000011000000}" name="#" dataDxfId="144"/>
  </tableColumns>
  <tableStyleInfo name="TableStyleMedium7" showFirstColumn="0" showLastColumn="0" showRowStripes="1" showColumnStripes="0"/>
</table>
</file>

<file path=xl/tables/table3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53010000}" name="Table115" displayName="Table115" ref="A2:W170" totalsRowShown="0" headerRowDxfId="143" dataDxfId="141" headerRowBorderDxfId="142">
  <autoFilter ref="A2:W170" xr:uid="{00000000-0009-0000-0100-000008000000}"/>
  <sortState xmlns:xlrd2="http://schemas.microsoft.com/office/spreadsheetml/2017/richdata2" ref="A3:W170">
    <sortCondition ref="W2:W170"/>
  </sortState>
  <tableColumns count="23">
    <tableColumn id="1" xr3:uid="{00000000-0010-0000-5301-000001000000}" name="TM" dataDxfId="140"/>
    <tableColumn id="2" xr3:uid="{00000000-0010-0000-5301-000002000000}" name="@" dataDxfId="139"/>
    <tableColumn id="3" xr3:uid="{00000000-0010-0000-5301-000003000000}" name="NAME" dataDxfId="138"/>
    <tableColumn id="4" xr3:uid="{00000000-0010-0000-5301-000004000000}" name="BA" dataDxfId="137"/>
    <tableColumn id="5" xr3:uid="{00000000-0010-0000-5301-000005000000}" name="OBP" dataDxfId="136"/>
    <tableColumn id="6" xr3:uid="{00000000-0010-0000-5301-000006000000}" name="SLG" dataDxfId="135"/>
    <tableColumn id="7" xr3:uid="{00000000-0010-0000-5301-000007000000}" name="G" dataDxfId="134"/>
    <tableColumn id="8" xr3:uid="{00000000-0010-0000-5301-000008000000}" name="AB" dataDxfId="133"/>
    <tableColumn id="9" xr3:uid="{00000000-0010-0000-5301-000009000000}" name="R" dataDxfId="132"/>
    <tableColumn id="10" xr3:uid="{00000000-0010-0000-5301-00000A000000}" name="H" dataDxfId="131"/>
    <tableColumn id="11" xr3:uid="{00000000-0010-0000-5301-00000B000000}" name="2B" dataDxfId="130"/>
    <tableColumn id="12" xr3:uid="{00000000-0010-0000-5301-00000C000000}" name="3B" dataDxfId="129"/>
    <tableColumn id="13" xr3:uid="{00000000-0010-0000-5301-00000D000000}" name="HR" dataDxfId="128"/>
    <tableColumn id="14" xr3:uid="{00000000-0010-0000-5301-00000E000000}" name="RBI" dataDxfId="127"/>
    <tableColumn id="15" xr3:uid="{00000000-0010-0000-5301-00000F000000}" name="BB" dataDxfId="126"/>
    <tableColumn id="16" xr3:uid="{00000000-0010-0000-5301-000010000000}" name="K" dataDxfId="125"/>
    <tableColumn id="17" xr3:uid="{00000000-0010-0000-5301-000011000000}" name="SB" dataDxfId="124"/>
    <tableColumn id="18" xr3:uid="{00000000-0010-0000-5301-000012000000}" name="HS" dataDxfId="123"/>
    <tableColumn id="19" xr3:uid="{00000000-0010-0000-5301-000013000000}" name="LS" dataDxfId="122"/>
    <tableColumn id="20" xr3:uid="{00000000-0010-0000-5301-000014000000}" name="TB" dataDxfId="121"/>
    <tableColumn id="21" xr3:uid="{00000000-0010-0000-5301-000015000000}" name="OPS" dataDxfId="120"/>
    <tableColumn id="22" xr3:uid="{00000000-0010-0000-5301-000016000000}" name="*" dataDxfId="119"/>
    <tableColumn id="23" xr3:uid="{00000000-0010-0000-5301-000017000000}" name="#" dataDxfId="118"/>
  </tableColumns>
  <tableStyleInfo name="TableStyleMedium1" showFirstColumn="0" showLastColumn="0" showRowStripes="1" showColumnStripes="0"/>
</table>
</file>

<file path=xl/tables/table3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00000000-000C-0000-FFFF-FFFF54010000}" name="Table115268" displayName="Table115268" ref="Z2:AV170" totalsRowShown="0" headerRowDxfId="117" dataDxfId="115" headerRowBorderDxfId="116">
  <autoFilter ref="Z2:AV170" xr:uid="{00000000-0009-0000-0100-00000B010000}"/>
  <sortState xmlns:xlrd2="http://schemas.microsoft.com/office/spreadsheetml/2017/richdata2" ref="Z3:AV170">
    <sortCondition ref="AV2:AV170"/>
  </sortState>
  <tableColumns count="23">
    <tableColumn id="1" xr3:uid="{00000000-0010-0000-5401-000001000000}" name="TM" dataDxfId="114"/>
    <tableColumn id="2" xr3:uid="{00000000-0010-0000-5401-000002000000}" name="@" dataDxfId="113"/>
    <tableColumn id="3" xr3:uid="{00000000-0010-0000-5401-000003000000}" name="NAME" dataDxfId="112"/>
    <tableColumn id="4" xr3:uid="{00000000-0010-0000-5401-000004000000}" name="BA" dataDxfId="111"/>
    <tableColumn id="5" xr3:uid="{00000000-0010-0000-5401-000005000000}" name="OBP" dataDxfId="110"/>
    <tableColumn id="6" xr3:uid="{00000000-0010-0000-5401-000006000000}" name="SLG" dataDxfId="109"/>
    <tableColumn id="7" xr3:uid="{00000000-0010-0000-5401-000007000000}" name="G" dataDxfId="108"/>
    <tableColumn id="8" xr3:uid="{00000000-0010-0000-5401-000008000000}" name="AB" dataDxfId="107"/>
    <tableColumn id="9" xr3:uid="{00000000-0010-0000-5401-000009000000}" name="R" dataDxfId="106"/>
    <tableColumn id="10" xr3:uid="{00000000-0010-0000-5401-00000A000000}" name="H" dataDxfId="105"/>
    <tableColumn id="11" xr3:uid="{00000000-0010-0000-5401-00000B000000}" name="2B" dataDxfId="104"/>
    <tableColumn id="12" xr3:uid="{00000000-0010-0000-5401-00000C000000}" name="3B" dataDxfId="103"/>
    <tableColumn id="13" xr3:uid="{00000000-0010-0000-5401-00000D000000}" name="HR" dataDxfId="102"/>
    <tableColumn id="14" xr3:uid="{00000000-0010-0000-5401-00000E000000}" name="RBI" dataDxfId="101"/>
    <tableColumn id="15" xr3:uid="{00000000-0010-0000-5401-00000F000000}" name="BB" dataDxfId="100"/>
    <tableColumn id="16" xr3:uid="{00000000-0010-0000-5401-000010000000}" name="K" dataDxfId="99"/>
    <tableColumn id="17" xr3:uid="{00000000-0010-0000-5401-000011000000}" name="SB" dataDxfId="98"/>
    <tableColumn id="18" xr3:uid="{00000000-0010-0000-5401-000012000000}" name="HS" dataDxfId="97"/>
    <tableColumn id="19" xr3:uid="{00000000-0010-0000-5401-000013000000}" name="LS" dataDxfId="96"/>
    <tableColumn id="20" xr3:uid="{00000000-0010-0000-5401-000014000000}" name="TB" dataDxfId="95"/>
    <tableColumn id="21" xr3:uid="{00000000-0010-0000-5401-000015000000}" name="OPS" dataDxfId="94"/>
    <tableColumn id="22" xr3:uid="{00000000-0010-0000-5401-000016000000}" name="*" dataDxfId="93"/>
    <tableColumn id="23" xr3:uid="{00000000-0010-0000-5401-000017000000}" name="#" dataDxfId="92"/>
  </tableColumns>
  <tableStyleInfo name="TableStyleMedium1" showFirstColumn="0" showLastColumn="0" showRowStripes="1" showColumnStripes="0"/>
</table>
</file>

<file path=xl/tables/table3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00000000-000C-0000-FFFF-FFFF55010000}" name="Table115117208" displayName="Table115117208" ref="AY2:BU170" totalsRowShown="0" headerRowDxfId="91" dataDxfId="89" headerRowBorderDxfId="90">
  <autoFilter ref="AY2:BU170" xr:uid="{00000000-0009-0000-0100-00000C010000}"/>
  <sortState xmlns:xlrd2="http://schemas.microsoft.com/office/spreadsheetml/2017/richdata2" ref="AY3:BU170">
    <sortCondition ref="BU2:BU170"/>
  </sortState>
  <tableColumns count="23">
    <tableColumn id="1" xr3:uid="{00000000-0010-0000-5501-000001000000}" name="TM" dataDxfId="88"/>
    <tableColumn id="2" xr3:uid="{00000000-0010-0000-5501-000002000000}" name="@" dataDxfId="87"/>
    <tableColumn id="3" xr3:uid="{00000000-0010-0000-5501-000003000000}" name="NAME" dataDxfId="86"/>
    <tableColumn id="4" xr3:uid="{00000000-0010-0000-5501-000004000000}" name="BA" dataDxfId="85"/>
    <tableColumn id="5" xr3:uid="{00000000-0010-0000-5501-000005000000}" name="OBP" dataDxfId="84"/>
    <tableColumn id="6" xr3:uid="{00000000-0010-0000-5501-000006000000}" name="SLG" dataDxfId="83"/>
    <tableColumn id="7" xr3:uid="{00000000-0010-0000-5501-000007000000}" name="G" dataDxfId="82"/>
    <tableColumn id="8" xr3:uid="{00000000-0010-0000-5501-000008000000}" name="AB" dataDxfId="81"/>
    <tableColumn id="9" xr3:uid="{00000000-0010-0000-5501-000009000000}" name="R" dataDxfId="80"/>
    <tableColumn id="10" xr3:uid="{00000000-0010-0000-5501-00000A000000}" name="H" dataDxfId="79"/>
    <tableColumn id="11" xr3:uid="{00000000-0010-0000-5501-00000B000000}" name="2B" dataDxfId="78"/>
    <tableColumn id="12" xr3:uid="{00000000-0010-0000-5501-00000C000000}" name="3B" dataDxfId="77"/>
    <tableColumn id="13" xr3:uid="{00000000-0010-0000-5501-00000D000000}" name="HR" dataDxfId="76"/>
    <tableColumn id="14" xr3:uid="{00000000-0010-0000-5501-00000E000000}" name="RBI" dataDxfId="75"/>
    <tableColumn id="15" xr3:uid="{00000000-0010-0000-5501-00000F000000}" name="BB" dataDxfId="74"/>
    <tableColumn id="16" xr3:uid="{00000000-0010-0000-5501-000010000000}" name="K" dataDxfId="73"/>
    <tableColumn id="17" xr3:uid="{00000000-0010-0000-5501-000011000000}" name="SB" dataDxfId="72"/>
    <tableColumn id="18" xr3:uid="{00000000-0010-0000-5501-000012000000}" name="HS" dataDxfId="71"/>
    <tableColumn id="19" xr3:uid="{00000000-0010-0000-5501-000013000000}" name="LS" dataDxfId="70"/>
    <tableColumn id="20" xr3:uid="{00000000-0010-0000-5501-000014000000}" name="TB" dataDxfId="69"/>
    <tableColumn id="21" xr3:uid="{00000000-0010-0000-5501-000015000000}" name="OPS" dataDxfId="68"/>
    <tableColumn id="22" xr3:uid="{00000000-0010-0000-5501-000016000000}" name="*" dataDxfId="67"/>
    <tableColumn id="23" xr3:uid="{00000000-0010-0000-5501-000017000000}" name="#" dataDxfId="66"/>
  </tableColumns>
  <tableStyleInfo name="TableStyleMedium1" showFirstColumn="0" showLastColumn="0" showRowStripes="1" showColumnStripes="0"/>
</table>
</file>

<file path=xl/tables/table3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56010000}" name="Table116" displayName="Table116" ref="A2:S122" totalsRowShown="0" headerRowDxfId="65" dataDxfId="63" headerRowBorderDxfId="64">
  <autoFilter ref="A2:S122" xr:uid="{00000000-0009-0000-0100-000009000000}"/>
  <sortState xmlns:xlrd2="http://schemas.microsoft.com/office/spreadsheetml/2017/richdata2" ref="A3:S122">
    <sortCondition ref="S2:S122"/>
  </sortState>
  <tableColumns count="19">
    <tableColumn id="1" xr3:uid="{00000000-0010-0000-5601-000001000000}" name="TM" dataDxfId="62"/>
    <tableColumn id="2" xr3:uid="{00000000-0010-0000-5601-000002000000}" name="@" dataDxfId="61"/>
    <tableColumn id="3" xr3:uid="{00000000-0010-0000-5601-000003000000}" name="NAME" dataDxfId="60"/>
    <tableColumn id="4" xr3:uid="{00000000-0010-0000-5601-000004000000}" name="ERA" dataDxfId="59"/>
    <tableColumn id="5" xr3:uid="{00000000-0010-0000-5601-000005000000}" name="W" dataDxfId="58"/>
    <tableColumn id="6" xr3:uid="{00000000-0010-0000-5601-000006000000}" name="L" dataDxfId="57"/>
    <tableColumn id="7" xr3:uid="{00000000-0010-0000-5601-000007000000}" name="G" dataDxfId="56"/>
    <tableColumn id="8" xr3:uid="{00000000-0010-0000-5601-000008000000}" name="IP" dataDxfId="55"/>
    <tableColumn id="9" xr3:uid="{00000000-0010-0000-5601-000009000000}" name="H" dataDxfId="54"/>
    <tableColumn id="10" xr3:uid="{00000000-0010-0000-5601-00000A000000}" name="R" dataDxfId="53"/>
    <tableColumn id="11" xr3:uid="{00000000-0010-0000-5601-00000B000000}" name="BB" dataDxfId="52"/>
    <tableColumn id="12" xr3:uid="{00000000-0010-0000-5601-00000C000000}" name="K" dataDxfId="51"/>
    <tableColumn id="13" xr3:uid="{00000000-0010-0000-5601-00000D000000}" name="SV" dataDxfId="50"/>
    <tableColumn id="14" xr3:uid="{00000000-0010-0000-5601-00000E000000}" name="WH" dataDxfId="49"/>
    <tableColumn id="15" xr3:uid="{00000000-0010-0000-5601-00000F000000}" name="QS" dataDxfId="48"/>
    <tableColumn id="16" xr3:uid="{00000000-0010-0000-5601-000010000000}" name="UQ" dataDxfId="47"/>
    <tableColumn id="17" xr3:uid="{00000000-0010-0000-5601-000011000000}" name="CG" dataDxfId="46"/>
    <tableColumn id="18" xr3:uid="{00000000-0010-0000-5601-000012000000}" name="SH" dataDxfId="45"/>
    <tableColumn id="19" xr3:uid="{00000000-0010-0000-5601-000013000000}" name="#" dataDxfId="44"/>
  </tableColumns>
  <tableStyleInfo name="TableStyleMedium1" showFirstColumn="0" showLastColumn="0" showRowStripes="1" showColumnStripes="0"/>
</table>
</file>

<file path=xl/tables/table3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57010000}" name="Table116266" displayName="Table116266" ref="V2:AN122" totalsRowShown="0" headerRowDxfId="43" dataDxfId="41" headerRowBorderDxfId="42">
  <autoFilter ref="V2:AN122" xr:uid="{00000000-0009-0000-0100-000009010000}"/>
  <sortState xmlns:xlrd2="http://schemas.microsoft.com/office/spreadsheetml/2017/richdata2" ref="V3:AN122">
    <sortCondition ref="AN2:AN122"/>
  </sortState>
  <tableColumns count="19">
    <tableColumn id="1" xr3:uid="{00000000-0010-0000-5701-000001000000}" name="TM" dataDxfId="40"/>
    <tableColumn id="2" xr3:uid="{00000000-0010-0000-5701-000002000000}" name="@" dataDxfId="39"/>
    <tableColumn id="3" xr3:uid="{00000000-0010-0000-5701-000003000000}" name="NAME" dataDxfId="38"/>
    <tableColumn id="4" xr3:uid="{00000000-0010-0000-5701-000004000000}" name="ERA" dataDxfId="37"/>
    <tableColumn id="5" xr3:uid="{00000000-0010-0000-5701-000005000000}" name="W" dataDxfId="36"/>
    <tableColumn id="6" xr3:uid="{00000000-0010-0000-5701-000006000000}" name="L" dataDxfId="35"/>
    <tableColumn id="7" xr3:uid="{00000000-0010-0000-5701-000007000000}" name="G" dataDxfId="34"/>
    <tableColumn id="8" xr3:uid="{00000000-0010-0000-5701-000008000000}" name="IP" dataDxfId="33"/>
    <tableColumn id="9" xr3:uid="{00000000-0010-0000-5701-000009000000}" name="H" dataDxfId="32"/>
    <tableColumn id="10" xr3:uid="{00000000-0010-0000-5701-00000A000000}" name="R" dataDxfId="31"/>
    <tableColumn id="11" xr3:uid="{00000000-0010-0000-5701-00000B000000}" name="BB" dataDxfId="30"/>
    <tableColumn id="12" xr3:uid="{00000000-0010-0000-5701-00000C000000}" name="K" dataDxfId="29"/>
    <tableColumn id="13" xr3:uid="{00000000-0010-0000-5701-00000D000000}" name="SV" dataDxfId="28"/>
    <tableColumn id="14" xr3:uid="{00000000-0010-0000-5701-00000E000000}" name="WH" dataDxfId="27"/>
    <tableColumn id="15" xr3:uid="{00000000-0010-0000-5701-00000F000000}" name="QS" dataDxfId="26"/>
    <tableColumn id="16" xr3:uid="{00000000-0010-0000-5701-000010000000}" name="UQ" dataDxfId="25"/>
    <tableColumn id="17" xr3:uid="{00000000-0010-0000-5701-000011000000}" name="CG" dataDxfId="24"/>
    <tableColumn id="18" xr3:uid="{00000000-0010-0000-5701-000012000000}" name="SH" dataDxfId="23"/>
    <tableColumn id="19" xr3:uid="{00000000-0010-0000-5701-000013000000}" name="#" dataDxfId="22"/>
  </tableColumns>
  <tableStyleInfo name="TableStyleMedium1" showFirstColumn="0" showLastColumn="0" showRowStripes="1" showColumnStripes="0"/>
</table>
</file>

<file path=xl/tables/table3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00000000-000C-0000-FFFF-FFFF58010000}" name="Table116139" displayName="Table116139" ref="AQ2:BI122" totalsRowShown="0" headerRowDxfId="21" dataDxfId="19" headerRowBorderDxfId="20">
  <autoFilter ref="AQ2:BI122" xr:uid="{00000000-0009-0000-0100-00000A010000}"/>
  <sortState xmlns:xlrd2="http://schemas.microsoft.com/office/spreadsheetml/2017/richdata2" ref="AQ3:BI122">
    <sortCondition ref="BI2:BI122"/>
  </sortState>
  <tableColumns count="19">
    <tableColumn id="1" xr3:uid="{00000000-0010-0000-5801-000001000000}" name="TM" dataDxfId="18"/>
    <tableColumn id="2" xr3:uid="{00000000-0010-0000-5801-000002000000}" name="@" dataDxfId="17"/>
    <tableColumn id="3" xr3:uid="{00000000-0010-0000-5801-000003000000}" name="NAME" dataDxfId="16"/>
    <tableColumn id="4" xr3:uid="{00000000-0010-0000-5801-000004000000}" name="ERA" dataDxfId="15"/>
    <tableColumn id="5" xr3:uid="{00000000-0010-0000-5801-000005000000}" name="W" dataDxfId="14"/>
    <tableColumn id="6" xr3:uid="{00000000-0010-0000-5801-000006000000}" name="L" dataDxfId="13"/>
    <tableColumn id="7" xr3:uid="{00000000-0010-0000-5801-000007000000}" name="G" dataDxfId="12"/>
    <tableColumn id="8" xr3:uid="{00000000-0010-0000-5801-000008000000}" name="IP" dataDxfId="11"/>
    <tableColumn id="9" xr3:uid="{00000000-0010-0000-5801-000009000000}" name="H" dataDxfId="10"/>
    <tableColumn id="10" xr3:uid="{00000000-0010-0000-5801-00000A000000}" name="R" dataDxfId="9"/>
    <tableColumn id="11" xr3:uid="{00000000-0010-0000-5801-00000B000000}" name="BB" dataDxfId="8"/>
    <tableColumn id="12" xr3:uid="{00000000-0010-0000-5801-00000C000000}" name="K" dataDxfId="7"/>
    <tableColumn id="13" xr3:uid="{00000000-0010-0000-5801-00000D000000}" name="SV" dataDxfId="6"/>
    <tableColumn id="14" xr3:uid="{00000000-0010-0000-5801-00000E000000}" name="WH" dataDxfId="5"/>
    <tableColumn id="15" xr3:uid="{00000000-0010-0000-5801-00000F000000}" name="QS" dataDxfId="4"/>
    <tableColumn id="16" xr3:uid="{00000000-0010-0000-5801-000010000000}" name="UQ" dataDxfId="3"/>
    <tableColumn id="17" xr3:uid="{00000000-0010-0000-5801-000011000000}" name="CG" dataDxfId="2"/>
    <tableColumn id="18" xr3:uid="{00000000-0010-0000-5801-000012000000}" name="SH" dataDxfId="1"/>
    <tableColumn id="19" xr3:uid="{00000000-0010-0000-5801-000013000000}" name="#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888CBE-3A6C-B047-958E-A22F4E9A9F82}">
  <we:reference id="wa200010215" version="2.0.0.0" store="en-US" storeType="OMEX"/>
  <we:alternateReferences>
    <we:reference id="WA200010215" version="2.0.0.0" store="" storeType="OMEX"/>
  </we:alternateReferences>
  <we:properties>
    <we:property name="bps.codex_control.document_id" value="&quot;3d961d2b-9859-4094-8726-458387b7dff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40.xml"/><Relationship Id="rId18" Type="http://schemas.openxmlformats.org/officeDocument/2006/relationships/table" Target="../tables/table45.xml"/><Relationship Id="rId26" Type="http://schemas.openxmlformats.org/officeDocument/2006/relationships/table" Target="../tables/table53.xml"/><Relationship Id="rId39" Type="http://schemas.openxmlformats.org/officeDocument/2006/relationships/table" Target="../tables/table66.xml"/><Relationship Id="rId21" Type="http://schemas.openxmlformats.org/officeDocument/2006/relationships/table" Target="../tables/table48.xml"/><Relationship Id="rId34" Type="http://schemas.openxmlformats.org/officeDocument/2006/relationships/table" Target="../tables/table61.xml"/><Relationship Id="rId42" Type="http://schemas.openxmlformats.org/officeDocument/2006/relationships/table" Target="../tables/table69.xml"/><Relationship Id="rId47" Type="http://schemas.openxmlformats.org/officeDocument/2006/relationships/table" Target="../tables/table74.xml"/><Relationship Id="rId50" Type="http://schemas.openxmlformats.org/officeDocument/2006/relationships/table" Target="../tables/table77.xml"/><Relationship Id="rId7" Type="http://schemas.openxmlformats.org/officeDocument/2006/relationships/table" Target="../tables/table34.xml"/><Relationship Id="rId2" Type="http://schemas.openxmlformats.org/officeDocument/2006/relationships/table" Target="../tables/table29.xml"/><Relationship Id="rId16" Type="http://schemas.openxmlformats.org/officeDocument/2006/relationships/table" Target="../tables/table43.xml"/><Relationship Id="rId29" Type="http://schemas.openxmlformats.org/officeDocument/2006/relationships/table" Target="../tables/table56.xml"/><Relationship Id="rId11" Type="http://schemas.openxmlformats.org/officeDocument/2006/relationships/table" Target="../tables/table38.xml"/><Relationship Id="rId24" Type="http://schemas.openxmlformats.org/officeDocument/2006/relationships/table" Target="../tables/table51.xml"/><Relationship Id="rId32" Type="http://schemas.openxmlformats.org/officeDocument/2006/relationships/table" Target="../tables/table59.xml"/><Relationship Id="rId37" Type="http://schemas.openxmlformats.org/officeDocument/2006/relationships/table" Target="../tables/table64.xml"/><Relationship Id="rId40" Type="http://schemas.openxmlformats.org/officeDocument/2006/relationships/table" Target="../tables/table67.xml"/><Relationship Id="rId45" Type="http://schemas.openxmlformats.org/officeDocument/2006/relationships/table" Target="../tables/table72.xml"/><Relationship Id="rId5" Type="http://schemas.openxmlformats.org/officeDocument/2006/relationships/table" Target="../tables/table32.xml"/><Relationship Id="rId15" Type="http://schemas.openxmlformats.org/officeDocument/2006/relationships/table" Target="../tables/table42.xml"/><Relationship Id="rId23" Type="http://schemas.openxmlformats.org/officeDocument/2006/relationships/table" Target="../tables/table50.xml"/><Relationship Id="rId28" Type="http://schemas.openxmlformats.org/officeDocument/2006/relationships/table" Target="../tables/table55.xml"/><Relationship Id="rId36" Type="http://schemas.openxmlformats.org/officeDocument/2006/relationships/table" Target="../tables/table63.xml"/><Relationship Id="rId49" Type="http://schemas.openxmlformats.org/officeDocument/2006/relationships/table" Target="../tables/table76.xml"/><Relationship Id="rId10" Type="http://schemas.openxmlformats.org/officeDocument/2006/relationships/table" Target="../tables/table37.xml"/><Relationship Id="rId19" Type="http://schemas.openxmlformats.org/officeDocument/2006/relationships/table" Target="../tables/table46.xml"/><Relationship Id="rId31" Type="http://schemas.openxmlformats.org/officeDocument/2006/relationships/table" Target="../tables/table58.xml"/><Relationship Id="rId44" Type="http://schemas.openxmlformats.org/officeDocument/2006/relationships/table" Target="../tables/table71.xml"/><Relationship Id="rId4" Type="http://schemas.openxmlformats.org/officeDocument/2006/relationships/table" Target="../tables/table31.xml"/><Relationship Id="rId9" Type="http://schemas.openxmlformats.org/officeDocument/2006/relationships/table" Target="../tables/table36.xml"/><Relationship Id="rId14" Type="http://schemas.openxmlformats.org/officeDocument/2006/relationships/table" Target="../tables/table41.xml"/><Relationship Id="rId22" Type="http://schemas.openxmlformats.org/officeDocument/2006/relationships/table" Target="../tables/table49.xml"/><Relationship Id="rId27" Type="http://schemas.openxmlformats.org/officeDocument/2006/relationships/table" Target="../tables/table54.xml"/><Relationship Id="rId30" Type="http://schemas.openxmlformats.org/officeDocument/2006/relationships/table" Target="../tables/table57.xml"/><Relationship Id="rId35" Type="http://schemas.openxmlformats.org/officeDocument/2006/relationships/table" Target="../tables/table62.xml"/><Relationship Id="rId43" Type="http://schemas.openxmlformats.org/officeDocument/2006/relationships/table" Target="../tables/table70.xml"/><Relationship Id="rId48" Type="http://schemas.openxmlformats.org/officeDocument/2006/relationships/table" Target="../tables/table75.xml"/><Relationship Id="rId8" Type="http://schemas.openxmlformats.org/officeDocument/2006/relationships/table" Target="../tables/table35.xml"/><Relationship Id="rId3" Type="http://schemas.openxmlformats.org/officeDocument/2006/relationships/table" Target="../tables/table30.xml"/><Relationship Id="rId12" Type="http://schemas.openxmlformats.org/officeDocument/2006/relationships/table" Target="../tables/table39.xml"/><Relationship Id="rId17" Type="http://schemas.openxmlformats.org/officeDocument/2006/relationships/table" Target="../tables/table44.xml"/><Relationship Id="rId25" Type="http://schemas.openxmlformats.org/officeDocument/2006/relationships/table" Target="../tables/table52.xml"/><Relationship Id="rId33" Type="http://schemas.openxmlformats.org/officeDocument/2006/relationships/table" Target="../tables/table60.xml"/><Relationship Id="rId38" Type="http://schemas.openxmlformats.org/officeDocument/2006/relationships/table" Target="../tables/table65.xml"/><Relationship Id="rId46" Type="http://schemas.openxmlformats.org/officeDocument/2006/relationships/table" Target="../tables/table73.xml"/><Relationship Id="rId20" Type="http://schemas.openxmlformats.org/officeDocument/2006/relationships/table" Target="../tables/table47.xml"/><Relationship Id="rId41" Type="http://schemas.openxmlformats.org/officeDocument/2006/relationships/table" Target="../tables/table68.xml"/><Relationship Id="rId1" Type="http://schemas.openxmlformats.org/officeDocument/2006/relationships/table" Target="../tables/table28.xml"/><Relationship Id="rId6" Type="http://schemas.openxmlformats.org/officeDocument/2006/relationships/table" Target="../tables/table33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90.xml"/><Relationship Id="rId18" Type="http://schemas.openxmlformats.org/officeDocument/2006/relationships/table" Target="../tables/table95.xml"/><Relationship Id="rId26" Type="http://schemas.openxmlformats.org/officeDocument/2006/relationships/table" Target="../tables/table103.xml"/><Relationship Id="rId39" Type="http://schemas.openxmlformats.org/officeDocument/2006/relationships/table" Target="../tables/table116.xml"/><Relationship Id="rId21" Type="http://schemas.openxmlformats.org/officeDocument/2006/relationships/table" Target="../tables/table98.xml"/><Relationship Id="rId34" Type="http://schemas.openxmlformats.org/officeDocument/2006/relationships/table" Target="../tables/table111.xml"/><Relationship Id="rId7" Type="http://schemas.openxmlformats.org/officeDocument/2006/relationships/table" Target="../tables/table84.xml"/><Relationship Id="rId12" Type="http://schemas.openxmlformats.org/officeDocument/2006/relationships/table" Target="../tables/table89.xml"/><Relationship Id="rId17" Type="http://schemas.openxmlformats.org/officeDocument/2006/relationships/table" Target="../tables/table94.xml"/><Relationship Id="rId25" Type="http://schemas.openxmlformats.org/officeDocument/2006/relationships/table" Target="../tables/table102.xml"/><Relationship Id="rId33" Type="http://schemas.openxmlformats.org/officeDocument/2006/relationships/table" Target="../tables/table110.xml"/><Relationship Id="rId38" Type="http://schemas.openxmlformats.org/officeDocument/2006/relationships/table" Target="../tables/table115.xml"/><Relationship Id="rId2" Type="http://schemas.openxmlformats.org/officeDocument/2006/relationships/table" Target="../tables/table79.xml"/><Relationship Id="rId16" Type="http://schemas.openxmlformats.org/officeDocument/2006/relationships/table" Target="../tables/table93.xml"/><Relationship Id="rId20" Type="http://schemas.openxmlformats.org/officeDocument/2006/relationships/table" Target="../tables/table97.xml"/><Relationship Id="rId29" Type="http://schemas.openxmlformats.org/officeDocument/2006/relationships/table" Target="../tables/table106.xml"/><Relationship Id="rId1" Type="http://schemas.openxmlformats.org/officeDocument/2006/relationships/table" Target="../tables/table78.xml"/><Relationship Id="rId6" Type="http://schemas.openxmlformats.org/officeDocument/2006/relationships/table" Target="../tables/table83.xml"/><Relationship Id="rId11" Type="http://schemas.openxmlformats.org/officeDocument/2006/relationships/table" Target="../tables/table88.xml"/><Relationship Id="rId24" Type="http://schemas.openxmlformats.org/officeDocument/2006/relationships/table" Target="../tables/table101.xml"/><Relationship Id="rId32" Type="http://schemas.openxmlformats.org/officeDocument/2006/relationships/table" Target="../tables/table109.xml"/><Relationship Id="rId37" Type="http://schemas.openxmlformats.org/officeDocument/2006/relationships/table" Target="../tables/table114.xml"/><Relationship Id="rId40" Type="http://schemas.openxmlformats.org/officeDocument/2006/relationships/table" Target="../tables/table117.xml"/><Relationship Id="rId5" Type="http://schemas.openxmlformats.org/officeDocument/2006/relationships/table" Target="../tables/table82.xml"/><Relationship Id="rId15" Type="http://schemas.openxmlformats.org/officeDocument/2006/relationships/table" Target="../tables/table92.xml"/><Relationship Id="rId23" Type="http://schemas.openxmlformats.org/officeDocument/2006/relationships/table" Target="../tables/table100.xml"/><Relationship Id="rId28" Type="http://schemas.openxmlformats.org/officeDocument/2006/relationships/table" Target="../tables/table105.xml"/><Relationship Id="rId36" Type="http://schemas.openxmlformats.org/officeDocument/2006/relationships/table" Target="../tables/table113.xml"/><Relationship Id="rId10" Type="http://schemas.openxmlformats.org/officeDocument/2006/relationships/table" Target="../tables/table87.xml"/><Relationship Id="rId19" Type="http://schemas.openxmlformats.org/officeDocument/2006/relationships/table" Target="../tables/table96.xml"/><Relationship Id="rId31" Type="http://schemas.openxmlformats.org/officeDocument/2006/relationships/table" Target="../tables/table108.xml"/><Relationship Id="rId4" Type="http://schemas.openxmlformats.org/officeDocument/2006/relationships/table" Target="../tables/table81.xml"/><Relationship Id="rId9" Type="http://schemas.openxmlformats.org/officeDocument/2006/relationships/table" Target="../tables/table86.xml"/><Relationship Id="rId14" Type="http://schemas.openxmlformats.org/officeDocument/2006/relationships/table" Target="../tables/table91.xml"/><Relationship Id="rId22" Type="http://schemas.openxmlformats.org/officeDocument/2006/relationships/table" Target="../tables/table99.xml"/><Relationship Id="rId27" Type="http://schemas.openxmlformats.org/officeDocument/2006/relationships/table" Target="../tables/table104.xml"/><Relationship Id="rId30" Type="http://schemas.openxmlformats.org/officeDocument/2006/relationships/table" Target="../tables/table107.xml"/><Relationship Id="rId35" Type="http://schemas.openxmlformats.org/officeDocument/2006/relationships/table" Target="../tables/table112.xml"/><Relationship Id="rId8" Type="http://schemas.openxmlformats.org/officeDocument/2006/relationships/table" Target="../tables/table85.xml"/><Relationship Id="rId3" Type="http://schemas.openxmlformats.org/officeDocument/2006/relationships/table" Target="../tables/table80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30.xml"/><Relationship Id="rId18" Type="http://schemas.openxmlformats.org/officeDocument/2006/relationships/table" Target="../tables/table135.xml"/><Relationship Id="rId26" Type="http://schemas.openxmlformats.org/officeDocument/2006/relationships/table" Target="../tables/table143.xml"/><Relationship Id="rId39" Type="http://schemas.openxmlformats.org/officeDocument/2006/relationships/table" Target="../tables/table156.xml"/><Relationship Id="rId21" Type="http://schemas.openxmlformats.org/officeDocument/2006/relationships/table" Target="../tables/table138.xml"/><Relationship Id="rId34" Type="http://schemas.openxmlformats.org/officeDocument/2006/relationships/table" Target="../tables/table151.xml"/><Relationship Id="rId42" Type="http://schemas.openxmlformats.org/officeDocument/2006/relationships/table" Target="../tables/table159.xml"/><Relationship Id="rId7" Type="http://schemas.openxmlformats.org/officeDocument/2006/relationships/table" Target="../tables/table124.xml"/><Relationship Id="rId2" Type="http://schemas.openxmlformats.org/officeDocument/2006/relationships/table" Target="../tables/table119.xml"/><Relationship Id="rId16" Type="http://schemas.openxmlformats.org/officeDocument/2006/relationships/table" Target="../tables/table133.xml"/><Relationship Id="rId20" Type="http://schemas.openxmlformats.org/officeDocument/2006/relationships/table" Target="../tables/table137.xml"/><Relationship Id="rId29" Type="http://schemas.openxmlformats.org/officeDocument/2006/relationships/table" Target="../tables/table146.xml"/><Relationship Id="rId41" Type="http://schemas.openxmlformats.org/officeDocument/2006/relationships/table" Target="../tables/table158.xml"/><Relationship Id="rId1" Type="http://schemas.openxmlformats.org/officeDocument/2006/relationships/table" Target="../tables/table118.xml"/><Relationship Id="rId6" Type="http://schemas.openxmlformats.org/officeDocument/2006/relationships/table" Target="../tables/table123.xml"/><Relationship Id="rId11" Type="http://schemas.openxmlformats.org/officeDocument/2006/relationships/table" Target="../tables/table128.xml"/><Relationship Id="rId24" Type="http://schemas.openxmlformats.org/officeDocument/2006/relationships/table" Target="../tables/table141.xml"/><Relationship Id="rId32" Type="http://schemas.openxmlformats.org/officeDocument/2006/relationships/table" Target="../tables/table149.xml"/><Relationship Id="rId37" Type="http://schemas.openxmlformats.org/officeDocument/2006/relationships/table" Target="../tables/table154.xml"/><Relationship Id="rId40" Type="http://schemas.openxmlformats.org/officeDocument/2006/relationships/table" Target="../tables/table157.xml"/><Relationship Id="rId5" Type="http://schemas.openxmlformats.org/officeDocument/2006/relationships/table" Target="../tables/table122.xml"/><Relationship Id="rId15" Type="http://schemas.openxmlformats.org/officeDocument/2006/relationships/table" Target="../tables/table132.xml"/><Relationship Id="rId23" Type="http://schemas.openxmlformats.org/officeDocument/2006/relationships/table" Target="../tables/table140.xml"/><Relationship Id="rId28" Type="http://schemas.openxmlformats.org/officeDocument/2006/relationships/table" Target="../tables/table145.xml"/><Relationship Id="rId36" Type="http://schemas.openxmlformats.org/officeDocument/2006/relationships/table" Target="../tables/table153.xml"/><Relationship Id="rId10" Type="http://schemas.openxmlformats.org/officeDocument/2006/relationships/table" Target="../tables/table127.xml"/><Relationship Id="rId19" Type="http://schemas.openxmlformats.org/officeDocument/2006/relationships/table" Target="../tables/table136.xml"/><Relationship Id="rId31" Type="http://schemas.openxmlformats.org/officeDocument/2006/relationships/table" Target="../tables/table148.xml"/><Relationship Id="rId4" Type="http://schemas.openxmlformats.org/officeDocument/2006/relationships/table" Target="../tables/table121.xml"/><Relationship Id="rId9" Type="http://schemas.openxmlformats.org/officeDocument/2006/relationships/table" Target="../tables/table126.xml"/><Relationship Id="rId14" Type="http://schemas.openxmlformats.org/officeDocument/2006/relationships/table" Target="../tables/table131.xml"/><Relationship Id="rId22" Type="http://schemas.openxmlformats.org/officeDocument/2006/relationships/table" Target="../tables/table139.xml"/><Relationship Id="rId27" Type="http://schemas.openxmlformats.org/officeDocument/2006/relationships/table" Target="../tables/table144.xml"/><Relationship Id="rId30" Type="http://schemas.openxmlformats.org/officeDocument/2006/relationships/table" Target="../tables/table147.xml"/><Relationship Id="rId35" Type="http://schemas.openxmlformats.org/officeDocument/2006/relationships/table" Target="../tables/table152.xml"/><Relationship Id="rId8" Type="http://schemas.openxmlformats.org/officeDocument/2006/relationships/table" Target="../tables/table125.xml"/><Relationship Id="rId3" Type="http://schemas.openxmlformats.org/officeDocument/2006/relationships/table" Target="../tables/table120.xml"/><Relationship Id="rId12" Type="http://schemas.openxmlformats.org/officeDocument/2006/relationships/table" Target="../tables/table129.xml"/><Relationship Id="rId17" Type="http://schemas.openxmlformats.org/officeDocument/2006/relationships/table" Target="../tables/table134.xml"/><Relationship Id="rId25" Type="http://schemas.openxmlformats.org/officeDocument/2006/relationships/table" Target="../tables/table142.xml"/><Relationship Id="rId33" Type="http://schemas.openxmlformats.org/officeDocument/2006/relationships/table" Target="../tables/table150.xml"/><Relationship Id="rId38" Type="http://schemas.openxmlformats.org/officeDocument/2006/relationships/table" Target="../tables/table15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72.xml"/><Relationship Id="rId18" Type="http://schemas.openxmlformats.org/officeDocument/2006/relationships/table" Target="../tables/table177.xml"/><Relationship Id="rId26" Type="http://schemas.openxmlformats.org/officeDocument/2006/relationships/table" Target="../tables/table185.xml"/><Relationship Id="rId39" Type="http://schemas.openxmlformats.org/officeDocument/2006/relationships/table" Target="../tables/table198.xml"/><Relationship Id="rId21" Type="http://schemas.openxmlformats.org/officeDocument/2006/relationships/table" Target="../tables/table180.xml"/><Relationship Id="rId34" Type="http://schemas.openxmlformats.org/officeDocument/2006/relationships/table" Target="../tables/table193.xml"/><Relationship Id="rId42" Type="http://schemas.openxmlformats.org/officeDocument/2006/relationships/table" Target="../tables/table201.xml"/><Relationship Id="rId7" Type="http://schemas.openxmlformats.org/officeDocument/2006/relationships/table" Target="../tables/table166.xml"/><Relationship Id="rId2" Type="http://schemas.openxmlformats.org/officeDocument/2006/relationships/table" Target="../tables/table161.xml"/><Relationship Id="rId16" Type="http://schemas.openxmlformats.org/officeDocument/2006/relationships/table" Target="../tables/table175.xml"/><Relationship Id="rId29" Type="http://schemas.openxmlformats.org/officeDocument/2006/relationships/table" Target="../tables/table188.xml"/><Relationship Id="rId1" Type="http://schemas.openxmlformats.org/officeDocument/2006/relationships/table" Target="../tables/table160.xml"/><Relationship Id="rId6" Type="http://schemas.openxmlformats.org/officeDocument/2006/relationships/table" Target="../tables/table165.xml"/><Relationship Id="rId11" Type="http://schemas.openxmlformats.org/officeDocument/2006/relationships/table" Target="../tables/table170.xml"/><Relationship Id="rId24" Type="http://schemas.openxmlformats.org/officeDocument/2006/relationships/table" Target="../tables/table183.xml"/><Relationship Id="rId32" Type="http://schemas.openxmlformats.org/officeDocument/2006/relationships/table" Target="../tables/table191.xml"/><Relationship Id="rId37" Type="http://schemas.openxmlformats.org/officeDocument/2006/relationships/table" Target="../tables/table196.xml"/><Relationship Id="rId40" Type="http://schemas.openxmlformats.org/officeDocument/2006/relationships/table" Target="../tables/table199.xml"/><Relationship Id="rId45" Type="http://schemas.openxmlformats.org/officeDocument/2006/relationships/table" Target="../tables/table204.xml"/><Relationship Id="rId5" Type="http://schemas.openxmlformats.org/officeDocument/2006/relationships/table" Target="../tables/table164.xml"/><Relationship Id="rId15" Type="http://schemas.openxmlformats.org/officeDocument/2006/relationships/table" Target="../tables/table174.xml"/><Relationship Id="rId23" Type="http://schemas.openxmlformats.org/officeDocument/2006/relationships/table" Target="../tables/table182.xml"/><Relationship Id="rId28" Type="http://schemas.openxmlformats.org/officeDocument/2006/relationships/table" Target="../tables/table187.xml"/><Relationship Id="rId36" Type="http://schemas.openxmlformats.org/officeDocument/2006/relationships/table" Target="../tables/table195.xml"/><Relationship Id="rId10" Type="http://schemas.openxmlformats.org/officeDocument/2006/relationships/table" Target="../tables/table169.xml"/><Relationship Id="rId19" Type="http://schemas.openxmlformats.org/officeDocument/2006/relationships/table" Target="../tables/table178.xml"/><Relationship Id="rId31" Type="http://schemas.openxmlformats.org/officeDocument/2006/relationships/table" Target="../tables/table190.xml"/><Relationship Id="rId44" Type="http://schemas.openxmlformats.org/officeDocument/2006/relationships/table" Target="../tables/table203.xml"/><Relationship Id="rId4" Type="http://schemas.openxmlformats.org/officeDocument/2006/relationships/table" Target="../tables/table163.xml"/><Relationship Id="rId9" Type="http://schemas.openxmlformats.org/officeDocument/2006/relationships/table" Target="../tables/table168.xml"/><Relationship Id="rId14" Type="http://schemas.openxmlformats.org/officeDocument/2006/relationships/table" Target="../tables/table173.xml"/><Relationship Id="rId22" Type="http://schemas.openxmlformats.org/officeDocument/2006/relationships/table" Target="../tables/table181.xml"/><Relationship Id="rId27" Type="http://schemas.openxmlformats.org/officeDocument/2006/relationships/table" Target="../tables/table186.xml"/><Relationship Id="rId30" Type="http://schemas.openxmlformats.org/officeDocument/2006/relationships/table" Target="../tables/table189.xml"/><Relationship Id="rId35" Type="http://schemas.openxmlformats.org/officeDocument/2006/relationships/table" Target="../tables/table194.xml"/><Relationship Id="rId43" Type="http://schemas.openxmlformats.org/officeDocument/2006/relationships/table" Target="../tables/table202.xml"/><Relationship Id="rId8" Type="http://schemas.openxmlformats.org/officeDocument/2006/relationships/table" Target="../tables/table167.xml"/><Relationship Id="rId3" Type="http://schemas.openxmlformats.org/officeDocument/2006/relationships/table" Target="../tables/table162.xml"/><Relationship Id="rId12" Type="http://schemas.openxmlformats.org/officeDocument/2006/relationships/table" Target="../tables/table171.xml"/><Relationship Id="rId17" Type="http://schemas.openxmlformats.org/officeDocument/2006/relationships/table" Target="../tables/table176.xml"/><Relationship Id="rId25" Type="http://schemas.openxmlformats.org/officeDocument/2006/relationships/table" Target="../tables/table184.xml"/><Relationship Id="rId33" Type="http://schemas.openxmlformats.org/officeDocument/2006/relationships/table" Target="../tables/table192.xml"/><Relationship Id="rId38" Type="http://schemas.openxmlformats.org/officeDocument/2006/relationships/table" Target="../tables/table197.xml"/><Relationship Id="rId46" Type="http://schemas.openxmlformats.org/officeDocument/2006/relationships/table" Target="../tables/table205.xml"/><Relationship Id="rId20" Type="http://schemas.openxmlformats.org/officeDocument/2006/relationships/table" Target="../tables/table179.xml"/><Relationship Id="rId41" Type="http://schemas.openxmlformats.org/officeDocument/2006/relationships/table" Target="../tables/table200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218.xml"/><Relationship Id="rId18" Type="http://schemas.openxmlformats.org/officeDocument/2006/relationships/table" Target="../tables/table223.xml"/><Relationship Id="rId26" Type="http://schemas.openxmlformats.org/officeDocument/2006/relationships/table" Target="../tables/table231.xml"/><Relationship Id="rId39" Type="http://schemas.openxmlformats.org/officeDocument/2006/relationships/table" Target="../tables/table244.xml"/><Relationship Id="rId21" Type="http://schemas.openxmlformats.org/officeDocument/2006/relationships/table" Target="../tables/table226.xml"/><Relationship Id="rId34" Type="http://schemas.openxmlformats.org/officeDocument/2006/relationships/table" Target="../tables/table239.xml"/><Relationship Id="rId7" Type="http://schemas.openxmlformats.org/officeDocument/2006/relationships/table" Target="../tables/table212.xml"/><Relationship Id="rId12" Type="http://schemas.openxmlformats.org/officeDocument/2006/relationships/table" Target="../tables/table217.xml"/><Relationship Id="rId17" Type="http://schemas.openxmlformats.org/officeDocument/2006/relationships/table" Target="../tables/table222.xml"/><Relationship Id="rId25" Type="http://schemas.openxmlformats.org/officeDocument/2006/relationships/table" Target="../tables/table230.xml"/><Relationship Id="rId33" Type="http://schemas.openxmlformats.org/officeDocument/2006/relationships/table" Target="../tables/table238.xml"/><Relationship Id="rId38" Type="http://schemas.openxmlformats.org/officeDocument/2006/relationships/table" Target="../tables/table243.xml"/><Relationship Id="rId2" Type="http://schemas.openxmlformats.org/officeDocument/2006/relationships/table" Target="../tables/table207.xml"/><Relationship Id="rId16" Type="http://schemas.openxmlformats.org/officeDocument/2006/relationships/table" Target="../tables/table221.xml"/><Relationship Id="rId20" Type="http://schemas.openxmlformats.org/officeDocument/2006/relationships/table" Target="../tables/table225.xml"/><Relationship Id="rId29" Type="http://schemas.openxmlformats.org/officeDocument/2006/relationships/table" Target="../tables/table234.xml"/><Relationship Id="rId1" Type="http://schemas.openxmlformats.org/officeDocument/2006/relationships/table" Target="../tables/table206.xml"/><Relationship Id="rId6" Type="http://schemas.openxmlformats.org/officeDocument/2006/relationships/table" Target="../tables/table211.xml"/><Relationship Id="rId11" Type="http://schemas.openxmlformats.org/officeDocument/2006/relationships/table" Target="../tables/table216.xml"/><Relationship Id="rId24" Type="http://schemas.openxmlformats.org/officeDocument/2006/relationships/table" Target="../tables/table229.xml"/><Relationship Id="rId32" Type="http://schemas.openxmlformats.org/officeDocument/2006/relationships/table" Target="../tables/table237.xml"/><Relationship Id="rId37" Type="http://schemas.openxmlformats.org/officeDocument/2006/relationships/table" Target="../tables/table242.xml"/><Relationship Id="rId40" Type="http://schemas.openxmlformats.org/officeDocument/2006/relationships/table" Target="../tables/table245.xml"/><Relationship Id="rId5" Type="http://schemas.openxmlformats.org/officeDocument/2006/relationships/table" Target="../tables/table210.xml"/><Relationship Id="rId15" Type="http://schemas.openxmlformats.org/officeDocument/2006/relationships/table" Target="../tables/table220.xml"/><Relationship Id="rId23" Type="http://schemas.openxmlformats.org/officeDocument/2006/relationships/table" Target="../tables/table228.xml"/><Relationship Id="rId28" Type="http://schemas.openxmlformats.org/officeDocument/2006/relationships/table" Target="../tables/table233.xml"/><Relationship Id="rId36" Type="http://schemas.openxmlformats.org/officeDocument/2006/relationships/table" Target="../tables/table241.xml"/><Relationship Id="rId10" Type="http://schemas.openxmlformats.org/officeDocument/2006/relationships/table" Target="../tables/table215.xml"/><Relationship Id="rId19" Type="http://schemas.openxmlformats.org/officeDocument/2006/relationships/table" Target="../tables/table224.xml"/><Relationship Id="rId31" Type="http://schemas.openxmlformats.org/officeDocument/2006/relationships/table" Target="../tables/table236.xml"/><Relationship Id="rId4" Type="http://schemas.openxmlformats.org/officeDocument/2006/relationships/table" Target="../tables/table209.xml"/><Relationship Id="rId9" Type="http://schemas.openxmlformats.org/officeDocument/2006/relationships/table" Target="../tables/table214.xml"/><Relationship Id="rId14" Type="http://schemas.openxmlformats.org/officeDocument/2006/relationships/table" Target="../tables/table219.xml"/><Relationship Id="rId22" Type="http://schemas.openxmlformats.org/officeDocument/2006/relationships/table" Target="../tables/table227.xml"/><Relationship Id="rId27" Type="http://schemas.openxmlformats.org/officeDocument/2006/relationships/table" Target="../tables/table232.xml"/><Relationship Id="rId30" Type="http://schemas.openxmlformats.org/officeDocument/2006/relationships/table" Target="../tables/table235.xml"/><Relationship Id="rId35" Type="http://schemas.openxmlformats.org/officeDocument/2006/relationships/table" Target="../tables/table240.xml"/><Relationship Id="rId8" Type="http://schemas.openxmlformats.org/officeDocument/2006/relationships/table" Target="../tables/table213.xml"/><Relationship Id="rId3" Type="http://schemas.openxmlformats.org/officeDocument/2006/relationships/table" Target="../tables/table208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258.xml"/><Relationship Id="rId18" Type="http://schemas.openxmlformats.org/officeDocument/2006/relationships/table" Target="../tables/table263.xml"/><Relationship Id="rId26" Type="http://schemas.openxmlformats.org/officeDocument/2006/relationships/table" Target="../tables/table271.xml"/><Relationship Id="rId39" Type="http://schemas.openxmlformats.org/officeDocument/2006/relationships/table" Target="../tables/table284.xml"/><Relationship Id="rId21" Type="http://schemas.openxmlformats.org/officeDocument/2006/relationships/table" Target="../tables/table266.xml"/><Relationship Id="rId34" Type="http://schemas.openxmlformats.org/officeDocument/2006/relationships/table" Target="../tables/table279.xml"/><Relationship Id="rId42" Type="http://schemas.openxmlformats.org/officeDocument/2006/relationships/table" Target="../tables/table287.xml"/><Relationship Id="rId7" Type="http://schemas.openxmlformats.org/officeDocument/2006/relationships/table" Target="../tables/table252.xml"/><Relationship Id="rId2" Type="http://schemas.openxmlformats.org/officeDocument/2006/relationships/table" Target="../tables/table247.xml"/><Relationship Id="rId16" Type="http://schemas.openxmlformats.org/officeDocument/2006/relationships/table" Target="../tables/table261.xml"/><Relationship Id="rId29" Type="http://schemas.openxmlformats.org/officeDocument/2006/relationships/table" Target="../tables/table274.xml"/><Relationship Id="rId1" Type="http://schemas.openxmlformats.org/officeDocument/2006/relationships/table" Target="../tables/table246.xml"/><Relationship Id="rId6" Type="http://schemas.openxmlformats.org/officeDocument/2006/relationships/table" Target="../tables/table251.xml"/><Relationship Id="rId11" Type="http://schemas.openxmlformats.org/officeDocument/2006/relationships/table" Target="../tables/table256.xml"/><Relationship Id="rId24" Type="http://schemas.openxmlformats.org/officeDocument/2006/relationships/table" Target="../tables/table269.xml"/><Relationship Id="rId32" Type="http://schemas.openxmlformats.org/officeDocument/2006/relationships/table" Target="../tables/table277.xml"/><Relationship Id="rId37" Type="http://schemas.openxmlformats.org/officeDocument/2006/relationships/table" Target="../tables/table282.xml"/><Relationship Id="rId40" Type="http://schemas.openxmlformats.org/officeDocument/2006/relationships/table" Target="../tables/table285.xml"/><Relationship Id="rId45" Type="http://schemas.openxmlformats.org/officeDocument/2006/relationships/table" Target="../tables/table290.xml"/><Relationship Id="rId5" Type="http://schemas.openxmlformats.org/officeDocument/2006/relationships/table" Target="../tables/table250.xml"/><Relationship Id="rId15" Type="http://schemas.openxmlformats.org/officeDocument/2006/relationships/table" Target="../tables/table260.xml"/><Relationship Id="rId23" Type="http://schemas.openxmlformats.org/officeDocument/2006/relationships/table" Target="../tables/table268.xml"/><Relationship Id="rId28" Type="http://schemas.openxmlformats.org/officeDocument/2006/relationships/table" Target="../tables/table273.xml"/><Relationship Id="rId36" Type="http://schemas.openxmlformats.org/officeDocument/2006/relationships/table" Target="../tables/table281.xml"/><Relationship Id="rId10" Type="http://schemas.openxmlformats.org/officeDocument/2006/relationships/table" Target="../tables/table255.xml"/><Relationship Id="rId19" Type="http://schemas.openxmlformats.org/officeDocument/2006/relationships/table" Target="../tables/table264.xml"/><Relationship Id="rId31" Type="http://schemas.openxmlformats.org/officeDocument/2006/relationships/table" Target="../tables/table276.xml"/><Relationship Id="rId44" Type="http://schemas.openxmlformats.org/officeDocument/2006/relationships/table" Target="../tables/table289.xml"/><Relationship Id="rId4" Type="http://schemas.openxmlformats.org/officeDocument/2006/relationships/table" Target="../tables/table249.xml"/><Relationship Id="rId9" Type="http://schemas.openxmlformats.org/officeDocument/2006/relationships/table" Target="../tables/table254.xml"/><Relationship Id="rId14" Type="http://schemas.openxmlformats.org/officeDocument/2006/relationships/table" Target="../tables/table259.xml"/><Relationship Id="rId22" Type="http://schemas.openxmlformats.org/officeDocument/2006/relationships/table" Target="../tables/table267.xml"/><Relationship Id="rId27" Type="http://schemas.openxmlformats.org/officeDocument/2006/relationships/table" Target="../tables/table272.xml"/><Relationship Id="rId30" Type="http://schemas.openxmlformats.org/officeDocument/2006/relationships/table" Target="../tables/table275.xml"/><Relationship Id="rId35" Type="http://schemas.openxmlformats.org/officeDocument/2006/relationships/table" Target="../tables/table280.xml"/><Relationship Id="rId43" Type="http://schemas.openxmlformats.org/officeDocument/2006/relationships/table" Target="../tables/table288.xml"/><Relationship Id="rId8" Type="http://schemas.openxmlformats.org/officeDocument/2006/relationships/table" Target="../tables/table253.xml"/><Relationship Id="rId3" Type="http://schemas.openxmlformats.org/officeDocument/2006/relationships/table" Target="../tables/table248.xml"/><Relationship Id="rId12" Type="http://schemas.openxmlformats.org/officeDocument/2006/relationships/table" Target="../tables/table257.xml"/><Relationship Id="rId17" Type="http://schemas.openxmlformats.org/officeDocument/2006/relationships/table" Target="../tables/table262.xml"/><Relationship Id="rId25" Type="http://schemas.openxmlformats.org/officeDocument/2006/relationships/table" Target="../tables/table270.xml"/><Relationship Id="rId33" Type="http://schemas.openxmlformats.org/officeDocument/2006/relationships/table" Target="../tables/table278.xml"/><Relationship Id="rId38" Type="http://schemas.openxmlformats.org/officeDocument/2006/relationships/table" Target="../tables/table283.xml"/><Relationship Id="rId46" Type="http://schemas.openxmlformats.org/officeDocument/2006/relationships/table" Target="../tables/table291.xml"/><Relationship Id="rId20" Type="http://schemas.openxmlformats.org/officeDocument/2006/relationships/table" Target="../tables/table265.xml"/><Relationship Id="rId41" Type="http://schemas.openxmlformats.org/officeDocument/2006/relationships/table" Target="../tables/table286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4.xml"/><Relationship Id="rId2" Type="http://schemas.openxmlformats.org/officeDocument/2006/relationships/table" Target="../tables/table293.xml"/><Relationship Id="rId1" Type="http://schemas.openxmlformats.org/officeDocument/2006/relationships/table" Target="../tables/table29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7.xml"/><Relationship Id="rId2" Type="http://schemas.openxmlformats.org/officeDocument/2006/relationships/table" Target="../tables/table296.xml"/><Relationship Id="rId1" Type="http://schemas.openxmlformats.org/officeDocument/2006/relationships/table" Target="../tables/table29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0.xml"/><Relationship Id="rId2" Type="http://schemas.openxmlformats.org/officeDocument/2006/relationships/table" Target="../tables/table299.xml"/><Relationship Id="rId1" Type="http://schemas.openxmlformats.org/officeDocument/2006/relationships/table" Target="../tables/table29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3.xml"/><Relationship Id="rId2" Type="http://schemas.openxmlformats.org/officeDocument/2006/relationships/table" Target="../tables/table302.xml"/><Relationship Id="rId1" Type="http://schemas.openxmlformats.org/officeDocument/2006/relationships/table" Target="../tables/table301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11.xml"/><Relationship Id="rId3" Type="http://schemas.openxmlformats.org/officeDocument/2006/relationships/table" Target="../tables/table306.xml"/><Relationship Id="rId7" Type="http://schemas.openxmlformats.org/officeDocument/2006/relationships/table" Target="../tables/table310.xml"/><Relationship Id="rId12" Type="http://schemas.openxmlformats.org/officeDocument/2006/relationships/table" Target="../tables/table315.xml"/><Relationship Id="rId2" Type="http://schemas.openxmlformats.org/officeDocument/2006/relationships/table" Target="../tables/table305.xml"/><Relationship Id="rId1" Type="http://schemas.openxmlformats.org/officeDocument/2006/relationships/table" Target="../tables/table304.xml"/><Relationship Id="rId6" Type="http://schemas.openxmlformats.org/officeDocument/2006/relationships/table" Target="../tables/table309.xml"/><Relationship Id="rId11" Type="http://schemas.openxmlformats.org/officeDocument/2006/relationships/table" Target="../tables/table314.xml"/><Relationship Id="rId5" Type="http://schemas.openxmlformats.org/officeDocument/2006/relationships/table" Target="../tables/table308.xml"/><Relationship Id="rId10" Type="http://schemas.openxmlformats.org/officeDocument/2006/relationships/table" Target="../tables/table313.xml"/><Relationship Id="rId4" Type="http://schemas.openxmlformats.org/officeDocument/2006/relationships/table" Target="../tables/table307.xml"/><Relationship Id="rId9" Type="http://schemas.openxmlformats.org/officeDocument/2006/relationships/table" Target="../tables/table312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3.xml"/><Relationship Id="rId13" Type="http://schemas.openxmlformats.org/officeDocument/2006/relationships/table" Target="../tables/table328.xml"/><Relationship Id="rId18" Type="http://schemas.openxmlformats.org/officeDocument/2006/relationships/table" Target="../tables/table333.xml"/><Relationship Id="rId3" Type="http://schemas.openxmlformats.org/officeDocument/2006/relationships/table" Target="../tables/table318.xml"/><Relationship Id="rId21" Type="http://schemas.openxmlformats.org/officeDocument/2006/relationships/table" Target="../tables/table336.xml"/><Relationship Id="rId7" Type="http://schemas.openxmlformats.org/officeDocument/2006/relationships/table" Target="../tables/table322.xml"/><Relationship Id="rId12" Type="http://schemas.openxmlformats.org/officeDocument/2006/relationships/table" Target="../tables/table327.xml"/><Relationship Id="rId17" Type="http://schemas.openxmlformats.org/officeDocument/2006/relationships/table" Target="../tables/table332.xml"/><Relationship Id="rId2" Type="http://schemas.openxmlformats.org/officeDocument/2006/relationships/table" Target="../tables/table317.xml"/><Relationship Id="rId16" Type="http://schemas.openxmlformats.org/officeDocument/2006/relationships/table" Target="../tables/table331.xml"/><Relationship Id="rId20" Type="http://schemas.openxmlformats.org/officeDocument/2006/relationships/table" Target="../tables/table335.xml"/><Relationship Id="rId1" Type="http://schemas.openxmlformats.org/officeDocument/2006/relationships/table" Target="../tables/table316.xml"/><Relationship Id="rId6" Type="http://schemas.openxmlformats.org/officeDocument/2006/relationships/table" Target="../tables/table321.xml"/><Relationship Id="rId11" Type="http://schemas.openxmlformats.org/officeDocument/2006/relationships/table" Target="../tables/table326.xml"/><Relationship Id="rId24" Type="http://schemas.openxmlformats.org/officeDocument/2006/relationships/table" Target="../tables/table339.xml"/><Relationship Id="rId5" Type="http://schemas.openxmlformats.org/officeDocument/2006/relationships/table" Target="../tables/table320.xml"/><Relationship Id="rId15" Type="http://schemas.openxmlformats.org/officeDocument/2006/relationships/table" Target="../tables/table330.xml"/><Relationship Id="rId23" Type="http://schemas.openxmlformats.org/officeDocument/2006/relationships/table" Target="../tables/table338.xml"/><Relationship Id="rId10" Type="http://schemas.openxmlformats.org/officeDocument/2006/relationships/table" Target="../tables/table325.xml"/><Relationship Id="rId19" Type="http://schemas.openxmlformats.org/officeDocument/2006/relationships/table" Target="../tables/table334.xml"/><Relationship Id="rId4" Type="http://schemas.openxmlformats.org/officeDocument/2006/relationships/table" Target="../tables/table319.xml"/><Relationship Id="rId9" Type="http://schemas.openxmlformats.org/officeDocument/2006/relationships/table" Target="../tables/table324.xml"/><Relationship Id="rId14" Type="http://schemas.openxmlformats.org/officeDocument/2006/relationships/table" Target="../tables/table329.xml"/><Relationship Id="rId22" Type="http://schemas.openxmlformats.org/officeDocument/2006/relationships/table" Target="../tables/table33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2.xml"/><Relationship Id="rId2" Type="http://schemas.openxmlformats.org/officeDocument/2006/relationships/table" Target="../tables/table341.xml"/><Relationship Id="rId1" Type="http://schemas.openxmlformats.org/officeDocument/2006/relationships/table" Target="../tables/table34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5.xml"/><Relationship Id="rId2" Type="http://schemas.openxmlformats.org/officeDocument/2006/relationships/table" Target="../tables/table344.xml"/><Relationship Id="rId1" Type="http://schemas.openxmlformats.org/officeDocument/2006/relationships/table" Target="../tables/table34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62"/>
  <sheetViews>
    <sheetView zoomScaleNormal="100" workbookViewId="0">
      <pane ySplit="1" topLeftCell="A2" activePane="bottomLeft" state="frozenSplit"/>
      <selection pane="bottomLeft" activeCell="V27" sqref="V27"/>
    </sheetView>
  </sheetViews>
  <sheetFormatPr baseColWidth="10" defaultRowHeight="16"/>
  <cols>
    <col min="1" max="1" width="2.83203125" customWidth="1"/>
    <col min="2" max="2" width="37.33203125" customWidth="1"/>
    <col min="3" max="3" width="8.33203125" customWidth="1"/>
    <col min="4" max="4" width="9.1640625" customWidth="1"/>
    <col min="5" max="5" width="7" customWidth="1"/>
    <col min="6" max="6" width="6.6640625" customWidth="1"/>
    <col min="7" max="7" width="6.33203125" customWidth="1"/>
    <col min="8" max="8" width="7.5" customWidth="1"/>
    <col min="9" max="9" width="7.1640625" customWidth="1"/>
    <col min="10" max="10" width="8.5" customWidth="1"/>
    <col min="11" max="12" width="2.83203125" customWidth="1"/>
    <col min="13" max="13" width="37.33203125" customWidth="1"/>
    <col min="14" max="14" width="8.5" customWidth="1"/>
    <col min="15" max="15" width="9.1640625" customWidth="1"/>
    <col min="16" max="16" width="11.6640625" customWidth="1"/>
    <col min="17" max="17" width="8.33203125" customWidth="1"/>
    <col min="18" max="19" width="8.1640625" customWidth="1"/>
    <col min="20" max="21" width="7.83203125" customWidth="1"/>
    <col min="22" max="23" width="4.5" customWidth="1"/>
    <col min="24" max="24" width="37.33203125" customWidth="1"/>
    <col min="25" max="25" width="9" customWidth="1"/>
    <col min="26" max="26" width="10.1640625" customWidth="1"/>
    <col min="27" max="27" width="7.6640625" customWidth="1"/>
    <col min="28" max="28" width="7.33203125" customWidth="1"/>
    <col min="29" max="29" width="6.6640625" customWidth="1"/>
    <col min="30" max="30" width="8.1640625" customWidth="1"/>
    <col min="31" max="31" width="7.83203125" customWidth="1"/>
    <col min="32" max="32" width="8.1640625" customWidth="1"/>
    <col min="33" max="34" width="2.83203125" customWidth="1"/>
    <col min="35" max="35" width="37.33203125" customWidth="1"/>
    <col min="36" max="36" width="9.5" customWidth="1"/>
    <col min="37" max="37" width="10.1640625" customWidth="1"/>
    <col min="38" max="38" width="7.6640625" customWidth="1"/>
    <col min="39" max="39" width="8.33203125" customWidth="1"/>
    <col min="40" max="41" width="8.1640625" customWidth="1"/>
    <col min="42" max="43" width="7.83203125" customWidth="1"/>
    <col min="44" max="45" width="4.5" customWidth="1"/>
    <col min="46" max="46" width="37.33203125" customWidth="1"/>
    <col min="47" max="47" width="8" customWidth="1"/>
    <col min="48" max="48" width="8.83203125" customWidth="1"/>
    <col min="49" max="49" width="6.5" customWidth="1"/>
    <col min="50" max="50" width="6.33203125" customWidth="1"/>
    <col min="51" max="51" width="5.83203125" customWidth="1"/>
    <col min="52" max="52" width="7.1640625" customWidth="1"/>
    <col min="53" max="53" width="6.83203125" customWidth="1"/>
    <col min="54" max="54" width="8.1640625" customWidth="1"/>
    <col min="55" max="56" width="2.83203125" customWidth="1"/>
    <col min="57" max="57" width="37.33203125" customWidth="1"/>
    <col min="58" max="58" width="8.5" customWidth="1"/>
    <col min="59" max="59" width="8.83203125" customWidth="1"/>
    <col min="60" max="60" width="6.5" customWidth="1"/>
    <col min="61" max="61" width="7.6640625" customWidth="1"/>
    <col min="62" max="62" width="7.1640625" customWidth="1"/>
    <col min="63" max="63" width="7" customWidth="1"/>
    <col min="64" max="64" width="6.83203125" customWidth="1"/>
    <col min="65" max="65" width="8.1640625" customWidth="1"/>
    <col min="66" max="67" width="4.5" customWidth="1"/>
  </cols>
  <sheetData>
    <row r="1" spans="2:65" ht="30">
      <c r="B1" s="1037" t="s">
        <v>0</v>
      </c>
      <c r="C1" s="1035"/>
      <c r="D1" s="1035"/>
      <c r="E1" s="1035"/>
      <c r="F1" s="1035"/>
      <c r="G1" s="1035"/>
      <c r="H1" s="1035"/>
      <c r="I1" s="1035"/>
      <c r="J1" s="1036"/>
      <c r="M1" s="1037" t="s">
        <v>1</v>
      </c>
      <c r="N1" s="1035"/>
      <c r="O1" s="1035"/>
      <c r="P1" s="1035"/>
      <c r="Q1" s="1035"/>
      <c r="R1" s="1035"/>
      <c r="S1" s="1035"/>
      <c r="T1" s="1035"/>
      <c r="U1" s="1036"/>
      <c r="X1" s="1037" t="s">
        <v>2</v>
      </c>
      <c r="Y1" s="1035"/>
      <c r="Z1" s="1035"/>
      <c r="AA1" s="1035"/>
      <c r="AB1" s="1035"/>
      <c r="AC1" s="1035"/>
      <c r="AD1" s="1035"/>
      <c r="AE1" s="1035"/>
      <c r="AF1" s="1036"/>
      <c r="AI1" s="1037" t="s">
        <v>3</v>
      </c>
      <c r="AJ1" s="1035"/>
      <c r="AK1" s="1035"/>
      <c r="AL1" s="1035"/>
      <c r="AM1" s="1035"/>
      <c r="AN1" s="1035"/>
      <c r="AO1" s="1035"/>
      <c r="AP1" s="1035"/>
      <c r="AQ1" s="1036"/>
      <c r="AT1" s="1037" t="s">
        <v>4</v>
      </c>
      <c r="AU1" s="1035"/>
      <c r="AV1" s="1035"/>
      <c r="AW1" s="1035"/>
      <c r="AX1" s="1035"/>
      <c r="AY1" s="1035"/>
      <c r="AZ1" s="1035"/>
      <c r="BA1" s="1035"/>
      <c r="BB1" s="1036"/>
      <c r="BE1" s="1037" t="s">
        <v>5</v>
      </c>
      <c r="BF1" s="1035"/>
      <c r="BG1" s="1035"/>
      <c r="BH1" s="1035"/>
      <c r="BI1" s="1035"/>
      <c r="BJ1" s="1035"/>
      <c r="BK1" s="1035"/>
      <c r="BL1" s="1035"/>
      <c r="BM1" s="1036"/>
    </row>
    <row r="2" spans="2:65" ht="25">
      <c r="B2" s="1030" t="s">
        <v>6</v>
      </c>
      <c r="C2" s="1031"/>
      <c r="D2" s="1031"/>
      <c r="E2" s="1031"/>
      <c r="F2" s="1031"/>
      <c r="G2" s="1031"/>
      <c r="H2" s="1031"/>
      <c r="I2" s="1031"/>
      <c r="J2" s="1032"/>
      <c r="M2" s="1030" t="s">
        <v>7</v>
      </c>
      <c r="N2" s="1031"/>
      <c r="O2" s="1031"/>
      <c r="P2" s="1031"/>
      <c r="Q2" s="1031"/>
      <c r="R2" s="1031"/>
      <c r="S2" s="1031"/>
      <c r="T2" s="1031"/>
      <c r="U2" s="1032"/>
      <c r="X2" s="1030" t="s">
        <v>6</v>
      </c>
      <c r="Y2" s="1031"/>
      <c r="Z2" s="1031"/>
      <c r="AA2" s="1031"/>
      <c r="AB2" s="1031"/>
      <c r="AC2" s="1031"/>
      <c r="AD2" s="1031"/>
      <c r="AE2" s="1031"/>
      <c r="AF2" s="1032"/>
      <c r="AI2" s="1030" t="s">
        <v>7</v>
      </c>
      <c r="AJ2" s="1031"/>
      <c r="AK2" s="1031"/>
      <c r="AL2" s="1031"/>
      <c r="AM2" s="1031"/>
      <c r="AN2" s="1031"/>
      <c r="AO2" s="1031"/>
      <c r="AP2" s="1031"/>
      <c r="AQ2" s="1032"/>
      <c r="AT2" s="1030" t="s">
        <v>6</v>
      </c>
      <c r="AU2" s="1031"/>
      <c r="AV2" s="1031"/>
      <c r="AW2" s="1031"/>
      <c r="AX2" s="1031"/>
      <c r="AY2" s="1031"/>
      <c r="AZ2" s="1031"/>
      <c r="BA2" s="1031"/>
      <c r="BB2" s="1032"/>
      <c r="BE2" s="1030" t="s">
        <v>7</v>
      </c>
      <c r="BF2" s="1031"/>
      <c r="BG2" s="1031"/>
      <c r="BH2" s="1031"/>
      <c r="BI2" s="1031"/>
      <c r="BJ2" s="1031"/>
      <c r="BK2" s="1031"/>
      <c r="BL2" s="1031"/>
      <c r="BM2" s="1032"/>
    </row>
    <row r="3" spans="2:65">
      <c r="B3" s="39" t="s">
        <v>8</v>
      </c>
      <c r="C3" s="187" t="s">
        <v>9</v>
      </c>
      <c r="D3" s="187" t="s">
        <v>10</v>
      </c>
      <c r="E3" s="187" t="s">
        <v>11</v>
      </c>
      <c r="F3" s="187" t="s">
        <v>12</v>
      </c>
      <c r="G3" s="187" t="s">
        <v>13</v>
      </c>
      <c r="H3" s="187" t="s">
        <v>14</v>
      </c>
      <c r="I3" s="187" t="s">
        <v>15</v>
      </c>
      <c r="J3" s="189" t="s">
        <v>16</v>
      </c>
      <c r="M3" s="39" t="s">
        <v>8</v>
      </c>
      <c r="N3" s="187" t="s">
        <v>9</v>
      </c>
      <c r="O3" s="187" t="s">
        <v>10</v>
      </c>
      <c r="P3" s="187" t="s">
        <v>11</v>
      </c>
      <c r="Q3" s="187" t="s">
        <v>12</v>
      </c>
      <c r="R3" s="187" t="s">
        <v>13</v>
      </c>
      <c r="S3" s="187" t="s">
        <v>14</v>
      </c>
      <c r="T3" s="187" t="s">
        <v>15</v>
      </c>
      <c r="U3" s="189" t="s">
        <v>16</v>
      </c>
      <c r="X3" s="39" t="s">
        <v>8</v>
      </c>
      <c r="Y3" s="187" t="s">
        <v>9</v>
      </c>
      <c r="Z3" s="187" t="s">
        <v>10</v>
      </c>
      <c r="AA3" s="187" t="s">
        <v>11</v>
      </c>
      <c r="AB3" s="187" t="s">
        <v>12</v>
      </c>
      <c r="AC3" s="187" t="s">
        <v>13</v>
      </c>
      <c r="AD3" s="187" t="s">
        <v>14</v>
      </c>
      <c r="AE3" s="187" t="s">
        <v>15</v>
      </c>
      <c r="AF3" s="189" t="s">
        <v>16</v>
      </c>
      <c r="AI3" s="39" t="s">
        <v>8</v>
      </c>
      <c r="AJ3" s="187" t="s">
        <v>9</v>
      </c>
      <c r="AK3" s="187" t="s">
        <v>10</v>
      </c>
      <c r="AL3" s="187" t="s">
        <v>11</v>
      </c>
      <c r="AM3" s="187" t="s">
        <v>12</v>
      </c>
      <c r="AN3" s="187" t="s">
        <v>13</v>
      </c>
      <c r="AO3" s="187" t="s">
        <v>14</v>
      </c>
      <c r="AP3" s="187" t="s">
        <v>15</v>
      </c>
      <c r="AQ3" s="189" t="s">
        <v>16</v>
      </c>
      <c r="AT3" s="39" t="s">
        <v>8</v>
      </c>
      <c r="AU3" s="187" t="s">
        <v>9</v>
      </c>
      <c r="AV3" s="187" t="s">
        <v>10</v>
      </c>
      <c r="AW3" s="187" t="s">
        <v>11</v>
      </c>
      <c r="AX3" s="187" t="s">
        <v>12</v>
      </c>
      <c r="AY3" s="187" t="s">
        <v>13</v>
      </c>
      <c r="AZ3" s="187" t="s">
        <v>14</v>
      </c>
      <c r="BA3" s="187" t="s">
        <v>15</v>
      </c>
      <c r="BB3" s="189" t="s">
        <v>16</v>
      </c>
      <c r="BE3" s="39" t="s">
        <v>8</v>
      </c>
      <c r="BF3" s="187" t="s">
        <v>9</v>
      </c>
      <c r="BG3" s="187" t="s">
        <v>10</v>
      </c>
      <c r="BH3" s="187" t="s">
        <v>11</v>
      </c>
      <c r="BI3" s="187" t="s">
        <v>12</v>
      </c>
      <c r="BJ3" s="187" t="s">
        <v>13</v>
      </c>
      <c r="BK3" s="187" t="s">
        <v>14</v>
      </c>
      <c r="BL3" s="187" t="s">
        <v>15</v>
      </c>
      <c r="BM3" s="189" t="s">
        <v>16</v>
      </c>
    </row>
    <row r="4" spans="2:65" ht="20">
      <c r="B4" s="383" t="s">
        <v>17</v>
      </c>
      <c r="C4" s="22">
        <f>'AL EAST 2024'!E31</f>
        <v>24</v>
      </c>
      <c r="D4" s="52">
        <f>'AL EAST 2024'!F31</f>
        <v>16</v>
      </c>
      <c r="E4" s="55" t="s">
        <v>18</v>
      </c>
      <c r="F4" s="63">
        <f>'AL EAST 2024'!I18</f>
        <v>183</v>
      </c>
      <c r="G4" s="384">
        <f>'AL EAST 2024'!J31</f>
        <v>148</v>
      </c>
      <c r="H4" s="53" t="s">
        <v>19</v>
      </c>
      <c r="I4" s="52" t="s">
        <v>20</v>
      </c>
      <c r="J4" s="21" t="s">
        <v>21</v>
      </c>
      <c r="M4" s="383" t="s">
        <v>22</v>
      </c>
      <c r="N4" s="22">
        <f>'NL EAST 2024'!E62</f>
        <v>30</v>
      </c>
      <c r="O4" s="52">
        <f>'NL EAST 2024'!F62</f>
        <v>10</v>
      </c>
      <c r="P4" s="55" t="s">
        <v>18</v>
      </c>
      <c r="Q4" s="63">
        <f>'NL EAST 2024'!I49</f>
        <v>195</v>
      </c>
      <c r="R4" s="54">
        <f>'NL EAST 2024'!J62</f>
        <v>129</v>
      </c>
      <c r="S4" s="53" t="s">
        <v>19</v>
      </c>
      <c r="T4" s="52" t="s">
        <v>21</v>
      </c>
      <c r="U4" s="21" t="s">
        <v>23</v>
      </c>
      <c r="X4" s="383" t="s">
        <v>24</v>
      </c>
      <c r="Y4" s="22">
        <v>29</v>
      </c>
      <c r="Z4" s="52">
        <v>11</v>
      </c>
      <c r="AA4" s="55" t="s">
        <v>18</v>
      </c>
      <c r="AB4" s="63">
        <v>175</v>
      </c>
      <c r="AC4" s="54">
        <v>119</v>
      </c>
      <c r="AD4" s="53" t="s">
        <v>25</v>
      </c>
      <c r="AE4" s="52" t="s">
        <v>26</v>
      </c>
      <c r="AF4" s="21" t="s">
        <v>27</v>
      </c>
      <c r="AI4" s="383" t="s">
        <v>28</v>
      </c>
      <c r="AJ4" s="22">
        <v>25</v>
      </c>
      <c r="AK4" s="52">
        <v>15</v>
      </c>
      <c r="AL4" s="55" t="s">
        <v>18</v>
      </c>
      <c r="AM4" s="63">
        <v>174</v>
      </c>
      <c r="AN4" s="54">
        <v>147</v>
      </c>
      <c r="AO4" s="53" t="s">
        <v>25</v>
      </c>
      <c r="AP4" s="52" t="s">
        <v>26</v>
      </c>
      <c r="AQ4" s="21" t="s">
        <v>29</v>
      </c>
      <c r="AT4" s="383" t="s">
        <v>30</v>
      </c>
      <c r="AU4" s="22">
        <f>'AL EAST 2024'!BC62</f>
        <v>27</v>
      </c>
      <c r="AV4" s="52">
        <f>'AL EAST 2024'!BD62</f>
        <v>13</v>
      </c>
      <c r="AW4" s="55" t="s">
        <v>31</v>
      </c>
      <c r="AX4" s="63">
        <f>'AL EAST 2024'!BG49</f>
        <v>231</v>
      </c>
      <c r="AY4" s="54">
        <f>'AL EAST 2024'!BH62</f>
        <v>184</v>
      </c>
      <c r="AZ4" s="53" t="s">
        <v>25</v>
      </c>
      <c r="BA4" s="52" t="s">
        <v>20</v>
      </c>
      <c r="BB4" s="21" t="s">
        <v>32</v>
      </c>
      <c r="BE4" s="383" t="s">
        <v>33</v>
      </c>
      <c r="BF4" s="22">
        <v>23</v>
      </c>
      <c r="BG4" s="52">
        <v>17</v>
      </c>
      <c r="BH4" s="55" t="s">
        <v>31</v>
      </c>
      <c r="BI4" s="63">
        <v>185</v>
      </c>
      <c r="BJ4" s="384">
        <v>127</v>
      </c>
      <c r="BK4" s="53" t="s">
        <v>34</v>
      </c>
      <c r="BL4" s="52" t="s">
        <v>23</v>
      </c>
      <c r="BM4" s="21" t="s">
        <v>23</v>
      </c>
    </row>
    <row r="5" spans="2:65" ht="20">
      <c r="B5" s="12" t="s">
        <v>30</v>
      </c>
      <c r="C5" s="11">
        <f>'AL EAST 2024'!E62</f>
        <v>23</v>
      </c>
      <c r="D5" s="13">
        <f>'AL EAST 2024'!F62</f>
        <v>17</v>
      </c>
      <c r="E5" s="49" t="s">
        <v>35</v>
      </c>
      <c r="F5" s="30">
        <f>'AL EAST 2024'!I49</f>
        <v>206</v>
      </c>
      <c r="G5" s="48">
        <f>'AL EAST 2024'!J62</f>
        <v>157</v>
      </c>
      <c r="H5" s="47" t="s">
        <v>19</v>
      </c>
      <c r="I5" s="13" t="s">
        <v>26</v>
      </c>
      <c r="J5" s="10" t="s">
        <v>23</v>
      </c>
      <c r="M5" s="12" t="s">
        <v>28</v>
      </c>
      <c r="N5" s="11">
        <f>'NL EAST 2024'!E93</f>
        <v>24</v>
      </c>
      <c r="O5" s="13">
        <f>'NL EAST 2024'!F93</f>
        <v>16</v>
      </c>
      <c r="P5" s="49" t="s">
        <v>36</v>
      </c>
      <c r="Q5" s="30">
        <f>'NL EAST 2024'!I80</f>
        <v>178</v>
      </c>
      <c r="R5" s="48">
        <f>'NL EAST 2024'!J93</f>
        <v>142</v>
      </c>
      <c r="S5" s="47" t="s">
        <v>25</v>
      </c>
      <c r="T5" s="13" t="s">
        <v>37</v>
      </c>
      <c r="U5" s="10" t="s">
        <v>32</v>
      </c>
      <c r="X5" s="12" t="s">
        <v>30</v>
      </c>
      <c r="Y5" s="11">
        <v>25</v>
      </c>
      <c r="Z5" s="13">
        <v>15</v>
      </c>
      <c r="AA5" s="49" t="s">
        <v>38</v>
      </c>
      <c r="AB5" s="30">
        <v>204</v>
      </c>
      <c r="AC5" s="48">
        <v>193</v>
      </c>
      <c r="AD5" s="47" t="s">
        <v>19</v>
      </c>
      <c r="AE5" s="13" t="s">
        <v>20</v>
      </c>
      <c r="AF5" s="10" t="s">
        <v>39</v>
      </c>
      <c r="AI5" s="12" t="s">
        <v>22</v>
      </c>
      <c r="AJ5" s="11">
        <v>23</v>
      </c>
      <c r="AK5" s="13">
        <v>17</v>
      </c>
      <c r="AL5" s="49" t="s">
        <v>40</v>
      </c>
      <c r="AM5" s="30">
        <v>200</v>
      </c>
      <c r="AN5" s="48">
        <v>153</v>
      </c>
      <c r="AO5" s="47" t="s">
        <v>41</v>
      </c>
      <c r="AP5" s="13" t="s">
        <v>37</v>
      </c>
      <c r="AQ5" s="10" t="s">
        <v>42</v>
      </c>
      <c r="AT5" s="12" t="s">
        <v>17</v>
      </c>
      <c r="AU5" s="11">
        <f>'AL EAST 2024'!BC31</f>
        <v>23</v>
      </c>
      <c r="AV5" s="13">
        <f>'AL EAST 2024'!BD31</f>
        <v>17</v>
      </c>
      <c r="AW5" s="49" t="s">
        <v>38</v>
      </c>
      <c r="AX5" s="30">
        <f>'AL EAST 2024'!BG18</f>
        <v>202</v>
      </c>
      <c r="AY5" s="62">
        <f>'AL EAST 2024'!BH31</f>
        <v>177</v>
      </c>
      <c r="AZ5" s="47" t="s">
        <v>41</v>
      </c>
      <c r="BA5" s="13" t="s">
        <v>26</v>
      </c>
      <c r="BB5" s="10" t="s">
        <v>21</v>
      </c>
      <c r="BE5" s="12" t="s">
        <v>22</v>
      </c>
      <c r="BF5" s="11">
        <v>22</v>
      </c>
      <c r="BG5" s="13">
        <v>18</v>
      </c>
      <c r="BH5" s="49" t="s">
        <v>35</v>
      </c>
      <c r="BI5" s="30">
        <v>179</v>
      </c>
      <c r="BJ5" s="48">
        <v>166</v>
      </c>
      <c r="BK5" s="47" t="s">
        <v>41</v>
      </c>
      <c r="BL5" s="13" t="s">
        <v>20</v>
      </c>
      <c r="BM5" s="10" t="s">
        <v>21</v>
      </c>
    </row>
    <row r="6" spans="2:65" ht="20">
      <c r="B6" s="12" t="s">
        <v>43</v>
      </c>
      <c r="C6" s="11">
        <f>'AL EAST 2024'!E124</f>
        <v>23</v>
      </c>
      <c r="D6" s="13">
        <f>'AL EAST 2024'!F124</f>
        <v>17</v>
      </c>
      <c r="E6" s="49" t="s">
        <v>35</v>
      </c>
      <c r="F6" s="30">
        <f>'AL EAST 2024'!I111</f>
        <v>190</v>
      </c>
      <c r="G6" s="48">
        <f>'AL EAST 2024'!J124</f>
        <v>167</v>
      </c>
      <c r="H6" s="47" t="s">
        <v>19</v>
      </c>
      <c r="I6" s="13" t="s">
        <v>44</v>
      </c>
      <c r="J6" s="10" t="s">
        <v>21</v>
      </c>
      <c r="M6" s="12" t="s">
        <v>33</v>
      </c>
      <c r="N6" s="11">
        <f>'NL EAST 2024'!E31</f>
        <v>23</v>
      </c>
      <c r="O6" s="13">
        <f>'NL EAST 2024'!F31</f>
        <v>17</v>
      </c>
      <c r="P6" s="49" t="s">
        <v>45</v>
      </c>
      <c r="Q6" s="30">
        <f>'NL EAST 2024'!I18</f>
        <v>164</v>
      </c>
      <c r="R6" s="62">
        <f>'NL EAST 2024'!J31</f>
        <v>163</v>
      </c>
      <c r="S6" s="47" t="s">
        <v>19</v>
      </c>
      <c r="T6" s="13" t="s">
        <v>32</v>
      </c>
      <c r="U6" s="10" t="s">
        <v>46</v>
      </c>
      <c r="X6" s="12" t="s">
        <v>43</v>
      </c>
      <c r="Y6" s="11">
        <v>23</v>
      </c>
      <c r="Z6" s="13">
        <v>17</v>
      </c>
      <c r="AA6" s="49" t="s">
        <v>36</v>
      </c>
      <c r="AB6" s="30">
        <v>151</v>
      </c>
      <c r="AC6" s="48">
        <v>159</v>
      </c>
      <c r="AD6" s="47" t="s">
        <v>41</v>
      </c>
      <c r="AE6" s="13" t="s">
        <v>20</v>
      </c>
      <c r="AF6" s="10" t="s">
        <v>42</v>
      </c>
      <c r="AI6" s="12" t="s">
        <v>33</v>
      </c>
      <c r="AJ6" s="11">
        <v>20</v>
      </c>
      <c r="AK6" s="13">
        <v>20</v>
      </c>
      <c r="AL6" s="49" t="s">
        <v>47</v>
      </c>
      <c r="AM6" s="30">
        <v>168</v>
      </c>
      <c r="AN6" s="62">
        <v>167</v>
      </c>
      <c r="AO6" s="47" t="s">
        <v>41</v>
      </c>
      <c r="AP6" s="13" t="s">
        <v>20</v>
      </c>
      <c r="AQ6" s="10" t="s">
        <v>32</v>
      </c>
      <c r="AT6" s="12" t="s">
        <v>24</v>
      </c>
      <c r="AU6" s="11">
        <f>'AL EAST 2024'!BC93</f>
        <v>19</v>
      </c>
      <c r="AV6" s="13">
        <f>'AL EAST 2024'!BD93</f>
        <v>21</v>
      </c>
      <c r="AW6" s="49" t="s">
        <v>48</v>
      </c>
      <c r="AX6" s="30">
        <f>'AL EAST 2024'!BG80</f>
        <v>198</v>
      </c>
      <c r="AY6" s="48">
        <f>'AL EAST 2024'!BH93</f>
        <v>179</v>
      </c>
      <c r="AZ6" s="47" t="s">
        <v>25</v>
      </c>
      <c r="BA6" s="13" t="s">
        <v>44</v>
      </c>
      <c r="BB6" s="10" t="s">
        <v>32</v>
      </c>
      <c r="BE6" s="12" t="s">
        <v>28</v>
      </c>
      <c r="BF6" s="11">
        <v>21</v>
      </c>
      <c r="BG6" s="13">
        <v>19</v>
      </c>
      <c r="BH6" s="49" t="s">
        <v>40</v>
      </c>
      <c r="BI6" s="30">
        <v>165</v>
      </c>
      <c r="BJ6" s="48">
        <v>174</v>
      </c>
      <c r="BK6" s="47" t="s">
        <v>49</v>
      </c>
      <c r="BL6" s="13" t="s">
        <v>26</v>
      </c>
      <c r="BM6" s="10" t="s">
        <v>21</v>
      </c>
    </row>
    <row r="7" spans="2:65" ht="20">
      <c r="B7" s="12" t="s">
        <v>24</v>
      </c>
      <c r="C7" s="11">
        <f>'AL EAST 2024'!E93</f>
        <v>16</v>
      </c>
      <c r="D7" s="13">
        <f>'AL EAST 2024'!F93</f>
        <v>24</v>
      </c>
      <c r="E7" s="49" t="s">
        <v>48</v>
      </c>
      <c r="F7" s="30">
        <f>'AL EAST 2024'!I80</f>
        <v>149</v>
      </c>
      <c r="G7" s="48">
        <f>'AL EAST 2024'!J93</f>
        <v>194</v>
      </c>
      <c r="H7" s="47" t="s">
        <v>50</v>
      </c>
      <c r="I7" s="13" t="s">
        <v>26</v>
      </c>
      <c r="J7" s="10" t="s">
        <v>51</v>
      </c>
      <c r="M7" s="12" t="s">
        <v>52</v>
      </c>
      <c r="N7" s="11">
        <f>'NL EAST 2024'!E155</f>
        <v>17</v>
      </c>
      <c r="O7" s="13">
        <f>'NL EAST 2024'!F155</f>
        <v>23</v>
      </c>
      <c r="P7" s="49" t="s">
        <v>53</v>
      </c>
      <c r="Q7" s="30">
        <f>'NL EAST 2024'!I142</f>
        <v>153</v>
      </c>
      <c r="R7" s="48">
        <f>'NL EAST 2024'!J155</f>
        <v>150</v>
      </c>
      <c r="S7" s="47" t="s">
        <v>54</v>
      </c>
      <c r="T7" s="13" t="s">
        <v>29</v>
      </c>
      <c r="U7" s="10" t="s">
        <v>55</v>
      </c>
      <c r="X7" s="12" t="s">
        <v>17</v>
      </c>
      <c r="Y7" s="11">
        <v>21</v>
      </c>
      <c r="Z7" s="13">
        <v>19</v>
      </c>
      <c r="AA7" s="49" t="s">
        <v>48</v>
      </c>
      <c r="AB7" s="30">
        <v>170</v>
      </c>
      <c r="AC7" s="62">
        <v>146</v>
      </c>
      <c r="AD7" s="47" t="s">
        <v>54</v>
      </c>
      <c r="AE7" s="13" t="s">
        <v>26</v>
      </c>
      <c r="AF7" s="10" t="s">
        <v>46</v>
      </c>
      <c r="AI7" s="12" t="s">
        <v>56</v>
      </c>
      <c r="AJ7" s="11">
        <v>18</v>
      </c>
      <c r="AK7" s="13">
        <v>22</v>
      </c>
      <c r="AL7" s="49" t="s">
        <v>48</v>
      </c>
      <c r="AM7" s="30">
        <v>137</v>
      </c>
      <c r="AN7" s="48">
        <v>150</v>
      </c>
      <c r="AO7" s="47" t="s">
        <v>25</v>
      </c>
      <c r="AP7" s="13" t="s">
        <v>29</v>
      </c>
      <c r="AQ7" s="10" t="s">
        <v>46</v>
      </c>
      <c r="AT7" s="12" t="s">
        <v>57</v>
      </c>
      <c r="AU7" s="11">
        <f>'AL EAST 2024'!BC155</f>
        <v>17</v>
      </c>
      <c r="AV7" s="13">
        <f>'AL EAST 2024'!BD155</f>
        <v>23</v>
      </c>
      <c r="AW7" s="49" t="s">
        <v>58</v>
      </c>
      <c r="AX7" s="30">
        <f>'AL EAST 2024'!BG142</f>
        <v>183</v>
      </c>
      <c r="AY7" s="48">
        <f>'AL EAST 2024'!BH155</f>
        <v>184</v>
      </c>
      <c r="AZ7" s="47" t="s">
        <v>49</v>
      </c>
      <c r="BA7" s="13" t="s">
        <v>26</v>
      </c>
      <c r="BB7" s="10" t="s">
        <v>59</v>
      </c>
      <c r="BE7" s="12" t="s">
        <v>56</v>
      </c>
      <c r="BF7" s="11">
        <v>20</v>
      </c>
      <c r="BG7" s="13">
        <v>20</v>
      </c>
      <c r="BH7" s="49" t="s">
        <v>60</v>
      </c>
      <c r="BI7" s="30">
        <v>144</v>
      </c>
      <c r="BJ7" s="48">
        <v>161</v>
      </c>
      <c r="BK7" s="47" t="s">
        <v>41</v>
      </c>
      <c r="BL7" s="13" t="s">
        <v>61</v>
      </c>
      <c r="BM7" s="10" t="s">
        <v>61</v>
      </c>
    </row>
    <row r="8" spans="2:65" ht="20">
      <c r="B8" s="6" t="s">
        <v>57</v>
      </c>
      <c r="C8" s="5">
        <f>'AL EAST 2024'!E155</f>
        <v>15</v>
      </c>
      <c r="D8" s="40">
        <f>'AL EAST 2024'!F155</f>
        <v>25</v>
      </c>
      <c r="E8" s="43" t="s">
        <v>62</v>
      </c>
      <c r="F8" s="61">
        <f>'AL EAST 2024'!I142</f>
        <v>170</v>
      </c>
      <c r="G8" s="42">
        <f>'AL EAST 2024'!J155</f>
        <v>190</v>
      </c>
      <c r="H8" s="41" t="s">
        <v>49</v>
      </c>
      <c r="I8" s="40" t="s">
        <v>37</v>
      </c>
      <c r="J8" s="4" t="s">
        <v>32</v>
      </c>
      <c r="M8" s="6" t="s">
        <v>56</v>
      </c>
      <c r="N8" s="5">
        <f>'NL EAST 2024'!E124</f>
        <v>13</v>
      </c>
      <c r="O8" s="40">
        <f>'NL EAST 2024'!F124</f>
        <v>27</v>
      </c>
      <c r="P8" s="43" t="s">
        <v>63</v>
      </c>
      <c r="Q8" s="61">
        <f>'NL EAST 2024'!I111</f>
        <v>126</v>
      </c>
      <c r="R8" s="42">
        <f>'NL EAST 2024'!J124</f>
        <v>176</v>
      </c>
      <c r="S8" s="41" t="s">
        <v>64</v>
      </c>
      <c r="T8" s="40" t="s">
        <v>14</v>
      </c>
      <c r="U8" s="4" t="s">
        <v>14</v>
      </c>
      <c r="X8" s="6" t="s">
        <v>57</v>
      </c>
      <c r="Y8" s="5">
        <v>21</v>
      </c>
      <c r="Z8" s="40">
        <v>19</v>
      </c>
      <c r="AA8" s="43" t="s">
        <v>48</v>
      </c>
      <c r="AB8" s="61">
        <v>169</v>
      </c>
      <c r="AC8" s="42">
        <v>137</v>
      </c>
      <c r="AD8" s="41" t="s">
        <v>41</v>
      </c>
      <c r="AE8" s="40" t="s">
        <v>20</v>
      </c>
      <c r="AF8" s="4" t="s">
        <v>42</v>
      </c>
      <c r="AI8" s="6" t="s">
        <v>52</v>
      </c>
      <c r="AJ8" s="5">
        <v>17</v>
      </c>
      <c r="AK8" s="40">
        <v>23</v>
      </c>
      <c r="AL8" s="43" t="s">
        <v>48</v>
      </c>
      <c r="AM8" s="61">
        <v>129</v>
      </c>
      <c r="AN8" s="42">
        <v>169</v>
      </c>
      <c r="AO8" s="41" t="s">
        <v>25</v>
      </c>
      <c r="AP8" s="40" t="s">
        <v>44</v>
      </c>
      <c r="AQ8" s="4" t="s">
        <v>59</v>
      </c>
      <c r="AT8" s="6" t="s">
        <v>43</v>
      </c>
      <c r="AU8" s="5">
        <f>'AL EAST 2024'!BC124</f>
        <v>14</v>
      </c>
      <c r="AV8" s="40">
        <f>'AL EAST 2024'!BD124</f>
        <v>26</v>
      </c>
      <c r="AW8" s="43" t="s">
        <v>53</v>
      </c>
      <c r="AX8" s="61">
        <f>'AL EAST 2024'!BG111</f>
        <v>145</v>
      </c>
      <c r="AY8" s="42">
        <f>'AL EAST 2024'!BH124</f>
        <v>208</v>
      </c>
      <c r="AZ8" s="41" t="s">
        <v>41</v>
      </c>
      <c r="BA8" s="40" t="s">
        <v>37</v>
      </c>
      <c r="BB8" s="4" t="s">
        <v>65</v>
      </c>
      <c r="BE8" s="6" t="s">
        <v>52</v>
      </c>
      <c r="BF8" s="5">
        <v>17</v>
      </c>
      <c r="BG8" s="40">
        <v>23</v>
      </c>
      <c r="BH8" s="43" t="s">
        <v>36</v>
      </c>
      <c r="BI8" s="61">
        <v>136</v>
      </c>
      <c r="BJ8" s="42">
        <v>167</v>
      </c>
      <c r="BK8" s="41" t="s">
        <v>49</v>
      </c>
      <c r="BL8" s="40" t="s">
        <v>61</v>
      </c>
      <c r="BM8" s="4" t="s">
        <v>46</v>
      </c>
    </row>
    <row r="9" spans="2:65" ht="18">
      <c r="B9" s="46"/>
      <c r="C9" s="58"/>
      <c r="D9" s="58"/>
      <c r="E9" s="59"/>
      <c r="F9" s="60"/>
      <c r="G9" s="46"/>
      <c r="H9" s="59"/>
      <c r="I9" s="46"/>
      <c r="J9" s="46"/>
      <c r="M9" s="46"/>
      <c r="N9" s="58"/>
      <c r="O9" s="58"/>
      <c r="P9" s="59"/>
      <c r="Q9" s="60"/>
      <c r="R9" s="46"/>
      <c r="S9" s="59"/>
      <c r="T9" s="46"/>
      <c r="U9" s="46"/>
      <c r="X9" s="46"/>
      <c r="Y9" s="58"/>
      <c r="Z9" s="58"/>
      <c r="AA9" s="59"/>
      <c r="AB9" s="60"/>
      <c r="AC9" s="46"/>
      <c r="AD9" s="59"/>
      <c r="AE9" s="46"/>
      <c r="AF9" s="46"/>
      <c r="AI9" s="46"/>
      <c r="AJ9" s="58"/>
      <c r="AK9" s="58"/>
      <c r="AL9" s="59"/>
      <c r="AM9" s="60"/>
      <c r="AN9" s="46"/>
      <c r="AO9" s="59"/>
      <c r="AP9" s="46"/>
      <c r="AQ9" s="46"/>
      <c r="AT9" s="46"/>
      <c r="AU9" s="58"/>
      <c r="AV9" s="58"/>
      <c r="AW9" s="59"/>
      <c r="AX9" s="60"/>
      <c r="AY9" s="46"/>
      <c r="AZ9" s="59"/>
      <c r="BA9" s="46"/>
      <c r="BB9" s="46"/>
      <c r="BE9" s="46"/>
      <c r="BF9" s="58"/>
      <c r="BG9" s="58"/>
      <c r="BH9" s="59"/>
      <c r="BI9" s="60"/>
      <c r="BJ9" s="46"/>
      <c r="BK9" s="59"/>
      <c r="BL9" s="46"/>
      <c r="BM9" s="46"/>
    </row>
    <row r="11" spans="2:65" ht="25">
      <c r="B11" s="1030" t="s">
        <v>66</v>
      </c>
      <c r="C11" s="1031"/>
      <c r="D11" s="1031"/>
      <c r="E11" s="1031"/>
      <c r="F11" s="1031"/>
      <c r="G11" s="1031"/>
      <c r="H11" s="1031"/>
      <c r="I11" s="1031"/>
      <c r="J11" s="1032"/>
      <c r="M11" s="1030" t="s">
        <v>67</v>
      </c>
      <c r="N11" s="1031"/>
      <c r="O11" s="1031"/>
      <c r="P11" s="1031"/>
      <c r="Q11" s="1031"/>
      <c r="R11" s="1031"/>
      <c r="S11" s="1031"/>
      <c r="T11" s="1031"/>
      <c r="U11" s="1032"/>
      <c r="X11" s="1030" t="s">
        <v>66</v>
      </c>
      <c r="Y11" s="1031"/>
      <c r="Z11" s="1031"/>
      <c r="AA11" s="1031"/>
      <c r="AB11" s="1031"/>
      <c r="AC11" s="1031"/>
      <c r="AD11" s="1031"/>
      <c r="AE11" s="1031"/>
      <c r="AF11" s="1032"/>
      <c r="AI11" s="1030" t="s">
        <v>67</v>
      </c>
      <c r="AJ11" s="1031"/>
      <c r="AK11" s="1031"/>
      <c r="AL11" s="1031"/>
      <c r="AM11" s="1031"/>
      <c r="AN11" s="1031"/>
      <c r="AO11" s="1031"/>
      <c r="AP11" s="1031"/>
      <c r="AQ11" s="1032"/>
      <c r="AT11" s="1030" t="s">
        <v>66</v>
      </c>
      <c r="AU11" s="1031"/>
      <c r="AV11" s="1031"/>
      <c r="AW11" s="1031"/>
      <c r="AX11" s="1031"/>
      <c r="AY11" s="1031"/>
      <c r="AZ11" s="1031"/>
      <c r="BA11" s="1031"/>
      <c r="BB11" s="1032"/>
      <c r="BE11" s="1030" t="s">
        <v>67</v>
      </c>
      <c r="BF11" s="1031"/>
      <c r="BG11" s="1031"/>
      <c r="BH11" s="1031"/>
      <c r="BI11" s="1031"/>
      <c r="BJ11" s="1031"/>
      <c r="BK11" s="1031"/>
      <c r="BL11" s="1031"/>
      <c r="BM11" s="1032"/>
    </row>
    <row r="12" spans="2:65">
      <c r="B12" s="39" t="s">
        <v>8</v>
      </c>
      <c r="C12" s="187" t="s">
        <v>9</v>
      </c>
      <c r="D12" s="187" t="s">
        <v>10</v>
      </c>
      <c r="E12" s="187" t="s">
        <v>11</v>
      </c>
      <c r="F12" s="187" t="s">
        <v>12</v>
      </c>
      <c r="G12" s="187" t="s">
        <v>13</v>
      </c>
      <c r="H12" s="187" t="s">
        <v>14</v>
      </c>
      <c r="I12" s="187" t="s">
        <v>15</v>
      </c>
      <c r="J12" s="189" t="s">
        <v>16</v>
      </c>
      <c r="M12" s="39" t="s">
        <v>8</v>
      </c>
      <c r="N12" s="187" t="s">
        <v>9</v>
      </c>
      <c r="O12" s="187" t="s">
        <v>10</v>
      </c>
      <c r="P12" s="187" t="s">
        <v>11</v>
      </c>
      <c r="Q12" s="187" t="s">
        <v>12</v>
      </c>
      <c r="R12" s="187" t="s">
        <v>13</v>
      </c>
      <c r="S12" s="187" t="s">
        <v>14</v>
      </c>
      <c r="T12" s="187" t="s">
        <v>15</v>
      </c>
      <c r="U12" s="189" t="s">
        <v>16</v>
      </c>
      <c r="X12" s="39" t="s">
        <v>8</v>
      </c>
      <c r="Y12" s="187" t="s">
        <v>9</v>
      </c>
      <c r="Z12" s="187" t="s">
        <v>10</v>
      </c>
      <c r="AA12" s="187" t="s">
        <v>11</v>
      </c>
      <c r="AB12" s="187" t="s">
        <v>12</v>
      </c>
      <c r="AC12" s="187" t="s">
        <v>13</v>
      </c>
      <c r="AD12" s="187" t="s">
        <v>14</v>
      </c>
      <c r="AE12" s="187" t="s">
        <v>15</v>
      </c>
      <c r="AF12" s="189" t="s">
        <v>16</v>
      </c>
      <c r="AI12" s="39" t="s">
        <v>8</v>
      </c>
      <c r="AJ12" s="187" t="s">
        <v>9</v>
      </c>
      <c r="AK12" s="187" t="s">
        <v>10</v>
      </c>
      <c r="AL12" s="187" t="s">
        <v>11</v>
      </c>
      <c r="AM12" s="187" t="s">
        <v>12</v>
      </c>
      <c r="AN12" s="187" t="s">
        <v>13</v>
      </c>
      <c r="AO12" s="187" t="s">
        <v>14</v>
      </c>
      <c r="AP12" s="187" t="s">
        <v>15</v>
      </c>
      <c r="AQ12" s="189" t="s">
        <v>16</v>
      </c>
      <c r="AT12" s="39" t="s">
        <v>8</v>
      </c>
      <c r="AU12" s="187" t="s">
        <v>9</v>
      </c>
      <c r="AV12" s="187" t="s">
        <v>10</v>
      </c>
      <c r="AW12" s="187" t="s">
        <v>11</v>
      </c>
      <c r="AX12" s="187" t="s">
        <v>12</v>
      </c>
      <c r="AY12" s="187" t="s">
        <v>13</v>
      </c>
      <c r="AZ12" s="187" t="s">
        <v>14</v>
      </c>
      <c r="BA12" s="187" t="s">
        <v>15</v>
      </c>
      <c r="BB12" s="189" t="s">
        <v>16</v>
      </c>
      <c r="BE12" s="39" t="s">
        <v>8</v>
      </c>
      <c r="BF12" s="187" t="s">
        <v>9</v>
      </c>
      <c r="BG12" s="187" t="s">
        <v>10</v>
      </c>
      <c r="BH12" s="187" t="s">
        <v>11</v>
      </c>
      <c r="BI12" s="187" t="s">
        <v>12</v>
      </c>
      <c r="BJ12" s="187" t="s">
        <v>13</v>
      </c>
      <c r="BK12" s="187" t="s">
        <v>14</v>
      </c>
      <c r="BL12" s="187" t="s">
        <v>15</v>
      </c>
      <c r="BM12" s="189" t="s">
        <v>16</v>
      </c>
    </row>
    <row r="13" spans="2:65" ht="20">
      <c r="B13" s="383" t="s">
        <v>68</v>
      </c>
      <c r="C13" s="22">
        <f>'AL CENTRAL 2024'!E31</f>
        <v>24</v>
      </c>
      <c r="D13" s="52">
        <f>'AL CENTRAL 2024'!F31</f>
        <v>16</v>
      </c>
      <c r="E13" s="55" t="s">
        <v>18</v>
      </c>
      <c r="F13" s="22">
        <f>'AL CENTRAL 2024'!I18</f>
        <v>168</v>
      </c>
      <c r="G13" s="54">
        <f>'AL CENTRAL 2024'!J31</f>
        <v>149</v>
      </c>
      <c r="H13" s="53" t="s">
        <v>25</v>
      </c>
      <c r="I13" s="52" t="s">
        <v>26</v>
      </c>
      <c r="J13" s="21" t="s">
        <v>69</v>
      </c>
      <c r="M13" s="383" t="s">
        <v>70</v>
      </c>
      <c r="N13" s="22">
        <f>'NL CENTRAL 2024'!E31</f>
        <v>19</v>
      </c>
      <c r="O13" s="52">
        <f>'NL CENTRAL 2024'!F31</f>
        <v>21</v>
      </c>
      <c r="P13" s="55" t="s">
        <v>18</v>
      </c>
      <c r="Q13" s="22">
        <f>'NL CENTRAL 2024'!I18</f>
        <v>157</v>
      </c>
      <c r="R13" s="54">
        <f>'NL CENTRAL 2024'!J31</f>
        <v>164</v>
      </c>
      <c r="S13" s="53" t="s">
        <v>41</v>
      </c>
      <c r="T13" s="52" t="s">
        <v>46</v>
      </c>
      <c r="U13" s="21" t="s">
        <v>55</v>
      </c>
      <c r="X13" s="383" t="s">
        <v>68</v>
      </c>
      <c r="Y13" s="22">
        <v>23</v>
      </c>
      <c r="Z13" s="52">
        <v>17</v>
      </c>
      <c r="AA13" s="55" t="s">
        <v>18</v>
      </c>
      <c r="AB13" s="22">
        <v>205</v>
      </c>
      <c r="AC13" s="54">
        <v>146</v>
      </c>
      <c r="AD13" s="53" t="s">
        <v>54</v>
      </c>
      <c r="AE13" s="52" t="s">
        <v>26</v>
      </c>
      <c r="AF13" s="21" t="s">
        <v>42</v>
      </c>
      <c r="AI13" s="383" t="s">
        <v>71</v>
      </c>
      <c r="AJ13" s="22">
        <v>25</v>
      </c>
      <c r="AK13" s="52">
        <v>15</v>
      </c>
      <c r="AL13" s="55" t="s">
        <v>18</v>
      </c>
      <c r="AM13" s="22">
        <v>173</v>
      </c>
      <c r="AN13" s="54">
        <v>135</v>
      </c>
      <c r="AO13" s="53" t="s">
        <v>25</v>
      </c>
      <c r="AP13" s="52" t="s">
        <v>20</v>
      </c>
      <c r="AQ13" s="21" t="s">
        <v>69</v>
      </c>
      <c r="AT13" s="383" t="s">
        <v>68</v>
      </c>
      <c r="AU13" s="22">
        <f>'AL CENTRAL 2024'!BC31</f>
        <v>22</v>
      </c>
      <c r="AV13" s="52">
        <f>'AL CENTRAL 2024'!BD31</f>
        <v>18</v>
      </c>
      <c r="AW13" s="55" t="s">
        <v>31</v>
      </c>
      <c r="AX13" s="22">
        <f>'AL CENTRAL 2024'!BG18</f>
        <v>215</v>
      </c>
      <c r="AY13" s="54">
        <f>'AL CENTRAL 2024'!BH31</f>
        <v>179</v>
      </c>
      <c r="AZ13" s="53" t="s">
        <v>54</v>
      </c>
      <c r="BA13" s="52" t="s">
        <v>29</v>
      </c>
      <c r="BB13" s="21" t="s">
        <v>42</v>
      </c>
      <c r="BE13" s="383" t="s">
        <v>72</v>
      </c>
      <c r="BF13" s="22">
        <v>22</v>
      </c>
      <c r="BG13" s="52">
        <v>18</v>
      </c>
      <c r="BH13" s="55" t="s">
        <v>31</v>
      </c>
      <c r="BI13" s="22">
        <v>170</v>
      </c>
      <c r="BJ13" s="54">
        <v>180</v>
      </c>
      <c r="BK13" s="53" t="s">
        <v>25</v>
      </c>
      <c r="BL13" s="52" t="s">
        <v>32</v>
      </c>
      <c r="BM13" s="21" t="s">
        <v>42</v>
      </c>
    </row>
    <row r="14" spans="2:65" ht="20">
      <c r="B14" s="12" t="s">
        <v>73</v>
      </c>
      <c r="C14" s="11">
        <f>'AL CENTRAL 2024'!E124</f>
        <v>22</v>
      </c>
      <c r="D14" s="13">
        <f>'AL CENTRAL 2024'!F124</f>
        <v>18</v>
      </c>
      <c r="E14" s="49" t="s">
        <v>40</v>
      </c>
      <c r="F14" s="11">
        <f>'AL CENTRAL 2024'!I111</f>
        <v>165</v>
      </c>
      <c r="G14" s="48">
        <f>'AL CENTRAL 2024'!J124</f>
        <v>175</v>
      </c>
      <c r="H14" s="47" t="s">
        <v>49</v>
      </c>
      <c r="I14" s="13" t="s">
        <v>29</v>
      </c>
      <c r="J14" s="10" t="s">
        <v>23</v>
      </c>
      <c r="M14" s="12" t="s">
        <v>72</v>
      </c>
      <c r="N14" s="11">
        <f>'NL CENTRAL 2024'!E124</f>
        <v>19</v>
      </c>
      <c r="O14" s="13">
        <f>'NL CENTRAL 2024'!F124</f>
        <v>21</v>
      </c>
      <c r="P14" s="49" t="s">
        <v>18</v>
      </c>
      <c r="Q14" s="11">
        <f>'NL CENTRAL 2024'!I111</f>
        <v>164</v>
      </c>
      <c r="R14" s="48">
        <f>'NL CENTRAL 2024'!J124</f>
        <v>131</v>
      </c>
      <c r="S14" s="47" t="s">
        <v>41</v>
      </c>
      <c r="T14" s="13" t="s">
        <v>37</v>
      </c>
      <c r="U14" s="10" t="s">
        <v>46</v>
      </c>
      <c r="X14" s="12" t="s">
        <v>74</v>
      </c>
      <c r="Y14" s="11">
        <v>21</v>
      </c>
      <c r="Z14" s="13">
        <v>19</v>
      </c>
      <c r="AA14" s="49" t="s">
        <v>40</v>
      </c>
      <c r="AB14" s="11">
        <v>193</v>
      </c>
      <c r="AC14" s="48">
        <v>178</v>
      </c>
      <c r="AD14" s="47" t="s">
        <v>41</v>
      </c>
      <c r="AE14" s="13" t="s">
        <v>20</v>
      </c>
      <c r="AF14" s="10" t="s">
        <v>44</v>
      </c>
      <c r="AI14" s="12" t="s">
        <v>75</v>
      </c>
      <c r="AJ14" s="11">
        <v>22</v>
      </c>
      <c r="AK14" s="13">
        <v>18</v>
      </c>
      <c r="AL14" s="49" t="s">
        <v>40</v>
      </c>
      <c r="AM14" s="11">
        <v>180</v>
      </c>
      <c r="AN14" s="48">
        <v>186</v>
      </c>
      <c r="AO14" s="47" t="s">
        <v>41</v>
      </c>
      <c r="AP14" s="13" t="s">
        <v>37</v>
      </c>
      <c r="AQ14" s="10" t="s">
        <v>32</v>
      </c>
      <c r="AT14" s="12" t="s">
        <v>76</v>
      </c>
      <c r="AU14" s="11">
        <f>'AL CENTRAL 2024'!BC155</f>
        <v>22</v>
      </c>
      <c r="AV14" s="13">
        <f>'AL CENTRAL 2024'!BD155</f>
        <v>18</v>
      </c>
      <c r="AW14" s="49" t="s">
        <v>31</v>
      </c>
      <c r="AX14" s="11">
        <f>'AL CENTRAL 2024'!BG142</f>
        <v>167</v>
      </c>
      <c r="AY14" s="48">
        <f>'AL CENTRAL 2024'!BH155</f>
        <v>177</v>
      </c>
      <c r="AZ14" s="47" t="s">
        <v>49</v>
      </c>
      <c r="BA14" s="13" t="s">
        <v>61</v>
      </c>
      <c r="BB14" s="10" t="s">
        <v>32</v>
      </c>
      <c r="BE14" s="12" t="s">
        <v>70</v>
      </c>
      <c r="BF14" s="11">
        <v>22</v>
      </c>
      <c r="BG14" s="13">
        <v>18</v>
      </c>
      <c r="BH14" s="49" t="s">
        <v>31</v>
      </c>
      <c r="BI14" s="11">
        <v>194</v>
      </c>
      <c r="BJ14" s="48">
        <v>176</v>
      </c>
      <c r="BK14" s="47" t="s">
        <v>54</v>
      </c>
      <c r="BL14" s="13" t="s">
        <v>26</v>
      </c>
      <c r="BM14" s="10" t="s">
        <v>69</v>
      </c>
    </row>
    <row r="15" spans="2:65" ht="20">
      <c r="B15" s="12" t="s">
        <v>77</v>
      </c>
      <c r="C15" s="11">
        <f>'AL CENTRAL 2024'!E93</f>
        <v>21</v>
      </c>
      <c r="D15" s="13">
        <f>'AL CENTRAL 2024'!F93</f>
        <v>19</v>
      </c>
      <c r="E15" s="49" t="s">
        <v>60</v>
      </c>
      <c r="F15" s="11">
        <f>'AL CENTRAL 2024'!I80</f>
        <v>192</v>
      </c>
      <c r="G15" s="48">
        <f>'AL CENTRAL 2024'!J93</f>
        <v>178</v>
      </c>
      <c r="H15" s="47" t="s">
        <v>19</v>
      </c>
      <c r="I15" s="13" t="s">
        <v>20</v>
      </c>
      <c r="J15" s="10" t="s">
        <v>55</v>
      </c>
      <c r="M15" s="12" t="s">
        <v>71</v>
      </c>
      <c r="N15" s="11">
        <f>'NL CENTRAL 2024'!E62</f>
        <v>18</v>
      </c>
      <c r="O15" s="13">
        <f>'NL CENTRAL 2024'!F62</f>
        <v>22</v>
      </c>
      <c r="P15" s="49" t="s">
        <v>35</v>
      </c>
      <c r="Q15" s="11">
        <f>'NL CENTRAL 2024'!I49</f>
        <v>134</v>
      </c>
      <c r="R15" s="48">
        <f>'NL CENTRAL 2024'!J62</f>
        <v>180</v>
      </c>
      <c r="S15" s="47" t="s">
        <v>41</v>
      </c>
      <c r="T15" s="13" t="s">
        <v>44</v>
      </c>
      <c r="U15" s="10" t="s">
        <v>55</v>
      </c>
      <c r="X15" s="12" t="s">
        <v>73</v>
      </c>
      <c r="Y15" s="11">
        <v>18</v>
      </c>
      <c r="Z15" s="13">
        <v>22</v>
      </c>
      <c r="AA15" s="49" t="s">
        <v>47</v>
      </c>
      <c r="AB15" s="11">
        <v>209</v>
      </c>
      <c r="AC15" s="48">
        <v>241</v>
      </c>
      <c r="AD15" s="47" t="s">
        <v>25</v>
      </c>
      <c r="AE15" s="13" t="s">
        <v>26</v>
      </c>
      <c r="AF15" s="10" t="s">
        <v>46</v>
      </c>
      <c r="AI15" s="12" t="s">
        <v>70</v>
      </c>
      <c r="AJ15" s="11">
        <v>20</v>
      </c>
      <c r="AK15" s="13">
        <v>20</v>
      </c>
      <c r="AL15" s="49" t="s">
        <v>47</v>
      </c>
      <c r="AM15" s="11">
        <v>154</v>
      </c>
      <c r="AN15" s="48">
        <v>166</v>
      </c>
      <c r="AO15" s="47" t="s">
        <v>54</v>
      </c>
      <c r="AP15" s="13" t="s">
        <v>26</v>
      </c>
      <c r="AQ15" s="10" t="s">
        <v>69</v>
      </c>
      <c r="AT15" s="12" t="s">
        <v>74</v>
      </c>
      <c r="AU15" s="11">
        <f>'AL CENTRAL 2024'!BC62</f>
        <v>21</v>
      </c>
      <c r="AV15" s="13">
        <f>'AL CENTRAL 2024'!BD62</f>
        <v>19</v>
      </c>
      <c r="AW15" s="49" t="s">
        <v>35</v>
      </c>
      <c r="AX15" s="11">
        <f>'AL CENTRAL 2024'!BG49</f>
        <v>223</v>
      </c>
      <c r="AY15" s="48">
        <f>'AL CENTRAL 2024'!BH62</f>
        <v>178</v>
      </c>
      <c r="AZ15" s="47" t="s">
        <v>78</v>
      </c>
      <c r="BA15" s="13" t="s">
        <v>37</v>
      </c>
      <c r="BB15" s="10" t="s">
        <v>23</v>
      </c>
      <c r="BE15" s="12" t="s">
        <v>75</v>
      </c>
      <c r="BF15" s="11">
        <v>20</v>
      </c>
      <c r="BG15" s="13">
        <v>20</v>
      </c>
      <c r="BH15" s="49" t="s">
        <v>40</v>
      </c>
      <c r="BI15" s="11">
        <v>170</v>
      </c>
      <c r="BJ15" s="48">
        <v>155</v>
      </c>
      <c r="BK15" s="47" t="s">
        <v>41</v>
      </c>
      <c r="BL15" s="13" t="s">
        <v>37</v>
      </c>
      <c r="BM15" s="10" t="s">
        <v>44</v>
      </c>
    </row>
    <row r="16" spans="2:65" ht="20">
      <c r="B16" s="12" t="s">
        <v>76</v>
      </c>
      <c r="C16" s="11">
        <f>'AL CENTRAL 2024'!E155</f>
        <v>20</v>
      </c>
      <c r="D16" s="13">
        <f>'AL CENTRAL 2024'!F155</f>
        <v>20</v>
      </c>
      <c r="E16" s="49" t="s">
        <v>38</v>
      </c>
      <c r="F16" s="11">
        <f>'AL CENTRAL 2024'!I142</f>
        <v>181</v>
      </c>
      <c r="G16" s="48">
        <f>'AL CENTRAL 2024'!J155</f>
        <v>174</v>
      </c>
      <c r="H16" s="47" t="s">
        <v>49</v>
      </c>
      <c r="I16" s="13" t="s">
        <v>61</v>
      </c>
      <c r="J16" s="10" t="s">
        <v>32</v>
      </c>
      <c r="M16" s="12" t="s">
        <v>79</v>
      </c>
      <c r="N16" s="11">
        <f>'NL CENTRAL 2024'!E155</f>
        <v>18</v>
      </c>
      <c r="O16" s="13">
        <f>'NL CENTRAL 2024'!F155</f>
        <v>22</v>
      </c>
      <c r="P16" s="49" t="s">
        <v>35</v>
      </c>
      <c r="Q16" s="11">
        <f>'NL CENTRAL 2024'!I142</f>
        <v>147</v>
      </c>
      <c r="R16" s="48">
        <f>'NL CENTRAL 2024'!J155</f>
        <v>161</v>
      </c>
      <c r="S16" s="47" t="s">
        <v>25</v>
      </c>
      <c r="T16" s="13" t="s">
        <v>29</v>
      </c>
      <c r="U16" s="10" t="s">
        <v>46</v>
      </c>
      <c r="X16" s="12" t="s">
        <v>76</v>
      </c>
      <c r="Y16" s="11">
        <v>16</v>
      </c>
      <c r="Z16" s="13">
        <v>24</v>
      </c>
      <c r="AA16" s="49" t="s">
        <v>45</v>
      </c>
      <c r="AB16" s="11">
        <v>171</v>
      </c>
      <c r="AC16" s="48">
        <v>165</v>
      </c>
      <c r="AD16" s="47" t="s">
        <v>41</v>
      </c>
      <c r="AE16" s="13" t="s">
        <v>26</v>
      </c>
      <c r="AF16" s="10" t="s">
        <v>51</v>
      </c>
      <c r="AI16" s="12" t="s">
        <v>72</v>
      </c>
      <c r="AJ16" s="11">
        <v>18</v>
      </c>
      <c r="AK16" s="13">
        <v>22</v>
      </c>
      <c r="AL16" s="49" t="s">
        <v>45</v>
      </c>
      <c r="AM16" s="11">
        <v>162</v>
      </c>
      <c r="AN16" s="48">
        <v>163</v>
      </c>
      <c r="AO16" s="47" t="s">
        <v>49</v>
      </c>
      <c r="AP16" s="13" t="s">
        <v>26</v>
      </c>
      <c r="AQ16" s="10" t="s">
        <v>59</v>
      </c>
      <c r="AT16" s="12" t="s">
        <v>73</v>
      </c>
      <c r="AU16" s="11">
        <f>'AL CENTRAL 2024'!BC124</f>
        <v>20</v>
      </c>
      <c r="AV16" s="13">
        <f>'AL CENTRAL 2024'!BD124</f>
        <v>20</v>
      </c>
      <c r="AW16" s="49" t="s">
        <v>40</v>
      </c>
      <c r="AX16" s="11">
        <f>'AL CENTRAL 2024'!BG111</f>
        <v>187</v>
      </c>
      <c r="AY16" s="48">
        <f>'AL CENTRAL 2024'!BH124</f>
        <v>187</v>
      </c>
      <c r="AZ16" s="47" t="s">
        <v>25</v>
      </c>
      <c r="BA16" s="13" t="s">
        <v>29</v>
      </c>
      <c r="BB16" s="10" t="s">
        <v>55</v>
      </c>
      <c r="BE16" s="12" t="s">
        <v>71</v>
      </c>
      <c r="BF16" s="11">
        <v>17</v>
      </c>
      <c r="BG16" s="13">
        <v>23</v>
      </c>
      <c r="BH16" s="49" t="s">
        <v>47</v>
      </c>
      <c r="BI16" s="11">
        <v>167</v>
      </c>
      <c r="BJ16" s="48">
        <v>190</v>
      </c>
      <c r="BK16" s="47" t="s">
        <v>54</v>
      </c>
      <c r="BL16" s="13" t="s">
        <v>20</v>
      </c>
      <c r="BM16" s="10" t="s">
        <v>55</v>
      </c>
    </row>
    <row r="17" spans="1:65" ht="20">
      <c r="B17" s="6" t="s">
        <v>74</v>
      </c>
      <c r="C17" s="5">
        <f>'AL CENTRAL 2024'!E62</f>
        <v>18</v>
      </c>
      <c r="D17" s="40">
        <f>'AL CENTRAL 2024'!F62</f>
        <v>22</v>
      </c>
      <c r="E17" s="43" t="s">
        <v>36</v>
      </c>
      <c r="F17" s="5">
        <f>'AL CENTRAL 2024'!I49</f>
        <v>172</v>
      </c>
      <c r="G17" s="42">
        <f>'AL CENTRAL 2024'!J62</f>
        <v>208</v>
      </c>
      <c r="H17" s="41" t="s">
        <v>25</v>
      </c>
      <c r="I17" s="40" t="s">
        <v>20</v>
      </c>
      <c r="J17" s="4" t="s">
        <v>65</v>
      </c>
      <c r="M17" s="6" t="s">
        <v>75</v>
      </c>
      <c r="N17" s="5">
        <f>'NL CENTRAL 2024'!E93</f>
        <v>14</v>
      </c>
      <c r="O17" s="40">
        <f>'NL CENTRAL 2024'!F93</f>
        <v>26</v>
      </c>
      <c r="P17" s="43" t="s">
        <v>47</v>
      </c>
      <c r="Q17" s="5">
        <f>'NL CENTRAL 2024'!I80</f>
        <v>129</v>
      </c>
      <c r="R17" s="42">
        <f>'NL CENTRAL 2024'!J93</f>
        <v>174</v>
      </c>
      <c r="S17" s="41" t="s">
        <v>41</v>
      </c>
      <c r="T17" s="40" t="s">
        <v>37</v>
      </c>
      <c r="U17" s="4" t="s">
        <v>51</v>
      </c>
      <c r="X17" s="6" t="s">
        <v>77</v>
      </c>
      <c r="Y17" s="5">
        <v>14</v>
      </c>
      <c r="Z17" s="40">
        <v>26</v>
      </c>
      <c r="AA17" s="43" t="s">
        <v>62</v>
      </c>
      <c r="AB17" s="5">
        <v>151</v>
      </c>
      <c r="AC17" s="42">
        <v>229</v>
      </c>
      <c r="AD17" s="41" t="s">
        <v>49</v>
      </c>
      <c r="AE17" s="40" t="s">
        <v>20</v>
      </c>
      <c r="AF17" s="4" t="s">
        <v>55</v>
      </c>
      <c r="AI17" s="6" t="s">
        <v>79</v>
      </c>
      <c r="AJ17" s="5">
        <v>12</v>
      </c>
      <c r="AK17" s="40">
        <v>28</v>
      </c>
      <c r="AL17" s="43" t="s">
        <v>53</v>
      </c>
      <c r="AM17" s="5">
        <v>146</v>
      </c>
      <c r="AN17" s="42">
        <v>203</v>
      </c>
      <c r="AO17" s="41" t="s">
        <v>54</v>
      </c>
      <c r="AP17" s="40" t="s">
        <v>20</v>
      </c>
      <c r="AQ17" s="4" t="s">
        <v>51</v>
      </c>
      <c r="AT17" s="6" t="s">
        <v>77</v>
      </c>
      <c r="AU17" s="5">
        <f>'AL CENTRAL 2024'!BC93</f>
        <v>12</v>
      </c>
      <c r="AV17" s="40">
        <f>'AL CENTRAL 2024'!BD93</f>
        <v>28</v>
      </c>
      <c r="AW17" s="43" t="s">
        <v>58</v>
      </c>
      <c r="AX17" s="5">
        <f>'AL CENTRAL 2024'!BG80</f>
        <v>161</v>
      </c>
      <c r="AY17" s="42">
        <f>'AL CENTRAL 2024'!BH93</f>
        <v>244</v>
      </c>
      <c r="AZ17" s="41" t="s">
        <v>54</v>
      </c>
      <c r="BA17" s="40" t="s">
        <v>20</v>
      </c>
      <c r="BB17" s="4" t="s">
        <v>80</v>
      </c>
      <c r="BE17" s="6" t="s">
        <v>79</v>
      </c>
      <c r="BF17" s="5">
        <v>14</v>
      </c>
      <c r="BG17" s="40">
        <v>26</v>
      </c>
      <c r="BH17" s="43" t="s">
        <v>48</v>
      </c>
      <c r="BI17" s="5">
        <v>177</v>
      </c>
      <c r="BJ17" s="42">
        <v>206</v>
      </c>
      <c r="BK17" s="41" t="s">
        <v>25</v>
      </c>
      <c r="BL17" s="40" t="s">
        <v>42</v>
      </c>
      <c r="BM17" s="4" t="s">
        <v>59</v>
      </c>
    </row>
    <row r="18" spans="1:65" ht="18">
      <c r="B18" s="46"/>
      <c r="C18" s="58"/>
      <c r="D18" s="58"/>
      <c r="E18" s="46"/>
      <c r="F18" s="46"/>
      <c r="G18" s="46"/>
      <c r="H18" s="46"/>
      <c r="I18" s="46"/>
      <c r="J18" s="46"/>
      <c r="M18" s="46"/>
      <c r="N18" s="58"/>
      <c r="O18" s="58"/>
      <c r="P18" s="46"/>
      <c r="Q18" s="46"/>
      <c r="R18" s="46"/>
      <c r="S18" s="46"/>
      <c r="T18" s="46"/>
      <c r="U18" s="46"/>
      <c r="X18" s="46"/>
      <c r="Y18" s="58"/>
      <c r="Z18" s="58"/>
      <c r="AA18" s="46"/>
      <c r="AB18" s="46"/>
      <c r="AC18" s="46"/>
      <c r="AD18" s="46"/>
      <c r="AE18" s="46"/>
      <c r="AF18" s="46"/>
      <c r="AI18" s="46"/>
      <c r="AJ18" s="58"/>
      <c r="AK18" s="58"/>
      <c r="AL18" s="46"/>
      <c r="AM18" s="46"/>
      <c r="AN18" s="46"/>
      <c r="AO18" s="46"/>
      <c r="AP18" s="46"/>
      <c r="AQ18" s="46"/>
      <c r="AT18" s="46"/>
      <c r="AU18" s="58"/>
      <c r="AV18" s="58"/>
      <c r="AW18" s="46"/>
      <c r="AX18" s="46"/>
      <c r="AY18" s="46"/>
      <c r="AZ18" s="46"/>
      <c r="BA18" s="46"/>
      <c r="BB18" s="46"/>
      <c r="BE18" s="46"/>
      <c r="BF18" s="58"/>
      <c r="BG18" s="58"/>
      <c r="BH18" s="46"/>
      <c r="BI18" s="46"/>
      <c r="BJ18" s="46"/>
      <c r="BK18" s="46"/>
      <c r="BL18" s="46"/>
      <c r="BM18" s="46"/>
    </row>
    <row r="20" spans="1:65" ht="25">
      <c r="B20" s="1030" t="s">
        <v>81</v>
      </c>
      <c r="C20" s="1031"/>
      <c r="D20" s="1031"/>
      <c r="E20" s="1031"/>
      <c r="F20" s="1031"/>
      <c r="G20" s="1031"/>
      <c r="H20" s="1031"/>
      <c r="I20" s="1031"/>
      <c r="J20" s="1032"/>
      <c r="M20" s="1030" t="s">
        <v>82</v>
      </c>
      <c r="N20" s="1031"/>
      <c r="O20" s="1031"/>
      <c r="P20" s="1031"/>
      <c r="Q20" s="1031"/>
      <c r="R20" s="1031"/>
      <c r="S20" s="1031"/>
      <c r="T20" s="1031"/>
      <c r="U20" s="1032"/>
      <c r="X20" s="1030" t="s">
        <v>81</v>
      </c>
      <c r="Y20" s="1031"/>
      <c r="Z20" s="1031"/>
      <c r="AA20" s="1031"/>
      <c r="AB20" s="1031"/>
      <c r="AC20" s="1031"/>
      <c r="AD20" s="1031"/>
      <c r="AE20" s="1031"/>
      <c r="AF20" s="1032"/>
      <c r="AI20" s="1030" t="s">
        <v>82</v>
      </c>
      <c r="AJ20" s="1031"/>
      <c r="AK20" s="1031"/>
      <c r="AL20" s="1031"/>
      <c r="AM20" s="1031"/>
      <c r="AN20" s="1031"/>
      <c r="AO20" s="1031"/>
      <c r="AP20" s="1031"/>
      <c r="AQ20" s="1032"/>
      <c r="AT20" s="1030" t="s">
        <v>81</v>
      </c>
      <c r="AU20" s="1031"/>
      <c r="AV20" s="1031"/>
      <c r="AW20" s="1031"/>
      <c r="AX20" s="1031"/>
      <c r="AY20" s="1031"/>
      <c r="AZ20" s="1031"/>
      <c r="BA20" s="1031"/>
      <c r="BB20" s="1032"/>
      <c r="BE20" s="1030" t="s">
        <v>82</v>
      </c>
      <c r="BF20" s="1031"/>
      <c r="BG20" s="1031"/>
      <c r="BH20" s="1031"/>
      <c r="BI20" s="1031"/>
      <c r="BJ20" s="1031"/>
      <c r="BK20" s="1031"/>
      <c r="BL20" s="1031"/>
      <c r="BM20" s="1032"/>
    </row>
    <row r="21" spans="1:65">
      <c r="B21" s="39" t="s">
        <v>8</v>
      </c>
      <c r="C21" s="187" t="s">
        <v>9</v>
      </c>
      <c r="D21" s="187" t="s">
        <v>10</v>
      </c>
      <c r="E21" s="187" t="s">
        <v>11</v>
      </c>
      <c r="F21" s="187" t="s">
        <v>12</v>
      </c>
      <c r="G21" s="187" t="s">
        <v>13</v>
      </c>
      <c r="H21" s="187" t="s">
        <v>14</v>
      </c>
      <c r="I21" s="187" t="s">
        <v>15</v>
      </c>
      <c r="J21" s="189" t="s">
        <v>16</v>
      </c>
      <c r="M21" s="39" t="s">
        <v>8</v>
      </c>
      <c r="N21" s="187" t="s">
        <v>9</v>
      </c>
      <c r="O21" s="187" t="s">
        <v>10</v>
      </c>
      <c r="P21" s="187" t="s">
        <v>11</v>
      </c>
      <c r="Q21" s="187" t="s">
        <v>12</v>
      </c>
      <c r="R21" s="187" t="s">
        <v>13</v>
      </c>
      <c r="S21" s="187" t="s">
        <v>14</v>
      </c>
      <c r="T21" s="187" t="s">
        <v>15</v>
      </c>
      <c r="U21" s="189" t="s">
        <v>16</v>
      </c>
      <c r="X21" s="39" t="s">
        <v>8</v>
      </c>
      <c r="Y21" s="187" t="s">
        <v>9</v>
      </c>
      <c r="Z21" s="187" t="s">
        <v>10</v>
      </c>
      <c r="AA21" s="187" t="s">
        <v>11</v>
      </c>
      <c r="AB21" s="187" t="s">
        <v>12</v>
      </c>
      <c r="AC21" s="187" t="s">
        <v>13</v>
      </c>
      <c r="AD21" s="187" t="s">
        <v>14</v>
      </c>
      <c r="AE21" s="187" t="s">
        <v>15</v>
      </c>
      <c r="AF21" s="189" t="s">
        <v>16</v>
      </c>
      <c r="AI21" s="39" t="s">
        <v>8</v>
      </c>
      <c r="AJ21" s="187" t="s">
        <v>9</v>
      </c>
      <c r="AK21" s="187" t="s">
        <v>10</v>
      </c>
      <c r="AL21" s="187" t="s">
        <v>11</v>
      </c>
      <c r="AM21" s="187" t="s">
        <v>12</v>
      </c>
      <c r="AN21" s="187" t="s">
        <v>13</v>
      </c>
      <c r="AO21" s="187" t="s">
        <v>14</v>
      </c>
      <c r="AP21" s="187" t="s">
        <v>15</v>
      </c>
      <c r="AQ21" s="189" t="s">
        <v>16</v>
      </c>
      <c r="AT21" s="39" t="s">
        <v>8</v>
      </c>
      <c r="AU21" s="187" t="s">
        <v>9</v>
      </c>
      <c r="AV21" s="187" t="s">
        <v>10</v>
      </c>
      <c r="AW21" s="187" t="s">
        <v>11</v>
      </c>
      <c r="AX21" s="187" t="s">
        <v>12</v>
      </c>
      <c r="AY21" s="187" t="s">
        <v>13</v>
      </c>
      <c r="AZ21" s="187" t="s">
        <v>14</v>
      </c>
      <c r="BA21" s="187" t="s">
        <v>15</v>
      </c>
      <c r="BB21" s="189" t="s">
        <v>16</v>
      </c>
      <c r="BE21" s="39" t="s">
        <v>8</v>
      </c>
      <c r="BF21" s="187" t="s">
        <v>9</v>
      </c>
      <c r="BG21" s="187" t="s">
        <v>10</v>
      </c>
      <c r="BH21" s="187" t="s">
        <v>11</v>
      </c>
      <c r="BI21" s="187" t="s">
        <v>12</v>
      </c>
      <c r="BJ21" s="187" t="s">
        <v>13</v>
      </c>
      <c r="BK21" s="187" t="s">
        <v>14</v>
      </c>
      <c r="BL21" s="187" t="s">
        <v>15</v>
      </c>
      <c r="BM21" s="189" t="s">
        <v>16</v>
      </c>
    </row>
    <row r="22" spans="1:65" ht="20">
      <c r="B22" s="383" t="s">
        <v>83</v>
      </c>
      <c r="C22" s="22">
        <f>HOU_P[[#Totals],[W]]</f>
        <v>25</v>
      </c>
      <c r="D22" s="52">
        <f>HOU_P[[#Totals],[L]]</f>
        <v>15</v>
      </c>
      <c r="E22" s="55" t="s">
        <v>18</v>
      </c>
      <c r="F22" s="57">
        <f>HOU_H[[#Totals],[R]]</f>
        <v>215</v>
      </c>
      <c r="G22" s="56">
        <f>HOU_P[[#Totals],[R]]</f>
        <v>149</v>
      </c>
      <c r="H22" s="53" t="s">
        <v>25</v>
      </c>
      <c r="I22" s="52" t="s">
        <v>20</v>
      </c>
      <c r="J22" s="21" t="s">
        <v>44</v>
      </c>
      <c r="M22" s="383" t="s">
        <v>84</v>
      </c>
      <c r="N22" s="22">
        <f>'NL WEST 2024'!E62</f>
        <v>25</v>
      </c>
      <c r="O22" s="52">
        <f>'NL WEST 2024'!F62</f>
        <v>15</v>
      </c>
      <c r="P22" s="55" t="s">
        <v>18</v>
      </c>
      <c r="Q22" s="22">
        <f>'NL WEST 2024'!I49</f>
        <v>173</v>
      </c>
      <c r="R22" s="54">
        <f>'NL WEST 2024'!J62</f>
        <v>127</v>
      </c>
      <c r="S22" s="53" t="s">
        <v>19</v>
      </c>
      <c r="T22" s="52" t="s">
        <v>20</v>
      </c>
      <c r="U22" s="21" t="s">
        <v>32</v>
      </c>
      <c r="X22" s="383" t="s">
        <v>85</v>
      </c>
      <c r="Y22" s="22">
        <v>22</v>
      </c>
      <c r="Z22" s="52">
        <v>18</v>
      </c>
      <c r="AA22" s="55" t="s">
        <v>18</v>
      </c>
      <c r="AB22" s="57">
        <v>178</v>
      </c>
      <c r="AC22" s="56">
        <v>161</v>
      </c>
      <c r="AD22" s="53" t="s">
        <v>19</v>
      </c>
      <c r="AE22" s="52" t="s">
        <v>29</v>
      </c>
      <c r="AF22" s="21" t="s">
        <v>55</v>
      </c>
      <c r="AI22" s="383" t="s">
        <v>86</v>
      </c>
      <c r="AJ22" s="22">
        <v>26</v>
      </c>
      <c r="AK22" s="52">
        <v>14</v>
      </c>
      <c r="AL22" s="55" t="s">
        <v>18</v>
      </c>
      <c r="AM22" s="22">
        <v>194</v>
      </c>
      <c r="AN22" s="54">
        <v>127</v>
      </c>
      <c r="AO22" s="53" t="s">
        <v>41</v>
      </c>
      <c r="AP22" s="52" t="s">
        <v>26</v>
      </c>
      <c r="AQ22" s="21" t="s">
        <v>32</v>
      </c>
      <c r="AT22" s="383" t="s">
        <v>83</v>
      </c>
      <c r="AU22" s="22">
        <f>'AL WEST 2024'!BC31</f>
        <v>25</v>
      </c>
      <c r="AV22" s="52">
        <f>'AL WEST 2024'!BD31</f>
        <v>15</v>
      </c>
      <c r="AW22" s="55" t="s">
        <v>31</v>
      </c>
      <c r="AX22" s="57">
        <f>'AL WEST 2024'!BG18</f>
        <v>177</v>
      </c>
      <c r="AY22" s="56">
        <f>'AL WEST 2024'!BH31</f>
        <v>170</v>
      </c>
      <c r="AZ22" s="53" t="s">
        <v>19</v>
      </c>
      <c r="BA22" s="52" t="s">
        <v>29</v>
      </c>
      <c r="BB22" s="21" t="s">
        <v>46</v>
      </c>
      <c r="BE22" s="383" t="s">
        <v>86</v>
      </c>
      <c r="BF22" s="22">
        <v>27</v>
      </c>
      <c r="BG22" s="52">
        <v>13</v>
      </c>
      <c r="BH22" s="55" t="s">
        <v>31</v>
      </c>
      <c r="BI22" s="22">
        <v>187</v>
      </c>
      <c r="BJ22" s="54">
        <v>142</v>
      </c>
      <c r="BK22" s="53" t="s">
        <v>78</v>
      </c>
      <c r="BL22" s="52" t="s">
        <v>20</v>
      </c>
      <c r="BM22" s="21" t="s">
        <v>87</v>
      </c>
    </row>
    <row r="23" spans="1:65" ht="20">
      <c r="B23" s="12" t="s">
        <v>85</v>
      </c>
      <c r="C23" s="11">
        <f>'AL WEST 2024'!E62</f>
        <v>24</v>
      </c>
      <c r="D23" s="13">
        <f>'AL WEST 2024'!F62</f>
        <v>16</v>
      </c>
      <c r="E23" s="49" t="s">
        <v>35</v>
      </c>
      <c r="F23" s="51">
        <f>'AL WEST 2024'!I49</f>
        <v>206</v>
      </c>
      <c r="G23" s="50">
        <f>'AL WEST 2024'!J62</f>
        <v>162</v>
      </c>
      <c r="H23" s="47" t="s">
        <v>78</v>
      </c>
      <c r="I23" s="13" t="s">
        <v>44</v>
      </c>
      <c r="J23" s="10" t="s">
        <v>21</v>
      </c>
      <c r="M23" s="12" t="s">
        <v>88</v>
      </c>
      <c r="N23" s="11">
        <f>'NL WEST 2024'!E93</f>
        <v>23</v>
      </c>
      <c r="O23" s="13">
        <f>'NL WEST 2024'!F93</f>
        <v>17</v>
      </c>
      <c r="P23" s="49" t="s">
        <v>40</v>
      </c>
      <c r="Q23" s="11">
        <f>'NL WEST 2024'!I80</f>
        <v>148</v>
      </c>
      <c r="R23" s="48">
        <f>'NL WEST 2024'!J93</f>
        <v>140</v>
      </c>
      <c r="S23" s="47" t="s">
        <v>41</v>
      </c>
      <c r="T23" s="13" t="s">
        <v>26</v>
      </c>
      <c r="U23" s="10" t="s">
        <v>69</v>
      </c>
      <c r="X23" s="12" t="s">
        <v>83</v>
      </c>
      <c r="Y23" s="11">
        <v>20</v>
      </c>
      <c r="Z23" s="13">
        <v>20</v>
      </c>
      <c r="AA23" s="49" t="s">
        <v>40</v>
      </c>
      <c r="AB23" s="51">
        <v>175</v>
      </c>
      <c r="AC23" s="50">
        <v>167</v>
      </c>
      <c r="AD23" s="47" t="s">
        <v>19</v>
      </c>
      <c r="AE23" s="13" t="s">
        <v>26</v>
      </c>
      <c r="AF23" s="10" t="s">
        <v>32</v>
      </c>
      <c r="AI23" s="12" t="s">
        <v>84</v>
      </c>
      <c r="AJ23" s="11">
        <v>24</v>
      </c>
      <c r="AK23" s="13">
        <v>16</v>
      </c>
      <c r="AL23" s="49" t="s">
        <v>40</v>
      </c>
      <c r="AM23" s="11">
        <v>190</v>
      </c>
      <c r="AN23" s="48">
        <v>131</v>
      </c>
      <c r="AO23" s="47" t="s">
        <v>78</v>
      </c>
      <c r="AP23" s="13" t="s">
        <v>32</v>
      </c>
      <c r="AQ23" s="10" t="s">
        <v>32</v>
      </c>
      <c r="AT23" s="12" t="s">
        <v>89</v>
      </c>
      <c r="AU23" s="11">
        <f>'AL WEST 2024'!BC124</f>
        <v>22</v>
      </c>
      <c r="AV23" s="13">
        <f>'AL WEST 2024'!BD124</f>
        <v>18</v>
      </c>
      <c r="AW23" s="49" t="s">
        <v>60</v>
      </c>
      <c r="AX23" s="51">
        <f>'AL WEST 2024'!BG111</f>
        <v>186</v>
      </c>
      <c r="AY23" s="50">
        <f>'AL WEST 2024'!BH124</f>
        <v>162</v>
      </c>
      <c r="AZ23" s="47" t="s">
        <v>25</v>
      </c>
      <c r="BA23" s="13" t="s">
        <v>29</v>
      </c>
      <c r="BB23" s="10" t="s">
        <v>21</v>
      </c>
      <c r="BE23" s="12" t="s">
        <v>88</v>
      </c>
      <c r="BF23" s="11">
        <v>25</v>
      </c>
      <c r="BG23" s="13">
        <v>15</v>
      </c>
      <c r="BH23" s="49" t="s">
        <v>40</v>
      </c>
      <c r="BI23" s="11">
        <v>192</v>
      </c>
      <c r="BJ23" s="48">
        <v>165</v>
      </c>
      <c r="BK23" s="47" t="s">
        <v>41</v>
      </c>
      <c r="BL23" s="13" t="s">
        <v>26</v>
      </c>
      <c r="BM23" s="10" t="s">
        <v>69</v>
      </c>
    </row>
    <row r="24" spans="1:65" ht="20">
      <c r="B24" s="12" t="s">
        <v>89</v>
      </c>
      <c r="C24" s="11">
        <f>'AL WEST 2024'!E124</f>
        <v>16</v>
      </c>
      <c r="D24" s="13">
        <f>'AL WEST 2024'!F124</f>
        <v>24</v>
      </c>
      <c r="E24" s="49" t="s">
        <v>62</v>
      </c>
      <c r="F24" s="51">
        <f>'AL WEST 2024'!I111</f>
        <v>178</v>
      </c>
      <c r="G24" s="50">
        <f>'AL WEST 2024'!J124</f>
        <v>231</v>
      </c>
      <c r="H24" s="47" t="s">
        <v>54</v>
      </c>
      <c r="I24" s="13" t="s">
        <v>26</v>
      </c>
      <c r="J24" s="10" t="s">
        <v>80</v>
      </c>
      <c r="M24" s="12" t="s">
        <v>90</v>
      </c>
      <c r="N24" s="11">
        <f>'NL WEST 2024'!E155</f>
        <v>21</v>
      </c>
      <c r="O24" s="13">
        <f>'NL WEST 2024'!F155</f>
        <v>19</v>
      </c>
      <c r="P24" s="49" t="s">
        <v>38</v>
      </c>
      <c r="Q24" s="11">
        <f>'NL WEST 2024'!I142</f>
        <v>220</v>
      </c>
      <c r="R24" s="48">
        <f>'NL WEST 2024'!J155</f>
        <v>166</v>
      </c>
      <c r="S24" s="47" t="s">
        <v>41</v>
      </c>
      <c r="T24" s="13" t="s">
        <v>37</v>
      </c>
      <c r="U24" s="10" t="s">
        <v>44</v>
      </c>
      <c r="X24" s="12" t="s">
        <v>89</v>
      </c>
      <c r="Y24" s="11">
        <v>19</v>
      </c>
      <c r="Z24" s="13">
        <v>21</v>
      </c>
      <c r="AA24" s="49" t="s">
        <v>60</v>
      </c>
      <c r="AB24" s="51">
        <v>159</v>
      </c>
      <c r="AC24" s="50">
        <v>185</v>
      </c>
      <c r="AD24" s="47" t="s">
        <v>41</v>
      </c>
      <c r="AE24" s="13" t="s">
        <v>20</v>
      </c>
      <c r="AF24" s="10" t="s">
        <v>42</v>
      </c>
      <c r="AI24" s="12" t="s">
        <v>88</v>
      </c>
      <c r="AJ24" s="11">
        <v>21</v>
      </c>
      <c r="AK24" s="13">
        <v>19</v>
      </c>
      <c r="AL24" s="49" t="s">
        <v>47</v>
      </c>
      <c r="AM24" s="11">
        <v>140</v>
      </c>
      <c r="AN24" s="48">
        <v>153</v>
      </c>
      <c r="AO24" s="47" t="s">
        <v>19</v>
      </c>
      <c r="AP24" s="13" t="s">
        <v>37</v>
      </c>
      <c r="AQ24" s="10" t="s">
        <v>32</v>
      </c>
      <c r="AT24" s="12" t="s">
        <v>85</v>
      </c>
      <c r="AU24" s="11">
        <f>'AL WEST 2024'!BC62</f>
        <v>20</v>
      </c>
      <c r="AV24" s="13">
        <f>'AL WEST 2024'!BD62</f>
        <v>20</v>
      </c>
      <c r="AW24" s="49" t="s">
        <v>47</v>
      </c>
      <c r="AX24" s="51">
        <f>'AL WEST 2024'!BG49</f>
        <v>154</v>
      </c>
      <c r="AY24" s="50">
        <f>'AL WEST 2024'!BH62</f>
        <v>152</v>
      </c>
      <c r="AZ24" s="47" t="s">
        <v>54</v>
      </c>
      <c r="BA24" s="13" t="s">
        <v>20</v>
      </c>
      <c r="BB24" s="10" t="s">
        <v>69</v>
      </c>
      <c r="BE24" s="12" t="s">
        <v>84</v>
      </c>
      <c r="BF24" s="11">
        <v>21</v>
      </c>
      <c r="BG24" s="13">
        <v>19</v>
      </c>
      <c r="BH24" s="49" t="s">
        <v>36</v>
      </c>
      <c r="BI24" s="11">
        <v>142</v>
      </c>
      <c r="BJ24" s="48">
        <v>143</v>
      </c>
      <c r="BK24" s="47" t="s">
        <v>19</v>
      </c>
      <c r="BL24" s="13" t="s">
        <v>26</v>
      </c>
      <c r="BM24" s="10" t="s">
        <v>21</v>
      </c>
    </row>
    <row r="25" spans="1:65" ht="20">
      <c r="B25" s="12" t="s">
        <v>91</v>
      </c>
      <c r="C25" s="11">
        <f>'AL WEST 2024'!E155</f>
        <v>16</v>
      </c>
      <c r="D25" s="13">
        <f>'AL WEST 2024'!F155</f>
        <v>24</v>
      </c>
      <c r="E25" s="49" t="s">
        <v>62</v>
      </c>
      <c r="F25" s="51">
        <f>'AL WEST 2024'!I142</f>
        <v>181</v>
      </c>
      <c r="G25" s="50">
        <f>'AL WEST 2024'!J155</f>
        <v>208</v>
      </c>
      <c r="H25" s="47" t="s">
        <v>49</v>
      </c>
      <c r="I25" s="13" t="s">
        <v>20</v>
      </c>
      <c r="J25" s="10" t="s">
        <v>59</v>
      </c>
      <c r="M25" s="12" t="s">
        <v>86</v>
      </c>
      <c r="N25" s="11">
        <f>'NL WEST 2024'!E31</f>
        <v>21</v>
      </c>
      <c r="O25" s="13">
        <f>'NL WEST 2024'!F31</f>
        <v>19</v>
      </c>
      <c r="P25" s="49" t="s">
        <v>38</v>
      </c>
      <c r="Q25" s="11">
        <f>'NL WEST 2024'!I18</f>
        <v>151</v>
      </c>
      <c r="R25" s="48">
        <f>'NL WEST 2024'!J31</f>
        <v>162</v>
      </c>
      <c r="S25" s="47" t="s">
        <v>25</v>
      </c>
      <c r="T25" s="13" t="s">
        <v>26</v>
      </c>
      <c r="U25" s="10" t="s">
        <v>21</v>
      </c>
      <c r="X25" s="12" t="s">
        <v>92</v>
      </c>
      <c r="Y25" s="11">
        <v>15</v>
      </c>
      <c r="Z25" s="13">
        <v>25</v>
      </c>
      <c r="AA25" s="49" t="s">
        <v>36</v>
      </c>
      <c r="AB25" s="51">
        <v>161</v>
      </c>
      <c r="AC25" s="50">
        <v>188</v>
      </c>
      <c r="AD25" s="47" t="s">
        <v>41</v>
      </c>
      <c r="AE25" s="13" t="s">
        <v>37</v>
      </c>
      <c r="AF25" s="10" t="s">
        <v>93</v>
      </c>
      <c r="AI25" s="12" t="s">
        <v>94</v>
      </c>
      <c r="AJ25" s="11">
        <v>16</v>
      </c>
      <c r="AK25" s="13">
        <v>24</v>
      </c>
      <c r="AL25" s="49" t="s">
        <v>58</v>
      </c>
      <c r="AM25" s="11">
        <v>155</v>
      </c>
      <c r="AN25" s="48">
        <v>208</v>
      </c>
      <c r="AO25" s="47" t="s">
        <v>95</v>
      </c>
      <c r="AP25" s="13" t="s">
        <v>20</v>
      </c>
      <c r="AQ25" s="10" t="s">
        <v>44</v>
      </c>
      <c r="AT25" s="12" t="s">
        <v>91</v>
      </c>
      <c r="AU25" s="11">
        <f>'AL WEST 2024'!BC155</f>
        <v>19</v>
      </c>
      <c r="AV25" s="13">
        <f>'AL WEST 2024'!BD155</f>
        <v>21</v>
      </c>
      <c r="AW25" s="49" t="s">
        <v>36</v>
      </c>
      <c r="AX25" s="51">
        <f>'AL WEST 2024'!BG142</f>
        <v>181</v>
      </c>
      <c r="AY25" s="50">
        <f>'AL WEST 2024'!BH155</f>
        <v>179</v>
      </c>
      <c r="AZ25" s="47" t="s">
        <v>54</v>
      </c>
      <c r="BA25" s="13" t="s">
        <v>37</v>
      </c>
      <c r="BB25" s="10" t="s">
        <v>59</v>
      </c>
      <c r="BE25" s="12" t="s">
        <v>94</v>
      </c>
      <c r="BF25" s="11">
        <v>18</v>
      </c>
      <c r="BG25" s="13">
        <v>22</v>
      </c>
      <c r="BH25" s="49" t="s">
        <v>62</v>
      </c>
      <c r="BI25" s="11">
        <v>189</v>
      </c>
      <c r="BJ25" s="48">
        <v>221</v>
      </c>
      <c r="BK25" s="47" t="s">
        <v>25</v>
      </c>
      <c r="BL25" s="13" t="s">
        <v>26</v>
      </c>
      <c r="BM25" s="10" t="s">
        <v>55</v>
      </c>
    </row>
    <row r="26" spans="1:65" ht="20">
      <c r="A26" s="46"/>
      <c r="B26" s="6" t="s">
        <v>92</v>
      </c>
      <c r="C26" s="5">
        <f>'AL WEST 2024'!E93</f>
        <v>15</v>
      </c>
      <c r="D26" s="40">
        <f>'AL WEST 2024'!F93</f>
        <v>25</v>
      </c>
      <c r="E26" s="43" t="s">
        <v>58</v>
      </c>
      <c r="F26" s="45">
        <f>'AL WEST 2024'!I80</f>
        <v>161</v>
      </c>
      <c r="G26" s="44">
        <f>'AL WEST 2024'!J93</f>
        <v>206</v>
      </c>
      <c r="H26" s="41" t="s">
        <v>95</v>
      </c>
      <c r="I26" s="40" t="s">
        <v>37</v>
      </c>
      <c r="J26" s="4" t="s">
        <v>59</v>
      </c>
      <c r="M26" s="6" t="s">
        <v>94</v>
      </c>
      <c r="N26" s="5">
        <f>'NL WEST 2024'!E124</f>
        <v>13</v>
      </c>
      <c r="O26" s="40">
        <f>'NL WEST 2024'!F124</f>
        <v>27</v>
      </c>
      <c r="P26" s="43" t="s">
        <v>96</v>
      </c>
      <c r="Q26" s="5">
        <f>'NL WEST 2024'!I111</f>
        <v>170</v>
      </c>
      <c r="R26" s="42">
        <f>'NL WEST 2024'!J124</f>
        <v>254</v>
      </c>
      <c r="S26" s="41" t="s">
        <v>54</v>
      </c>
      <c r="T26" s="40" t="s">
        <v>29</v>
      </c>
      <c r="U26" s="4" t="s">
        <v>59</v>
      </c>
      <c r="X26" s="6" t="s">
        <v>91</v>
      </c>
      <c r="Y26" s="5">
        <v>14</v>
      </c>
      <c r="Z26" s="40">
        <v>26</v>
      </c>
      <c r="AA26" s="43" t="s">
        <v>48</v>
      </c>
      <c r="AB26" s="45">
        <v>139</v>
      </c>
      <c r="AC26" s="44">
        <v>193</v>
      </c>
      <c r="AD26" s="41" t="s">
        <v>95</v>
      </c>
      <c r="AE26" s="40" t="s">
        <v>59</v>
      </c>
      <c r="AF26" s="4" t="s">
        <v>59</v>
      </c>
      <c r="AI26" s="6" t="s">
        <v>90</v>
      </c>
      <c r="AJ26" s="5">
        <v>12</v>
      </c>
      <c r="AK26" s="40">
        <v>28</v>
      </c>
      <c r="AL26" s="43" t="s">
        <v>97</v>
      </c>
      <c r="AM26" s="5">
        <v>118</v>
      </c>
      <c r="AN26" s="42">
        <v>191</v>
      </c>
      <c r="AO26" s="41" t="s">
        <v>54</v>
      </c>
      <c r="AP26" s="40" t="s">
        <v>44</v>
      </c>
      <c r="AQ26" s="4" t="s">
        <v>80</v>
      </c>
      <c r="AT26" s="6" t="s">
        <v>92</v>
      </c>
      <c r="AU26" s="5">
        <f>'AL WEST 2024'!BC93</f>
        <v>13</v>
      </c>
      <c r="AV26" s="40">
        <f>'AL WEST 2024'!BD93</f>
        <v>27</v>
      </c>
      <c r="AW26" s="43" t="s">
        <v>96</v>
      </c>
      <c r="AX26" s="45">
        <f>'AL WEST 2024'!BG80</f>
        <v>146</v>
      </c>
      <c r="AY26" s="44">
        <f>'AL WEST 2024'!BH93</f>
        <v>195</v>
      </c>
      <c r="AZ26" s="41" t="s">
        <v>54</v>
      </c>
      <c r="BA26" s="40" t="s">
        <v>61</v>
      </c>
      <c r="BB26" s="4" t="s">
        <v>80</v>
      </c>
      <c r="BE26" s="6" t="s">
        <v>90</v>
      </c>
      <c r="BF26" s="5">
        <v>15</v>
      </c>
      <c r="BG26" s="40">
        <v>25</v>
      </c>
      <c r="BH26" s="43" t="s">
        <v>96</v>
      </c>
      <c r="BI26" s="5">
        <v>173</v>
      </c>
      <c r="BJ26" s="42">
        <v>198</v>
      </c>
      <c r="BK26" s="41" t="s">
        <v>95</v>
      </c>
      <c r="BL26" s="40" t="s">
        <v>26</v>
      </c>
      <c r="BM26" s="4" t="s">
        <v>80</v>
      </c>
    </row>
    <row r="27" spans="1:65" ht="20">
      <c r="M27" s="14"/>
      <c r="N27" s="13"/>
      <c r="O27" s="13"/>
      <c r="P27" s="485"/>
      <c r="Q27" s="13"/>
      <c r="R27" s="13"/>
      <c r="S27" s="485"/>
      <c r="T27" s="13"/>
      <c r="U27" s="13"/>
    </row>
    <row r="29" spans="1:65" ht="30">
      <c r="B29" s="1033" t="s">
        <v>98</v>
      </c>
      <c r="C29" s="1034"/>
      <c r="D29" s="1034"/>
      <c r="E29" s="1034"/>
      <c r="F29" s="1034"/>
      <c r="G29" s="1034"/>
      <c r="H29" s="1035"/>
      <c r="I29" s="1035"/>
      <c r="J29" s="1036"/>
      <c r="M29" s="1033" t="s">
        <v>99</v>
      </c>
      <c r="N29" s="1034"/>
      <c r="O29" s="1034"/>
      <c r="P29" s="1034"/>
      <c r="Q29" s="1035"/>
      <c r="R29" s="1035"/>
      <c r="S29" s="1035"/>
      <c r="T29" s="1035"/>
      <c r="U29" s="1036"/>
      <c r="X29" s="1033" t="s">
        <v>100</v>
      </c>
      <c r="Y29" s="1034"/>
      <c r="Z29" s="1034"/>
      <c r="AA29" s="1034"/>
      <c r="AB29" s="1034"/>
      <c r="AC29" s="1034"/>
      <c r="AD29" s="1035"/>
      <c r="AE29" s="1035"/>
      <c r="AF29" s="1036"/>
      <c r="AI29" s="1033" t="s">
        <v>101</v>
      </c>
      <c r="AJ29" s="1034"/>
      <c r="AK29" s="1034"/>
      <c r="AL29" s="1034"/>
      <c r="AM29" s="1035"/>
      <c r="AN29" s="1035"/>
      <c r="AO29" s="1035"/>
      <c r="AP29" s="1035"/>
      <c r="AQ29" s="1036"/>
      <c r="AT29" s="1033" t="s">
        <v>102</v>
      </c>
      <c r="AU29" s="1034"/>
      <c r="AV29" s="1034"/>
      <c r="AW29" s="1034"/>
      <c r="AX29" s="1034"/>
      <c r="AY29" s="1034"/>
      <c r="AZ29" s="1034"/>
      <c r="BA29" s="1034"/>
      <c r="BB29" s="1038"/>
      <c r="BE29" s="1033" t="s">
        <v>103</v>
      </c>
      <c r="BF29" s="1034"/>
      <c r="BG29" s="1034"/>
      <c r="BH29" s="1034"/>
      <c r="BI29" s="1034"/>
      <c r="BJ29" s="1034"/>
      <c r="BK29" s="1034"/>
      <c r="BL29" s="1034"/>
      <c r="BM29" s="1038"/>
    </row>
    <row r="30" spans="1:65" s="28" customFormat="1">
      <c r="B30" s="23" t="s">
        <v>8</v>
      </c>
      <c r="C30" s="28" t="s">
        <v>9</v>
      </c>
      <c r="D30" s="28" t="s">
        <v>10</v>
      </c>
      <c r="E30" s="28" t="s">
        <v>11</v>
      </c>
      <c r="F30" s="28" t="s">
        <v>12</v>
      </c>
      <c r="G30" s="28" t="s">
        <v>13</v>
      </c>
      <c r="H30" s="39" t="s">
        <v>104</v>
      </c>
      <c r="I30" s="23" t="s">
        <v>105</v>
      </c>
      <c r="J30" s="23" t="s">
        <v>106</v>
      </c>
      <c r="M30" s="23" t="s">
        <v>8</v>
      </c>
      <c r="N30" s="23" t="s">
        <v>9</v>
      </c>
      <c r="O30" s="23" t="s">
        <v>10</v>
      </c>
      <c r="P30" s="23" t="s">
        <v>11</v>
      </c>
      <c r="Q30" s="23" t="s">
        <v>107</v>
      </c>
      <c r="R30" s="38" t="s">
        <v>104</v>
      </c>
      <c r="S30" s="23" t="s">
        <v>105</v>
      </c>
      <c r="T30" s="23" t="s">
        <v>106</v>
      </c>
      <c r="U30" s="23" t="s">
        <v>15</v>
      </c>
      <c r="X30" s="23" t="s">
        <v>8</v>
      </c>
      <c r="Y30" s="23" t="s">
        <v>9</v>
      </c>
      <c r="Z30" s="23" t="s">
        <v>10</v>
      </c>
      <c r="AA30" s="23" t="s">
        <v>11</v>
      </c>
      <c r="AB30" s="23" t="s">
        <v>12</v>
      </c>
      <c r="AC30" s="23" t="s">
        <v>13</v>
      </c>
      <c r="AD30" s="23" t="s">
        <v>104</v>
      </c>
      <c r="AE30" s="23" t="s">
        <v>105</v>
      </c>
      <c r="AF30" s="23" t="s">
        <v>106</v>
      </c>
      <c r="AI30" s="23" t="s">
        <v>8</v>
      </c>
      <c r="AJ30" s="23" t="s">
        <v>9</v>
      </c>
      <c r="AK30" s="23" t="s">
        <v>10</v>
      </c>
      <c r="AL30" s="23" t="s">
        <v>11</v>
      </c>
      <c r="AM30" s="23" t="s">
        <v>107</v>
      </c>
      <c r="AN30" s="38" t="s">
        <v>104</v>
      </c>
      <c r="AO30" s="23" t="s">
        <v>105</v>
      </c>
      <c r="AP30" s="23" t="s">
        <v>106</v>
      </c>
      <c r="AQ30" s="23" t="s">
        <v>15</v>
      </c>
      <c r="AT30" s="39" t="s">
        <v>8</v>
      </c>
      <c r="AU30" s="187" t="s">
        <v>9</v>
      </c>
      <c r="AV30" s="187" t="s">
        <v>10</v>
      </c>
      <c r="AW30" s="187" t="s">
        <v>11</v>
      </c>
      <c r="AX30" s="187" t="s">
        <v>12</v>
      </c>
      <c r="AY30" s="187" t="s">
        <v>13</v>
      </c>
      <c r="AZ30" s="23" t="s">
        <v>104</v>
      </c>
      <c r="BA30" s="23" t="s">
        <v>105</v>
      </c>
      <c r="BB30" s="23" t="s">
        <v>106</v>
      </c>
      <c r="BE30" s="39" t="s">
        <v>8</v>
      </c>
      <c r="BF30" s="187" t="s">
        <v>9</v>
      </c>
      <c r="BG30" s="187" t="s">
        <v>10</v>
      </c>
      <c r="BH30" s="187" t="s">
        <v>11</v>
      </c>
      <c r="BI30" s="23" t="s">
        <v>107</v>
      </c>
      <c r="BJ30" s="23" t="s">
        <v>104</v>
      </c>
      <c r="BK30" s="23" t="s">
        <v>105</v>
      </c>
      <c r="BL30" s="23" t="s">
        <v>106</v>
      </c>
      <c r="BM30" s="23" t="s">
        <v>15</v>
      </c>
    </row>
    <row r="31" spans="1:65" ht="20">
      <c r="B31" s="37" t="s">
        <v>22</v>
      </c>
      <c r="C31" s="22">
        <f>'NL EAST 2024'!E62</f>
        <v>30</v>
      </c>
      <c r="D31" s="21">
        <f>'NL EAST 2024'!F62</f>
        <v>10</v>
      </c>
      <c r="E31" s="36" t="s">
        <v>18</v>
      </c>
      <c r="F31" s="22">
        <f>'NL EAST 2024'!I49</f>
        <v>195</v>
      </c>
      <c r="G31" s="21">
        <f>'NL EAST 2024'!J62</f>
        <v>129</v>
      </c>
      <c r="H31" s="35" t="s">
        <v>108</v>
      </c>
      <c r="I31" s="19" t="s">
        <v>109</v>
      </c>
      <c r="J31" s="19"/>
      <c r="M31" s="383" t="s">
        <v>83</v>
      </c>
      <c r="N31" s="22">
        <f>HOU_P[[#Totals],[W]]</f>
        <v>25</v>
      </c>
      <c r="O31" s="21">
        <f>HOU_P[[#Totals],[L]]</f>
        <v>15</v>
      </c>
      <c r="P31" s="20" t="s">
        <v>110</v>
      </c>
      <c r="Q31" s="19" t="s">
        <v>111</v>
      </c>
      <c r="R31" s="19" t="s">
        <v>108</v>
      </c>
      <c r="S31" s="34" t="s">
        <v>9</v>
      </c>
      <c r="T31" s="19" t="s">
        <v>109</v>
      </c>
      <c r="U31" s="113"/>
      <c r="X31" s="383" t="s">
        <v>24</v>
      </c>
      <c r="Y31" s="539">
        <v>29</v>
      </c>
      <c r="Z31" s="540">
        <v>11</v>
      </c>
      <c r="AA31" s="541" t="s">
        <v>18</v>
      </c>
      <c r="AB31" s="539">
        <v>175</v>
      </c>
      <c r="AC31" s="540">
        <v>119</v>
      </c>
      <c r="AD31" s="542" t="s">
        <v>108</v>
      </c>
      <c r="AE31" s="543" t="s">
        <v>9</v>
      </c>
      <c r="AF31" s="543" t="s">
        <v>112</v>
      </c>
      <c r="AI31" s="383" t="s">
        <v>24</v>
      </c>
      <c r="AJ31" s="539">
        <v>29</v>
      </c>
      <c r="AK31" s="540">
        <v>11</v>
      </c>
      <c r="AL31" s="559" t="s">
        <v>113</v>
      </c>
      <c r="AM31" s="543" t="s">
        <v>111</v>
      </c>
      <c r="AN31" s="543" t="s">
        <v>108</v>
      </c>
      <c r="AO31" s="517" t="s">
        <v>9</v>
      </c>
      <c r="AP31" s="543" t="s">
        <v>9</v>
      </c>
      <c r="AQ31" s="560" t="s">
        <v>112</v>
      </c>
      <c r="AT31" s="37" t="s">
        <v>30</v>
      </c>
      <c r="AU31" s="22">
        <f>AU4</f>
        <v>27</v>
      </c>
      <c r="AV31" s="21">
        <f>AV4</f>
        <v>13</v>
      </c>
      <c r="AW31" s="36" t="s">
        <v>31</v>
      </c>
      <c r="AX31" s="63">
        <f>AX4</f>
        <v>231</v>
      </c>
      <c r="AY31" s="21">
        <f>AY4</f>
        <v>184</v>
      </c>
      <c r="AZ31" s="385" t="s">
        <v>108</v>
      </c>
      <c r="BA31" s="8" t="s">
        <v>109</v>
      </c>
      <c r="BB31" s="8"/>
      <c r="BE31" s="383" t="s">
        <v>30</v>
      </c>
      <c r="BF31" s="22">
        <f>AU4</f>
        <v>27</v>
      </c>
      <c r="BG31" s="21">
        <f>AV4</f>
        <v>13</v>
      </c>
      <c r="BH31" s="20" t="s">
        <v>114</v>
      </c>
      <c r="BI31" s="19" t="s">
        <v>111</v>
      </c>
      <c r="BJ31" s="19" t="s">
        <v>108</v>
      </c>
      <c r="BK31" s="34" t="s">
        <v>109</v>
      </c>
      <c r="BL31" s="19"/>
      <c r="BM31" s="33"/>
    </row>
    <row r="32" spans="1:65" ht="20">
      <c r="B32" s="12" t="s">
        <v>83</v>
      </c>
      <c r="C32" s="11">
        <f>HOU_P[[#Totals],[W]]</f>
        <v>25</v>
      </c>
      <c r="D32" s="10">
        <f>HOU_P[[#Totals],[L]]</f>
        <v>15</v>
      </c>
      <c r="E32" s="18">
        <v>5</v>
      </c>
      <c r="F32" s="11">
        <f>HOU_H[[#Totals],[R]]</f>
        <v>215</v>
      </c>
      <c r="G32" s="10">
        <f>HOU_P[[#Totals],[R]]</f>
        <v>149</v>
      </c>
      <c r="H32" s="26" t="s">
        <v>108</v>
      </c>
      <c r="I32" s="8" t="s">
        <v>9</v>
      </c>
      <c r="J32" s="8" t="s">
        <v>109</v>
      </c>
      <c r="M32" s="387" t="s">
        <v>17</v>
      </c>
      <c r="N32" s="11">
        <f>'AL EAST 2024'!E31</f>
        <v>24</v>
      </c>
      <c r="O32" s="10">
        <f>'AL EAST 2024'!F31</f>
        <v>16</v>
      </c>
      <c r="P32" s="9" t="s">
        <v>115</v>
      </c>
      <c r="Q32" s="8" t="s">
        <v>116</v>
      </c>
      <c r="R32" s="8" t="s">
        <v>108</v>
      </c>
      <c r="S32" s="32" t="s">
        <v>9</v>
      </c>
      <c r="T32" s="8" t="s">
        <v>9</v>
      </c>
      <c r="U32" s="31" t="s">
        <v>109</v>
      </c>
      <c r="X32" s="386" t="s">
        <v>86</v>
      </c>
      <c r="Y32" s="551">
        <v>26</v>
      </c>
      <c r="Z32" s="552">
        <v>14</v>
      </c>
      <c r="AA32" s="553">
        <v>3</v>
      </c>
      <c r="AB32" s="551">
        <v>194</v>
      </c>
      <c r="AC32" s="552">
        <v>127</v>
      </c>
      <c r="AD32" s="554" t="s">
        <v>108</v>
      </c>
      <c r="AE32" s="555" t="s">
        <v>9</v>
      </c>
      <c r="AF32" s="555" t="s">
        <v>112</v>
      </c>
      <c r="AI32" s="386" t="s">
        <v>30</v>
      </c>
      <c r="AJ32" s="11">
        <v>25</v>
      </c>
      <c r="AK32" s="10">
        <v>15</v>
      </c>
      <c r="AL32" s="9" t="s">
        <v>117</v>
      </c>
      <c r="AM32" s="8" t="s">
        <v>118</v>
      </c>
      <c r="AN32" s="8" t="s">
        <v>9</v>
      </c>
      <c r="AO32" s="32" t="s">
        <v>9</v>
      </c>
      <c r="AP32" s="8" t="s">
        <v>109</v>
      </c>
      <c r="AQ32" s="31"/>
      <c r="AT32" s="12" t="s">
        <v>86</v>
      </c>
      <c r="AU32" s="11">
        <f>'NL WEST 2024'!BC31</f>
        <v>27</v>
      </c>
      <c r="AV32" s="10">
        <f>'NL WEST 2024'!BD31</f>
        <v>13</v>
      </c>
      <c r="AW32" s="18" t="s">
        <v>31</v>
      </c>
      <c r="AX32" s="11">
        <f>'NL WEST 2024'!BG18</f>
        <v>187</v>
      </c>
      <c r="AY32" s="10">
        <f>'NL WEST 2024'!BH31</f>
        <v>142</v>
      </c>
      <c r="AZ32" s="385" t="s">
        <v>108</v>
      </c>
      <c r="BA32" s="8" t="s">
        <v>9</v>
      </c>
      <c r="BB32" s="8" t="s">
        <v>109</v>
      </c>
      <c r="BE32" s="387" t="s">
        <v>83</v>
      </c>
      <c r="BF32" s="11">
        <f>AU22</f>
        <v>25</v>
      </c>
      <c r="BG32" s="10">
        <f>AV22</f>
        <v>15</v>
      </c>
      <c r="BH32" s="9" t="s">
        <v>119</v>
      </c>
      <c r="BI32" s="8" t="s">
        <v>116</v>
      </c>
      <c r="BJ32" s="8" t="s">
        <v>108</v>
      </c>
      <c r="BK32" s="32" t="s">
        <v>9</v>
      </c>
      <c r="BL32" s="8" t="s">
        <v>9</v>
      </c>
      <c r="BM32" s="31" t="s">
        <v>109</v>
      </c>
    </row>
    <row r="33" spans="2:65" ht="20">
      <c r="B33" s="387" t="s">
        <v>84</v>
      </c>
      <c r="C33" s="544">
        <f>'NL WEST 2024'!E62</f>
        <v>25</v>
      </c>
      <c r="D33" s="545">
        <f>'NL WEST 2024'!F62</f>
        <v>15</v>
      </c>
      <c r="E33" s="546">
        <v>5</v>
      </c>
      <c r="F33" s="544">
        <f>'NL WEST 2024'!I49</f>
        <v>173</v>
      </c>
      <c r="G33" s="545">
        <f>'NL WEST 2024'!J62</f>
        <v>127</v>
      </c>
      <c r="H33" s="557" t="s">
        <v>108</v>
      </c>
      <c r="I33" s="548" t="s">
        <v>9</v>
      </c>
      <c r="J33" s="548" t="s">
        <v>112</v>
      </c>
      <c r="M33" s="387" t="s">
        <v>68</v>
      </c>
      <c r="N33" s="11">
        <f>'AL CENTRAL 2024'!E31</f>
        <v>24</v>
      </c>
      <c r="O33" s="10">
        <f>'AL CENTRAL 2024'!F31</f>
        <v>16</v>
      </c>
      <c r="P33" s="9" t="s">
        <v>115</v>
      </c>
      <c r="Q33" s="8" t="s">
        <v>120</v>
      </c>
      <c r="R33" s="8" t="s">
        <v>9</v>
      </c>
      <c r="S33" s="32" t="s">
        <v>109</v>
      </c>
      <c r="T33" s="8"/>
      <c r="U33" s="31"/>
      <c r="X33" s="12" t="s">
        <v>30</v>
      </c>
      <c r="Y33" s="11">
        <v>25</v>
      </c>
      <c r="Z33" s="10">
        <v>15</v>
      </c>
      <c r="AA33" s="18">
        <v>4</v>
      </c>
      <c r="AB33" s="11">
        <v>204</v>
      </c>
      <c r="AC33" s="10">
        <v>193</v>
      </c>
      <c r="AD33" s="26" t="s">
        <v>9</v>
      </c>
      <c r="AE33" s="8" t="s">
        <v>9</v>
      </c>
      <c r="AF33" s="8" t="s">
        <v>109</v>
      </c>
      <c r="AI33" s="386" t="s">
        <v>43</v>
      </c>
      <c r="AJ33" s="11">
        <v>23</v>
      </c>
      <c r="AK33" s="10">
        <v>17</v>
      </c>
      <c r="AL33" s="9" t="s">
        <v>110</v>
      </c>
      <c r="AM33" s="8" t="s">
        <v>121</v>
      </c>
      <c r="AN33" s="8" t="s">
        <v>109</v>
      </c>
      <c r="AO33" s="32"/>
      <c r="AP33" s="8"/>
      <c r="AQ33" s="31"/>
      <c r="AT33" s="386" t="s">
        <v>83</v>
      </c>
      <c r="AU33" s="551">
        <f>AU22</f>
        <v>25</v>
      </c>
      <c r="AV33" s="552">
        <f>AV22</f>
        <v>15</v>
      </c>
      <c r="AW33" s="553">
        <v>2</v>
      </c>
      <c r="AX33" s="551">
        <f>AX22</f>
        <v>177</v>
      </c>
      <c r="AY33" s="552">
        <f>AY22</f>
        <v>170</v>
      </c>
      <c r="AZ33" s="556" t="s">
        <v>108</v>
      </c>
      <c r="BA33" s="555" t="s">
        <v>9</v>
      </c>
      <c r="BB33" s="555" t="s">
        <v>112</v>
      </c>
      <c r="BE33" s="386" t="s">
        <v>17</v>
      </c>
      <c r="BF33" s="11">
        <f>AU5</f>
        <v>23</v>
      </c>
      <c r="BG33" s="10">
        <f>AV5</f>
        <v>17</v>
      </c>
      <c r="BH33" s="9" t="s">
        <v>115</v>
      </c>
      <c r="BI33" s="8" t="s">
        <v>118</v>
      </c>
      <c r="BJ33" s="8" t="s">
        <v>109</v>
      </c>
      <c r="BK33" s="32"/>
      <c r="BL33" s="8"/>
      <c r="BM33" s="31"/>
    </row>
    <row r="34" spans="2:65" ht="20">
      <c r="B34" s="12" t="s">
        <v>28</v>
      </c>
      <c r="C34" s="11">
        <f>'NL EAST 2024'!E93</f>
        <v>24</v>
      </c>
      <c r="D34" s="10">
        <f>'NL EAST 2024'!F93</f>
        <v>16</v>
      </c>
      <c r="E34" s="18">
        <v>6</v>
      </c>
      <c r="F34" s="11">
        <f>'NL EAST 2024'!I80</f>
        <v>178</v>
      </c>
      <c r="G34" s="10">
        <f>'NL EAST 2024'!J93</f>
        <v>142</v>
      </c>
      <c r="H34" s="26" t="s">
        <v>9</v>
      </c>
      <c r="I34" s="8" t="s">
        <v>9</v>
      </c>
      <c r="J34" s="8" t="s">
        <v>109</v>
      </c>
      <c r="M34" s="386" t="s">
        <v>85</v>
      </c>
      <c r="N34" s="11">
        <f>'AL WEST 2024'!E62</f>
        <v>24</v>
      </c>
      <c r="O34" s="10">
        <f>'AL WEST 2024'!F62</f>
        <v>16</v>
      </c>
      <c r="P34" s="9" t="s">
        <v>115</v>
      </c>
      <c r="Q34" s="8" t="s">
        <v>118</v>
      </c>
      <c r="R34" s="8" t="s">
        <v>109</v>
      </c>
      <c r="S34" s="32"/>
      <c r="T34" s="8"/>
      <c r="U34" s="31"/>
      <c r="X34" s="12" t="s">
        <v>71</v>
      </c>
      <c r="Y34" s="11">
        <v>25</v>
      </c>
      <c r="Z34" s="10">
        <v>15</v>
      </c>
      <c r="AA34" s="18">
        <v>4</v>
      </c>
      <c r="AB34" s="11">
        <v>173</v>
      </c>
      <c r="AC34" s="10">
        <v>135</v>
      </c>
      <c r="AD34" s="26" t="s">
        <v>109</v>
      </c>
      <c r="AE34" s="8"/>
      <c r="AF34" s="8"/>
      <c r="AI34" s="387" t="s">
        <v>68</v>
      </c>
      <c r="AJ34" s="11">
        <v>23</v>
      </c>
      <c r="AK34" s="10">
        <v>17</v>
      </c>
      <c r="AL34" s="9" t="s">
        <v>110</v>
      </c>
      <c r="AM34" s="8" t="s">
        <v>116</v>
      </c>
      <c r="AN34" s="8" t="s">
        <v>108</v>
      </c>
      <c r="AO34" s="32" t="s">
        <v>109</v>
      </c>
      <c r="AP34" s="8"/>
      <c r="AQ34" s="31"/>
      <c r="AT34" s="12" t="s">
        <v>88</v>
      </c>
      <c r="AU34" s="11">
        <f>'NL WEST 2024'!BC93</f>
        <v>25</v>
      </c>
      <c r="AV34" s="10">
        <f>'NL WEST 2024'!BD93</f>
        <v>15</v>
      </c>
      <c r="AW34" s="18">
        <v>2</v>
      </c>
      <c r="AX34" s="11">
        <f>'NL WEST 2024'!BG80</f>
        <v>192</v>
      </c>
      <c r="AY34" s="10">
        <f>'NL WEST 2024'!BH93</f>
        <v>165</v>
      </c>
      <c r="AZ34" s="385" t="s">
        <v>109</v>
      </c>
      <c r="BA34" s="8"/>
      <c r="BB34" s="8"/>
      <c r="BE34" s="387" t="s">
        <v>68</v>
      </c>
      <c r="BF34" s="11">
        <f>AU13</f>
        <v>22</v>
      </c>
      <c r="BG34" s="10">
        <f>AV13</f>
        <v>18</v>
      </c>
      <c r="BH34" s="9" t="s">
        <v>18</v>
      </c>
      <c r="BI34" s="8" t="s">
        <v>120</v>
      </c>
      <c r="BJ34" s="8" t="s">
        <v>109</v>
      </c>
      <c r="BK34" s="32"/>
      <c r="BL34" s="8"/>
      <c r="BM34" s="31"/>
    </row>
    <row r="35" spans="2:65" ht="20">
      <c r="B35" s="386" t="s">
        <v>17</v>
      </c>
      <c r="C35" s="11">
        <f>'AL EAST 2024'!E31</f>
        <v>24</v>
      </c>
      <c r="D35" s="10">
        <f>'AL EAST 2024'!F31</f>
        <v>16</v>
      </c>
      <c r="E35" s="18">
        <v>6</v>
      </c>
      <c r="F35" s="30">
        <f>'AL EAST 2024'!I18</f>
        <v>183</v>
      </c>
      <c r="G35" s="29">
        <f>'AL EAST 2024'!J31</f>
        <v>148</v>
      </c>
      <c r="H35" s="26" t="s">
        <v>108</v>
      </c>
      <c r="I35" s="8" t="s">
        <v>9</v>
      </c>
      <c r="J35" s="8" t="s">
        <v>112</v>
      </c>
      <c r="M35" s="386" t="s">
        <v>43</v>
      </c>
      <c r="N35" s="11">
        <f>'AL EAST 2024'!E124</f>
        <v>23</v>
      </c>
      <c r="O35" s="10">
        <f>'AL EAST 2024'!F124</f>
        <v>17</v>
      </c>
      <c r="P35" s="9" t="s">
        <v>18</v>
      </c>
      <c r="Q35" s="8" t="s">
        <v>121</v>
      </c>
      <c r="R35" s="8" t="s">
        <v>9</v>
      </c>
      <c r="S35" s="32" t="s">
        <v>109</v>
      </c>
      <c r="T35" s="8"/>
      <c r="U35" s="31"/>
      <c r="X35" s="12" t="s">
        <v>28</v>
      </c>
      <c r="Y35" s="11">
        <v>25</v>
      </c>
      <c r="Z35" s="10">
        <v>15</v>
      </c>
      <c r="AA35" s="18">
        <v>4</v>
      </c>
      <c r="AB35" s="11">
        <v>174</v>
      </c>
      <c r="AC35" s="10">
        <v>147</v>
      </c>
      <c r="AD35" s="26" t="s">
        <v>108</v>
      </c>
      <c r="AE35" s="8" t="s">
        <v>109</v>
      </c>
      <c r="AF35" s="8"/>
      <c r="AI35" s="387" t="s">
        <v>85</v>
      </c>
      <c r="AJ35" s="11">
        <v>22</v>
      </c>
      <c r="AK35" s="10">
        <v>18</v>
      </c>
      <c r="AL35" s="9" t="s">
        <v>115</v>
      </c>
      <c r="AM35" s="8" t="s">
        <v>120</v>
      </c>
      <c r="AN35" s="8" t="s">
        <v>109</v>
      </c>
      <c r="AO35" s="32"/>
      <c r="AP35" s="8"/>
      <c r="AQ35" s="31"/>
      <c r="AT35" s="12" t="s">
        <v>17</v>
      </c>
      <c r="AU35" s="11">
        <f>'AL EAST 2024'!BC31</f>
        <v>23</v>
      </c>
      <c r="AV35" s="10">
        <f>'AL EAST 2024'!BD31</f>
        <v>17</v>
      </c>
      <c r="AW35" s="18">
        <v>4</v>
      </c>
      <c r="AX35" s="30">
        <f>'AL EAST 2024'!BG18</f>
        <v>202</v>
      </c>
      <c r="AY35" s="29">
        <f>'AL EAST 2024'!BH31</f>
        <v>177</v>
      </c>
      <c r="AZ35" s="385" t="s">
        <v>109</v>
      </c>
      <c r="BA35" s="8"/>
      <c r="BB35" s="8"/>
      <c r="BE35" s="386" t="s">
        <v>89</v>
      </c>
      <c r="BF35" s="11">
        <f>AU23</f>
        <v>22</v>
      </c>
      <c r="BG35" s="10">
        <f>AV23</f>
        <v>18</v>
      </c>
      <c r="BH35" s="9" t="s">
        <v>18</v>
      </c>
      <c r="BI35" s="8" t="s">
        <v>121</v>
      </c>
      <c r="BJ35" s="8" t="s">
        <v>9</v>
      </c>
      <c r="BK35" s="32" t="s">
        <v>9</v>
      </c>
      <c r="BL35" s="8" t="s">
        <v>109</v>
      </c>
      <c r="BM35" s="31"/>
    </row>
    <row r="36" spans="2:65" ht="20">
      <c r="B36" s="12" t="s">
        <v>68</v>
      </c>
      <c r="C36" s="11">
        <f>'AL CENTRAL 2024'!E31</f>
        <v>24</v>
      </c>
      <c r="D36" s="10">
        <f>'AL CENTRAL 2024'!F31</f>
        <v>16</v>
      </c>
      <c r="E36" s="18">
        <v>6</v>
      </c>
      <c r="F36" s="11">
        <f>'AL CENTRAL 2024'!I18</f>
        <v>168</v>
      </c>
      <c r="G36" s="10">
        <f>'AL CENTRAL 2024'!J31</f>
        <v>149</v>
      </c>
      <c r="H36" s="26" t="s">
        <v>9</v>
      </c>
      <c r="I36" s="8" t="s">
        <v>109</v>
      </c>
      <c r="J36" s="8"/>
      <c r="M36" s="386" t="s">
        <v>30</v>
      </c>
      <c r="N36" s="11">
        <f>'AL EAST 2024'!E62</f>
        <v>23</v>
      </c>
      <c r="O36" s="10">
        <f>'AL EAST 2024'!F62</f>
        <v>17</v>
      </c>
      <c r="P36" s="9" t="s">
        <v>18</v>
      </c>
      <c r="Q36" s="8" t="s">
        <v>122</v>
      </c>
      <c r="R36" s="8" t="s">
        <v>109</v>
      </c>
      <c r="S36" s="32"/>
      <c r="T36" s="8"/>
      <c r="U36" s="31"/>
      <c r="X36" s="12" t="s">
        <v>84</v>
      </c>
      <c r="Y36" s="11">
        <v>24</v>
      </c>
      <c r="Z36" s="10">
        <v>16</v>
      </c>
      <c r="AA36" s="18">
        <v>5</v>
      </c>
      <c r="AB36" s="11">
        <v>190</v>
      </c>
      <c r="AC36" s="10">
        <v>131</v>
      </c>
      <c r="AD36" s="26" t="s">
        <v>9</v>
      </c>
      <c r="AE36" s="8" t="s">
        <v>9</v>
      </c>
      <c r="AF36" s="8" t="s">
        <v>109</v>
      </c>
      <c r="AI36" s="386" t="s">
        <v>74</v>
      </c>
      <c r="AJ36" s="11">
        <v>21</v>
      </c>
      <c r="AK36" s="10">
        <v>19</v>
      </c>
      <c r="AL36" s="9" t="s">
        <v>18</v>
      </c>
      <c r="AM36" s="8" t="s">
        <v>122</v>
      </c>
      <c r="AN36" s="8" t="s">
        <v>9</v>
      </c>
      <c r="AO36" s="32" t="s">
        <v>109</v>
      </c>
      <c r="AP36" s="8"/>
      <c r="AQ36" s="31"/>
      <c r="AT36" s="387" t="s">
        <v>33</v>
      </c>
      <c r="AU36" s="544">
        <f>'NL EAST 2024'!BC31</f>
        <v>23</v>
      </c>
      <c r="AV36" s="545">
        <f>'NL EAST 2024'!BD31</f>
        <v>17</v>
      </c>
      <c r="AW36" s="546">
        <v>4</v>
      </c>
      <c r="AX36" s="544">
        <f>'NL EAST 2024'!BG18</f>
        <v>185</v>
      </c>
      <c r="AY36" s="545">
        <f>'NL EAST 2024'!BH31</f>
        <v>127</v>
      </c>
      <c r="AZ36" s="547" t="s">
        <v>108</v>
      </c>
      <c r="BA36" s="548" t="s">
        <v>9</v>
      </c>
      <c r="BB36" s="548" t="s">
        <v>112</v>
      </c>
      <c r="BE36" s="386" t="s">
        <v>76</v>
      </c>
      <c r="BF36" s="11">
        <f t="shared" ref="BF36:BG38" si="0">AU14</f>
        <v>22</v>
      </c>
      <c r="BG36" s="10">
        <f t="shared" si="0"/>
        <v>18</v>
      </c>
      <c r="BH36" s="9" t="s">
        <v>18</v>
      </c>
      <c r="BI36" s="8" t="s">
        <v>122</v>
      </c>
      <c r="BJ36" s="8" t="s">
        <v>9</v>
      </c>
      <c r="BK36" s="32" t="s">
        <v>109</v>
      </c>
      <c r="BL36" s="8"/>
      <c r="BM36" s="31"/>
    </row>
    <row r="37" spans="2:65" ht="20">
      <c r="B37" s="12" t="s">
        <v>85</v>
      </c>
      <c r="C37" s="11">
        <f>'AL WEST 2024'!E62</f>
        <v>24</v>
      </c>
      <c r="D37" s="10">
        <f>'AL WEST 2024'!F62</f>
        <v>16</v>
      </c>
      <c r="E37" s="18">
        <v>6</v>
      </c>
      <c r="F37" s="11">
        <f>'AL WEST 2024'!I49</f>
        <v>206</v>
      </c>
      <c r="G37" s="10">
        <f>'AL WEST 2024'!J62</f>
        <v>162</v>
      </c>
      <c r="H37" s="26" t="s">
        <v>109</v>
      </c>
      <c r="I37" s="8"/>
      <c r="J37" s="8"/>
      <c r="M37" s="12" t="s">
        <v>73</v>
      </c>
      <c r="N37" s="11">
        <f>'AL CENTRAL 2024'!E124</f>
        <v>22</v>
      </c>
      <c r="O37" s="10">
        <f>'AL CENTRAL 2024'!F124</f>
        <v>18</v>
      </c>
      <c r="P37" s="9" t="s">
        <v>123</v>
      </c>
      <c r="Q37" s="8" t="s">
        <v>124</v>
      </c>
      <c r="R37" s="8"/>
      <c r="S37" s="28"/>
      <c r="T37" s="7"/>
      <c r="U37" s="27"/>
      <c r="X37" s="12" t="s">
        <v>22</v>
      </c>
      <c r="Y37" s="11">
        <v>23</v>
      </c>
      <c r="Z37" s="10">
        <v>17</v>
      </c>
      <c r="AA37" s="18">
        <v>6</v>
      </c>
      <c r="AB37" s="11">
        <v>200</v>
      </c>
      <c r="AC37" s="10">
        <v>153</v>
      </c>
      <c r="AD37" s="26" t="s">
        <v>109</v>
      </c>
      <c r="AE37" s="8"/>
      <c r="AF37" s="8"/>
      <c r="AI37" s="12" t="s">
        <v>17</v>
      </c>
      <c r="AJ37" s="11">
        <v>21</v>
      </c>
      <c r="AK37" s="10">
        <v>19</v>
      </c>
      <c r="AL37" s="9" t="s">
        <v>125</v>
      </c>
      <c r="AM37" s="8" t="s">
        <v>124</v>
      </c>
      <c r="AN37" s="8"/>
      <c r="AO37" s="28"/>
      <c r="AP37" s="7"/>
      <c r="AQ37" s="27"/>
      <c r="AT37" s="12" t="s">
        <v>76</v>
      </c>
      <c r="AU37" s="11">
        <f>AU14</f>
        <v>22</v>
      </c>
      <c r="AV37" s="10">
        <f>AV14</f>
        <v>18</v>
      </c>
      <c r="AW37" s="18">
        <v>5</v>
      </c>
      <c r="AX37" s="11">
        <f>AX14</f>
        <v>167</v>
      </c>
      <c r="AY37" s="10">
        <f>AY14</f>
        <v>177</v>
      </c>
      <c r="AZ37" s="385" t="s">
        <v>9</v>
      </c>
      <c r="BA37" s="8" t="s">
        <v>109</v>
      </c>
      <c r="BB37" s="8"/>
      <c r="BE37" s="12" t="s">
        <v>74</v>
      </c>
      <c r="BF37" s="11">
        <f t="shared" si="0"/>
        <v>21</v>
      </c>
      <c r="BG37" s="10">
        <f t="shared" si="0"/>
        <v>19</v>
      </c>
      <c r="BH37" s="9" t="s">
        <v>123</v>
      </c>
      <c r="BI37" s="8" t="s">
        <v>124</v>
      </c>
      <c r="BJ37" s="8"/>
      <c r="BK37" s="32"/>
      <c r="BL37" s="8"/>
      <c r="BM37" s="31"/>
    </row>
    <row r="38" spans="2:65" ht="20">
      <c r="B38" s="12" t="s">
        <v>30</v>
      </c>
      <c r="C38" s="11">
        <f>'AL EAST 2024'!E62</f>
        <v>23</v>
      </c>
      <c r="D38" s="10">
        <f>'AL EAST 2024'!F62</f>
        <v>17</v>
      </c>
      <c r="E38" s="18">
        <v>7</v>
      </c>
      <c r="F38" s="11">
        <f>'AL EAST 2024'!I49</f>
        <v>206</v>
      </c>
      <c r="G38" s="10">
        <f>'AL EAST 2024'!J62</f>
        <v>157</v>
      </c>
      <c r="H38" s="26" t="s">
        <v>109</v>
      </c>
      <c r="I38" s="8"/>
      <c r="J38" s="8"/>
      <c r="M38" s="12" t="s">
        <v>77</v>
      </c>
      <c r="N38" s="11">
        <f>'AL CENTRAL 2024'!E93</f>
        <v>21</v>
      </c>
      <c r="O38" s="10">
        <f>'AL CENTRAL 2024'!F93</f>
        <v>19</v>
      </c>
      <c r="P38" s="9" t="s">
        <v>126</v>
      </c>
      <c r="Q38" s="8" t="s">
        <v>124</v>
      </c>
      <c r="R38" s="8"/>
      <c r="S38" s="28"/>
      <c r="T38" s="7"/>
      <c r="U38" s="27"/>
      <c r="X38" s="12" t="s">
        <v>43</v>
      </c>
      <c r="Y38" s="11">
        <v>23</v>
      </c>
      <c r="Z38" s="10">
        <v>17</v>
      </c>
      <c r="AA38" s="18">
        <v>6</v>
      </c>
      <c r="AB38" s="11">
        <v>151</v>
      </c>
      <c r="AC38" s="10">
        <v>159</v>
      </c>
      <c r="AD38" s="26" t="s">
        <v>109</v>
      </c>
      <c r="AE38" s="8"/>
      <c r="AF38" s="8"/>
      <c r="AI38" s="12" t="s">
        <v>57</v>
      </c>
      <c r="AJ38" s="11">
        <v>21</v>
      </c>
      <c r="AK38" s="10">
        <v>19</v>
      </c>
      <c r="AL38" s="9" t="s">
        <v>125</v>
      </c>
      <c r="AM38" s="8" t="s">
        <v>124</v>
      </c>
      <c r="AN38" s="8"/>
      <c r="AO38" s="28"/>
      <c r="AP38" s="7"/>
      <c r="AQ38" s="27"/>
      <c r="AT38" s="12" t="s">
        <v>22</v>
      </c>
      <c r="AU38" s="11">
        <f>'NL EAST 2024'!BC62</f>
        <v>22</v>
      </c>
      <c r="AV38" s="10">
        <f>'NL EAST 2024'!BD62</f>
        <v>18</v>
      </c>
      <c r="AW38" s="18">
        <v>5</v>
      </c>
      <c r="AX38" s="11">
        <f>'NL EAST 2024'!BG49</f>
        <v>179</v>
      </c>
      <c r="AY38" s="10">
        <f>'NL EAST 2024'!BH62</f>
        <v>166</v>
      </c>
      <c r="AZ38" s="385" t="s">
        <v>109</v>
      </c>
      <c r="BA38" s="8"/>
      <c r="BB38" s="8"/>
      <c r="BE38" s="12" t="s">
        <v>73</v>
      </c>
      <c r="BF38" s="11">
        <f t="shared" si="0"/>
        <v>20</v>
      </c>
      <c r="BG38" s="10">
        <f t="shared" si="0"/>
        <v>20</v>
      </c>
      <c r="BH38" s="9" t="s">
        <v>126</v>
      </c>
      <c r="BI38" s="8" t="s">
        <v>124</v>
      </c>
      <c r="BJ38" s="8"/>
      <c r="BK38" s="32"/>
      <c r="BL38" s="8"/>
      <c r="BM38" s="31"/>
    </row>
    <row r="39" spans="2:65" ht="20">
      <c r="B39" s="12" t="s">
        <v>43</v>
      </c>
      <c r="C39" s="11">
        <f>'AL EAST 2024'!E124</f>
        <v>23</v>
      </c>
      <c r="D39" s="10">
        <f>'AL EAST 2024'!F124</f>
        <v>17</v>
      </c>
      <c r="E39" s="18">
        <v>7</v>
      </c>
      <c r="F39" s="30">
        <f>'AL EAST 2024'!I111</f>
        <v>190</v>
      </c>
      <c r="G39" s="10">
        <f>'AL EAST 2024'!J124</f>
        <v>167</v>
      </c>
      <c r="H39" s="26" t="s">
        <v>9</v>
      </c>
      <c r="I39" s="8" t="s">
        <v>109</v>
      </c>
      <c r="J39" s="8"/>
      <c r="M39" s="12" t="s">
        <v>76</v>
      </c>
      <c r="N39" s="11">
        <f>'AL CENTRAL 2024'!E155</f>
        <v>20</v>
      </c>
      <c r="O39" s="10">
        <f>'AL CENTRAL 2024'!F155</f>
        <v>20</v>
      </c>
      <c r="P39" s="9" t="s">
        <v>127</v>
      </c>
      <c r="Q39" s="8" t="s">
        <v>124</v>
      </c>
      <c r="R39" s="8"/>
      <c r="S39" s="28"/>
      <c r="T39" s="7"/>
      <c r="U39" s="27"/>
      <c r="X39" s="12" t="s">
        <v>68</v>
      </c>
      <c r="Y39" s="11">
        <v>23</v>
      </c>
      <c r="Z39" s="10">
        <v>17</v>
      </c>
      <c r="AA39" s="18">
        <v>6</v>
      </c>
      <c r="AB39" s="11">
        <v>205</v>
      </c>
      <c r="AC39" s="10">
        <v>146</v>
      </c>
      <c r="AD39" s="26" t="s">
        <v>108</v>
      </c>
      <c r="AE39" s="8" t="s">
        <v>109</v>
      </c>
      <c r="AF39" s="8"/>
      <c r="AI39" s="12" t="s">
        <v>83</v>
      </c>
      <c r="AJ39" s="11">
        <v>20</v>
      </c>
      <c r="AK39" s="10">
        <v>20</v>
      </c>
      <c r="AL39" s="9" t="s">
        <v>123</v>
      </c>
      <c r="AM39" s="8" t="s">
        <v>124</v>
      </c>
      <c r="AN39" s="8"/>
      <c r="AO39" s="28"/>
      <c r="AP39" s="7"/>
      <c r="AQ39" s="27"/>
      <c r="AT39" s="12" t="s">
        <v>70</v>
      </c>
      <c r="AU39" s="11">
        <f>'NL CENTRAL 2024'!BC31</f>
        <v>22</v>
      </c>
      <c r="AV39" s="10">
        <f>'NL CENTRAL 2024'!BD31</f>
        <v>18</v>
      </c>
      <c r="AW39" s="18">
        <v>5</v>
      </c>
      <c r="AX39" s="11">
        <f>'NL CENTRAL 2024'!BG18</f>
        <v>194</v>
      </c>
      <c r="AY39" s="10">
        <f>'NL CENTRAL 2024'!BH31</f>
        <v>176</v>
      </c>
      <c r="AZ39" s="385" t="s">
        <v>9</v>
      </c>
      <c r="BA39" s="8" t="s">
        <v>109</v>
      </c>
      <c r="BB39" s="8"/>
      <c r="BE39" s="12" t="s">
        <v>85</v>
      </c>
      <c r="BF39" s="11">
        <f>AU24</f>
        <v>20</v>
      </c>
      <c r="BG39" s="10">
        <f>AV24</f>
        <v>20</v>
      </c>
      <c r="BH39" s="9" t="s">
        <v>126</v>
      </c>
      <c r="BI39" s="8" t="s">
        <v>124</v>
      </c>
      <c r="BJ39" s="8"/>
      <c r="BK39" s="32"/>
      <c r="BL39" s="8"/>
      <c r="BM39" s="31"/>
    </row>
    <row r="40" spans="2:65" ht="20">
      <c r="B40" s="12" t="s">
        <v>88</v>
      </c>
      <c r="C40" s="11">
        <f>'NL WEST 2024'!E93</f>
        <v>23</v>
      </c>
      <c r="D40" s="10">
        <f>'NL WEST 2024'!F93</f>
        <v>17</v>
      </c>
      <c r="E40" s="18">
        <v>7</v>
      </c>
      <c r="F40" s="11">
        <f>'NL WEST 2024'!I80</f>
        <v>148</v>
      </c>
      <c r="G40" s="10">
        <f>'NL WEST 2024'!J93</f>
        <v>140</v>
      </c>
      <c r="H40" s="26" t="s">
        <v>109</v>
      </c>
      <c r="I40" s="8"/>
      <c r="J40" s="8"/>
      <c r="M40" s="12" t="s">
        <v>74</v>
      </c>
      <c r="N40" s="11">
        <f>'AL CENTRAL 2024'!E62</f>
        <v>18</v>
      </c>
      <c r="O40" s="10">
        <f>'AL CENTRAL 2024'!F62</f>
        <v>22</v>
      </c>
      <c r="P40" s="9" t="s">
        <v>128</v>
      </c>
      <c r="Q40" s="8" t="s">
        <v>124</v>
      </c>
      <c r="R40" s="8"/>
      <c r="S40" s="32"/>
      <c r="T40" s="8"/>
      <c r="U40" s="31"/>
      <c r="X40" s="12" t="s">
        <v>75</v>
      </c>
      <c r="Y40" s="11">
        <v>22</v>
      </c>
      <c r="Z40" s="10">
        <v>18</v>
      </c>
      <c r="AA40" s="18">
        <v>7</v>
      </c>
      <c r="AB40" s="11">
        <v>180</v>
      </c>
      <c r="AC40" s="10">
        <v>186</v>
      </c>
      <c r="AD40" s="26" t="s">
        <v>9</v>
      </c>
      <c r="AE40" s="8" t="s">
        <v>109</v>
      </c>
      <c r="AF40" s="8"/>
      <c r="AI40" s="12" t="s">
        <v>89</v>
      </c>
      <c r="AJ40" s="11">
        <v>19</v>
      </c>
      <c r="AK40" s="10">
        <v>21</v>
      </c>
      <c r="AL40" s="9" t="s">
        <v>126</v>
      </c>
      <c r="AM40" s="8" t="s">
        <v>124</v>
      </c>
      <c r="AN40" s="8"/>
      <c r="AO40" s="28"/>
      <c r="AP40" s="7"/>
      <c r="AQ40" s="27"/>
      <c r="AT40" s="12" t="s">
        <v>68</v>
      </c>
      <c r="AU40" s="11">
        <f>AU13</f>
        <v>22</v>
      </c>
      <c r="AV40" s="10">
        <f>AV13</f>
        <v>18</v>
      </c>
      <c r="AW40" s="18">
        <v>5</v>
      </c>
      <c r="AX40" s="11">
        <f>AX13</f>
        <v>215</v>
      </c>
      <c r="AY40" s="10">
        <f>AY13</f>
        <v>179</v>
      </c>
      <c r="AZ40" s="385" t="s">
        <v>109</v>
      </c>
      <c r="BA40" s="8"/>
      <c r="BB40" s="8"/>
      <c r="BE40" s="12" t="s">
        <v>91</v>
      </c>
      <c r="BF40" s="11">
        <f>AU25</f>
        <v>19</v>
      </c>
      <c r="BG40" s="10">
        <f>AV25</f>
        <v>21</v>
      </c>
      <c r="BH40" s="9" t="s">
        <v>127</v>
      </c>
      <c r="BI40" s="8" t="s">
        <v>124</v>
      </c>
      <c r="BJ40" s="8"/>
      <c r="BK40" s="32"/>
      <c r="BL40" s="8"/>
      <c r="BM40" s="31"/>
    </row>
    <row r="41" spans="2:65" ht="20">
      <c r="B41" s="12" t="s">
        <v>33</v>
      </c>
      <c r="C41" s="11">
        <f>'NL EAST 2024'!E31</f>
        <v>23</v>
      </c>
      <c r="D41" s="10">
        <f>'NL EAST 2024'!F31</f>
        <v>17</v>
      </c>
      <c r="E41" s="18">
        <v>7</v>
      </c>
      <c r="F41" s="11">
        <f>'NL EAST 2024'!I18</f>
        <v>164</v>
      </c>
      <c r="G41" s="10">
        <f>'NL EAST 2024'!J31</f>
        <v>163</v>
      </c>
      <c r="H41" s="26" t="s">
        <v>9</v>
      </c>
      <c r="I41" s="8" t="s">
        <v>109</v>
      </c>
      <c r="J41" s="7"/>
      <c r="M41" s="12" t="s">
        <v>24</v>
      </c>
      <c r="N41" s="11">
        <f>'AL EAST 2024'!E93</f>
        <v>16</v>
      </c>
      <c r="O41" s="10">
        <f>'AL EAST 2024'!F93</f>
        <v>24</v>
      </c>
      <c r="P41" s="9" t="s">
        <v>129</v>
      </c>
      <c r="Q41" s="8" t="s">
        <v>124</v>
      </c>
      <c r="R41" s="8"/>
      <c r="S41" s="32"/>
      <c r="T41" s="8"/>
      <c r="U41" s="31"/>
      <c r="X41" s="12" t="s">
        <v>85</v>
      </c>
      <c r="Y41" s="11">
        <v>22</v>
      </c>
      <c r="Z41" s="10">
        <v>18</v>
      </c>
      <c r="AA41" s="18">
        <v>7</v>
      </c>
      <c r="AB41" s="11">
        <v>178</v>
      </c>
      <c r="AC41" s="10">
        <v>161</v>
      </c>
      <c r="AD41" s="26" t="s">
        <v>109</v>
      </c>
      <c r="AE41" s="8"/>
      <c r="AF41" s="8"/>
      <c r="AI41" s="12" t="s">
        <v>73</v>
      </c>
      <c r="AJ41" s="11">
        <v>18</v>
      </c>
      <c r="AK41" s="10">
        <v>22</v>
      </c>
      <c r="AL41" s="9" t="s">
        <v>127</v>
      </c>
      <c r="AM41" s="8" t="s">
        <v>124</v>
      </c>
      <c r="AN41" s="8"/>
      <c r="AO41" s="28"/>
      <c r="AP41" s="7"/>
      <c r="AQ41" s="27"/>
      <c r="AT41" s="12" t="s">
        <v>89</v>
      </c>
      <c r="AU41" s="11">
        <f>AU23</f>
        <v>22</v>
      </c>
      <c r="AV41" s="10">
        <f>AV23</f>
        <v>18</v>
      </c>
      <c r="AW41" s="18">
        <v>5</v>
      </c>
      <c r="AX41" s="11">
        <f>AX23</f>
        <v>186</v>
      </c>
      <c r="AY41" s="10">
        <f>AY23</f>
        <v>162</v>
      </c>
      <c r="AZ41" s="385" t="s">
        <v>9</v>
      </c>
      <c r="BA41" s="8" t="s">
        <v>9</v>
      </c>
      <c r="BB41" s="8" t="s">
        <v>109</v>
      </c>
      <c r="BE41" s="12" t="s">
        <v>24</v>
      </c>
      <c r="BF41" s="11">
        <f>AU7</f>
        <v>17</v>
      </c>
      <c r="BG41" s="10">
        <f>AV7</f>
        <v>23</v>
      </c>
      <c r="BH41" s="9" t="s">
        <v>127</v>
      </c>
      <c r="BI41" s="8" t="s">
        <v>124</v>
      </c>
      <c r="BJ41" s="8"/>
      <c r="BK41" s="32"/>
      <c r="BL41" s="8"/>
      <c r="BM41" s="31"/>
    </row>
    <row r="42" spans="2:65" ht="20">
      <c r="B42" s="12" t="s">
        <v>73</v>
      </c>
      <c r="C42" s="11">
        <f>'AL CENTRAL 2024'!E124</f>
        <v>22</v>
      </c>
      <c r="D42" s="10">
        <f>'AL CENTRAL 2024'!F124</f>
        <v>18</v>
      </c>
      <c r="E42" s="18">
        <v>8</v>
      </c>
      <c r="F42" s="11">
        <f>'AL CENTRAL 2024'!I111</f>
        <v>165</v>
      </c>
      <c r="G42" s="10">
        <f>'AL CENTRAL 2024'!J124</f>
        <v>175</v>
      </c>
      <c r="H42" s="17"/>
      <c r="I42" s="7"/>
      <c r="J42" s="7"/>
      <c r="M42" s="12" t="s">
        <v>89</v>
      </c>
      <c r="N42" s="11">
        <f>'AL WEST 2024'!E124</f>
        <v>16</v>
      </c>
      <c r="O42" s="10">
        <f>'AL WEST 2024'!F124</f>
        <v>24</v>
      </c>
      <c r="P42" s="9" t="s">
        <v>129</v>
      </c>
      <c r="Q42" s="8" t="s">
        <v>124</v>
      </c>
      <c r="R42" s="8"/>
      <c r="S42" s="28"/>
      <c r="T42" s="7"/>
      <c r="U42" s="27"/>
      <c r="X42" s="12" t="s">
        <v>74</v>
      </c>
      <c r="Y42" s="11">
        <v>21</v>
      </c>
      <c r="Z42" s="10">
        <v>19</v>
      </c>
      <c r="AA42" s="18">
        <v>8</v>
      </c>
      <c r="AB42" s="11">
        <v>193</v>
      </c>
      <c r="AC42" s="10">
        <v>178</v>
      </c>
      <c r="AD42" s="26" t="s">
        <v>9</v>
      </c>
      <c r="AE42" s="8" t="s">
        <v>109</v>
      </c>
      <c r="AF42" s="8"/>
      <c r="AI42" s="12" t="s">
        <v>76</v>
      </c>
      <c r="AJ42" s="11">
        <v>16</v>
      </c>
      <c r="AK42" s="10">
        <v>24</v>
      </c>
      <c r="AL42" s="9" t="s">
        <v>128</v>
      </c>
      <c r="AM42" s="8" t="s">
        <v>124</v>
      </c>
      <c r="AN42" s="8"/>
      <c r="AO42" s="28"/>
      <c r="AP42" s="7"/>
      <c r="AQ42" s="27"/>
      <c r="AT42" s="12" t="s">
        <v>72</v>
      </c>
      <c r="AU42" s="11">
        <f>'NL CENTRAL 2024'!BC124</f>
        <v>22</v>
      </c>
      <c r="AV42" s="10">
        <f>'NL CENTRAL 2024'!BD124</f>
        <v>18</v>
      </c>
      <c r="AW42" s="18">
        <v>5</v>
      </c>
      <c r="AX42" s="11">
        <f>'NL CENTRAL 2024'!BG111</f>
        <v>170</v>
      </c>
      <c r="AY42" s="10">
        <f>'NL CENTRAL 2024'!BH124</f>
        <v>180</v>
      </c>
      <c r="AZ42" s="385" t="s">
        <v>9</v>
      </c>
      <c r="BA42" s="8" t="s">
        <v>109</v>
      </c>
      <c r="BB42" s="8"/>
      <c r="BE42" s="12" t="s">
        <v>57</v>
      </c>
      <c r="BF42" s="11">
        <f>AU7</f>
        <v>17</v>
      </c>
      <c r="BG42" s="10">
        <f>AV7</f>
        <v>23</v>
      </c>
      <c r="BH42" s="9" t="s">
        <v>128</v>
      </c>
      <c r="BI42" s="8" t="s">
        <v>124</v>
      </c>
      <c r="BJ42" s="8"/>
      <c r="BK42" s="32"/>
      <c r="BL42" s="8"/>
      <c r="BM42" s="31"/>
    </row>
    <row r="43" spans="2:65" ht="20">
      <c r="B43" s="12" t="s">
        <v>90</v>
      </c>
      <c r="C43" s="11">
        <f>'NL WEST 2024'!E155</f>
        <v>21</v>
      </c>
      <c r="D43" s="10">
        <f>'NL WEST 2024'!F155</f>
        <v>19</v>
      </c>
      <c r="E43" s="18">
        <v>9</v>
      </c>
      <c r="F43" s="11">
        <f>'NL WEST 2024'!I142</f>
        <v>220</v>
      </c>
      <c r="G43" s="10">
        <f>'NL WEST 2024'!J155</f>
        <v>166</v>
      </c>
      <c r="H43" s="17"/>
      <c r="I43" s="7"/>
      <c r="J43" s="7"/>
      <c r="M43" s="12" t="s">
        <v>91</v>
      </c>
      <c r="N43" s="11">
        <f>'AL WEST 2024'!E155</f>
        <v>16</v>
      </c>
      <c r="O43" s="10">
        <f>'AL WEST 2024'!F155</f>
        <v>24</v>
      </c>
      <c r="P43" s="9" t="s">
        <v>129</v>
      </c>
      <c r="Q43" s="8" t="s">
        <v>124</v>
      </c>
      <c r="R43" s="8"/>
      <c r="S43" s="28"/>
      <c r="T43" s="7"/>
      <c r="U43" s="27"/>
      <c r="X43" s="12" t="s">
        <v>88</v>
      </c>
      <c r="Y43" s="11">
        <v>21</v>
      </c>
      <c r="Z43" s="10">
        <v>19</v>
      </c>
      <c r="AA43" s="18">
        <v>8</v>
      </c>
      <c r="AB43" s="11">
        <v>140</v>
      </c>
      <c r="AC43" s="10">
        <v>153</v>
      </c>
      <c r="AD43" s="26"/>
      <c r="AE43" s="8"/>
      <c r="AF43" s="8"/>
      <c r="AI43" s="12" t="s">
        <v>92</v>
      </c>
      <c r="AJ43" s="11">
        <v>15</v>
      </c>
      <c r="AK43" s="10">
        <v>25</v>
      </c>
      <c r="AL43" s="9" t="s">
        <v>130</v>
      </c>
      <c r="AM43" s="8" t="s">
        <v>124</v>
      </c>
      <c r="AN43" s="8"/>
      <c r="AO43" s="28"/>
      <c r="AP43" s="7"/>
      <c r="AQ43" s="27"/>
      <c r="AT43" s="12" t="s">
        <v>74</v>
      </c>
      <c r="AU43" s="11">
        <f>AU15</f>
        <v>21</v>
      </c>
      <c r="AV43" s="10">
        <f>AV15</f>
        <v>19</v>
      </c>
      <c r="AW43" s="18">
        <v>6</v>
      </c>
      <c r="AX43" s="11">
        <f>AX15</f>
        <v>223</v>
      </c>
      <c r="AY43" s="10">
        <f>AY15</f>
        <v>178</v>
      </c>
      <c r="AZ43" s="385"/>
      <c r="BA43" s="8"/>
      <c r="BB43" s="8"/>
      <c r="BE43" s="12" t="s">
        <v>43</v>
      </c>
      <c r="BF43" s="11">
        <f>AU8</f>
        <v>14</v>
      </c>
      <c r="BG43" s="10">
        <f>AV8</f>
        <v>26</v>
      </c>
      <c r="BH43" s="9" t="s">
        <v>131</v>
      </c>
      <c r="BI43" s="8" t="s">
        <v>124</v>
      </c>
      <c r="BJ43" s="8"/>
      <c r="BK43" s="32"/>
      <c r="BL43" s="8"/>
      <c r="BM43" s="31"/>
    </row>
    <row r="44" spans="2:65" ht="20">
      <c r="B44" s="12" t="s">
        <v>77</v>
      </c>
      <c r="C44" s="11">
        <f>'AL CENTRAL 2024'!E93</f>
        <v>21</v>
      </c>
      <c r="D44" s="10">
        <f>'AL CENTRAL 2024'!F93</f>
        <v>19</v>
      </c>
      <c r="E44" s="18">
        <v>9</v>
      </c>
      <c r="F44" s="11">
        <f>'AL CENTRAL 2024'!I80</f>
        <v>192</v>
      </c>
      <c r="G44" s="10">
        <f>'AL CENTRAL 2024'!J93</f>
        <v>178</v>
      </c>
      <c r="H44" s="17"/>
      <c r="I44" s="7"/>
      <c r="J44" s="7"/>
      <c r="M44" s="12" t="s">
        <v>57</v>
      </c>
      <c r="N44" s="11">
        <f>'AL EAST 2024'!E155</f>
        <v>15</v>
      </c>
      <c r="O44" s="10">
        <f>'AL EAST 2024'!F155</f>
        <v>25</v>
      </c>
      <c r="P44" s="9" t="s">
        <v>131</v>
      </c>
      <c r="Q44" s="8" t="s">
        <v>124</v>
      </c>
      <c r="R44" s="8"/>
      <c r="S44" s="28"/>
      <c r="T44" s="7"/>
      <c r="U44" s="27"/>
      <c r="X44" s="12" t="s">
        <v>17</v>
      </c>
      <c r="Y44" s="11">
        <v>21</v>
      </c>
      <c r="Z44" s="10">
        <v>19</v>
      </c>
      <c r="AA44" s="18">
        <v>8</v>
      </c>
      <c r="AB44" s="30">
        <v>170</v>
      </c>
      <c r="AC44" s="29">
        <v>146</v>
      </c>
      <c r="AD44" s="26"/>
      <c r="AE44" s="8"/>
      <c r="AF44" s="8"/>
      <c r="AI44" s="12" t="s">
        <v>91</v>
      </c>
      <c r="AJ44" s="11">
        <v>14</v>
      </c>
      <c r="AK44" s="10">
        <v>26</v>
      </c>
      <c r="AL44" s="9" t="s">
        <v>129</v>
      </c>
      <c r="AM44" s="8" t="s">
        <v>124</v>
      </c>
      <c r="AN44" s="8"/>
      <c r="AO44" s="28"/>
      <c r="AP44" s="7"/>
      <c r="AQ44" s="27"/>
      <c r="AT44" s="12" t="s">
        <v>28</v>
      </c>
      <c r="AU44" s="11">
        <f>'NL EAST 2024'!BC93</f>
        <v>21</v>
      </c>
      <c r="AV44" s="10">
        <f>'NL EAST 2024'!BD93</f>
        <v>19</v>
      </c>
      <c r="AW44" s="18">
        <v>6</v>
      </c>
      <c r="AX44" s="11">
        <f>'NL EAST 2024'!BG80</f>
        <v>165</v>
      </c>
      <c r="AY44" s="10">
        <f>'NL EAST 2024'!BH93</f>
        <v>174</v>
      </c>
      <c r="AZ44" s="385"/>
      <c r="BA44" s="8"/>
      <c r="BB44" s="8"/>
      <c r="BE44" s="12" t="s">
        <v>92</v>
      </c>
      <c r="BF44" s="11">
        <f>AU26</f>
        <v>13</v>
      </c>
      <c r="BG44" s="10">
        <f>AV26</f>
        <v>27</v>
      </c>
      <c r="BH44" s="9" t="s">
        <v>132</v>
      </c>
      <c r="BI44" s="8" t="s">
        <v>124</v>
      </c>
      <c r="BJ44" s="8"/>
      <c r="BK44" s="32"/>
      <c r="BL44" s="8"/>
      <c r="BM44" s="31"/>
    </row>
    <row r="45" spans="2:65" ht="20">
      <c r="B45" s="12" t="s">
        <v>86</v>
      </c>
      <c r="C45" s="11">
        <f>'NL WEST 2024'!E31</f>
        <v>21</v>
      </c>
      <c r="D45" s="10">
        <f>'NL WEST 2024'!F31</f>
        <v>19</v>
      </c>
      <c r="E45" s="18">
        <v>9</v>
      </c>
      <c r="F45" s="11">
        <f>'NL WEST 2024'!I18</f>
        <v>151</v>
      </c>
      <c r="G45" s="10">
        <f>'NL WEST 2024'!J31</f>
        <v>162</v>
      </c>
      <c r="H45" s="26"/>
      <c r="I45" s="8"/>
      <c r="J45" s="8"/>
      <c r="M45" s="6" t="s">
        <v>92</v>
      </c>
      <c r="N45" s="5">
        <f>'AL WEST 2024'!E93</f>
        <v>15</v>
      </c>
      <c r="O45" s="4">
        <f>'AL WEST 2024'!F93</f>
        <v>25</v>
      </c>
      <c r="P45" s="3" t="s">
        <v>131</v>
      </c>
      <c r="Q45" s="2" t="s">
        <v>124</v>
      </c>
      <c r="R45" s="2"/>
      <c r="S45" s="25"/>
      <c r="T45" s="1"/>
      <c r="U45" s="24"/>
      <c r="X45" s="12" t="s">
        <v>57</v>
      </c>
      <c r="Y45" s="11">
        <v>21</v>
      </c>
      <c r="Z45" s="10">
        <v>19</v>
      </c>
      <c r="AA45" s="18">
        <v>8</v>
      </c>
      <c r="AB45" s="11">
        <v>169</v>
      </c>
      <c r="AC45" s="10">
        <v>137</v>
      </c>
      <c r="AD45" s="26"/>
      <c r="AE45" s="8"/>
      <c r="AF45" s="8"/>
      <c r="AI45" s="6" t="s">
        <v>77</v>
      </c>
      <c r="AJ45" s="5">
        <v>14</v>
      </c>
      <c r="AK45" s="4">
        <v>26</v>
      </c>
      <c r="AL45" s="3" t="s">
        <v>129</v>
      </c>
      <c r="AM45" s="2" t="s">
        <v>124</v>
      </c>
      <c r="AN45" s="2"/>
      <c r="AO45" s="25"/>
      <c r="AP45" s="1"/>
      <c r="AQ45" s="24"/>
      <c r="AT45" s="12" t="s">
        <v>84</v>
      </c>
      <c r="AU45" s="11">
        <f>'NL WEST 2024'!BC62</f>
        <v>21</v>
      </c>
      <c r="AV45" s="10">
        <f>'NL WEST 2024'!BD62</f>
        <v>19</v>
      </c>
      <c r="AW45" s="18">
        <v>6</v>
      </c>
      <c r="AX45" s="11">
        <f>'NL WEST 2024'!BG49</f>
        <v>142</v>
      </c>
      <c r="AY45" s="10">
        <f>'NL WEST 2024'!BH62</f>
        <v>143</v>
      </c>
      <c r="AZ45" s="385"/>
      <c r="BA45" s="8"/>
      <c r="BB45" s="8"/>
      <c r="BE45" s="6" t="s">
        <v>77</v>
      </c>
      <c r="BF45" s="5">
        <f>AU17</f>
        <v>12</v>
      </c>
      <c r="BG45" s="4">
        <f>AV17</f>
        <v>28</v>
      </c>
      <c r="BH45" s="3" t="s">
        <v>133</v>
      </c>
      <c r="BI45" s="2" t="s">
        <v>124</v>
      </c>
      <c r="BJ45" s="2"/>
      <c r="BK45" s="153"/>
      <c r="BL45" s="2"/>
      <c r="BM45" s="154"/>
    </row>
    <row r="46" spans="2:65" ht="20">
      <c r="B46" s="12" t="s">
        <v>76</v>
      </c>
      <c r="C46" s="11">
        <f>'AL CENTRAL 2024'!E155</f>
        <v>20</v>
      </c>
      <c r="D46" s="10">
        <f>'AL CENTRAL 2024'!F155</f>
        <v>20</v>
      </c>
      <c r="E46" s="18">
        <v>10</v>
      </c>
      <c r="F46" s="11">
        <f>'AL CENTRAL 2024'!I142</f>
        <v>181</v>
      </c>
      <c r="G46" s="10">
        <f>'AL CENTRAL 2024'!J155</f>
        <v>174</v>
      </c>
      <c r="H46" s="17"/>
      <c r="I46" s="7"/>
      <c r="J46" s="7"/>
      <c r="M46" s="14"/>
      <c r="X46" s="12" t="s">
        <v>70</v>
      </c>
      <c r="Y46" s="11">
        <v>20</v>
      </c>
      <c r="Z46" s="10">
        <v>20</v>
      </c>
      <c r="AA46" s="18">
        <v>9</v>
      </c>
      <c r="AB46" s="11">
        <v>154</v>
      </c>
      <c r="AC46" s="10">
        <v>166</v>
      </c>
      <c r="AD46" s="17"/>
      <c r="AE46" s="7"/>
      <c r="AF46" s="7"/>
      <c r="AI46" s="14"/>
      <c r="AT46" s="12" t="s">
        <v>75</v>
      </c>
      <c r="AU46" s="11">
        <f>'NL CENTRAL 2024'!BC93</f>
        <v>20</v>
      </c>
      <c r="AV46" s="10">
        <f>'NL CENTRAL 2024'!BD93</f>
        <v>20</v>
      </c>
      <c r="AW46" s="18">
        <v>7</v>
      </c>
      <c r="AX46" s="11">
        <f>'NL CENTRAL 2024'!BG80</f>
        <v>170</v>
      </c>
      <c r="AY46" s="10">
        <f>'NL CENTRAL 2024'!BH93</f>
        <v>155</v>
      </c>
      <c r="AZ46" s="385"/>
      <c r="BA46" s="8"/>
      <c r="BB46" s="8"/>
      <c r="BE46" s="14"/>
    </row>
    <row r="47" spans="2:65" ht="20">
      <c r="B47" s="12" t="s">
        <v>70</v>
      </c>
      <c r="C47" s="11">
        <f>'NL CENTRAL 2024'!E31</f>
        <v>19</v>
      </c>
      <c r="D47" s="10">
        <f>'NL CENTRAL 2024'!F31</f>
        <v>21</v>
      </c>
      <c r="E47" s="18">
        <v>11</v>
      </c>
      <c r="F47" s="11">
        <f>'NL CENTRAL 2024'!I18</f>
        <v>157</v>
      </c>
      <c r="G47" s="10">
        <f>'NL CENTRAL 2024'!J31</f>
        <v>164</v>
      </c>
      <c r="H47" s="26" t="s">
        <v>109</v>
      </c>
      <c r="I47" s="7"/>
      <c r="J47" s="7"/>
      <c r="M47" s="23" t="s">
        <v>8</v>
      </c>
      <c r="N47" s="23" t="s">
        <v>9</v>
      </c>
      <c r="O47" s="23" t="s">
        <v>10</v>
      </c>
      <c r="P47" s="23" t="s">
        <v>11</v>
      </c>
      <c r="Q47" s="23" t="s">
        <v>107</v>
      </c>
      <c r="R47" s="23" t="s">
        <v>104</v>
      </c>
      <c r="S47" s="23" t="s">
        <v>105</v>
      </c>
      <c r="T47" s="23" t="s">
        <v>106</v>
      </c>
      <c r="U47" s="23" t="s">
        <v>15</v>
      </c>
      <c r="X47" s="12" t="s">
        <v>33</v>
      </c>
      <c r="Y47" s="11">
        <v>20</v>
      </c>
      <c r="Z47" s="10">
        <v>20</v>
      </c>
      <c r="AA47" s="18">
        <v>9</v>
      </c>
      <c r="AB47" s="11">
        <v>168</v>
      </c>
      <c r="AC47" s="10">
        <v>167</v>
      </c>
      <c r="AD47" s="17"/>
      <c r="AE47" s="7"/>
      <c r="AF47" s="7"/>
      <c r="AI47" s="23" t="s">
        <v>8</v>
      </c>
      <c r="AJ47" s="23" t="s">
        <v>9</v>
      </c>
      <c r="AK47" s="23" t="s">
        <v>10</v>
      </c>
      <c r="AL47" s="23" t="s">
        <v>11</v>
      </c>
      <c r="AM47" s="23" t="s">
        <v>107</v>
      </c>
      <c r="AN47" s="23" t="s">
        <v>104</v>
      </c>
      <c r="AO47" s="23" t="s">
        <v>105</v>
      </c>
      <c r="AP47" s="23" t="s">
        <v>106</v>
      </c>
      <c r="AQ47" s="23" t="s">
        <v>15</v>
      </c>
      <c r="AT47" s="12" t="s">
        <v>56</v>
      </c>
      <c r="AU47" s="11">
        <f>'NL EAST 2024'!BC124</f>
        <v>20</v>
      </c>
      <c r="AV47" s="10">
        <f>'NL EAST 2024'!BD124</f>
        <v>20</v>
      </c>
      <c r="AW47" s="18">
        <v>7</v>
      </c>
      <c r="AX47" s="11">
        <f>'NL EAST 2024'!BG111</f>
        <v>144</v>
      </c>
      <c r="AY47" s="10">
        <f>'NL EAST 2024'!BH124</f>
        <v>161</v>
      </c>
      <c r="AZ47" s="385"/>
      <c r="BA47" s="8"/>
      <c r="BB47" s="8"/>
      <c r="BE47" s="39" t="s">
        <v>8</v>
      </c>
      <c r="BF47" s="187" t="s">
        <v>9</v>
      </c>
      <c r="BG47" s="187" t="s">
        <v>10</v>
      </c>
      <c r="BH47" s="187" t="s">
        <v>11</v>
      </c>
      <c r="BI47" s="187" t="s">
        <v>107</v>
      </c>
      <c r="BJ47" s="187" t="s">
        <v>104</v>
      </c>
      <c r="BK47" s="187" t="s">
        <v>105</v>
      </c>
      <c r="BL47" s="187" t="s">
        <v>106</v>
      </c>
      <c r="BM47" s="189" t="s">
        <v>15</v>
      </c>
    </row>
    <row r="48" spans="2:65" ht="20">
      <c r="B48" s="12" t="s">
        <v>72</v>
      </c>
      <c r="C48" s="11">
        <f>'NL CENTRAL 2024'!E124</f>
        <v>19</v>
      </c>
      <c r="D48" s="10">
        <f>'NL CENTRAL 2024'!F124</f>
        <v>21</v>
      </c>
      <c r="E48" s="18">
        <v>11</v>
      </c>
      <c r="F48" s="11">
        <f>'NL CENTRAL 2024'!I111</f>
        <v>164</v>
      </c>
      <c r="G48" s="10">
        <f>'NL CENTRAL 2024'!J124</f>
        <v>131</v>
      </c>
      <c r="H48" s="17"/>
      <c r="I48" s="7"/>
      <c r="J48" s="7"/>
      <c r="M48" s="383" t="s">
        <v>22</v>
      </c>
      <c r="N48" s="22">
        <f>'NL EAST 2024'!E62</f>
        <v>30</v>
      </c>
      <c r="O48" s="21">
        <f>'NL EAST 2024'!F62</f>
        <v>10</v>
      </c>
      <c r="P48" s="20" t="s">
        <v>134</v>
      </c>
      <c r="Q48" s="19" t="s">
        <v>111</v>
      </c>
      <c r="R48" s="8" t="s">
        <v>108</v>
      </c>
      <c r="S48" s="8" t="s">
        <v>109</v>
      </c>
      <c r="T48" s="8"/>
      <c r="U48" s="8"/>
      <c r="X48" s="12" t="s">
        <v>83</v>
      </c>
      <c r="Y48" s="11">
        <v>20</v>
      </c>
      <c r="Z48" s="10">
        <v>20</v>
      </c>
      <c r="AA48" s="18">
        <v>9</v>
      </c>
      <c r="AB48" s="11">
        <v>175</v>
      </c>
      <c r="AC48" s="10">
        <v>167</v>
      </c>
      <c r="AD48" s="17"/>
      <c r="AE48" s="7"/>
      <c r="AF48" s="7"/>
      <c r="AI48" s="383" t="s">
        <v>86</v>
      </c>
      <c r="AJ48" s="22">
        <v>26</v>
      </c>
      <c r="AK48" s="21">
        <v>14</v>
      </c>
      <c r="AL48" s="20" t="s">
        <v>117</v>
      </c>
      <c r="AM48" s="19" t="s">
        <v>111</v>
      </c>
      <c r="AN48" s="8" t="s">
        <v>108</v>
      </c>
      <c r="AO48" s="8" t="s">
        <v>9</v>
      </c>
      <c r="AP48" s="8" t="s">
        <v>9</v>
      </c>
      <c r="AQ48" s="8" t="s">
        <v>109</v>
      </c>
      <c r="AT48" s="12" t="s">
        <v>85</v>
      </c>
      <c r="AU48" s="11">
        <f>AU24</f>
        <v>20</v>
      </c>
      <c r="AV48" s="10">
        <f>AV24</f>
        <v>20</v>
      </c>
      <c r="AW48" s="18">
        <v>7</v>
      </c>
      <c r="AX48" s="11">
        <f>AX24</f>
        <v>154</v>
      </c>
      <c r="AY48" s="10">
        <f>AY24</f>
        <v>152</v>
      </c>
      <c r="AZ48" s="385"/>
      <c r="BA48" s="8"/>
      <c r="BB48" s="8"/>
      <c r="BE48" s="383" t="s">
        <v>86</v>
      </c>
      <c r="BF48" s="22">
        <v>27</v>
      </c>
      <c r="BG48" s="21">
        <v>13</v>
      </c>
      <c r="BH48" s="20" t="s">
        <v>114</v>
      </c>
      <c r="BI48" s="19" t="s">
        <v>111</v>
      </c>
      <c r="BJ48" s="142" t="s">
        <v>108</v>
      </c>
      <c r="BK48" s="19" t="s">
        <v>9</v>
      </c>
      <c r="BL48" s="34" t="s">
        <v>109</v>
      </c>
      <c r="BM48" s="19"/>
    </row>
    <row r="49" spans="2:65" ht="20">
      <c r="B49" s="12" t="s">
        <v>74</v>
      </c>
      <c r="C49" s="11">
        <f>'AL CENTRAL 2024'!E62</f>
        <v>18</v>
      </c>
      <c r="D49" s="10">
        <f>'AL CENTRAL 2024'!F62</f>
        <v>22</v>
      </c>
      <c r="E49" s="18">
        <v>12</v>
      </c>
      <c r="F49" s="11">
        <f>'AL CENTRAL 2024'!I49</f>
        <v>172</v>
      </c>
      <c r="G49" s="10">
        <f>'AL CENTRAL 2024'!J62</f>
        <v>208</v>
      </c>
      <c r="H49" s="26"/>
      <c r="I49" s="8"/>
      <c r="J49" s="8"/>
      <c r="M49" s="387" t="s">
        <v>84</v>
      </c>
      <c r="N49" s="544">
        <f>'NL WEST 2024'!E62</f>
        <v>25</v>
      </c>
      <c r="O49" s="545">
        <f>'NL WEST 2024'!F62</f>
        <v>15</v>
      </c>
      <c r="P49" s="558" t="s">
        <v>115</v>
      </c>
      <c r="Q49" s="548" t="s">
        <v>116</v>
      </c>
      <c r="R49" s="548" t="s">
        <v>108</v>
      </c>
      <c r="S49" s="548" t="s">
        <v>9</v>
      </c>
      <c r="T49" s="548" t="s">
        <v>9</v>
      </c>
      <c r="U49" s="548" t="s">
        <v>112</v>
      </c>
      <c r="X49" s="12" t="s">
        <v>89</v>
      </c>
      <c r="Y49" s="11">
        <v>19</v>
      </c>
      <c r="Z49" s="10">
        <v>21</v>
      </c>
      <c r="AA49" s="18">
        <v>10</v>
      </c>
      <c r="AB49" s="11">
        <v>159</v>
      </c>
      <c r="AC49" s="10">
        <v>185</v>
      </c>
      <c r="AD49" s="17"/>
      <c r="AE49" s="7"/>
      <c r="AF49" s="7"/>
      <c r="AI49" s="387" t="s">
        <v>28</v>
      </c>
      <c r="AJ49" s="11">
        <v>25</v>
      </c>
      <c r="AK49" s="10">
        <v>15</v>
      </c>
      <c r="AL49" s="9" t="s">
        <v>119</v>
      </c>
      <c r="AM49" s="8" t="s">
        <v>116</v>
      </c>
      <c r="AN49" s="8" t="s">
        <v>108</v>
      </c>
      <c r="AO49" s="8" t="s">
        <v>109</v>
      </c>
      <c r="AP49" s="8"/>
      <c r="AQ49" s="8"/>
      <c r="AT49" s="12" t="s">
        <v>73</v>
      </c>
      <c r="AU49" s="11">
        <f>AU16</f>
        <v>20</v>
      </c>
      <c r="AV49" s="10">
        <f>AV16</f>
        <v>20</v>
      </c>
      <c r="AW49" s="18">
        <v>7</v>
      </c>
      <c r="AX49" s="11">
        <f>AX16</f>
        <v>187</v>
      </c>
      <c r="AY49" s="10">
        <f>AY16</f>
        <v>187</v>
      </c>
      <c r="AZ49" s="385"/>
      <c r="BA49" s="8"/>
      <c r="BB49" s="8"/>
      <c r="BE49" s="386" t="s">
        <v>88</v>
      </c>
      <c r="BF49" s="11">
        <v>25</v>
      </c>
      <c r="BG49" s="10">
        <v>15</v>
      </c>
      <c r="BH49" s="9" t="s">
        <v>119</v>
      </c>
      <c r="BI49" s="8" t="s">
        <v>118</v>
      </c>
      <c r="BJ49" s="143" t="s">
        <v>109</v>
      </c>
      <c r="BK49" s="8"/>
      <c r="BL49" s="32"/>
      <c r="BM49" s="8"/>
    </row>
    <row r="50" spans="2:65" ht="20">
      <c r="B50" s="12" t="s">
        <v>71</v>
      </c>
      <c r="C50" s="11">
        <f>'NL CENTRAL 2024'!E62</f>
        <v>18</v>
      </c>
      <c r="D50" s="10">
        <f>'NL CENTRAL 2024'!F62</f>
        <v>22</v>
      </c>
      <c r="E50" s="18">
        <v>12</v>
      </c>
      <c r="F50" s="11">
        <f>'NL CENTRAL 2024'!I49</f>
        <v>134</v>
      </c>
      <c r="G50" s="10">
        <f>'NL CENTRAL 2024'!J62</f>
        <v>180</v>
      </c>
      <c r="H50" s="26"/>
      <c r="I50" s="8"/>
      <c r="J50" s="8"/>
      <c r="M50" s="386" t="s">
        <v>28</v>
      </c>
      <c r="N50" s="11">
        <f>'NL EAST 2024'!E93</f>
        <v>24</v>
      </c>
      <c r="O50" s="10">
        <f>'NL EAST 2024'!F93</f>
        <v>16</v>
      </c>
      <c r="P50" s="9" t="s">
        <v>115</v>
      </c>
      <c r="Q50" s="8" t="s">
        <v>118</v>
      </c>
      <c r="R50" s="8" t="s">
        <v>9</v>
      </c>
      <c r="S50" s="8" t="s">
        <v>9</v>
      </c>
      <c r="T50" s="8" t="s">
        <v>109</v>
      </c>
      <c r="U50" s="7"/>
      <c r="X50" s="12" t="s">
        <v>73</v>
      </c>
      <c r="Y50" s="11">
        <v>18</v>
      </c>
      <c r="Z50" s="10">
        <v>22</v>
      </c>
      <c r="AA50" s="18">
        <v>11</v>
      </c>
      <c r="AB50" s="11">
        <v>209</v>
      </c>
      <c r="AC50" s="10">
        <v>241</v>
      </c>
      <c r="AD50" s="17"/>
      <c r="AE50" s="7"/>
      <c r="AF50" s="7"/>
      <c r="AI50" s="387" t="s">
        <v>71</v>
      </c>
      <c r="AJ50" s="11">
        <v>25</v>
      </c>
      <c r="AK50" s="10">
        <v>15</v>
      </c>
      <c r="AL50" s="9" t="s">
        <v>119</v>
      </c>
      <c r="AM50" s="8" t="s">
        <v>120</v>
      </c>
      <c r="AN50" s="8" t="s">
        <v>109</v>
      </c>
      <c r="AO50" s="8"/>
      <c r="AP50" s="8"/>
      <c r="AQ50" s="8"/>
      <c r="AT50" s="12" t="s">
        <v>91</v>
      </c>
      <c r="AU50" s="11">
        <f>AU25</f>
        <v>19</v>
      </c>
      <c r="AV50" s="10">
        <f>AV25</f>
        <v>21</v>
      </c>
      <c r="AW50" s="18">
        <v>8</v>
      </c>
      <c r="AX50" s="11">
        <f>AX25</f>
        <v>181</v>
      </c>
      <c r="AY50" s="10">
        <f>AY25</f>
        <v>179</v>
      </c>
      <c r="AZ50" s="385"/>
      <c r="BA50" s="8"/>
      <c r="BB50" s="8"/>
      <c r="BE50" s="387" t="s">
        <v>33</v>
      </c>
      <c r="BF50" s="544">
        <v>23</v>
      </c>
      <c r="BG50" s="545">
        <v>17</v>
      </c>
      <c r="BH50" s="558" t="s">
        <v>115</v>
      </c>
      <c r="BI50" s="548" t="s">
        <v>116</v>
      </c>
      <c r="BJ50" s="513" t="s">
        <v>108</v>
      </c>
      <c r="BK50" s="548" t="s">
        <v>9</v>
      </c>
      <c r="BL50" s="502" t="s">
        <v>9</v>
      </c>
      <c r="BM50" s="548" t="s">
        <v>112</v>
      </c>
    </row>
    <row r="51" spans="2:65" ht="20">
      <c r="B51" s="12" t="s">
        <v>79</v>
      </c>
      <c r="C51" s="11">
        <f>'NL CENTRAL 2024'!E155</f>
        <v>18</v>
      </c>
      <c r="D51" s="10">
        <f>'NL CENTRAL 2024'!F155</f>
        <v>22</v>
      </c>
      <c r="E51" s="18">
        <v>12</v>
      </c>
      <c r="F51" s="11">
        <f>'NL CENTRAL 2024'!I142</f>
        <v>147</v>
      </c>
      <c r="G51" s="10">
        <f>'NL CENTRAL 2024'!J155</f>
        <v>161</v>
      </c>
      <c r="H51" s="17"/>
      <c r="I51" s="7"/>
      <c r="J51" s="7"/>
      <c r="M51" s="386" t="s">
        <v>88</v>
      </c>
      <c r="N51" s="11">
        <f>'NL WEST 2024'!E93</f>
        <v>23</v>
      </c>
      <c r="O51" s="10">
        <f>'NL WEST 2024'!F93</f>
        <v>17</v>
      </c>
      <c r="P51" s="9" t="s">
        <v>18</v>
      </c>
      <c r="Q51" s="8" t="s">
        <v>121</v>
      </c>
      <c r="R51" s="8" t="s">
        <v>109</v>
      </c>
      <c r="S51" s="7"/>
      <c r="T51" s="7"/>
      <c r="U51" s="7"/>
      <c r="X51" s="12" t="s">
        <v>72</v>
      </c>
      <c r="Y51" s="11">
        <v>18</v>
      </c>
      <c r="Z51" s="10">
        <v>22</v>
      </c>
      <c r="AA51" s="18">
        <v>11</v>
      </c>
      <c r="AB51" s="11">
        <v>162</v>
      </c>
      <c r="AC51" s="10">
        <v>163</v>
      </c>
      <c r="AD51" s="17"/>
      <c r="AE51" s="7"/>
      <c r="AF51" s="7"/>
      <c r="AI51" s="386" t="s">
        <v>84</v>
      </c>
      <c r="AJ51" s="11">
        <v>24</v>
      </c>
      <c r="AK51" s="10">
        <v>16</v>
      </c>
      <c r="AL51" s="9" t="s">
        <v>110</v>
      </c>
      <c r="AM51" s="8" t="s">
        <v>118</v>
      </c>
      <c r="AN51" s="8" t="s">
        <v>9</v>
      </c>
      <c r="AO51" s="8" t="s">
        <v>9</v>
      </c>
      <c r="AP51" s="8" t="s">
        <v>109</v>
      </c>
      <c r="AQ51" s="8"/>
      <c r="AT51" s="12" t="s">
        <v>24</v>
      </c>
      <c r="AU51" s="11">
        <f>AU6</f>
        <v>19</v>
      </c>
      <c r="AV51" s="10">
        <f>AV6</f>
        <v>21</v>
      </c>
      <c r="AW51" s="18">
        <v>8</v>
      </c>
      <c r="AX51" s="30">
        <f>AX6</f>
        <v>198</v>
      </c>
      <c r="AY51" s="10">
        <f>AY6</f>
        <v>179</v>
      </c>
      <c r="AZ51" s="385"/>
      <c r="BA51" s="8"/>
      <c r="BB51" s="8"/>
      <c r="BE51" s="387" t="s">
        <v>72</v>
      </c>
      <c r="BF51" s="11">
        <v>22</v>
      </c>
      <c r="BG51" s="10">
        <v>18</v>
      </c>
      <c r="BH51" s="9" t="s">
        <v>18</v>
      </c>
      <c r="BI51" s="8" t="s">
        <v>120</v>
      </c>
      <c r="BJ51" s="143" t="s">
        <v>9</v>
      </c>
      <c r="BK51" s="8" t="s">
        <v>109</v>
      </c>
      <c r="BL51" s="32"/>
      <c r="BM51" s="8"/>
    </row>
    <row r="52" spans="2:65" ht="20">
      <c r="B52" s="12" t="s">
        <v>52</v>
      </c>
      <c r="C52" s="11">
        <f>'NL EAST 2024'!E155</f>
        <v>17</v>
      </c>
      <c r="D52" s="10">
        <f>'NL EAST 2024'!F155</f>
        <v>23</v>
      </c>
      <c r="E52" s="18">
        <v>13</v>
      </c>
      <c r="F52" s="11">
        <f>'NL EAST 2024'!I142</f>
        <v>153</v>
      </c>
      <c r="G52" s="10">
        <f>'NL EAST 2024'!J155</f>
        <v>150</v>
      </c>
      <c r="H52" s="17"/>
      <c r="I52" s="7"/>
      <c r="J52" s="7"/>
      <c r="M52" s="386" t="s">
        <v>33</v>
      </c>
      <c r="N52" s="11">
        <f>'NL EAST 2024'!E31</f>
        <v>23</v>
      </c>
      <c r="O52" s="10">
        <f>'NL EAST 2024'!F31</f>
        <v>17</v>
      </c>
      <c r="P52" s="9" t="s">
        <v>18</v>
      </c>
      <c r="Q52" s="8" t="s">
        <v>122</v>
      </c>
      <c r="R52" s="8" t="s">
        <v>9</v>
      </c>
      <c r="S52" s="8" t="s">
        <v>109</v>
      </c>
      <c r="T52" s="7"/>
      <c r="U52" s="7"/>
      <c r="X52" s="12" t="s">
        <v>56</v>
      </c>
      <c r="Y52" s="11">
        <v>18</v>
      </c>
      <c r="Z52" s="10">
        <v>22</v>
      </c>
      <c r="AA52" s="18">
        <v>11</v>
      </c>
      <c r="AB52" s="11">
        <v>137</v>
      </c>
      <c r="AC52" s="10">
        <v>150</v>
      </c>
      <c r="AD52" s="17"/>
      <c r="AE52" s="7"/>
      <c r="AF52" s="7"/>
      <c r="AI52" s="386" t="s">
        <v>22</v>
      </c>
      <c r="AJ52" s="11">
        <v>23</v>
      </c>
      <c r="AK52" s="10">
        <v>17</v>
      </c>
      <c r="AL52" s="9" t="s">
        <v>115</v>
      </c>
      <c r="AM52" s="8" t="s">
        <v>121</v>
      </c>
      <c r="AN52" s="8" t="s">
        <v>109</v>
      </c>
      <c r="AO52" s="8"/>
      <c r="AP52" s="8"/>
      <c r="AQ52" s="8"/>
      <c r="AT52" s="12" t="s">
        <v>94</v>
      </c>
      <c r="AU52" s="11">
        <f>'NL WEST 2024'!BC124</f>
        <v>18</v>
      </c>
      <c r="AV52" s="10">
        <f>'NL WEST 2024'!BD124</f>
        <v>22</v>
      </c>
      <c r="AW52" s="18">
        <v>9</v>
      </c>
      <c r="AX52" s="11">
        <f>'NL WEST 2024'!BG111</f>
        <v>189</v>
      </c>
      <c r="AY52" s="10">
        <f>'NL WEST 2024'!BH124</f>
        <v>221</v>
      </c>
      <c r="AZ52" s="385"/>
      <c r="BA52" s="8"/>
      <c r="BB52" s="8"/>
      <c r="BE52" s="386" t="s">
        <v>70</v>
      </c>
      <c r="BF52" s="11">
        <v>22</v>
      </c>
      <c r="BG52" s="10">
        <v>18</v>
      </c>
      <c r="BH52" s="9" t="s">
        <v>18</v>
      </c>
      <c r="BI52" s="8" t="s">
        <v>121</v>
      </c>
      <c r="BJ52" s="143" t="s">
        <v>9</v>
      </c>
      <c r="BK52" s="8" t="s">
        <v>109</v>
      </c>
      <c r="BL52" s="32"/>
      <c r="BM52" s="8"/>
    </row>
    <row r="53" spans="2:65" ht="20">
      <c r="B53" s="12" t="s">
        <v>24</v>
      </c>
      <c r="C53" s="11">
        <f>'AL EAST 2024'!E93</f>
        <v>16</v>
      </c>
      <c r="D53" s="10">
        <f>'AL EAST 2024'!F93</f>
        <v>24</v>
      </c>
      <c r="E53" s="18">
        <v>14</v>
      </c>
      <c r="F53" s="11">
        <f>'AL EAST 2024'!I80</f>
        <v>149</v>
      </c>
      <c r="G53" s="10">
        <f>'AL EAST 2024'!J93</f>
        <v>194</v>
      </c>
      <c r="H53" s="26"/>
      <c r="I53" s="8"/>
      <c r="J53" s="8"/>
      <c r="M53" s="12" t="s">
        <v>90</v>
      </c>
      <c r="N53" s="11">
        <f>'NL WEST 2024'!E155</f>
        <v>21</v>
      </c>
      <c r="O53" s="10">
        <f>'NL WEST 2024'!F155</f>
        <v>19</v>
      </c>
      <c r="P53" s="9" t="s">
        <v>18</v>
      </c>
      <c r="Q53" s="8" t="s">
        <v>124</v>
      </c>
      <c r="R53" s="7"/>
      <c r="S53" s="7"/>
      <c r="T53" s="7"/>
      <c r="U53" s="7"/>
      <c r="X53" s="12" t="s">
        <v>52</v>
      </c>
      <c r="Y53" s="11">
        <v>17</v>
      </c>
      <c r="Z53" s="10">
        <v>23</v>
      </c>
      <c r="AA53" s="18">
        <v>12</v>
      </c>
      <c r="AB53" s="11">
        <v>129</v>
      </c>
      <c r="AC53" s="10">
        <v>169</v>
      </c>
      <c r="AD53" s="17"/>
      <c r="AE53" s="7"/>
      <c r="AF53" s="7"/>
      <c r="AI53" s="386" t="s">
        <v>75</v>
      </c>
      <c r="AJ53" s="11">
        <v>22</v>
      </c>
      <c r="AK53" s="10">
        <v>18</v>
      </c>
      <c r="AL53" s="9" t="s">
        <v>18</v>
      </c>
      <c r="AM53" s="8" t="s">
        <v>122</v>
      </c>
      <c r="AN53" s="8" t="s">
        <v>9</v>
      </c>
      <c r="AO53" s="8" t="s">
        <v>109</v>
      </c>
      <c r="AP53" s="8"/>
      <c r="AQ53" s="8"/>
      <c r="AT53" s="12" t="s">
        <v>52</v>
      </c>
      <c r="AU53" s="11">
        <f>'NL EAST 2024'!BC155</f>
        <v>17</v>
      </c>
      <c r="AV53" s="10">
        <f>'NL EAST 2024'!BD155</f>
        <v>23</v>
      </c>
      <c r="AW53" s="18">
        <v>10</v>
      </c>
      <c r="AX53" s="11">
        <f>'NL EAST 2024'!BG142</f>
        <v>136</v>
      </c>
      <c r="AY53" s="10">
        <f>'NL EAST 2024'!BH155</f>
        <v>167</v>
      </c>
      <c r="AZ53" s="385"/>
      <c r="BA53" s="8"/>
      <c r="BB53" s="8"/>
      <c r="BE53" s="386" t="s">
        <v>22</v>
      </c>
      <c r="BF53" s="11">
        <v>22</v>
      </c>
      <c r="BG53" s="10">
        <v>18</v>
      </c>
      <c r="BH53" s="9" t="s">
        <v>18</v>
      </c>
      <c r="BI53" s="8" t="s">
        <v>122</v>
      </c>
      <c r="BJ53" s="143" t="s">
        <v>109</v>
      </c>
      <c r="BK53" s="8"/>
      <c r="BL53" s="32"/>
      <c r="BM53" s="8"/>
    </row>
    <row r="54" spans="2:65" ht="20">
      <c r="B54" s="12" t="s">
        <v>89</v>
      </c>
      <c r="C54" s="11">
        <f>'AL WEST 2024'!E124</f>
        <v>16</v>
      </c>
      <c r="D54" s="10">
        <f>'AL WEST 2024'!F124</f>
        <v>24</v>
      </c>
      <c r="E54" s="18">
        <v>14</v>
      </c>
      <c r="F54" s="11">
        <f>'AL WEST 2024'!I111</f>
        <v>178</v>
      </c>
      <c r="G54" s="10">
        <f>'AL WEST 2024'!J124</f>
        <v>231</v>
      </c>
      <c r="H54" s="17"/>
      <c r="I54" s="7"/>
      <c r="J54" s="7"/>
      <c r="M54" s="12" t="s">
        <v>86</v>
      </c>
      <c r="N54" s="11">
        <f>'NL WEST 2024'!E31</f>
        <v>21</v>
      </c>
      <c r="O54" s="10">
        <f>'NL WEST 2024'!F31</f>
        <v>19</v>
      </c>
      <c r="P54" s="9" t="s">
        <v>123</v>
      </c>
      <c r="Q54" s="8" t="s">
        <v>124</v>
      </c>
      <c r="R54" s="7"/>
      <c r="S54" s="8"/>
      <c r="T54" s="8"/>
      <c r="U54" s="8"/>
      <c r="X54" s="12" t="s">
        <v>94</v>
      </c>
      <c r="Y54" s="11">
        <v>16</v>
      </c>
      <c r="Z54" s="10">
        <v>24</v>
      </c>
      <c r="AA54" s="18">
        <v>13</v>
      </c>
      <c r="AB54" s="11">
        <v>155</v>
      </c>
      <c r="AC54" s="10">
        <v>208</v>
      </c>
      <c r="AD54" s="17"/>
      <c r="AE54" s="7"/>
      <c r="AF54" s="7"/>
      <c r="AI54" s="12" t="s">
        <v>88</v>
      </c>
      <c r="AJ54" s="11">
        <v>21</v>
      </c>
      <c r="AK54" s="10">
        <v>19</v>
      </c>
      <c r="AL54" s="9" t="s">
        <v>123</v>
      </c>
      <c r="AM54" s="8" t="s">
        <v>124</v>
      </c>
      <c r="AN54" s="7"/>
      <c r="AO54" s="7"/>
      <c r="AP54" s="7"/>
      <c r="AQ54" s="7"/>
      <c r="AT54" s="12" t="s">
        <v>57</v>
      </c>
      <c r="AU54" s="11">
        <f>AU7</f>
        <v>17</v>
      </c>
      <c r="AV54" s="10">
        <f>AV7</f>
        <v>23</v>
      </c>
      <c r="AW54" s="18">
        <v>10</v>
      </c>
      <c r="AX54" s="30">
        <f>AX7</f>
        <v>183</v>
      </c>
      <c r="AY54" s="10">
        <f>AY7</f>
        <v>184</v>
      </c>
      <c r="AZ54" s="385"/>
      <c r="BA54" s="8"/>
      <c r="BB54" s="8"/>
      <c r="BE54" s="12" t="s">
        <v>84</v>
      </c>
      <c r="BF54" s="11">
        <v>21</v>
      </c>
      <c r="BG54" s="10">
        <v>19</v>
      </c>
      <c r="BH54" s="9" t="s">
        <v>123</v>
      </c>
      <c r="BI54" s="8" t="s">
        <v>124</v>
      </c>
      <c r="BJ54" s="143"/>
      <c r="BK54" s="8"/>
      <c r="BL54" s="32"/>
      <c r="BM54" s="8"/>
    </row>
    <row r="55" spans="2:65" ht="20">
      <c r="B55" s="12" t="s">
        <v>91</v>
      </c>
      <c r="C55" s="11">
        <f>'AL WEST 2024'!E155</f>
        <v>16</v>
      </c>
      <c r="D55" s="10">
        <f>'AL WEST 2024'!F155</f>
        <v>24</v>
      </c>
      <c r="E55" s="18">
        <v>14</v>
      </c>
      <c r="F55" s="11">
        <f>'AL WEST 2024'!I142</f>
        <v>181</v>
      </c>
      <c r="G55" s="10">
        <f>'AL WEST 2024'!J155</f>
        <v>208</v>
      </c>
      <c r="H55" s="17"/>
      <c r="I55" s="7"/>
      <c r="J55" s="7"/>
      <c r="M55" s="387" t="s">
        <v>70</v>
      </c>
      <c r="N55" s="11">
        <f>'NL CENTRAL 2024'!E31</f>
        <v>19</v>
      </c>
      <c r="O55" s="10">
        <f>'NL CENTRAL 2024'!F31</f>
        <v>21</v>
      </c>
      <c r="P55" s="9" t="s">
        <v>126</v>
      </c>
      <c r="Q55" s="8" t="s">
        <v>120</v>
      </c>
      <c r="R55" s="8" t="s">
        <v>109</v>
      </c>
      <c r="S55" s="7"/>
      <c r="T55" s="7"/>
      <c r="U55" s="7"/>
      <c r="X55" s="12" t="s">
        <v>76</v>
      </c>
      <c r="Y55" s="11">
        <v>16</v>
      </c>
      <c r="Z55" s="10">
        <v>24</v>
      </c>
      <c r="AA55" s="18">
        <v>13</v>
      </c>
      <c r="AB55" s="11">
        <v>171</v>
      </c>
      <c r="AC55" s="10">
        <v>165</v>
      </c>
      <c r="AD55" s="17"/>
      <c r="AE55" s="7"/>
      <c r="AF55" s="7"/>
      <c r="AI55" s="12" t="s">
        <v>70</v>
      </c>
      <c r="AJ55" s="11">
        <v>20</v>
      </c>
      <c r="AK55" s="10">
        <v>20</v>
      </c>
      <c r="AL55" s="9" t="s">
        <v>126</v>
      </c>
      <c r="AM55" s="8" t="s">
        <v>124</v>
      </c>
      <c r="AN55" s="7"/>
      <c r="AO55" s="7"/>
      <c r="AP55" s="7"/>
      <c r="AQ55" s="7"/>
      <c r="AT55" s="12" t="s">
        <v>71</v>
      </c>
      <c r="AU55" s="11">
        <f>'NL CENTRAL 2024'!BC62</f>
        <v>17</v>
      </c>
      <c r="AV55" s="10">
        <f>'NL CENTRAL 2024'!BD62</f>
        <v>23</v>
      </c>
      <c r="AW55" s="18">
        <v>10</v>
      </c>
      <c r="AX55" s="11">
        <f>'NL CENTRAL 2024'!BG49</f>
        <v>167</v>
      </c>
      <c r="AY55" s="10">
        <f>'NL CENTRAL 2024'!BH62</f>
        <v>190</v>
      </c>
      <c r="AZ55" s="385"/>
      <c r="BA55" s="8"/>
      <c r="BB55" s="8"/>
      <c r="BE55" s="12" t="s">
        <v>28</v>
      </c>
      <c r="BF55" s="11">
        <v>21</v>
      </c>
      <c r="BG55" s="10">
        <v>19</v>
      </c>
      <c r="BH55" s="9" t="s">
        <v>123</v>
      </c>
      <c r="BI55" s="8" t="s">
        <v>124</v>
      </c>
      <c r="BJ55" s="143"/>
      <c r="BK55" s="8"/>
      <c r="BL55" s="32"/>
      <c r="BM55" s="8"/>
    </row>
    <row r="56" spans="2:65" ht="20">
      <c r="B56" s="12" t="s">
        <v>92</v>
      </c>
      <c r="C56" s="11">
        <f>'AL WEST 2024'!E93</f>
        <v>15</v>
      </c>
      <c r="D56" s="10">
        <f>'AL WEST 2024'!F93</f>
        <v>25</v>
      </c>
      <c r="E56" s="18">
        <v>15</v>
      </c>
      <c r="F56" s="11">
        <f>'AL WEST 2024'!I80</f>
        <v>161</v>
      </c>
      <c r="G56" s="10">
        <f>'AL WEST 2024'!J93</f>
        <v>206</v>
      </c>
      <c r="H56" s="17"/>
      <c r="I56" s="7"/>
      <c r="J56" s="7"/>
      <c r="M56" s="12" t="s">
        <v>72</v>
      </c>
      <c r="N56" s="11">
        <f>'NL CENTRAL 2024'!E124</f>
        <v>19</v>
      </c>
      <c r="O56" s="10">
        <f>'NL CENTRAL 2024'!F124</f>
        <v>21</v>
      </c>
      <c r="P56" s="9" t="s">
        <v>135</v>
      </c>
      <c r="Q56" s="8" t="s">
        <v>124</v>
      </c>
      <c r="R56" s="7"/>
      <c r="S56" s="7"/>
      <c r="T56" s="7"/>
      <c r="U56" s="7"/>
      <c r="X56" s="12" t="s">
        <v>92</v>
      </c>
      <c r="Y56" s="11">
        <v>15</v>
      </c>
      <c r="Z56" s="10">
        <v>25</v>
      </c>
      <c r="AA56" s="18">
        <v>14</v>
      </c>
      <c r="AB56" s="11">
        <v>161</v>
      </c>
      <c r="AC56" s="10">
        <v>188</v>
      </c>
      <c r="AD56" s="17"/>
      <c r="AE56" s="7"/>
      <c r="AF56" s="7"/>
      <c r="AI56" s="12" t="s">
        <v>33</v>
      </c>
      <c r="AJ56" s="11">
        <v>20</v>
      </c>
      <c r="AK56" s="10">
        <v>20</v>
      </c>
      <c r="AL56" s="9" t="s">
        <v>126</v>
      </c>
      <c r="AM56" s="8" t="s">
        <v>124</v>
      </c>
      <c r="AN56" s="7"/>
      <c r="AO56" s="7"/>
      <c r="AP56" s="7"/>
      <c r="AQ56" s="7"/>
      <c r="AT56" s="12" t="s">
        <v>90</v>
      </c>
      <c r="AU56" s="11">
        <f>'NL WEST 2024'!BC155</f>
        <v>15</v>
      </c>
      <c r="AV56" s="10">
        <f>'NL WEST 2024'!BD155</f>
        <v>25</v>
      </c>
      <c r="AW56" s="18">
        <v>12</v>
      </c>
      <c r="AX56" s="11">
        <f>'NL WEST 2024'!BG142</f>
        <v>173</v>
      </c>
      <c r="AY56" s="10">
        <f>'NL WEST 2024'!BH155</f>
        <v>198</v>
      </c>
      <c r="AZ56" s="385"/>
      <c r="BA56" s="8"/>
      <c r="BB56" s="8"/>
      <c r="BE56" s="12" t="s">
        <v>75</v>
      </c>
      <c r="BF56" s="11">
        <v>20</v>
      </c>
      <c r="BG56" s="10">
        <v>20</v>
      </c>
      <c r="BH56" s="9" t="s">
        <v>126</v>
      </c>
      <c r="BI56" s="8" t="s">
        <v>124</v>
      </c>
      <c r="BJ56" s="143"/>
      <c r="BK56" s="8"/>
      <c r="BL56" s="32"/>
      <c r="BM56" s="8"/>
    </row>
    <row r="57" spans="2:65" ht="20">
      <c r="B57" s="12" t="s">
        <v>57</v>
      </c>
      <c r="C57" s="11">
        <f>'AL EAST 2024'!E155</f>
        <v>15</v>
      </c>
      <c r="D57" s="10">
        <f>'AL EAST 2024'!F155</f>
        <v>25</v>
      </c>
      <c r="E57" s="18">
        <v>15</v>
      </c>
      <c r="F57" s="11">
        <f>'AL EAST 2024'!I142</f>
        <v>170</v>
      </c>
      <c r="G57" s="10">
        <f>'AL EAST 2024'!J155</f>
        <v>190</v>
      </c>
      <c r="H57" s="26"/>
      <c r="I57" s="8"/>
      <c r="J57" s="8"/>
      <c r="M57" s="12" t="s">
        <v>71</v>
      </c>
      <c r="N57" s="11">
        <f>'NL CENTRAL 2024'!E62</f>
        <v>18</v>
      </c>
      <c r="O57" s="10">
        <f>'NL CENTRAL 2024'!F62</f>
        <v>22</v>
      </c>
      <c r="P57" s="9" t="s">
        <v>128</v>
      </c>
      <c r="Q57" s="8" t="s">
        <v>124</v>
      </c>
      <c r="R57" s="8"/>
      <c r="S57" s="8"/>
      <c r="T57" s="8"/>
      <c r="U57" s="8"/>
      <c r="X57" s="12" t="s">
        <v>91</v>
      </c>
      <c r="Y57" s="11">
        <v>14</v>
      </c>
      <c r="Z57" s="10">
        <v>26</v>
      </c>
      <c r="AA57" s="18">
        <v>15</v>
      </c>
      <c r="AB57" s="11">
        <v>139</v>
      </c>
      <c r="AC57" s="10">
        <v>193</v>
      </c>
      <c r="AD57" s="17"/>
      <c r="AE57" s="7"/>
      <c r="AF57" s="7"/>
      <c r="AI57" s="12" t="s">
        <v>72</v>
      </c>
      <c r="AJ57" s="11">
        <v>18</v>
      </c>
      <c r="AK57" s="10">
        <v>22</v>
      </c>
      <c r="AL57" s="9" t="s">
        <v>135</v>
      </c>
      <c r="AM57" s="8" t="s">
        <v>124</v>
      </c>
      <c r="AN57" s="7"/>
      <c r="AO57" s="7"/>
      <c r="AP57" s="7"/>
      <c r="AQ57" s="7"/>
      <c r="AT57" s="12" t="s">
        <v>43</v>
      </c>
      <c r="AU57" s="11">
        <f>AU8</f>
        <v>14</v>
      </c>
      <c r="AV57" s="10">
        <f>AV8</f>
        <v>26</v>
      </c>
      <c r="AW57" s="18">
        <v>13</v>
      </c>
      <c r="AX57" s="30">
        <f>AX8</f>
        <v>145</v>
      </c>
      <c r="AY57" s="10">
        <f>AY8</f>
        <v>208</v>
      </c>
      <c r="AZ57" s="385"/>
      <c r="BA57" s="8"/>
      <c r="BB57" s="8"/>
      <c r="BE57" s="12" t="s">
        <v>56</v>
      </c>
      <c r="BF57" s="11">
        <v>20</v>
      </c>
      <c r="BG57" s="10">
        <v>20</v>
      </c>
      <c r="BH57" s="9" t="s">
        <v>126</v>
      </c>
      <c r="BI57" s="8" t="s">
        <v>124</v>
      </c>
      <c r="BJ57" s="143"/>
      <c r="BK57" s="8"/>
      <c r="BL57" s="32"/>
      <c r="BM57" s="8"/>
    </row>
    <row r="58" spans="2:65" ht="20">
      <c r="B58" s="12" t="s">
        <v>75</v>
      </c>
      <c r="C58" s="11">
        <f>'NL CENTRAL 2024'!E93</f>
        <v>14</v>
      </c>
      <c r="D58" s="10">
        <f>'NL CENTRAL 2024'!F93</f>
        <v>26</v>
      </c>
      <c r="E58" s="18">
        <v>16</v>
      </c>
      <c r="F58" s="11">
        <f>'NL CENTRAL 2024'!I80</f>
        <v>129</v>
      </c>
      <c r="G58" s="10">
        <f>'NL CENTRAL 2024'!J93</f>
        <v>174</v>
      </c>
      <c r="H58" s="26"/>
      <c r="I58" s="8"/>
      <c r="J58" s="8"/>
      <c r="M58" s="12" t="s">
        <v>79</v>
      </c>
      <c r="N58" s="11">
        <f>'NL CENTRAL 2024'!E155</f>
        <v>18</v>
      </c>
      <c r="O58" s="10">
        <f>'NL CENTRAL 2024'!F155</f>
        <v>22</v>
      </c>
      <c r="P58" s="9" t="s">
        <v>128</v>
      </c>
      <c r="Q58" s="8" t="s">
        <v>124</v>
      </c>
      <c r="R58" s="7"/>
      <c r="S58" s="7"/>
      <c r="T58" s="7"/>
      <c r="U58" s="7"/>
      <c r="X58" s="12" t="s">
        <v>77</v>
      </c>
      <c r="Y58" s="11">
        <v>14</v>
      </c>
      <c r="Z58" s="10">
        <v>26</v>
      </c>
      <c r="AA58" s="18">
        <v>15</v>
      </c>
      <c r="AB58" s="11">
        <v>151</v>
      </c>
      <c r="AC58" s="10">
        <v>229</v>
      </c>
      <c r="AD58" s="17"/>
      <c r="AE58" s="7"/>
      <c r="AF58" s="7"/>
      <c r="AI58" s="12" t="s">
        <v>56</v>
      </c>
      <c r="AJ58" s="11">
        <v>18</v>
      </c>
      <c r="AK58" s="10">
        <v>22</v>
      </c>
      <c r="AL58" s="9" t="s">
        <v>135</v>
      </c>
      <c r="AM58" s="8" t="s">
        <v>124</v>
      </c>
      <c r="AN58" s="7"/>
      <c r="AO58" s="7"/>
      <c r="AP58" s="7"/>
      <c r="AQ58" s="7"/>
      <c r="AT58" s="12" t="s">
        <v>79</v>
      </c>
      <c r="AU58" s="11">
        <f>'NL CENTRAL 2024'!BC155</f>
        <v>14</v>
      </c>
      <c r="AV58" s="10">
        <f>'NL CENTRAL 2024'!BD155</f>
        <v>26</v>
      </c>
      <c r="AW58" s="18">
        <v>13</v>
      </c>
      <c r="AX58" s="11">
        <f>'NL CENTRAL 2024'!BG142</f>
        <v>177</v>
      </c>
      <c r="AY58" s="10">
        <f>'NL CENTRAL 2024'!BH155</f>
        <v>206</v>
      </c>
      <c r="AZ58" s="385"/>
      <c r="BA58" s="8"/>
      <c r="BB58" s="8"/>
      <c r="BE58" s="12" t="s">
        <v>94</v>
      </c>
      <c r="BF58" s="11">
        <v>18</v>
      </c>
      <c r="BG58" s="10">
        <v>22</v>
      </c>
      <c r="BH58" s="9" t="s">
        <v>135</v>
      </c>
      <c r="BI58" s="8" t="s">
        <v>124</v>
      </c>
      <c r="BJ58" s="143"/>
      <c r="BK58" s="8"/>
      <c r="BL58" s="32"/>
      <c r="BM58" s="8"/>
    </row>
    <row r="59" spans="2:65" ht="20">
      <c r="B59" s="12" t="s">
        <v>56</v>
      </c>
      <c r="C59" s="11">
        <f>'NL EAST 2024'!E124</f>
        <v>13</v>
      </c>
      <c r="D59" s="10">
        <f>'NL EAST 2024'!F124</f>
        <v>27</v>
      </c>
      <c r="E59" s="18">
        <v>17</v>
      </c>
      <c r="F59" s="11">
        <f>'NL EAST 2024'!I111</f>
        <v>126</v>
      </c>
      <c r="G59" s="10">
        <f>'NL EAST 2024'!J124</f>
        <v>176</v>
      </c>
      <c r="H59" s="17"/>
      <c r="I59" s="7"/>
      <c r="J59" s="7"/>
      <c r="M59" s="12" t="s">
        <v>52</v>
      </c>
      <c r="N59" s="11">
        <f>'NL EAST 2024'!E155</f>
        <v>17</v>
      </c>
      <c r="O59" s="10">
        <f>'NL EAST 2024'!F155</f>
        <v>23</v>
      </c>
      <c r="P59" s="9" t="s">
        <v>130</v>
      </c>
      <c r="Q59" s="8" t="s">
        <v>124</v>
      </c>
      <c r="R59" s="7"/>
      <c r="S59" s="7"/>
      <c r="T59" s="7"/>
      <c r="U59" s="7"/>
      <c r="X59" s="12" t="s">
        <v>79</v>
      </c>
      <c r="Y59" s="11">
        <v>12</v>
      </c>
      <c r="Z59" s="10">
        <v>28</v>
      </c>
      <c r="AA59" s="18">
        <v>17</v>
      </c>
      <c r="AB59" s="11">
        <v>146</v>
      </c>
      <c r="AC59" s="10">
        <v>203</v>
      </c>
      <c r="AD59" s="17"/>
      <c r="AE59" s="7"/>
      <c r="AF59" s="7"/>
      <c r="AI59" s="12" t="s">
        <v>52</v>
      </c>
      <c r="AJ59" s="11">
        <v>17</v>
      </c>
      <c r="AK59" s="10">
        <v>23</v>
      </c>
      <c r="AL59" s="9" t="s">
        <v>128</v>
      </c>
      <c r="AM59" s="8" t="s">
        <v>124</v>
      </c>
      <c r="AN59" s="7"/>
      <c r="AO59" s="7"/>
      <c r="AP59" s="7"/>
      <c r="AQ59" s="7"/>
      <c r="AT59" s="12" t="s">
        <v>92</v>
      </c>
      <c r="AU59" s="11">
        <f>AU26</f>
        <v>13</v>
      </c>
      <c r="AV59" s="10">
        <f>AV26</f>
        <v>27</v>
      </c>
      <c r="AW59" s="18">
        <v>14</v>
      </c>
      <c r="AX59" s="11">
        <f>AX26</f>
        <v>146</v>
      </c>
      <c r="AY59" s="10">
        <f>AY26</f>
        <v>195</v>
      </c>
      <c r="AZ59" s="385"/>
      <c r="BA59" s="8"/>
      <c r="BB59" s="8"/>
      <c r="BE59" s="12" t="s">
        <v>52</v>
      </c>
      <c r="BF59" s="11">
        <v>17</v>
      </c>
      <c r="BG59" s="10">
        <v>23</v>
      </c>
      <c r="BH59" s="9" t="s">
        <v>128</v>
      </c>
      <c r="BI59" s="8" t="s">
        <v>124</v>
      </c>
      <c r="BJ59" s="143"/>
      <c r="BK59" s="8"/>
      <c r="BL59" s="32"/>
      <c r="BM59" s="8"/>
    </row>
    <row r="60" spans="2:65" ht="20">
      <c r="B60" s="6" t="s">
        <v>94</v>
      </c>
      <c r="C60" s="5">
        <f>'NL WEST 2024'!E124</f>
        <v>13</v>
      </c>
      <c r="D60" s="4">
        <f>'NL WEST 2024'!F124</f>
        <v>27</v>
      </c>
      <c r="E60" s="16">
        <v>17</v>
      </c>
      <c r="F60" s="5">
        <f>'NL WEST 2024'!I111</f>
        <v>170</v>
      </c>
      <c r="G60" s="4">
        <f>'NL WEST 2024'!J124</f>
        <v>254</v>
      </c>
      <c r="H60" s="15"/>
      <c r="I60" s="1"/>
      <c r="J60" s="1"/>
      <c r="M60" s="12" t="s">
        <v>75</v>
      </c>
      <c r="N60" s="11">
        <f>'NL CENTRAL 2024'!E93</f>
        <v>14</v>
      </c>
      <c r="O60" s="10">
        <f>'NL CENTRAL 2024'!F93</f>
        <v>26</v>
      </c>
      <c r="P60" s="9" t="s">
        <v>129</v>
      </c>
      <c r="Q60" s="8" t="s">
        <v>124</v>
      </c>
      <c r="R60" s="8"/>
      <c r="S60" s="8"/>
      <c r="T60" s="8"/>
      <c r="U60" s="8"/>
      <c r="X60" s="6" t="s">
        <v>90</v>
      </c>
      <c r="Y60" s="5">
        <v>12</v>
      </c>
      <c r="Z60" s="4">
        <v>28</v>
      </c>
      <c r="AA60" s="16">
        <v>17</v>
      </c>
      <c r="AB60" s="5">
        <v>118</v>
      </c>
      <c r="AC60" s="4">
        <v>191</v>
      </c>
      <c r="AD60" s="15"/>
      <c r="AE60" s="1"/>
      <c r="AF60" s="1"/>
      <c r="AI60" s="12" t="s">
        <v>94</v>
      </c>
      <c r="AJ60" s="11">
        <v>16</v>
      </c>
      <c r="AK60" s="10">
        <v>24</v>
      </c>
      <c r="AL60" s="9" t="s">
        <v>129</v>
      </c>
      <c r="AM60" s="8" t="s">
        <v>124</v>
      </c>
      <c r="AN60" s="7"/>
      <c r="AO60" s="7"/>
      <c r="AP60" s="7"/>
      <c r="AQ60" s="7"/>
      <c r="AT60" s="6" t="s">
        <v>77</v>
      </c>
      <c r="AU60" s="5">
        <f>AU17</f>
        <v>12</v>
      </c>
      <c r="AV60" s="4">
        <f>AV17</f>
        <v>28</v>
      </c>
      <c r="AW60" s="16">
        <v>15</v>
      </c>
      <c r="AX60" s="5">
        <f>AX17</f>
        <v>161</v>
      </c>
      <c r="AY60" s="4">
        <f>AY17</f>
        <v>244</v>
      </c>
      <c r="AZ60" s="388"/>
      <c r="BA60" s="2"/>
      <c r="BB60" s="2"/>
      <c r="BE60" s="12" t="s">
        <v>71</v>
      </c>
      <c r="BF60" s="11">
        <v>17</v>
      </c>
      <c r="BG60" s="10">
        <v>23</v>
      </c>
      <c r="BH60" s="9" t="s">
        <v>128</v>
      </c>
      <c r="BI60" s="8" t="s">
        <v>124</v>
      </c>
      <c r="BJ60" s="143"/>
      <c r="BK60" s="8"/>
      <c r="BL60" s="32"/>
      <c r="BM60" s="8"/>
    </row>
    <row r="61" spans="2:65" ht="20">
      <c r="B61" s="14"/>
      <c r="C61" s="13"/>
      <c r="D61" s="13"/>
      <c r="E61" s="13"/>
      <c r="F61" s="13"/>
      <c r="G61" s="13"/>
      <c r="M61" s="12" t="s">
        <v>56</v>
      </c>
      <c r="N61" s="11">
        <f>'NL EAST 2024'!E124</f>
        <v>13</v>
      </c>
      <c r="O61" s="10">
        <f>'NL EAST 2024'!F124</f>
        <v>27</v>
      </c>
      <c r="P61" s="9" t="s">
        <v>133</v>
      </c>
      <c r="Q61" s="8" t="s">
        <v>124</v>
      </c>
      <c r="R61" s="7"/>
      <c r="S61" s="7"/>
      <c r="T61" s="7"/>
      <c r="U61" s="7"/>
      <c r="X61" s="14"/>
      <c r="Y61" s="13"/>
      <c r="Z61" s="13"/>
      <c r="AA61" s="13"/>
      <c r="AB61" s="13"/>
      <c r="AC61" s="13"/>
      <c r="AI61" s="12" t="s">
        <v>79</v>
      </c>
      <c r="AJ61" s="11">
        <v>12</v>
      </c>
      <c r="AK61" s="10">
        <v>28</v>
      </c>
      <c r="AL61" s="9" t="s">
        <v>133</v>
      </c>
      <c r="AM61" s="8" t="s">
        <v>124</v>
      </c>
      <c r="AN61" s="7"/>
      <c r="AO61" s="7"/>
      <c r="AP61" s="7"/>
      <c r="AQ61" s="7"/>
      <c r="AZ61" s="14"/>
      <c r="BA61" s="14"/>
      <c r="BB61" s="14"/>
      <c r="BE61" s="12" t="s">
        <v>90</v>
      </c>
      <c r="BF61" s="11">
        <v>15</v>
      </c>
      <c r="BG61" s="10">
        <v>25</v>
      </c>
      <c r="BH61" s="9" t="s">
        <v>129</v>
      </c>
      <c r="BI61" s="8" t="s">
        <v>124</v>
      </c>
      <c r="BJ61" s="143"/>
      <c r="BK61" s="8"/>
      <c r="BL61" s="32"/>
      <c r="BM61" s="8"/>
    </row>
    <row r="62" spans="2:65" ht="20">
      <c r="M62" s="6" t="s">
        <v>94</v>
      </c>
      <c r="N62" s="5">
        <f>'NL WEST 2024'!E124</f>
        <v>13</v>
      </c>
      <c r="O62" s="4">
        <f>'NL WEST 2024'!F124</f>
        <v>27</v>
      </c>
      <c r="P62" s="3" t="s">
        <v>136</v>
      </c>
      <c r="Q62" s="2" t="s">
        <v>124</v>
      </c>
      <c r="R62" s="1"/>
      <c r="S62" s="1"/>
      <c r="T62" s="1"/>
      <c r="U62" s="1"/>
      <c r="AI62" s="6" t="s">
        <v>90</v>
      </c>
      <c r="AJ62" s="5">
        <v>12</v>
      </c>
      <c r="AK62" s="4">
        <v>28</v>
      </c>
      <c r="AL62" s="3" t="s">
        <v>133</v>
      </c>
      <c r="AM62" s="2" t="s">
        <v>124</v>
      </c>
      <c r="AN62" s="1"/>
      <c r="AO62" s="1"/>
      <c r="AP62" s="1"/>
      <c r="AQ62" s="1"/>
      <c r="BE62" s="6" t="s">
        <v>79</v>
      </c>
      <c r="BF62" s="5">
        <v>14</v>
      </c>
      <c r="BG62" s="4">
        <v>26</v>
      </c>
      <c r="BH62" s="3" t="s">
        <v>131</v>
      </c>
      <c r="BI62" s="2" t="s">
        <v>124</v>
      </c>
      <c r="BJ62" s="152"/>
      <c r="BK62" s="2"/>
      <c r="BL62" s="153"/>
      <c r="BM62" s="2"/>
    </row>
  </sheetData>
  <mergeCells count="30">
    <mergeCell ref="X29:AF29"/>
    <mergeCell ref="AI29:AQ29"/>
    <mergeCell ref="AT29:BB29"/>
    <mergeCell ref="BE29:BM29"/>
    <mergeCell ref="X11:AF11"/>
    <mergeCell ref="AI11:AQ11"/>
    <mergeCell ref="AT11:BB11"/>
    <mergeCell ref="BE11:BM11"/>
    <mergeCell ref="X20:AF20"/>
    <mergeCell ref="AI20:AQ20"/>
    <mergeCell ref="AT20:BB20"/>
    <mergeCell ref="BE20:BM20"/>
    <mergeCell ref="X1:AF1"/>
    <mergeCell ref="AI1:AQ1"/>
    <mergeCell ref="AT1:BB1"/>
    <mergeCell ref="BE1:BM1"/>
    <mergeCell ref="X2:AF2"/>
    <mergeCell ref="AI2:AQ2"/>
    <mergeCell ref="AT2:BB2"/>
    <mergeCell ref="BE2:BM2"/>
    <mergeCell ref="B20:J20"/>
    <mergeCell ref="M20:U20"/>
    <mergeCell ref="B29:J29"/>
    <mergeCell ref="M29:U29"/>
    <mergeCell ref="B1:J1"/>
    <mergeCell ref="M1:U1"/>
    <mergeCell ref="B2:J2"/>
    <mergeCell ref="M2:U2"/>
    <mergeCell ref="B11:J11"/>
    <mergeCell ref="M11:U11"/>
  </mergeCells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V280"/>
  <sheetViews>
    <sheetView zoomScale="110" zoomScaleNormal="11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A2" sqref="A2:W2"/>
    </sheetView>
  </sheetViews>
  <sheetFormatPr baseColWidth="10" defaultRowHeight="16"/>
  <cols>
    <col min="1" max="1" width="6.33203125" style="28" customWidth="1"/>
    <col min="2" max="2" width="5.83203125" style="28" customWidth="1"/>
    <col min="3" max="3" width="14.1640625" style="28" customWidth="1"/>
    <col min="4" max="4" width="7.6640625" style="28" customWidth="1"/>
    <col min="5" max="6" width="7.1640625" style="28" customWidth="1"/>
    <col min="7" max="7" width="5" style="28" customWidth="1"/>
    <col min="8" max="8" width="6" style="28" customWidth="1"/>
    <col min="9" max="10" width="5" style="28" customWidth="1"/>
    <col min="11" max="11" width="6" style="28" customWidth="1"/>
    <col min="12" max="12" width="5.6640625" style="28" customWidth="1"/>
    <col min="13" max="13" width="6.1640625" style="28" customWidth="1"/>
    <col min="14" max="14" width="6.6640625" style="28" customWidth="1"/>
    <col min="15" max="15" width="6" style="28" customWidth="1"/>
    <col min="16" max="17" width="6.1640625" style="28" customWidth="1"/>
    <col min="18" max="18" width="6" style="28" customWidth="1"/>
    <col min="19" max="19" width="5.83203125" style="28" customWidth="1"/>
    <col min="20" max="20" width="6" style="28" customWidth="1"/>
    <col min="21" max="21" width="7" style="28" customWidth="1"/>
    <col min="22" max="22" width="4.5" style="28" customWidth="1"/>
    <col min="23" max="23" width="6.1640625" style="28" customWidth="1"/>
    <col min="24" max="24" width="2.83203125" style="28" customWidth="1"/>
    <col min="25" max="25" width="3.33203125" style="28" customWidth="1"/>
    <col min="26" max="26" width="6.33203125" style="28" customWidth="1"/>
    <col min="27" max="27" width="5.83203125" style="28" customWidth="1"/>
    <col min="28" max="28" width="14.1640625" style="28" customWidth="1"/>
    <col min="29" max="31" width="7.1640625" style="28" customWidth="1"/>
    <col min="32" max="32" width="5" style="28" customWidth="1"/>
    <col min="33" max="33" width="6" style="28" customWidth="1"/>
    <col min="34" max="35" width="5" style="28" customWidth="1"/>
    <col min="36" max="36" width="6" style="28" customWidth="1"/>
    <col min="37" max="37" width="5.6640625" style="28" customWidth="1"/>
    <col min="38" max="38" width="6.1640625" style="28" customWidth="1"/>
    <col min="39" max="39" width="6.6640625" style="28" customWidth="1"/>
    <col min="40" max="40" width="6" style="28" customWidth="1"/>
    <col min="41" max="42" width="6.1640625" style="28" customWidth="1"/>
    <col min="43" max="43" width="6" style="28" customWidth="1"/>
    <col min="44" max="44" width="5.83203125" style="28" customWidth="1"/>
    <col min="45" max="45" width="6" style="28" customWidth="1"/>
    <col min="46" max="46" width="7" style="28" customWidth="1"/>
    <col min="47" max="48" width="4.5" style="28" customWidth="1"/>
    <col min="49" max="50" width="3.33203125" style="28" customWidth="1"/>
    <col min="51" max="51" width="6.33203125" style="28" customWidth="1"/>
    <col min="52" max="52" width="5.83203125" style="28" customWidth="1"/>
    <col min="53" max="53" width="14.1640625" style="28" customWidth="1"/>
    <col min="54" max="56" width="7.1640625" style="28" customWidth="1"/>
    <col min="57" max="57" width="5" style="28" customWidth="1"/>
    <col min="58" max="58" width="6" style="28" customWidth="1"/>
    <col min="59" max="60" width="5" style="28" customWidth="1"/>
    <col min="61" max="61" width="6" style="28" customWidth="1"/>
    <col min="62" max="62" width="5.6640625" style="28" customWidth="1"/>
    <col min="63" max="63" width="6.1640625" style="28" customWidth="1"/>
    <col min="64" max="64" width="6.6640625" style="28" customWidth="1"/>
    <col min="65" max="65" width="6" style="28" customWidth="1"/>
    <col min="66" max="67" width="6.1640625" style="28" customWidth="1"/>
    <col min="68" max="68" width="6" style="28" customWidth="1"/>
    <col min="69" max="69" width="5.83203125" style="28" customWidth="1"/>
    <col min="70" max="70" width="6" style="28" customWidth="1"/>
    <col min="71" max="71" width="7" style="28" customWidth="1"/>
    <col min="72" max="72" width="4.5" style="28" customWidth="1"/>
    <col min="73" max="73" width="6.1640625" style="28" customWidth="1"/>
    <col min="74" max="74" width="2.83203125" style="28" customWidth="1"/>
  </cols>
  <sheetData>
    <row r="1" spans="1:73" ht="29" thickBot="1">
      <c r="A1" s="1042" t="s">
        <v>137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  <c r="M1" s="1043"/>
      <c r="N1" s="1043"/>
      <c r="O1" s="1043"/>
      <c r="P1" s="1043"/>
      <c r="Q1" s="1043"/>
      <c r="R1" s="1043"/>
      <c r="S1" s="1043"/>
      <c r="T1" s="1043"/>
      <c r="U1" s="1043"/>
      <c r="V1" s="1043"/>
      <c r="W1" s="1044"/>
      <c r="Z1" s="1042" t="s">
        <v>138</v>
      </c>
      <c r="AA1" s="1043"/>
      <c r="AB1" s="1043"/>
      <c r="AC1" s="1043"/>
      <c r="AD1" s="1043"/>
      <c r="AE1" s="1043"/>
      <c r="AF1" s="1043"/>
      <c r="AG1" s="1043"/>
      <c r="AH1" s="1043"/>
      <c r="AI1" s="1043"/>
      <c r="AJ1" s="1043"/>
      <c r="AK1" s="1043"/>
      <c r="AL1" s="1043"/>
      <c r="AM1" s="1043"/>
      <c r="AN1" s="1043"/>
      <c r="AO1" s="1043"/>
      <c r="AP1" s="1043"/>
      <c r="AQ1" s="1043"/>
      <c r="AR1" s="1043"/>
      <c r="AS1" s="1043"/>
      <c r="AT1" s="1043"/>
      <c r="AU1" s="1043"/>
      <c r="AV1" s="1044"/>
      <c r="AY1" s="1042" t="s">
        <v>139</v>
      </c>
      <c r="AZ1" s="1043"/>
      <c r="BA1" s="1043"/>
      <c r="BB1" s="1043"/>
      <c r="BC1" s="1043"/>
      <c r="BD1" s="1043"/>
      <c r="BE1" s="1043"/>
      <c r="BF1" s="1043"/>
      <c r="BG1" s="1043"/>
      <c r="BH1" s="1043"/>
      <c r="BI1" s="1043"/>
      <c r="BJ1" s="1043"/>
      <c r="BK1" s="1043"/>
      <c r="BL1" s="1043"/>
      <c r="BM1" s="1043"/>
      <c r="BN1" s="1043"/>
      <c r="BO1" s="1043"/>
      <c r="BP1" s="1043"/>
      <c r="BQ1" s="1043"/>
      <c r="BR1" s="1043"/>
      <c r="BS1" s="1043"/>
      <c r="BT1" s="1043"/>
      <c r="BU1" s="1044"/>
    </row>
    <row r="2" spans="1:73" ht="24" thickBot="1">
      <c r="A2" s="1039" t="s">
        <v>140</v>
      </c>
      <c r="B2" s="1040"/>
      <c r="C2" s="1040"/>
      <c r="D2" s="1040"/>
      <c r="E2" s="1040"/>
      <c r="F2" s="1040"/>
      <c r="G2" s="1040"/>
      <c r="H2" s="1040"/>
      <c r="I2" s="1040"/>
      <c r="J2" s="1040"/>
      <c r="K2" s="1040"/>
      <c r="L2" s="1040"/>
      <c r="M2" s="1040"/>
      <c r="N2" s="1040"/>
      <c r="O2" s="1040"/>
      <c r="P2" s="1040"/>
      <c r="Q2" s="1040"/>
      <c r="R2" s="1040"/>
      <c r="S2" s="1040"/>
      <c r="T2" s="1040"/>
      <c r="U2" s="1040"/>
      <c r="V2" s="1040"/>
      <c r="W2" s="1041"/>
      <c r="Z2" s="1039" t="s">
        <v>141</v>
      </c>
      <c r="AA2" s="1040"/>
      <c r="AB2" s="1040"/>
      <c r="AC2" s="1040"/>
      <c r="AD2" s="1040"/>
      <c r="AE2" s="1040"/>
      <c r="AF2" s="1040"/>
      <c r="AG2" s="1040"/>
      <c r="AH2" s="1040"/>
      <c r="AI2" s="1040"/>
      <c r="AJ2" s="1040"/>
      <c r="AK2" s="1040"/>
      <c r="AL2" s="1040"/>
      <c r="AM2" s="1040"/>
      <c r="AN2" s="1040"/>
      <c r="AO2" s="1040"/>
      <c r="AP2" s="1040"/>
      <c r="AQ2" s="1040"/>
      <c r="AR2" s="1040"/>
      <c r="AS2" s="1040"/>
      <c r="AT2" s="1040"/>
      <c r="AU2" s="1040"/>
      <c r="AV2" s="1041"/>
      <c r="AY2" s="1039" t="s">
        <v>142</v>
      </c>
      <c r="AZ2" s="1040"/>
      <c r="BA2" s="1040"/>
      <c r="BB2" s="1040"/>
      <c r="BC2" s="1040"/>
      <c r="BD2" s="1040"/>
      <c r="BE2" s="1040"/>
      <c r="BF2" s="1040"/>
      <c r="BG2" s="1040"/>
      <c r="BH2" s="1040"/>
      <c r="BI2" s="1040"/>
      <c r="BJ2" s="1040"/>
      <c r="BK2" s="1040"/>
      <c r="BL2" s="1040"/>
      <c r="BM2" s="1040"/>
      <c r="BN2" s="1040"/>
      <c r="BO2" s="1040"/>
      <c r="BP2" s="1040"/>
      <c r="BQ2" s="1040"/>
      <c r="BR2" s="1040"/>
      <c r="BS2" s="1040"/>
      <c r="BT2" s="1040"/>
      <c r="BU2" s="1041"/>
    </row>
    <row r="3" spans="1:73" s="64" customFormat="1" ht="14" thickBot="1">
      <c r="A3" s="605" t="s">
        <v>143</v>
      </c>
      <c r="B3" s="606" t="s">
        <v>144</v>
      </c>
      <c r="C3" s="606" t="s">
        <v>145</v>
      </c>
      <c r="D3" s="606" t="s">
        <v>146</v>
      </c>
      <c r="E3" s="606" t="s">
        <v>147</v>
      </c>
      <c r="F3" s="606" t="s">
        <v>148</v>
      </c>
      <c r="G3" s="606" t="s">
        <v>149</v>
      </c>
      <c r="H3" s="606" t="s">
        <v>150</v>
      </c>
      <c r="I3" s="606" t="s">
        <v>151</v>
      </c>
      <c r="J3" s="606" t="s">
        <v>152</v>
      </c>
      <c r="K3" s="606" t="s">
        <v>153</v>
      </c>
      <c r="L3" s="606" t="s">
        <v>154</v>
      </c>
      <c r="M3" s="606" t="s">
        <v>155</v>
      </c>
      <c r="N3" s="606" t="s">
        <v>156</v>
      </c>
      <c r="O3" s="606" t="s">
        <v>157</v>
      </c>
      <c r="P3" s="606" t="s">
        <v>158</v>
      </c>
      <c r="Q3" s="606" t="s">
        <v>159</v>
      </c>
      <c r="R3" s="606" t="s">
        <v>160</v>
      </c>
      <c r="S3" s="606" t="s">
        <v>16</v>
      </c>
      <c r="T3" s="606" t="s">
        <v>161</v>
      </c>
      <c r="U3" s="606" t="s">
        <v>162</v>
      </c>
      <c r="V3" s="606" t="s">
        <v>163</v>
      </c>
      <c r="W3" s="607" t="s">
        <v>164</v>
      </c>
      <c r="Z3" s="605" t="s">
        <v>143</v>
      </c>
      <c r="AA3" s="606" t="s">
        <v>144</v>
      </c>
      <c r="AB3" s="606" t="s">
        <v>145</v>
      </c>
      <c r="AC3" s="606" t="s">
        <v>146</v>
      </c>
      <c r="AD3" s="606" t="s">
        <v>147</v>
      </c>
      <c r="AE3" s="606" t="s">
        <v>148</v>
      </c>
      <c r="AF3" s="606" t="s">
        <v>149</v>
      </c>
      <c r="AG3" s="606" t="s">
        <v>150</v>
      </c>
      <c r="AH3" s="606" t="s">
        <v>151</v>
      </c>
      <c r="AI3" s="606" t="s">
        <v>152</v>
      </c>
      <c r="AJ3" s="606" t="s">
        <v>153</v>
      </c>
      <c r="AK3" s="606" t="s">
        <v>154</v>
      </c>
      <c r="AL3" s="606" t="s">
        <v>155</v>
      </c>
      <c r="AM3" s="606" t="s">
        <v>156</v>
      </c>
      <c r="AN3" s="606" t="s">
        <v>157</v>
      </c>
      <c r="AO3" s="606" t="s">
        <v>158</v>
      </c>
      <c r="AP3" s="606" t="s">
        <v>159</v>
      </c>
      <c r="AQ3" s="606" t="s">
        <v>160</v>
      </c>
      <c r="AR3" s="606" t="s">
        <v>16</v>
      </c>
      <c r="AS3" s="606" t="s">
        <v>161</v>
      </c>
      <c r="AT3" s="606" t="s">
        <v>162</v>
      </c>
      <c r="AU3" s="606" t="s">
        <v>163</v>
      </c>
      <c r="AV3" s="607" t="s">
        <v>164</v>
      </c>
      <c r="AY3" s="605" t="s">
        <v>143</v>
      </c>
      <c r="AZ3" s="606" t="s">
        <v>144</v>
      </c>
      <c r="BA3" s="606" t="s">
        <v>145</v>
      </c>
      <c r="BB3" s="606" t="s">
        <v>146</v>
      </c>
      <c r="BC3" s="606" t="s">
        <v>147</v>
      </c>
      <c r="BD3" s="606" t="s">
        <v>148</v>
      </c>
      <c r="BE3" s="606" t="s">
        <v>149</v>
      </c>
      <c r="BF3" s="606" t="s">
        <v>150</v>
      </c>
      <c r="BG3" s="606" t="s">
        <v>151</v>
      </c>
      <c r="BH3" s="606" t="s">
        <v>152</v>
      </c>
      <c r="BI3" s="606" t="s">
        <v>153</v>
      </c>
      <c r="BJ3" s="606" t="s">
        <v>154</v>
      </c>
      <c r="BK3" s="606" t="s">
        <v>155</v>
      </c>
      <c r="BL3" s="606" t="s">
        <v>156</v>
      </c>
      <c r="BM3" s="606" t="s">
        <v>157</v>
      </c>
      <c r="BN3" s="606" t="s">
        <v>158</v>
      </c>
      <c r="BO3" s="606" t="s">
        <v>159</v>
      </c>
      <c r="BP3" s="606" t="s">
        <v>160</v>
      </c>
      <c r="BQ3" s="606" t="s">
        <v>16</v>
      </c>
      <c r="BR3" s="606" t="s">
        <v>161</v>
      </c>
      <c r="BS3" s="606" t="s">
        <v>162</v>
      </c>
      <c r="BT3" s="606" t="s">
        <v>163</v>
      </c>
      <c r="BU3" s="607" t="s">
        <v>164</v>
      </c>
    </row>
    <row r="4" spans="1:73">
      <c r="A4" s="608" t="s">
        <v>165</v>
      </c>
      <c r="B4" s="597" t="s">
        <v>179</v>
      </c>
      <c r="C4" s="597" t="s">
        <v>180</v>
      </c>
      <c r="D4" s="598">
        <f>IFERROR((NYY_H[[#This Row],[H]]/NYY_H[[#This Row],[AB]]),0)</f>
        <v>0.28455284552845528</v>
      </c>
      <c r="E4" s="598">
        <f>IFERROR((NYY_H[[#This Row],[H]]+NYY_H[[#This Row],[BB]])/(NYY_H[[#This Row],[AB]]+NYY_H[[#This Row],[BB]]),)</f>
        <v>0.36231884057971014</v>
      </c>
      <c r="F4" s="599">
        <f>IFERROR(((NYY_H[[#This Row],[H]]-NYY_H[[#This Row],[2B]]-NYY_H[[#This Row],[3B]]-NYY_H[[#This Row],[HR]])+(NYY_H[[#This Row],[2B]]*2)+(NYY_H[[#This Row],[3B]]*3)+(NYY_H[[#This Row],[HR]]*4))/NYY_H[[#This Row],[AB]],0)</f>
        <v>0.47967479674796748</v>
      </c>
      <c r="G4" s="600">
        <v>36</v>
      </c>
      <c r="H4" s="601">
        <v>123</v>
      </c>
      <c r="I4" s="601">
        <v>14</v>
      </c>
      <c r="J4" s="601">
        <v>35</v>
      </c>
      <c r="K4" s="601">
        <v>9</v>
      </c>
      <c r="L4" s="601">
        <v>0</v>
      </c>
      <c r="M4" s="601">
        <v>5</v>
      </c>
      <c r="N4" s="601">
        <v>18</v>
      </c>
      <c r="O4" s="601">
        <v>15</v>
      </c>
      <c r="P4" s="603">
        <v>39</v>
      </c>
      <c r="Q4" s="601">
        <v>0</v>
      </c>
      <c r="R4" s="601">
        <v>0</v>
      </c>
      <c r="S4" s="603">
        <v>6</v>
      </c>
      <c r="T4" s="601">
        <f>IFERROR((NYY_H[[#This Row],[H]]-NYY_H[[#This Row],[2B]]-NYY_H[[#This Row],[3B]]-NYY_H[[#This Row],[HR]])+(NYY_H[[#This Row],[2B]]*2)+(NYY_H[[#This Row],[3B]]*3)+(NYY_H[[#This Row],[HR]]*4),0)</f>
        <v>59</v>
      </c>
      <c r="U4" s="598">
        <f>NYY_H[[#This Row],[OBP]]+NYY_H[[#This Row],[SLG]]</f>
        <v>0.84199363732767762</v>
      </c>
      <c r="V4" s="604">
        <v>4</v>
      </c>
      <c r="W4" s="614">
        <v>1</v>
      </c>
      <c r="Z4" s="650" t="s">
        <v>165</v>
      </c>
      <c r="AA4" s="597" t="s">
        <v>179</v>
      </c>
      <c r="AB4" s="597" t="s">
        <v>180</v>
      </c>
      <c r="AC4" s="598">
        <f>IFERROR((NYY_H304[[#This Row],[H]]/NYY_H304[[#This Row],[AB]]),0)</f>
        <v>0.21929824561403508</v>
      </c>
      <c r="AD4" s="598">
        <f>IFERROR((NYY_H304[[#This Row],[H]]+NYY_H304[[#This Row],[BB]])/(NYY_H304[[#This Row],[AB]]+NYY_H304[[#This Row],[BB]]),)</f>
        <v>0.27642276422764228</v>
      </c>
      <c r="AE4" s="599">
        <f>IFERROR(((NYY_H304[[#This Row],[H]]-NYY_H304[[#This Row],[2B]]-NYY_H304[[#This Row],[3B]]-NYY_H304[[#This Row],[HR]])+(NYY_H304[[#This Row],[2B]]*2)+(NYY_H304[[#This Row],[3B]]*3)+(NYY_H304[[#This Row],[HR]]*4))/NYY_H304[[#This Row],[AB]],0)</f>
        <v>0.35087719298245612</v>
      </c>
      <c r="AF4" s="600">
        <v>33</v>
      </c>
      <c r="AG4" s="601">
        <v>114</v>
      </c>
      <c r="AH4" s="601">
        <v>10</v>
      </c>
      <c r="AI4" s="601">
        <v>25</v>
      </c>
      <c r="AJ4" s="601">
        <v>6</v>
      </c>
      <c r="AK4" s="601">
        <v>0</v>
      </c>
      <c r="AL4" s="601">
        <v>3</v>
      </c>
      <c r="AM4" s="601">
        <v>13</v>
      </c>
      <c r="AN4" s="601">
        <v>9</v>
      </c>
      <c r="AO4" s="603">
        <v>29</v>
      </c>
      <c r="AP4" s="601">
        <v>0</v>
      </c>
      <c r="AQ4" s="601">
        <v>1</v>
      </c>
      <c r="AR4" s="603">
        <v>4</v>
      </c>
      <c r="AS4" s="601">
        <f>IFERROR((NYY_H304[[#This Row],[H]]-NYY_H304[[#This Row],[2B]]-NYY_H304[[#This Row],[3B]]-NYY_H304[[#This Row],[HR]])+(NYY_H304[[#This Row],[2B]]*2)+(NYY_H304[[#This Row],[3B]]*3)+(NYY_H304[[#This Row],[HR]]*4),0)</f>
        <v>40</v>
      </c>
      <c r="AT4" s="598">
        <f>NYY_H304[[#This Row],[OBP]]+NYY_H304[[#This Row],[SLG]]</f>
        <v>0.62729995721009835</v>
      </c>
      <c r="AU4" s="604">
        <v>2</v>
      </c>
      <c r="AV4" s="614">
        <v>1</v>
      </c>
      <c r="AY4" s="650" t="s">
        <v>165</v>
      </c>
      <c r="AZ4" s="604" t="s">
        <v>179</v>
      </c>
      <c r="BA4" s="597" t="s">
        <v>180</v>
      </c>
      <c r="BB4" s="598">
        <f>IFERROR(NYY_H217[[#This Row],[H]]/NYY_H217[[#This Row],[AB]],0)</f>
        <v>0.22619047619047619</v>
      </c>
      <c r="BC4" s="598">
        <f>IFERROR((NYY_H217[[#This Row],[BB]]+NYY_H217[[#This Row],[H]])/(NYY_H217[[#This Row],[AB]]+NYY_H217[[#This Row],[BB]]),0)</f>
        <v>0.33673469387755101</v>
      </c>
      <c r="BD4" s="599">
        <f>IFERROR(((NYY_H217[[#This Row],[H]]-NYY_H217[[#This Row],[2B]]-NYY_H217[[#This Row],[3B]]-NYY_H217[[#This Row],[HR]])+(NYY_H217[[#This Row],[2B]]*2)+(NYY_H217[[#This Row],[3B]]*3)+(NYY_H217[[#This Row],[HR]]*4))/NYY_H217[[#This Row],[AB]],0)</f>
        <v>0.33333333333333331</v>
      </c>
      <c r="BE4" s="600">
        <v>26</v>
      </c>
      <c r="BF4" s="601">
        <v>84</v>
      </c>
      <c r="BG4" s="601">
        <v>8</v>
      </c>
      <c r="BH4" s="601">
        <v>19</v>
      </c>
      <c r="BI4" s="601">
        <v>3</v>
      </c>
      <c r="BJ4" s="601">
        <f>0</f>
        <v>0</v>
      </c>
      <c r="BK4" s="601">
        <v>2</v>
      </c>
      <c r="BL4" s="601">
        <v>14</v>
      </c>
      <c r="BM4" s="601">
        <v>14</v>
      </c>
      <c r="BN4" s="603">
        <v>19</v>
      </c>
      <c r="BO4" s="601">
        <v>0</v>
      </c>
      <c r="BP4" s="601">
        <v>2</v>
      </c>
      <c r="BQ4" s="603">
        <v>3</v>
      </c>
      <c r="BR4" s="601">
        <f t="shared" ref="BR4:BR17" si="0">IFERROR((BH4-BI4-BJ4-BK4)+(BI4*2)+(BJ4*3)+(BK4*4),0)</f>
        <v>28</v>
      </c>
      <c r="BS4" s="598">
        <f>IFERROR(NYY_H217[[#This Row],[OBP]]+NYY_H217[[#This Row],[SLG]],0)</f>
        <v>0.67006802721088432</v>
      </c>
      <c r="BT4" s="604">
        <v>2</v>
      </c>
      <c r="BU4" s="614">
        <v>1</v>
      </c>
    </row>
    <row r="5" spans="1:73">
      <c r="A5" s="609" t="s">
        <v>165</v>
      </c>
      <c r="B5" s="71" t="s">
        <v>154</v>
      </c>
      <c r="C5" s="71" t="s">
        <v>175</v>
      </c>
      <c r="D5" s="72">
        <f>IFERROR((NYY_H[[#This Row],[H]]/NYY_H[[#This Row],[AB]]),0)</f>
        <v>0.31914893617021278</v>
      </c>
      <c r="E5" s="72">
        <f>IFERROR((NYY_H[[#This Row],[H]]+NYY_H[[#This Row],[BB]])/(NYY_H[[#This Row],[AB]]+NYY_H[[#This Row],[BB]]),)</f>
        <v>0.38064516129032255</v>
      </c>
      <c r="F5" s="73">
        <f>IFERROR(((NYY_H[[#This Row],[H]]-NYY_H[[#This Row],[2B]]-NYY_H[[#This Row],[3B]]-NYY_H[[#This Row],[HR]])+(NYY_H[[#This Row],[2B]]*2)+(NYY_H[[#This Row],[3B]]*3)+(NYY_H[[#This Row],[HR]]*4))/NYY_H[[#This Row],[AB]],0)</f>
        <v>0.46099290780141844</v>
      </c>
      <c r="G5" s="28">
        <v>38</v>
      </c>
      <c r="H5" s="90">
        <v>141</v>
      </c>
      <c r="I5" s="90">
        <v>18</v>
      </c>
      <c r="J5" s="90">
        <v>45</v>
      </c>
      <c r="K5" s="90">
        <v>7</v>
      </c>
      <c r="L5" s="90">
        <v>2</v>
      </c>
      <c r="M5" s="90">
        <v>3</v>
      </c>
      <c r="N5" s="90">
        <v>20</v>
      </c>
      <c r="O5" s="90">
        <v>14</v>
      </c>
      <c r="P5" s="95">
        <v>31</v>
      </c>
      <c r="Q5" s="90">
        <v>0</v>
      </c>
      <c r="R5" s="90">
        <v>0</v>
      </c>
      <c r="S5" s="95">
        <v>10</v>
      </c>
      <c r="T5" s="90">
        <f>IFERROR((NYY_H[[#This Row],[H]]-NYY_H[[#This Row],[2B]]-NYY_H[[#This Row],[3B]]-NYY_H[[#This Row],[HR]])+(NYY_H[[#This Row],[2B]]*2)+(NYY_H[[#This Row],[3B]]*3)+(NYY_H[[#This Row],[HR]]*4),0)</f>
        <v>65</v>
      </c>
      <c r="U5" s="72">
        <f>NYY_H[[#This Row],[OBP]]+NYY_H[[#This Row],[SLG]]</f>
        <v>0.84163806909174099</v>
      </c>
      <c r="V5" s="74">
        <v>0</v>
      </c>
      <c r="W5" s="615">
        <v>2</v>
      </c>
      <c r="Z5" s="651" t="s">
        <v>165</v>
      </c>
      <c r="AA5" s="71" t="s">
        <v>154</v>
      </c>
      <c r="AB5" s="71" t="s">
        <v>175</v>
      </c>
      <c r="AC5" s="72">
        <f>IFERROR((NYY_H304[[#This Row],[H]]/NYY_H304[[#This Row],[AB]]),0)</f>
        <v>0.31874999999999998</v>
      </c>
      <c r="AD5" s="72">
        <f>IFERROR((NYY_H304[[#This Row],[H]]+NYY_H304[[#This Row],[BB]])/(NYY_H304[[#This Row],[AB]]+NYY_H304[[#This Row],[BB]]),)</f>
        <v>0.37356321839080459</v>
      </c>
      <c r="AE5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0.45</v>
      </c>
      <c r="AF5" s="28">
        <v>38</v>
      </c>
      <c r="AG5" s="90">
        <v>160</v>
      </c>
      <c r="AH5" s="90">
        <v>20</v>
      </c>
      <c r="AI5" s="90">
        <v>51</v>
      </c>
      <c r="AJ5" s="90">
        <v>9</v>
      </c>
      <c r="AK5" s="90">
        <v>3</v>
      </c>
      <c r="AL5" s="90">
        <v>2</v>
      </c>
      <c r="AM5" s="90">
        <v>21</v>
      </c>
      <c r="AN5" s="90">
        <v>14</v>
      </c>
      <c r="AO5" s="95">
        <v>21</v>
      </c>
      <c r="AP5" s="90">
        <v>0</v>
      </c>
      <c r="AQ5" s="90">
        <v>9</v>
      </c>
      <c r="AR5" s="96">
        <v>19</v>
      </c>
      <c r="AS5" s="90">
        <f>IFERROR((NYY_H304[[#This Row],[H]]-NYY_H304[[#This Row],[2B]]-NYY_H304[[#This Row],[3B]]-NYY_H304[[#This Row],[HR]])+(NYY_H304[[#This Row],[2B]]*2)+(NYY_H304[[#This Row],[3B]]*3)+(NYY_H304[[#This Row],[HR]]*4),0)</f>
        <v>72</v>
      </c>
      <c r="AT5" s="72">
        <f>NYY_H304[[#This Row],[OBP]]+NYY_H304[[#This Row],[SLG]]</f>
        <v>0.8235632183908046</v>
      </c>
      <c r="AU5" s="74">
        <v>3</v>
      </c>
      <c r="AV5" s="615">
        <v>2</v>
      </c>
      <c r="AY5" s="651" t="s">
        <v>165</v>
      </c>
      <c r="AZ5" s="74" t="s">
        <v>154</v>
      </c>
      <c r="BA5" s="71" t="s">
        <v>176</v>
      </c>
      <c r="BB5" s="72">
        <f>IFERROR(NYY_H217[[#This Row],[H]]/NYY_H217[[#This Row],[AB]],0)</f>
        <v>0.24374999999999999</v>
      </c>
      <c r="BC5" s="72">
        <f>IFERROR((NYY_H217[[#This Row],[BB]]+NYY_H217[[#This Row],[H]])/(NYY_H217[[#This Row],[AB]]+NYY_H217[[#This Row],[BB]]),0)</f>
        <v>0.29239766081871343</v>
      </c>
      <c r="BD5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0.43125000000000002</v>
      </c>
      <c r="BE5" s="28">
        <v>39</v>
      </c>
      <c r="BF5" s="90">
        <v>160</v>
      </c>
      <c r="BG5" s="90">
        <v>20</v>
      </c>
      <c r="BH5" s="90">
        <v>39</v>
      </c>
      <c r="BI5" s="90">
        <v>6</v>
      </c>
      <c r="BJ5" s="90">
        <f>0</f>
        <v>0</v>
      </c>
      <c r="BK5" s="90">
        <v>8</v>
      </c>
      <c r="BL5" s="90">
        <v>17</v>
      </c>
      <c r="BM5" s="90">
        <v>11</v>
      </c>
      <c r="BN5" s="95">
        <v>36</v>
      </c>
      <c r="BO5" s="90">
        <v>0</v>
      </c>
      <c r="BP5" s="90">
        <v>1</v>
      </c>
      <c r="BQ5" s="95">
        <v>5</v>
      </c>
      <c r="BR5" s="90">
        <f t="shared" si="0"/>
        <v>69</v>
      </c>
      <c r="BS5" s="72">
        <f>IFERROR(NYY_H217[[#This Row],[OBP]]+NYY_H217[[#This Row],[SLG]],0)</f>
        <v>0.72364766081871346</v>
      </c>
      <c r="BT5" s="74">
        <v>0</v>
      </c>
      <c r="BU5" s="615">
        <v>2</v>
      </c>
    </row>
    <row r="6" spans="1:73">
      <c r="A6" s="609" t="s">
        <v>165</v>
      </c>
      <c r="B6" s="71" t="s">
        <v>172</v>
      </c>
      <c r="C6" s="71" t="s">
        <v>173</v>
      </c>
      <c r="D6" s="72">
        <f>IFERROR((NYY_H[[#This Row],[H]]/NYY_H[[#This Row],[AB]]),0)</f>
        <v>0.27878787878787881</v>
      </c>
      <c r="E6" s="72">
        <f>IFERROR((NYY_H[[#This Row],[H]]+NYY_H[[#This Row],[BB]])/(NYY_H[[#This Row],[AB]]+NYY_H[[#This Row],[BB]]),)</f>
        <v>0.34972677595628415</v>
      </c>
      <c r="F6" s="73">
        <f>IFERROR(((NYY_H[[#This Row],[H]]-NYY_H[[#This Row],[2B]]-NYY_H[[#This Row],[3B]]-NYY_H[[#This Row],[HR]])+(NYY_H[[#This Row],[2B]]*2)+(NYY_H[[#This Row],[3B]]*3)+(NYY_H[[#This Row],[HR]]*4))/NYY_H[[#This Row],[AB]],0)</f>
        <v>0.36969696969696969</v>
      </c>
      <c r="G6" s="28">
        <v>39</v>
      </c>
      <c r="H6" s="90">
        <v>165</v>
      </c>
      <c r="I6" s="90">
        <v>21</v>
      </c>
      <c r="J6" s="90">
        <v>46</v>
      </c>
      <c r="K6" s="90">
        <v>8</v>
      </c>
      <c r="L6" s="90">
        <v>2</v>
      </c>
      <c r="M6" s="90">
        <v>1</v>
      </c>
      <c r="N6" s="90">
        <v>15</v>
      </c>
      <c r="O6" s="90">
        <v>18</v>
      </c>
      <c r="P6" s="95">
        <v>33</v>
      </c>
      <c r="Q6" s="90">
        <v>1</v>
      </c>
      <c r="R6" s="90">
        <v>2</v>
      </c>
      <c r="S6" s="95">
        <v>6</v>
      </c>
      <c r="T6" s="90">
        <f>IFERROR((NYY_H[[#This Row],[H]]-NYY_H[[#This Row],[2B]]-NYY_H[[#This Row],[3B]]-NYY_H[[#This Row],[HR]])+(NYY_H[[#This Row],[2B]]*2)+(NYY_H[[#This Row],[3B]]*3)+(NYY_H[[#This Row],[HR]]*4),0)</f>
        <v>61</v>
      </c>
      <c r="U6" s="72">
        <f>NYY_H[[#This Row],[OBP]]+NYY_H[[#This Row],[SLG]]</f>
        <v>0.71942374565325384</v>
      </c>
      <c r="V6" s="74">
        <v>2</v>
      </c>
      <c r="W6" s="615">
        <v>3</v>
      </c>
      <c r="Z6" s="651" t="s">
        <v>165</v>
      </c>
      <c r="AA6" s="71" t="s">
        <v>172</v>
      </c>
      <c r="AB6" s="71" t="s">
        <v>173</v>
      </c>
      <c r="AC6" s="72">
        <f>IFERROR((NYY_H304[[#This Row],[H]]/NYY_H304[[#This Row],[AB]]),0)</f>
        <v>0.30769230769230771</v>
      </c>
      <c r="AD6" s="72">
        <f>IFERROR((NYY_H304[[#This Row],[H]]+NYY_H304[[#This Row],[BB]])/(NYY_H304[[#This Row],[AB]]+NYY_H304[[#This Row],[BB]]),)</f>
        <v>0.3532934131736527</v>
      </c>
      <c r="AE6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0.39743589743589741</v>
      </c>
      <c r="AF6" s="28">
        <v>37</v>
      </c>
      <c r="AG6" s="90">
        <v>156</v>
      </c>
      <c r="AH6" s="90">
        <v>17</v>
      </c>
      <c r="AI6" s="90">
        <v>48</v>
      </c>
      <c r="AJ6" s="90">
        <v>9</v>
      </c>
      <c r="AK6" s="90">
        <v>1</v>
      </c>
      <c r="AL6" s="90">
        <v>1</v>
      </c>
      <c r="AM6" s="90">
        <v>12</v>
      </c>
      <c r="AN6" s="90">
        <v>11</v>
      </c>
      <c r="AO6" s="95">
        <v>37</v>
      </c>
      <c r="AP6" s="90">
        <v>7</v>
      </c>
      <c r="AQ6" s="90">
        <v>0</v>
      </c>
      <c r="AR6" s="95">
        <v>16</v>
      </c>
      <c r="AS6" s="90">
        <f>IFERROR((NYY_H304[[#This Row],[H]]-NYY_H304[[#This Row],[2B]]-NYY_H304[[#This Row],[3B]]-NYY_H304[[#This Row],[HR]])+(NYY_H304[[#This Row],[2B]]*2)+(NYY_H304[[#This Row],[3B]]*3)+(NYY_H304[[#This Row],[HR]]*4),0)</f>
        <v>62</v>
      </c>
      <c r="AT6" s="72">
        <f>NYY_H304[[#This Row],[OBP]]+NYY_H304[[#This Row],[SLG]]</f>
        <v>0.75072931060955006</v>
      </c>
      <c r="AU6" s="74">
        <v>1</v>
      </c>
      <c r="AV6" s="615">
        <v>3</v>
      </c>
      <c r="AY6" s="651" t="s">
        <v>165</v>
      </c>
      <c r="AZ6" s="74" t="s">
        <v>172</v>
      </c>
      <c r="BA6" s="71" t="s">
        <v>173</v>
      </c>
      <c r="BB6" s="72">
        <f>IFERROR(NYY_H217[[#This Row],[H]]/NYY_H217[[#This Row],[AB]],0)</f>
        <v>0.3125</v>
      </c>
      <c r="BC6" s="72">
        <f>IFERROR((NYY_H217[[#This Row],[BB]]+NYY_H217[[#This Row],[H]])/(NYY_H217[[#This Row],[AB]]+NYY_H217[[#This Row],[BB]]),0)</f>
        <v>0.39890710382513661</v>
      </c>
      <c r="BD6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0.49375000000000002</v>
      </c>
      <c r="BE6" s="28">
        <v>40</v>
      </c>
      <c r="BF6" s="90">
        <v>160</v>
      </c>
      <c r="BG6" s="90">
        <v>20</v>
      </c>
      <c r="BH6" s="90">
        <v>50</v>
      </c>
      <c r="BI6" s="90">
        <v>12</v>
      </c>
      <c r="BJ6" s="90">
        <v>1</v>
      </c>
      <c r="BK6" s="90">
        <v>5</v>
      </c>
      <c r="BL6" s="90">
        <v>27</v>
      </c>
      <c r="BM6" s="90">
        <v>23</v>
      </c>
      <c r="BN6" s="95">
        <v>30</v>
      </c>
      <c r="BO6" s="90">
        <v>5</v>
      </c>
      <c r="BP6" s="90">
        <v>2</v>
      </c>
      <c r="BQ6" s="95">
        <v>9</v>
      </c>
      <c r="BR6" s="90">
        <f t="shared" si="0"/>
        <v>79</v>
      </c>
      <c r="BS6" s="72">
        <f>IFERROR(NYY_H217[[#This Row],[OBP]]+NYY_H217[[#This Row],[SLG]],0)</f>
        <v>0.89265710382513663</v>
      </c>
      <c r="BT6" s="74">
        <v>5</v>
      </c>
      <c r="BU6" s="615">
        <v>3</v>
      </c>
    </row>
    <row r="7" spans="1:73">
      <c r="A7" s="609" t="s">
        <v>165</v>
      </c>
      <c r="B7" s="71" t="s">
        <v>153</v>
      </c>
      <c r="C7" s="77" t="s">
        <v>171</v>
      </c>
      <c r="D7" s="130">
        <f>IFERROR((NYY_H[[#This Row],[H]]/NYY_H[[#This Row],[AB]]),0)</f>
        <v>0.2</v>
      </c>
      <c r="E7" s="72">
        <f>IFERROR((NYY_H[[#This Row],[H]]+NYY_H[[#This Row],[BB]])/(NYY_H[[#This Row],[AB]]+NYY_H[[#This Row],[BB]]),)</f>
        <v>0.25827814569536423</v>
      </c>
      <c r="F7" s="73">
        <f>IFERROR(((NYY_H[[#This Row],[H]]-NYY_H[[#This Row],[2B]]-NYY_H[[#This Row],[3B]]-NYY_H[[#This Row],[HR]])+(NYY_H[[#This Row],[2B]]*2)+(NYY_H[[#This Row],[3B]]*3)+(NYY_H[[#This Row],[HR]]*4))/NYY_H[[#This Row],[AB]],0)</f>
        <v>0.35714285714285715</v>
      </c>
      <c r="G7" s="28">
        <v>37</v>
      </c>
      <c r="H7" s="90">
        <v>140</v>
      </c>
      <c r="I7" s="90">
        <v>12</v>
      </c>
      <c r="J7" s="90">
        <v>28</v>
      </c>
      <c r="K7" s="90">
        <v>7</v>
      </c>
      <c r="L7" s="90">
        <v>0</v>
      </c>
      <c r="M7" s="90">
        <v>5</v>
      </c>
      <c r="N7" s="90">
        <v>14</v>
      </c>
      <c r="O7" s="90">
        <v>11</v>
      </c>
      <c r="P7" s="95">
        <v>40</v>
      </c>
      <c r="Q7" s="90">
        <v>0</v>
      </c>
      <c r="R7" s="90">
        <v>0</v>
      </c>
      <c r="S7" s="95">
        <v>5</v>
      </c>
      <c r="T7" s="90">
        <f>IFERROR((NYY_H[[#This Row],[H]]-NYY_H[[#This Row],[2B]]-NYY_H[[#This Row],[3B]]-NYY_H[[#This Row],[HR]])+(NYY_H[[#This Row],[2B]]*2)+(NYY_H[[#This Row],[3B]]*3)+(NYY_H[[#This Row],[HR]]*4),0)</f>
        <v>50</v>
      </c>
      <c r="U7" s="72">
        <f>NYY_H[[#This Row],[OBP]]+NYY_H[[#This Row],[SLG]]</f>
        <v>0.61542100283822143</v>
      </c>
      <c r="V7" s="74">
        <v>0</v>
      </c>
      <c r="W7" s="615">
        <v>4</v>
      </c>
      <c r="Z7" s="651" t="s">
        <v>165</v>
      </c>
      <c r="AA7" s="71" t="s">
        <v>153</v>
      </c>
      <c r="AB7" s="71" t="s">
        <v>171</v>
      </c>
      <c r="AC7" s="72">
        <f>IFERROR((NYY_H304[[#This Row],[H]]/NYY_H304[[#This Row],[AB]]),0)</f>
        <v>0.24427480916030533</v>
      </c>
      <c r="AD7" s="72">
        <f>IFERROR((NYY_H304[[#This Row],[H]]+NYY_H304[[#This Row],[BB]])/(NYY_H304[[#This Row],[AB]]+NYY_H304[[#This Row],[BB]]),)</f>
        <v>0.32191780821917809</v>
      </c>
      <c r="AE7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0.58015267175572516</v>
      </c>
      <c r="AF7" s="28">
        <v>36</v>
      </c>
      <c r="AG7" s="90">
        <v>131</v>
      </c>
      <c r="AH7" s="90">
        <v>23</v>
      </c>
      <c r="AI7" s="90">
        <v>32</v>
      </c>
      <c r="AJ7" s="90">
        <v>8</v>
      </c>
      <c r="AK7" s="90">
        <v>0</v>
      </c>
      <c r="AL7" s="90">
        <v>12</v>
      </c>
      <c r="AM7" s="90">
        <v>28</v>
      </c>
      <c r="AN7" s="90">
        <v>15</v>
      </c>
      <c r="AO7" s="95">
        <v>36</v>
      </c>
      <c r="AP7" s="90">
        <v>0</v>
      </c>
      <c r="AQ7" s="90">
        <v>6</v>
      </c>
      <c r="AR7" s="95">
        <v>6</v>
      </c>
      <c r="AS7" s="90">
        <f>IFERROR((NYY_H304[[#This Row],[H]]-NYY_H304[[#This Row],[2B]]-NYY_H304[[#This Row],[3B]]-NYY_H304[[#This Row],[HR]])+(NYY_H304[[#This Row],[2B]]*2)+(NYY_H304[[#This Row],[3B]]*3)+(NYY_H304[[#This Row],[HR]]*4),0)</f>
        <v>76</v>
      </c>
      <c r="AT7" s="72">
        <f>NYY_H304[[#This Row],[OBP]]+NYY_H304[[#This Row],[SLG]]</f>
        <v>0.90207047997490331</v>
      </c>
      <c r="AU7" s="74">
        <v>6</v>
      </c>
      <c r="AV7" s="615">
        <v>4</v>
      </c>
      <c r="AY7" s="651" t="s">
        <v>165</v>
      </c>
      <c r="AZ7" s="74" t="s">
        <v>153</v>
      </c>
      <c r="BA7" s="71" t="s">
        <v>175</v>
      </c>
      <c r="BB7" s="72">
        <f>IFERROR(NYY_H217[[#This Row],[H]]/NYY_H217[[#This Row],[AB]],0)</f>
        <v>0.27407407407407408</v>
      </c>
      <c r="BC7" s="72">
        <f>IFERROR((NYY_H217[[#This Row],[BB]]+NYY_H217[[#This Row],[H]])/(NYY_H217[[#This Row],[AB]]+NYY_H217[[#This Row],[BB]]),0)</f>
        <v>0.36363636363636365</v>
      </c>
      <c r="BD7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0.45925925925925926</v>
      </c>
      <c r="BE7" s="28">
        <v>38</v>
      </c>
      <c r="BF7" s="90">
        <v>135</v>
      </c>
      <c r="BG7" s="90">
        <v>22</v>
      </c>
      <c r="BH7" s="90">
        <v>37</v>
      </c>
      <c r="BI7" s="90">
        <v>8</v>
      </c>
      <c r="BJ7" s="90">
        <v>1</v>
      </c>
      <c r="BK7" s="90">
        <v>5</v>
      </c>
      <c r="BL7" s="90">
        <v>15</v>
      </c>
      <c r="BM7" s="90">
        <v>19</v>
      </c>
      <c r="BN7" s="95">
        <v>25</v>
      </c>
      <c r="BO7" s="90">
        <v>0</v>
      </c>
      <c r="BP7" s="90">
        <v>1</v>
      </c>
      <c r="BQ7" s="95">
        <v>8</v>
      </c>
      <c r="BR7" s="90">
        <f t="shared" si="0"/>
        <v>62</v>
      </c>
      <c r="BS7" s="72">
        <f>IFERROR(NYY_H217[[#This Row],[OBP]]+NYY_H217[[#This Row],[SLG]],0)</f>
        <v>0.8228956228956229</v>
      </c>
      <c r="BT7" s="74">
        <v>1</v>
      </c>
      <c r="BU7" s="615">
        <v>4</v>
      </c>
    </row>
    <row r="8" spans="1:73">
      <c r="A8" s="609" t="s">
        <v>165</v>
      </c>
      <c r="B8" s="71" t="s">
        <v>177</v>
      </c>
      <c r="C8" s="77" t="s">
        <v>178</v>
      </c>
      <c r="D8" s="130">
        <f>IFERROR((NYY_H[[#This Row],[H]]/NYY_H[[#This Row],[AB]]),0)</f>
        <v>0.27108433734939757</v>
      </c>
      <c r="E8" s="72">
        <f>IFERROR((NYY_H[[#This Row],[H]]+NYY_H[[#This Row],[BB]])/(NYY_H[[#This Row],[AB]]+NYY_H[[#This Row],[BB]]),)</f>
        <v>0.3202247191011236</v>
      </c>
      <c r="F8" s="73">
        <f>IFERROR(((NYY_H[[#This Row],[H]]-NYY_H[[#This Row],[2B]]-NYY_H[[#This Row],[3B]]-NYY_H[[#This Row],[HR]])+(NYY_H[[#This Row],[2B]]*2)+(NYY_H[[#This Row],[3B]]*3)+(NYY_H[[#This Row],[HR]]*4))/NYY_H[[#This Row],[AB]],0)</f>
        <v>0.37349397590361444</v>
      </c>
      <c r="G8" s="28">
        <v>39</v>
      </c>
      <c r="H8" s="90">
        <v>166</v>
      </c>
      <c r="I8" s="90">
        <v>23</v>
      </c>
      <c r="J8" s="90">
        <v>45</v>
      </c>
      <c r="K8" s="90">
        <v>11</v>
      </c>
      <c r="L8" s="90">
        <v>0</v>
      </c>
      <c r="M8" s="90">
        <v>2</v>
      </c>
      <c r="N8" s="90">
        <v>14</v>
      </c>
      <c r="O8" s="90">
        <v>12</v>
      </c>
      <c r="P8" s="95">
        <v>23</v>
      </c>
      <c r="Q8" s="90">
        <v>0</v>
      </c>
      <c r="R8" s="90">
        <v>1</v>
      </c>
      <c r="S8" s="95">
        <v>8</v>
      </c>
      <c r="T8" s="90">
        <f>IFERROR((NYY_H[[#This Row],[H]]-NYY_H[[#This Row],[2B]]-NYY_H[[#This Row],[3B]]-NYY_H[[#This Row],[HR]])+(NYY_H[[#This Row],[2B]]*2)+(NYY_H[[#This Row],[3B]]*3)+(NYY_H[[#This Row],[HR]]*4),0)</f>
        <v>62</v>
      </c>
      <c r="U8" s="72">
        <f>NYY_H[[#This Row],[OBP]]+NYY_H[[#This Row],[SLG]]</f>
        <v>0.69371869500473804</v>
      </c>
      <c r="V8" s="74">
        <v>3</v>
      </c>
      <c r="W8" s="615">
        <v>5</v>
      </c>
      <c r="Z8" s="651" t="s">
        <v>165</v>
      </c>
      <c r="AA8" s="71" t="s">
        <v>177</v>
      </c>
      <c r="AB8" s="71" t="s">
        <v>178</v>
      </c>
      <c r="AC8" s="72">
        <f>IFERROR((NYY_H304[[#This Row],[H]]/NYY_H304[[#This Row],[AB]]),0)</f>
        <v>0.27631578947368424</v>
      </c>
      <c r="AD8" s="72">
        <f>IFERROR((NYY_H304[[#This Row],[H]]+NYY_H304[[#This Row],[BB]])/(NYY_H304[[#This Row],[AB]]+NYY_H304[[#This Row],[BB]]),)</f>
        <v>0.34911242603550297</v>
      </c>
      <c r="AE8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0.39473684210526316</v>
      </c>
      <c r="AF8" s="28">
        <v>38</v>
      </c>
      <c r="AG8" s="90">
        <v>152</v>
      </c>
      <c r="AH8" s="90">
        <v>23</v>
      </c>
      <c r="AI8" s="90">
        <v>42</v>
      </c>
      <c r="AJ8" s="90">
        <v>9</v>
      </c>
      <c r="AK8" s="90">
        <v>0</v>
      </c>
      <c r="AL8" s="90">
        <v>3</v>
      </c>
      <c r="AM8" s="90">
        <v>16</v>
      </c>
      <c r="AN8" s="90">
        <v>17</v>
      </c>
      <c r="AO8" s="95">
        <v>40</v>
      </c>
      <c r="AP8" s="90">
        <v>0</v>
      </c>
      <c r="AQ8" s="90">
        <v>2</v>
      </c>
      <c r="AR8" s="95">
        <v>9</v>
      </c>
      <c r="AS8" s="90">
        <f>IFERROR((NYY_H304[[#This Row],[H]]-NYY_H304[[#This Row],[2B]]-NYY_H304[[#This Row],[3B]]-NYY_H304[[#This Row],[HR]])+(NYY_H304[[#This Row],[2B]]*2)+(NYY_H304[[#This Row],[3B]]*3)+(NYY_H304[[#This Row],[HR]]*4),0)</f>
        <v>60</v>
      </c>
      <c r="AT8" s="72">
        <f>NYY_H304[[#This Row],[OBP]]+NYY_H304[[#This Row],[SLG]]</f>
        <v>0.74384926814076613</v>
      </c>
      <c r="AU8" s="74">
        <v>2</v>
      </c>
      <c r="AV8" s="615">
        <v>5</v>
      </c>
      <c r="AY8" s="651" t="s">
        <v>165</v>
      </c>
      <c r="AZ8" s="74" t="s">
        <v>177</v>
      </c>
      <c r="BA8" s="71" t="s">
        <v>178</v>
      </c>
      <c r="BB8" s="72">
        <f>IFERROR(NYY_H217[[#This Row],[H]]/NYY_H217[[#This Row],[AB]],0)</f>
        <v>0.24817518248175183</v>
      </c>
      <c r="BC8" s="72">
        <f>IFERROR((NYY_H217[[#This Row],[BB]]+NYY_H217[[#This Row],[H]])/(NYY_H217[[#This Row],[AB]]+NYY_H217[[#This Row],[BB]]),0)</f>
        <v>0.31333333333333335</v>
      </c>
      <c r="BD8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0.40145985401459855</v>
      </c>
      <c r="BE8" s="28">
        <v>37</v>
      </c>
      <c r="BF8" s="90">
        <v>137</v>
      </c>
      <c r="BG8" s="90">
        <v>14</v>
      </c>
      <c r="BH8" s="90">
        <v>34</v>
      </c>
      <c r="BI8" s="90">
        <v>6</v>
      </c>
      <c r="BJ8" s="90">
        <f>0</f>
        <v>0</v>
      </c>
      <c r="BK8" s="90">
        <v>5</v>
      </c>
      <c r="BL8" s="90">
        <v>14</v>
      </c>
      <c r="BM8" s="90">
        <v>13</v>
      </c>
      <c r="BN8" s="95">
        <v>22</v>
      </c>
      <c r="BO8" s="90">
        <v>0</v>
      </c>
      <c r="BP8" s="90">
        <v>0</v>
      </c>
      <c r="BQ8" s="95">
        <v>4</v>
      </c>
      <c r="BR8" s="90">
        <f t="shared" si="0"/>
        <v>55</v>
      </c>
      <c r="BS8" s="72">
        <f>IFERROR(NYY_H217[[#This Row],[OBP]]+NYY_H217[[#This Row],[SLG]],0)</f>
        <v>0.71479318734793185</v>
      </c>
      <c r="BT8" s="74">
        <v>0</v>
      </c>
      <c r="BU8" s="615">
        <v>5</v>
      </c>
    </row>
    <row r="9" spans="1:73">
      <c r="A9" s="609" t="s">
        <v>165</v>
      </c>
      <c r="B9" s="71" t="s">
        <v>174</v>
      </c>
      <c r="C9" s="77" t="s">
        <v>169</v>
      </c>
      <c r="D9" s="130">
        <f>IFERROR((NYY_H[[#This Row],[H]]/NYY_H[[#This Row],[AB]]),0)</f>
        <v>0.27083333333333331</v>
      </c>
      <c r="E9" s="72">
        <f>IFERROR((NYY_H[[#This Row],[H]]+NYY_H[[#This Row],[BB]])/(NYY_H[[#This Row],[AB]]+NYY_H[[#This Row],[BB]]),)</f>
        <v>0.378698224852071</v>
      </c>
      <c r="F9" s="73">
        <f>IFERROR(((NYY_H[[#This Row],[H]]-NYY_H[[#This Row],[2B]]-NYY_H[[#This Row],[3B]]-NYY_H[[#This Row],[HR]])+(NYY_H[[#This Row],[2B]]*2)+(NYY_H[[#This Row],[3B]]*3)+(NYY_H[[#This Row],[HR]]*4))/NYY_H[[#This Row],[AB]],0)</f>
        <v>0.51388888888888884</v>
      </c>
      <c r="G9" s="28">
        <v>39</v>
      </c>
      <c r="H9" s="90">
        <v>144</v>
      </c>
      <c r="I9" s="90">
        <v>26</v>
      </c>
      <c r="J9" s="90">
        <v>39</v>
      </c>
      <c r="K9" s="90">
        <v>8</v>
      </c>
      <c r="L9" s="90">
        <v>0</v>
      </c>
      <c r="M9" s="90">
        <v>9</v>
      </c>
      <c r="N9" s="90">
        <v>21</v>
      </c>
      <c r="O9" s="90">
        <v>25</v>
      </c>
      <c r="P9" s="95">
        <v>56</v>
      </c>
      <c r="Q9" s="90">
        <v>0</v>
      </c>
      <c r="R9" s="90">
        <v>1</v>
      </c>
      <c r="S9" s="95">
        <v>7</v>
      </c>
      <c r="T9" s="90">
        <f>IFERROR((NYY_H[[#This Row],[H]]-NYY_H[[#This Row],[2B]]-NYY_H[[#This Row],[3B]]-NYY_H[[#This Row],[HR]])+(NYY_H[[#This Row],[2B]]*2)+(NYY_H[[#This Row],[3B]]*3)+(NYY_H[[#This Row],[HR]]*4),0)</f>
        <v>74</v>
      </c>
      <c r="U9" s="72">
        <f>NYY_H[[#This Row],[OBP]]+NYY_H[[#This Row],[SLG]]</f>
        <v>0.89258711374095978</v>
      </c>
      <c r="V9" s="74">
        <v>5</v>
      </c>
      <c r="W9" s="615">
        <v>6</v>
      </c>
      <c r="Z9" s="651" t="s">
        <v>165</v>
      </c>
      <c r="AA9" s="71" t="s">
        <v>174</v>
      </c>
      <c r="AB9" s="71" t="s">
        <v>170</v>
      </c>
      <c r="AC9" s="72">
        <f>IFERROR((NYY_H304[[#This Row],[H]]/NYY_H304[[#This Row],[AB]]),0)</f>
        <v>0.29565217391304349</v>
      </c>
      <c r="AD9" s="72">
        <f>IFERROR((NYY_H304[[#This Row],[H]]+NYY_H304[[#This Row],[BB]])/(NYY_H304[[#This Row],[AB]]+NYY_H304[[#This Row],[BB]]),)</f>
        <v>0.37692307692307692</v>
      </c>
      <c r="AE9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0.48695652173913045</v>
      </c>
      <c r="AF9" s="28">
        <v>31</v>
      </c>
      <c r="AG9" s="90">
        <v>115</v>
      </c>
      <c r="AH9" s="90">
        <v>17</v>
      </c>
      <c r="AI9" s="90">
        <v>34</v>
      </c>
      <c r="AJ9" s="90">
        <v>7</v>
      </c>
      <c r="AK9" s="90">
        <v>0</v>
      </c>
      <c r="AL9" s="90">
        <v>5</v>
      </c>
      <c r="AM9" s="90">
        <v>17</v>
      </c>
      <c r="AN9" s="90">
        <v>15</v>
      </c>
      <c r="AO9" s="95">
        <v>19</v>
      </c>
      <c r="AP9" s="90">
        <v>0</v>
      </c>
      <c r="AQ9" s="90">
        <v>1</v>
      </c>
      <c r="AR9" s="95">
        <v>7</v>
      </c>
      <c r="AS9" s="90">
        <f>IFERROR((NYY_H304[[#This Row],[H]]-NYY_H304[[#This Row],[2B]]-NYY_H304[[#This Row],[3B]]-NYY_H304[[#This Row],[HR]])+(NYY_H304[[#This Row],[2B]]*2)+(NYY_H304[[#This Row],[3B]]*3)+(NYY_H304[[#This Row],[HR]]*4),0)</f>
        <v>56</v>
      </c>
      <c r="AT9" s="72">
        <f>NYY_H304[[#This Row],[OBP]]+NYY_H304[[#This Row],[SLG]]</f>
        <v>0.86387959866220743</v>
      </c>
      <c r="AU9" s="74">
        <v>1</v>
      </c>
      <c r="AV9" s="615">
        <v>6</v>
      </c>
      <c r="AY9" s="651" t="s">
        <v>165</v>
      </c>
      <c r="AZ9" s="74" t="s">
        <v>174</v>
      </c>
      <c r="BA9" s="71" t="s">
        <v>170</v>
      </c>
      <c r="BB9" s="72">
        <f>IFERROR(NYY_H217[[#This Row],[H]]/NYY_H217[[#This Row],[AB]],0)</f>
        <v>0.3235294117647059</v>
      </c>
      <c r="BC9" s="72">
        <f>IFERROR((NYY_H217[[#This Row],[BB]]+NYY_H217[[#This Row],[H]])/(NYY_H217[[#This Row],[AB]]+NYY_H217[[#This Row],[BB]]),0)</f>
        <v>0.38392857142857145</v>
      </c>
      <c r="BD9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0.50980392156862742</v>
      </c>
      <c r="BE9" s="28">
        <v>34</v>
      </c>
      <c r="BF9" s="90">
        <v>102</v>
      </c>
      <c r="BG9" s="90">
        <v>15</v>
      </c>
      <c r="BH9" s="90">
        <v>33</v>
      </c>
      <c r="BI9" s="90">
        <v>7</v>
      </c>
      <c r="BJ9" s="90">
        <f>0</f>
        <v>0</v>
      </c>
      <c r="BK9" s="90">
        <v>4</v>
      </c>
      <c r="BL9" s="90">
        <v>16</v>
      </c>
      <c r="BM9" s="90">
        <v>10</v>
      </c>
      <c r="BN9" s="95">
        <v>17</v>
      </c>
      <c r="BO9" s="90">
        <v>0</v>
      </c>
      <c r="BP9" s="90">
        <v>3</v>
      </c>
      <c r="BQ9" s="95">
        <v>9</v>
      </c>
      <c r="BR9" s="90">
        <f t="shared" si="0"/>
        <v>52</v>
      </c>
      <c r="BS9" s="72">
        <f>IFERROR(NYY_H217[[#This Row],[OBP]]+NYY_H217[[#This Row],[SLG]],0)</f>
        <v>0.89373249299719881</v>
      </c>
      <c r="BT9" s="74">
        <v>1</v>
      </c>
      <c r="BU9" s="615">
        <v>6</v>
      </c>
    </row>
    <row r="10" spans="1:73">
      <c r="A10" s="609" t="s">
        <v>165</v>
      </c>
      <c r="B10" s="71" t="s">
        <v>181</v>
      </c>
      <c r="C10" s="77" t="s">
        <v>183</v>
      </c>
      <c r="D10" s="130">
        <f>IFERROR((NYY_H[[#This Row],[H]]/NYY_H[[#This Row],[AB]]),0)</f>
        <v>0.20353982300884957</v>
      </c>
      <c r="E10" s="72">
        <f>IFERROR((NYY_H[[#This Row],[H]]+NYY_H[[#This Row],[BB]])/(NYY_H[[#This Row],[AB]]+NYY_H[[#This Row],[BB]]),)</f>
        <v>0.29133858267716534</v>
      </c>
      <c r="F10" s="73">
        <f>IFERROR(((NYY_H[[#This Row],[H]]-NYY_H[[#This Row],[2B]]-NYY_H[[#This Row],[3B]]-NYY_H[[#This Row],[HR]])+(NYY_H[[#This Row],[2B]]*2)+(NYY_H[[#This Row],[3B]]*3)+(NYY_H[[#This Row],[HR]]*4))/NYY_H[[#This Row],[AB]],0)</f>
        <v>0.38053097345132741</v>
      </c>
      <c r="G10" s="28">
        <v>34</v>
      </c>
      <c r="H10" s="90">
        <v>113</v>
      </c>
      <c r="I10" s="90">
        <v>13</v>
      </c>
      <c r="J10" s="90">
        <v>23</v>
      </c>
      <c r="K10" s="90">
        <v>6</v>
      </c>
      <c r="L10" s="90">
        <v>1</v>
      </c>
      <c r="M10" s="90">
        <v>4</v>
      </c>
      <c r="N10" s="90">
        <v>12</v>
      </c>
      <c r="O10" s="90">
        <v>14</v>
      </c>
      <c r="P10" s="95">
        <v>39</v>
      </c>
      <c r="Q10" s="90">
        <v>4</v>
      </c>
      <c r="R10" s="90">
        <v>0</v>
      </c>
      <c r="S10" s="95">
        <v>6</v>
      </c>
      <c r="T10" s="90">
        <f>IFERROR((NYY_H[[#This Row],[H]]-NYY_H[[#This Row],[2B]]-NYY_H[[#This Row],[3B]]-NYY_H[[#This Row],[HR]])+(NYY_H[[#This Row],[2B]]*2)+(NYY_H[[#This Row],[3B]]*3)+(NYY_H[[#This Row],[HR]]*4),0)</f>
        <v>43</v>
      </c>
      <c r="U10" s="72">
        <f>NYY_H[[#This Row],[OBP]]+NYY_H[[#This Row],[SLG]]</f>
        <v>0.67186955612849275</v>
      </c>
      <c r="V10" s="74">
        <v>1</v>
      </c>
      <c r="W10" s="615">
        <v>7</v>
      </c>
      <c r="Z10" s="651" t="s">
        <v>165</v>
      </c>
      <c r="AA10" s="71" t="s">
        <v>181</v>
      </c>
      <c r="AB10" s="77" t="s">
        <v>182</v>
      </c>
      <c r="AC10" s="130">
        <f>IFERROR((NYY_H304[[#This Row],[H]]/NYY_H304[[#This Row],[AB]]),0)</f>
        <v>0.22641509433962265</v>
      </c>
      <c r="AD10" s="72">
        <f>IFERROR((NYY_H304[[#This Row],[H]]+NYY_H304[[#This Row],[BB]])/(NYY_H304[[#This Row],[AB]]+NYY_H304[[#This Row],[BB]]),)</f>
        <v>0.2807017543859649</v>
      </c>
      <c r="AE10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0.45283018867924529</v>
      </c>
      <c r="AF10" s="28">
        <v>16</v>
      </c>
      <c r="AG10" s="90">
        <v>53</v>
      </c>
      <c r="AH10" s="90">
        <v>10</v>
      </c>
      <c r="AI10" s="90">
        <v>12</v>
      </c>
      <c r="AJ10" s="90">
        <v>1</v>
      </c>
      <c r="AK10" s="90">
        <v>1</v>
      </c>
      <c r="AL10" s="90">
        <v>3</v>
      </c>
      <c r="AM10" s="90">
        <v>4</v>
      </c>
      <c r="AN10" s="90">
        <v>4</v>
      </c>
      <c r="AO10" s="95">
        <v>20</v>
      </c>
      <c r="AP10" s="90">
        <v>0</v>
      </c>
      <c r="AQ10" s="90">
        <v>2</v>
      </c>
      <c r="AR10" s="95">
        <v>2</v>
      </c>
      <c r="AS10" s="90">
        <f>IFERROR((NYY_H304[[#This Row],[H]]-NYY_H304[[#This Row],[2B]]-NYY_H304[[#This Row],[3B]]-NYY_H304[[#This Row],[HR]])+(NYY_H304[[#This Row],[2B]]*2)+(NYY_H304[[#This Row],[3B]]*3)+(NYY_H304[[#This Row],[HR]]*4),0)</f>
        <v>24</v>
      </c>
      <c r="AT10" s="72">
        <f>NYY_H304[[#This Row],[OBP]]+NYY_H304[[#This Row],[SLG]]</f>
        <v>0.73353194306521019</v>
      </c>
      <c r="AU10" s="74">
        <v>0</v>
      </c>
      <c r="AV10" s="615">
        <v>7</v>
      </c>
      <c r="AY10" s="651" t="s">
        <v>165</v>
      </c>
      <c r="AZ10" s="74" t="s">
        <v>181</v>
      </c>
      <c r="BA10" s="71" t="s">
        <v>182</v>
      </c>
      <c r="BB10" s="72">
        <f>IFERROR(NYY_H217[[#This Row],[H]]/NYY_H217[[#This Row],[AB]],0)</f>
        <v>0.25974025974025972</v>
      </c>
      <c r="BC10" s="72">
        <f>IFERROR((NYY_H217[[#This Row],[BB]]+NYY_H217[[#This Row],[H]])/(NYY_H217[[#This Row],[AB]]+NYY_H217[[#This Row],[BB]]),0)</f>
        <v>0.32941176470588235</v>
      </c>
      <c r="BD10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0.40259740259740262</v>
      </c>
      <c r="BE10" s="28">
        <v>32</v>
      </c>
      <c r="BF10" s="90">
        <v>77</v>
      </c>
      <c r="BG10" s="90">
        <v>11</v>
      </c>
      <c r="BH10" s="90">
        <v>20</v>
      </c>
      <c r="BI10" s="90">
        <v>2</v>
      </c>
      <c r="BJ10" s="90">
        <f>0</f>
        <v>0</v>
      </c>
      <c r="BK10" s="90">
        <v>3</v>
      </c>
      <c r="BL10" s="90">
        <v>10</v>
      </c>
      <c r="BM10" s="90">
        <v>8</v>
      </c>
      <c r="BN10" s="95">
        <v>21</v>
      </c>
      <c r="BO10" s="90">
        <v>0</v>
      </c>
      <c r="BP10" s="90">
        <v>2</v>
      </c>
      <c r="BQ10" s="95">
        <v>3</v>
      </c>
      <c r="BR10" s="90">
        <f t="shared" si="0"/>
        <v>31</v>
      </c>
      <c r="BS10" s="72">
        <f>IFERROR(NYY_H217[[#This Row],[OBP]]+NYY_H217[[#This Row],[SLG]],0)</f>
        <v>0.73200916730328491</v>
      </c>
      <c r="BT10" s="74">
        <v>2</v>
      </c>
      <c r="BU10" s="615">
        <v>7</v>
      </c>
    </row>
    <row r="11" spans="1:73">
      <c r="A11" s="609" t="s">
        <v>165</v>
      </c>
      <c r="B11" s="345" t="s">
        <v>166</v>
      </c>
      <c r="C11" s="77" t="s">
        <v>167</v>
      </c>
      <c r="D11" s="130">
        <f>IFERROR((NYY_H[[#This Row],[H]]/NYY_H[[#This Row],[AB]]),0)</f>
        <v>0.27500000000000002</v>
      </c>
      <c r="E11" s="72">
        <f>IFERROR((NYY_H[[#This Row],[H]]+NYY_H[[#This Row],[BB]])/(NYY_H[[#This Row],[AB]]+NYY_H[[#This Row],[BB]]),)</f>
        <v>0.36612021857923499</v>
      </c>
      <c r="F11" s="73">
        <f>IFERROR(((NYY_H[[#This Row],[H]]-NYY_H[[#This Row],[2B]]-NYY_H[[#This Row],[3B]]-NYY_H[[#This Row],[HR]])+(NYY_H[[#This Row],[2B]]*2)+(NYY_H[[#This Row],[3B]]*3)+(NYY_H[[#This Row],[HR]]*4))/NYY_H[[#This Row],[AB]],0)</f>
        <v>0.60624999999999996</v>
      </c>
      <c r="G11" s="28">
        <v>40</v>
      </c>
      <c r="H11" s="90">
        <v>160</v>
      </c>
      <c r="I11" s="90">
        <v>31</v>
      </c>
      <c r="J11" s="90">
        <v>44</v>
      </c>
      <c r="K11" s="90">
        <v>8</v>
      </c>
      <c r="L11" s="90">
        <v>0</v>
      </c>
      <c r="M11" s="595">
        <v>15</v>
      </c>
      <c r="N11" s="90">
        <v>30</v>
      </c>
      <c r="O11" s="90">
        <v>23</v>
      </c>
      <c r="P11" s="95">
        <v>58</v>
      </c>
      <c r="Q11" s="90">
        <v>0</v>
      </c>
      <c r="R11" s="90">
        <v>0</v>
      </c>
      <c r="S11" s="95">
        <v>8</v>
      </c>
      <c r="T11" s="90">
        <f>IFERROR((NYY_H[[#This Row],[H]]-NYY_H[[#This Row],[2B]]-NYY_H[[#This Row],[3B]]-NYY_H[[#This Row],[HR]])+(NYY_H[[#This Row],[2B]]*2)+(NYY_H[[#This Row],[3B]]*3)+(NYY_H[[#This Row],[HR]]*4),0)</f>
        <v>97</v>
      </c>
      <c r="U11" s="72">
        <f>NYY_H[[#This Row],[OBP]]+NYY_H[[#This Row],[SLG]]</f>
        <v>0.97237021857923489</v>
      </c>
      <c r="V11" s="74">
        <v>7</v>
      </c>
      <c r="W11" s="615">
        <v>8</v>
      </c>
      <c r="Z11" s="651" t="s">
        <v>165</v>
      </c>
      <c r="AA11" s="71" t="s">
        <v>166</v>
      </c>
      <c r="AB11" s="71" t="s">
        <v>167</v>
      </c>
      <c r="AC11" s="72">
        <f>IFERROR((NYY_H304[[#This Row],[H]]/NYY_H304[[#This Row],[AB]]),0)</f>
        <v>0.28000000000000003</v>
      </c>
      <c r="AD11" s="72">
        <f>IFERROR((NYY_H304[[#This Row],[H]]+NYY_H304[[#This Row],[BB]])/(NYY_H304[[#This Row],[AB]]+NYY_H304[[#This Row],[BB]]),)</f>
        <v>0.3493975903614458</v>
      </c>
      <c r="AE11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0.52666666666666662</v>
      </c>
      <c r="AF11" s="28">
        <v>38</v>
      </c>
      <c r="AG11" s="90">
        <v>150</v>
      </c>
      <c r="AH11" s="90">
        <v>20</v>
      </c>
      <c r="AI11" s="90">
        <v>42</v>
      </c>
      <c r="AJ11" s="90">
        <v>10</v>
      </c>
      <c r="AK11" s="90">
        <v>0</v>
      </c>
      <c r="AL11" s="90">
        <v>9</v>
      </c>
      <c r="AM11" s="90">
        <v>27</v>
      </c>
      <c r="AN11" s="90">
        <v>16</v>
      </c>
      <c r="AO11" s="95">
        <v>55</v>
      </c>
      <c r="AP11" s="90">
        <v>0</v>
      </c>
      <c r="AQ11" s="90">
        <v>0</v>
      </c>
      <c r="AR11" s="95">
        <v>8</v>
      </c>
      <c r="AS11" s="90">
        <f>IFERROR((NYY_H304[[#This Row],[H]]-NYY_H304[[#This Row],[2B]]-NYY_H304[[#This Row],[3B]]-NYY_H304[[#This Row],[HR]])+(NYY_H304[[#This Row],[2B]]*2)+(NYY_H304[[#This Row],[3B]]*3)+(NYY_H304[[#This Row],[HR]]*4),0)</f>
        <v>79</v>
      </c>
      <c r="AT11" s="72">
        <f>NYY_H304[[#This Row],[OBP]]+NYY_H304[[#This Row],[SLG]]</f>
        <v>0.87606425702811241</v>
      </c>
      <c r="AU11" s="74">
        <v>3</v>
      </c>
      <c r="AV11" s="615">
        <v>8</v>
      </c>
      <c r="AY11" s="651" t="s">
        <v>165</v>
      </c>
      <c r="AZ11" s="74" t="s">
        <v>166</v>
      </c>
      <c r="BA11" s="71" t="s">
        <v>167</v>
      </c>
      <c r="BB11" s="72">
        <f>IFERROR(NYY_H217[[#This Row],[H]]/NYY_H217[[#This Row],[AB]],0)</f>
        <v>0.20121951219512196</v>
      </c>
      <c r="BC11" s="72">
        <f>IFERROR((NYY_H217[[#This Row],[BB]]+NYY_H217[[#This Row],[H]])/(NYY_H217[[#This Row],[AB]]+NYY_H217[[#This Row],[BB]]),0)</f>
        <v>0.29569892473118281</v>
      </c>
      <c r="BD11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0.40243902439024393</v>
      </c>
      <c r="BE11" s="28">
        <v>40</v>
      </c>
      <c r="BF11" s="90">
        <v>164</v>
      </c>
      <c r="BG11" s="90">
        <v>23</v>
      </c>
      <c r="BH11" s="90">
        <v>33</v>
      </c>
      <c r="BI11" s="90">
        <v>6</v>
      </c>
      <c r="BJ11" s="90">
        <f>0</f>
        <v>0</v>
      </c>
      <c r="BK11" s="90">
        <v>9</v>
      </c>
      <c r="BL11" s="90">
        <v>26</v>
      </c>
      <c r="BM11" s="90">
        <v>22</v>
      </c>
      <c r="BN11" s="95">
        <v>62</v>
      </c>
      <c r="BO11" s="90">
        <v>0</v>
      </c>
      <c r="BP11" s="90">
        <v>5</v>
      </c>
      <c r="BQ11" s="95">
        <v>5</v>
      </c>
      <c r="BR11" s="90">
        <f t="shared" si="0"/>
        <v>66</v>
      </c>
      <c r="BS11" s="72">
        <f>IFERROR(NYY_H217[[#This Row],[OBP]]+NYY_H217[[#This Row],[SLG]],0)</f>
        <v>0.69813794912142679</v>
      </c>
      <c r="BT11" s="74">
        <v>4</v>
      </c>
      <c r="BU11" s="615">
        <v>8</v>
      </c>
    </row>
    <row r="12" spans="1:73">
      <c r="A12" s="609" t="s">
        <v>165</v>
      </c>
      <c r="B12" s="71" t="s">
        <v>168</v>
      </c>
      <c r="C12" s="77" t="s">
        <v>170</v>
      </c>
      <c r="D12" s="130">
        <f>IFERROR((NYY_H[[#This Row],[H]]/NYY_H[[#This Row],[AB]]),0)</f>
        <v>0.33566433566433568</v>
      </c>
      <c r="E12" s="72">
        <f>IFERROR((NYY_H[[#This Row],[H]]+NYY_H[[#This Row],[BB]])/(NYY_H[[#This Row],[AB]]+NYY_H[[#This Row],[BB]]),)</f>
        <v>0.38709677419354838</v>
      </c>
      <c r="F12" s="73">
        <f>IFERROR(((NYY_H[[#This Row],[H]]-NYY_H[[#This Row],[2B]]-NYY_H[[#This Row],[3B]]-NYY_H[[#This Row],[HR]])+(NYY_H[[#This Row],[2B]]*2)+(NYY_H[[#This Row],[3B]]*3)+(NYY_H[[#This Row],[HR]]*4))/NYY_H[[#This Row],[AB]],0)</f>
        <v>0.56643356643356646</v>
      </c>
      <c r="G12" s="28">
        <v>36</v>
      </c>
      <c r="H12" s="90">
        <v>143</v>
      </c>
      <c r="I12" s="90">
        <v>15</v>
      </c>
      <c r="J12" s="90">
        <v>48</v>
      </c>
      <c r="K12" s="90">
        <v>12</v>
      </c>
      <c r="L12" s="90">
        <v>0</v>
      </c>
      <c r="M12" s="90">
        <v>7</v>
      </c>
      <c r="N12" s="90">
        <v>28</v>
      </c>
      <c r="O12" s="90">
        <v>12</v>
      </c>
      <c r="P12" s="95">
        <v>35</v>
      </c>
      <c r="Q12" s="90">
        <v>0</v>
      </c>
      <c r="R12" s="90">
        <v>1</v>
      </c>
      <c r="S12" s="95">
        <v>9</v>
      </c>
      <c r="T12" s="90">
        <f>IFERROR((NYY_H[[#This Row],[H]]-NYY_H[[#This Row],[2B]]-NYY_H[[#This Row],[3B]]-NYY_H[[#This Row],[HR]])+(NYY_H[[#This Row],[2B]]*2)+(NYY_H[[#This Row],[3B]]*3)+(NYY_H[[#This Row],[HR]]*4),0)</f>
        <v>81</v>
      </c>
      <c r="U12" s="72">
        <f>NYY_H[[#This Row],[OBP]]+NYY_H[[#This Row],[SLG]]</f>
        <v>0.95353034062711484</v>
      </c>
      <c r="V12" s="74">
        <v>2</v>
      </c>
      <c r="W12" s="615">
        <v>9</v>
      </c>
      <c r="Z12" s="651" t="s">
        <v>165</v>
      </c>
      <c r="AA12" s="71" t="s">
        <v>168</v>
      </c>
      <c r="AB12" s="71" t="s">
        <v>169</v>
      </c>
      <c r="AC12" s="72">
        <f>IFERROR((NYY_H304[[#This Row],[H]]/NYY_H304[[#This Row],[AB]]),0)</f>
        <v>0.16666666666666666</v>
      </c>
      <c r="AD12" s="72">
        <f>IFERROR((NYY_H304[[#This Row],[H]]+NYY_H304[[#This Row],[BB]])/(NYY_H304[[#This Row],[AB]]+NYY_H304[[#This Row],[BB]]),)</f>
        <v>0.2356687898089172</v>
      </c>
      <c r="AE12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0.31944444444444442</v>
      </c>
      <c r="AF12" s="28">
        <v>37</v>
      </c>
      <c r="AG12" s="90">
        <v>144</v>
      </c>
      <c r="AH12" s="90">
        <v>12</v>
      </c>
      <c r="AI12" s="90">
        <v>24</v>
      </c>
      <c r="AJ12" s="90">
        <v>4</v>
      </c>
      <c r="AK12" s="90">
        <v>0</v>
      </c>
      <c r="AL12" s="90">
        <v>6</v>
      </c>
      <c r="AM12" s="90">
        <v>17</v>
      </c>
      <c r="AN12" s="90">
        <v>13</v>
      </c>
      <c r="AO12" s="95">
        <v>57</v>
      </c>
      <c r="AP12" s="90">
        <v>0</v>
      </c>
      <c r="AQ12" s="90">
        <v>0</v>
      </c>
      <c r="AR12" s="95">
        <v>6</v>
      </c>
      <c r="AS12" s="90">
        <f>IFERROR((NYY_H304[[#This Row],[H]]-NYY_H304[[#This Row],[2B]]-NYY_H304[[#This Row],[3B]]-NYY_H304[[#This Row],[HR]])+(NYY_H304[[#This Row],[2B]]*2)+(NYY_H304[[#This Row],[3B]]*3)+(NYY_H304[[#This Row],[HR]]*4),0)</f>
        <v>46</v>
      </c>
      <c r="AT12" s="72">
        <f>NYY_H304[[#This Row],[OBP]]+NYY_H304[[#This Row],[SLG]]</f>
        <v>0.55511323425336156</v>
      </c>
      <c r="AU12" s="74">
        <v>2</v>
      </c>
      <c r="AV12" s="615">
        <v>9</v>
      </c>
      <c r="AY12" s="651" t="s">
        <v>165</v>
      </c>
      <c r="AZ12" s="104" t="s">
        <v>168</v>
      </c>
      <c r="BA12" s="71" t="s">
        <v>169</v>
      </c>
      <c r="BB12" s="72">
        <f>IFERROR(NYY_H217[[#This Row],[H]]/NYY_H217[[#This Row],[AB]],0)</f>
        <v>0.29655172413793102</v>
      </c>
      <c r="BC12" s="72">
        <f>IFERROR((NYY_H217[[#This Row],[BB]]+NYY_H217[[#This Row],[H]])/(NYY_H217[[#This Row],[AB]]+NYY_H217[[#This Row],[BB]]),0)</f>
        <v>0.38554216867469882</v>
      </c>
      <c r="BD12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0.6827586206896552</v>
      </c>
      <c r="BE12" s="28">
        <v>39</v>
      </c>
      <c r="BF12" s="90">
        <v>145</v>
      </c>
      <c r="BG12" s="595">
        <v>37</v>
      </c>
      <c r="BH12" s="90">
        <v>43</v>
      </c>
      <c r="BI12" s="90">
        <v>5</v>
      </c>
      <c r="BJ12" s="90">
        <f>0</f>
        <v>0</v>
      </c>
      <c r="BK12" s="90">
        <v>17</v>
      </c>
      <c r="BL12" s="90">
        <v>36</v>
      </c>
      <c r="BM12" s="90">
        <v>21</v>
      </c>
      <c r="BN12" s="95">
        <v>42</v>
      </c>
      <c r="BO12" s="90">
        <v>0</v>
      </c>
      <c r="BP12" s="90">
        <v>1</v>
      </c>
      <c r="BQ12" s="95">
        <v>16</v>
      </c>
      <c r="BR12" s="595">
        <f t="shared" si="0"/>
        <v>99</v>
      </c>
      <c r="BS12" s="72">
        <f>IFERROR(NYY_H217[[#This Row],[OBP]]+NYY_H217[[#This Row],[SLG]],0)</f>
        <v>1.0683007893643541</v>
      </c>
      <c r="BT12" s="74">
        <v>5</v>
      </c>
      <c r="BU12" s="615">
        <v>9</v>
      </c>
    </row>
    <row r="13" spans="1:73">
      <c r="A13" s="609" t="s">
        <v>165</v>
      </c>
      <c r="B13" s="71" t="s">
        <v>179</v>
      </c>
      <c r="C13" s="77" t="s">
        <v>190</v>
      </c>
      <c r="D13" s="130">
        <f>IFERROR((NYY_H[[#This Row],[H]]/NYY_H[[#This Row],[AB]]),0)</f>
        <v>0.16</v>
      </c>
      <c r="E13" s="72">
        <f>IFERROR((NYY_H[[#This Row],[H]]+NYY_H[[#This Row],[BB]])/(NYY_H[[#This Row],[AB]]+NYY_H[[#This Row],[BB]]),)</f>
        <v>0.19230769230769232</v>
      </c>
      <c r="F13" s="73">
        <f>IFERROR(((NYY_H[[#This Row],[H]]-NYY_H[[#This Row],[2B]]-NYY_H[[#This Row],[3B]]-NYY_H[[#This Row],[HR]])+(NYY_H[[#This Row],[2B]]*2)+(NYY_H[[#This Row],[3B]]*3)+(NYY_H[[#This Row],[HR]]*4))/NYY_H[[#This Row],[AB]],0)</f>
        <v>0.16</v>
      </c>
      <c r="G13" s="28">
        <v>9</v>
      </c>
      <c r="H13" s="90">
        <v>25</v>
      </c>
      <c r="I13" s="90">
        <v>0</v>
      </c>
      <c r="J13" s="90">
        <v>4</v>
      </c>
      <c r="K13" s="90">
        <v>0</v>
      </c>
      <c r="L13" s="90">
        <v>0</v>
      </c>
      <c r="M13" s="90">
        <v>0</v>
      </c>
      <c r="N13" s="90">
        <v>1</v>
      </c>
      <c r="O13" s="90">
        <v>1</v>
      </c>
      <c r="P13" s="95">
        <v>5</v>
      </c>
      <c r="Q13" s="90">
        <v>0</v>
      </c>
      <c r="R13" s="90">
        <v>2</v>
      </c>
      <c r="S13" s="95">
        <v>2</v>
      </c>
      <c r="T13" s="90">
        <f>IFERROR((NYY_H[[#This Row],[H]]-NYY_H[[#This Row],[2B]]-NYY_H[[#This Row],[3B]]-NYY_H[[#This Row],[HR]])+(NYY_H[[#This Row],[2B]]*2)+(NYY_H[[#This Row],[3B]]*3)+(NYY_H[[#This Row],[HR]]*4),0)</f>
        <v>4</v>
      </c>
      <c r="U13" s="72">
        <f>NYY_H[[#This Row],[OBP]]+NYY_H[[#This Row],[SLG]]</f>
        <v>0.35230769230769232</v>
      </c>
      <c r="V13" s="74">
        <v>0</v>
      </c>
      <c r="W13" s="615">
        <v>10</v>
      </c>
      <c r="Z13" s="651" t="s">
        <v>165</v>
      </c>
      <c r="AA13" s="71" t="s">
        <v>179</v>
      </c>
      <c r="AB13" s="71" t="s">
        <v>190</v>
      </c>
      <c r="AC13" s="72">
        <f>IFERROR((NYY_H304[[#This Row],[H]]/NYY_H304[[#This Row],[AB]]),0)</f>
        <v>0.24</v>
      </c>
      <c r="AD13" s="72">
        <f>IFERROR((NYY_H304[[#This Row],[H]]+NYY_H304[[#This Row],[BB]])/(NYY_H304[[#This Row],[AB]]+NYY_H304[[#This Row],[BB]]),)</f>
        <v>0.26923076923076922</v>
      </c>
      <c r="AE13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0.52</v>
      </c>
      <c r="AF13" s="28">
        <v>8</v>
      </c>
      <c r="AG13" s="90">
        <v>25</v>
      </c>
      <c r="AH13" s="90">
        <v>3</v>
      </c>
      <c r="AI13" s="90">
        <v>6</v>
      </c>
      <c r="AJ13" s="90">
        <v>1</v>
      </c>
      <c r="AK13" s="90">
        <v>0</v>
      </c>
      <c r="AL13" s="90">
        <v>2</v>
      </c>
      <c r="AM13" s="90">
        <v>3</v>
      </c>
      <c r="AN13" s="90">
        <v>1</v>
      </c>
      <c r="AO13" s="95">
        <v>7</v>
      </c>
      <c r="AP13" s="90">
        <v>0</v>
      </c>
      <c r="AQ13" s="90">
        <v>2</v>
      </c>
      <c r="AR13" s="95">
        <v>3</v>
      </c>
      <c r="AS13" s="90">
        <f>IFERROR((NYY_H304[[#This Row],[H]]-NYY_H304[[#This Row],[2B]]-NYY_H304[[#This Row],[3B]]-NYY_H304[[#This Row],[HR]])+(NYY_H304[[#This Row],[2B]]*2)+(NYY_H304[[#This Row],[3B]]*3)+(NYY_H304[[#This Row],[HR]]*4),0)</f>
        <v>13</v>
      </c>
      <c r="AT13" s="72">
        <f>NYY_H304[[#This Row],[OBP]]+NYY_H304[[#This Row],[SLG]]</f>
        <v>0.78923076923076918</v>
      </c>
      <c r="AU13" s="74">
        <v>0</v>
      </c>
      <c r="AV13" s="615">
        <v>10</v>
      </c>
      <c r="AY13" s="651" t="s">
        <v>165</v>
      </c>
      <c r="AZ13" s="74" t="s">
        <v>179</v>
      </c>
      <c r="BA13" s="71" t="s">
        <v>190</v>
      </c>
      <c r="BB13" s="72">
        <f>IFERROR(NYY_H217[[#This Row],[H]]/NYY_H217[[#This Row],[AB]],0)</f>
        <v>0.17241379310344829</v>
      </c>
      <c r="BC13" s="72">
        <f>IFERROR((NYY_H217[[#This Row],[BB]]+NYY_H217[[#This Row],[H]])/(NYY_H217[[#This Row],[AB]]+NYY_H217[[#This Row],[BB]]),0)</f>
        <v>0.23809523809523808</v>
      </c>
      <c r="BD13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0.36206896551724138</v>
      </c>
      <c r="BE13" s="28">
        <v>21</v>
      </c>
      <c r="BF13" s="90">
        <v>58</v>
      </c>
      <c r="BG13" s="90">
        <v>9</v>
      </c>
      <c r="BH13" s="90">
        <v>10</v>
      </c>
      <c r="BI13" s="90">
        <v>2</v>
      </c>
      <c r="BJ13" s="90">
        <f>0</f>
        <v>0</v>
      </c>
      <c r="BK13" s="90">
        <v>3</v>
      </c>
      <c r="BL13" s="90">
        <v>7</v>
      </c>
      <c r="BM13" s="90">
        <v>5</v>
      </c>
      <c r="BN13" s="95">
        <v>15</v>
      </c>
      <c r="BO13" s="90">
        <v>0</v>
      </c>
      <c r="BP13" s="90">
        <v>1</v>
      </c>
      <c r="BQ13" s="95">
        <v>3</v>
      </c>
      <c r="BR13" s="90">
        <f t="shared" si="0"/>
        <v>21</v>
      </c>
      <c r="BS13" s="72">
        <f>IFERROR(NYY_H217[[#This Row],[OBP]]+NYY_H217[[#This Row],[SLG]],0)</f>
        <v>0.60016420361247946</v>
      </c>
      <c r="BT13" s="74">
        <v>2</v>
      </c>
      <c r="BU13" s="615">
        <v>10</v>
      </c>
    </row>
    <row r="14" spans="1:73">
      <c r="A14" s="609" t="s">
        <v>165</v>
      </c>
      <c r="B14" s="71" t="s">
        <v>187</v>
      </c>
      <c r="C14" s="77" t="s">
        <v>188</v>
      </c>
      <c r="D14" s="130">
        <f>IFERROR((NYY_H[[#This Row],[H]]/NYY_H[[#This Row],[AB]]),0)</f>
        <v>0.25</v>
      </c>
      <c r="E14" s="72">
        <f>IFERROR((NYY_H[[#This Row],[H]]+NYY_H[[#This Row],[BB]])/(NYY_H[[#This Row],[AB]]+NYY_H[[#This Row],[BB]]),)</f>
        <v>0.33333333333333331</v>
      </c>
      <c r="F14" s="73">
        <f>IFERROR(((NYY_H[[#This Row],[H]]-NYY_H[[#This Row],[2B]]-NYY_H[[#This Row],[3B]]-NYY_H[[#This Row],[HR]])+(NYY_H[[#This Row],[2B]]*2)+(NYY_H[[#This Row],[3B]]*3)+(NYY_H[[#This Row],[HR]]*4))/NYY_H[[#This Row],[AB]],0)</f>
        <v>0.4375</v>
      </c>
      <c r="G14" s="28">
        <v>8</v>
      </c>
      <c r="H14" s="90">
        <v>16</v>
      </c>
      <c r="I14" s="90">
        <v>4</v>
      </c>
      <c r="J14" s="90">
        <v>4</v>
      </c>
      <c r="K14" s="90">
        <v>1</v>
      </c>
      <c r="L14" s="90">
        <v>1</v>
      </c>
      <c r="M14" s="90">
        <v>0</v>
      </c>
      <c r="N14" s="90">
        <v>1</v>
      </c>
      <c r="O14" s="90">
        <v>2</v>
      </c>
      <c r="P14" s="95">
        <v>3</v>
      </c>
      <c r="Q14" s="90">
        <v>0</v>
      </c>
      <c r="R14" s="90">
        <v>0</v>
      </c>
      <c r="S14" s="95">
        <v>4</v>
      </c>
      <c r="T14" s="90">
        <f>IFERROR((NYY_H[[#This Row],[H]]-NYY_H[[#This Row],[2B]]-NYY_H[[#This Row],[3B]]-NYY_H[[#This Row],[HR]])+(NYY_H[[#This Row],[2B]]*2)+(NYY_H[[#This Row],[3B]]*3)+(NYY_H[[#This Row],[HR]]*4),0)</f>
        <v>7</v>
      </c>
      <c r="U14" s="72">
        <f>NYY_H[[#This Row],[OBP]]+NYY_H[[#This Row],[SLG]]</f>
        <v>0.77083333333333326</v>
      </c>
      <c r="V14" s="74">
        <v>0</v>
      </c>
      <c r="W14" s="615">
        <v>11</v>
      </c>
      <c r="Z14" s="651" t="s">
        <v>165</v>
      </c>
      <c r="AA14" s="71" t="s">
        <v>192</v>
      </c>
      <c r="AB14" s="71" t="s">
        <v>188</v>
      </c>
      <c r="AC14" s="72">
        <f>IFERROR((NYY_H304[[#This Row],[H]]/NYY_H304[[#This Row],[AB]]),0)</f>
        <v>0.30769230769230771</v>
      </c>
      <c r="AD14" s="72">
        <f>IFERROR((NYY_H304[[#This Row],[H]]+NYY_H304[[#This Row],[BB]])/(NYY_H304[[#This Row],[AB]]+NYY_H304[[#This Row],[BB]]),)</f>
        <v>0.35714285714285715</v>
      </c>
      <c r="AE14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0.61538461538461542</v>
      </c>
      <c r="AF14" s="28">
        <v>5</v>
      </c>
      <c r="AG14" s="90">
        <v>13</v>
      </c>
      <c r="AH14" s="90">
        <v>2</v>
      </c>
      <c r="AI14" s="90">
        <v>4</v>
      </c>
      <c r="AJ14" s="90">
        <v>1</v>
      </c>
      <c r="AK14" s="90">
        <v>0</v>
      </c>
      <c r="AL14" s="90">
        <v>1</v>
      </c>
      <c r="AM14" s="90">
        <v>2</v>
      </c>
      <c r="AN14" s="90">
        <v>1</v>
      </c>
      <c r="AO14" s="95">
        <v>5</v>
      </c>
      <c r="AP14" s="90">
        <v>0</v>
      </c>
      <c r="AQ14" s="90">
        <v>1</v>
      </c>
      <c r="AR14" s="95">
        <v>1</v>
      </c>
      <c r="AS14" s="90">
        <f>IFERROR((NYY_H304[[#This Row],[H]]-NYY_H304[[#This Row],[2B]]-NYY_H304[[#This Row],[3B]]-NYY_H304[[#This Row],[HR]])+(NYY_H304[[#This Row],[2B]]*2)+(NYY_H304[[#This Row],[3B]]*3)+(NYY_H304[[#This Row],[HR]]*4),0)</f>
        <v>8</v>
      </c>
      <c r="AT14" s="72">
        <f>NYY_H304[[#This Row],[OBP]]+NYY_H304[[#This Row],[SLG]]</f>
        <v>0.97252747252747263</v>
      </c>
      <c r="AU14" s="74">
        <v>0</v>
      </c>
      <c r="AV14" s="615">
        <v>11</v>
      </c>
      <c r="AY14" s="651" t="s">
        <v>165</v>
      </c>
      <c r="AZ14" s="74" t="s">
        <v>187</v>
      </c>
      <c r="BA14" s="71" t="s">
        <v>171</v>
      </c>
      <c r="BB14" s="72">
        <f>IFERROR(NYY_H217[[#This Row],[H]]/NYY_H217[[#This Row],[AB]],0)</f>
        <v>0.21212121212121213</v>
      </c>
      <c r="BC14" s="72">
        <f>IFERROR((NYY_H217[[#This Row],[BB]]+NYY_H217[[#This Row],[H]])/(NYY_H217[[#This Row],[AB]]+NYY_H217[[#This Row],[BB]]),0)</f>
        <v>0.31578947368421051</v>
      </c>
      <c r="BD14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0.45454545454545453</v>
      </c>
      <c r="BE14" s="28">
        <v>12</v>
      </c>
      <c r="BF14" s="90">
        <v>33</v>
      </c>
      <c r="BG14" s="90">
        <v>3</v>
      </c>
      <c r="BH14" s="90">
        <v>7</v>
      </c>
      <c r="BI14" s="90">
        <v>2</v>
      </c>
      <c r="BJ14" s="90">
        <v>0</v>
      </c>
      <c r="BK14" s="90">
        <v>2</v>
      </c>
      <c r="BL14" s="90">
        <v>6</v>
      </c>
      <c r="BM14" s="90">
        <v>5</v>
      </c>
      <c r="BN14" s="95">
        <v>7</v>
      </c>
      <c r="BO14" s="90">
        <v>0</v>
      </c>
      <c r="BP14" s="90">
        <v>0</v>
      </c>
      <c r="BQ14" s="95">
        <v>3</v>
      </c>
      <c r="BR14" s="90">
        <f t="shared" si="0"/>
        <v>15</v>
      </c>
      <c r="BS14" s="72">
        <f>IFERROR(NYY_H217[[#This Row],[OBP]]+NYY_H217[[#This Row],[SLG]],0)</f>
        <v>0.77033492822966498</v>
      </c>
      <c r="BT14" s="74">
        <v>1</v>
      </c>
      <c r="BU14" s="615">
        <v>11</v>
      </c>
    </row>
    <row r="15" spans="1:73">
      <c r="A15" s="609" t="s">
        <v>165</v>
      </c>
      <c r="B15" s="71" t="s">
        <v>187</v>
      </c>
      <c r="C15" s="77" t="s">
        <v>193</v>
      </c>
      <c r="D15" s="130">
        <f>IFERROR((NYY_H[[#This Row],[H]]/NYY_H[[#This Row],[AB]]),0)</f>
        <v>0.15384615384615385</v>
      </c>
      <c r="E15" s="72">
        <f>IFERROR((NYY_H[[#This Row],[H]]+NYY_H[[#This Row],[BB]])/(NYY_H[[#This Row],[AB]]+NYY_H[[#This Row],[BB]]),)</f>
        <v>0.21428571428571427</v>
      </c>
      <c r="F15" s="73">
        <f>IFERROR(((NYY_H[[#This Row],[H]]-NYY_H[[#This Row],[2B]]-NYY_H[[#This Row],[3B]]-NYY_H[[#This Row],[HR]])+(NYY_H[[#This Row],[2B]]*2)+(NYY_H[[#This Row],[3B]]*3)+(NYY_H[[#This Row],[HR]]*4))/NYY_H[[#This Row],[AB]],0)</f>
        <v>0.30769230769230771</v>
      </c>
      <c r="G15" s="28">
        <v>5</v>
      </c>
      <c r="H15" s="90">
        <v>13</v>
      </c>
      <c r="I15" s="90">
        <v>2</v>
      </c>
      <c r="J15" s="90">
        <v>2</v>
      </c>
      <c r="K15" s="90">
        <v>2</v>
      </c>
      <c r="L15" s="90">
        <v>0</v>
      </c>
      <c r="M15" s="90">
        <v>0</v>
      </c>
      <c r="N15" s="90">
        <v>0</v>
      </c>
      <c r="O15" s="90">
        <v>1</v>
      </c>
      <c r="P15" s="95">
        <v>5</v>
      </c>
      <c r="Q15" s="90">
        <v>0</v>
      </c>
      <c r="R15" s="90">
        <v>0</v>
      </c>
      <c r="S15" s="95">
        <v>2</v>
      </c>
      <c r="T15" s="90">
        <f>IFERROR((NYY_H[[#This Row],[H]]-NYY_H[[#This Row],[2B]]-NYY_H[[#This Row],[3B]]-NYY_H[[#This Row],[HR]])+(NYY_H[[#This Row],[2B]]*2)+(NYY_H[[#This Row],[3B]]*3)+(NYY_H[[#This Row],[HR]]*4),0)</f>
        <v>4</v>
      </c>
      <c r="U15" s="72">
        <f>NYY_H[[#This Row],[OBP]]+NYY_H[[#This Row],[SLG]]</f>
        <v>0.52197802197802201</v>
      </c>
      <c r="V15" s="74">
        <v>0</v>
      </c>
      <c r="W15" s="615">
        <v>12</v>
      </c>
      <c r="Z15" s="651" t="s">
        <v>165</v>
      </c>
      <c r="AA15" s="71" t="s">
        <v>192</v>
      </c>
      <c r="AB15" s="77" t="s">
        <v>193</v>
      </c>
      <c r="AC15" s="130">
        <f>IFERROR((NYY_H304[[#This Row],[H]]/NYY_H304[[#This Row],[AB]]),0)</f>
        <v>0.33333333333333331</v>
      </c>
      <c r="AD15" s="72">
        <f>IFERROR((NYY_H304[[#This Row],[H]]+NYY_H304[[#This Row],[BB]])/(NYY_H304[[#This Row],[AB]]+NYY_H304[[#This Row],[BB]]),)</f>
        <v>0.6</v>
      </c>
      <c r="AE15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0.33333333333333331</v>
      </c>
      <c r="AF15" s="28">
        <v>2</v>
      </c>
      <c r="AG15" s="90">
        <v>3</v>
      </c>
      <c r="AH15" s="90">
        <v>2</v>
      </c>
      <c r="AI15" s="90">
        <v>1</v>
      </c>
      <c r="AJ15" s="90">
        <v>0</v>
      </c>
      <c r="AK15" s="90">
        <v>0</v>
      </c>
      <c r="AL15" s="90">
        <v>0</v>
      </c>
      <c r="AM15" s="90">
        <v>0</v>
      </c>
      <c r="AN15" s="90">
        <v>2</v>
      </c>
      <c r="AO15" s="95">
        <v>1</v>
      </c>
      <c r="AP15" s="90">
        <v>0</v>
      </c>
      <c r="AQ15" s="90">
        <v>1</v>
      </c>
      <c r="AR15" s="95">
        <v>1</v>
      </c>
      <c r="AS15" s="90">
        <f>IFERROR((NYY_H304[[#This Row],[H]]-NYY_H304[[#This Row],[2B]]-NYY_H304[[#This Row],[3B]]-NYY_H304[[#This Row],[HR]])+(NYY_H304[[#This Row],[2B]]*2)+(NYY_H304[[#This Row],[3B]]*3)+(NYY_H304[[#This Row],[HR]]*4),0)</f>
        <v>1</v>
      </c>
      <c r="AT15" s="72">
        <f>NYY_H304[[#This Row],[OBP]]+NYY_H304[[#This Row],[SLG]]</f>
        <v>0.93333333333333335</v>
      </c>
      <c r="AU15" s="74">
        <v>0</v>
      </c>
      <c r="AV15" s="615">
        <v>12</v>
      </c>
      <c r="AY15" s="651" t="s">
        <v>165</v>
      </c>
      <c r="AZ15" s="74" t="s">
        <v>187</v>
      </c>
      <c r="BA15" s="71" t="s">
        <v>194</v>
      </c>
      <c r="BB15" s="72">
        <f>IFERROR(NYY_H217[[#This Row],[H]]/NYY_H217[[#This Row],[AB]],0)</f>
        <v>0.15384615384615385</v>
      </c>
      <c r="BC15" s="72">
        <f>IFERROR((NYY_H217[[#This Row],[BB]]+NYY_H217[[#This Row],[H]])/(NYY_H217[[#This Row],[AB]]+NYY_H217[[#This Row],[BB]]),0)</f>
        <v>0.15384615384615385</v>
      </c>
      <c r="BD15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0.26923076923076922</v>
      </c>
      <c r="BE15" s="28">
        <v>9</v>
      </c>
      <c r="BF15" s="90">
        <v>26</v>
      </c>
      <c r="BG15" s="90">
        <v>2</v>
      </c>
      <c r="BH15" s="90">
        <v>4</v>
      </c>
      <c r="BI15" s="90">
        <v>0</v>
      </c>
      <c r="BJ15" s="90">
        <v>0</v>
      </c>
      <c r="BK15" s="90">
        <v>1</v>
      </c>
      <c r="BL15" s="90">
        <v>1</v>
      </c>
      <c r="BM15" s="90">
        <v>0</v>
      </c>
      <c r="BN15" s="95">
        <v>11</v>
      </c>
      <c r="BO15" s="90">
        <v>0</v>
      </c>
      <c r="BP15" s="90">
        <v>0</v>
      </c>
      <c r="BQ15" s="95">
        <v>2</v>
      </c>
      <c r="BR15" s="90">
        <f t="shared" si="0"/>
        <v>7</v>
      </c>
      <c r="BS15" s="72">
        <f>IFERROR(NYY_H217[[#This Row],[OBP]]+NYY_H217[[#This Row],[SLG]],0)</f>
        <v>0.42307692307692307</v>
      </c>
      <c r="BT15" s="74">
        <v>0</v>
      </c>
      <c r="BU15" s="615">
        <v>12</v>
      </c>
    </row>
    <row r="16" spans="1:73">
      <c r="A16" s="609" t="s">
        <v>165</v>
      </c>
      <c r="B16" s="71" t="s">
        <v>184</v>
      </c>
      <c r="C16" s="71" t="s">
        <v>185</v>
      </c>
      <c r="D16" s="72">
        <f>IFERROR((NYY_H[[#This Row],[H]]/NYY_H[[#This Row],[AB]]),0)</f>
        <v>0.26923076923076922</v>
      </c>
      <c r="E16" s="72">
        <f>IFERROR((NYY_H[[#This Row],[H]]+NYY_H[[#This Row],[BB]])/(NYY_H[[#This Row],[AB]]+NYY_H[[#This Row],[BB]]),)</f>
        <v>0.36666666666666664</v>
      </c>
      <c r="F16" s="73">
        <f>IFERROR(((NYY_H[[#This Row],[H]]-NYY_H[[#This Row],[2B]]-NYY_H[[#This Row],[3B]]-NYY_H[[#This Row],[HR]])+(NYY_H[[#This Row],[2B]]*2)+(NYY_H[[#This Row],[3B]]*3)+(NYY_H[[#This Row],[HR]]*4))/NYY_H[[#This Row],[AB]],0)</f>
        <v>0.5</v>
      </c>
      <c r="G16" s="28">
        <v>9</v>
      </c>
      <c r="H16" s="90">
        <v>26</v>
      </c>
      <c r="I16" s="90">
        <v>4</v>
      </c>
      <c r="J16" s="90">
        <v>7</v>
      </c>
      <c r="K16" s="90">
        <v>0</v>
      </c>
      <c r="L16" s="90">
        <v>0</v>
      </c>
      <c r="M16" s="90">
        <v>2</v>
      </c>
      <c r="N16" s="90">
        <v>4</v>
      </c>
      <c r="O16" s="90">
        <v>4</v>
      </c>
      <c r="P16" s="95">
        <v>5</v>
      </c>
      <c r="Q16" s="90">
        <v>0</v>
      </c>
      <c r="R16" s="90">
        <v>0</v>
      </c>
      <c r="S16" s="95">
        <v>5</v>
      </c>
      <c r="T16" s="90">
        <f>IFERROR((NYY_H[[#This Row],[H]]-NYY_H[[#This Row],[2B]]-NYY_H[[#This Row],[3B]]-NYY_H[[#This Row],[HR]])+(NYY_H[[#This Row],[2B]]*2)+(NYY_H[[#This Row],[3B]]*3)+(NYY_H[[#This Row],[HR]]*4),0)</f>
        <v>13</v>
      </c>
      <c r="U16" s="72">
        <f>NYY_H[[#This Row],[OBP]]+NYY_H[[#This Row],[SLG]]</f>
        <v>0.8666666666666667</v>
      </c>
      <c r="V16" s="74">
        <v>0</v>
      </c>
      <c r="W16" s="615">
        <v>13</v>
      </c>
      <c r="Z16" s="651" t="s">
        <v>165</v>
      </c>
      <c r="AA16" s="71" t="s">
        <v>186</v>
      </c>
      <c r="AB16" s="71" t="s">
        <v>189</v>
      </c>
      <c r="AC16" s="72">
        <f>IFERROR((NYY_H304[[#This Row],[H]]/NYY_H304[[#This Row],[AB]]),0)</f>
        <v>0.15151515151515152</v>
      </c>
      <c r="AD16" s="72">
        <f>IFERROR((NYY_H304[[#This Row],[H]]+NYY_H304[[#This Row],[BB]])/(NYY_H304[[#This Row],[AB]]+NYY_H304[[#This Row],[BB]]),)</f>
        <v>0.16417910447761194</v>
      </c>
      <c r="AE16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0.22727272727272727</v>
      </c>
      <c r="AF16" s="28">
        <v>19</v>
      </c>
      <c r="AG16" s="90">
        <v>66</v>
      </c>
      <c r="AH16" s="90">
        <v>5</v>
      </c>
      <c r="AI16" s="90">
        <v>10</v>
      </c>
      <c r="AJ16" s="90">
        <v>0</v>
      </c>
      <c r="AK16" s="90">
        <v>1</v>
      </c>
      <c r="AL16" s="90">
        <v>1</v>
      </c>
      <c r="AM16" s="90">
        <v>5</v>
      </c>
      <c r="AN16" s="90">
        <v>1</v>
      </c>
      <c r="AO16" s="95">
        <v>24</v>
      </c>
      <c r="AP16" s="90">
        <v>0</v>
      </c>
      <c r="AQ16" s="90">
        <v>0</v>
      </c>
      <c r="AR16" s="95">
        <v>2</v>
      </c>
      <c r="AS16" s="90">
        <f>IFERROR((NYY_H304[[#This Row],[H]]-NYY_H304[[#This Row],[2B]]-NYY_H304[[#This Row],[3B]]-NYY_H304[[#This Row],[HR]])+(NYY_H304[[#This Row],[2B]]*2)+(NYY_H304[[#This Row],[3B]]*3)+(NYY_H304[[#This Row],[HR]]*4),0)</f>
        <v>15</v>
      </c>
      <c r="AT16" s="72">
        <f>NYY_H304[[#This Row],[OBP]]+NYY_H304[[#This Row],[SLG]]</f>
        <v>0.39145183175033921</v>
      </c>
      <c r="AU16" s="74">
        <v>1</v>
      </c>
      <c r="AV16" s="615">
        <v>13</v>
      </c>
      <c r="AY16" s="651" t="s">
        <v>165</v>
      </c>
      <c r="AZ16" s="74" t="s">
        <v>186</v>
      </c>
      <c r="BA16" s="71" t="s">
        <v>191</v>
      </c>
      <c r="BB16" s="72">
        <f>IFERROR(NYY_H217[[#This Row],[H]]/NYY_H217[[#This Row],[AB]],0)</f>
        <v>0.35714285714285715</v>
      </c>
      <c r="BC16" s="72">
        <f>IFERROR((NYY_H217[[#This Row],[BB]]+NYY_H217[[#This Row],[H]])/(NYY_H217[[#This Row],[AB]]+NYY_H217[[#This Row],[BB]]),0)</f>
        <v>0.4</v>
      </c>
      <c r="BD16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0.5</v>
      </c>
      <c r="BE16" s="28">
        <v>17</v>
      </c>
      <c r="BF16" s="90">
        <v>42</v>
      </c>
      <c r="BG16" s="90">
        <v>7</v>
      </c>
      <c r="BH16" s="90">
        <v>15</v>
      </c>
      <c r="BI16" s="90">
        <v>3</v>
      </c>
      <c r="BJ16" s="90">
        <f>0</f>
        <v>0</v>
      </c>
      <c r="BK16" s="90">
        <v>1</v>
      </c>
      <c r="BL16" s="90">
        <v>6</v>
      </c>
      <c r="BM16" s="90">
        <v>3</v>
      </c>
      <c r="BN16" s="95">
        <v>9</v>
      </c>
      <c r="BO16" s="90">
        <v>0</v>
      </c>
      <c r="BP16" s="90">
        <v>0</v>
      </c>
      <c r="BQ16" s="95">
        <v>9</v>
      </c>
      <c r="BR16" s="90">
        <f t="shared" si="0"/>
        <v>21</v>
      </c>
      <c r="BS16" s="72">
        <f>IFERROR(NYY_H217[[#This Row],[OBP]]+NYY_H217[[#This Row],[SLG]],0)</f>
        <v>0.9</v>
      </c>
      <c r="BT16" s="74">
        <v>0</v>
      </c>
      <c r="BU16" s="615">
        <v>13</v>
      </c>
    </row>
    <row r="17" spans="1:73" ht="17" thickBot="1">
      <c r="A17" s="609" t="s">
        <v>165</v>
      </c>
      <c r="B17" s="71" t="s">
        <v>186</v>
      </c>
      <c r="C17" s="71" t="s">
        <v>182</v>
      </c>
      <c r="D17" s="72">
        <f>IFERROR((NYY_H[[#This Row],[H]]/NYY_H[[#This Row],[AB]]),0)</f>
        <v>0.19047619047619047</v>
      </c>
      <c r="E17" s="72">
        <f>IFERROR((NYY_H[[#This Row],[H]]+NYY_H[[#This Row],[BB]])/(NYY_H[[#This Row],[AB]]+NYY_H[[#This Row],[BB]]),)</f>
        <v>0.34615384615384615</v>
      </c>
      <c r="F17" s="73">
        <f>IFERROR(((NYY_H[[#This Row],[H]]-NYY_H[[#This Row],[2B]]-NYY_H[[#This Row],[3B]]-NYY_H[[#This Row],[HR]])+(NYY_H[[#This Row],[2B]]*2)+(NYY_H[[#This Row],[3B]]*3)+(NYY_H[[#This Row],[HR]]*4))/NYY_H[[#This Row],[AB]],0)</f>
        <v>0.23809523809523808</v>
      </c>
      <c r="G17" s="28">
        <v>12</v>
      </c>
      <c r="H17" s="90">
        <v>21</v>
      </c>
      <c r="I17" s="90">
        <v>0</v>
      </c>
      <c r="J17" s="90">
        <v>4</v>
      </c>
      <c r="K17" s="90">
        <v>1</v>
      </c>
      <c r="L17" s="90">
        <v>0</v>
      </c>
      <c r="M17" s="90">
        <v>0</v>
      </c>
      <c r="N17" s="90">
        <v>1</v>
      </c>
      <c r="O17" s="90">
        <v>5</v>
      </c>
      <c r="P17" s="95">
        <v>11</v>
      </c>
      <c r="Q17" s="90">
        <v>0</v>
      </c>
      <c r="R17" s="90">
        <v>1</v>
      </c>
      <c r="S17" s="95">
        <v>1</v>
      </c>
      <c r="T17" s="90">
        <f>IFERROR((NYY_H[[#This Row],[H]]-NYY_H[[#This Row],[2B]]-NYY_H[[#This Row],[3B]]-NYY_H[[#This Row],[HR]])+(NYY_H[[#This Row],[2B]]*2)+(NYY_H[[#This Row],[3B]]*3)+(NYY_H[[#This Row],[HR]]*4),0)</f>
        <v>5</v>
      </c>
      <c r="U17" s="72">
        <f>NYY_H[[#This Row],[OBP]]+NYY_H[[#This Row],[SLG]]</f>
        <v>0.58424908424908417</v>
      </c>
      <c r="V17" s="74">
        <v>0</v>
      </c>
      <c r="W17" s="615">
        <v>14</v>
      </c>
      <c r="Z17" s="651" t="s">
        <v>165</v>
      </c>
      <c r="AA17" s="71" t="s">
        <v>186</v>
      </c>
      <c r="AB17" s="71" t="s">
        <v>183</v>
      </c>
      <c r="AC17" s="72">
        <f>IFERROR((NYY_H304[[#This Row],[H]]/NYY_H304[[#This Row],[AB]]),0)</f>
        <v>0.22727272727272727</v>
      </c>
      <c r="AD17" s="72">
        <f>IFERROR((NYY_H304[[#This Row],[H]]+NYY_H304[[#This Row],[BB]])/(NYY_H304[[#This Row],[AB]]+NYY_H304[[#This Row],[BB]]),)</f>
        <v>0.30612244897959184</v>
      </c>
      <c r="AE17" s="73">
        <f>IFERROR(((NYY_H304[[#This Row],[H]]-NYY_H304[[#This Row],[2B]]-NYY_H304[[#This Row],[3B]]-NYY_H304[[#This Row],[HR]])+(NYY_H304[[#This Row],[2B]]*2)+(NYY_H304[[#This Row],[3B]]*3)+(NYY_H304[[#This Row],[HR]]*4))/NYY_H304[[#This Row],[AB]],0)</f>
        <v>0.40909090909090912</v>
      </c>
      <c r="AF17" s="28">
        <v>16</v>
      </c>
      <c r="AG17" s="90">
        <v>44</v>
      </c>
      <c r="AH17" s="90">
        <v>6</v>
      </c>
      <c r="AI17" s="90">
        <v>10</v>
      </c>
      <c r="AJ17" s="90">
        <v>5</v>
      </c>
      <c r="AK17" s="90">
        <v>0</v>
      </c>
      <c r="AL17" s="90">
        <v>1</v>
      </c>
      <c r="AM17" s="90">
        <v>2</v>
      </c>
      <c r="AN17" s="90">
        <v>5</v>
      </c>
      <c r="AO17" s="95">
        <v>11</v>
      </c>
      <c r="AP17" s="90">
        <v>1</v>
      </c>
      <c r="AQ17" s="90">
        <v>1</v>
      </c>
      <c r="AR17" s="95">
        <v>4</v>
      </c>
      <c r="AS17" s="90">
        <f>IFERROR((NYY_H304[[#This Row],[H]]-NYY_H304[[#This Row],[2B]]-NYY_H304[[#This Row],[3B]]-NYY_H304[[#This Row],[HR]])+(NYY_H304[[#This Row],[2B]]*2)+(NYY_H304[[#This Row],[3B]]*3)+(NYY_H304[[#This Row],[HR]]*4),0)</f>
        <v>18</v>
      </c>
      <c r="AT17" s="72">
        <f>NYY_H304[[#This Row],[OBP]]+NYY_H304[[#This Row],[SLG]]</f>
        <v>0.7152133580705009</v>
      </c>
      <c r="AU17" s="74">
        <v>0</v>
      </c>
      <c r="AV17" s="615">
        <v>14</v>
      </c>
      <c r="AY17" s="651" t="s">
        <v>165</v>
      </c>
      <c r="AZ17" s="74" t="s">
        <v>186</v>
      </c>
      <c r="BA17" s="71" t="s">
        <v>183</v>
      </c>
      <c r="BB17" s="72">
        <f>IFERROR(NYY_H217[[#This Row],[H]]/NYY_H217[[#This Row],[AB]],0)</f>
        <v>0.296875</v>
      </c>
      <c r="BC17" s="72">
        <f>IFERROR((NYY_H217[[#This Row],[BB]]+NYY_H217[[#This Row],[H]])/(NYY_H217[[#This Row],[AB]]+NYY_H217[[#This Row],[BB]]),0)</f>
        <v>0.38356164383561642</v>
      </c>
      <c r="BD17" s="73">
        <f>IFERROR(((NYY_H217[[#This Row],[H]]-NYY_H217[[#This Row],[2B]]-NYY_H217[[#This Row],[3B]]-NYY_H217[[#This Row],[HR]])+(NYY_H217[[#This Row],[2B]]*2)+(NYY_H217[[#This Row],[3B]]*3)+(NYY_H217[[#This Row],[HR]]*4))/NYY_H217[[#This Row],[AB]],0)</f>
        <v>0.34375</v>
      </c>
      <c r="BE17" s="28">
        <v>31</v>
      </c>
      <c r="BF17" s="90">
        <v>64</v>
      </c>
      <c r="BG17" s="90">
        <v>11</v>
      </c>
      <c r="BH17" s="90">
        <v>19</v>
      </c>
      <c r="BI17" s="90">
        <v>3</v>
      </c>
      <c r="BJ17" s="90">
        <v>0</v>
      </c>
      <c r="BK17" s="90">
        <v>0</v>
      </c>
      <c r="BL17" s="90">
        <v>5</v>
      </c>
      <c r="BM17" s="90">
        <v>9</v>
      </c>
      <c r="BN17" s="95">
        <v>17</v>
      </c>
      <c r="BO17" s="90">
        <v>8</v>
      </c>
      <c r="BP17" s="90">
        <v>0</v>
      </c>
      <c r="BQ17" s="95">
        <v>3</v>
      </c>
      <c r="BR17" s="90">
        <f t="shared" si="0"/>
        <v>22</v>
      </c>
      <c r="BS17" s="72">
        <f>IFERROR(NYY_H217[[#This Row],[OBP]]+NYY_H217[[#This Row],[SLG]],0)</f>
        <v>0.72731164383561642</v>
      </c>
      <c r="BT17" s="74">
        <v>0</v>
      </c>
      <c r="BU17" s="615">
        <v>14</v>
      </c>
    </row>
    <row r="18" spans="1:73" ht="17" thickBot="1">
      <c r="A18" s="617"/>
      <c r="B18" s="618"/>
      <c r="C18" s="619" t="s">
        <v>195</v>
      </c>
      <c r="D18" s="620">
        <f>J18/H18</f>
        <v>0.26790830945558741</v>
      </c>
      <c r="E18" s="620">
        <f>(J18+O18)/(O18+H18)</f>
        <v>0.34191886670959432</v>
      </c>
      <c r="F18" s="621">
        <f>((J18-K18-L18-M18)+(K18*2)+(L18*3)+(M18*4))/H18</f>
        <v>0.44770773638968481</v>
      </c>
      <c r="G18" s="622"/>
      <c r="H18" s="623">
        <f>SUBTOTAL(109,NYY_H[AB])</f>
        <v>1396</v>
      </c>
      <c r="I18" s="623">
        <f>SUBTOTAL(109,NYY_H[R])</f>
        <v>183</v>
      </c>
      <c r="J18" s="623">
        <f>SUBTOTAL(109,NYY_H[H])</f>
        <v>374</v>
      </c>
      <c r="K18" s="623">
        <f>SUBTOTAL(109,NYY_H[2B])</f>
        <v>80</v>
      </c>
      <c r="L18" s="623">
        <f>SUBTOTAL(109,NYY_H[3B])</f>
        <v>6</v>
      </c>
      <c r="M18" s="623">
        <f>SUBTOTAL(109,NYY_H[HR])</f>
        <v>53</v>
      </c>
      <c r="N18" s="623">
        <f>SUBTOTAL(109,NYY_H[RBI])</f>
        <v>179</v>
      </c>
      <c r="O18" s="623">
        <f>SUBTOTAL(109,NYY_H[BB])</f>
        <v>157</v>
      </c>
      <c r="P18" s="624">
        <f>SUBTOTAL(109,NYY_H[K])</f>
        <v>383</v>
      </c>
      <c r="Q18" s="623">
        <f>SUBTOTAL(109,NYY_H[SB])</f>
        <v>5</v>
      </c>
      <c r="R18" s="622"/>
      <c r="S18" s="625"/>
      <c r="T18" s="623">
        <f>SUBTOTAL(109,NYY_H[TB])</f>
        <v>625</v>
      </c>
      <c r="U18" s="620">
        <f>E18+F18</f>
        <v>0.78962660309927912</v>
      </c>
      <c r="V18" s="625">
        <f>SUBTOTAL(109,NYY_H[*])</f>
        <v>24</v>
      </c>
      <c r="W18" s="626"/>
      <c r="Z18" s="617"/>
      <c r="AA18" s="618"/>
      <c r="AB18" s="619" t="s">
        <v>195</v>
      </c>
      <c r="AC18" s="620">
        <f>AI18/AG18</f>
        <v>0.25716440422322773</v>
      </c>
      <c r="AD18" s="620">
        <f>(AI18+AN18)/(AN18+AG18)</f>
        <v>0.32068965517241377</v>
      </c>
      <c r="AE18" s="621">
        <f>((AI18-AJ18-AK18-AL18)+(AJ18*2)+(AK18*3)+(AL18*4))/AG18</f>
        <v>0.42986425339366519</v>
      </c>
      <c r="AF18" s="622"/>
      <c r="AG18" s="623">
        <f>SUBTOTAL(109,NYY_H304[AB])</f>
        <v>1326</v>
      </c>
      <c r="AH18" s="623">
        <f>SUBTOTAL(109,NYY_H304[R])</f>
        <v>170</v>
      </c>
      <c r="AI18" s="623">
        <f>SUBTOTAL(109,NYY_H304[H])</f>
        <v>341</v>
      </c>
      <c r="AJ18" s="623">
        <f>SUBTOTAL(109,NYY_H304[2B])</f>
        <v>70</v>
      </c>
      <c r="AK18" s="623">
        <f>SUBTOTAL(109,NYY_H304[3B])</f>
        <v>6</v>
      </c>
      <c r="AL18" s="623">
        <f>SUBTOTAL(109,NYY_H304[HR])</f>
        <v>49</v>
      </c>
      <c r="AM18" s="623">
        <f>SUBTOTAL(109,NYY_H304[RBI])</f>
        <v>167</v>
      </c>
      <c r="AN18" s="623">
        <f>SUBTOTAL(109,NYY_H304[BB])</f>
        <v>124</v>
      </c>
      <c r="AO18" s="624">
        <f>SUBTOTAL(109,NYY_H304[K])</f>
        <v>362</v>
      </c>
      <c r="AP18" s="623">
        <f>SUBTOTAL(109,NYY_H304[SB])</f>
        <v>8</v>
      </c>
      <c r="AQ18" s="622"/>
      <c r="AR18" s="625"/>
      <c r="AS18" s="623">
        <f>SUBTOTAL(109,NYY_H304[TB])</f>
        <v>570</v>
      </c>
      <c r="AT18" s="620">
        <f>AD18+AE18</f>
        <v>0.75055390856607895</v>
      </c>
      <c r="AU18" s="625">
        <f>SUBTOTAL(109,NYY_H304[*])</f>
        <v>21</v>
      </c>
      <c r="AV18" s="626"/>
      <c r="AY18" s="617"/>
      <c r="AZ18" s="618"/>
      <c r="BA18" s="619" t="s">
        <v>195</v>
      </c>
      <c r="BB18" s="620">
        <f>IFERROR(BH18/BF18,0)</f>
        <v>0.2617159336697909</v>
      </c>
      <c r="BC18" s="620">
        <f>IFERROR((BH18+BM18)/(BF18+BM18),0)</f>
        <v>0.33935483870967742</v>
      </c>
      <c r="BD18" s="621">
        <f>IFERROR(((BH18-BI18-BJ18-BK18)+(BI18*2)+(BJ18*3)+(BK18*4))/BF18,0)</f>
        <v>0.45205479452054792</v>
      </c>
      <c r="BE18" s="622"/>
      <c r="BF18" s="623">
        <f t="shared" ref="BF18:BO18" si="1">SUM(BF4:BF17)</f>
        <v>1387</v>
      </c>
      <c r="BG18" s="623">
        <f t="shared" si="1"/>
        <v>202</v>
      </c>
      <c r="BH18" s="623">
        <f t="shared" si="1"/>
        <v>363</v>
      </c>
      <c r="BI18" s="623">
        <f t="shared" si="1"/>
        <v>65</v>
      </c>
      <c r="BJ18" s="623">
        <f t="shared" si="1"/>
        <v>2</v>
      </c>
      <c r="BK18" s="623">
        <f t="shared" si="1"/>
        <v>65</v>
      </c>
      <c r="BL18" s="623">
        <f t="shared" si="1"/>
        <v>200</v>
      </c>
      <c r="BM18" s="643">
        <f t="shared" si="1"/>
        <v>163</v>
      </c>
      <c r="BN18" s="624">
        <f t="shared" si="1"/>
        <v>333</v>
      </c>
      <c r="BO18" s="623">
        <f t="shared" si="1"/>
        <v>13</v>
      </c>
      <c r="BP18" s="622"/>
      <c r="BQ18" s="625"/>
      <c r="BR18" s="623">
        <f t="shared" ref="BR18" si="2">IFERROR((BH18-BI18-BJ18-BK18)+(BI18*2)+(BJ18*3)+(BK18*4),0)</f>
        <v>627</v>
      </c>
      <c r="BS18" s="620">
        <f>IFERROR(BC18+BD18,0)</f>
        <v>0.7914096332302254</v>
      </c>
      <c r="BT18" s="625">
        <f>SUBTOTAL(109,NYY_H217[*])</f>
        <v>23</v>
      </c>
      <c r="BU18" s="626"/>
    </row>
    <row r="19" spans="1:73" ht="17" thickBot="1"/>
    <row r="20" spans="1:73" s="64" customFormat="1" ht="14" thickBot="1">
      <c r="A20" s="605" t="s">
        <v>143</v>
      </c>
      <c r="B20" s="606" t="s">
        <v>144</v>
      </c>
      <c r="C20" s="606" t="s">
        <v>145</v>
      </c>
      <c r="D20" s="606" t="s">
        <v>196</v>
      </c>
      <c r="E20" s="606" t="s">
        <v>197</v>
      </c>
      <c r="F20" s="606" t="s">
        <v>198</v>
      </c>
      <c r="G20" s="606" t="s">
        <v>149</v>
      </c>
      <c r="H20" s="606" t="s">
        <v>199</v>
      </c>
      <c r="I20" s="606" t="s">
        <v>152</v>
      </c>
      <c r="J20" s="606" t="s">
        <v>151</v>
      </c>
      <c r="K20" s="606" t="s">
        <v>157</v>
      </c>
      <c r="L20" s="606" t="s">
        <v>158</v>
      </c>
      <c r="M20" s="606" t="s">
        <v>200</v>
      </c>
      <c r="N20" s="606" t="s">
        <v>201</v>
      </c>
      <c r="O20" s="606" t="s">
        <v>202</v>
      </c>
      <c r="P20" s="606" t="s">
        <v>203</v>
      </c>
      <c r="Q20" s="606" t="s">
        <v>204</v>
      </c>
      <c r="R20" s="606" t="s">
        <v>205</v>
      </c>
      <c r="S20" s="607" t="s">
        <v>164</v>
      </c>
      <c r="Z20" s="605" t="s">
        <v>143</v>
      </c>
      <c r="AA20" s="606" t="s">
        <v>144</v>
      </c>
      <c r="AB20" s="606" t="s">
        <v>145</v>
      </c>
      <c r="AC20" s="606" t="s">
        <v>196</v>
      </c>
      <c r="AD20" s="606" t="s">
        <v>197</v>
      </c>
      <c r="AE20" s="606" t="s">
        <v>198</v>
      </c>
      <c r="AF20" s="606" t="s">
        <v>149</v>
      </c>
      <c r="AG20" s="606" t="s">
        <v>199</v>
      </c>
      <c r="AH20" s="606" t="s">
        <v>152</v>
      </c>
      <c r="AI20" s="606" t="s">
        <v>151</v>
      </c>
      <c r="AJ20" s="606" t="s">
        <v>157</v>
      </c>
      <c r="AK20" s="606" t="s">
        <v>158</v>
      </c>
      <c r="AL20" s="606" t="s">
        <v>200</v>
      </c>
      <c r="AM20" s="606" t="s">
        <v>201</v>
      </c>
      <c r="AN20" s="606" t="s">
        <v>202</v>
      </c>
      <c r="AO20" s="606" t="s">
        <v>203</v>
      </c>
      <c r="AP20" s="606" t="s">
        <v>204</v>
      </c>
      <c r="AQ20" s="606" t="s">
        <v>205</v>
      </c>
      <c r="AR20" s="607" t="s">
        <v>164</v>
      </c>
      <c r="AY20" s="605" t="s">
        <v>143</v>
      </c>
      <c r="AZ20" s="606" t="s">
        <v>144</v>
      </c>
      <c r="BA20" s="606" t="s">
        <v>145</v>
      </c>
      <c r="BB20" s="606" t="s">
        <v>196</v>
      </c>
      <c r="BC20" s="606" t="s">
        <v>197</v>
      </c>
      <c r="BD20" s="606" t="s">
        <v>198</v>
      </c>
      <c r="BE20" s="606" t="s">
        <v>149</v>
      </c>
      <c r="BF20" s="606" t="s">
        <v>199</v>
      </c>
      <c r="BG20" s="606" t="s">
        <v>152</v>
      </c>
      <c r="BH20" s="606" t="s">
        <v>151</v>
      </c>
      <c r="BI20" s="606" t="s">
        <v>157</v>
      </c>
      <c r="BJ20" s="606" t="s">
        <v>158</v>
      </c>
      <c r="BK20" s="606" t="s">
        <v>200</v>
      </c>
      <c r="BL20" s="606" t="s">
        <v>201</v>
      </c>
      <c r="BM20" s="606" t="s">
        <v>202</v>
      </c>
      <c r="BN20" s="606" t="s">
        <v>203</v>
      </c>
      <c r="BO20" s="606" t="s">
        <v>204</v>
      </c>
      <c r="BP20" s="606" t="s">
        <v>205</v>
      </c>
      <c r="BQ20" s="607" t="s">
        <v>164</v>
      </c>
    </row>
    <row r="21" spans="1:73">
      <c r="A21" s="634" t="s">
        <v>165</v>
      </c>
      <c r="B21" s="596" t="s">
        <v>206</v>
      </c>
      <c r="C21" s="627" t="s">
        <v>207</v>
      </c>
      <c r="D21" s="628">
        <f>IFERROR((NYY_P[[#This Row],[R]]*9)/NYY_P[[#This Row],[IP]],0)</f>
        <v>2.3641642472003319</v>
      </c>
      <c r="E21" s="629">
        <v>7</v>
      </c>
      <c r="F21" s="604">
        <v>1</v>
      </c>
      <c r="G21" s="600">
        <v>10</v>
      </c>
      <c r="H21" s="630">
        <v>72.33</v>
      </c>
      <c r="I21" s="601">
        <v>57</v>
      </c>
      <c r="J21" s="601">
        <v>19</v>
      </c>
      <c r="K21" s="601">
        <v>21</v>
      </c>
      <c r="L21" s="601">
        <v>90</v>
      </c>
      <c r="M21" s="600">
        <v>0</v>
      </c>
      <c r="N21" s="631">
        <f>IFERROR((NYY_P[[#This Row],[BB]]+NYY_P[[#This Row],[H]])/NYY_P[[#This Row],[IP]],)</f>
        <v>1.0783907092492742</v>
      </c>
      <c r="O21" s="600">
        <v>7</v>
      </c>
      <c r="P21" s="602">
        <v>7</v>
      </c>
      <c r="Q21" s="627">
        <v>2</v>
      </c>
      <c r="R21" s="632">
        <v>2</v>
      </c>
      <c r="S21" s="614">
        <v>1</v>
      </c>
      <c r="Z21" s="711" t="s">
        <v>165</v>
      </c>
      <c r="AA21" s="596" t="s">
        <v>206</v>
      </c>
      <c r="AB21" s="627" t="s">
        <v>207</v>
      </c>
      <c r="AC21" s="628">
        <f>IFERROR((NYY_P305[[#This Row],[R]]*9)/NYY_P305[[#This Row],[IP]],0)</f>
        <v>1.4936805821524322</v>
      </c>
      <c r="AD21" s="673">
        <v>6</v>
      </c>
      <c r="AE21" s="604">
        <v>2</v>
      </c>
      <c r="AF21" s="600">
        <v>10</v>
      </c>
      <c r="AG21" s="630">
        <v>78.33</v>
      </c>
      <c r="AH21" s="601">
        <v>42</v>
      </c>
      <c r="AI21" s="601">
        <v>13</v>
      </c>
      <c r="AJ21" s="601">
        <v>24</v>
      </c>
      <c r="AK21" s="602">
        <v>103</v>
      </c>
      <c r="AL21" s="600">
        <v>0</v>
      </c>
      <c r="AM21" s="631">
        <f>IFERROR((NYY_P305[[#This Row],[BB]]+NYY_P305[[#This Row],[H]])/NYY_P305[[#This Row],[IP]],)</f>
        <v>0.84258904634239762</v>
      </c>
      <c r="AN21" s="600">
        <v>9</v>
      </c>
      <c r="AO21" s="601">
        <v>6</v>
      </c>
      <c r="AP21" s="627">
        <v>3</v>
      </c>
      <c r="AQ21" s="632">
        <v>2</v>
      </c>
      <c r="AR21" s="614">
        <v>1</v>
      </c>
      <c r="AY21" s="711" t="s">
        <v>165</v>
      </c>
      <c r="AZ21" s="600" t="s">
        <v>206</v>
      </c>
      <c r="BA21" s="600" t="s">
        <v>207</v>
      </c>
      <c r="BB21" s="663">
        <f>IFERROR((NYY_P218[[#This Row],[R]]*9)/NYY_P218[[#This Row],[IP]],0)</f>
        <v>3.1838120843356443</v>
      </c>
      <c r="BC21" s="673">
        <v>3</v>
      </c>
      <c r="BD21" s="604">
        <v>4</v>
      </c>
      <c r="BE21" s="600">
        <v>10</v>
      </c>
      <c r="BF21" s="630">
        <v>70.67</v>
      </c>
      <c r="BG21" s="601">
        <v>54</v>
      </c>
      <c r="BH21" s="601">
        <v>25</v>
      </c>
      <c r="BI21" s="601">
        <v>15</v>
      </c>
      <c r="BJ21" s="601">
        <v>92</v>
      </c>
      <c r="BK21" s="600">
        <v>0</v>
      </c>
      <c r="BL21" s="631">
        <f>IFERROR((NYY_P218[[#This Row],[BB]]+NYY_P218[[#This Row],[H]])/NYY_P218[[#This Row],[IP]],0)</f>
        <v>0.97636903919626428</v>
      </c>
      <c r="BM21" s="600">
        <v>7</v>
      </c>
      <c r="BN21" s="601">
        <v>5</v>
      </c>
      <c r="BO21" s="600">
        <v>2</v>
      </c>
      <c r="BP21" s="604">
        <v>1</v>
      </c>
      <c r="BQ21" s="614">
        <v>1</v>
      </c>
    </row>
    <row r="22" spans="1:73">
      <c r="A22" s="635" t="s">
        <v>165</v>
      </c>
      <c r="B22" s="71" t="s">
        <v>206</v>
      </c>
      <c r="C22" s="633" t="s">
        <v>208</v>
      </c>
      <c r="D22" s="88">
        <f>IFERROR((NYY_P[[#This Row],[R]]*9)/NYY_P[[#This Row],[IP]],0)</f>
        <v>5.2051328393276703</v>
      </c>
      <c r="E22" s="77">
        <v>1</v>
      </c>
      <c r="F22" s="74">
        <v>3</v>
      </c>
      <c r="G22" s="28">
        <v>10</v>
      </c>
      <c r="H22" s="584">
        <v>55.33</v>
      </c>
      <c r="I22" s="90">
        <v>71</v>
      </c>
      <c r="J22" s="90">
        <v>32</v>
      </c>
      <c r="K22" s="90">
        <v>14</v>
      </c>
      <c r="L22" s="90">
        <v>52</v>
      </c>
      <c r="M22" s="28">
        <v>0</v>
      </c>
      <c r="N22" s="89">
        <f>IFERROR((NYY_P[[#This Row],[BB]]+NYY_P[[#This Row],[H]])/NYY_P[[#This Row],[IP]],)</f>
        <v>1.5362371227182361</v>
      </c>
      <c r="O22" s="28">
        <v>4</v>
      </c>
      <c r="P22" s="90">
        <v>0</v>
      </c>
      <c r="Q22" s="28">
        <v>0</v>
      </c>
      <c r="R22" s="74">
        <v>0</v>
      </c>
      <c r="S22" s="615">
        <v>2</v>
      </c>
      <c r="Z22" s="712" t="s">
        <v>165</v>
      </c>
      <c r="AA22" s="71" t="s">
        <v>206</v>
      </c>
      <c r="AB22" s="633" t="s">
        <v>208</v>
      </c>
      <c r="AC22" s="88">
        <f>IFERROR((NYY_P305[[#This Row],[R]]*9)/NYY_P305[[#This Row],[IP]],0)</f>
        <v>2.6599674892862422</v>
      </c>
      <c r="AD22" s="77">
        <v>4</v>
      </c>
      <c r="AE22" s="74">
        <v>3</v>
      </c>
      <c r="AF22" s="28">
        <v>10</v>
      </c>
      <c r="AG22" s="584">
        <v>67.67</v>
      </c>
      <c r="AH22" s="90">
        <v>54</v>
      </c>
      <c r="AI22" s="90">
        <v>20</v>
      </c>
      <c r="AJ22" s="90">
        <v>15</v>
      </c>
      <c r="AK22" s="90">
        <v>73</v>
      </c>
      <c r="AL22" s="28">
        <v>0</v>
      </c>
      <c r="AM22" s="89">
        <f>IFERROR((NYY_P305[[#This Row],[BB]]+NYY_P305[[#This Row],[H]])/NYY_P305[[#This Row],[IP]],)</f>
        <v>1.0196542042263927</v>
      </c>
      <c r="AN22" s="28">
        <v>9</v>
      </c>
      <c r="AO22" s="90">
        <v>4</v>
      </c>
      <c r="AP22" s="28">
        <v>1</v>
      </c>
      <c r="AQ22" s="74">
        <v>1</v>
      </c>
      <c r="AR22" s="615">
        <v>2</v>
      </c>
      <c r="AY22" s="712" t="s">
        <v>165</v>
      </c>
      <c r="AZ22" s="28" t="s">
        <v>206</v>
      </c>
      <c r="BA22" s="28" t="s">
        <v>209</v>
      </c>
      <c r="BB22" s="88">
        <f>IFERROR((NYY_P218[[#This Row],[R]]*9)/NYY_P218[[#This Row],[IP]],0)</f>
        <v>3.1764705882352939</v>
      </c>
      <c r="BC22" s="77">
        <v>6</v>
      </c>
      <c r="BD22" s="74">
        <v>2</v>
      </c>
      <c r="BE22" s="28">
        <v>10</v>
      </c>
      <c r="BF22" s="584">
        <v>68</v>
      </c>
      <c r="BG22" s="90">
        <v>48</v>
      </c>
      <c r="BH22" s="90">
        <v>24</v>
      </c>
      <c r="BI22" s="90">
        <v>15</v>
      </c>
      <c r="BJ22" s="90">
        <v>74</v>
      </c>
      <c r="BK22" s="28">
        <v>0</v>
      </c>
      <c r="BL22" s="89">
        <f>IFERROR((NYY_P218[[#This Row],[BB]]+NYY_P218[[#This Row],[H]])/NYY_P218[[#This Row],[IP]],0)</f>
        <v>0.92647058823529416</v>
      </c>
      <c r="BM22" s="28">
        <v>8</v>
      </c>
      <c r="BN22" s="90">
        <v>5</v>
      </c>
      <c r="BO22" s="28">
        <v>2</v>
      </c>
      <c r="BP22" s="104">
        <v>2</v>
      </c>
      <c r="BQ22" s="615">
        <v>2</v>
      </c>
    </row>
    <row r="23" spans="1:73">
      <c r="A23" s="635" t="s">
        <v>165</v>
      </c>
      <c r="B23" s="71" t="s">
        <v>206</v>
      </c>
      <c r="C23" s="74" t="s">
        <v>209</v>
      </c>
      <c r="D23" s="88">
        <f>IFERROR((NYY_P[[#This Row],[R]]*9)/NYY_P[[#This Row],[IP]],0)</f>
        <v>4.9655172413793105</v>
      </c>
      <c r="E23" s="77">
        <v>1</v>
      </c>
      <c r="F23" s="74">
        <v>3</v>
      </c>
      <c r="G23" s="28">
        <v>10</v>
      </c>
      <c r="H23" s="584">
        <v>58</v>
      </c>
      <c r="I23" s="90">
        <v>66</v>
      </c>
      <c r="J23" s="90">
        <v>32</v>
      </c>
      <c r="K23" s="90">
        <v>22</v>
      </c>
      <c r="L23" s="90">
        <v>57</v>
      </c>
      <c r="M23" s="28">
        <v>0</v>
      </c>
      <c r="N23" s="89">
        <f>IFERROR((NYY_P[[#This Row],[BB]]+NYY_P[[#This Row],[H]])/NYY_P[[#This Row],[IP]],)</f>
        <v>1.5172413793103448</v>
      </c>
      <c r="O23" s="28">
        <v>5</v>
      </c>
      <c r="P23" s="90">
        <v>3</v>
      </c>
      <c r="Q23" s="28">
        <v>0</v>
      </c>
      <c r="R23" s="74">
        <v>0</v>
      </c>
      <c r="S23" s="615">
        <v>3</v>
      </c>
      <c r="Z23" s="712" t="s">
        <v>165</v>
      </c>
      <c r="AA23" s="71" t="s">
        <v>206</v>
      </c>
      <c r="AB23" s="74" t="s">
        <v>209</v>
      </c>
      <c r="AC23" s="88">
        <f>IFERROR((NYY_P305[[#This Row],[R]]*9)/NYY_P305[[#This Row],[IP]],0)</f>
        <v>5.2537700664828924</v>
      </c>
      <c r="AD23" s="77">
        <v>1</v>
      </c>
      <c r="AE23" s="74">
        <v>5</v>
      </c>
      <c r="AF23" s="28">
        <v>10</v>
      </c>
      <c r="AG23" s="584">
        <v>61.67</v>
      </c>
      <c r="AH23" s="595">
        <v>76</v>
      </c>
      <c r="AI23" s="90">
        <v>36</v>
      </c>
      <c r="AJ23" s="90">
        <v>17</v>
      </c>
      <c r="AK23" s="90">
        <v>64</v>
      </c>
      <c r="AL23" s="28">
        <v>0</v>
      </c>
      <c r="AM23" s="89">
        <f>IFERROR((NYY_P305[[#This Row],[BB]]+NYY_P305[[#This Row],[H]])/NYY_P305[[#This Row],[IP]],)</f>
        <v>1.5080265931571266</v>
      </c>
      <c r="AN23" s="28">
        <v>4</v>
      </c>
      <c r="AO23" s="90">
        <v>3</v>
      </c>
      <c r="AP23" s="28">
        <v>1</v>
      </c>
      <c r="AQ23" s="74">
        <v>1</v>
      </c>
      <c r="AR23" s="615">
        <v>3</v>
      </c>
      <c r="AY23" s="712" t="s">
        <v>165</v>
      </c>
      <c r="AZ23" s="28" t="s">
        <v>206</v>
      </c>
      <c r="BA23" s="28" t="s">
        <v>210</v>
      </c>
      <c r="BB23" s="88">
        <f>IFERROR((NYY_P218[[#This Row],[R]]*9)/NYY_P218[[#This Row],[IP]],0)</f>
        <v>4.4486108743821369</v>
      </c>
      <c r="BC23" s="77">
        <v>6</v>
      </c>
      <c r="BD23" s="74">
        <v>3</v>
      </c>
      <c r="BE23" s="28">
        <v>10</v>
      </c>
      <c r="BF23" s="584">
        <v>58.67</v>
      </c>
      <c r="BG23" s="90">
        <v>69</v>
      </c>
      <c r="BH23" s="90">
        <v>29</v>
      </c>
      <c r="BI23" s="90">
        <v>11</v>
      </c>
      <c r="BJ23" s="90">
        <v>54</v>
      </c>
      <c r="BK23" s="28">
        <v>0</v>
      </c>
      <c r="BL23" s="89">
        <f>IFERROR((NYY_P218[[#This Row],[BB]]+NYY_P218[[#This Row],[H]])/NYY_P218[[#This Row],[IP]],0)</f>
        <v>1.3635588886995056</v>
      </c>
      <c r="BM23" s="28">
        <v>6</v>
      </c>
      <c r="BN23" s="90">
        <v>1</v>
      </c>
      <c r="BO23" s="28">
        <v>0</v>
      </c>
      <c r="BP23" s="74">
        <v>0</v>
      </c>
      <c r="BQ23" s="615">
        <v>3</v>
      </c>
    </row>
    <row r="24" spans="1:73">
      <c r="A24" s="635" t="s">
        <v>165</v>
      </c>
      <c r="B24" s="71" t="s">
        <v>206</v>
      </c>
      <c r="C24" s="87" t="s">
        <v>211</v>
      </c>
      <c r="D24" s="88">
        <f>IFERROR((NYY_P[[#This Row],[R]]*9)/NYY_P[[#This Row],[IP]],0)</f>
        <v>3.5803083043262061</v>
      </c>
      <c r="E24" s="77">
        <v>4</v>
      </c>
      <c r="F24" s="74">
        <v>3</v>
      </c>
      <c r="G24" s="28">
        <v>10</v>
      </c>
      <c r="H24" s="584">
        <v>60.33</v>
      </c>
      <c r="I24" s="90">
        <v>50</v>
      </c>
      <c r="J24" s="90">
        <v>24</v>
      </c>
      <c r="K24" s="90">
        <v>19</v>
      </c>
      <c r="L24" s="90">
        <v>50</v>
      </c>
      <c r="M24" s="28">
        <v>0</v>
      </c>
      <c r="N24" s="89">
        <f>IFERROR((NYY_P[[#This Row],[BB]]+NYY_P[[#This Row],[H]])/NYY_P[[#This Row],[IP]],)</f>
        <v>1.1437095972153157</v>
      </c>
      <c r="O24" s="28">
        <v>6</v>
      </c>
      <c r="P24" s="90">
        <v>3</v>
      </c>
      <c r="Q24" s="28">
        <v>0</v>
      </c>
      <c r="R24" s="74">
        <v>0</v>
      </c>
      <c r="S24" s="615">
        <v>4</v>
      </c>
      <c r="Z24" s="712" t="s">
        <v>165</v>
      </c>
      <c r="AA24" s="71" t="s">
        <v>206</v>
      </c>
      <c r="AB24" s="87" t="s">
        <v>211</v>
      </c>
      <c r="AC24" s="88">
        <f>IFERROR((NYY_P305[[#This Row],[R]]*9)/NYY_P305[[#This Row],[IP]],0)</f>
        <v>4.5789473684210522</v>
      </c>
      <c r="AD24" s="77">
        <v>4</v>
      </c>
      <c r="AE24" s="74">
        <v>2</v>
      </c>
      <c r="AF24" s="28">
        <v>10</v>
      </c>
      <c r="AG24" s="584">
        <v>57</v>
      </c>
      <c r="AH24" s="90">
        <v>67</v>
      </c>
      <c r="AI24" s="90">
        <v>29</v>
      </c>
      <c r="AJ24" s="90">
        <v>16</v>
      </c>
      <c r="AK24" s="90">
        <v>43</v>
      </c>
      <c r="AL24" s="28">
        <v>0</v>
      </c>
      <c r="AM24" s="89">
        <f>IFERROR((NYY_P305[[#This Row],[BB]]+NYY_P305[[#This Row],[H]])/NYY_P305[[#This Row],[IP]],)</f>
        <v>1.4561403508771931</v>
      </c>
      <c r="AN24" s="28">
        <v>6</v>
      </c>
      <c r="AO24" s="90">
        <v>2</v>
      </c>
      <c r="AP24" s="28">
        <v>0</v>
      </c>
      <c r="AQ24" s="74">
        <v>0</v>
      </c>
      <c r="AR24" s="615">
        <v>4</v>
      </c>
      <c r="AY24" s="712" t="s">
        <v>165</v>
      </c>
      <c r="AZ24" s="28" t="s">
        <v>206</v>
      </c>
      <c r="BA24" s="28" t="s">
        <v>211</v>
      </c>
      <c r="BB24" s="88">
        <f>IFERROR((NYY_P218[[#This Row],[R]]*9)/NYY_P218[[#This Row],[IP]],0)</f>
        <v>6.7504963600264727</v>
      </c>
      <c r="BC24" s="77">
        <v>3</v>
      </c>
      <c r="BD24" s="74">
        <v>4</v>
      </c>
      <c r="BE24" s="28">
        <v>9</v>
      </c>
      <c r="BF24" s="584">
        <v>45.33</v>
      </c>
      <c r="BG24" s="90">
        <v>66</v>
      </c>
      <c r="BH24" s="90">
        <v>34</v>
      </c>
      <c r="BI24" s="90">
        <v>12</v>
      </c>
      <c r="BJ24" s="90">
        <v>43</v>
      </c>
      <c r="BK24" s="28">
        <v>0</v>
      </c>
      <c r="BL24" s="89">
        <f>IFERROR((NYY_P218[[#This Row],[BB]]+NYY_P218[[#This Row],[H]])/NYY_P218[[#This Row],[IP]],0)</f>
        <v>1.7207147584381206</v>
      </c>
      <c r="BM24" s="28">
        <v>4</v>
      </c>
      <c r="BN24" s="90">
        <v>0</v>
      </c>
      <c r="BO24" s="28">
        <v>0</v>
      </c>
      <c r="BP24" s="74">
        <v>0</v>
      </c>
      <c r="BQ24" s="615">
        <v>4</v>
      </c>
    </row>
    <row r="25" spans="1:73">
      <c r="A25" s="635" t="s">
        <v>165</v>
      </c>
      <c r="B25" s="71" t="s">
        <v>215</v>
      </c>
      <c r="C25" s="87" t="s">
        <v>216</v>
      </c>
      <c r="D25" s="88">
        <f>IFERROR((NYY_P[[#This Row],[R]]*9)/NYY_P[[#This Row],[IP]],0)</f>
        <v>0</v>
      </c>
      <c r="E25" s="77">
        <v>0</v>
      </c>
      <c r="F25" s="74">
        <v>0</v>
      </c>
      <c r="G25" s="28">
        <v>0</v>
      </c>
      <c r="H25" s="584">
        <v>0</v>
      </c>
      <c r="I25" s="90">
        <v>0</v>
      </c>
      <c r="J25" s="90">
        <v>0</v>
      </c>
      <c r="K25" s="90">
        <v>0</v>
      </c>
      <c r="L25" s="90">
        <v>0</v>
      </c>
      <c r="M25" s="28">
        <v>0</v>
      </c>
      <c r="N25" s="89">
        <f>IFERROR((NYY_P[[#This Row],[BB]]+NYY_P[[#This Row],[H]])/NYY_P[[#This Row],[IP]],)</f>
        <v>0</v>
      </c>
      <c r="O25" s="28">
        <v>0</v>
      </c>
      <c r="P25" s="90">
        <v>0</v>
      </c>
      <c r="Q25" s="28">
        <v>0</v>
      </c>
      <c r="R25" s="74">
        <v>0</v>
      </c>
      <c r="S25" s="615">
        <v>5</v>
      </c>
      <c r="Z25" s="712" t="s">
        <v>165</v>
      </c>
      <c r="AA25" s="71" t="s">
        <v>212</v>
      </c>
      <c r="AB25" s="87" t="s">
        <v>214</v>
      </c>
      <c r="AC25" s="88">
        <f>IFERROR((NYY_P305[[#This Row],[R]]*9)/NYY_P305[[#This Row],[IP]],0)</f>
        <v>0</v>
      </c>
      <c r="AD25" s="77">
        <v>0</v>
      </c>
      <c r="AE25" s="74">
        <v>0</v>
      </c>
      <c r="AF25" s="28">
        <v>0</v>
      </c>
      <c r="AG25" s="584">
        <v>0</v>
      </c>
      <c r="AH25" s="90">
        <v>0</v>
      </c>
      <c r="AI25" s="90">
        <v>0</v>
      </c>
      <c r="AJ25" s="90">
        <v>0</v>
      </c>
      <c r="AK25" s="90">
        <v>0</v>
      </c>
      <c r="AL25" s="28">
        <v>0</v>
      </c>
      <c r="AM25" s="89">
        <f>IFERROR((NYY_P305[[#This Row],[BB]]+NYY_P305[[#This Row],[H]])/NYY_P305[[#This Row],[IP]],)</f>
        <v>0</v>
      </c>
      <c r="AN25" s="28">
        <v>0</v>
      </c>
      <c r="AO25" s="90">
        <v>0</v>
      </c>
      <c r="AP25" s="28">
        <v>0</v>
      </c>
      <c r="AQ25" s="74">
        <v>0</v>
      </c>
      <c r="AR25" s="615">
        <v>5</v>
      </c>
      <c r="AY25" s="712" t="s">
        <v>165</v>
      </c>
      <c r="AZ25" s="28" t="s">
        <v>212</v>
      </c>
      <c r="BA25" s="28" t="s">
        <v>208</v>
      </c>
      <c r="BB25" s="88">
        <f>IFERROR((NYY_P218[[#This Row],[R]]*9)/NYY_P218[[#This Row],[IP]],0)</f>
        <v>5.4782608695652177</v>
      </c>
      <c r="BC25" s="77">
        <v>1</v>
      </c>
      <c r="BD25" s="74">
        <v>0</v>
      </c>
      <c r="BE25" s="28">
        <v>10</v>
      </c>
      <c r="BF25" s="584">
        <v>23</v>
      </c>
      <c r="BG25" s="90">
        <v>26</v>
      </c>
      <c r="BH25" s="90">
        <v>14</v>
      </c>
      <c r="BI25" s="90">
        <v>10</v>
      </c>
      <c r="BJ25" s="90">
        <v>29</v>
      </c>
      <c r="BK25" s="28">
        <v>0</v>
      </c>
      <c r="BL25" s="89">
        <f>IFERROR((NYY_P218[[#This Row],[BB]]+NYY_P218[[#This Row],[H]])/NYY_P218[[#This Row],[IP]],0)</f>
        <v>1.5652173913043479</v>
      </c>
      <c r="BM25" s="28">
        <v>0</v>
      </c>
      <c r="BN25" s="90">
        <v>0</v>
      </c>
      <c r="BO25" s="28">
        <v>0</v>
      </c>
      <c r="BP25" s="74">
        <v>0</v>
      </c>
      <c r="BQ25" s="615">
        <v>5</v>
      </c>
    </row>
    <row r="26" spans="1:73">
      <c r="A26" s="635" t="s">
        <v>165</v>
      </c>
      <c r="B26" s="71" t="s">
        <v>212</v>
      </c>
      <c r="C26" s="633" t="s">
        <v>213</v>
      </c>
      <c r="D26" s="88">
        <f>IFERROR((NYY_P[[#This Row],[R]]*9)/NYY_P[[#This Row],[IP]],0)</f>
        <v>2.1318594551914729</v>
      </c>
      <c r="E26" s="77">
        <v>2</v>
      </c>
      <c r="F26" s="74">
        <v>0</v>
      </c>
      <c r="G26" s="28">
        <v>14</v>
      </c>
      <c r="H26" s="584">
        <v>25.33</v>
      </c>
      <c r="I26" s="90">
        <v>22</v>
      </c>
      <c r="J26" s="90">
        <v>6</v>
      </c>
      <c r="K26" s="90">
        <v>6</v>
      </c>
      <c r="L26" s="90">
        <v>25</v>
      </c>
      <c r="M26" s="28">
        <v>0</v>
      </c>
      <c r="N26" s="89">
        <f>IFERROR((NYY_P[[#This Row],[BB]]+NYY_P[[#This Row],[H]])/NYY_P[[#This Row],[IP]],)</f>
        <v>1.1054086063955784</v>
      </c>
      <c r="O26" s="28">
        <v>0</v>
      </c>
      <c r="P26" s="90">
        <v>0</v>
      </c>
      <c r="Q26" s="28">
        <v>0</v>
      </c>
      <c r="R26" s="74">
        <v>0</v>
      </c>
      <c r="S26" s="615">
        <v>6</v>
      </c>
      <c r="Z26" s="712" t="s">
        <v>165</v>
      </c>
      <c r="AA26" s="71" t="s">
        <v>212</v>
      </c>
      <c r="AB26" s="633" t="s">
        <v>213</v>
      </c>
      <c r="AC26" s="88">
        <f>IFERROR((NYY_P305[[#This Row],[R]]*9)/NYY_P305[[#This Row],[IP]],0)</f>
        <v>8.5240726124704018</v>
      </c>
      <c r="AD26" s="77">
        <v>0</v>
      </c>
      <c r="AE26" s="74">
        <v>0</v>
      </c>
      <c r="AF26" s="28">
        <v>7</v>
      </c>
      <c r="AG26" s="584">
        <v>12.67</v>
      </c>
      <c r="AH26" s="90">
        <v>16</v>
      </c>
      <c r="AI26" s="90">
        <v>12</v>
      </c>
      <c r="AJ26" s="90">
        <v>4</v>
      </c>
      <c r="AK26" s="90">
        <v>3</v>
      </c>
      <c r="AL26" s="28">
        <v>0</v>
      </c>
      <c r="AM26" s="89">
        <f>IFERROR((NYY_P305[[#This Row],[BB]]+NYY_P305[[#This Row],[H]])/NYY_P305[[#This Row],[IP]],)</f>
        <v>1.5785319652722967</v>
      </c>
      <c r="AN26" s="28">
        <v>0</v>
      </c>
      <c r="AO26" s="90">
        <v>0</v>
      </c>
      <c r="AP26" s="28">
        <v>0</v>
      </c>
      <c r="AQ26" s="74">
        <v>0</v>
      </c>
      <c r="AR26" s="615">
        <v>6</v>
      </c>
      <c r="AY26" s="712" t="s">
        <v>165</v>
      </c>
      <c r="AZ26" s="28" t="s">
        <v>215</v>
      </c>
      <c r="BA26" s="28" t="s">
        <v>213</v>
      </c>
      <c r="BB26" s="88">
        <f>IFERROR((NYY_P218[[#This Row],[R]]*9)/NYY_P218[[#This Row],[IP]],0)</f>
        <v>10.380622837370243</v>
      </c>
      <c r="BC26" s="77">
        <v>0</v>
      </c>
      <c r="BD26" s="74">
        <v>0</v>
      </c>
      <c r="BE26" s="28">
        <v>6</v>
      </c>
      <c r="BF26" s="584">
        <v>8.67</v>
      </c>
      <c r="BG26" s="90">
        <v>7</v>
      </c>
      <c r="BH26" s="90">
        <v>10</v>
      </c>
      <c r="BI26" s="90">
        <v>7</v>
      </c>
      <c r="BJ26" s="90">
        <v>12</v>
      </c>
      <c r="BK26" s="28">
        <v>0</v>
      </c>
      <c r="BL26" s="89">
        <f>IFERROR((NYY_P218[[#This Row],[BB]]+NYY_P218[[#This Row],[H]])/NYY_P218[[#This Row],[IP]],0)</f>
        <v>1.6147635524798154</v>
      </c>
      <c r="BM26" s="28">
        <v>0</v>
      </c>
      <c r="BN26" s="90">
        <v>0</v>
      </c>
      <c r="BO26" s="28">
        <v>0</v>
      </c>
      <c r="BP26" s="74">
        <v>0</v>
      </c>
      <c r="BQ26" s="615">
        <v>6</v>
      </c>
    </row>
    <row r="27" spans="1:73">
      <c r="A27" s="635" t="s">
        <v>165</v>
      </c>
      <c r="B27" s="71" t="s">
        <v>215</v>
      </c>
      <c r="C27" s="87" t="s">
        <v>217</v>
      </c>
      <c r="D27" s="88">
        <f>IFERROR((NYY_P[[#This Row],[R]]*9)/NYY_P[[#This Row],[IP]],0)</f>
        <v>2.7391304347826089</v>
      </c>
      <c r="E27" s="77">
        <v>1</v>
      </c>
      <c r="F27" s="74">
        <v>0</v>
      </c>
      <c r="G27" s="28">
        <v>12</v>
      </c>
      <c r="H27" s="584">
        <v>23</v>
      </c>
      <c r="I27" s="90">
        <v>13</v>
      </c>
      <c r="J27" s="90">
        <v>7</v>
      </c>
      <c r="K27" s="90">
        <v>16</v>
      </c>
      <c r="L27" s="90">
        <v>29</v>
      </c>
      <c r="M27" s="28">
        <v>0</v>
      </c>
      <c r="N27" s="89">
        <f>IFERROR((NYY_P[[#This Row],[BB]]+NYY_P[[#This Row],[H]])/NYY_P[[#This Row],[IP]],)</f>
        <v>1.2608695652173914</v>
      </c>
      <c r="O27" s="28">
        <v>0</v>
      </c>
      <c r="P27" s="90">
        <v>0</v>
      </c>
      <c r="Q27" s="28">
        <v>0</v>
      </c>
      <c r="R27" s="74">
        <v>0</v>
      </c>
      <c r="S27" s="615">
        <v>7</v>
      </c>
      <c r="Z27" s="712" t="s">
        <v>165</v>
      </c>
      <c r="AA27" s="71" t="s">
        <v>212</v>
      </c>
      <c r="AB27" s="87" t="s">
        <v>218</v>
      </c>
      <c r="AC27" s="88">
        <f>IFERROR((NYY_P305[[#This Row],[R]]*9)/NYY_P305[[#This Row],[IP]],0)</f>
        <v>4.3777867855695174</v>
      </c>
      <c r="AD27" s="77">
        <v>1</v>
      </c>
      <c r="AE27" s="74">
        <v>3</v>
      </c>
      <c r="AF27" s="28">
        <v>13</v>
      </c>
      <c r="AG27" s="584">
        <v>24.67</v>
      </c>
      <c r="AH27" s="90">
        <v>21</v>
      </c>
      <c r="AI27" s="90">
        <v>12</v>
      </c>
      <c r="AJ27" s="90">
        <v>9</v>
      </c>
      <c r="AK27" s="90">
        <v>25</v>
      </c>
      <c r="AL27" s="28">
        <v>0</v>
      </c>
      <c r="AM27" s="89">
        <f>IFERROR((NYY_P305[[#This Row],[BB]]+NYY_P305[[#This Row],[H]])/NYY_P305[[#This Row],[IP]],)</f>
        <v>1.2160518848804214</v>
      </c>
      <c r="AN27" s="28">
        <v>0</v>
      </c>
      <c r="AO27" s="90">
        <v>0</v>
      </c>
      <c r="AP27" s="28">
        <v>0</v>
      </c>
      <c r="AQ27" s="74">
        <v>0</v>
      </c>
      <c r="AR27" s="615">
        <v>7</v>
      </c>
      <c r="AY27" s="712" t="s">
        <v>165</v>
      </c>
      <c r="AZ27" s="28" t="s">
        <v>212</v>
      </c>
      <c r="BA27" s="28" t="s">
        <v>218</v>
      </c>
      <c r="BB27" s="88">
        <f>IFERROR((NYY_P218[[#This Row],[R]]*9)/NYY_P218[[#This Row],[IP]],0)</f>
        <v>6.1875</v>
      </c>
      <c r="BC27" s="77">
        <v>0</v>
      </c>
      <c r="BD27" s="74">
        <v>0</v>
      </c>
      <c r="BE27" s="28">
        <v>12</v>
      </c>
      <c r="BF27" s="584">
        <v>16</v>
      </c>
      <c r="BG27" s="90">
        <v>22</v>
      </c>
      <c r="BH27" s="90">
        <v>11</v>
      </c>
      <c r="BI27" s="90">
        <v>9</v>
      </c>
      <c r="BJ27" s="90">
        <v>14</v>
      </c>
      <c r="BK27" s="28">
        <v>0</v>
      </c>
      <c r="BL27" s="89">
        <f>IFERROR((NYY_P218[[#This Row],[BB]]+NYY_P218[[#This Row],[H]])/NYY_P218[[#This Row],[IP]],0)</f>
        <v>1.9375</v>
      </c>
      <c r="BM27" s="28">
        <v>0</v>
      </c>
      <c r="BN27" s="90">
        <v>0</v>
      </c>
      <c r="BO27" s="28">
        <v>0</v>
      </c>
      <c r="BP27" s="74">
        <v>0</v>
      </c>
      <c r="BQ27" s="615">
        <v>7</v>
      </c>
    </row>
    <row r="28" spans="1:73">
      <c r="A28" s="635" t="s">
        <v>165</v>
      </c>
      <c r="B28" s="71" t="s">
        <v>212</v>
      </c>
      <c r="C28" s="87" t="s">
        <v>219</v>
      </c>
      <c r="D28" s="88">
        <f>IFERROR((NYY_P[[#This Row],[R]]*9)/NYY_P[[#This Row],[IP]],0)</f>
        <v>3.1304347826086958</v>
      </c>
      <c r="E28" s="77">
        <v>3</v>
      </c>
      <c r="F28" s="74">
        <v>1</v>
      </c>
      <c r="G28" s="28">
        <v>20</v>
      </c>
      <c r="H28" s="584">
        <v>23</v>
      </c>
      <c r="I28" s="90">
        <v>21</v>
      </c>
      <c r="J28" s="90">
        <v>8</v>
      </c>
      <c r="K28" s="90">
        <v>9</v>
      </c>
      <c r="L28" s="90">
        <v>20</v>
      </c>
      <c r="M28" s="28">
        <v>0</v>
      </c>
      <c r="N28" s="89">
        <f>IFERROR((NYY_P[[#This Row],[BB]]+NYY_P[[#This Row],[H]])/NYY_P[[#This Row],[IP]],)</f>
        <v>1.3043478260869565</v>
      </c>
      <c r="O28" s="28">
        <v>0</v>
      </c>
      <c r="P28" s="90">
        <v>0</v>
      </c>
      <c r="Q28" s="28">
        <v>0</v>
      </c>
      <c r="R28" s="74">
        <v>0</v>
      </c>
      <c r="S28" s="615">
        <v>8</v>
      </c>
      <c r="Z28" s="712" t="s">
        <v>165</v>
      </c>
      <c r="AA28" s="71" t="s">
        <v>212</v>
      </c>
      <c r="AB28" s="87" t="s">
        <v>219</v>
      </c>
      <c r="AC28" s="88">
        <f>IFERROR((NYY_P305[[#This Row],[R]]*9)/NYY_P305[[#This Row],[IP]],0)</f>
        <v>4.1179461108286723</v>
      </c>
      <c r="AD28" s="77">
        <v>2</v>
      </c>
      <c r="AE28" s="74">
        <v>1</v>
      </c>
      <c r="AF28" s="28">
        <v>14</v>
      </c>
      <c r="AG28" s="584">
        <v>19.670000000000002</v>
      </c>
      <c r="AH28" s="90">
        <v>17</v>
      </c>
      <c r="AI28" s="90">
        <v>9</v>
      </c>
      <c r="AJ28" s="90">
        <v>8</v>
      </c>
      <c r="AK28" s="90">
        <v>21</v>
      </c>
      <c r="AL28" s="28">
        <v>0</v>
      </c>
      <c r="AM28" s="89">
        <f>IFERROR((NYY_P305[[#This Row],[BB]]+NYY_P305[[#This Row],[H]])/NYY_P305[[#This Row],[IP]],)</f>
        <v>1.2709710218607015</v>
      </c>
      <c r="AN28" s="28">
        <v>0</v>
      </c>
      <c r="AO28" s="90">
        <v>0</v>
      </c>
      <c r="AP28" s="28">
        <v>0</v>
      </c>
      <c r="AQ28" s="74">
        <v>0</v>
      </c>
      <c r="AR28" s="615">
        <v>8</v>
      </c>
      <c r="AY28" s="712" t="s">
        <v>165</v>
      </c>
      <c r="AZ28" s="28" t="s">
        <v>212</v>
      </c>
      <c r="BA28" s="28" t="s">
        <v>219</v>
      </c>
      <c r="BB28" s="88">
        <f>IFERROR((NYY_P218[[#This Row],[R]]*9)/NYY_P218[[#This Row],[IP]],0)</f>
        <v>7.59493670886076</v>
      </c>
      <c r="BC28" s="77">
        <v>0</v>
      </c>
      <c r="BD28" s="74">
        <v>0</v>
      </c>
      <c r="BE28" s="28">
        <v>20</v>
      </c>
      <c r="BF28" s="584">
        <v>21.33</v>
      </c>
      <c r="BG28" s="90">
        <v>31</v>
      </c>
      <c r="BH28" s="90">
        <v>18</v>
      </c>
      <c r="BI28" s="90">
        <v>6</v>
      </c>
      <c r="BJ28" s="90">
        <v>25</v>
      </c>
      <c r="BK28" s="28">
        <v>0</v>
      </c>
      <c r="BL28" s="89">
        <f>IFERROR((NYY_P218[[#This Row],[BB]]+NYY_P218[[#This Row],[H]])/NYY_P218[[#This Row],[IP]],0)</f>
        <v>1.734646038443507</v>
      </c>
      <c r="BM28" s="28">
        <v>0</v>
      </c>
      <c r="BN28" s="90">
        <v>0</v>
      </c>
      <c r="BO28" s="28">
        <v>0</v>
      </c>
      <c r="BP28" s="74">
        <v>0</v>
      </c>
      <c r="BQ28" s="615">
        <v>8</v>
      </c>
    </row>
    <row r="29" spans="1:73">
      <c r="A29" s="635" t="s">
        <v>165</v>
      </c>
      <c r="B29" s="71" t="s">
        <v>212</v>
      </c>
      <c r="C29" s="87" t="s">
        <v>220</v>
      </c>
      <c r="D29" s="88">
        <f>IFERROR((NYY_P[[#This Row],[R]]*9)/NYY_P[[#This Row],[IP]],0)</f>
        <v>3.79746835443038</v>
      </c>
      <c r="E29" s="77">
        <v>3</v>
      </c>
      <c r="F29" s="74">
        <v>1</v>
      </c>
      <c r="G29" s="28">
        <v>20</v>
      </c>
      <c r="H29" s="584">
        <v>21.33</v>
      </c>
      <c r="I29" s="90">
        <v>16</v>
      </c>
      <c r="J29" s="90">
        <v>9</v>
      </c>
      <c r="K29" s="90">
        <v>3</v>
      </c>
      <c r="L29" s="90">
        <v>26</v>
      </c>
      <c r="M29" s="28">
        <v>1</v>
      </c>
      <c r="N29" s="89">
        <f>IFERROR((NYY_P[[#This Row],[BB]]+NYY_P[[#This Row],[H]])/NYY_P[[#This Row],[IP]],)</f>
        <v>0.89076418190342244</v>
      </c>
      <c r="O29" s="28">
        <v>0</v>
      </c>
      <c r="P29" s="90">
        <v>0</v>
      </c>
      <c r="Q29" s="28">
        <v>0</v>
      </c>
      <c r="R29" s="74">
        <v>0</v>
      </c>
      <c r="S29" s="615">
        <v>9</v>
      </c>
      <c r="Z29" s="712" t="s">
        <v>165</v>
      </c>
      <c r="AA29" s="71" t="s">
        <v>212</v>
      </c>
      <c r="AB29" s="87" t="s">
        <v>221</v>
      </c>
      <c r="AC29" s="88">
        <f>IFERROR((NYY_P305[[#This Row],[R]]*9)/NYY_P305[[#This Row],[IP]],0)</f>
        <v>6.1875</v>
      </c>
      <c r="AD29" s="77">
        <v>2</v>
      </c>
      <c r="AE29" s="74">
        <v>1</v>
      </c>
      <c r="AF29" s="28">
        <v>11</v>
      </c>
      <c r="AG29" s="584">
        <v>16</v>
      </c>
      <c r="AH29" s="90">
        <v>20</v>
      </c>
      <c r="AI29" s="90">
        <v>11</v>
      </c>
      <c r="AJ29" s="90">
        <v>12</v>
      </c>
      <c r="AK29" s="90">
        <v>8</v>
      </c>
      <c r="AL29" s="28">
        <v>0</v>
      </c>
      <c r="AM29" s="89">
        <f>IFERROR((NYY_P305[[#This Row],[BB]]+NYY_P305[[#This Row],[H]])/NYY_P305[[#This Row],[IP]],)</f>
        <v>2</v>
      </c>
      <c r="AN29" s="28">
        <v>0</v>
      </c>
      <c r="AO29" s="90">
        <v>0</v>
      </c>
      <c r="AP29" s="28">
        <v>0</v>
      </c>
      <c r="AQ29" s="74">
        <v>0</v>
      </c>
      <c r="AR29" s="615">
        <v>9</v>
      </c>
      <c r="AY29" s="712" t="s">
        <v>165</v>
      </c>
      <c r="AZ29" s="28" t="s">
        <v>212</v>
      </c>
      <c r="BA29" s="28" t="s">
        <v>221</v>
      </c>
      <c r="BB29" s="88">
        <f>IFERROR((NYY_P218[[#This Row],[R]]*9)/NYY_P218[[#This Row],[IP]],0)</f>
        <v>1.8835019183815833</v>
      </c>
      <c r="BC29" s="77">
        <v>3</v>
      </c>
      <c r="BD29" s="74">
        <v>1</v>
      </c>
      <c r="BE29" s="76">
        <v>28</v>
      </c>
      <c r="BF29" s="584">
        <v>28.67</v>
      </c>
      <c r="BG29" s="90">
        <v>16</v>
      </c>
      <c r="BH29" s="90">
        <v>6</v>
      </c>
      <c r="BI29" s="90">
        <v>18</v>
      </c>
      <c r="BJ29" s="595">
        <v>45</v>
      </c>
      <c r="BK29" s="28">
        <v>0</v>
      </c>
      <c r="BL29" s="89">
        <f>IFERROR((NYY_P218[[#This Row],[BB]]+NYY_P218[[#This Row],[H]])/NYY_P218[[#This Row],[IP]],0)</f>
        <v>1.1859086152772933</v>
      </c>
      <c r="BM29" s="28">
        <v>0</v>
      </c>
      <c r="BN29" s="90">
        <v>0</v>
      </c>
      <c r="BO29" s="28">
        <v>0</v>
      </c>
      <c r="BP29" s="74">
        <v>0</v>
      </c>
      <c r="BQ29" s="615">
        <v>9</v>
      </c>
    </row>
    <row r="30" spans="1:73" ht="17" thickBot="1">
      <c r="A30" s="635" t="s">
        <v>165</v>
      </c>
      <c r="B30" s="71" t="s">
        <v>212</v>
      </c>
      <c r="C30" s="28" t="s">
        <v>222</v>
      </c>
      <c r="D30" s="88">
        <f>IFERROR((NYY_P[[#This Row],[R]]*9)/NYY_P[[#This Row],[IP]],0)</f>
        <v>4.2434633519074154</v>
      </c>
      <c r="E30" s="77">
        <v>2</v>
      </c>
      <c r="F30" s="74">
        <v>4</v>
      </c>
      <c r="G30" s="28">
        <v>23</v>
      </c>
      <c r="H30" s="584">
        <v>23.33</v>
      </c>
      <c r="I30" s="90">
        <v>17</v>
      </c>
      <c r="J30" s="90">
        <v>11</v>
      </c>
      <c r="K30" s="90">
        <v>16</v>
      </c>
      <c r="L30" s="90">
        <v>30</v>
      </c>
      <c r="M30" s="28">
        <v>7</v>
      </c>
      <c r="N30" s="89">
        <f>IFERROR((NYY_P[[#This Row],[BB]]+NYY_P[[#This Row],[H]])/NYY_P[[#This Row],[IP]],)</f>
        <v>1.4144877839691385</v>
      </c>
      <c r="O30" s="28">
        <v>0</v>
      </c>
      <c r="P30" s="90">
        <v>0</v>
      </c>
      <c r="Q30" s="28">
        <v>0</v>
      </c>
      <c r="R30" s="74">
        <v>0</v>
      </c>
      <c r="S30" s="615">
        <v>10</v>
      </c>
      <c r="Z30" s="712" t="s">
        <v>165</v>
      </c>
      <c r="AA30" s="71" t="s">
        <v>212</v>
      </c>
      <c r="AB30" s="28" t="s">
        <v>222</v>
      </c>
      <c r="AC30" s="88">
        <f>IFERROR((NYY_P305[[#This Row],[R]]*9)/NYY_P305[[#This Row],[IP]],0)</f>
        <v>1.4024152707440591</v>
      </c>
      <c r="AD30" s="77">
        <v>1</v>
      </c>
      <c r="AE30" s="74">
        <v>2</v>
      </c>
      <c r="AF30" s="28">
        <v>22</v>
      </c>
      <c r="AG30" s="584">
        <v>25.67</v>
      </c>
      <c r="AH30" s="90">
        <v>14</v>
      </c>
      <c r="AI30" s="90">
        <v>4</v>
      </c>
      <c r="AJ30" s="90">
        <v>16</v>
      </c>
      <c r="AK30" s="90">
        <v>38</v>
      </c>
      <c r="AL30" s="28">
        <v>6</v>
      </c>
      <c r="AM30" s="89">
        <f>IFERROR((NYY_P305[[#This Row],[BB]]+NYY_P305[[#This Row],[H]])/NYY_P305[[#This Row],[IP]],)</f>
        <v>1.168679392286716</v>
      </c>
      <c r="AN30" s="28">
        <v>0</v>
      </c>
      <c r="AO30" s="90">
        <v>0</v>
      </c>
      <c r="AP30" s="28">
        <v>0</v>
      </c>
      <c r="AQ30" s="74">
        <v>0</v>
      </c>
      <c r="AR30" s="615">
        <v>10</v>
      </c>
      <c r="AY30" s="712" t="s">
        <v>165</v>
      </c>
      <c r="AZ30" s="28" t="s">
        <v>212</v>
      </c>
      <c r="BA30" s="28" t="s">
        <v>222</v>
      </c>
      <c r="BB30" s="88">
        <f>IFERROR((NYY_P218[[#This Row],[R]]*9)/NYY_P218[[#This Row],[IP]],0)</f>
        <v>2.347826086956522</v>
      </c>
      <c r="BC30" s="77">
        <v>1</v>
      </c>
      <c r="BD30" s="74">
        <v>3</v>
      </c>
      <c r="BE30" s="28">
        <v>23</v>
      </c>
      <c r="BF30" s="584">
        <v>23</v>
      </c>
      <c r="BG30" s="90">
        <v>11</v>
      </c>
      <c r="BH30" s="90">
        <v>6</v>
      </c>
      <c r="BI30" s="90">
        <v>17</v>
      </c>
      <c r="BJ30" s="90">
        <v>34</v>
      </c>
      <c r="BK30" s="28">
        <v>6</v>
      </c>
      <c r="BL30" s="89">
        <f>IFERROR((NYY_P218[[#This Row],[BB]]+NYY_P218[[#This Row],[H]])/NYY_P218[[#This Row],[IP]],0)</f>
        <v>1.2173913043478262</v>
      </c>
      <c r="BM30" s="28">
        <v>0</v>
      </c>
      <c r="BN30" s="90">
        <v>0</v>
      </c>
      <c r="BO30" s="28">
        <v>0</v>
      </c>
      <c r="BP30" s="74">
        <v>0</v>
      </c>
      <c r="BQ30" s="615">
        <v>10</v>
      </c>
    </row>
    <row r="31" spans="1:73" ht="17" thickBot="1">
      <c r="A31" s="617"/>
      <c r="B31" s="618"/>
      <c r="C31" s="639" t="s">
        <v>195</v>
      </c>
      <c r="D31" s="640">
        <f>(J31*9)/H31</f>
        <v>3.679761312779712</v>
      </c>
      <c r="E31" s="641">
        <f>SUBTOTAL(109,NYY_P[W])</f>
        <v>24</v>
      </c>
      <c r="F31" s="625">
        <f>SUBTOTAL(109,NYY_P[L])</f>
        <v>16</v>
      </c>
      <c r="G31" s="622"/>
      <c r="H31" s="642">
        <f>SUBTOTAL(109,NYY_P[IP])</f>
        <v>361.97999999999996</v>
      </c>
      <c r="I31" s="623">
        <f>SUBTOTAL(109,NYY_P[H])</f>
        <v>333</v>
      </c>
      <c r="J31" s="643">
        <f>SUBTOTAL(109,NYY_P[R])</f>
        <v>148</v>
      </c>
      <c r="K31" s="623">
        <f>SUBTOTAL(109,NYY_P[BB])</f>
        <v>126</v>
      </c>
      <c r="L31" s="623">
        <f>SUBTOTAL(109,NYY_P[K])</f>
        <v>379</v>
      </c>
      <c r="M31" s="622">
        <f>SUBTOTAL(109,NYY_P[SV])</f>
        <v>8</v>
      </c>
      <c r="N31" s="644">
        <f>(K31+I31)/H31</f>
        <v>1.2680258577821981</v>
      </c>
      <c r="O31" s="645">
        <f>SUBTOTAL(109,NYY_P[QS])</f>
        <v>22</v>
      </c>
      <c r="P31" s="646">
        <f>SUBTOTAL(109,NYY_P[UQ])</f>
        <v>13</v>
      </c>
      <c r="Q31" s="647">
        <f>SUBTOTAL(109,NYY_P[CG])</f>
        <v>2</v>
      </c>
      <c r="R31" s="648">
        <f>SUBTOTAL(109,NYY_P[SH])</f>
        <v>2</v>
      </c>
      <c r="S31" s="649"/>
      <c r="Z31" s="617"/>
      <c r="AA31" s="618"/>
      <c r="AB31" s="639" t="s">
        <v>195</v>
      </c>
      <c r="AC31" s="709">
        <f>(AI31*9)/AG31</f>
        <v>3.6163478739507355</v>
      </c>
      <c r="AD31" s="641">
        <f>SUBTOTAL(109,NYY_P305[W])</f>
        <v>21</v>
      </c>
      <c r="AE31" s="625">
        <f>SUBTOTAL(109,NYY_P305[L])</f>
        <v>19</v>
      </c>
      <c r="AF31" s="622"/>
      <c r="AG31" s="642">
        <f>SUBTOTAL(109,NYY_P305[IP])</f>
        <v>363.35000000000008</v>
      </c>
      <c r="AH31" s="623">
        <f>SUBTOTAL(109,NYY_P305[H])</f>
        <v>327</v>
      </c>
      <c r="AI31" s="623">
        <f>SUBTOTAL(109,NYY_P305[R])</f>
        <v>146</v>
      </c>
      <c r="AJ31" s="623">
        <f>SUBTOTAL(109,NYY_P305[BB])</f>
        <v>121</v>
      </c>
      <c r="AK31" s="623">
        <f>SUBTOTAL(109,NYY_P305[K])</f>
        <v>378</v>
      </c>
      <c r="AL31" s="622">
        <f>SUBTOTAL(109,NYY_P305[SV])</f>
        <v>6</v>
      </c>
      <c r="AM31" s="644">
        <f>(AJ31+AH31)/AG31</f>
        <v>1.2329709646346496</v>
      </c>
      <c r="AN31" s="645">
        <f>SUBTOTAL(109,NYY_P305[QS])</f>
        <v>28</v>
      </c>
      <c r="AO31" s="646">
        <f>SUBTOTAL(109,NYY_P305[UQ])</f>
        <v>15</v>
      </c>
      <c r="AP31" s="647">
        <f>SUBTOTAL(109,NYY_P305[CG])</f>
        <v>5</v>
      </c>
      <c r="AQ31" s="715">
        <f>SUBTOTAL(109,NYY_P305[SH])</f>
        <v>4</v>
      </c>
      <c r="AR31" s="649"/>
      <c r="AY31" s="617"/>
      <c r="AZ31" s="639"/>
      <c r="BA31" s="639" t="s">
        <v>195</v>
      </c>
      <c r="BB31" s="709">
        <f>IFERROR((BH31*9)/BF31,0)</f>
        <v>4.384323223427093</v>
      </c>
      <c r="BC31" s="641">
        <f>SUM(BC21:BC30)</f>
        <v>23</v>
      </c>
      <c r="BD31" s="625">
        <f>SUM(BD21:BD30)</f>
        <v>17</v>
      </c>
      <c r="BE31" s="622"/>
      <c r="BF31" s="642">
        <f>SUM(BF21:BF30)</f>
        <v>363.34000000000003</v>
      </c>
      <c r="BG31" s="623">
        <f>SUM(BG21:BG30)</f>
        <v>350</v>
      </c>
      <c r="BH31" s="623">
        <f>SUBTOTAL(109,NYY_P218[R])</f>
        <v>177</v>
      </c>
      <c r="BI31" s="623">
        <f>SUM(BI21:BI30)</f>
        <v>120</v>
      </c>
      <c r="BJ31" s="643">
        <f>SUM(BJ21:BJ30)</f>
        <v>422</v>
      </c>
      <c r="BK31" s="622">
        <f>SUM(BK21:BK30)</f>
        <v>6</v>
      </c>
      <c r="BL31" s="644">
        <f>(BI31+BG31)/BF31</f>
        <v>1.2935542467110694</v>
      </c>
      <c r="BM31" s="727">
        <f>SUM(BM21:BM30)</f>
        <v>25</v>
      </c>
      <c r="BN31" s="646">
        <f>SUM(BN21:BN30)</f>
        <v>11</v>
      </c>
      <c r="BO31" s="647">
        <f>SUM(BO21:BO30)</f>
        <v>4</v>
      </c>
      <c r="BP31" s="648">
        <f>SUM(BP21:BP30)</f>
        <v>3</v>
      </c>
      <c r="BQ31" s="649"/>
    </row>
    <row r="32" spans="1:73" ht="17" thickBot="1"/>
    <row r="33" spans="1:73" ht="24" thickBot="1">
      <c r="A33" s="1012" t="s">
        <v>223</v>
      </c>
      <c r="B33" s="1013"/>
      <c r="C33" s="1013"/>
      <c r="D33" s="1013"/>
      <c r="E33" s="1013"/>
      <c r="F33" s="1013"/>
      <c r="G33" s="1013"/>
      <c r="H33" s="1013"/>
      <c r="I33" s="1013"/>
      <c r="J33" s="1013"/>
      <c r="K33" s="1013"/>
      <c r="L33" s="1013"/>
      <c r="M33" s="1013"/>
      <c r="N33" s="1013"/>
      <c r="O33" s="1013"/>
      <c r="P33" s="1013"/>
      <c r="Q33" s="1013"/>
      <c r="R33" s="1013"/>
      <c r="S33" s="1013"/>
      <c r="T33" s="1013"/>
      <c r="U33" s="1013"/>
      <c r="V33" s="1013"/>
      <c r="W33" s="1014"/>
      <c r="Z33" s="1012" t="s">
        <v>224</v>
      </c>
      <c r="AA33" s="1013"/>
      <c r="AB33" s="1013"/>
      <c r="AC33" s="1013"/>
      <c r="AD33" s="1013"/>
      <c r="AE33" s="1013"/>
      <c r="AF33" s="1013"/>
      <c r="AG33" s="1013"/>
      <c r="AH33" s="1013"/>
      <c r="AI33" s="1013"/>
      <c r="AJ33" s="1013"/>
      <c r="AK33" s="1013"/>
      <c r="AL33" s="1013"/>
      <c r="AM33" s="1013"/>
      <c r="AN33" s="1013"/>
      <c r="AO33" s="1013"/>
      <c r="AP33" s="1013"/>
      <c r="AQ33" s="1013"/>
      <c r="AR33" s="1013"/>
      <c r="AS33" s="1013"/>
      <c r="AT33" s="1013"/>
      <c r="AU33" s="1013"/>
      <c r="AV33" s="1014"/>
      <c r="AY33" s="1012" t="s">
        <v>225</v>
      </c>
      <c r="AZ33" s="1013"/>
      <c r="BA33" s="1013"/>
      <c r="BB33" s="1013"/>
      <c r="BC33" s="1013"/>
      <c r="BD33" s="1013"/>
      <c r="BE33" s="1013"/>
      <c r="BF33" s="1013"/>
      <c r="BG33" s="1013"/>
      <c r="BH33" s="1013"/>
      <c r="BI33" s="1013"/>
      <c r="BJ33" s="1013"/>
      <c r="BK33" s="1013"/>
      <c r="BL33" s="1013"/>
      <c r="BM33" s="1013"/>
      <c r="BN33" s="1013"/>
      <c r="BO33" s="1013"/>
      <c r="BP33" s="1013"/>
      <c r="BQ33" s="1013"/>
      <c r="BR33" s="1013"/>
      <c r="BS33" s="1013"/>
      <c r="BT33" s="1013"/>
      <c r="BU33" s="1014"/>
    </row>
    <row r="34" spans="1:73" s="64" customFormat="1" ht="14" thickBot="1">
      <c r="A34" s="605" t="s">
        <v>143</v>
      </c>
      <c r="B34" s="606" t="s">
        <v>144</v>
      </c>
      <c r="C34" s="606" t="s">
        <v>145</v>
      </c>
      <c r="D34" s="606" t="s">
        <v>146</v>
      </c>
      <c r="E34" s="606" t="s">
        <v>147</v>
      </c>
      <c r="F34" s="606" t="s">
        <v>148</v>
      </c>
      <c r="G34" s="606" t="s">
        <v>149</v>
      </c>
      <c r="H34" s="606" t="s">
        <v>150</v>
      </c>
      <c r="I34" s="606" t="s">
        <v>151</v>
      </c>
      <c r="J34" s="606" t="s">
        <v>152</v>
      </c>
      <c r="K34" s="606" t="s">
        <v>153</v>
      </c>
      <c r="L34" s="606" t="s">
        <v>154</v>
      </c>
      <c r="M34" s="606" t="s">
        <v>155</v>
      </c>
      <c r="N34" s="606" t="s">
        <v>156</v>
      </c>
      <c r="O34" s="606" t="s">
        <v>157</v>
      </c>
      <c r="P34" s="606" t="s">
        <v>158</v>
      </c>
      <c r="Q34" s="606" t="s">
        <v>159</v>
      </c>
      <c r="R34" s="606" t="s">
        <v>160</v>
      </c>
      <c r="S34" s="606" t="s">
        <v>16</v>
      </c>
      <c r="T34" s="606" t="s">
        <v>161</v>
      </c>
      <c r="U34" s="606" t="s">
        <v>162</v>
      </c>
      <c r="V34" s="606" t="s">
        <v>163</v>
      </c>
      <c r="W34" s="607" t="s">
        <v>164</v>
      </c>
      <c r="Z34" s="605" t="s">
        <v>143</v>
      </c>
      <c r="AA34" s="606" t="s">
        <v>144</v>
      </c>
      <c r="AB34" s="606" t="s">
        <v>145</v>
      </c>
      <c r="AC34" s="606" t="s">
        <v>146</v>
      </c>
      <c r="AD34" s="606" t="s">
        <v>147</v>
      </c>
      <c r="AE34" s="606" t="s">
        <v>148</v>
      </c>
      <c r="AF34" s="606" t="s">
        <v>149</v>
      </c>
      <c r="AG34" s="606" t="s">
        <v>150</v>
      </c>
      <c r="AH34" s="606" t="s">
        <v>151</v>
      </c>
      <c r="AI34" s="606" t="s">
        <v>152</v>
      </c>
      <c r="AJ34" s="606" t="s">
        <v>153</v>
      </c>
      <c r="AK34" s="606" t="s">
        <v>154</v>
      </c>
      <c r="AL34" s="606" t="s">
        <v>155</v>
      </c>
      <c r="AM34" s="606" t="s">
        <v>156</v>
      </c>
      <c r="AN34" s="606" t="s">
        <v>157</v>
      </c>
      <c r="AO34" s="606" t="s">
        <v>158</v>
      </c>
      <c r="AP34" s="606" t="s">
        <v>159</v>
      </c>
      <c r="AQ34" s="606" t="s">
        <v>160</v>
      </c>
      <c r="AR34" s="606" t="s">
        <v>16</v>
      </c>
      <c r="AS34" s="606" t="s">
        <v>161</v>
      </c>
      <c r="AT34" s="606" t="s">
        <v>162</v>
      </c>
      <c r="AU34" s="606" t="s">
        <v>163</v>
      </c>
      <c r="AV34" s="607" t="s">
        <v>164</v>
      </c>
      <c r="AY34" s="605" t="s">
        <v>143</v>
      </c>
      <c r="AZ34" s="606" t="s">
        <v>144</v>
      </c>
      <c r="BA34" s="606" t="s">
        <v>145</v>
      </c>
      <c r="BB34" s="606" t="s">
        <v>146</v>
      </c>
      <c r="BC34" s="606" t="s">
        <v>147</v>
      </c>
      <c r="BD34" s="606" t="s">
        <v>148</v>
      </c>
      <c r="BE34" s="606" t="s">
        <v>149</v>
      </c>
      <c r="BF34" s="606" t="s">
        <v>150</v>
      </c>
      <c r="BG34" s="606" t="s">
        <v>151</v>
      </c>
      <c r="BH34" s="606" t="s">
        <v>152</v>
      </c>
      <c r="BI34" s="606" t="s">
        <v>153</v>
      </c>
      <c r="BJ34" s="606" t="s">
        <v>154</v>
      </c>
      <c r="BK34" s="606" t="s">
        <v>155</v>
      </c>
      <c r="BL34" s="606" t="s">
        <v>156</v>
      </c>
      <c r="BM34" s="606" t="s">
        <v>157</v>
      </c>
      <c r="BN34" s="606" t="s">
        <v>158</v>
      </c>
      <c r="BO34" s="606" t="s">
        <v>159</v>
      </c>
      <c r="BP34" s="606" t="s">
        <v>160</v>
      </c>
      <c r="BQ34" s="606" t="s">
        <v>16</v>
      </c>
      <c r="BR34" s="606" t="s">
        <v>161</v>
      </c>
      <c r="BS34" s="606" t="s">
        <v>162</v>
      </c>
      <c r="BT34" s="606" t="s">
        <v>163</v>
      </c>
      <c r="BU34" s="607" t="s">
        <v>164</v>
      </c>
    </row>
    <row r="35" spans="1:73">
      <c r="A35" s="650" t="s">
        <v>226</v>
      </c>
      <c r="B35" s="597" t="s">
        <v>179</v>
      </c>
      <c r="C35" s="597" t="s">
        <v>238</v>
      </c>
      <c r="D35" s="598">
        <f>IFERROR(BOS_H[[#This Row],[H]]/BOS_H[[#This Row],[AB]],0)</f>
        <v>0.2846153846153846</v>
      </c>
      <c r="E35" s="598">
        <f>IFERROR((BOS_H[[#This Row],[H]]+BOS_H[[#This Row],[BB]])/(BOS_H[[#This Row],[AB]]+BOS_H[[#This Row],[BB]]),0)</f>
        <v>0.36734693877551022</v>
      </c>
      <c r="F35" s="599">
        <f>IFERROR(((BOS_H[[#This Row],[H]]-BOS_H[[#This Row],[2B]]-BOS_H[[#This Row],[3B]]-BOS_H[[#This Row],[HR]])+(BOS_H[[#This Row],[2B]]*2)+(BOS_H[[#This Row],[3B]]*3)+(BOS_H[[#This Row],[HR]]*4))/BOS_H[[#This Row],[AB]],0)</f>
        <v>0.45384615384615384</v>
      </c>
      <c r="G35" s="600">
        <v>38</v>
      </c>
      <c r="H35" s="600">
        <v>130</v>
      </c>
      <c r="I35" s="600">
        <v>20</v>
      </c>
      <c r="J35" s="600">
        <v>37</v>
      </c>
      <c r="K35" s="600">
        <v>10</v>
      </c>
      <c r="L35" s="600">
        <v>0</v>
      </c>
      <c r="M35" s="600">
        <v>4</v>
      </c>
      <c r="N35" s="600">
        <v>14</v>
      </c>
      <c r="O35" s="600">
        <v>17</v>
      </c>
      <c r="P35" s="604">
        <v>39</v>
      </c>
      <c r="Q35" s="600">
        <v>0</v>
      </c>
      <c r="R35" s="600">
        <v>3</v>
      </c>
      <c r="S35" s="604">
        <v>8</v>
      </c>
      <c r="T35" s="600">
        <f>IFERROR((BOS_H[[#This Row],[H]]-BOS_H[[#This Row],[2B]]-BOS_H[[#This Row],[3B]]-BOS_H[[#This Row],[HR]])+(BOS_H[[#This Row],[2B]]*2)+(BOS_H[[#This Row],[3B]]*3)+(BOS_H[[#This Row],[HR]]*4),0)</f>
        <v>59</v>
      </c>
      <c r="U35" s="598">
        <f>BOS_H[[#This Row],[OBP]]+BOS_H[[#This Row],[SLG]]</f>
        <v>0.82119309262166407</v>
      </c>
      <c r="V35" s="604">
        <v>1</v>
      </c>
      <c r="W35" s="614">
        <v>1</v>
      </c>
      <c r="Z35" s="650" t="s">
        <v>226</v>
      </c>
      <c r="AA35" s="597" t="s">
        <v>179</v>
      </c>
      <c r="AB35" s="597" t="s">
        <v>238</v>
      </c>
      <c r="AC35" s="598">
        <f>IFERROR(BOS_H299[[#This Row],[H]]/BOS_H299[[#This Row],[AB]],0)</f>
        <v>0.21875</v>
      </c>
      <c r="AD35" s="598">
        <f>IFERROR((BOS_H299[[#This Row],[H]]+BOS_H299[[#This Row],[BB]])/(BOS_H299[[#This Row],[AB]]+BOS_H299[[#This Row],[BB]]),0)</f>
        <v>0.31506849315068491</v>
      </c>
      <c r="AE35" s="599">
        <f>IFERROR(((BOS_H299[[#This Row],[H]]-BOS_H299[[#This Row],[2B]]-BOS_H299[[#This Row],[3B]]-BOS_H299[[#This Row],[HR]])+(BOS_H299[[#This Row],[2B]]*2)+(BOS_H299[[#This Row],[3B]]*3)+(BOS_H299[[#This Row],[HR]]*4))/BOS_H299[[#This Row],[AB]],0)</f>
        <v>0.3125</v>
      </c>
      <c r="AF35" s="600">
        <v>38</v>
      </c>
      <c r="AG35" s="600">
        <v>128</v>
      </c>
      <c r="AH35" s="600">
        <v>12</v>
      </c>
      <c r="AI35" s="600">
        <v>28</v>
      </c>
      <c r="AJ35" s="600">
        <v>6</v>
      </c>
      <c r="AK35" s="600">
        <v>0</v>
      </c>
      <c r="AL35" s="600">
        <v>2</v>
      </c>
      <c r="AM35" s="600">
        <v>14</v>
      </c>
      <c r="AN35" s="600">
        <v>18</v>
      </c>
      <c r="AO35" s="604">
        <v>30</v>
      </c>
      <c r="AP35" s="600">
        <v>0</v>
      </c>
      <c r="AQ35" s="600">
        <v>0</v>
      </c>
      <c r="AR35" s="604">
        <v>4</v>
      </c>
      <c r="AS35" s="600">
        <f>IFERROR((BOS_H299[[#This Row],[H]]-BOS_H299[[#This Row],[2B]]-BOS_H299[[#This Row],[3B]]-BOS_H299[[#This Row],[HR]])+(BOS_H299[[#This Row],[2B]]*2)+(BOS_H299[[#This Row],[3B]]*3)+(BOS_H299[[#This Row],[HR]]*4),0)</f>
        <v>40</v>
      </c>
      <c r="AT35" s="598">
        <f>BOS_H299[[#This Row],[OBP]]+BOS_H299[[#This Row],[SLG]]</f>
        <v>0.62756849315068486</v>
      </c>
      <c r="AU35" s="604">
        <v>0</v>
      </c>
      <c r="AV35" s="614">
        <v>1</v>
      </c>
      <c r="AY35" s="650" t="s">
        <v>226</v>
      </c>
      <c r="AZ35" s="597" t="s">
        <v>179</v>
      </c>
      <c r="BA35" s="597" t="s">
        <v>238</v>
      </c>
      <c r="BB35" s="598">
        <f>IFERROR(BOS_H212[[#This Row],[H]]/BOS_H212[[#This Row],[AB]],0)</f>
        <v>0.26315789473684209</v>
      </c>
      <c r="BC35" s="598">
        <f>IFERROR((BOS_H212[[#This Row],[BB]]+BOS_H212[[#This Row],[H]])/(BOS_H212[[#This Row],[AB]]+BOS_H212[[#This Row],[BB]]),0)</f>
        <v>0.38235294117647056</v>
      </c>
      <c r="BD35" s="599">
        <f>IFERROR(((BOS_H212[[#This Row],[H]]-BOS_H212[[#This Row],[2B]]-BOS_H212[[#This Row],[3B]]-BOS_H212[[#This Row],[HR]])+(BOS_H212[[#This Row],[2B]]*2)+(BOS_H212[[#This Row],[3B]]*3)+(BOS_H212[[#This Row],[HR]]*4))/BOS_H212[[#This Row],[AB]],0)</f>
        <v>0.42105263157894735</v>
      </c>
      <c r="BE35" s="600">
        <v>38</v>
      </c>
      <c r="BF35" s="600">
        <v>114</v>
      </c>
      <c r="BG35" s="600">
        <v>20</v>
      </c>
      <c r="BH35" s="600">
        <v>30</v>
      </c>
      <c r="BI35" s="600">
        <v>12</v>
      </c>
      <c r="BJ35" s="600">
        <f>0</f>
        <v>0</v>
      </c>
      <c r="BK35" s="600">
        <v>2</v>
      </c>
      <c r="BL35" s="600">
        <v>12</v>
      </c>
      <c r="BM35" s="600">
        <v>22</v>
      </c>
      <c r="BN35" s="604">
        <v>29</v>
      </c>
      <c r="BO35" s="600">
        <v>0</v>
      </c>
      <c r="BP35" s="600">
        <v>0</v>
      </c>
      <c r="BQ35" s="604">
        <v>7</v>
      </c>
      <c r="BR35" s="600">
        <f t="shared" ref="BR35:BR48" si="3">IFERROR((BH35-BI35-BJ35-BK35)+(BI35*2)+(BJ35*3)+(BK35*4),0)</f>
        <v>48</v>
      </c>
      <c r="BS35" s="598">
        <f>IFERROR(BOS_H212[[#This Row],[OBP]]+BOS_H212[[#This Row],[SLG]],0)</f>
        <v>0.80340557275541791</v>
      </c>
      <c r="BT35" s="604">
        <v>0</v>
      </c>
      <c r="BU35" s="614">
        <v>1</v>
      </c>
    </row>
    <row r="36" spans="1:73">
      <c r="A36" s="651" t="s">
        <v>226</v>
      </c>
      <c r="B36" s="71" t="s">
        <v>154</v>
      </c>
      <c r="C36" s="77" t="s">
        <v>233</v>
      </c>
      <c r="D36" s="130">
        <f>IFERROR(BOS_H[[#This Row],[H]]/BOS_H[[#This Row],[AB]],0)</f>
        <v>0.36075949367088606</v>
      </c>
      <c r="E36" s="72">
        <f>IFERROR((BOS_H[[#This Row],[H]]+BOS_H[[#This Row],[BB]])/(BOS_H[[#This Row],[AB]]+BOS_H[[#This Row],[BB]]),0)</f>
        <v>0.41954022988505746</v>
      </c>
      <c r="F36" s="73">
        <f>IFERROR(((BOS_H[[#This Row],[H]]-BOS_H[[#This Row],[2B]]-BOS_H[[#This Row],[3B]]-BOS_H[[#This Row],[HR]])+(BOS_H[[#This Row],[2B]]*2)+(BOS_H[[#This Row],[3B]]*3)+(BOS_H[[#This Row],[HR]]*4))/BOS_H[[#This Row],[AB]],0)</f>
        <v>0.51265822784810122</v>
      </c>
      <c r="G36" s="28">
        <v>40</v>
      </c>
      <c r="H36" s="28">
        <v>158</v>
      </c>
      <c r="I36" s="28">
        <v>24</v>
      </c>
      <c r="J36" s="28">
        <v>57</v>
      </c>
      <c r="K36" s="28">
        <v>11</v>
      </c>
      <c r="L36" s="28">
        <v>2</v>
      </c>
      <c r="M36" s="28">
        <v>3</v>
      </c>
      <c r="N36" s="28">
        <v>25</v>
      </c>
      <c r="O36" s="28">
        <v>16</v>
      </c>
      <c r="P36" s="74">
        <v>31</v>
      </c>
      <c r="Q36" s="28">
        <v>0</v>
      </c>
      <c r="R36" s="28">
        <v>0</v>
      </c>
      <c r="S36" s="74">
        <v>16</v>
      </c>
      <c r="T36" s="28">
        <f>IFERROR((BOS_H[[#This Row],[H]]-BOS_H[[#This Row],[2B]]-BOS_H[[#This Row],[3B]]-BOS_H[[#This Row],[HR]])+(BOS_H[[#This Row],[2B]]*2)+(BOS_H[[#This Row],[3B]]*3)+(BOS_H[[#This Row],[HR]]*4),0)</f>
        <v>81</v>
      </c>
      <c r="U36" s="72">
        <f>BOS_H[[#This Row],[OBP]]+BOS_H[[#This Row],[SLG]]</f>
        <v>0.93219845773315868</v>
      </c>
      <c r="V36" s="74">
        <v>3</v>
      </c>
      <c r="W36" s="615">
        <v>2</v>
      </c>
      <c r="Z36" s="651" t="s">
        <v>226</v>
      </c>
      <c r="AA36" s="71" t="s">
        <v>154</v>
      </c>
      <c r="AB36" s="71" t="s">
        <v>233</v>
      </c>
      <c r="AC36" s="72">
        <f>IFERROR(BOS_H299[[#This Row],[H]]/BOS_H299[[#This Row],[AB]],0)</f>
        <v>0.2982456140350877</v>
      </c>
      <c r="AD36" s="72">
        <f>IFERROR((BOS_H299[[#This Row],[H]]+BOS_H299[[#This Row],[BB]])/(BOS_H299[[#This Row],[AB]]+BOS_H299[[#This Row],[BB]]),0)</f>
        <v>0.38144329896907214</v>
      </c>
      <c r="AE36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0.42690058479532161</v>
      </c>
      <c r="AF36" s="28">
        <v>39</v>
      </c>
      <c r="AG36" s="28">
        <v>171</v>
      </c>
      <c r="AH36" s="28">
        <v>25</v>
      </c>
      <c r="AI36" s="28">
        <v>51</v>
      </c>
      <c r="AJ36" s="28">
        <v>12</v>
      </c>
      <c r="AK36" s="28">
        <v>2</v>
      </c>
      <c r="AL36" s="28">
        <v>2</v>
      </c>
      <c r="AM36" s="28">
        <v>13</v>
      </c>
      <c r="AN36" s="28">
        <v>23</v>
      </c>
      <c r="AO36" s="74">
        <v>29</v>
      </c>
      <c r="AP36" s="28">
        <v>0</v>
      </c>
      <c r="AQ36" s="28">
        <v>3</v>
      </c>
      <c r="AR36" s="74">
        <v>9</v>
      </c>
      <c r="AS36" s="28">
        <f>IFERROR((BOS_H299[[#This Row],[H]]-BOS_H299[[#This Row],[2B]]-BOS_H299[[#This Row],[3B]]-BOS_H299[[#This Row],[HR]])+(BOS_H299[[#This Row],[2B]]*2)+(BOS_H299[[#This Row],[3B]]*3)+(BOS_H299[[#This Row],[HR]]*4),0)</f>
        <v>73</v>
      </c>
      <c r="AT36" s="72">
        <f>BOS_H299[[#This Row],[OBP]]+BOS_H299[[#This Row],[SLG]]</f>
        <v>0.8083438837643937</v>
      </c>
      <c r="AU36" s="74">
        <v>2</v>
      </c>
      <c r="AV36" s="615">
        <v>2</v>
      </c>
      <c r="AY36" s="651" t="s">
        <v>226</v>
      </c>
      <c r="AZ36" s="71" t="s">
        <v>154</v>
      </c>
      <c r="BA36" s="71" t="s">
        <v>233</v>
      </c>
      <c r="BB36" s="72">
        <f>IFERROR(BOS_H212[[#This Row],[H]]/BOS_H212[[#This Row],[AB]],0)</f>
        <v>0.34161490683229812</v>
      </c>
      <c r="BC36" s="72">
        <f>IFERROR((BOS_H212[[#This Row],[BB]]+BOS_H212[[#This Row],[H]])/(BOS_H212[[#This Row],[AB]]+BOS_H212[[#This Row],[BB]]),0)</f>
        <v>0.40782122905027934</v>
      </c>
      <c r="BD36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0.49068322981366458</v>
      </c>
      <c r="BE36" s="28">
        <v>40</v>
      </c>
      <c r="BF36" s="28">
        <v>161</v>
      </c>
      <c r="BG36" s="28">
        <v>24</v>
      </c>
      <c r="BH36" s="28">
        <v>55</v>
      </c>
      <c r="BI36" s="28">
        <v>13</v>
      </c>
      <c r="BJ36" s="28">
        <v>1</v>
      </c>
      <c r="BK36" s="28">
        <v>3</v>
      </c>
      <c r="BL36" s="28">
        <v>31</v>
      </c>
      <c r="BM36" s="28">
        <v>18</v>
      </c>
      <c r="BN36" s="74">
        <v>35</v>
      </c>
      <c r="BO36" s="28">
        <v>0</v>
      </c>
      <c r="BP36" s="28">
        <v>0</v>
      </c>
      <c r="BQ36" s="74">
        <v>13</v>
      </c>
      <c r="BR36" s="28">
        <f t="shared" si="3"/>
        <v>79</v>
      </c>
      <c r="BS36" s="72">
        <f>IFERROR(BOS_H212[[#This Row],[OBP]]+BOS_H212[[#This Row],[SLG]],0)</f>
        <v>0.89850445886394392</v>
      </c>
      <c r="BT36" s="74">
        <v>4</v>
      </c>
      <c r="BU36" s="615">
        <v>2</v>
      </c>
    </row>
    <row r="37" spans="1:73">
      <c r="A37" s="651" t="s">
        <v>226</v>
      </c>
      <c r="B37" s="71" t="s">
        <v>235</v>
      </c>
      <c r="C37" s="77" t="s">
        <v>236</v>
      </c>
      <c r="D37" s="130">
        <f>IFERROR(BOS_H[[#This Row],[H]]/BOS_H[[#This Row],[AB]],0)</f>
        <v>0.26573426573426573</v>
      </c>
      <c r="E37" s="72">
        <f>IFERROR((BOS_H[[#This Row],[H]]+BOS_H[[#This Row],[BB]])/(BOS_H[[#This Row],[AB]]+BOS_H[[#This Row],[BB]]),0)</f>
        <v>0.30921052631578949</v>
      </c>
      <c r="F37" s="73">
        <f>IFERROR(((BOS_H[[#This Row],[H]]-BOS_H[[#This Row],[2B]]-BOS_H[[#This Row],[3B]]-BOS_H[[#This Row],[HR]])+(BOS_H[[#This Row],[2B]]*2)+(BOS_H[[#This Row],[3B]]*3)+(BOS_H[[#This Row],[HR]]*4))/BOS_H[[#This Row],[AB]],0)</f>
        <v>0.41958041958041958</v>
      </c>
      <c r="G37" s="28">
        <v>40</v>
      </c>
      <c r="H37" s="28">
        <v>143</v>
      </c>
      <c r="I37" s="28">
        <v>21</v>
      </c>
      <c r="J37" s="28">
        <v>38</v>
      </c>
      <c r="K37" s="28">
        <v>5</v>
      </c>
      <c r="L37" s="28">
        <v>1</v>
      </c>
      <c r="M37" s="28">
        <v>5</v>
      </c>
      <c r="N37" s="28">
        <v>17</v>
      </c>
      <c r="O37" s="28">
        <v>9</v>
      </c>
      <c r="P37" s="74">
        <v>50</v>
      </c>
      <c r="Q37" s="28">
        <v>0</v>
      </c>
      <c r="R37" s="28">
        <v>0</v>
      </c>
      <c r="S37" s="74">
        <v>12</v>
      </c>
      <c r="T37" s="28">
        <f>IFERROR((BOS_H[[#This Row],[H]]-BOS_H[[#This Row],[2B]]-BOS_H[[#This Row],[3B]]-BOS_H[[#This Row],[HR]])+(BOS_H[[#This Row],[2B]]*2)+(BOS_H[[#This Row],[3B]]*3)+(BOS_H[[#This Row],[HR]]*4),0)</f>
        <v>60</v>
      </c>
      <c r="U37" s="72">
        <f>BOS_H[[#This Row],[OBP]]+BOS_H[[#This Row],[SLG]]</f>
        <v>0.72879094589620907</v>
      </c>
      <c r="V37" s="74">
        <v>1</v>
      </c>
      <c r="W37" s="615">
        <v>3</v>
      </c>
      <c r="Z37" s="651" t="s">
        <v>226</v>
      </c>
      <c r="AA37" s="71" t="s">
        <v>172</v>
      </c>
      <c r="AB37" s="71" t="s">
        <v>237</v>
      </c>
      <c r="AC37" s="72">
        <f>IFERROR(BOS_H299[[#This Row],[H]]/BOS_H299[[#This Row],[AB]],0)</f>
        <v>0.28301886792452829</v>
      </c>
      <c r="AD37" s="72">
        <f>IFERROR((BOS_H299[[#This Row],[H]]+BOS_H299[[#This Row],[BB]])/(BOS_H299[[#This Row],[AB]]+BOS_H299[[#This Row],[BB]]),0)</f>
        <v>0.32544378698224852</v>
      </c>
      <c r="AE37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0.45283018867924529</v>
      </c>
      <c r="AF37" s="28">
        <v>39</v>
      </c>
      <c r="AG37" s="28">
        <v>159</v>
      </c>
      <c r="AH37" s="28">
        <v>21</v>
      </c>
      <c r="AI37" s="28">
        <v>45</v>
      </c>
      <c r="AJ37" s="28">
        <v>6</v>
      </c>
      <c r="AK37" s="28">
        <v>0</v>
      </c>
      <c r="AL37" s="28">
        <v>7</v>
      </c>
      <c r="AM37" s="28">
        <v>22</v>
      </c>
      <c r="AN37" s="28">
        <v>10</v>
      </c>
      <c r="AO37" s="74">
        <v>42</v>
      </c>
      <c r="AP37" s="28">
        <v>0</v>
      </c>
      <c r="AQ37" s="28">
        <v>1</v>
      </c>
      <c r="AR37" s="74">
        <v>10</v>
      </c>
      <c r="AS37" s="28">
        <f>IFERROR((BOS_H299[[#This Row],[H]]-BOS_H299[[#This Row],[2B]]-BOS_H299[[#This Row],[3B]]-BOS_H299[[#This Row],[HR]])+(BOS_H299[[#This Row],[2B]]*2)+(BOS_H299[[#This Row],[3B]]*3)+(BOS_H299[[#This Row],[HR]]*4),0)</f>
        <v>72</v>
      </c>
      <c r="AT37" s="72">
        <f>BOS_H299[[#This Row],[OBP]]+BOS_H299[[#This Row],[SLG]]</f>
        <v>0.77827397566149381</v>
      </c>
      <c r="AU37" s="74">
        <v>4</v>
      </c>
      <c r="AV37" s="615">
        <v>3</v>
      </c>
      <c r="AY37" s="651" t="s">
        <v>226</v>
      </c>
      <c r="AZ37" s="71" t="s">
        <v>172</v>
      </c>
      <c r="BA37" s="71" t="s">
        <v>237</v>
      </c>
      <c r="BB37" s="72">
        <f>IFERROR(BOS_H212[[#This Row],[H]]/BOS_H212[[#This Row],[AB]],0)</f>
        <v>0.27516778523489932</v>
      </c>
      <c r="BC37" s="72">
        <f>IFERROR((BOS_H212[[#This Row],[BB]]+BOS_H212[[#This Row],[H]])/(BOS_H212[[#This Row],[AB]]+BOS_H212[[#This Row],[BB]]),0)</f>
        <v>0.35714285714285715</v>
      </c>
      <c r="BD37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0.46308724832214765</v>
      </c>
      <c r="BE37" s="28">
        <v>40</v>
      </c>
      <c r="BF37" s="28">
        <v>149</v>
      </c>
      <c r="BG37" s="28">
        <v>24</v>
      </c>
      <c r="BH37" s="28">
        <v>41</v>
      </c>
      <c r="BI37" s="28">
        <v>10</v>
      </c>
      <c r="BJ37" s="28">
        <f>0</f>
        <v>0</v>
      </c>
      <c r="BK37" s="28">
        <v>6</v>
      </c>
      <c r="BL37" s="28">
        <v>28</v>
      </c>
      <c r="BM37" s="28">
        <v>19</v>
      </c>
      <c r="BN37" s="74">
        <v>44</v>
      </c>
      <c r="BO37" s="28">
        <v>0</v>
      </c>
      <c r="BP37" s="28">
        <v>6</v>
      </c>
      <c r="BQ37" s="74">
        <v>7</v>
      </c>
      <c r="BR37" s="28">
        <f t="shared" si="3"/>
        <v>69</v>
      </c>
      <c r="BS37" s="72">
        <f>IFERROR(BOS_H212[[#This Row],[OBP]]+BOS_H212[[#This Row],[SLG]],0)</f>
        <v>0.82023010546500474</v>
      </c>
      <c r="BT37" s="74">
        <v>5</v>
      </c>
      <c r="BU37" s="615">
        <v>3</v>
      </c>
    </row>
    <row r="38" spans="1:73">
      <c r="A38" s="651" t="s">
        <v>226</v>
      </c>
      <c r="B38" s="71" t="s">
        <v>153</v>
      </c>
      <c r="C38" s="77" t="s">
        <v>232</v>
      </c>
      <c r="D38" s="130">
        <f>IFERROR(BOS_H[[#This Row],[H]]/BOS_H[[#This Row],[AB]],0)</f>
        <v>0.33333333333333331</v>
      </c>
      <c r="E38" s="72">
        <f>IFERROR((BOS_H[[#This Row],[H]]+BOS_H[[#This Row],[BB]])/(BOS_H[[#This Row],[AB]]+BOS_H[[#This Row],[BB]]),0)</f>
        <v>0.4098360655737705</v>
      </c>
      <c r="F38" s="73">
        <f>IFERROR(((BOS_H[[#This Row],[H]]-BOS_H[[#This Row],[2B]]-BOS_H[[#This Row],[3B]]-BOS_H[[#This Row],[HR]])+(BOS_H[[#This Row],[2B]]*2)+(BOS_H[[#This Row],[3B]]*3)+(BOS_H[[#This Row],[HR]]*4))/BOS_H[[#This Row],[AB]],0)</f>
        <v>0.44444444444444442</v>
      </c>
      <c r="G38" s="28">
        <v>40</v>
      </c>
      <c r="H38" s="28">
        <v>162</v>
      </c>
      <c r="I38" s="28">
        <v>32</v>
      </c>
      <c r="J38" s="28">
        <v>54</v>
      </c>
      <c r="K38" s="28">
        <v>12</v>
      </c>
      <c r="L38" s="28">
        <v>0</v>
      </c>
      <c r="M38" s="28">
        <v>2</v>
      </c>
      <c r="N38" s="28">
        <v>15</v>
      </c>
      <c r="O38" s="28">
        <v>21</v>
      </c>
      <c r="P38" s="74">
        <v>28</v>
      </c>
      <c r="Q38" s="28">
        <v>0</v>
      </c>
      <c r="R38" s="28">
        <v>3</v>
      </c>
      <c r="S38" s="74">
        <v>8</v>
      </c>
      <c r="T38" s="28">
        <f>IFERROR((BOS_H[[#This Row],[H]]-BOS_H[[#This Row],[2B]]-BOS_H[[#This Row],[3B]]-BOS_H[[#This Row],[HR]])+(BOS_H[[#This Row],[2B]]*2)+(BOS_H[[#This Row],[3B]]*3)+(BOS_H[[#This Row],[HR]]*4),0)</f>
        <v>72</v>
      </c>
      <c r="U38" s="72">
        <f>BOS_H[[#This Row],[OBP]]+BOS_H[[#This Row],[SLG]]</f>
        <v>0.85428051001821492</v>
      </c>
      <c r="V38" s="74">
        <v>2</v>
      </c>
      <c r="W38" s="615">
        <v>4</v>
      </c>
      <c r="Z38" s="651" t="s">
        <v>226</v>
      </c>
      <c r="AA38" s="71" t="s">
        <v>153</v>
      </c>
      <c r="AB38" s="71" t="s">
        <v>232</v>
      </c>
      <c r="AC38" s="72">
        <f>IFERROR(BOS_H299[[#This Row],[H]]/BOS_H299[[#This Row],[AB]],0)</f>
        <v>0.26315789473684209</v>
      </c>
      <c r="AD38" s="72">
        <f>IFERROR((BOS_H299[[#This Row],[H]]+BOS_H299[[#This Row],[BB]])/(BOS_H299[[#This Row],[AB]]+BOS_H299[[#This Row],[BB]]),0)</f>
        <v>0.32978723404255317</v>
      </c>
      <c r="AE38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0.42105263157894735</v>
      </c>
      <c r="AF38" s="28">
        <v>39</v>
      </c>
      <c r="AG38" s="28">
        <v>171</v>
      </c>
      <c r="AH38" s="28">
        <v>24</v>
      </c>
      <c r="AI38" s="28">
        <v>45</v>
      </c>
      <c r="AJ38" s="28">
        <v>9</v>
      </c>
      <c r="AK38" s="28">
        <v>0</v>
      </c>
      <c r="AL38" s="28">
        <v>6</v>
      </c>
      <c r="AM38" s="28">
        <v>19</v>
      </c>
      <c r="AN38" s="28">
        <v>17</v>
      </c>
      <c r="AO38" s="74">
        <v>24</v>
      </c>
      <c r="AP38" s="28">
        <v>0</v>
      </c>
      <c r="AQ38" s="28">
        <v>3</v>
      </c>
      <c r="AR38" s="74">
        <v>10</v>
      </c>
      <c r="AS38" s="28">
        <f>IFERROR((BOS_H299[[#This Row],[H]]-BOS_H299[[#This Row],[2B]]-BOS_H299[[#This Row],[3B]]-BOS_H299[[#This Row],[HR]])+(BOS_H299[[#This Row],[2B]]*2)+(BOS_H299[[#This Row],[3B]]*3)+(BOS_H299[[#This Row],[HR]]*4),0)</f>
        <v>72</v>
      </c>
      <c r="AT38" s="72">
        <f>BOS_H299[[#This Row],[OBP]]+BOS_H299[[#This Row],[SLG]]</f>
        <v>0.75083986562150051</v>
      </c>
      <c r="AU38" s="74">
        <v>3</v>
      </c>
      <c r="AV38" s="615">
        <v>4</v>
      </c>
      <c r="AY38" s="651" t="s">
        <v>226</v>
      </c>
      <c r="AZ38" s="345" t="s">
        <v>153</v>
      </c>
      <c r="BA38" s="71" t="s">
        <v>232</v>
      </c>
      <c r="BB38" s="728">
        <f>IFERROR(BOS_H212[[#This Row],[H]]/BOS_H212[[#This Row],[AB]],0)</f>
        <v>0.40251572327044027</v>
      </c>
      <c r="BC38" s="72">
        <f>IFERROR((BOS_H212[[#This Row],[BB]]+BOS_H212[[#This Row],[H]])/(BOS_H212[[#This Row],[AB]]+BOS_H212[[#This Row],[BB]]),0)</f>
        <v>0.44444444444444442</v>
      </c>
      <c r="BD38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0.53459119496855345</v>
      </c>
      <c r="BE38" s="28">
        <v>40</v>
      </c>
      <c r="BF38" s="28">
        <v>159</v>
      </c>
      <c r="BG38" s="28">
        <v>31</v>
      </c>
      <c r="BH38" s="586">
        <v>64</v>
      </c>
      <c r="BI38" s="28">
        <v>12</v>
      </c>
      <c r="BJ38" s="28">
        <v>0</v>
      </c>
      <c r="BK38" s="28">
        <v>3</v>
      </c>
      <c r="BL38" s="28">
        <v>19</v>
      </c>
      <c r="BM38" s="28">
        <v>12</v>
      </c>
      <c r="BN38" s="74">
        <v>20</v>
      </c>
      <c r="BO38" s="28">
        <v>0</v>
      </c>
      <c r="BP38" s="28">
        <v>0</v>
      </c>
      <c r="BQ38" s="536">
        <v>22</v>
      </c>
      <c r="BR38" s="28">
        <f t="shared" si="3"/>
        <v>85</v>
      </c>
      <c r="BS38" s="72">
        <f>IFERROR(BOS_H212[[#This Row],[OBP]]+BOS_H212[[#This Row],[SLG]],0)</f>
        <v>0.97903563941299787</v>
      </c>
      <c r="BT38" s="74">
        <v>4</v>
      </c>
      <c r="BU38" s="615">
        <v>4</v>
      </c>
    </row>
    <row r="39" spans="1:73">
      <c r="A39" s="651" t="s">
        <v>226</v>
      </c>
      <c r="B39" s="71" t="s">
        <v>177</v>
      </c>
      <c r="C39" s="77" t="s">
        <v>239</v>
      </c>
      <c r="D39" s="130">
        <f>IFERROR(BOS_H[[#This Row],[H]]/BOS_H[[#This Row],[AB]],0)</f>
        <v>0.22972972972972974</v>
      </c>
      <c r="E39" s="72">
        <f>IFERROR((BOS_H[[#This Row],[H]]+BOS_H[[#This Row],[BB]])/(BOS_H[[#This Row],[AB]]+BOS_H[[#This Row],[BB]]),0)</f>
        <v>0.30909090909090908</v>
      </c>
      <c r="F39" s="73">
        <f>IFERROR(((BOS_H[[#This Row],[H]]-BOS_H[[#This Row],[2B]]-BOS_H[[#This Row],[3B]]-BOS_H[[#This Row],[HR]])+(BOS_H[[#This Row],[2B]]*2)+(BOS_H[[#This Row],[3B]]*3)+(BOS_H[[#This Row],[HR]]*4))/BOS_H[[#This Row],[AB]],0)</f>
        <v>0.39189189189189189</v>
      </c>
      <c r="G39" s="28">
        <v>40</v>
      </c>
      <c r="H39" s="28">
        <v>148</v>
      </c>
      <c r="I39" s="28">
        <v>16</v>
      </c>
      <c r="J39" s="28">
        <v>34</v>
      </c>
      <c r="K39" s="28">
        <v>12</v>
      </c>
      <c r="L39" s="28">
        <v>0</v>
      </c>
      <c r="M39" s="28">
        <v>4</v>
      </c>
      <c r="N39" s="28">
        <v>20</v>
      </c>
      <c r="O39" s="28">
        <v>17</v>
      </c>
      <c r="P39" s="74">
        <v>44</v>
      </c>
      <c r="Q39" s="28">
        <v>0</v>
      </c>
      <c r="R39" s="28">
        <v>1</v>
      </c>
      <c r="S39" s="74">
        <v>4</v>
      </c>
      <c r="T39" s="28">
        <f>IFERROR((BOS_H[[#This Row],[H]]-BOS_H[[#This Row],[2B]]-BOS_H[[#This Row],[3B]]-BOS_H[[#This Row],[HR]])+(BOS_H[[#This Row],[2B]]*2)+(BOS_H[[#This Row],[3B]]*3)+(BOS_H[[#This Row],[HR]]*4),0)</f>
        <v>58</v>
      </c>
      <c r="U39" s="72">
        <f>BOS_H[[#This Row],[OBP]]+BOS_H[[#This Row],[SLG]]</f>
        <v>0.70098280098280097</v>
      </c>
      <c r="V39" s="74">
        <v>1</v>
      </c>
      <c r="W39" s="615">
        <v>5</v>
      </c>
      <c r="Z39" s="651" t="s">
        <v>226</v>
      </c>
      <c r="AA39" s="71" t="s">
        <v>177</v>
      </c>
      <c r="AB39" s="71" t="s">
        <v>239</v>
      </c>
      <c r="AC39" s="72">
        <f>IFERROR(BOS_H299[[#This Row],[H]]/BOS_H299[[#This Row],[AB]],0)</f>
        <v>0.23225806451612904</v>
      </c>
      <c r="AD39" s="72">
        <f>IFERROR((BOS_H299[[#This Row],[H]]+BOS_H299[[#This Row],[BB]])/(BOS_H299[[#This Row],[AB]]+BOS_H299[[#This Row],[BB]]),0)</f>
        <v>0.30409356725146197</v>
      </c>
      <c r="AE39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0.44516129032258067</v>
      </c>
      <c r="AF39" s="28">
        <v>39</v>
      </c>
      <c r="AG39" s="28">
        <v>155</v>
      </c>
      <c r="AH39" s="28">
        <v>19</v>
      </c>
      <c r="AI39" s="28">
        <v>36</v>
      </c>
      <c r="AJ39" s="28">
        <v>9</v>
      </c>
      <c r="AK39" s="28">
        <v>0</v>
      </c>
      <c r="AL39" s="28">
        <v>8</v>
      </c>
      <c r="AM39" s="28">
        <v>19</v>
      </c>
      <c r="AN39" s="28">
        <v>16</v>
      </c>
      <c r="AO39" s="74">
        <v>44</v>
      </c>
      <c r="AP39" s="28">
        <v>0</v>
      </c>
      <c r="AQ39" s="28">
        <v>0</v>
      </c>
      <c r="AR39" s="74">
        <v>6</v>
      </c>
      <c r="AS39" s="28">
        <f>IFERROR((BOS_H299[[#This Row],[H]]-BOS_H299[[#This Row],[2B]]-BOS_H299[[#This Row],[3B]]-BOS_H299[[#This Row],[HR]])+(BOS_H299[[#This Row],[2B]]*2)+(BOS_H299[[#This Row],[3B]]*3)+(BOS_H299[[#This Row],[HR]]*4),0)</f>
        <v>69</v>
      </c>
      <c r="AT39" s="72">
        <f>BOS_H299[[#This Row],[OBP]]+BOS_H299[[#This Row],[SLG]]</f>
        <v>0.74925485757404264</v>
      </c>
      <c r="AU39" s="74">
        <v>3</v>
      </c>
      <c r="AV39" s="615">
        <v>5</v>
      </c>
      <c r="AY39" s="651" t="s">
        <v>226</v>
      </c>
      <c r="AZ39" s="71" t="s">
        <v>177</v>
      </c>
      <c r="BA39" s="71" t="s">
        <v>239</v>
      </c>
      <c r="BB39" s="72">
        <f>IFERROR(BOS_H212[[#This Row],[H]]/BOS_H212[[#This Row],[AB]],0)</f>
        <v>0.25531914893617019</v>
      </c>
      <c r="BC39" s="72">
        <f>IFERROR((BOS_H212[[#This Row],[BB]]+BOS_H212[[#This Row],[H]])/(BOS_H212[[#This Row],[AB]]+BOS_H212[[#This Row],[BB]]),0)</f>
        <v>0.30463576158940397</v>
      </c>
      <c r="BD39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0.3971631205673759</v>
      </c>
      <c r="BE39" s="28">
        <v>36</v>
      </c>
      <c r="BF39" s="28">
        <v>141</v>
      </c>
      <c r="BG39" s="28">
        <v>18</v>
      </c>
      <c r="BH39" s="28">
        <v>36</v>
      </c>
      <c r="BI39" s="28">
        <v>12</v>
      </c>
      <c r="BJ39" s="28">
        <v>1</v>
      </c>
      <c r="BK39" s="28">
        <v>2</v>
      </c>
      <c r="BL39" s="28">
        <v>19</v>
      </c>
      <c r="BM39" s="28">
        <v>10</v>
      </c>
      <c r="BN39" s="74">
        <v>33</v>
      </c>
      <c r="BO39" s="28">
        <v>0</v>
      </c>
      <c r="BP39" s="28">
        <v>0</v>
      </c>
      <c r="BQ39" s="74">
        <v>9</v>
      </c>
      <c r="BR39" s="28">
        <f t="shared" si="3"/>
        <v>56</v>
      </c>
      <c r="BS39" s="72">
        <f>IFERROR(BOS_H212[[#This Row],[OBP]]+BOS_H212[[#This Row],[SLG]],0)</f>
        <v>0.70179888215677988</v>
      </c>
      <c r="BT39" s="74">
        <v>1</v>
      </c>
      <c r="BU39" s="615">
        <v>5</v>
      </c>
    </row>
    <row r="40" spans="1:73">
      <c r="A40" s="651" t="s">
        <v>226</v>
      </c>
      <c r="B40" s="71" t="s">
        <v>174</v>
      </c>
      <c r="C40" s="77" t="s">
        <v>229</v>
      </c>
      <c r="D40" s="130">
        <f>IFERROR(BOS_H[[#This Row],[H]]/BOS_H[[#This Row],[AB]],0)</f>
        <v>0.32258064516129031</v>
      </c>
      <c r="E40" s="72">
        <f>IFERROR((BOS_H[[#This Row],[H]]+BOS_H[[#This Row],[BB]])/(BOS_H[[#This Row],[AB]]+BOS_H[[#This Row],[BB]]),0)</f>
        <v>0.3712574850299401</v>
      </c>
      <c r="F40" s="73">
        <f>IFERROR(((BOS_H[[#This Row],[H]]-BOS_H[[#This Row],[2B]]-BOS_H[[#This Row],[3B]]-BOS_H[[#This Row],[HR]])+(BOS_H[[#This Row],[2B]]*2)+(BOS_H[[#This Row],[3B]]*3)+(BOS_H[[#This Row],[HR]]*4))/BOS_H[[#This Row],[AB]],0)</f>
        <v>0.55483870967741933</v>
      </c>
      <c r="G40" s="28">
        <v>40</v>
      </c>
      <c r="H40" s="28">
        <v>155</v>
      </c>
      <c r="I40" s="28">
        <v>26</v>
      </c>
      <c r="J40" s="28">
        <v>50</v>
      </c>
      <c r="K40" s="28">
        <v>9</v>
      </c>
      <c r="L40" s="28">
        <v>0</v>
      </c>
      <c r="M40" s="28">
        <v>9</v>
      </c>
      <c r="N40" s="28">
        <v>31</v>
      </c>
      <c r="O40" s="28">
        <v>12</v>
      </c>
      <c r="P40" s="74">
        <v>24</v>
      </c>
      <c r="Q40" s="28">
        <v>0</v>
      </c>
      <c r="R40" s="28">
        <v>2</v>
      </c>
      <c r="S40" s="74">
        <v>12</v>
      </c>
      <c r="T40" s="28">
        <f>IFERROR((BOS_H[[#This Row],[H]]-BOS_H[[#This Row],[2B]]-BOS_H[[#This Row],[3B]]-BOS_H[[#This Row],[HR]])+(BOS_H[[#This Row],[2B]]*2)+(BOS_H[[#This Row],[3B]]*3)+(BOS_H[[#This Row],[HR]]*4),0)</f>
        <v>86</v>
      </c>
      <c r="U40" s="72">
        <f>BOS_H[[#This Row],[OBP]]+BOS_H[[#This Row],[SLG]]</f>
        <v>0.92609619470735938</v>
      </c>
      <c r="V40" s="74">
        <v>4</v>
      </c>
      <c r="W40" s="615">
        <v>6</v>
      </c>
      <c r="Z40" s="651" t="s">
        <v>226</v>
      </c>
      <c r="AA40" s="71" t="s">
        <v>234</v>
      </c>
      <c r="AB40" s="345" t="s">
        <v>229</v>
      </c>
      <c r="AC40" s="72">
        <f>IFERROR(BOS_H299[[#This Row],[H]]/BOS_H299[[#This Row],[AB]],0)</f>
        <v>0.32432432432432434</v>
      </c>
      <c r="AD40" s="594">
        <f>IFERROR((BOS_H299[[#This Row],[H]]+BOS_H299[[#This Row],[BB]])/(BOS_H299[[#This Row],[AB]]+BOS_H299[[#This Row],[BB]]),0)</f>
        <v>0.42857142857142855</v>
      </c>
      <c r="AE40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0.52027027027027029</v>
      </c>
      <c r="AF40" s="28">
        <v>40</v>
      </c>
      <c r="AG40" s="28">
        <v>148</v>
      </c>
      <c r="AH40" s="28">
        <v>29</v>
      </c>
      <c r="AI40" s="28">
        <v>48</v>
      </c>
      <c r="AJ40" s="28">
        <v>8</v>
      </c>
      <c r="AK40" s="28">
        <v>0</v>
      </c>
      <c r="AL40" s="28">
        <v>7</v>
      </c>
      <c r="AM40" s="28">
        <v>18</v>
      </c>
      <c r="AN40" s="28">
        <v>27</v>
      </c>
      <c r="AO40" s="74">
        <v>18</v>
      </c>
      <c r="AP40" s="28">
        <v>0</v>
      </c>
      <c r="AQ40" s="28">
        <v>0</v>
      </c>
      <c r="AR40" s="74">
        <v>8</v>
      </c>
      <c r="AS40" s="28">
        <f>IFERROR((BOS_H299[[#This Row],[H]]-BOS_H299[[#This Row],[2B]]-BOS_H299[[#This Row],[3B]]-BOS_H299[[#This Row],[HR]])+(BOS_H299[[#This Row],[2B]]*2)+(BOS_H299[[#This Row],[3B]]*3)+(BOS_H299[[#This Row],[HR]]*4),0)</f>
        <v>77</v>
      </c>
      <c r="AT40" s="72">
        <f>BOS_H299[[#This Row],[OBP]]+BOS_H299[[#This Row],[SLG]]</f>
        <v>0.94884169884169878</v>
      </c>
      <c r="AU40" s="74">
        <v>2</v>
      </c>
      <c r="AV40" s="615">
        <v>6</v>
      </c>
      <c r="AY40" s="651" t="s">
        <v>226</v>
      </c>
      <c r="AZ40" s="71" t="s">
        <v>174</v>
      </c>
      <c r="BA40" s="71" t="s">
        <v>231</v>
      </c>
      <c r="BB40" s="72">
        <f>IFERROR(BOS_H212[[#This Row],[H]]/BOS_H212[[#This Row],[AB]],0)</f>
        <v>0.3087248322147651</v>
      </c>
      <c r="BC40" s="72">
        <f>IFERROR((BOS_H212[[#This Row],[BB]]+BOS_H212[[#This Row],[H]])/(BOS_H212[[#This Row],[AB]]+BOS_H212[[#This Row],[BB]]),0)</f>
        <v>0.35625000000000001</v>
      </c>
      <c r="BD40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0.47651006711409394</v>
      </c>
      <c r="BE40" s="28">
        <v>39</v>
      </c>
      <c r="BF40" s="28">
        <v>149</v>
      </c>
      <c r="BG40" s="28">
        <v>20</v>
      </c>
      <c r="BH40" s="28">
        <v>46</v>
      </c>
      <c r="BI40" s="28">
        <v>10</v>
      </c>
      <c r="BJ40" s="28">
        <f>0</f>
        <v>0</v>
      </c>
      <c r="BK40" s="28">
        <v>5</v>
      </c>
      <c r="BL40" s="28">
        <v>17</v>
      </c>
      <c r="BM40" s="28">
        <v>11</v>
      </c>
      <c r="BN40" s="74">
        <v>22</v>
      </c>
      <c r="BO40" s="28">
        <v>0</v>
      </c>
      <c r="BP40" s="28">
        <v>0</v>
      </c>
      <c r="BQ40" s="74">
        <v>9</v>
      </c>
      <c r="BR40" s="28">
        <f t="shared" si="3"/>
        <v>71</v>
      </c>
      <c r="BS40" s="72">
        <f>IFERROR(BOS_H212[[#This Row],[OBP]]+BOS_H212[[#This Row],[SLG]],0)</f>
        <v>0.832760067114094</v>
      </c>
      <c r="BT40" s="74">
        <v>2</v>
      </c>
      <c r="BU40" s="615">
        <v>6</v>
      </c>
    </row>
    <row r="41" spans="1:73">
      <c r="A41" s="651" t="s">
        <v>226</v>
      </c>
      <c r="B41" s="71" t="s">
        <v>181</v>
      </c>
      <c r="C41" s="77" t="s">
        <v>227</v>
      </c>
      <c r="D41" s="130">
        <f>IFERROR(BOS_H[[#This Row],[H]]/BOS_H[[#This Row],[AB]],0)</f>
        <v>0.3032258064516129</v>
      </c>
      <c r="E41" s="72">
        <f>IFERROR((BOS_H[[#This Row],[H]]+BOS_H[[#This Row],[BB]])/(BOS_H[[#This Row],[AB]]+BOS_H[[#This Row],[BB]]),0)</f>
        <v>0.3493975903614458</v>
      </c>
      <c r="F41" s="73">
        <f>IFERROR(((BOS_H[[#This Row],[H]]-BOS_H[[#This Row],[2B]]-BOS_H[[#This Row],[3B]]-BOS_H[[#This Row],[HR]])+(BOS_H[[#This Row],[2B]]*2)+(BOS_H[[#This Row],[3B]]*3)+(BOS_H[[#This Row],[HR]]*4))/BOS_H[[#This Row],[AB]],0)</f>
        <v>0.5741935483870968</v>
      </c>
      <c r="G41" s="28">
        <v>40</v>
      </c>
      <c r="H41" s="28">
        <v>155</v>
      </c>
      <c r="I41" s="28">
        <v>18</v>
      </c>
      <c r="J41" s="28">
        <v>47</v>
      </c>
      <c r="K41" s="28">
        <v>16</v>
      </c>
      <c r="L41" s="28">
        <v>4</v>
      </c>
      <c r="M41" s="28">
        <v>6</v>
      </c>
      <c r="N41" s="28">
        <v>27</v>
      </c>
      <c r="O41" s="28">
        <v>11</v>
      </c>
      <c r="P41" s="74">
        <v>43</v>
      </c>
      <c r="Q41" s="28">
        <v>5</v>
      </c>
      <c r="R41" s="28">
        <v>3</v>
      </c>
      <c r="S41" s="74">
        <v>7</v>
      </c>
      <c r="T41" s="28">
        <f>IFERROR((BOS_H[[#This Row],[H]]-BOS_H[[#This Row],[2B]]-BOS_H[[#This Row],[3B]]-BOS_H[[#This Row],[HR]])+(BOS_H[[#This Row],[2B]]*2)+(BOS_H[[#This Row],[3B]]*3)+(BOS_H[[#This Row],[HR]]*4),0)</f>
        <v>89</v>
      </c>
      <c r="U41" s="72">
        <f>BOS_H[[#This Row],[OBP]]+BOS_H[[#This Row],[SLG]]</f>
        <v>0.92359113874854259</v>
      </c>
      <c r="V41" s="74">
        <v>4</v>
      </c>
      <c r="W41" s="615">
        <v>7</v>
      </c>
      <c r="Z41" s="651" t="s">
        <v>226</v>
      </c>
      <c r="AA41" s="71" t="s">
        <v>181</v>
      </c>
      <c r="AB41" s="77" t="s">
        <v>231</v>
      </c>
      <c r="AC41" s="130">
        <f>IFERROR(BOS_H299[[#This Row],[H]]/BOS_H299[[#This Row],[AB]],0)</f>
        <v>0.35256410256410259</v>
      </c>
      <c r="AD41" s="72">
        <f>IFERROR((BOS_H299[[#This Row],[H]]+BOS_H299[[#This Row],[BB]])/(BOS_H299[[#This Row],[AB]]+BOS_H299[[#This Row],[BB]]),0)</f>
        <v>0.39156626506024095</v>
      </c>
      <c r="AE41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0.52564102564102566</v>
      </c>
      <c r="AF41" s="28">
        <v>39</v>
      </c>
      <c r="AG41" s="28">
        <v>156</v>
      </c>
      <c r="AH41" s="28">
        <v>19</v>
      </c>
      <c r="AI41" s="28">
        <v>55</v>
      </c>
      <c r="AJ41" s="28">
        <v>15</v>
      </c>
      <c r="AK41" s="28">
        <v>0</v>
      </c>
      <c r="AL41" s="28">
        <v>4</v>
      </c>
      <c r="AM41" s="28">
        <v>23</v>
      </c>
      <c r="AN41" s="28">
        <v>10</v>
      </c>
      <c r="AO41" s="74">
        <v>32</v>
      </c>
      <c r="AP41" s="28">
        <v>0</v>
      </c>
      <c r="AQ41" s="28">
        <v>1</v>
      </c>
      <c r="AR41" s="74">
        <v>6</v>
      </c>
      <c r="AS41" s="28">
        <f>IFERROR((BOS_H299[[#This Row],[H]]-BOS_H299[[#This Row],[2B]]-BOS_H299[[#This Row],[3B]]-BOS_H299[[#This Row],[HR]])+(BOS_H299[[#This Row],[2B]]*2)+(BOS_H299[[#This Row],[3B]]*3)+(BOS_H299[[#This Row],[HR]]*4),0)</f>
        <v>82</v>
      </c>
      <c r="AT41" s="72">
        <f>BOS_H299[[#This Row],[OBP]]+BOS_H299[[#This Row],[SLG]]</f>
        <v>0.91720729070126661</v>
      </c>
      <c r="AU41" s="74">
        <v>1</v>
      </c>
      <c r="AV41" s="615">
        <v>7</v>
      </c>
      <c r="AY41" s="651" t="s">
        <v>226</v>
      </c>
      <c r="AZ41" s="71" t="s">
        <v>181</v>
      </c>
      <c r="BA41" s="71" t="s">
        <v>242</v>
      </c>
      <c r="BB41" s="72">
        <f>IFERROR(BOS_H212[[#This Row],[H]]/BOS_H212[[#This Row],[AB]],0)</f>
        <v>0.23008849557522124</v>
      </c>
      <c r="BC41" s="72">
        <f>IFERROR((BOS_H212[[#This Row],[BB]]+BOS_H212[[#This Row],[H]])/(BOS_H212[[#This Row],[AB]]+BOS_H212[[#This Row],[BB]]),0)</f>
        <v>0.33587786259541985</v>
      </c>
      <c r="BD41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0.36283185840707965</v>
      </c>
      <c r="BE41" s="28">
        <v>38</v>
      </c>
      <c r="BF41" s="28">
        <v>113</v>
      </c>
      <c r="BG41" s="28">
        <v>19</v>
      </c>
      <c r="BH41" s="28">
        <v>26</v>
      </c>
      <c r="BI41" s="28">
        <v>6</v>
      </c>
      <c r="BJ41" s="28">
        <f>0</f>
        <v>0</v>
      </c>
      <c r="BK41" s="28">
        <v>3</v>
      </c>
      <c r="BL41" s="28">
        <v>13</v>
      </c>
      <c r="BM41" s="28">
        <v>18</v>
      </c>
      <c r="BN41" s="74">
        <v>35</v>
      </c>
      <c r="BO41" s="28">
        <v>1</v>
      </c>
      <c r="BP41" s="28">
        <v>2</v>
      </c>
      <c r="BQ41" s="74">
        <v>3</v>
      </c>
      <c r="BR41" s="28">
        <f t="shared" si="3"/>
        <v>41</v>
      </c>
      <c r="BS41" s="72">
        <f>IFERROR(BOS_H212[[#This Row],[OBP]]+BOS_H212[[#This Row],[SLG]],0)</f>
        <v>0.69870972100249951</v>
      </c>
      <c r="BT41" s="74">
        <v>0</v>
      </c>
      <c r="BU41" s="615">
        <v>7</v>
      </c>
    </row>
    <row r="42" spans="1:73">
      <c r="A42" s="651" t="s">
        <v>226</v>
      </c>
      <c r="B42" s="71" t="s">
        <v>240</v>
      </c>
      <c r="C42" s="77" t="s">
        <v>241</v>
      </c>
      <c r="D42" s="130">
        <f>IFERROR(BOS_H[[#This Row],[H]]/BOS_H[[#This Row],[AB]],0)</f>
        <v>0.29032258064516131</v>
      </c>
      <c r="E42" s="72">
        <f>IFERROR((BOS_H[[#This Row],[H]]+BOS_H[[#This Row],[BB]])/(BOS_H[[#This Row],[AB]]+BOS_H[[#This Row],[BB]]),0)</f>
        <v>0.34653465346534651</v>
      </c>
      <c r="F42" s="73">
        <f>IFERROR(((BOS_H[[#This Row],[H]]-BOS_H[[#This Row],[2B]]-BOS_H[[#This Row],[3B]]-BOS_H[[#This Row],[HR]])+(BOS_H[[#This Row],[2B]]*2)+(BOS_H[[#This Row],[3B]]*3)+(BOS_H[[#This Row],[HR]]*4))/BOS_H[[#This Row],[AB]],0)</f>
        <v>0.4838709677419355</v>
      </c>
      <c r="G42" s="28">
        <v>28</v>
      </c>
      <c r="H42" s="28">
        <v>93</v>
      </c>
      <c r="I42" s="28">
        <v>11</v>
      </c>
      <c r="J42" s="28">
        <v>27</v>
      </c>
      <c r="K42" s="28">
        <v>6</v>
      </c>
      <c r="L42" s="28">
        <v>0</v>
      </c>
      <c r="M42" s="28">
        <v>4</v>
      </c>
      <c r="N42" s="28">
        <v>15</v>
      </c>
      <c r="O42" s="28">
        <v>8</v>
      </c>
      <c r="P42" s="74">
        <v>28</v>
      </c>
      <c r="Q42" s="28">
        <v>0</v>
      </c>
      <c r="R42" s="28">
        <v>2</v>
      </c>
      <c r="S42" s="74">
        <v>6</v>
      </c>
      <c r="T42" s="28">
        <f>IFERROR((BOS_H[[#This Row],[H]]-BOS_H[[#This Row],[2B]]-BOS_H[[#This Row],[3B]]-BOS_H[[#This Row],[HR]])+(BOS_H[[#This Row],[2B]]*2)+(BOS_H[[#This Row],[3B]]*3)+(BOS_H[[#This Row],[HR]]*4),0)</f>
        <v>45</v>
      </c>
      <c r="U42" s="72">
        <f>BOS_H[[#This Row],[OBP]]+BOS_H[[#This Row],[SLG]]</f>
        <v>0.83040562120728201</v>
      </c>
      <c r="V42" s="74">
        <v>2</v>
      </c>
      <c r="W42" s="615">
        <v>8</v>
      </c>
      <c r="Z42" s="651" t="s">
        <v>226</v>
      </c>
      <c r="AA42" s="71" t="s">
        <v>166</v>
      </c>
      <c r="AB42" s="71" t="s">
        <v>228</v>
      </c>
      <c r="AC42" s="72">
        <f>IFERROR(BOS_H299[[#This Row],[H]]/BOS_H299[[#This Row],[AB]],0)</f>
        <v>0.29943502824858759</v>
      </c>
      <c r="AD42" s="72">
        <f>IFERROR((BOS_H299[[#This Row],[H]]+BOS_H299[[#This Row],[BB]])/(BOS_H299[[#This Row],[AB]]+BOS_H299[[#This Row],[BB]]),0)</f>
        <v>0.34042553191489361</v>
      </c>
      <c r="AE42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0.50282485875706218</v>
      </c>
      <c r="AF42" s="28">
        <v>39</v>
      </c>
      <c r="AG42" s="28">
        <v>177</v>
      </c>
      <c r="AH42" s="28">
        <v>20</v>
      </c>
      <c r="AI42" s="28">
        <v>53</v>
      </c>
      <c r="AJ42" s="28">
        <v>12</v>
      </c>
      <c r="AK42" s="28">
        <v>0</v>
      </c>
      <c r="AL42" s="28">
        <v>8</v>
      </c>
      <c r="AM42" s="28">
        <v>34</v>
      </c>
      <c r="AN42" s="28">
        <v>11</v>
      </c>
      <c r="AO42" s="74">
        <v>43</v>
      </c>
      <c r="AP42" s="28">
        <v>0</v>
      </c>
      <c r="AQ42" s="28">
        <v>1</v>
      </c>
      <c r="AR42" s="74">
        <v>9</v>
      </c>
      <c r="AS42" s="28">
        <f>IFERROR((BOS_H299[[#This Row],[H]]-BOS_H299[[#This Row],[2B]]-BOS_H299[[#This Row],[3B]]-BOS_H299[[#This Row],[HR]])+(BOS_H299[[#This Row],[2B]]*2)+(BOS_H299[[#This Row],[3B]]*3)+(BOS_H299[[#This Row],[HR]]*4),0)</f>
        <v>89</v>
      </c>
      <c r="AT42" s="72">
        <f>BOS_H299[[#This Row],[OBP]]+BOS_H299[[#This Row],[SLG]]</f>
        <v>0.84325039067195573</v>
      </c>
      <c r="AU42" s="74">
        <v>4</v>
      </c>
      <c r="AV42" s="615">
        <v>8</v>
      </c>
      <c r="AY42" s="651" t="s">
        <v>226</v>
      </c>
      <c r="AZ42" s="345" t="s">
        <v>166</v>
      </c>
      <c r="BA42" s="345" t="s">
        <v>228</v>
      </c>
      <c r="BB42" s="72">
        <f>IFERROR(BOS_H212[[#This Row],[H]]/BOS_H212[[#This Row],[AB]],0)</f>
        <v>0.31952662721893493</v>
      </c>
      <c r="BC42" s="72">
        <f>IFERROR((BOS_H212[[#This Row],[BB]]+BOS_H212[[#This Row],[H]])/(BOS_H212[[#This Row],[AB]]+BOS_H212[[#This Row],[BB]]),0)</f>
        <v>0.36464088397790057</v>
      </c>
      <c r="BD42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0.66863905325443784</v>
      </c>
      <c r="BE42" s="28">
        <v>40</v>
      </c>
      <c r="BF42" s="28">
        <v>169</v>
      </c>
      <c r="BG42" s="28">
        <v>36</v>
      </c>
      <c r="BH42" s="28">
        <v>54</v>
      </c>
      <c r="BI42" s="76">
        <v>17</v>
      </c>
      <c r="BJ42" s="28">
        <f>0</f>
        <v>0</v>
      </c>
      <c r="BK42" s="28">
        <v>14</v>
      </c>
      <c r="BL42" s="76">
        <v>44</v>
      </c>
      <c r="BM42" s="28">
        <v>12</v>
      </c>
      <c r="BN42" s="74">
        <v>52</v>
      </c>
      <c r="BO42" s="28">
        <v>0</v>
      </c>
      <c r="BP42" s="28">
        <v>0</v>
      </c>
      <c r="BQ42" s="74">
        <v>14</v>
      </c>
      <c r="BR42" s="28">
        <f t="shared" si="3"/>
        <v>113</v>
      </c>
      <c r="BS42" s="72">
        <f>IFERROR(BOS_H212[[#This Row],[OBP]]+BOS_H212[[#This Row],[SLG]],0)</f>
        <v>1.0332799372323385</v>
      </c>
      <c r="BT42" s="104">
        <v>8</v>
      </c>
      <c r="BU42" s="615">
        <v>8</v>
      </c>
    </row>
    <row r="43" spans="1:73">
      <c r="A43" s="651" t="s">
        <v>226</v>
      </c>
      <c r="B43" s="71" t="s">
        <v>168</v>
      </c>
      <c r="C43" s="77" t="s">
        <v>230</v>
      </c>
      <c r="D43" s="130">
        <f>IFERROR(BOS_H[[#This Row],[H]]/BOS_H[[#This Row],[AB]],0)</f>
        <v>0.30718954248366015</v>
      </c>
      <c r="E43" s="72">
        <f>IFERROR((BOS_H[[#This Row],[H]]+BOS_H[[#This Row],[BB]])/(BOS_H[[#This Row],[AB]]+BOS_H[[#This Row],[BB]]),0)</f>
        <v>0.37647058823529411</v>
      </c>
      <c r="F43" s="73">
        <f>IFERROR(((BOS_H[[#This Row],[H]]-BOS_H[[#This Row],[2B]]-BOS_H[[#This Row],[3B]]-BOS_H[[#This Row],[HR]])+(BOS_H[[#This Row],[2B]]*2)+(BOS_H[[#This Row],[3B]]*3)+(BOS_H[[#This Row],[HR]]*4))/BOS_H[[#This Row],[AB]],0)</f>
        <v>0.5490196078431373</v>
      </c>
      <c r="G43" s="28">
        <v>40</v>
      </c>
      <c r="H43" s="28">
        <v>153</v>
      </c>
      <c r="I43" s="28">
        <v>23</v>
      </c>
      <c r="J43" s="28">
        <v>47</v>
      </c>
      <c r="K43" s="28">
        <v>7</v>
      </c>
      <c r="L43" s="28">
        <v>0</v>
      </c>
      <c r="M43" s="28">
        <v>10</v>
      </c>
      <c r="N43" s="28">
        <v>27</v>
      </c>
      <c r="O43" s="28">
        <v>17</v>
      </c>
      <c r="P43" s="74">
        <v>35</v>
      </c>
      <c r="Q43" s="28">
        <v>0</v>
      </c>
      <c r="R43" s="28">
        <v>0</v>
      </c>
      <c r="S43" s="74">
        <v>10</v>
      </c>
      <c r="T43" s="28">
        <f>IFERROR((BOS_H[[#This Row],[H]]-BOS_H[[#This Row],[2B]]-BOS_H[[#This Row],[3B]]-BOS_H[[#This Row],[HR]])+(BOS_H[[#This Row],[2B]]*2)+(BOS_H[[#This Row],[3B]]*3)+(BOS_H[[#This Row],[HR]]*4),0)</f>
        <v>84</v>
      </c>
      <c r="U43" s="72">
        <f>BOS_H[[#This Row],[OBP]]+BOS_H[[#This Row],[SLG]]</f>
        <v>0.92549019607843142</v>
      </c>
      <c r="V43" s="74">
        <v>5</v>
      </c>
      <c r="W43" s="615">
        <v>9</v>
      </c>
      <c r="Z43" s="651" t="s">
        <v>226</v>
      </c>
      <c r="AA43" s="345" t="s">
        <v>168</v>
      </c>
      <c r="AB43" s="71" t="s">
        <v>230</v>
      </c>
      <c r="AC43" s="72">
        <f>IFERROR(BOS_H299[[#This Row],[H]]/BOS_H299[[#This Row],[AB]],0)</f>
        <v>0.28758169934640521</v>
      </c>
      <c r="AD43" s="72">
        <f>IFERROR((BOS_H299[[#This Row],[H]]+BOS_H299[[#This Row],[BB]])/(BOS_H299[[#This Row],[AB]]+BOS_H299[[#This Row],[BB]]),0)</f>
        <v>0.40760869565217389</v>
      </c>
      <c r="AE43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0.5816993464052288</v>
      </c>
      <c r="AF43" s="28">
        <v>40</v>
      </c>
      <c r="AG43" s="28">
        <v>153</v>
      </c>
      <c r="AH43" s="28">
        <v>27</v>
      </c>
      <c r="AI43" s="28">
        <v>44</v>
      </c>
      <c r="AJ43" s="28">
        <v>12</v>
      </c>
      <c r="AK43" s="28">
        <v>0</v>
      </c>
      <c r="AL43" s="28">
        <v>11</v>
      </c>
      <c r="AM43" s="28">
        <v>35</v>
      </c>
      <c r="AN43" s="76">
        <v>31</v>
      </c>
      <c r="AO43" s="74">
        <v>38</v>
      </c>
      <c r="AP43" s="28">
        <v>0</v>
      </c>
      <c r="AQ43" s="28">
        <v>1</v>
      </c>
      <c r="AR43" s="74">
        <v>14</v>
      </c>
      <c r="AS43" s="28">
        <f>IFERROR((BOS_H299[[#This Row],[H]]-BOS_H299[[#This Row],[2B]]-BOS_H299[[#This Row],[3B]]-BOS_H299[[#This Row],[HR]])+(BOS_H299[[#This Row],[2B]]*2)+(BOS_H299[[#This Row],[3B]]*3)+(BOS_H299[[#This Row],[HR]]*4),0)</f>
        <v>89</v>
      </c>
      <c r="AT43" s="72">
        <f>BOS_H299[[#This Row],[OBP]]+BOS_H299[[#This Row],[SLG]]</f>
        <v>0.98930804205740275</v>
      </c>
      <c r="AU43" s="74">
        <v>5</v>
      </c>
      <c r="AV43" s="615">
        <v>9</v>
      </c>
      <c r="AY43" s="651" t="s">
        <v>226</v>
      </c>
      <c r="AZ43" s="71" t="s">
        <v>168</v>
      </c>
      <c r="BA43" s="71" t="s">
        <v>230</v>
      </c>
      <c r="BB43" s="72">
        <f>IFERROR(BOS_H212[[#This Row],[H]]/BOS_H212[[#This Row],[AB]],0)</f>
        <v>0.32413793103448274</v>
      </c>
      <c r="BC43" s="72">
        <f>IFERROR((BOS_H212[[#This Row],[BB]]+BOS_H212[[#This Row],[H]])/(BOS_H212[[#This Row],[AB]]+BOS_H212[[#This Row],[BB]]),0)</f>
        <v>0.37579617834394907</v>
      </c>
      <c r="BD43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0.62068965517241381</v>
      </c>
      <c r="BE43" s="28">
        <v>37</v>
      </c>
      <c r="BF43" s="28">
        <v>145</v>
      </c>
      <c r="BG43" s="28">
        <v>20</v>
      </c>
      <c r="BH43" s="28">
        <v>47</v>
      </c>
      <c r="BI43" s="28">
        <v>16</v>
      </c>
      <c r="BJ43" s="28">
        <f>0</f>
        <v>0</v>
      </c>
      <c r="BK43" s="28">
        <v>9</v>
      </c>
      <c r="BL43" s="28">
        <v>35</v>
      </c>
      <c r="BM43" s="28">
        <v>12</v>
      </c>
      <c r="BN43" s="74">
        <v>29</v>
      </c>
      <c r="BO43" s="28">
        <v>0</v>
      </c>
      <c r="BP43" s="28">
        <v>3</v>
      </c>
      <c r="BQ43" s="74">
        <v>6</v>
      </c>
      <c r="BR43" s="28">
        <f t="shared" si="3"/>
        <v>90</v>
      </c>
      <c r="BS43" s="72">
        <f>IFERROR(BOS_H212[[#This Row],[OBP]]+BOS_H212[[#This Row],[SLG]],0)</f>
        <v>0.99648583351636288</v>
      </c>
      <c r="BT43" s="74">
        <v>3</v>
      </c>
      <c r="BU43" s="615">
        <v>9</v>
      </c>
    </row>
    <row r="44" spans="1:73">
      <c r="A44" s="651" t="s">
        <v>226</v>
      </c>
      <c r="B44" s="71" t="s">
        <v>179</v>
      </c>
      <c r="C44" s="77" t="s">
        <v>246</v>
      </c>
      <c r="D44" s="130">
        <f>IFERROR(BOS_H[[#This Row],[H]]/BOS_H[[#This Row],[AB]],0)</f>
        <v>0.42857142857142855</v>
      </c>
      <c r="E44" s="72">
        <f>IFERROR((BOS_H[[#This Row],[H]]+BOS_H[[#This Row],[BB]])/(BOS_H[[#This Row],[AB]]+BOS_H[[#This Row],[BB]]),0)</f>
        <v>0.42857142857142855</v>
      </c>
      <c r="F44" s="73">
        <f>IFERROR(((BOS_H[[#This Row],[H]]-BOS_H[[#This Row],[2B]]-BOS_H[[#This Row],[3B]]-BOS_H[[#This Row],[HR]])+(BOS_H[[#This Row],[2B]]*2)+(BOS_H[[#This Row],[3B]]*3)+(BOS_H[[#This Row],[HR]]*4))/BOS_H[[#This Row],[AB]],0)</f>
        <v>0.8571428571428571</v>
      </c>
      <c r="G44" s="28">
        <v>4</v>
      </c>
      <c r="H44" s="28">
        <v>7</v>
      </c>
      <c r="I44" s="28">
        <v>1</v>
      </c>
      <c r="J44" s="28">
        <v>3</v>
      </c>
      <c r="K44" s="28">
        <v>0</v>
      </c>
      <c r="L44" s="28">
        <v>0</v>
      </c>
      <c r="M44" s="28">
        <v>1</v>
      </c>
      <c r="N44" s="28">
        <v>1</v>
      </c>
      <c r="O44" s="28">
        <v>0</v>
      </c>
      <c r="P44" s="74">
        <v>1</v>
      </c>
      <c r="Q44" s="28">
        <v>0</v>
      </c>
      <c r="R44" s="28">
        <v>2</v>
      </c>
      <c r="S44" s="74">
        <v>2</v>
      </c>
      <c r="T44" s="28">
        <f>IFERROR((BOS_H[[#This Row],[H]]-BOS_H[[#This Row],[2B]]-BOS_H[[#This Row],[3B]]-BOS_H[[#This Row],[HR]])+(BOS_H[[#This Row],[2B]]*2)+(BOS_H[[#This Row],[3B]]*3)+(BOS_H[[#This Row],[HR]]*4),0)</f>
        <v>6</v>
      </c>
      <c r="U44" s="72">
        <f>BOS_H[[#This Row],[OBP]]+BOS_H[[#This Row],[SLG]]</f>
        <v>1.2857142857142856</v>
      </c>
      <c r="V44" s="74">
        <v>0</v>
      </c>
      <c r="W44" s="615">
        <v>10</v>
      </c>
      <c r="Z44" s="651" t="s">
        <v>226</v>
      </c>
      <c r="AA44" s="71" t="s">
        <v>179</v>
      </c>
      <c r="AB44" s="71" t="s">
        <v>246</v>
      </c>
      <c r="AC44" s="72">
        <f>IFERROR(BOS_H299[[#This Row],[H]]/BOS_H299[[#This Row],[AB]],0)</f>
        <v>0.33333333333333331</v>
      </c>
      <c r="AD44" s="72">
        <f>IFERROR((BOS_H299[[#This Row],[H]]+BOS_H299[[#This Row],[BB]])/(BOS_H299[[#This Row],[AB]]+BOS_H299[[#This Row],[BB]]),0)</f>
        <v>0.45454545454545453</v>
      </c>
      <c r="AE44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0.44444444444444442</v>
      </c>
      <c r="AF44" s="28">
        <v>5</v>
      </c>
      <c r="AG44" s="28">
        <v>9</v>
      </c>
      <c r="AH44" s="28">
        <v>1</v>
      </c>
      <c r="AI44" s="28">
        <v>3</v>
      </c>
      <c r="AJ44" s="28">
        <v>1</v>
      </c>
      <c r="AK44" s="28">
        <v>0</v>
      </c>
      <c r="AL44" s="28">
        <v>0</v>
      </c>
      <c r="AM44" s="28">
        <v>0</v>
      </c>
      <c r="AN44" s="28">
        <v>2</v>
      </c>
      <c r="AO44" s="74">
        <v>3</v>
      </c>
      <c r="AP44" s="28">
        <v>0</v>
      </c>
      <c r="AQ44" s="28">
        <v>3</v>
      </c>
      <c r="AR44" s="74">
        <v>3</v>
      </c>
      <c r="AS44" s="28">
        <f>IFERROR((BOS_H299[[#This Row],[H]]-BOS_H299[[#This Row],[2B]]-BOS_H299[[#This Row],[3B]]-BOS_H299[[#This Row],[HR]])+(BOS_H299[[#This Row],[2B]]*2)+(BOS_H299[[#This Row],[3B]]*3)+(BOS_H299[[#This Row],[HR]]*4),0)</f>
        <v>4</v>
      </c>
      <c r="AT44" s="72">
        <f>BOS_H299[[#This Row],[OBP]]+BOS_H299[[#This Row],[SLG]]</f>
        <v>0.89898989898989901</v>
      </c>
      <c r="AU44" s="74">
        <v>0</v>
      </c>
      <c r="AV44" s="615">
        <v>10</v>
      </c>
      <c r="AY44" s="651" t="s">
        <v>226</v>
      </c>
      <c r="AZ44" s="71" t="s">
        <v>179</v>
      </c>
      <c r="BA44" s="71" t="s">
        <v>246</v>
      </c>
      <c r="BB44" s="72">
        <f>IFERROR(BOS_H212[[#This Row],[H]]/BOS_H212[[#This Row],[AB]],0)</f>
        <v>8.3333333333333329E-2</v>
      </c>
      <c r="BC44" s="72">
        <f>IFERROR((BOS_H212[[#This Row],[BB]]+BOS_H212[[#This Row],[H]])/(BOS_H212[[#This Row],[AB]]+BOS_H212[[#This Row],[BB]]),0)</f>
        <v>0.18518518518518517</v>
      </c>
      <c r="BD44" s="73">
        <f>IFERROR(((BOS_H212[[#This Row],[H]]-BOS_H212[[#This Row],[2B]]-BOS_H212[[#This Row],[3B]]-BOS_H212[[#This Row],[HR]])+(BOS_H212[[#This Row],[2B]]*2)+(BOS_H212[[#This Row],[3B]]*3)+(BOS_H212[[#This Row],[HR]]*4))/BOS_H212[[#This Row],[AB]],0)</f>
        <v>8.3333333333333329E-2</v>
      </c>
      <c r="BE44" s="28">
        <v>17</v>
      </c>
      <c r="BF44" s="28">
        <v>24</v>
      </c>
      <c r="BG44" s="28">
        <v>2</v>
      </c>
      <c r="BH44" s="28">
        <v>2</v>
      </c>
      <c r="BI44" s="28">
        <f>0</f>
        <v>0</v>
      </c>
      <c r="BJ44" s="28">
        <f>0</f>
        <v>0</v>
      </c>
      <c r="BK44" s="28">
        <f>0</f>
        <v>0</v>
      </c>
      <c r="BL44" s="28">
        <f>0</f>
        <v>0</v>
      </c>
      <c r="BM44" s="28">
        <v>3</v>
      </c>
      <c r="BN44" s="74">
        <v>7</v>
      </c>
      <c r="BO44" s="28">
        <v>0</v>
      </c>
      <c r="BP44" s="28">
        <v>0</v>
      </c>
      <c r="BQ44" s="74">
        <v>1</v>
      </c>
      <c r="BR44" s="28">
        <f t="shared" si="3"/>
        <v>2</v>
      </c>
      <c r="BS44" s="72">
        <f>IFERROR(BOS_H212[[#This Row],[OBP]]+BOS_H212[[#This Row],[SLG]],0)</f>
        <v>0.26851851851851849</v>
      </c>
      <c r="BT44" s="74">
        <v>0</v>
      </c>
      <c r="BU44" s="615">
        <v>10</v>
      </c>
    </row>
    <row r="45" spans="1:73">
      <c r="A45" s="651" t="s">
        <v>226</v>
      </c>
      <c r="B45" s="71" t="s">
        <v>187</v>
      </c>
      <c r="C45" s="77" t="s">
        <v>245</v>
      </c>
      <c r="D45" s="130">
        <f>IFERROR(BOS_H[[#This Row],[H]]/BOS_H[[#This Row],[AB]],0)</f>
        <v>0.33333333333333331</v>
      </c>
      <c r="E45" s="72">
        <f>IFERROR((BOS_H[[#This Row],[H]]+BOS_H[[#This Row],[BB]])/(BOS_H[[#This Row],[AB]]+BOS_H[[#This Row],[BB]]),0)</f>
        <v>0.4</v>
      </c>
      <c r="F45" s="73">
        <f>IFERROR(((BOS_H[[#This Row],[H]]-BOS_H[[#This Row],[2B]]-BOS_H[[#This Row],[3B]]-BOS_H[[#This Row],[HR]])+(BOS_H[[#This Row],[2B]]*2)+(BOS_H[[#This Row],[3B]]*3)+(BOS_H[[#This Row],[HR]]*4))/BOS_H[[#This Row],[AB]],0)</f>
        <v>1</v>
      </c>
      <c r="G45" s="28">
        <v>6</v>
      </c>
      <c r="H45" s="28">
        <v>9</v>
      </c>
      <c r="I45" s="28">
        <v>3</v>
      </c>
      <c r="J45" s="28">
        <v>3</v>
      </c>
      <c r="K45" s="28">
        <v>0</v>
      </c>
      <c r="L45" s="28">
        <v>0</v>
      </c>
      <c r="M45" s="28">
        <v>2</v>
      </c>
      <c r="N45" s="28">
        <v>5</v>
      </c>
      <c r="O45" s="28">
        <v>1</v>
      </c>
      <c r="P45" s="74">
        <v>1</v>
      </c>
      <c r="Q45" s="28">
        <v>0</v>
      </c>
      <c r="R45" s="28">
        <v>3</v>
      </c>
      <c r="S45" s="74">
        <v>3</v>
      </c>
      <c r="T45" s="28">
        <f>IFERROR((BOS_H[[#This Row],[H]]-BOS_H[[#This Row],[2B]]-BOS_H[[#This Row],[3B]]-BOS_H[[#This Row],[HR]])+(BOS_H[[#This Row],[2B]]*2)+(BOS_H[[#This Row],[3B]]*3)+(BOS_H[[#This Row],[HR]]*4),0)</f>
        <v>9</v>
      </c>
      <c r="U45" s="72">
        <f>BOS_H[[#This Row],[OBP]]+BOS_H[[#This Row],[SLG]]</f>
        <v>1.4</v>
      </c>
      <c r="V45" s="74">
        <v>0</v>
      </c>
      <c r="W45" s="615">
        <v>11</v>
      </c>
      <c r="Z45" s="651" t="s">
        <v>226</v>
      </c>
      <c r="AA45" s="71" t="s">
        <v>192</v>
      </c>
      <c r="AB45" s="77" t="s">
        <v>245</v>
      </c>
      <c r="AC45" s="130">
        <f>IFERROR(BOS_H299[[#This Row],[H]]/BOS_H299[[#This Row],[AB]],0)</f>
        <v>0</v>
      </c>
      <c r="AD45" s="72">
        <f>IFERROR((BOS_H299[[#This Row],[H]]+BOS_H299[[#This Row],[BB]])/(BOS_H299[[#This Row],[AB]]+BOS_H299[[#This Row],[BB]]),0)</f>
        <v>0.3</v>
      </c>
      <c r="AE45" s="73">
        <f>IFERROR(((BOS_H299[[#This Row],[H]]-BOS_H299[[#This Row],[2B]]-BOS_H299[[#This Row],[3B]]-BOS_H299[[#This Row],[HR]])+(BOS_H299[[#This Row],[2B]]*2)+(BOS_H299[[#This Row],[3B]]*3)+(BOS_H299[[#This Row],[HR]]*4))/BOS_H299[[#This Row],[AB]],0)</f>
        <v>0</v>
      </c>
      <c r="AF45" s="28">
        <v>3</v>
      </c>
      <c r="AG45" s="28">
        <v>7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3</v>
      </c>
      <c r="AO45" s="74">
        <v>1</v>
      </c>
      <c r="AP45" s="28">
        <v>0</v>
      </c>
      <c r="AQ45" s="28">
        <v>0</v>
      </c>
      <c r="AR45" s="74">
        <v>0</v>
      </c>
      <c r="AS45" s="28">
        <f>IFERROR((BOS_H299[[#This Row],[H]]-BOS_H299[[#This Row],[2B]]-BOS_H299[[#This Row],[3B]]-BOS_H299[[#This Row],[HR]])+(BOS_H299[[#This Row],[2B]]*2)+(BOS_H299[[#This Row],[3B]]*3)+(BOS_H299[[#This Row],[HR]]*4),0)</f>
        <v>0</v>
      </c>
      <c r="AT45" s="72">
        <f>BOS_H299[[#This Row],[OBP]]+BOS_H299[[#This Row],[SLG]]</f>
        <v>0.3</v>
      </c>
      <c r="AU45" s="74">
        <v>0</v>
      </c>
      <c r="AV45" s="615">
        <v>11</v>
      </c>
      <c r="AY45" s="651" t="s">
        <v>226</v>
      </c>
      <c r="AZ45" s="71" t="s">
        <v>192</v>
      </c>
      <c r="BA45" s="71" t="s">
        <v>244</v>
      </c>
      <c r="BB45" s="72">
        <f>IFERROR(BOS_H212[[#This Row],[H]]/BOS_H212[[#This Row],[AB]],0)</f>
        <v>0.21568627450980393</v>
      </c>
      <c r="BC45" s="72">
        <f>IFERROR((BOS_H212[[#This Row],[BB]]+BOS_H212[[#This Row],[H]])/(BOS_H212[[#This Row],[AB]]+BOS_H212[[#This Row],[BB]]),0)</f>
        <v>0.27272727272727271</v>
      </c>
      <c r="BD45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0.52941176470588236</v>
      </c>
      <c r="BE45" s="28">
        <v>17</v>
      </c>
      <c r="BF45" s="28">
        <v>51</v>
      </c>
      <c r="BG45" s="28">
        <v>6</v>
      </c>
      <c r="BH45" s="28">
        <v>11</v>
      </c>
      <c r="BI45" s="28">
        <v>2</v>
      </c>
      <c r="BJ45" s="28">
        <v>1</v>
      </c>
      <c r="BK45" s="28">
        <v>4</v>
      </c>
      <c r="BL45" s="28">
        <v>9</v>
      </c>
      <c r="BM45" s="28">
        <v>4</v>
      </c>
      <c r="BN45" s="74">
        <v>12</v>
      </c>
      <c r="BO45" s="28">
        <v>0</v>
      </c>
      <c r="BP45" s="28">
        <v>0</v>
      </c>
      <c r="BQ45" s="74">
        <v>2</v>
      </c>
      <c r="BR45" s="28">
        <f t="shared" si="3"/>
        <v>27</v>
      </c>
      <c r="BS45" s="72">
        <f>IFERROR(BOS_H212[[#This Row],[OBP]]+BOS_H212[[#This Row],[SLG]],0)</f>
        <v>0.80213903743315507</v>
      </c>
      <c r="BT45" s="74">
        <v>0</v>
      </c>
      <c r="BU45" s="615">
        <v>11</v>
      </c>
    </row>
    <row r="46" spans="1:73">
      <c r="A46" s="651" t="s">
        <v>226</v>
      </c>
      <c r="B46" s="71" t="s">
        <v>192</v>
      </c>
      <c r="C46" s="77" t="s">
        <v>248</v>
      </c>
      <c r="D46" s="130">
        <f>IFERROR(BOS_H[[#This Row],[H]]/BOS_H[[#This Row],[AB]],0)</f>
        <v>0</v>
      </c>
      <c r="E46" s="72">
        <f>IFERROR((BOS_H[[#This Row],[H]]+BOS_H[[#This Row],[BB]])/(BOS_H[[#This Row],[AB]]+BOS_H[[#This Row],[BB]]),0)</f>
        <v>0</v>
      </c>
      <c r="F46" s="73">
        <f>IFERROR(((BOS_H[[#This Row],[H]]-BOS_H[[#This Row],[2B]]-BOS_H[[#This Row],[3B]]-BOS_H[[#This Row],[HR]])+(BOS_H[[#This Row],[2B]]*2)+(BOS_H[[#This Row],[3B]]*3)+(BOS_H[[#This Row],[HR]]*4))/BOS_H[[#This Row],[AB]],0)</f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74">
        <v>0</v>
      </c>
      <c r="Q46" s="28">
        <v>0</v>
      </c>
      <c r="R46" s="28">
        <v>0</v>
      </c>
      <c r="S46" s="74">
        <v>0</v>
      </c>
      <c r="T46" s="28">
        <f>IFERROR((BOS_H[[#This Row],[H]]-BOS_H[[#This Row],[2B]]-BOS_H[[#This Row],[3B]]-BOS_H[[#This Row],[HR]])+(BOS_H[[#This Row],[2B]]*2)+(BOS_H[[#This Row],[3B]]*3)+(BOS_H[[#This Row],[HR]]*4),0)</f>
        <v>0</v>
      </c>
      <c r="U46" s="72">
        <f>BOS_H[[#This Row],[OBP]]+BOS_H[[#This Row],[SLG]]</f>
        <v>0</v>
      </c>
      <c r="V46" s="74">
        <v>0</v>
      </c>
      <c r="W46" s="615">
        <v>12</v>
      </c>
      <c r="Z46" s="651" t="s">
        <v>226</v>
      </c>
      <c r="AA46" s="71" t="s">
        <v>187</v>
      </c>
      <c r="AB46" s="77" t="s">
        <v>243</v>
      </c>
      <c r="AC46" s="130">
        <f>IFERROR(BOS_H299[[#This Row],[H]]/BOS_H299[[#This Row],[AB]],0)</f>
        <v>0.33333333333333331</v>
      </c>
      <c r="AD46" s="72">
        <f>IFERROR((BOS_H299[[#This Row],[H]]+BOS_H299[[#This Row],[BB]])/(BOS_H299[[#This Row],[AB]]+BOS_H299[[#This Row],[BB]]),0)</f>
        <v>0.33333333333333331</v>
      </c>
      <c r="AE46" s="73">
        <f>IFERROR(((BOS_H299[[#This Row],[H]]-BOS_H299[[#This Row],[2B]]-BOS_H299[[#This Row],[3B]]-BOS_H299[[#This Row],[HR]])+(BOS_H299[[#This Row],[2B]]*2)+(BOS_H299[[#This Row],[3B]]*3)+(BOS_H299[[#This Row],[HR]]*4))/BOS_H299[[#This Row],[AB]],0)</f>
        <v>1.1111111111111112</v>
      </c>
      <c r="AF46" s="28">
        <v>3</v>
      </c>
      <c r="AG46" s="28">
        <v>9</v>
      </c>
      <c r="AH46" s="28">
        <v>3</v>
      </c>
      <c r="AI46" s="28">
        <v>3</v>
      </c>
      <c r="AJ46" s="28">
        <v>1</v>
      </c>
      <c r="AK46" s="28">
        <v>0</v>
      </c>
      <c r="AL46" s="28">
        <v>2</v>
      </c>
      <c r="AM46" s="28">
        <v>3</v>
      </c>
      <c r="AN46" s="28">
        <v>0</v>
      </c>
      <c r="AO46" s="74">
        <v>1</v>
      </c>
      <c r="AP46" s="28">
        <v>0</v>
      </c>
      <c r="AQ46" s="28">
        <v>2</v>
      </c>
      <c r="AR46" s="74">
        <v>2</v>
      </c>
      <c r="AS46" s="28">
        <f>IFERROR((BOS_H299[[#This Row],[H]]-BOS_H299[[#This Row],[2B]]-BOS_H299[[#This Row],[3B]]-BOS_H299[[#This Row],[HR]])+(BOS_H299[[#This Row],[2B]]*2)+(BOS_H299[[#This Row],[3B]]*3)+(BOS_H299[[#This Row],[HR]]*4),0)</f>
        <v>10</v>
      </c>
      <c r="AT46" s="72">
        <f>BOS_H299[[#This Row],[OBP]]+BOS_H299[[#This Row],[SLG]]</f>
        <v>1.4444444444444444</v>
      </c>
      <c r="AU46" s="74">
        <v>0</v>
      </c>
      <c r="AV46" s="615">
        <v>12</v>
      </c>
      <c r="AY46" s="651" t="s">
        <v>226</v>
      </c>
      <c r="AZ46" s="71" t="s">
        <v>187</v>
      </c>
      <c r="BA46" s="71" t="s">
        <v>243</v>
      </c>
      <c r="BB46" s="72">
        <f>IFERROR(BOS_H212[[#This Row],[H]]/BOS_H212[[#This Row],[AB]],0)</f>
        <v>0.18181818181818182</v>
      </c>
      <c r="BC46" s="72">
        <f>IFERROR((BOS_H212[[#This Row],[BB]]+BOS_H212[[#This Row],[H]])/(BOS_H212[[#This Row],[AB]]+BOS_H212[[#This Row],[BB]]),0)</f>
        <v>0.28000000000000003</v>
      </c>
      <c r="BD46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0.36363636363636365</v>
      </c>
      <c r="BE46" s="28">
        <v>11</v>
      </c>
      <c r="BF46" s="28">
        <v>22</v>
      </c>
      <c r="BG46" s="28">
        <v>5</v>
      </c>
      <c r="BH46" s="28">
        <v>4</v>
      </c>
      <c r="BI46" s="28">
        <v>1</v>
      </c>
      <c r="BJ46" s="28">
        <v>0</v>
      </c>
      <c r="BK46" s="28">
        <v>1</v>
      </c>
      <c r="BL46" s="28">
        <v>1</v>
      </c>
      <c r="BM46" s="28">
        <v>3</v>
      </c>
      <c r="BN46" s="74">
        <v>3</v>
      </c>
      <c r="BO46" s="28">
        <v>0</v>
      </c>
      <c r="BP46" s="28">
        <v>1</v>
      </c>
      <c r="BQ46" s="74">
        <v>2</v>
      </c>
      <c r="BR46" s="28">
        <f t="shared" si="3"/>
        <v>8</v>
      </c>
      <c r="BS46" s="72">
        <f>IFERROR(BOS_H212[[#This Row],[OBP]]+BOS_H212[[#This Row],[SLG]],0)</f>
        <v>0.64363636363636367</v>
      </c>
      <c r="BT46" s="74">
        <v>0</v>
      </c>
      <c r="BU46" s="615">
        <v>12</v>
      </c>
    </row>
    <row r="47" spans="1:73">
      <c r="A47" s="651" t="s">
        <v>226</v>
      </c>
      <c r="B47" s="71" t="s">
        <v>186</v>
      </c>
      <c r="C47" s="77" t="s">
        <v>231</v>
      </c>
      <c r="D47" s="130">
        <f>IFERROR(BOS_H[[#This Row],[H]]/BOS_H[[#This Row],[AB]],0)</f>
        <v>0.21666666666666667</v>
      </c>
      <c r="E47" s="72">
        <f>IFERROR((BOS_H[[#This Row],[H]]+BOS_H[[#This Row],[BB]])/(BOS_H[[#This Row],[AB]]+BOS_H[[#This Row],[BB]]),0)</f>
        <v>0.29850746268656714</v>
      </c>
      <c r="F47" s="73">
        <f>IFERROR(((BOS_H[[#This Row],[H]]-BOS_H[[#This Row],[2B]]-BOS_H[[#This Row],[3B]]-BOS_H[[#This Row],[HR]])+(BOS_H[[#This Row],[2B]]*2)+(BOS_H[[#This Row],[3B]]*3)+(BOS_H[[#This Row],[HR]]*4))/BOS_H[[#This Row],[AB]],0)</f>
        <v>0.36666666666666664</v>
      </c>
      <c r="G47" s="28">
        <v>16</v>
      </c>
      <c r="H47" s="28">
        <v>60</v>
      </c>
      <c r="I47" s="28">
        <v>8</v>
      </c>
      <c r="J47" s="28">
        <v>13</v>
      </c>
      <c r="K47" s="28">
        <v>4</v>
      </c>
      <c r="L47" s="28">
        <v>1</v>
      </c>
      <c r="M47" s="28">
        <v>1</v>
      </c>
      <c r="N47" s="28">
        <v>7</v>
      </c>
      <c r="O47" s="28">
        <v>7</v>
      </c>
      <c r="P47" s="74">
        <v>18</v>
      </c>
      <c r="Q47" s="28">
        <v>0</v>
      </c>
      <c r="R47" s="28">
        <v>0</v>
      </c>
      <c r="S47" s="74">
        <v>2</v>
      </c>
      <c r="T47" s="28">
        <f>IFERROR((BOS_H[[#This Row],[H]]-BOS_H[[#This Row],[2B]]-BOS_H[[#This Row],[3B]]-BOS_H[[#This Row],[HR]])+(BOS_H[[#This Row],[2B]]*2)+(BOS_H[[#This Row],[3B]]*3)+(BOS_H[[#This Row],[HR]]*4),0)</f>
        <v>22</v>
      </c>
      <c r="U47" s="72">
        <f>BOS_H[[#This Row],[OBP]]+BOS_H[[#This Row],[SLG]]</f>
        <v>0.66517412935323383</v>
      </c>
      <c r="V47" s="74">
        <v>0</v>
      </c>
      <c r="W47" s="615">
        <v>13</v>
      </c>
      <c r="Z47" s="651" t="s">
        <v>226</v>
      </c>
      <c r="AA47" s="71" t="s">
        <v>186</v>
      </c>
      <c r="AB47" s="71" t="s">
        <v>227</v>
      </c>
      <c r="AC47" s="72">
        <f>IFERROR(BOS_H299[[#This Row],[H]]/BOS_H299[[#This Row],[AB]],0)</f>
        <v>0.22222222222222221</v>
      </c>
      <c r="AD47" s="72">
        <f>IFERROR((BOS_H299[[#This Row],[H]]+BOS_H299[[#This Row],[BB]])/(BOS_H299[[#This Row],[AB]]+BOS_H299[[#This Row],[BB]]),0)</f>
        <v>0.3</v>
      </c>
      <c r="AE47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0.44444444444444442</v>
      </c>
      <c r="AF47" s="28">
        <v>6</v>
      </c>
      <c r="AG47" s="28">
        <v>9</v>
      </c>
      <c r="AH47" s="28">
        <v>3</v>
      </c>
      <c r="AI47" s="28">
        <v>2</v>
      </c>
      <c r="AJ47" s="28">
        <v>0</v>
      </c>
      <c r="AK47" s="28">
        <v>1</v>
      </c>
      <c r="AL47" s="28">
        <v>0</v>
      </c>
      <c r="AM47" s="28">
        <v>0</v>
      </c>
      <c r="AN47" s="28">
        <v>1</v>
      </c>
      <c r="AO47" s="74">
        <v>2</v>
      </c>
      <c r="AP47" s="28">
        <v>0</v>
      </c>
      <c r="AQ47" s="28">
        <v>1</v>
      </c>
      <c r="AR47" s="74">
        <v>1</v>
      </c>
      <c r="AS47" s="28">
        <f>IFERROR((BOS_H299[[#This Row],[H]]-BOS_H299[[#This Row],[2B]]-BOS_H299[[#This Row],[3B]]-BOS_H299[[#This Row],[HR]])+(BOS_H299[[#This Row],[2B]]*2)+(BOS_H299[[#This Row],[3B]]*3)+(BOS_H299[[#This Row],[HR]]*4),0)</f>
        <v>4</v>
      </c>
      <c r="AT47" s="72">
        <f>BOS_H299[[#This Row],[OBP]]+BOS_H299[[#This Row],[SLG]]</f>
        <v>0.74444444444444446</v>
      </c>
      <c r="AU47" s="74">
        <v>0</v>
      </c>
      <c r="AV47" s="615">
        <v>13</v>
      </c>
      <c r="AY47" s="651" t="s">
        <v>226</v>
      </c>
      <c r="AZ47" s="71" t="s">
        <v>184</v>
      </c>
      <c r="BA47" s="71" t="s">
        <v>227</v>
      </c>
      <c r="BB47" s="72">
        <f>IFERROR(BOS_H212[[#This Row],[H]]/BOS_H212[[#This Row],[AB]],0)</f>
        <v>0.2</v>
      </c>
      <c r="BC47" s="72">
        <f>IFERROR((BOS_H212[[#This Row],[BB]]+BOS_H212[[#This Row],[H]])/(BOS_H212[[#This Row],[AB]]+BOS_H212[[#This Row],[BB]]),0)</f>
        <v>0.30434782608695654</v>
      </c>
      <c r="BD47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0.3</v>
      </c>
      <c r="BE47" s="28">
        <v>15</v>
      </c>
      <c r="BF47" s="28">
        <v>20</v>
      </c>
      <c r="BG47" s="28">
        <v>4</v>
      </c>
      <c r="BH47" s="28">
        <v>4</v>
      </c>
      <c r="BI47" s="28">
        <v>2</v>
      </c>
      <c r="BJ47" s="28">
        <v>0</v>
      </c>
      <c r="BK47" s="28">
        <v>0</v>
      </c>
      <c r="BL47" s="28">
        <v>2</v>
      </c>
      <c r="BM47" s="28">
        <v>3</v>
      </c>
      <c r="BN47" s="74">
        <v>5</v>
      </c>
      <c r="BO47" s="28">
        <v>0</v>
      </c>
      <c r="BP47" s="28">
        <v>2</v>
      </c>
      <c r="BQ47" s="74">
        <v>2</v>
      </c>
      <c r="BR47" s="28">
        <f t="shared" si="3"/>
        <v>6</v>
      </c>
      <c r="BS47" s="72">
        <f>IFERROR(BOS_H212[[#This Row],[OBP]]+BOS_H212[[#This Row],[SLG]],0)</f>
        <v>0.60434782608695659</v>
      </c>
      <c r="BT47" s="74">
        <v>0</v>
      </c>
      <c r="BU47" s="615">
        <v>13</v>
      </c>
    </row>
    <row r="48" spans="1:73" ht="17" thickBot="1">
      <c r="A48" s="651" t="s">
        <v>226</v>
      </c>
      <c r="B48" s="71" t="s">
        <v>186</v>
      </c>
      <c r="C48" s="71" t="s">
        <v>242</v>
      </c>
      <c r="D48" s="72">
        <f>IFERROR(BOS_H[[#This Row],[H]]/BOS_H[[#This Row],[AB]],0)</f>
        <v>0</v>
      </c>
      <c r="E48" s="72">
        <f>IFERROR((BOS_H[[#This Row],[H]]+BOS_H[[#This Row],[BB]])/(BOS_H[[#This Row],[AB]]+BOS_H[[#This Row],[BB]]),0)</f>
        <v>0.5</v>
      </c>
      <c r="F48" s="73">
        <f>IFERROR(((BOS_H[[#This Row],[H]]-BOS_H[[#This Row],[2B]]-BOS_H[[#This Row],[3B]]-BOS_H[[#This Row],[HR]])+(BOS_H[[#This Row],[2B]]*2)+(BOS_H[[#This Row],[3B]]*3)+(BOS_H[[#This Row],[HR]]*4))/BOS_H[[#This Row],[AB]],0)</f>
        <v>0</v>
      </c>
      <c r="G48" s="28">
        <v>6</v>
      </c>
      <c r="H48" s="28">
        <v>1</v>
      </c>
      <c r="I48" s="28">
        <v>3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1</v>
      </c>
      <c r="P48" s="74">
        <v>0</v>
      </c>
      <c r="Q48" s="28">
        <v>0</v>
      </c>
      <c r="R48" s="28">
        <v>0</v>
      </c>
      <c r="S48" s="74">
        <v>0</v>
      </c>
      <c r="T48" s="28">
        <f>IFERROR((BOS_H[[#This Row],[H]]-BOS_H[[#This Row],[2B]]-BOS_H[[#This Row],[3B]]-BOS_H[[#This Row],[HR]])+(BOS_H[[#This Row],[2B]]*2)+(BOS_H[[#This Row],[3B]]*3)+(BOS_H[[#This Row],[HR]]*4),0)</f>
        <v>0</v>
      </c>
      <c r="U48" s="72">
        <f>BOS_H[[#This Row],[OBP]]+BOS_H[[#This Row],[SLG]]</f>
        <v>0.5</v>
      </c>
      <c r="V48" s="74">
        <v>0</v>
      </c>
      <c r="W48" s="615">
        <v>14</v>
      </c>
      <c r="Z48" s="651" t="s">
        <v>226</v>
      </c>
      <c r="AA48" s="71" t="s">
        <v>186</v>
      </c>
      <c r="AB48" s="71" t="s">
        <v>242</v>
      </c>
      <c r="AC48" s="72">
        <f>IFERROR(BOS_H299[[#This Row],[H]]/BOS_H299[[#This Row],[AB]],0)</f>
        <v>0.2</v>
      </c>
      <c r="AD48" s="72">
        <f>IFERROR((BOS_H299[[#This Row],[H]]+BOS_H299[[#This Row],[BB]])/(BOS_H299[[#This Row],[AB]]+BOS_H299[[#This Row],[BB]]),0)</f>
        <v>0.42857142857142855</v>
      </c>
      <c r="AE48" s="73">
        <f>IFERROR(((BOS_H299[[#This Row],[H]]-BOS_H299[[#This Row],[2B]]-BOS_H299[[#This Row],[3B]]-BOS_H299[[#This Row],[HR]])+(BOS_H299[[#This Row],[2B]]*2)+(BOS_H299[[#This Row],[3B]]*3)+(BOS_H299[[#This Row],[HR]]*4))/BOS_H299[[#This Row],[AB]],0)</f>
        <v>0.8</v>
      </c>
      <c r="AF48" s="28">
        <v>4</v>
      </c>
      <c r="AG48" s="28">
        <v>5</v>
      </c>
      <c r="AH48" s="28">
        <v>1</v>
      </c>
      <c r="AI48" s="28">
        <v>1</v>
      </c>
      <c r="AJ48" s="28">
        <v>0</v>
      </c>
      <c r="AK48" s="28">
        <v>0</v>
      </c>
      <c r="AL48" s="28">
        <v>1</v>
      </c>
      <c r="AM48" s="28">
        <v>3</v>
      </c>
      <c r="AN48" s="28">
        <v>2</v>
      </c>
      <c r="AO48" s="74">
        <v>0</v>
      </c>
      <c r="AP48" s="28">
        <v>0</v>
      </c>
      <c r="AQ48" s="28">
        <v>1</v>
      </c>
      <c r="AR48" s="74">
        <v>1</v>
      </c>
      <c r="AS48" s="28">
        <f>IFERROR((BOS_H299[[#This Row],[H]]-BOS_H299[[#This Row],[2B]]-BOS_H299[[#This Row],[3B]]-BOS_H299[[#This Row],[HR]])+(BOS_H299[[#This Row],[2B]]*2)+(BOS_H299[[#This Row],[3B]]*3)+(BOS_H299[[#This Row],[HR]]*4),0)</f>
        <v>4</v>
      </c>
      <c r="AT48" s="72">
        <f>BOS_H299[[#This Row],[OBP]]+BOS_H299[[#This Row],[SLG]]</f>
        <v>1.2285714285714286</v>
      </c>
      <c r="AU48" s="74">
        <v>0</v>
      </c>
      <c r="AV48" s="615">
        <v>14</v>
      </c>
      <c r="AY48" s="651" t="s">
        <v>226</v>
      </c>
      <c r="AZ48" s="71" t="s">
        <v>186</v>
      </c>
      <c r="BA48" s="71" t="s">
        <v>247</v>
      </c>
      <c r="BB48" s="72">
        <f>IFERROR(BOS_H212[[#This Row],[H]]/BOS_H212[[#This Row],[AB]],0)</f>
        <v>0.2857142857142857</v>
      </c>
      <c r="BC48" s="72">
        <f>IFERROR((BOS_H212[[#This Row],[BB]]+BOS_H212[[#This Row],[H]])/(BOS_H212[[#This Row],[AB]]+BOS_H212[[#This Row],[BB]]),0)</f>
        <v>0.33333333333333331</v>
      </c>
      <c r="BD48" s="73">
        <f>IFERROR(((BOS_H212[[#This Row],[H]]-BOS_H212[[#This Row],[2B]]-BOS_H212[[#This Row],[3B]]-BOS_H212[[#This Row],[HR]])+(BOS_H212[[#This Row],[2B]]*2)+(BOS_H212[[#This Row],[3B]]*3)+(BOS_H212[[#This Row],[HR]]*4))/BOS_H212[[#This Row],[AB]],0)</f>
        <v>0.5</v>
      </c>
      <c r="BE48" s="28">
        <v>9</v>
      </c>
      <c r="BF48" s="28">
        <v>14</v>
      </c>
      <c r="BG48" s="28">
        <v>2</v>
      </c>
      <c r="BH48" s="28">
        <v>4</v>
      </c>
      <c r="BI48" s="28">
        <v>1</v>
      </c>
      <c r="BJ48" s="28">
        <v>1</v>
      </c>
      <c r="BK48" s="28">
        <v>0</v>
      </c>
      <c r="BL48" s="28">
        <v>0</v>
      </c>
      <c r="BM48" s="28">
        <v>1</v>
      </c>
      <c r="BN48" s="74">
        <v>7</v>
      </c>
      <c r="BO48" s="28">
        <v>0</v>
      </c>
      <c r="BP48" s="28">
        <v>3</v>
      </c>
      <c r="BQ48" s="74">
        <v>3</v>
      </c>
      <c r="BR48" s="28">
        <f t="shared" si="3"/>
        <v>7</v>
      </c>
      <c r="BS48" s="72">
        <f>IFERROR(BOS_H212[[#This Row],[OBP]]+BOS_H212[[#This Row],[SLG]],0)</f>
        <v>0.83333333333333326</v>
      </c>
      <c r="BT48" s="74">
        <v>0</v>
      </c>
      <c r="BU48" s="615">
        <v>14</v>
      </c>
    </row>
    <row r="49" spans="1:73" ht="17" thickBot="1">
      <c r="A49" s="652"/>
      <c r="B49" s="653"/>
      <c r="C49" s="654" t="s">
        <v>195</v>
      </c>
      <c r="D49" s="655">
        <f>J49/H49</f>
        <v>0.29839883551673946</v>
      </c>
      <c r="E49" s="656">
        <f>(J49+O49)/(O49+H49)</f>
        <v>0.36201191264063531</v>
      </c>
      <c r="F49" s="657">
        <f>((J49-K49-L49-M49)+(K49*2)+(L49*3)+(M49*4))/H49</f>
        <v>0.48835516739446871</v>
      </c>
      <c r="G49" s="658"/>
      <c r="H49" s="658">
        <f>SUBTOTAL(109,BOS_H[AB])</f>
        <v>1374</v>
      </c>
      <c r="I49" s="658">
        <f>SUBTOTAL(109,BOS_H[R])</f>
        <v>206</v>
      </c>
      <c r="J49" s="659">
        <f>SUBTOTAL(109,BOS_H[H])</f>
        <v>410</v>
      </c>
      <c r="K49" s="659">
        <f>SUBTOTAL(109,BOS_H[2B])</f>
        <v>92</v>
      </c>
      <c r="L49" s="658">
        <f>SUBTOTAL(109,BOS_H[3B])</f>
        <v>8</v>
      </c>
      <c r="M49" s="658">
        <f>SUBTOTAL(109,BOS_H[HR])</f>
        <v>51</v>
      </c>
      <c r="N49" s="658">
        <f>SUBTOTAL(109,BOS_H[RBI])</f>
        <v>204</v>
      </c>
      <c r="O49" s="658">
        <f>SUBTOTAL(109,BOS_H[BB])</f>
        <v>137</v>
      </c>
      <c r="P49" s="660">
        <f>SUBTOTAL(109,BOS_H[K])</f>
        <v>342</v>
      </c>
      <c r="Q49" s="658">
        <f>SUBTOTAL(109,BOS_H[SB])</f>
        <v>5</v>
      </c>
      <c r="R49" s="658"/>
      <c r="S49" s="660"/>
      <c r="T49" s="661">
        <f>SUBTOTAL(109,BOS_H[TB])</f>
        <v>671</v>
      </c>
      <c r="U49" s="656">
        <f>E49+F49</f>
        <v>0.85036708003510397</v>
      </c>
      <c r="V49" s="660">
        <f>SUBTOTAL(109,BOS_H[*])</f>
        <v>23</v>
      </c>
      <c r="W49" s="662"/>
      <c r="Z49" s="652"/>
      <c r="AA49" s="653"/>
      <c r="AB49" s="654" t="s">
        <v>195</v>
      </c>
      <c r="AC49" s="716">
        <f>AI49/AG49</f>
        <v>0.28414550446122167</v>
      </c>
      <c r="AD49" s="716">
        <f>(AI49+AN49)/(AN49+AG49)</f>
        <v>0.35933660933660933</v>
      </c>
      <c r="AE49" s="657">
        <f>((AI49-AJ49-AK49-AL49)+(AJ49*2)+(AK49*3)+(AL49*4))/AG49</f>
        <v>0.47014413177762526</v>
      </c>
      <c r="AF49" s="658"/>
      <c r="AG49" s="658">
        <f>SUBTOTAL(109,BOS_H299[AB])</f>
        <v>1457</v>
      </c>
      <c r="AH49" s="658">
        <f>SUBTOTAL(109,BOS_H299[R])</f>
        <v>204</v>
      </c>
      <c r="AI49" s="659">
        <f>SUBTOTAL(109,BOS_H299[H])</f>
        <v>414</v>
      </c>
      <c r="AJ49" s="658">
        <f>SUBTOTAL(109,BOS_H299[2B])</f>
        <v>91</v>
      </c>
      <c r="AK49" s="658">
        <f>SUBTOTAL(109,BOS_H299[3B])</f>
        <v>3</v>
      </c>
      <c r="AL49" s="658">
        <f>SUBTOTAL(109,BOS_H299[HR])</f>
        <v>58</v>
      </c>
      <c r="AM49" s="658">
        <f>SUBTOTAL(109,BOS_H299[RBI])</f>
        <v>203</v>
      </c>
      <c r="AN49" s="717">
        <f>SUBTOTAL(109,BOS_H299[BB])</f>
        <v>171</v>
      </c>
      <c r="AO49" s="660">
        <f>SUBTOTAL(109,BOS_H299[K])</f>
        <v>307</v>
      </c>
      <c r="AP49" s="658">
        <f>SUBTOTAL(109,BOS_H299[SB])</f>
        <v>0</v>
      </c>
      <c r="AQ49" s="658"/>
      <c r="AR49" s="660"/>
      <c r="AS49" s="718">
        <f>SUBTOTAL(109,BOS_H299[TB])</f>
        <v>685</v>
      </c>
      <c r="AT49" s="716">
        <f>AD49+AE49</f>
        <v>0.82948074111423464</v>
      </c>
      <c r="AU49" s="660">
        <f>SUBTOTAL(109,BOS_H299[*])</f>
        <v>24</v>
      </c>
      <c r="AV49" s="662"/>
      <c r="AY49" s="652"/>
      <c r="AZ49" s="653"/>
      <c r="BA49" s="654" t="s">
        <v>195</v>
      </c>
      <c r="BB49" s="716">
        <f>IFERROR(BH49/BF49,0)</f>
        <v>0.29629629629629628</v>
      </c>
      <c r="BC49" s="716">
        <f>IFERROR((BM49+BH49)/(BF49+BM49),0)</f>
        <v>0.36225459151361622</v>
      </c>
      <c r="BD49" s="657">
        <f>IFERROR(((BH49-BI49-BJ49-BK49)+(BI49*2)+(BJ49*3)+(BK49*4))/BF49,0)</f>
        <v>0.49056603773584906</v>
      </c>
      <c r="BE49" s="658"/>
      <c r="BF49" s="658">
        <f t="shared" ref="BF49:BO49" si="4">SUM(BF35:BF48)</f>
        <v>1431</v>
      </c>
      <c r="BG49" s="717">
        <f>SUBTOTAL(109,BOS_H212[R])</f>
        <v>231</v>
      </c>
      <c r="BH49" s="717">
        <f t="shared" si="4"/>
        <v>424</v>
      </c>
      <c r="BI49" s="717">
        <f t="shared" si="4"/>
        <v>114</v>
      </c>
      <c r="BJ49" s="658">
        <f t="shared" si="4"/>
        <v>4</v>
      </c>
      <c r="BK49" s="658">
        <f t="shared" si="4"/>
        <v>52</v>
      </c>
      <c r="BL49" s="658">
        <f t="shared" si="4"/>
        <v>230</v>
      </c>
      <c r="BM49" s="658">
        <f t="shared" si="4"/>
        <v>148</v>
      </c>
      <c r="BN49" s="660">
        <f t="shared" si="4"/>
        <v>333</v>
      </c>
      <c r="BO49" s="658">
        <f t="shared" si="4"/>
        <v>1</v>
      </c>
      <c r="BP49" s="658"/>
      <c r="BQ49" s="660"/>
      <c r="BR49" s="661">
        <f>SUM(BR35:BR48)</f>
        <v>702</v>
      </c>
      <c r="BS49" s="656">
        <f>IFERROR(BC49+BD49,0)</f>
        <v>0.85282062924946533</v>
      </c>
      <c r="BT49" s="660">
        <f>SUBTOTAL(109,BOS_H212[*])</f>
        <v>27</v>
      </c>
      <c r="BU49" s="662"/>
    </row>
    <row r="50" spans="1:73" ht="17" thickBot="1"/>
    <row r="51" spans="1:73" s="64" customFormat="1" ht="14" thickBot="1">
      <c r="A51" s="605" t="s">
        <v>143</v>
      </c>
      <c r="B51" s="606" t="s">
        <v>144</v>
      </c>
      <c r="C51" s="606" t="s">
        <v>145</v>
      </c>
      <c r="D51" s="606" t="s">
        <v>196</v>
      </c>
      <c r="E51" s="606" t="s">
        <v>197</v>
      </c>
      <c r="F51" s="606" t="s">
        <v>198</v>
      </c>
      <c r="G51" s="606" t="s">
        <v>149</v>
      </c>
      <c r="H51" s="606" t="s">
        <v>199</v>
      </c>
      <c r="I51" s="606" t="s">
        <v>152</v>
      </c>
      <c r="J51" s="606" t="s">
        <v>151</v>
      </c>
      <c r="K51" s="606" t="s">
        <v>157</v>
      </c>
      <c r="L51" s="606" t="s">
        <v>158</v>
      </c>
      <c r="M51" s="606" t="s">
        <v>200</v>
      </c>
      <c r="N51" s="606" t="s">
        <v>201</v>
      </c>
      <c r="O51" s="606" t="s">
        <v>202</v>
      </c>
      <c r="P51" s="606" t="s">
        <v>203</v>
      </c>
      <c r="Q51" s="606" t="s">
        <v>204</v>
      </c>
      <c r="R51" s="606" t="s">
        <v>205</v>
      </c>
      <c r="S51" s="607" t="s">
        <v>164</v>
      </c>
      <c r="Z51" s="605" t="s">
        <v>143</v>
      </c>
      <c r="AA51" s="606" t="s">
        <v>144</v>
      </c>
      <c r="AB51" s="606" t="s">
        <v>145</v>
      </c>
      <c r="AC51" s="606" t="s">
        <v>196</v>
      </c>
      <c r="AD51" s="606" t="s">
        <v>197</v>
      </c>
      <c r="AE51" s="606" t="s">
        <v>198</v>
      </c>
      <c r="AF51" s="606" t="s">
        <v>149</v>
      </c>
      <c r="AG51" s="606" t="s">
        <v>199</v>
      </c>
      <c r="AH51" s="606" t="s">
        <v>152</v>
      </c>
      <c r="AI51" s="606" t="s">
        <v>151</v>
      </c>
      <c r="AJ51" s="606" t="s">
        <v>157</v>
      </c>
      <c r="AK51" s="606" t="s">
        <v>158</v>
      </c>
      <c r="AL51" s="606" t="s">
        <v>200</v>
      </c>
      <c r="AM51" s="606" t="s">
        <v>201</v>
      </c>
      <c r="AN51" s="606" t="s">
        <v>202</v>
      </c>
      <c r="AO51" s="606" t="s">
        <v>203</v>
      </c>
      <c r="AP51" s="606" t="s">
        <v>204</v>
      </c>
      <c r="AQ51" s="606" t="s">
        <v>205</v>
      </c>
      <c r="AR51" s="607" t="s">
        <v>164</v>
      </c>
      <c r="AY51" s="605" t="s">
        <v>143</v>
      </c>
      <c r="AZ51" s="606" t="s">
        <v>144</v>
      </c>
      <c r="BA51" s="606" t="s">
        <v>145</v>
      </c>
      <c r="BB51" s="606" t="s">
        <v>196</v>
      </c>
      <c r="BC51" s="606" t="s">
        <v>197</v>
      </c>
      <c r="BD51" s="606" t="s">
        <v>198</v>
      </c>
      <c r="BE51" s="606" t="s">
        <v>149</v>
      </c>
      <c r="BF51" s="606" t="s">
        <v>199</v>
      </c>
      <c r="BG51" s="606" t="s">
        <v>152</v>
      </c>
      <c r="BH51" s="606" t="s">
        <v>151</v>
      </c>
      <c r="BI51" s="606" t="s">
        <v>157</v>
      </c>
      <c r="BJ51" s="606" t="s">
        <v>158</v>
      </c>
      <c r="BK51" s="606" t="s">
        <v>200</v>
      </c>
      <c r="BL51" s="606" t="s">
        <v>201</v>
      </c>
      <c r="BM51" s="606" t="s">
        <v>202</v>
      </c>
      <c r="BN51" s="606" t="s">
        <v>203</v>
      </c>
      <c r="BO51" s="606" t="s">
        <v>204</v>
      </c>
      <c r="BP51" s="606" t="s">
        <v>205</v>
      </c>
      <c r="BQ51" s="607" t="s">
        <v>164</v>
      </c>
    </row>
    <row r="52" spans="1:73">
      <c r="A52" s="650" t="s">
        <v>226</v>
      </c>
      <c r="B52" s="597" t="s">
        <v>206</v>
      </c>
      <c r="C52" s="597" t="s">
        <v>249</v>
      </c>
      <c r="D52" s="663">
        <f>IFERROR(((BOS_P[[#This Row],[R]]*9)/BOS_P[[#This Row],[IP]]),0)</f>
        <v>2.7929658637505539</v>
      </c>
      <c r="E52" s="600">
        <v>4</v>
      </c>
      <c r="F52" s="604">
        <v>5</v>
      </c>
      <c r="G52" s="600">
        <v>10</v>
      </c>
      <c r="H52" s="630">
        <v>67.67</v>
      </c>
      <c r="I52" s="600">
        <v>57</v>
      </c>
      <c r="J52" s="600">
        <v>21</v>
      </c>
      <c r="K52" s="600">
        <v>20</v>
      </c>
      <c r="L52" s="600">
        <v>93</v>
      </c>
      <c r="M52" s="600">
        <v>0</v>
      </c>
      <c r="N52" s="631">
        <f>IFERROR((BOS_P[[#This Row],[BB]]+BOS_P[[#This Row],[H]])/BOS_P[[#This Row],[IP]],0)</f>
        <v>1.1378749815280036</v>
      </c>
      <c r="O52" s="600">
        <v>8</v>
      </c>
      <c r="P52" s="601">
        <v>5</v>
      </c>
      <c r="Q52" s="600">
        <v>1</v>
      </c>
      <c r="R52" s="604">
        <v>1</v>
      </c>
      <c r="S52" s="614">
        <v>1</v>
      </c>
      <c r="Z52" s="650" t="s">
        <v>226</v>
      </c>
      <c r="AA52" s="597" t="s">
        <v>206</v>
      </c>
      <c r="AB52" s="597" t="s">
        <v>249</v>
      </c>
      <c r="AC52" s="663">
        <f>IFERROR(((BOS_P297[[#This Row],[R]]*9)/BOS_P297[[#This Row],[IP]]),0)</f>
        <v>4.4503049283006426</v>
      </c>
      <c r="AD52" s="600">
        <v>2</v>
      </c>
      <c r="AE52" s="604">
        <v>5</v>
      </c>
      <c r="AF52" s="600">
        <v>10</v>
      </c>
      <c r="AG52" s="630">
        <v>60.67</v>
      </c>
      <c r="AH52" s="600">
        <v>58</v>
      </c>
      <c r="AI52" s="600">
        <v>30</v>
      </c>
      <c r="AJ52" s="600">
        <v>25</v>
      </c>
      <c r="AK52" s="600">
        <v>73</v>
      </c>
      <c r="AL52" s="600">
        <v>0</v>
      </c>
      <c r="AM52" s="631">
        <f>IFERROR((BOS_P297[[#This Row],[BB]]+BOS_P297[[#This Row],[H]])/BOS_P297[[#This Row],[IP]],0)</f>
        <v>1.3680567001813086</v>
      </c>
      <c r="AN52" s="600">
        <v>6</v>
      </c>
      <c r="AO52" s="601">
        <v>1</v>
      </c>
      <c r="AP52" s="600">
        <v>0</v>
      </c>
      <c r="AQ52" s="604">
        <v>0</v>
      </c>
      <c r="AR52" s="614">
        <v>1</v>
      </c>
      <c r="AY52" s="650" t="s">
        <v>226</v>
      </c>
      <c r="AZ52" s="597" t="s">
        <v>206</v>
      </c>
      <c r="BA52" s="597" t="s">
        <v>249</v>
      </c>
      <c r="BB52" s="663">
        <f>IFERROR((BOS_P210[[#This Row],[R]]*9)/BOS_P210[[#This Row],[IP]],0)</f>
        <v>2.7</v>
      </c>
      <c r="BC52" s="708">
        <v>8</v>
      </c>
      <c r="BD52" s="604">
        <v>2</v>
      </c>
      <c r="BE52" s="600">
        <v>10</v>
      </c>
      <c r="BF52" s="630">
        <v>70</v>
      </c>
      <c r="BG52" s="600">
        <v>50</v>
      </c>
      <c r="BH52" s="600">
        <v>21</v>
      </c>
      <c r="BI52" s="600">
        <v>27</v>
      </c>
      <c r="BJ52" s="600">
        <v>93</v>
      </c>
      <c r="BK52" s="600">
        <v>0</v>
      </c>
      <c r="BL52" s="631">
        <f>IFERROR((BOS_P210[[#This Row],[BB]]+BOS_P210[[#This Row],[H]])/BOS_P210[[#This Row],[IP]],0)</f>
        <v>1.1000000000000001</v>
      </c>
      <c r="BM52" s="600">
        <v>8</v>
      </c>
      <c r="BN52" s="601">
        <v>5</v>
      </c>
      <c r="BO52" s="600">
        <v>1</v>
      </c>
      <c r="BP52" s="604">
        <v>1</v>
      </c>
      <c r="BQ52" s="614">
        <v>1</v>
      </c>
    </row>
    <row r="53" spans="1:73">
      <c r="A53" s="651" t="s">
        <v>226</v>
      </c>
      <c r="B53" s="71" t="s">
        <v>206</v>
      </c>
      <c r="C53" s="87" t="s">
        <v>250</v>
      </c>
      <c r="D53" s="88">
        <f>IFERROR(((BOS_P[[#This Row],[R]]*9)/BOS_P[[#This Row],[IP]]),0)</f>
        <v>3.5338463954766763</v>
      </c>
      <c r="E53" s="28">
        <v>4</v>
      </c>
      <c r="F53" s="74">
        <v>4</v>
      </c>
      <c r="G53" s="28">
        <v>10</v>
      </c>
      <c r="H53" s="584">
        <v>63.67</v>
      </c>
      <c r="I53" s="28">
        <v>55</v>
      </c>
      <c r="J53" s="28">
        <v>25</v>
      </c>
      <c r="K53" s="28">
        <v>23</v>
      </c>
      <c r="L53" s="28">
        <v>57</v>
      </c>
      <c r="M53" s="28">
        <v>0</v>
      </c>
      <c r="N53" s="89">
        <f>IFERROR((BOS_P[[#This Row],[BB]]+BOS_P[[#This Row],[H]])/BOS_P[[#This Row],[IP]],0)</f>
        <v>1.2250667504319146</v>
      </c>
      <c r="O53" s="76">
        <v>9</v>
      </c>
      <c r="P53" s="90">
        <v>2</v>
      </c>
      <c r="Q53" s="28">
        <v>0</v>
      </c>
      <c r="R53" s="74">
        <v>0</v>
      </c>
      <c r="S53" s="615">
        <v>2</v>
      </c>
      <c r="Z53" s="651" t="s">
        <v>226</v>
      </c>
      <c r="AA53" s="71" t="s">
        <v>206</v>
      </c>
      <c r="AB53" s="87" t="s">
        <v>250</v>
      </c>
      <c r="AC53" s="88">
        <f>IFERROR(((BOS_P297[[#This Row],[R]]*9)/BOS_P297[[#This Row],[IP]]),0)</f>
        <v>6.3818181818181818</v>
      </c>
      <c r="AD53" s="28">
        <v>5</v>
      </c>
      <c r="AE53" s="74">
        <v>1</v>
      </c>
      <c r="AF53" s="28">
        <v>10</v>
      </c>
      <c r="AG53" s="584">
        <v>55</v>
      </c>
      <c r="AH53" s="28">
        <v>74</v>
      </c>
      <c r="AI53" s="28">
        <v>39</v>
      </c>
      <c r="AJ53" s="28">
        <v>22</v>
      </c>
      <c r="AK53" s="28">
        <v>48</v>
      </c>
      <c r="AL53" s="28">
        <v>0</v>
      </c>
      <c r="AM53" s="89">
        <f>IFERROR((BOS_P297[[#This Row],[BB]]+BOS_P297[[#This Row],[H]])/BOS_P297[[#This Row],[IP]],0)</f>
        <v>1.7454545454545454</v>
      </c>
      <c r="AN53" s="28">
        <v>3</v>
      </c>
      <c r="AO53" s="90">
        <v>1</v>
      </c>
      <c r="AP53" s="28">
        <v>0</v>
      </c>
      <c r="AQ53" s="74">
        <v>0</v>
      </c>
      <c r="AR53" s="615">
        <v>2</v>
      </c>
      <c r="AY53" s="651" t="s">
        <v>226</v>
      </c>
      <c r="AZ53" s="71" t="s">
        <v>206</v>
      </c>
      <c r="BA53" s="71" t="s">
        <v>251</v>
      </c>
      <c r="BB53" s="88">
        <f>IFERROR((BOS_P210[[#This Row],[R]]*9)/BOS_P210[[#This Row],[IP]],0)</f>
        <v>4.7554116243395264</v>
      </c>
      <c r="BC53" s="28">
        <v>7</v>
      </c>
      <c r="BD53" s="74">
        <v>1</v>
      </c>
      <c r="BE53" s="28">
        <v>10</v>
      </c>
      <c r="BF53" s="584">
        <v>58.67</v>
      </c>
      <c r="BG53" s="28">
        <v>65</v>
      </c>
      <c r="BH53" s="28">
        <v>31</v>
      </c>
      <c r="BI53" s="28">
        <v>16</v>
      </c>
      <c r="BJ53" s="28">
        <v>46</v>
      </c>
      <c r="BK53" s="28">
        <v>0</v>
      </c>
      <c r="BL53" s="89">
        <f>IFERROR((BOS_P210[[#This Row],[BB]]+BOS_P210[[#This Row],[H]])/BOS_P210[[#This Row],[IP]],0)</f>
        <v>1.3806033748082496</v>
      </c>
      <c r="BM53" s="28">
        <v>5</v>
      </c>
      <c r="BN53" s="90">
        <v>1</v>
      </c>
      <c r="BO53" s="28">
        <v>0</v>
      </c>
      <c r="BP53" s="74">
        <v>0</v>
      </c>
      <c r="BQ53" s="615">
        <v>2</v>
      </c>
    </row>
    <row r="54" spans="1:73">
      <c r="A54" s="651" t="s">
        <v>226</v>
      </c>
      <c r="B54" s="71" t="s">
        <v>206</v>
      </c>
      <c r="C54" s="87" t="s">
        <v>252</v>
      </c>
      <c r="D54" s="88">
        <f>IFERROR(((BOS_P[[#This Row],[R]]*9)/BOS_P[[#This Row],[IP]]),0)</f>
        <v>5.2758620689655169</v>
      </c>
      <c r="E54" s="28">
        <v>3</v>
      </c>
      <c r="F54" s="74">
        <v>3</v>
      </c>
      <c r="G54" s="28">
        <v>10</v>
      </c>
      <c r="H54" s="584">
        <v>58</v>
      </c>
      <c r="I54" s="28">
        <v>59</v>
      </c>
      <c r="J54" s="28">
        <v>34</v>
      </c>
      <c r="K54" s="28">
        <v>24</v>
      </c>
      <c r="L54" s="28">
        <v>63</v>
      </c>
      <c r="M54" s="28">
        <v>0</v>
      </c>
      <c r="N54" s="89">
        <f>IFERROR((BOS_P[[#This Row],[BB]]+BOS_P[[#This Row],[H]])/BOS_P[[#This Row],[IP]],0)</f>
        <v>1.4310344827586208</v>
      </c>
      <c r="O54" s="28">
        <v>5</v>
      </c>
      <c r="P54" s="90">
        <v>2</v>
      </c>
      <c r="Q54" s="28">
        <v>0</v>
      </c>
      <c r="R54" s="74">
        <v>0</v>
      </c>
      <c r="S54" s="615">
        <v>3</v>
      </c>
      <c r="Z54" s="651" t="s">
        <v>226</v>
      </c>
      <c r="AA54" s="71" t="s">
        <v>206</v>
      </c>
      <c r="AB54" s="87" t="s">
        <v>252</v>
      </c>
      <c r="AC54" s="88">
        <f>IFERROR(((BOS_P297[[#This Row],[R]]*9)/BOS_P297[[#This Row],[IP]]),0)</f>
        <v>4.1010062654262391</v>
      </c>
      <c r="AD54" s="28">
        <v>3</v>
      </c>
      <c r="AE54" s="74">
        <v>2</v>
      </c>
      <c r="AF54" s="28">
        <v>10</v>
      </c>
      <c r="AG54" s="584">
        <v>52.67</v>
      </c>
      <c r="AH54" s="28">
        <v>54</v>
      </c>
      <c r="AI54" s="28">
        <v>24</v>
      </c>
      <c r="AJ54" s="28">
        <v>27</v>
      </c>
      <c r="AK54" s="28">
        <v>64</v>
      </c>
      <c r="AL54" s="28">
        <v>0</v>
      </c>
      <c r="AM54" s="89">
        <f>IFERROR((BOS_P297[[#This Row],[BB]]+BOS_P297[[#This Row],[H]])/BOS_P297[[#This Row],[IP]],0)</f>
        <v>1.5378773495348395</v>
      </c>
      <c r="AN54" s="28">
        <v>6</v>
      </c>
      <c r="AO54" s="90">
        <v>3</v>
      </c>
      <c r="AP54" s="28">
        <v>0</v>
      </c>
      <c r="AQ54" s="74">
        <v>0</v>
      </c>
      <c r="AR54" s="615">
        <v>3</v>
      </c>
      <c r="AY54" s="651" t="s">
        <v>226</v>
      </c>
      <c r="AZ54" s="71" t="s">
        <v>206</v>
      </c>
      <c r="BA54" s="71" t="s">
        <v>250</v>
      </c>
      <c r="BB54" s="88">
        <f>IFERROR((BOS_P210[[#This Row],[R]]*9)/BOS_P210[[#This Row],[IP]],0)</f>
        <v>5.9635560463832142</v>
      </c>
      <c r="BC54" s="28">
        <v>3</v>
      </c>
      <c r="BD54" s="74">
        <v>2</v>
      </c>
      <c r="BE54" s="28">
        <v>10</v>
      </c>
      <c r="BF54" s="584">
        <v>54.33</v>
      </c>
      <c r="BG54" s="28">
        <v>66</v>
      </c>
      <c r="BH54" s="28">
        <v>36</v>
      </c>
      <c r="BI54" s="28">
        <v>21</v>
      </c>
      <c r="BJ54" s="28">
        <v>52</v>
      </c>
      <c r="BK54" s="28">
        <v>0</v>
      </c>
      <c r="BL54" s="89">
        <f>IFERROR((BOS_P210[[#This Row],[BB]]+BOS_P210[[#This Row],[H]])/BOS_P210[[#This Row],[IP]],0)</f>
        <v>1.6013252346769742</v>
      </c>
      <c r="BM54" s="28">
        <v>4</v>
      </c>
      <c r="BN54" s="90">
        <v>1</v>
      </c>
      <c r="BO54" s="28">
        <v>0</v>
      </c>
      <c r="BP54" s="74">
        <v>0</v>
      </c>
      <c r="BQ54" s="615">
        <v>3</v>
      </c>
    </row>
    <row r="55" spans="1:73">
      <c r="A55" s="651" t="s">
        <v>226</v>
      </c>
      <c r="B55" s="71" t="s">
        <v>206</v>
      </c>
      <c r="C55" s="87" t="s">
        <v>253</v>
      </c>
      <c r="D55" s="88">
        <f>IFERROR(((BOS_P[[#This Row],[R]]*9)/BOS_P[[#This Row],[IP]]),0)</f>
        <v>4.8542052924321588</v>
      </c>
      <c r="E55" s="28">
        <v>6</v>
      </c>
      <c r="F55" s="74">
        <v>3</v>
      </c>
      <c r="G55" s="28">
        <v>10</v>
      </c>
      <c r="H55" s="584">
        <v>59.33</v>
      </c>
      <c r="I55" s="28">
        <v>64</v>
      </c>
      <c r="J55" s="28">
        <v>32</v>
      </c>
      <c r="K55" s="28">
        <v>24</v>
      </c>
      <c r="L55" s="28">
        <v>44</v>
      </c>
      <c r="M55" s="28">
        <v>0</v>
      </c>
      <c r="N55" s="89">
        <f>IFERROR((BOS_P[[#This Row],[BB]]+BOS_P[[#This Row],[H]])/BOS_P[[#This Row],[IP]],0)</f>
        <v>1.4832293949098265</v>
      </c>
      <c r="O55" s="28">
        <v>5</v>
      </c>
      <c r="P55" s="90">
        <v>1</v>
      </c>
      <c r="Q55" s="28">
        <v>0</v>
      </c>
      <c r="R55" s="74">
        <v>0</v>
      </c>
      <c r="S55" s="615">
        <v>4</v>
      </c>
      <c r="Z55" s="651" t="s">
        <v>226</v>
      </c>
      <c r="AA55" s="71" t="s">
        <v>206</v>
      </c>
      <c r="AB55" s="87" t="s">
        <v>253</v>
      </c>
      <c r="AC55" s="88">
        <f>IFERROR(((BOS_P297[[#This Row],[R]]*9)/BOS_P297[[#This Row],[IP]]),0)</f>
        <v>4.9655172413793105</v>
      </c>
      <c r="AD55" s="28">
        <v>1</v>
      </c>
      <c r="AE55" s="74">
        <v>5</v>
      </c>
      <c r="AF55" s="28">
        <v>10</v>
      </c>
      <c r="AG55" s="584">
        <v>58</v>
      </c>
      <c r="AH55" s="28">
        <v>65</v>
      </c>
      <c r="AI55" s="28">
        <v>32</v>
      </c>
      <c r="AJ55" s="28">
        <v>18</v>
      </c>
      <c r="AK55" s="28">
        <v>54</v>
      </c>
      <c r="AL55" s="28">
        <v>0</v>
      </c>
      <c r="AM55" s="89">
        <f>IFERROR((BOS_P297[[#This Row],[BB]]+BOS_P297[[#This Row],[H]])/BOS_P297[[#This Row],[IP]],0)</f>
        <v>1.4310344827586208</v>
      </c>
      <c r="AN55" s="28">
        <v>3</v>
      </c>
      <c r="AO55" s="90">
        <v>2</v>
      </c>
      <c r="AP55" s="28">
        <v>0</v>
      </c>
      <c r="AQ55" s="74">
        <v>0</v>
      </c>
      <c r="AR55" s="615">
        <v>4</v>
      </c>
      <c r="AY55" s="651" t="s">
        <v>226</v>
      </c>
      <c r="AZ55" s="71" t="s">
        <v>206</v>
      </c>
      <c r="BA55" s="71" t="s">
        <v>253</v>
      </c>
      <c r="BB55" s="88">
        <f>IFERROR((BOS_P210[[#This Row],[R]]*9)/BOS_P210[[#This Row],[IP]],0)</f>
        <v>6.3943161634103021</v>
      </c>
      <c r="BC55" s="28">
        <v>5</v>
      </c>
      <c r="BD55" s="74">
        <v>3</v>
      </c>
      <c r="BE55" s="28">
        <v>10</v>
      </c>
      <c r="BF55" s="584">
        <v>50.67</v>
      </c>
      <c r="BG55" s="28">
        <v>70</v>
      </c>
      <c r="BH55" s="28">
        <v>36</v>
      </c>
      <c r="BI55" s="28">
        <v>21</v>
      </c>
      <c r="BJ55" s="28">
        <v>43</v>
      </c>
      <c r="BK55" s="28">
        <v>0</v>
      </c>
      <c r="BL55" s="89">
        <f>IFERROR((BOS_P210[[#This Row],[BB]]+BOS_P210[[#This Row],[H]])/BOS_P210[[#This Row],[IP]],0)</f>
        <v>1.7959344779948687</v>
      </c>
      <c r="BM55" s="28">
        <v>5</v>
      </c>
      <c r="BN55" s="90">
        <v>1</v>
      </c>
      <c r="BO55" s="28">
        <v>0</v>
      </c>
      <c r="BP55" s="74">
        <v>0</v>
      </c>
      <c r="BQ55" s="615">
        <v>4</v>
      </c>
    </row>
    <row r="56" spans="1:73">
      <c r="A56" s="651" t="s">
        <v>226</v>
      </c>
      <c r="B56" s="71" t="s">
        <v>212</v>
      </c>
      <c r="C56" s="87" t="s">
        <v>254</v>
      </c>
      <c r="D56" s="88">
        <f>IFERROR(((BOS_P[[#This Row],[R]]*9)/BOS_P[[#This Row],[IP]]),0)</f>
        <v>5.7434588385449903</v>
      </c>
      <c r="E56" s="28">
        <v>0</v>
      </c>
      <c r="F56" s="74">
        <v>0</v>
      </c>
      <c r="G56" s="28">
        <v>9</v>
      </c>
      <c r="H56" s="584">
        <v>15.67</v>
      </c>
      <c r="I56" s="28">
        <v>15</v>
      </c>
      <c r="J56" s="28">
        <v>10</v>
      </c>
      <c r="K56" s="28">
        <v>10</v>
      </c>
      <c r="L56" s="28">
        <v>14</v>
      </c>
      <c r="M56" s="28">
        <v>1</v>
      </c>
      <c r="N56" s="89">
        <f>IFERROR((BOS_P[[#This Row],[BB]]+BOS_P[[#This Row],[H]])/BOS_P[[#This Row],[IP]],0)</f>
        <v>1.5954052329291639</v>
      </c>
      <c r="O56" s="28">
        <v>0</v>
      </c>
      <c r="P56" s="90">
        <v>0</v>
      </c>
      <c r="Q56" s="28">
        <v>0</v>
      </c>
      <c r="R56" s="74">
        <v>0</v>
      </c>
      <c r="S56" s="615">
        <v>5</v>
      </c>
      <c r="Z56" s="651" t="s">
        <v>226</v>
      </c>
      <c r="AA56" s="71" t="s">
        <v>212</v>
      </c>
      <c r="AB56" s="87" t="s">
        <v>254</v>
      </c>
      <c r="AC56" s="88">
        <f>IFERROR(((BOS_P297[[#This Row],[R]]*9)/BOS_P297[[#This Row],[IP]]),0)</f>
        <v>6.9839627521986554</v>
      </c>
      <c r="AD56" s="28">
        <v>1</v>
      </c>
      <c r="AE56" s="74">
        <v>1</v>
      </c>
      <c r="AF56" s="28">
        <v>7</v>
      </c>
      <c r="AG56" s="584">
        <v>19.329999999999998</v>
      </c>
      <c r="AH56" s="28">
        <v>29</v>
      </c>
      <c r="AI56" s="28">
        <v>15</v>
      </c>
      <c r="AJ56" s="28">
        <v>13</v>
      </c>
      <c r="AK56" s="28">
        <v>17</v>
      </c>
      <c r="AL56" s="28">
        <v>0</v>
      </c>
      <c r="AM56" s="89">
        <f>IFERROR((BOS_P297[[#This Row],[BB]]+BOS_P297[[#This Row],[H]])/BOS_P297[[#This Row],[IP]],0)</f>
        <v>2.1727884117951373</v>
      </c>
      <c r="AN56" s="28">
        <v>0</v>
      </c>
      <c r="AO56" s="90">
        <v>0</v>
      </c>
      <c r="AP56" s="28">
        <v>0</v>
      </c>
      <c r="AQ56" s="74">
        <v>0</v>
      </c>
      <c r="AR56" s="615">
        <v>5</v>
      </c>
      <c r="AY56" s="651" t="s">
        <v>226</v>
      </c>
      <c r="AZ56" s="71" t="s">
        <v>212</v>
      </c>
      <c r="BA56" s="71" t="s">
        <v>254</v>
      </c>
      <c r="BB56" s="88">
        <f>IFERROR((BOS_P210[[#This Row],[R]]*9)/BOS_P210[[#This Row],[IP]],0)</f>
        <v>2.945186801199891</v>
      </c>
      <c r="BC56" s="28">
        <v>0</v>
      </c>
      <c r="BD56" s="74">
        <v>0</v>
      </c>
      <c r="BE56" s="28">
        <v>13</v>
      </c>
      <c r="BF56" s="584">
        <v>36.67</v>
      </c>
      <c r="BG56" s="28">
        <v>33</v>
      </c>
      <c r="BH56" s="28">
        <v>12</v>
      </c>
      <c r="BI56" s="28">
        <v>5</v>
      </c>
      <c r="BJ56" s="28">
        <v>37</v>
      </c>
      <c r="BK56" s="28">
        <v>0</v>
      </c>
      <c r="BL56" s="89">
        <f>IFERROR((BOS_P210[[#This Row],[BB]]+BOS_P210[[#This Row],[H]])/BOS_P210[[#This Row],[IP]],0)</f>
        <v>1.0362694300518134</v>
      </c>
      <c r="BM56" s="28">
        <v>0</v>
      </c>
      <c r="BN56" s="90">
        <v>0</v>
      </c>
      <c r="BO56" s="28">
        <v>0</v>
      </c>
      <c r="BP56" s="74">
        <v>0</v>
      </c>
      <c r="BQ56" s="615">
        <v>5</v>
      </c>
    </row>
    <row r="57" spans="1:73">
      <c r="A57" s="651" t="s">
        <v>226</v>
      </c>
      <c r="B57" s="71" t="s">
        <v>215</v>
      </c>
      <c r="C57" s="87" t="s">
        <v>255</v>
      </c>
      <c r="D57" s="88">
        <f>IFERROR(((BOS_P[[#This Row],[R]]*9)/BOS_P[[#This Row],[IP]]),0)</f>
        <v>2.1608643457382954</v>
      </c>
      <c r="E57" s="28">
        <v>0</v>
      </c>
      <c r="F57" s="74">
        <v>0</v>
      </c>
      <c r="G57" s="28">
        <v>5</v>
      </c>
      <c r="H57" s="584">
        <v>8.33</v>
      </c>
      <c r="I57" s="28">
        <v>7</v>
      </c>
      <c r="J57" s="28">
        <v>2</v>
      </c>
      <c r="K57" s="28">
        <v>4</v>
      </c>
      <c r="L57" s="28">
        <v>8</v>
      </c>
      <c r="M57" s="28">
        <v>0</v>
      </c>
      <c r="N57" s="89">
        <f>IFERROR((BOS_P[[#This Row],[BB]]+BOS_P[[#This Row],[H]])/BOS_P[[#This Row],[IP]],0)</f>
        <v>1.3205282112845138</v>
      </c>
      <c r="O57" s="28">
        <v>0</v>
      </c>
      <c r="P57" s="90">
        <v>0</v>
      </c>
      <c r="Q57" s="28">
        <v>0</v>
      </c>
      <c r="R57" s="74">
        <v>0</v>
      </c>
      <c r="S57" s="615">
        <v>6</v>
      </c>
      <c r="Z57" s="651" t="s">
        <v>226</v>
      </c>
      <c r="AA57" s="71" t="s">
        <v>215</v>
      </c>
      <c r="AB57" s="87" t="s">
        <v>256</v>
      </c>
      <c r="AC57" s="88">
        <f>IFERROR(((BOS_P297[[#This Row],[R]]*9)/BOS_P297[[#This Row],[IP]]),0)</f>
        <v>5.7434588385449903</v>
      </c>
      <c r="AD57" s="28">
        <v>0</v>
      </c>
      <c r="AE57" s="74">
        <v>0</v>
      </c>
      <c r="AF57" s="28">
        <v>7</v>
      </c>
      <c r="AG57" s="584">
        <v>15.67</v>
      </c>
      <c r="AH57" s="28">
        <v>19</v>
      </c>
      <c r="AI57" s="28">
        <v>10</v>
      </c>
      <c r="AJ57" s="28">
        <v>4</v>
      </c>
      <c r="AK57" s="28">
        <v>11</v>
      </c>
      <c r="AL57" s="28">
        <v>0</v>
      </c>
      <c r="AM57" s="89">
        <f>IFERROR((BOS_P297[[#This Row],[BB]]+BOS_P297[[#This Row],[H]])/BOS_P297[[#This Row],[IP]],0)</f>
        <v>1.467772814294831</v>
      </c>
      <c r="AN57" s="28">
        <v>0</v>
      </c>
      <c r="AO57" s="90">
        <v>0</v>
      </c>
      <c r="AP57" s="28">
        <v>0</v>
      </c>
      <c r="AQ57" s="74">
        <v>0</v>
      </c>
      <c r="AR57" s="615">
        <v>6</v>
      </c>
      <c r="AY57" s="651" t="s">
        <v>226</v>
      </c>
      <c r="AZ57" s="71" t="s">
        <v>215</v>
      </c>
      <c r="BA57" s="71" t="s">
        <v>252</v>
      </c>
      <c r="BB57" s="88">
        <f>IFERROR((BOS_P210[[#This Row],[R]]*9)/BOS_P210[[#This Row],[IP]],0)</f>
        <v>3.5213563743071403</v>
      </c>
      <c r="BC57" s="28">
        <v>3</v>
      </c>
      <c r="BD57" s="74">
        <v>1</v>
      </c>
      <c r="BE57" s="28">
        <v>16</v>
      </c>
      <c r="BF57" s="584">
        <v>30.67</v>
      </c>
      <c r="BG57" s="28">
        <v>25</v>
      </c>
      <c r="BH57" s="28">
        <v>12</v>
      </c>
      <c r="BI57" s="28">
        <v>18</v>
      </c>
      <c r="BJ57" s="28">
        <v>39</v>
      </c>
      <c r="BK57" s="28">
        <v>0</v>
      </c>
      <c r="BL57" s="89">
        <f>IFERROR((BOS_P210[[#This Row],[BB]]+BOS_P210[[#This Row],[H]])/BOS_P210[[#This Row],[IP]],0)</f>
        <v>1.4020215194000651</v>
      </c>
      <c r="BM57" s="28">
        <v>0</v>
      </c>
      <c r="BN57" s="90">
        <v>0</v>
      </c>
      <c r="BO57" s="28">
        <v>0</v>
      </c>
      <c r="BP57" s="74">
        <v>0</v>
      </c>
      <c r="BQ57" s="615">
        <v>6</v>
      </c>
    </row>
    <row r="58" spans="1:73">
      <c r="A58" s="651" t="s">
        <v>226</v>
      </c>
      <c r="B58" s="71" t="s">
        <v>215</v>
      </c>
      <c r="C58" s="87" t="s">
        <v>258</v>
      </c>
      <c r="D58" s="88">
        <f>IFERROR(((BOS_P[[#This Row],[R]]*9)/BOS_P[[#This Row],[IP]]),0)</f>
        <v>3.0478955007256889</v>
      </c>
      <c r="E58" s="28">
        <v>0</v>
      </c>
      <c r="F58" s="74">
        <v>0</v>
      </c>
      <c r="G58" s="28">
        <v>18</v>
      </c>
      <c r="H58" s="584">
        <v>20.67</v>
      </c>
      <c r="I58" s="28">
        <v>19</v>
      </c>
      <c r="J58" s="28">
        <v>7</v>
      </c>
      <c r="K58" s="28">
        <v>8</v>
      </c>
      <c r="L58" s="28">
        <v>24</v>
      </c>
      <c r="M58" s="28">
        <v>0</v>
      </c>
      <c r="N58" s="89">
        <f>IFERROR((BOS_P[[#This Row],[BB]]+BOS_P[[#This Row],[H]])/BOS_P[[#This Row],[IP]],0)</f>
        <v>1.3062409288824381</v>
      </c>
      <c r="O58" s="28">
        <v>0</v>
      </c>
      <c r="P58" s="90">
        <v>0</v>
      </c>
      <c r="Q58" s="28">
        <v>0</v>
      </c>
      <c r="R58" s="74">
        <v>0</v>
      </c>
      <c r="S58" s="615">
        <v>7</v>
      </c>
      <c r="Z58" s="651" t="s">
        <v>226</v>
      </c>
      <c r="AA58" s="71" t="s">
        <v>212</v>
      </c>
      <c r="AB58" s="87" t="s">
        <v>260</v>
      </c>
      <c r="AC58" s="88">
        <f>IFERROR(((BOS_P297[[#This Row],[R]]*9)/BOS_P297[[#This Row],[IP]]),0)</f>
        <v>3.0988686669945897</v>
      </c>
      <c r="AD58" s="28">
        <v>5</v>
      </c>
      <c r="AE58" s="74">
        <v>0</v>
      </c>
      <c r="AF58" s="28">
        <v>19</v>
      </c>
      <c r="AG58" s="584">
        <v>20.329999999999998</v>
      </c>
      <c r="AH58" s="28">
        <v>12</v>
      </c>
      <c r="AI58" s="28">
        <v>7</v>
      </c>
      <c r="AJ58" s="28">
        <v>11</v>
      </c>
      <c r="AK58" s="28">
        <v>24</v>
      </c>
      <c r="AL58" s="28">
        <v>0</v>
      </c>
      <c r="AM58" s="89">
        <f>IFERROR((BOS_P297[[#This Row],[BB]]+BOS_P297[[#This Row],[H]])/BOS_P297[[#This Row],[IP]],0)</f>
        <v>1.1313330054107231</v>
      </c>
      <c r="AN58" s="28">
        <v>0</v>
      </c>
      <c r="AO58" s="90">
        <v>0</v>
      </c>
      <c r="AP58" s="28">
        <v>0</v>
      </c>
      <c r="AQ58" s="74">
        <v>0</v>
      </c>
      <c r="AR58" s="615">
        <v>7</v>
      </c>
      <c r="AY58" s="651" t="s">
        <v>226</v>
      </c>
      <c r="AZ58" s="71" t="s">
        <v>212</v>
      </c>
      <c r="BA58" s="71" t="s">
        <v>257</v>
      </c>
      <c r="BB58" s="88">
        <f>IFERROR((BOS_P210[[#This Row],[R]]*9)/BOS_P210[[#This Row],[IP]],0)</f>
        <v>9</v>
      </c>
      <c r="BC58" s="28">
        <v>0</v>
      </c>
      <c r="BD58" s="74">
        <v>0</v>
      </c>
      <c r="BE58" s="28">
        <v>6</v>
      </c>
      <c r="BF58" s="584">
        <v>6</v>
      </c>
      <c r="BG58" s="28">
        <v>8</v>
      </c>
      <c r="BH58" s="28">
        <v>6</v>
      </c>
      <c r="BI58" s="28">
        <v>5</v>
      </c>
      <c r="BJ58" s="28">
        <v>5</v>
      </c>
      <c r="BK58" s="28">
        <v>0</v>
      </c>
      <c r="BL58" s="89">
        <f>IFERROR((BOS_P210[[#This Row],[BB]]+BOS_P210[[#This Row],[H]])/BOS_P210[[#This Row],[IP]],0)</f>
        <v>2.1666666666666665</v>
      </c>
      <c r="BM58" s="28">
        <v>0</v>
      </c>
      <c r="BN58" s="90">
        <v>0</v>
      </c>
      <c r="BO58" s="28">
        <v>0</v>
      </c>
      <c r="BP58" s="74">
        <v>0</v>
      </c>
      <c r="BQ58" s="615">
        <v>7</v>
      </c>
    </row>
    <row r="59" spans="1:73">
      <c r="A59" s="651" t="s">
        <v>226</v>
      </c>
      <c r="B59" s="71" t="s">
        <v>212</v>
      </c>
      <c r="C59" s="87" t="s">
        <v>259</v>
      </c>
      <c r="D59" s="88">
        <f>IFERROR(((BOS_P[[#This Row],[R]]*9)/BOS_P[[#This Row],[IP]]),0)</f>
        <v>5.6827150749802682</v>
      </c>
      <c r="E59" s="28">
        <v>0</v>
      </c>
      <c r="F59" s="74">
        <v>0</v>
      </c>
      <c r="G59" s="28">
        <v>14</v>
      </c>
      <c r="H59" s="584">
        <v>12.67</v>
      </c>
      <c r="I59" s="28">
        <v>10</v>
      </c>
      <c r="J59" s="28">
        <v>8</v>
      </c>
      <c r="K59" s="28">
        <v>7</v>
      </c>
      <c r="L59" s="28">
        <v>15</v>
      </c>
      <c r="M59" s="28">
        <v>1</v>
      </c>
      <c r="N59" s="89">
        <f>IFERROR((BOS_P[[#This Row],[BB]]+BOS_P[[#This Row],[H]])/BOS_P[[#This Row],[IP]],0)</f>
        <v>1.3417521704814523</v>
      </c>
      <c r="O59" s="28">
        <v>0</v>
      </c>
      <c r="P59" s="90">
        <v>0</v>
      </c>
      <c r="Q59" s="28">
        <v>0</v>
      </c>
      <c r="R59" s="74">
        <v>0</v>
      </c>
      <c r="S59" s="615">
        <v>8</v>
      </c>
      <c r="Z59" s="651" t="s">
        <v>226</v>
      </c>
      <c r="AA59" s="71" t="s">
        <v>212</v>
      </c>
      <c r="AB59" s="87" t="s">
        <v>259</v>
      </c>
      <c r="AC59" s="88">
        <f>IFERROR(((BOS_P297[[#This Row],[R]]*9)/BOS_P297[[#This Row],[IP]]),0)</f>
        <v>5.3026245313336897</v>
      </c>
      <c r="AD59" s="28">
        <v>6</v>
      </c>
      <c r="AE59" s="74">
        <v>0</v>
      </c>
      <c r="AF59" s="28">
        <v>15</v>
      </c>
      <c r="AG59" s="584">
        <v>18.670000000000002</v>
      </c>
      <c r="AH59" s="28">
        <v>22</v>
      </c>
      <c r="AI59" s="28">
        <v>11</v>
      </c>
      <c r="AJ59" s="28">
        <v>5</v>
      </c>
      <c r="AK59" s="28">
        <v>19</v>
      </c>
      <c r="AL59" s="28">
        <v>1</v>
      </c>
      <c r="AM59" s="89">
        <f>IFERROR((BOS_P297[[#This Row],[BB]]+BOS_P297[[#This Row],[H]])/BOS_P297[[#This Row],[IP]],0)</f>
        <v>1.44617032672737</v>
      </c>
      <c r="AN59" s="28">
        <v>0</v>
      </c>
      <c r="AO59" s="90">
        <v>0</v>
      </c>
      <c r="AP59" s="28">
        <v>0</v>
      </c>
      <c r="AQ59" s="74">
        <v>0</v>
      </c>
      <c r="AR59" s="615">
        <v>8</v>
      </c>
      <c r="AY59" s="651" t="s">
        <v>226</v>
      </c>
      <c r="AZ59" s="71" t="s">
        <v>212</v>
      </c>
      <c r="BA59" s="71" t="s">
        <v>259</v>
      </c>
      <c r="BB59" s="88">
        <f>IFERROR((BOS_P210[[#This Row],[R]]*9)/BOS_P210[[#This Row],[IP]],0)</f>
        <v>6.3548102383053839</v>
      </c>
      <c r="BC59" s="28">
        <v>0</v>
      </c>
      <c r="BD59" s="74">
        <v>2</v>
      </c>
      <c r="BE59" s="28">
        <v>12</v>
      </c>
      <c r="BF59" s="584">
        <v>11.33</v>
      </c>
      <c r="BG59" s="28">
        <v>14</v>
      </c>
      <c r="BH59" s="28">
        <v>8</v>
      </c>
      <c r="BI59" s="28">
        <v>6</v>
      </c>
      <c r="BJ59" s="28">
        <v>10</v>
      </c>
      <c r="BK59" s="28">
        <v>0</v>
      </c>
      <c r="BL59" s="89">
        <f>IFERROR((BOS_P210[[#This Row],[BB]]+BOS_P210[[#This Row],[H]])/BOS_P210[[#This Row],[IP]],0)</f>
        <v>1.7652250661959399</v>
      </c>
      <c r="BM59" s="28">
        <v>0</v>
      </c>
      <c r="BN59" s="90">
        <v>0</v>
      </c>
      <c r="BO59" s="28">
        <v>0</v>
      </c>
      <c r="BP59" s="74">
        <v>0</v>
      </c>
      <c r="BQ59" s="615">
        <v>8</v>
      </c>
    </row>
    <row r="60" spans="1:73">
      <c r="A60" s="651" t="s">
        <v>226</v>
      </c>
      <c r="B60" s="71" t="s">
        <v>212</v>
      </c>
      <c r="C60" s="87" t="s">
        <v>261</v>
      </c>
      <c r="D60" s="88">
        <f>IFERROR(((BOS_P[[#This Row],[R]]*9)/BOS_P[[#This Row],[IP]]),0)</f>
        <v>3.0763387770603874</v>
      </c>
      <c r="E60" s="28">
        <v>2</v>
      </c>
      <c r="F60" s="74">
        <v>0</v>
      </c>
      <c r="G60" s="28">
        <v>20</v>
      </c>
      <c r="H60" s="584">
        <v>26.33</v>
      </c>
      <c r="I60" s="28">
        <v>25</v>
      </c>
      <c r="J60" s="28">
        <v>9</v>
      </c>
      <c r="K60" s="28">
        <v>15</v>
      </c>
      <c r="L60" s="28">
        <v>37</v>
      </c>
      <c r="M60" s="28">
        <v>1</v>
      </c>
      <c r="N60" s="89">
        <f>IFERROR((BOS_P[[#This Row],[BB]]+BOS_P[[#This Row],[H]])/BOS_P[[#This Row],[IP]],0)</f>
        <v>1.519179642992784</v>
      </c>
      <c r="O60" s="28">
        <v>0</v>
      </c>
      <c r="P60" s="90">
        <v>0</v>
      </c>
      <c r="Q60" s="28">
        <v>0</v>
      </c>
      <c r="R60" s="74">
        <v>0</v>
      </c>
      <c r="S60" s="615">
        <v>9</v>
      </c>
      <c r="Z60" s="651" t="s">
        <v>226</v>
      </c>
      <c r="AA60" s="71" t="s">
        <v>212</v>
      </c>
      <c r="AB60" s="87" t="s">
        <v>261</v>
      </c>
      <c r="AC60" s="88">
        <f>IFERROR(((BOS_P297[[#This Row],[R]]*9)/BOS_P297[[#This Row],[IP]]),0)</f>
        <v>7.0831283817019193</v>
      </c>
      <c r="AD60" s="28">
        <v>1</v>
      </c>
      <c r="AE60" s="74">
        <v>1</v>
      </c>
      <c r="AF60" s="28">
        <v>18</v>
      </c>
      <c r="AG60" s="584">
        <v>20.329999999999998</v>
      </c>
      <c r="AH60" s="28">
        <v>24</v>
      </c>
      <c r="AI60" s="28">
        <v>16</v>
      </c>
      <c r="AJ60" s="28">
        <v>10</v>
      </c>
      <c r="AK60" s="28">
        <v>34</v>
      </c>
      <c r="AL60" s="28">
        <v>0</v>
      </c>
      <c r="AM60" s="89">
        <f>IFERROR((BOS_P297[[#This Row],[BB]]+BOS_P297[[#This Row],[H]])/BOS_P297[[#This Row],[IP]],0)</f>
        <v>1.6724053123462863</v>
      </c>
      <c r="AN60" s="28">
        <v>0</v>
      </c>
      <c r="AO60" s="90">
        <v>0</v>
      </c>
      <c r="AP60" s="28">
        <v>0</v>
      </c>
      <c r="AQ60" s="74">
        <v>0</v>
      </c>
      <c r="AR60" s="615">
        <v>9</v>
      </c>
      <c r="AY60" s="651" t="s">
        <v>226</v>
      </c>
      <c r="AZ60" s="71" t="s">
        <v>212</v>
      </c>
      <c r="BA60" s="71" t="s">
        <v>262</v>
      </c>
      <c r="BB60" s="88">
        <f>IFERROR((BOS_P210[[#This Row],[R]]*9)/BOS_P210[[#This Row],[IP]],0)</f>
        <v>3.96</v>
      </c>
      <c r="BC60" s="28">
        <v>0</v>
      </c>
      <c r="BD60" s="74">
        <v>0</v>
      </c>
      <c r="BE60" s="28">
        <v>24</v>
      </c>
      <c r="BF60" s="584">
        <v>25</v>
      </c>
      <c r="BG60" s="28">
        <v>26</v>
      </c>
      <c r="BH60" s="28">
        <v>11</v>
      </c>
      <c r="BI60" s="28">
        <v>6</v>
      </c>
      <c r="BJ60" s="28">
        <v>22</v>
      </c>
      <c r="BK60" s="28">
        <v>3</v>
      </c>
      <c r="BL60" s="89">
        <f>IFERROR((BOS_P210[[#This Row],[BB]]+BOS_P210[[#This Row],[H]])/BOS_P210[[#This Row],[IP]],0)</f>
        <v>1.28</v>
      </c>
      <c r="BM60" s="28">
        <v>0</v>
      </c>
      <c r="BN60" s="90">
        <v>0</v>
      </c>
      <c r="BO60" s="28">
        <v>0</v>
      </c>
      <c r="BP60" s="74">
        <v>0</v>
      </c>
      <c r="BQ60" s="615">
        <v>9</v>
      </c>
    </row>
    <row r="61" spans="1:73" ht="17" thickBot="1">
      <c r="A61" s="651" t="s">
        <v>226</v>
      </c>
      <c r="B61" s="71" t="s">
        <v>212</v>
      </c>
      <c r="C61" s="87" t="s">
        <v>262</v>
      </c>
      <c r="D61" s="88">
        <f>IFERROR(((BOS_P[[#This Row],[R]]*9)/BOS_P[[#This Row],[IP]]),0)</f>
        <v>3.1554343591741332</v>
      </c>
      <c r="E61" s="28">
        <v>4</v>
      </c>
      <c r="F61" s="74">
        <v>2</v>
      </c>
      <c r="G61" s="28">
        <v>21</v>
      </c>
      <c r="H61" s="584">
        <v>25.67</v>
      </c>
      <c r="I61" s="28">
        <v>27</v>
      </c>
      <c r="J61" s="28">
        <v>9</v>
      </c>
      <c r="K61" s="28">
        <v>3</v>
      </c>
      <c r="L61" s="28">
        <v>24</v>
      </c>
      <c r="M61" s="28">
        <v>4</v>
      </c>
      <c r="N61" s="89">
        <f>IFERROR((BOS_P[[#This Row],[BB]]+BOS_P[[#This Row],[H]])/BOS_P[[#This Row],[IP]],0)</f>
        <v>1.168679392286716</v>
      </c>
      <c r="O61" s="28">
        <v>0</v>
      </c>
      <c r="P61" s="90">
        <v>0</v>
      </c>
      <c r="Q61" s="28">
        <v>0</v>
      </c>
      <c r="R61" s="74">
        <v>0</v>
      </c>
      <c r="S61" s="615">
        <v>10</v>
      </c>
      <c r="Z61" s="651" t="s">
        <v>226</v>
      </c>
      <c r="AA61" s="71" t="s">
        <v>212</v>
      </c>
      <c r="AB61" s="87" t="s">
        <v>262</v>
      </c>
      <c r="AC61" s="88">
        <f>IFERROR(((BOS_P297[[#This Row],[R]]*9)/BOS_P297[[#This Row],[IP]]),0)</f>
        <v>2.1502521900716749</v>
      </c>
      <c r="AD61" s="28">
        <v>1</v>
      </c>
      <c r="AE61" s="74">
        <v>0</v>
      </c>
      <c r="AF61" s="586">
        <v>30</v>
      </c>
      <c r="AG61" s="584">
        <v>37.67</v>
      </c>
      <c r="AH61" s="28">
        <v>32</v>
      </c>
      <c r="AI61" s="28">
        <v>9</v>
      </c>
      <c r="AJ61" s="28">
        <v>9</v>
      </c>
      <c r="AK61" s="28">
        <v>45</v>
      </c>
      <c r="AL61" s="76">
        <v>15</v>
      </c>
      <c r="AM61" s="89">
        <f>IFERROR((BOS_P297[[#This Row],[BB]]+BOS_P297[[#This Row],[H]])/BOS_P297[[#This Row],[IP]],0)</f>
        <v>1.0883992567029466</v>
      </c>
      <c r="AN61" s="28">
        <v>0</v>
      </c>
      <c r="AO61" s="90">
        <v>0</v>
      </c>
      <c r="AP61" s="28">
        <v>0</v>
      </c>
      <c r="AQ61" s="74">
        <v>0</v>
      </c>
      <c r="AR61" s="615">
        <v>10</v>
      </c>
      <c r="AY61" s="651" t="s">
        <v>226</v>
      </c>
      <c r="AZ61" s="71" t="s">
        <v>212</v>
      </c>
      <c r="BA61" s="71" t="s">
        <v>261</v>
      </c>
      <c r="BB61" s="88">
        <f>IFERROR((BOS_P210[[#This Row],[R]]*9)/BOS_P210[[#This Row],[IP]],0)</f>
        <v>4.5</v>
      </c>
      <c r="BC61" s="28">
        <v>1</v>
      </c>
      <c r="BD61" s="74">
        <v>2</v>
      </c>
      <c r="BE61" s="28">
        <v>20</v>
      </c>
      <c r="BF61" s="584">
        <v>22</v>
      </c>
      <c r="BG61" s="28">
        <v>19</v>
      </c>
      <c r="BH61" s="28">
        <v>11</v>
      </c>
      <c r="BI61" s="28">
        <v>9</v>
      </c>
      <c r="BJ61" s="28">
        <v>35</v>
      </c>
      <c r="BK61" s="76">
        <v>12</v>
      </c>
      <c r="BL61" s="89">
        <f>IFERROR((BOS_P210[[#This Row],[BB]]+BOS_P210[[#This Row],[H]])/BOS_P210[[#This Row],[IP]],0)</f>
        <v>1.2727272727272727</v>
      </c>
      <c r="BM61" s="28">
        <v>0</v>
      </c>
      <c r="BN61" s="90">
        <v>0</v>
      </c>
      <c r="BO61" s="28">
        <v>0</v>
      </c>
      <c r="BP61" s="74">
        <v>0</v>
      </c>
      <c r="BQ61" s="615">
        <v>10</v>
      </c>
    </row>
    <row r="62" spans="1:73" ht="17" thickBot="1">
      <c r="A62" s="652"/>
      <c r="B62" s="664"/>
      <c r="C62" s="654" t="s">
        <v>195</v>
      </c>
      <c r="D62" s="665">
        <f>(J62*9)/H62</f>
        <v>3.9468171280131834</v>
      </c>
      <c r="E62" s="658">
        <f>SUBTOTAL(109,BOS_P[W])</f>
        <v>23</v>
      </c>
      <c r="F62" s="658">
        <f>SUBTOTAL(109,BOS_P[L])</f>
        <v>17</v>
      </c>
      <c r="G62" s="661"/>
      <c r="H62" s="666">
        <f>SUBTOTAL(109,BOS_P[IP])</f>
        <v>358.01000000000005</v>
      </c>
      <c r="I62" s="658">
        <f>SUBTOTAL(109,BOS_P[H])</f>
        <v>338</v>
      </c>
      <c r="J62" s="658">
        <f>SUBTOTAL(109,BOS_P[R])</f>
        <v>157</v>
      </c>
      <c r="K62" s="658">
        <f>SUBTOTAL(109,BOS_P[BB])</f>
        <v>138</v>
      </c>
      <c r="L62" s="658">
        <f>SUBTOTAL(109,BOS_P[K])</f>
        <v>379</v>
      </c>
      <c r="M62" s="658">
        <f>SUBTOTAL(109,BOS_P[SV])</f>
        <v>7</v>
      </c>
      <c r="N62" s="667">
        <f>(I62+K62)/H62</f>
        <v>1.3295717996704002</v>
      </c>
      <c r="O62" s="668">
        <f>SUBTOTAL(109,BOS_P[QS])</f>
        <v>27</v>
      </c>
      <c r="P62" s="669">
        <f>SUBTOTAL(109,BOS_P[UQ])</f>
        <v>10</v>
      </c>
      <c r="Q62" s="670">
        <f>SUBTOTAL(109,BOS_P[CG])</f>
        <v>1</v>
      </c>
      <c r="R62" s="671">
        <f>SUBTOTAL(109,BOS_P[SH])</f>
        <v>1</v>
      </c>
      <c r="S62" s="662"/>
      <c r="Z62" s="652"/>
      <c r="AA62" s="664"/>
      <c r="AB62" s="654" t="s">
        <v>195</v>
      </c>
      <c r="AC62" s="665">
        <f>(AI62*9)/AG62</f>
        <v>4.8473516771780982</v>
      </c>
      <c r="AD62" s="658">
        <f>SUBTOTAL(109,BOS_P297[W])</f>
        <v>25</v>
      </c>
      <c r="AE62" s="658">
        <f>SUBTOTAL(109,BOS_P297[L])</f>
        <v>15</v>
      </c>
      <c r="AF62" s="661"/>
      <c r="AG62" s="666">
        <f>SUBTOTAL(109,BOS_P297[IP])</f>
        <v>358.34000000000003</v>
      </c>
      <c r="AH62" s="658">
        <f>SUBTOTAL(109,BOS_P297[H])</f>
        <v>389</v>
      </c>
      <c r="AI62" s="658">
        <f>SUBTOTAL(109,BOS_P297[R])</f>
        <v>193</v>
      </c>
      <c r="AJ62" s="658">
        <f>SUBTOTAL(109,BOS_P297[BB])</f>
        <v>144</v>
      </c>
      <c r="AK62" s="658">
        <f>SUBTOTAL(109,BOS_P297[K])</f>
        <v>389</v>
      </c>
      <c r="AL62" s="717">
        <f>SUBTOTAL(109,BOS_P297[SV])</f>
        <v>16</v>
      </c>
      <c r="AM62" s="667">
        <f>(AH62+AJ62)/AG62</f>
        <v>1.4874141876430205</v>
      </c>
      <c r="AN62" s="690">
        <f>SUBTOTAL(109,BOS_P297[QS])</f>
        <v>18</v>
      </c>
      <c r="AO62" s="669">
        <f>SUBTOTAL(109,BOS_P297[UQ])</f>
        <v>7</v>
      </c>
      <c r="AP62" s="670">
        <f>SUBTOTAL(109,BOS_P297[CG])</f>
        <v>0</v>
      </c>
      <c r="AQ62" s="671">
        <f>SUBTOTAL(109,BOS_P297[SH])</f>
        <v>0</v>
      </c>
      <c r="AR62" s="662"/>
      <c r="AY62" s="652"/>
      <c r="AZ62" s="664"/>
      <c r="BA62" s="654" t="s">
        <v>195</v>
      </c>
      <c r="BB62" s="665">
        <f>IFERROR((BH62*9)/BF62,0)</f>
        <v>4.5327640006569219</v>
      </c>
      <c r="BC62" s="658">
        <f>SUM(BC52:BC61)</f>
        <v>27</v>
      </c>
      <c r="BD62" s="658">
        <f>SUM(BD52:BD61)</f>
        <v>13</v>
      </c>
      <c r="BE62" s="661"/>
      <c r="BF62" s="666">
        <f t="shared" ref="BF62:BK62" si="5">SUM(BF52:BF61)</f>
        <v>365.34000000000003</v>
      </c>
      <c r="BG62" s="658">
        <f t="shared" si="5"/>
        <v>376</v>
      </c>
      <c r="BH62" s="658">
        <f t="shared" si="5"/>
        <v>184</v>
      </c>
      <c r="BI62" s="658">
        <f t="shared" si="5"/>
        <v>134</v>
      </c>
      <c r="BJ62" s="658">
        <f t="shared" si="5"/>
        <v>382</v>
      </c>
      <c r="BK62" s="659">
        <f t="shared" si="5"/>
        <v>15</v>
      </c>
      <c r="BL62" s="667">
        <f>(BI62+BG62)/BF62</f>
        <v>1.3959599277385448</v>
      </c>
      <c r="BM62" s="690">
        <f>SUBTOTAL(109,BOS_P210[QS])</f>
        <v>22</v>
      </c>
      <c r="BN62" s="669">
        <f>SUBTOTAL(109,BOS_P210[UQ])</f>
        <v>8</v>
      </c>
      <c r="BO62" s="670">
        <f>SUM(BO52:BO61)</f>
        <v>1</v>
      </c>
      <c r="BP62" s="671">
        <f>SUM(BP52:BP61)</f>
        <v>1</v>
      </c>
      <c r="BQ62" s="662"/>
    </row>
    <row r="63" spans="1:73" ht="17" thickBot="1"/>
    <row r="64" spans="1:73" ht="24" thickBot="1">
      <c r="A64" s="1024" t="s">
        <v>263</v>
      </c>
      <c r="B64" s="1025"/>
      <c r="C64" s="1025"/>
      <c r="D64" s="1025"/>
      <c r="E64" s="1025"/>
      <c r="F64" s="1025"/>
      <c r="G64" s="1025"/>
      <c r="H64" s="1025"/>
      <c r="I64" s="1025"/>
      <c r="J64" s="1025"/>
      <c r="K64" s="1025"/>
      <c r="L64" s="1025"/>
      <c r="M64" s="1025"/>
      <c r="N64" s="1025"/>
      <c r="O64" s="1025"/>
      <c r="P64" s="1025"/>
      <c r="Q64" s="1025"/>
      <c r="R64" s="1025"/>
      <c r="S64" s="1025"/>
      <c r="T64" s="1025"/>
      <c r="U64" s="1025"/>
      <c r="V64" s="1025"/>
      <c r="W64" s="1026"/>
      <c r="Z64" s="1048" t="s">
        <v>264</v>
      </c>
      <c r="AA64" s="1049"/>
      <c r="AB64" s="1049"/>
      <c r="AC64" s="1049"/>
      <c r="AD64" s="1049"/>
      <c r="AE64" s="1049"/>
      <c r="AF64" s="1049"/>
      <c r="AG64" s="1049"/>
      <c r="AH64" s="1049"/>
      <c r="AI64" s="1049"/>
      <c r="AJ64" s="1049"/>
      <c r="AK64" s="1049"/>
      <c r="AL64" s="1049"/>
      <c r="AM64" s="1049"/>
      <c r="AN64" s="1049"/>
      <c r="AO64" s="1049"/>
      <c r="AP64" s="1049"/>
      <c r="AQ64" s="1049"/>
      <c r="AR64" s="1049"/>
      <c r="AS64" s="1049"/>
      <c r="AT64" s="1049"/>
      <c r="AU64" s="1049"/>
      <c r="AV64" s="1050"/>
      <c r="AY64" s="1024" t="s">
        <v>265</v>
      </c>
      <c r="AZ64" s="1025"/>
      <c r="BA64" s="1025"/>
      <c r="BB64" s="1025"/>
      <c r="BC64" s="1025"/>
      <c r="BD64" s="1025"/>
      <c r="BE64" s="1025"/>
      <c r="BF64" s="1025"/>
      <c r="BG64" s="1025"/>
      <c r="BH64" s="1025"/>
      <c r="BI64" s="1025"/>
      <c r="BJ64" s="1025"/>
      <c r="BK64" s="1025"/>
      <c r="BL64" s="1025"/>
      <c r="BM64" s="1025"/>
      <c r="BN64" s="1025"/>
      <c r="BO64" s="1025"/>
      <c r="BP64" s="1025"/>
      <c r="BQ64" s="1025"/>
      <c r="BR64" s="1025"/>
      <c r="BS64" s="1025"/>
      <c r="BT64" s="1025"/>
      <c r="BU64" s="1026"/>
    </row>
    <row r="65" spans="1:73" s="64" customFormat="1" ht="14" thickBot="1">
      <c r="A65" s="605" t="s">
        <v>143</v>
      </c>
      <c r="B65" s="606" t="s">
        <v>144</v>
      </c>
      <c r="C65" s="606" t="s">
        <v>145</v>
      </c>
      <c r="D65" s="606" t="s">
        <v>146</v>
      </c>
      <c r="E65" s="606" t="s">
        <v>147</v>
      </c>
      <c r="F65" s="606" t="s">
        <v>148</v>
      </c>
      <c r="G65" s="606" t="s">
        <v>149</v>
      </c>
      <c r="H65" s="606" t="s">
        <v>150</v>
      </c>
      <c r="I65" s="606" t="s">
        <v>151</v>
      </c>
      <c r="J65" s="606" t="s">
        <v>152</v>
      </c>
      <c r="K65" s="606" t="s">
        <v>153</v>
      </c>
      <c r="L65" s="606" t="s">
        <v>154</v>
      </c>
      <c r="M65" s="606" t="s">
        <v>155</v>
      </c>
      <c r="N65" s="606" t="s">
        <v>156</v>
      </c>
      <c r="O65" s="606" t="s">
        <v>157</v>
      </c>
      <c r="P65" s="606" t="s">
        <v>158</v>
      </c>
      <c r="Q65" s="606" t="s">
        <v>159</v>
      </c>
      <c r="R65" s="606" t="s">
        <v>160</v>
      </c>
      <c r="S65" s="606" t="s">
        <v>16</v>
      </c>
      <c r="T65" s="606" t="s">
        <v>161</v>
      </c>
      <c r="U65" s="606" t="s">
        <v>162</v>
      </c>
      <c r="V65" s="606" t="s">
        <v>163</v>
      </c>
      <c r="W65" s="607" t="s">
        <v>164</v>
      </c>
      <c r="Z65" s="605" t="s">
        <v>143</v>
      </c>
      <c r="AA65" s="606" t="s">
        <v>144</v>
      </c>
      <c r="AB65" s="606" t="s">
        <v>145</v>
      </c>
      <c r="AC65" s="606" t="s">
        <v>146</v>
      </c>
      <c r="AD65" s="606" t="s">
        <v>147</v>
      </c>
      <c r="AE65" s="606" t="s">
        <v>148</v>
      </c>
      <c r="AF65" s="606" t="s">
        <v>149</v>
      </c>
      <c r="AG65" s="606" t="s">
        <v>150</v>
      </c>
      <c r="AH65" s="606" t="s">
        <v>151</v>
      </c>
      <c r="AI65" s="606" t="s">
        <v>152</v>
      </c>
      <c r="AJ65" s="606" t="s">
        <v>153</v>
      </c>
      <c r="AK65" s="606" t="s">
        <v>154</v>
      </c>
      <c r="AL65" s="606" t="s">
        <v>155</v>
      </c>
      <c r="AM65" s="606" t="s">
        <v>156</v>
      </c>
      <c r="AN65" s="606" t="s">
        <v>157</v>
      </c>
      <c r="AO65" s="606" t="s">
        <v>158</v>
      </c>
      <c r="AP65" s="606" t="s">
        <v>159</v>
      </c>
      <c r="AQ65" s="606" t="s">
        <v>160</v>
      </c>
      <c r="AR65" s="606" t="s">
        <v>16</v>
      </c>
      <c r="AS65" s="606" t="s">
        <v>161</v>
      </c>
      <c r="AT65" s="606" t="s">
        <v>162</v>
      </c>
      <c r="AU65" s="606" t="s">
        <v>163</v>
      </c>
      <c r="AV65" s="607" t="s">
        <v>164</v>
      </c>
      <c r="AY65" s="605" t="s">
        <v>143</v>
      </c>
      <c r="AZ65" s="606" t="s">
        <v>144</v>
      </c>
      <c r="BA65" s="606" t="s">
        <v>145</v>
      </c>
      <c r="BB65" s="606" t="s">
        <v>146</v>
      </c>
      <c r="BC65" s="606" t="s">
        <v>147</v>
      </c>
      <c r="BD65" s="606" t="s">
        <v>148</v>
      </c>
      <c r="BE65" s="606" t="s">
        <v>149</v>
      </c>
      <c r="BF65" s="606" t="s">
        <v>150</v>
      </c>
      <c r="BG65" s="606" t="s">
        <v>151</v>
      </c>
      <c r="BH65" s="606" t="s">
        <v>152</v>
      </c>
      <c r="BI65" s="606" t="s">
        <v>153</v>
      </c>
      <c r="BJ65" s="606" t="s">
        <v>154</v>
      </c>
      <c r="BK65" s="606" t="s">
        <v>155</v>
      </c>
      <c r="BL65" s="606" t="s">
        <v>156</v>
      </c>
      <c r="BM65" s="606" t="s">
        <v>157</v>
      </c>
      <c r="BN65" s="606" t="s">
        <v>158</v>
      </c>
      <c r="BO65" s="606" t="s">
        <v>159</v>
      </c>
      <c r="BP65" s="606" t="s">
        <v>160</v>
      </c>
      <c r="BQ65" s="606" t="s">
        <v>16</v>
      </c>
      <c r="BR65" s="606" t="s">
        <v>161</v>
      </c>
      <c r="BS65" s="606" t="s">
        <v>162</v>
      </c>
      <c r="BT65" s="606" t="s">
        <v>163</v>
      </c>
      <c r="BU65" s="607" t="s">
        <v>164</v>
      </c>
    </row>
    <row r="66" spans="1:73">
      <c r="A66" s="650" t="s">
        <v>266</v>
      </c>
      <c r="B66" s="597" t="s">
        <v>179</v>
      </c>
      <c r="C66" s="597" t="s">
        <v>275</v>
      </c>
      <c r="D66" s="598">
        <f>IFERROR(TOR_H[[#This Row],[H]]/TOR_H[[#This Row],[AB]],0)</f>
        <v>0.27272727272727271</v>
      </c>
      <c r="E66" s="598">
        <f>IFERROR((TOR_H[[#This Row],[H]]+TOR_H[[#This Row],[BB]])/(TOR_H[[#This Row],[AB]]+TOR_H[[#This Row],[BB]]),0)</f>
        <v>0.32307692307692309</v>
      </c>
      <c r="F66" s="599">
        <f>IFERROR(((TOR_H[[#This Row],[H]]-TOR_H[[#This Row],[2B]]-TOR_H[[#This Row],[3B]]-TOR_H[[#This Row],[HR]])+(TOR_H[[#This Row],[2B]]*2)+(TOR_H[[#This Row],[3B]]*3)+(TOR_H[[#This Row],[HR]]*4))/TOR_H[[#This Row],[AB]],0)</f>
        <v>0.39669421487603307</v>
      </c>
      <c r="G66" s="600">
        <v>32</v>
      </c>
      <c r="H66" s="600">
        <v>121</v>
      </c>
      <c r="I66" s="600">
        <v>13</v>
      </c>
      <c r="J66" s="600">
        <v>33</v>
      </c>
      <c r="K66" s="600">
        <v>3</v>
      </c>
      <c r="L66" s="600">
        <v>0</v>
      </c>
      <c r="M66" s="600">
        <v>4</v>
      </c>
      <c r="N66" s="600">
        <v>14</v>
      </c>
      <c r="O66" s="600">
        <v>9</v>
      </c>
      <c r="P66" s="604">
        <v>27</v>
      </c>
      <c r="Q66" s="673">
        <v>0</v>
      </c>
      <c r="R66" s="600">
        <v>2</v>
      </c>
      <c r="S66" s="604">
        <v>9</v>
      </c>
      <c r="T66" s="673">
        <f>IFERROR((TOR_H[[#This Row],[H]]-TOR_H[[#This Row],[2B]]-TOR_H[[#This Row],[3B]]-TOR_H[[#This Row],[HR]])+(TOR_H[[#This Row],[2B]]*2)+(TOR_H[[#This Row],[3B]]*3)+(TOR_H[[#This Row],[HR]]*4),0)</f>
        <v>48</v>
      </c>
      <c r="U66" s="598">
        <f>TOR_H[[#This Row],[OBP]]+TOR_H[[#This Row],[SLG]]</f>
        <v>0.71977113795295611</v>
      </c>
      <c r="V66" s="604">
        <v>1</v>
      </c>
      <c r="W66" s="614">
        <v>1</v>
      </c>
      <c r="Z66" s="719" t="s">
        <v>266</v>
      </c>
      <c r="AA66" s="597" t="s">
        <v>179</v>
      </c>
      <c r="AB66" s="597" t="s">
        <v>275</v>
      </c>
      <c r="AC66" s="598">
        <f>IFERROR(TOR_H298[[#This Row],[H]]/TOR_H298[[#This Row],[AB]],0)</f>
        <v>0.27380952380952384</v>
      </c>
      <c r="AD66" s="598">
        <f>IFERROR((TOR_H298[[#This Row],[H]]+TOR_H298[[#This Row],[BB]])/(TOR_H298[[#This Row],[AB]]+TOR_H298[[#This Row],[BB]]),0)</f>
        <v>0.38383838383838381</v>
      </c>
      <c r="AE66" s="599">
        <f>IFERROR(((TOR_H298[[#This Row],[H]]-TOR_H298[[#This Row],[2B]]-TOR_H298[[#This Row],[3B]]-TOR_H298[[#This Row],[HR]])+(TOR_H298[[#This Row],[2B]]*2)+(TOR_H298[[#This Row],[3B]]*3)+(TOR_H298[[#This Row],[HR]]*4))/TOR_H298[[#This Row],[AB]],0)</f>
        <v>0.42857142857142855</v>
      </c>
      <c r="AF66" s="600">
        <v>27</v>
      </c>
      <c r="AG66" s="600">
        <v>84</v>
      </c>
      <c r="AH66" s="600">
        <v>14</v>
      </c>
      <c r="AI66" s="600">
        <v>23</v>
      </c>
      <c r="AJ66" s="600">
        <v>4</v>
      </c>
      <c r="AK66" s="600">
        <v>0</v>
      </c>
      <c r="AL66" s="600">
        <v>3</v>
      </c>
      <c r="AM66" s="600">
        <v>11</v>
      </c>
      <c r="AN66" s="600">
        <v>15</v>
      </c>
      <c r="AO66" s="604">
        <v>16</v>
      </c>
      <c r="AP66" s="673">
        <v>0</v>
      </c>
      <c r="AQ66" s="600">
        <v>4</v>
      </c>
      <c r="AR66" s="604">
        <v>6</v>
      </c>
      <c r="AS66" s="673">
        <f>IFERROR((TOR_H298[[#This Row],[H]]-TOR_H298[[#This Row],[2B]]-TOR_H298[[#This Row],[3B]]-TOR_H298[[#This Row],[HR]])+(TOR_H298[[#This Row],[2B]]*2)+(TOR_H298[[#This Row],[3B]]*3)+(TOR_H298[[#This Row],[HR]]*4),0)</f>
        <v>36</v>
      </c>
      <c r="AT66" s="598">
        <f>TOR_H298[[#This Row],[OBP]]+TOR_H298[[#This Row],[SLG]]</f>
        <v>0.81240981240981236</v>
      </c>
      <c r="AU66" s="604">
        <v>1</v>
      </c>
      <c r="AV66" s="614">
        <v>1</v>
      </c>
      <c r="AY66" s="650" t="s">
        <v>266</v>
      </c>
      <c r="AZ66" s="597" t="s">
        <v>179</v>
      </c>
      <c r="BA66" s="597" t="s">
        <v>278</v>
      </c>
      <c r="BB66" s="598">
        <f>IFERROR(TOR_H211[[#This Row],[H]]/TOR_H211[[#This Row],[AB]],0)</f>
        <v>0.19718309859154928</v>
      </c>
      <c r="BC66" s="598">
        <f>IFERROR((TOR_H211[[#This Row],[BB]]+TOR_H211[[#This Row],[H]])/(TOR_H211[[#This Row],[AB]]+TOR_H211[[#This Row],[BB]]),0)</f>
        <v>0.32142857142857145</v>
      </c>
      <c r="BD66" s="599">
        <f>IFERROR(((TOR_H211[[#This Row],[H]]-TOR_H211[[#This Row],[2B]]-TOR_H211[[#This Row],[3B]]-TOR_H211[[#This Row],[HR]])+(TOR_H211[[#This Row],[2B]]*2)+(TOR_H211[[#This Row],[3B]]*3)+(TOR_H211[[#This Row],[HR]]*4))/TOR_H211[[#This Row],[AB]],0)</f>
        <v>0.40845070422535212</v>
      </c>
      <c r="BE66" s="600">
        <v>26</v>
      </c>
      <c r="BF66" s="600">
        <v>71</v>
      </c>
      <c r="BG66" s="600">
        <v>10</v>
      </c>
      <c r="BH66" s="600">
        <v>14</v>
      </c>
      <c r="BI66" s="600">
        <v>3</v>
      </c>
      <c r="BJ66" s="600">
        <v>0</v>
      </c>
      <c r="BK66" s="600">
        <v>4</v>
      </c>
      <c r="BL66" s="600">
        <v>9</v>
      </c>
      <c r="BM66" s="600">
        <v>13</v>
      </c>
      <c r="BN66" s="604">
        <v>18</v>
      </c>
      <c r="BO66" s="673">
        <v>0</v>
      </c>
      <c r="BP66" s="600">
        <v>1</v>
      </c>
      <c r="BQ66" s="604">
        <v>4</v>
      </c>
      <c r="BR66" s="673">
        <f t="shared" ref="BR66:BR79" si="6">((BH66-BI66-BJ66-BK66)+(BI66*2)+(BJ66*3)+(BK66*4))</f>
        <v>29</v>
      </c>
      <c r="BS66" s="598">
        <f>IFERROR(TOR_H211[[#This Row],[OBP]]+TOR_H211[[#This Row],[SLG]],0)</f>
        <v>0.72987927565392363</v>
      </c>
      <c r="BT66" s="604">
        <v>0</v>
      </c>
      <c r="BU66" s="614">
        <v>1</v>
      </c>
    </row>
    <row r="67" spans="1:73">
      <c r="A67" s="651" t="s">
        <v>266</v>
      </c>
      <c r="B67" s="71" t="s">
        <v>154</v>
      </c>
      <c r="C67" s="71" t="s">
        <v>277</v>
      </c>
      <c r="D67" s="72">
        <f>IFERROR(TOR_H[[#This Row],[H]]/TOR_H[[#This Row],[AB]],0)</f>
        <v>0.2013888888888889</v>
      </c>
      <c r="E67" s="72">
        <f>IFERROR((TOR_H[[#This Row],[H]]+TOR_H[[#This Row],[BB]])/(TOR_H[[#This Row],[AB]]+TOR_H[[#This Row],[BB]]),0)</f>
        <v>0.29012345679012347</v>
      </c>
      <c r="F67" s="73">
        <f>IFERROR(((TOR_H[[#This Row],[H]]-TOR_H[[#This Row],[2B]]-TOR_H[[#This Row],[3B]]-TOR_H[[#This Row],[HR]])+(TOR_H[[#This Row],[2B]]*2)+(TOR_H[[#This Row],[3B]]*3)+(TOR_H[[#This Row],[HR]]*4))/TOR_H[[#This Row],[AB]],0)</f>
        <v>0.3125</v>
      </c>
      <c r="G67" s="28">
        <v>40</v>
      </c>
      <c r="H67" s="28">
        <v>144</v>
      </c>
      <c r="I67" s="28">
        <v>15</v>
      </c>
      <c r="J67" s="28">
        <v>29</v>
      </c>
      <c r="K67" s="28">
        <v>8</v>
      </c>
      <c r="L67" s="28">
        <v>1</v>
      </c>
      <c r="M67" s="28">
        <v>2</v>
      </c>
      <c r="N67" s="28">
        <v>8</v>
      </c>
      <c r="O67" s="28">
        <v>18</v>
      </c>
      <c r="P67" s="74">
        <v>52</v>
      </c>
      <c r="Q67" s="77">
        <v>0</v>
      </c>
      <c r="R67" s="28">
        <v>3</v>
      </c>
      <c r="S67" s="74">
        <v>3</v>
      </c>
      <c r="T67" s="77">
        <f>IFERROR((TOR_H[[#This Row],[H]]-TOR_H[[#This Row],[2B]]-TOR_H[[#This Row],[3B]]-TOR_H[[#This Row],[HR]])+(TOR_H[[#This Row],[2B]]*2)+(TOR_H[[#This Row],[3B]]*3)+(TOR_H[[#This Row],[HR]]*4),0)</f>
        <v>45</v>
      </c>
      <c r="U67" s="72">
        <f>TOR_H[[#This Row],[OBP]]+TOR_H[[#This Row],[SLG]]</f>
        <v>0.60262345679012341</v>
      </c>
      <c r="V67" s="74">
        <v>1</v>
      </c>
      <c r="W67" s="615">
        <v>2</v>
      </c>
      <c r="Z67" s="720" t="s">
        <v>266</v>
      </c>
      <c r="AA67" s="71" t="s">
        <v>154</v>
      </c>
      <c r="AB67" s="71" t="s">
        <v>277</v>
      </c>
      <c r="AC67" s="72">
        <f>IFERROR(TOR_H298[[#This Row],[H]]/TOR_H298[[#This Row],[AB]],0)</f>
        <v>0.16788321167883211</v>
      </c>
      <c r="AD67" s="72">
        <f>IFERROR((TOR_H298[[#This Row],[H]]+TOR_H298[[#This Row],[BB]])/(TOR_H298[[#This Row],[AB]]+TOR_H298[[#This Row],[BB]]),0)</f>
        <v>0.25</v>
      </c>
      <c r="AE67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0.29197080291970801</v>
      </c>
      <c r="AF67" s="28">
        <v>40</v>
      </c>
      <c r="AG67" s="28">
        <v>137</v>
      </c>
      <c r="AH67" s="28">
        <v>10</v>
      </c>
      <c r="AI67" s="28">
        <v>23</v>
      </c>
      <c r="AJ67" s="28">
        <v>8</v>
      </c>
      <c r="AK67" s="28">
        <v>0</v>
      </c>
      <c r="AL67" s="28">
        <v>3</v>
      </c>
      <c r="AM67" s="28">
        <v>12</v>
      </c>
      <c r="AN67" s="28">
        <v>15</v>
      </c>
      <c r="AO67" s="74">
        <v>56</v>
      </c>
      <c r="AP67" s="77">
        <v>0</v>
      </c>
      <c r="AQ67" s="28">
        <v>1</v>
      </c>
      <c r="AR67" s="74">
        <v>6</v>
      </c>
      <c r="AS67" s="77">
        <f>IFERROR((TOR_H298[[#This Row],[H]]-TOR_H298[[#This Row],[2B]]-TOR_H298[[#This Row],[3B]]-TOR_H298[[#This Row],[HR]])+(TOR_H298[[#This Row],[2B]]*2)+(TOR_H298[[#This Row],[3B]]*3)+(TOR_H298[[#This Row],[HR]]*4),0)</f>
        <v>40</v>
      </c>
      <c r="AT67" s="72">
        <f>TOR_H298[[#This Row],[OBP]]+TOR_H298[[#This Row],[SLG]]</f>
        <v>0.54197080291970801</v>
      </c>
      <c r="AU67" s="74">
        <v>1</v>
      </c>
      <c r="AV67" s="615">
        <v>2</v>
      </c>
      <c r="AY67" s="651" t="s">
        <v>266</v>
      </c>
      <c r="AZ67" s="71" t="s">
        <v>154</v>
      </c>
      <c r="BA67" s="71" t="s">
        <v>274</v>
      </c>
      <c r="BB67" s="72">
        <f>IFERROR(TOR_H211[[#This Row],[H]]/TOR_H211[[#This Row],[AB]],0)</f>
        <v>0.26712328767123289</v>
      </c>
      <c r="BC67" s="72">
        <f>IFERROR((TOR_H211[[#This Row],[BB]]+TOR_H211[[#This Row],[H]])/(TOR_H211[[#This Row],[AB]]+TOR_H211[[#This Row],[BB]]),0)</f>
        <v>0.33950617283950618</v>
      </c>
      <c r="BD67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0.49315068493150682</v>
      </c>
      <c r="BE67" s="28">
        <v>40</v>
      </c>
      <c r="BF67" s="28">
        <v>146</v>
      </c>
      <c r="BG67" s="28">
        <v>22</v>
      </c>
      <c r="BH67" s="28">
        <v>39</v>
      </c>
      <c r="BI67" s="28">
        <v>8</v>
      </c>
      <c r="BJ67" s="28">
        <v>2</v>
      </c>
      <c r="BK67" s="28">
        <v>7</v>
      </c>
      <c r="BL67" s="28">
        <v>23</v>
      </c>
      <c r="BM67" s="28">
        <v>16</v>
      </c>
      <c r="BN67" s="74">
        <v>42</v>
      </c>
      <c r="BO67" s="77">
        <v>0</v>
      </c>
      <c r="BP67" s="28">
        <v>1</v>
      </c>
      <c r="BQ67" s="74">
        <v>7</v>
      </c>
      <c r="BR67" s="77">
        <f t="shared" si="6"/>
        <v>72</v>
      </c>
      <c r="BS67" s="72">
        <f>IFERROR(TOR_H211[[#This Row],[OBP]]+TOR_H211[[#This Row],[SLG]],0)</f>
        <v>0.83265685777101295</v>
      </c>
      <c r="BT67" s="74">
        <v>1</v>
      </c>
      <c r="BU67" s="615">
        <v>2</v>
      </c>
    </row>
    <row r="68" spans="1:73">
      <c r="A68" s="651" t="s">
        <v>266</v>
      </c>
      <c r="B68" s="71" t="s">
        <v>172</v>
      </c>
      <c r="C68" s="71" t="s">
        <v>268</v>
      </c>
      <c r="D68" s="72">
        <f>IFERROR(TOR_H[[#This Row],[H]]/TOR_H[[#This Row],[AB]],0)</f>
        <v>0.25730994152046782</v>
      </c>
      <c r="E68" s="72">
        <f>IFERROR((TOR_H[[#This Row],[H]]+TOR_H[[#This Row],[BB]])/(TOR_H[[#This Row],[AB]]+TOR_H[[#This Row],[BB]]),0)</f>
        <v>0.28651685393258425</v>
      </c>
      <c r="F68" s="73">
        <f>IFERROR(((TOR_H[[#This Row],[H]]-TOR_H[[#This Row],[2B]]-TOR_H[[#This Row],[3B]]-TOR_H[[#This Row],[HR]])+(TOR_H[[#This Row],[2B]]*2)+(TOR_H[[#This Row],[3B]]*3)+(TOR_H[[#This Row],[HR]]*4))/TOR_H[[#This Row],[AB]],0)</f>
        <v>0.38011695906432746</v>
      </c>
      <c r="G68" s="28">
        <v>40</v>
      </c>
      <c r="H68" s="28">
        <v>171</v>
      </c>
      <c r="I68" s="28">
        <v>12</v>
      </c>
      <c r="J68" s="28">
        <v>44</v>
      </c>
      <c r="K68" s="28">
        <v>6</v>
      </c>
      <c r="L68" s="28">
        <v>0</v>
      </c>
      <c r="M68" s="28">
        <v>5</v>
      </c>
      <c r="N68" s="28">
        <v>19</v>
      </c>
      <c r="O68" s="28">
        <v>7</v>
      </c>
      <c r="P68" s="74">
        <v>49</v>
      </c>
      <c r="Q68" s="77">
        <v>0</v>
      </c>
      <c r="R68" s="28">
        <v>3</v>
      </c>
      <c r="S68" s="74">
        <v>7</v>
      </c>
      <c r="T68" s="77">
        <f>IFERROR((TOR_H[[#This Row],[H]]-TOR_H[[#This Row],[2B]]-TOR_H[[#This Row],[3B]]-TOR_H[[#This Row],[HR]])+(TOR_H[[#This Row],[2B]]*2)+(TOR_H[[#This Row],[3B]]*3)+(TOR_H[[#This Row],[HR]]*4),0)</f>
        <v>65</v>
      </c>
      <c r="U68" s="72">
        <f>TOR_H[[#This Row],[OBP]]+TOR_H[[#This Row],[SLG]]</f>
        <v>0.66663381299691171</v>
      </c>
      <c r="V68" s="74">
        <v>0</v>
      </c>
      <c r="W68" s="615">
        <v>3</v>
      </c>
      <c r="Z68" s="720" t="s">
        <v>266</v>
      </c>
      <c r="AA68" s="345" t="s">
        <v>172</v>
      </c>
      <c r="AB68" s="71" t="s">
        <v>268</v>
      </c>
      <c r="AC68" s="72">
        <f>IFERROR(TOR_H298[[#This Row],[H]]/TOR_H298[[#This Row],[AB]],0)</f>
        <v>0.28658536585365851</v>
      </c>
      <c r="AD68" s="72">
        <f>IFERROR((TOR_H298[[#This Row],[H]]+TOR_H298[[#This Row],[BB]])/(TOR_H298[[#This Row],[AB]]+TOR_H298[[#This Row],[BB]]),0)</f>
        <v>0.31578947368421051</v>
      </c>
      <c r="AE68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0.57926829268292679</v>
      </c>
      <c r="AF68" s="28">
        <v>39</v>
      </c>
      <c r="AG68" s="28">
        <v>164</v>
      </c>
      <c r="AH68" s="28">
        <v>26</v>
      </c>
      <c r="AI68" s="28">
        <v>47</v>
      </c>
      <c r="AJ68" s="28">
        <v>12</v>
      </c>
      <c r="AK68" s="28">
        <v>0</v>
      </c>
      <c r="AL68" s="28">
        <v>12</v>
      </c>
      <c r="AM68" s="28">
        <v>26</v>
      </c>
      <c r="AN68" s="28">
        <v>7</v>
      </c>
      <c r="AO68" s="74">
        <v>45</v>
      </c>
      <c r="AP68" s="77">
        <v>1</v>
      </c>
      <c r="AQ68" s="28">
        <v>0</v>
      </c>
      <c r="AR68" s="74">
        <v>15</v>
      </c>
      <c r="AS68" s="352">
        <f>IFERROR((TOR_H298[[#This Row],[H]]-TOR_H298[[#This Row],[2B]]-TOR_H298[[#This Row],[3B]]-TOR_H298[[#This Row],[HR]])+(TOR_H298[[#This Row],[2B]]*2)+(TOR_H298[[#This Row],[3B]]*3)+(TOR_H298[[#This Row],[HR]]*4),0)</f>
        <v>95</v>
      </c>
      <c r="AT68" s="72">
        <f>TOR_H298[[#This Row],[OBP]]+TOR_H298[[#This Row],[SLG]]</f>
        <v>0.8950577663671373</v>
      </c>
      <c r="AU68" s="74">
        <v>5</v>
      </c>
      <c r="AV68" s="615">
        <v>3</v>
      </c>
      <c r="AY68" s="651" t="s">
        <v>266</v>
      </c>
      <c r="AZ68" s="71" t="s">
        <v>172</v>
      </c>
      <c r="BA68" s="71" t="s">
        <v>268</v>
      </c>
      <c r="BB68" s="72">
        <f>IFERROR(TOR_H211[[#This Row],[H]]/TOR_H211[[#This Row],[AB]],0)</f>
        <v>0.20945945945945946</v>
      </c>
      <c r="BC68" s="72">
        <f>IFERROR((TOR_H211[[#This Row],[BB]]+TOR_H211[[#This Row],[H]])/(TOR_H211[[#This Row],[AB]]+TOR_H211[[#This Row],[BB]]),0)</f>
        <v>0.26415094339622641</v>
      </c>
      <c r="BD68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0.3108108108108108</v>
      </c>
      <c r="BE68" s="28">
        <v>39</v>
      </c>
      <c r="BF68" s="28">
        <v>148</v>
      </c>
      <c r="BG68" s="28">
        <v>17</v>
      </c>
      <c r="BH68" s="28">
        <v>31</v>
      </c>
      <c r="BI68" s="28">
        <v>3</v>
      </c>
      <c r="BJ68" s="28">
        <v>0</v>
      </c>
      <c r="BK68" s="28">
        <v>4</v>
      </c>
      <c r="BL68" s="28">
        <v>11</v>
      </c>
      <c r="BM68" s="28">
        <v>11</v>
      </c>
      <c r="BN68" s="74">
        <v>44</v>
      </c>
      <c r="BO68" s="77">
        <v>8</v>
      </c>
      <c r="BP68" s="28">
        <v>1</v>
      </c>
      <c r="BQ68" s="74">
        <v>3</v>
      </c>
      <c r="BR68" s="77">
        <f t="shared" si="6"/>
        <v>46</v>
      </c>
      <c r="BS68" s="72">
        <f>IFERROR(TOR_H211[[#This Row],[OBP]]+TOR_H211[[#This Row],[SLG]],0)</f>
        <v>0.57496175420703721</v>
      </c>
      <c r="BT68" s="74">
        <v>1</v>
      </c>
      <c r="BU68" s="615">
        <v>3</v>
      </c>
    </row>
    <row r="69" spans="1:73">
      <c r="A69" s="651" t="s">
        <v>266</v>
      </c>
      <c r="B69" s="71" t="s">
        <v>153</v>
      </c>
      <c r="C69" s="71" t="s">
        <v>267</v>
      </c>
      <c r="D69" s="594">
        <f>IFERROR(TOR_H[[#This Row],[H]]/TOR_H[[#This Row],[AB]],0)</f>
        <v>0.3772455089820359</v>
      </c>
      <c r="E69" s="72">
        <f>IFERROR((TOR_H[[#This Row],[H]]+TOR_H[[#This Row],[BB]])/(TOR_H[[#This Row],[AB]]+TOR_H[[#This Row],[BB]]),0)</f>
        <v>0.44086021505376344</v>
      </c>
      <c r="F69" s="73">
        <f>IFERROR(((TOR_H[[#This Row],[H]]-TOR_H[[#This Row],[2B]]-TOR_H[[#This Row],[3B]]-TOR_H[[#This Row],[HR]])+(TOR_H[[#This Row],[2B]]*2)+(TOR_H[[#This Row],[3B]]*3)+(TOR_H[[#This Row],[HR]]*4))/TOR_H[[#This Row],[AB]],0)</f>
        <v>0.55688622754491013</v>
      </c>
      <c r="G69" s="28">
        <v>40</v>
      </c>
      <c r="H69" s="28">
        <v>167</v>
      </c>
      <c r="I69" s="28">
        <v>26</v>
      </c>
      <c r="J69" s="76">
        <v>63</v>
      </c>
      <c r="K69" s="28">
        <v>7</v>
      </c>
      <c r="L69" s="28">
        <v>1</v>
      </c>
      <c r="M69" s="28">
        <v>7</v>
      </c>
      <c r="N69" s="28">
        <v>20</v>
      </c>
      <c r="O69" s="28">
        <v>19</v>
      </c>
      <c r="P69" s="74">
        <v>34</v>
      </c>
      <c r="Q69" s="352">
        <v>23</v>
      </c>
      <c r="R69" s="28">
        <v>5</v>
      </c>
      <c r="S69" s="74">
        <v>15</v>
      </c>
      <c r="T69" s="77">
        <f>IFERROR((TOR_H[[#This Row],[H]]-TOR_H[[#This Row],[2B]]-TOR_H[[#This Row],[3B]]-TOR_H[[#This Row],[HR]])+(TOR_H[[#This Row],[2B]]*2)+(TOR_H[[#This Row],[3B]]*3)+(TOR_H[[#This Row],[HR]]*4),0)</f>
        <v>93</v>
      </c>
      <c r="U69" s="72">
        <f>TOR_H[[#This Row],[OBP]]+TOR_H[[#This Row],[SLG]]</f>
        <v>0.99774644259867351</v>
      </c>
      <c r="V69" s="74">
        <v>2</v>
      </c>
      <c r="W69" s="615">
        <v>4</v>
      </c>
      <c r="Z69" s="720" t="s">
        <v>266</v>
      </c>
      <c r="AA69" s="71" t="s">
        <v>153</v>
      </c>
      <c r="AB69" s="71" t="s">
        <v>267</v>
      </c>
      <c r="AC69" s="72">
        <f>IFERROR(TOR_H298[[#This Row],[H]]/TOR_H298[[#This Row],[AB]],0)</f>
        <v>0.26114649681528662</v>
      </c>
      <c r="AD69" s="72">
        <f>IFERROR((TOR_H298[[#This Row],[H]]+TOR_H298[[#This Row],[BB]])/(TOR_H298[[#This Row],[AB]]+TOR_H298[[#This Row],[BB]]),0)</f>
        <v>0.34463276836158191</v>
      </c>
      <c r="AE69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0.39490445859872614</v>
      </c>
      <c r="AF69" s="28">
        <v>39</v>
      </c>
      <c r="AG69" s="28">
        <v>157</v>
      </c>
      <c r="AH69" s="28">
        <v>25</v>
      </c>
      <c r="AI69" s="28">
        <v>41</v>
      </c>
      <c r="AJ69" s="28">
        <v>9</v>
      </c>
      <c r="AK69" s="28">
        <v>0</v>
      </c>
      <c r="AL69" s="28">
        <v>4</v>
      </c>
      <c r="AM69" s="28">
        <v>9</v>
      </c>
      <c r="AN69" s="28">
        <v>20</v>
      </c>
      <c r="AO69" s="74">
        <v>33</v>
      </c>
      <c r="AP69" s="77">
        <v>12</v>
      </c>
      <c r="AQ69" s="28">
        <v>0</v>
      </c>
      <c r="AR69" s="74">
        <v>8</v>
      </c>
      <c r="AS69" s="77">
        <f>IFERROR((TOR_H298[[#This Row],[H]]-TOR_H298[[#This Row],[2B]]-TOR_H298[[#This Row],[3B]]-TOR_H298[[#This Row],[HR]])+(TOR_H298[[#This Row],[2B]]*2)+(TOR_H298[[#This Row],[3B]]*3)+(TOR_H298[[#This Row],[HR]]*4),0)</f>
        <v>62</v>
      </c>
      <c r="AT69" s="72">
        <f>TOR_H298[[#This Row],[OBP]]+TOR_H298[[#This Row],[SLG]]</f>
        <v>0.73953722696030799</v>
      </c>
      <c r="AU69" s="74">
        <v>3</v>
      </c>
      <c r="AV69" s="615">
        <v>4</v>
      </c>
      <c r="AY69" s="651" t="s">
        <v>266</v>
      </c>
      <c r="AZ69" s="71" t="s">
        <v>153</v>
      </c>
      <c r="BA69" s="71" t="s">
        <v>267</v>
      </c>
      <c r="BB69" s="72">
        <f>IFERROR(TOR_H211[[#This Row],[H]]/TOR_H211[[#This Row],[AB]],0)</f>
        <v>0.30303030303030304</v>
      </c>
      <c r="BC69" s="72">
        <f>IFERROR((TOR_H211[[#This Row],[BB]]+TOR_H211[[#This Row],[H]])/(TOR_H211[[#This Row],[AB]]+TOR_H211[[#This Row],[BB]]),0)</f>
        <v>0.35754189944134079</v>
      </c>
      <c r="BD69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0.47272727272727272</v>
      </c>
      <c r="BE69" s="28">
        <v>38</v>
      </c>
      <c r="BF69" s="28">
        <v>165</v>
      </c>
      <c r="BG69" s="28">
        <v>25</v>
      </c>
      <c r="BH69" s="28">
        <v>50</v>
      </c>
      <c r="BI69" s="28">
        <v>8</v>
      </c>
      <c r="BJ69" s="28">
        <v>1</v>
      </c>
      <c r="BK69" s="28">
        <v>6</v>
      </c>
      <c r="BL69" s="28">
        <v>16</v>
      </c>
      <c r="BM69" s="28">
        <v>14</v>
      </c>
      <c r="BN69" s="74">
        <v>24</v>
      </c>
      <c r="BO69" s="77">
        <v>21</v>
      </c>
      <c r="BP69" s="28">
        <v>2</v>
      </c>
      <c r="BQ69" s="74">
        <v>9</v>
      </c>
      <c r="BR69" s="77">
        <f t="shared" si="6"/>
        <v>78</v>
      </c>
      <c r="BS69" s="72">
        <f>IFERROR(TOR_H211[[#This Row],[OBP]]+TOR_H211[[#This Row],[SLG]],0)</f>
        <v>0.83026917216861351</v>
      </c>
      <c r="BT69" s="74">
        <v>3</v>
      </c>
      <c r="BU69" s="615">
        <v>4</v>
      </c>
    </row>
    <row r="70" spans="1:73">
      <c r="A70" s="651" t="s">
        <v>266</v>
      </c>
      <c r="B70" s="71" t="s">
        <v>177</v>
      </c>
      <c r="C70" s="71" t="s">
        <v>270</v>
      </c>
      <c r="D70" s="72">
        <f>IFERROR(TOR_H[[#This Row],[H]]/TOR_H[[#This Row],[AB]],0)</f>
        <v>0.19178082191780821</v>
      </c>
      <c r="E70" s="72">
        <f>IFERROR((TOR_H[[#This Row],[H]]+TOR_H[[#This Row],[BB]])/(TOR_H[[#This Row],[AB]]+TOR_H[[#This Row],[BB]]),0)</f>
        <v>0.32183908045977011</v>
      </c>
      <c r="F70" s="73">
        <f>IFERROR(((TOR_H[[#This Row],[H]]-TOR_H[[#This Row],[2B]]-TOR_H[[#This Row],[3B]]-TOR_H[[#This Row],[HR]])+(TOR_H[[#This Row],[2B]]*2)+(TOR_H[[#This Row],[3B]]*3)+(TOR_H[[#This Row],[HR]]*4))/TOR_H[[#This Row],[AB]],0)</f>
        <v>0.34246575342465752</v>
      </c>
      <c r="G70" s="28">
        <v>39</v>
      </c>
      <c r="H70" s="28">
        <v>146</v>
      </c>
      <c r="I70" s="28">
        <v>14</v>
      </c>
      <c r="J70" s="28">
        <v>28</v>
      </c>
      <c r="K70" s="28">
        <v>7</v>
      </c>
      <c r="L70" s="28">
        <v>0</v>
      </c>
      <c r="M70" s="28">
        <v>5</v>
      </c>
      <c r="N70" s="28">
        <v>17</v>
      </c>
      <c r="O70" s="28">
        <v>28</v>
      </c>
      <c r="P70" s="74">
        <v>35</v>
      </c>
      <c r="Q70" s="77">
        <v>0</v>
      </c>
      <c r="R70" s="28">
        <v>1</v>
      </c>
      <c r="S70" s="74">
        <v>3</v>
      </c>
      <c r="T70" s="77">
        <f>IFERROR((TOR_H[[#This Row],[H]]-TOR_H[[#This Row],[2B]]-TOR_H[[#This Row],[3B]]-TOR_H[[#This Row],[HR]])+(TOR_H[[#This Row],[2B]]*2)+(TOR_H[[#This Row],[3B]]*3)+(TOR_H[[#This Row],[HR]]*4),0)</f>
        <v>50</v>
      </c>
      <c r="U70" s="72">
        <f>TOR_H[[#This Row],[OBP]]+TOR_H[[#This Row],[SLG]]</f>
        <v>0.66430483388442763</v>
      </c>
      <c r="V70" s="74">
        <v>3</v>
      </c>
      <c r="W70" s="615">
        <v>5</v>
      </c>
      <c r="Z70" s="720" t="s">
        <v>266</v>
      </c>
      <c r="AA70" s="71" t="s">
        <v>177</v>
      </c>
      <c r="AB70" s="71" t="s">
        <v>270</v>
      </c>
      <c r="AC70" s="72">
        <f>IFERROR(TOR_H298[[#This Row],[H]]/TOR_H298[[#This Row],[AB]],0)</f>
        <v>0.20547945205479451</v>
      </c>
      <c r="AD70" s="72">
        <f>IFERROR((TOR_H298[[#This Row],[H]]+TOR_H298[[#This Row],[BB]])/(TOR_H298[[#This Row],[AB]]+TOR_H298[[#This Row],[BB]]),0)</f>
        <v>0.27950310559006208</v>
      </c>
      <c r="AE70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0.31506849315068491</v>
      </c>
      <c r="AF70" s="28">
        <v>39</v>
      </c>
      <c r="AG70" s="28">
        <v>146</v>
      </c>
      <c r="AH70" s="28">
        <v>13</v>
      </c>
      <c r="AI70" s="28">
        <v>30</v>
      </c>
      <c r="AJ70" s="28">
        <v>7</v>
      </c>
      <c r="AK70" s="28">
        <v>0</v>
      </c>
      <c r="AL70" s="28">
        <v>3</v>
      </c>
      <c r="AM70" s="28">
        <v>26</v>
      </c>
      <c r="AN70" s="28">
        <v>15</v>
      </c>
      <c r="AO70" s="74">
        <v>42</v>
      </c>
      <c r="AP70" s="77">
        <v>0</v>
      </c>
      <c r="AQ70" s="28">
        <v>1</v>
      </c>
      <c r="AR70" s="74">
        <v>4</v>
      </c>
      <c r="AS70" s="77">
        <f>IFERROR((TOR_H298[[#This Row],[H]]-TOR_H298[[#This Row],[2B]]-TOR_H298[[#This Row],[3B]]-TOR_H298[[#This Row],[HR]])+(TOR_H298[[#This Row],[2B]]*2)+(TOR_H298[[#This Row],[3B]]*3)+(TOR_H298[[#This Row],[HR]]*4),0)</f>
        <v>46</v>
      </c>
      <c r="AT70" s="72">
        <f>TOR_H298[[#This Row],[OBP]]+TOR_H298[[#This Row],[SLG]]</f>
        <v>0.59457159874074694</v>
      </c>
      <c r="AU70" s="74">
        <v>4</v>
      </c>
      <c r="AV70" s="615">
        <v>5</v>
      </c>
      <c r="AY70" s="651" t="s">
        <v>266</v>
      </c>
      <c r="AZ70" s="71" t="s">
        <v>177</v>
      </c>
      <c r="BA70" s="71" t="s">
        <v>270</v>
      </c>
      <c r="BB70" s="72">
        <f>IFERROR(TOR_H211[[#This Row],[H]]/TOR_H211[[#This Row],[AB]],0)</f>
        <v>0.25624999999999998</v>
      </c>
      <c r="BC70" s="72">
        <f>IFERROR((TOR_H211[[#This Row],[BB]]+TOR_H211[[#This Row],[H]])/(TOR_H211[[#This Row],[AB]]+TOR_H211[[#This Row],[BB]]),0)</f>
        <v>0.33519553072625696</v>
      </c>
      <c r="BD70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0.48125000000000001</v>
      </c>
      <c r="BE70" s="28">
        <v>40</v>
      </c>
      <c r="BF70" s="28">
        <v>160</v>
      </c>
      <c r="BG70" s="28">
        <v>26</v>
      </c>
      <c r="BH70" s="28">
        <v>41</v>
      </c>
      <c r="BI70" s="28">
        <v>12</v>
      </c>
      <c r="BJ70" s="28">
        <v>0</v>
      </c>
      <c r="BK70" s="28">
        <v>8</v>
      </c>
      <c r="BL70" s="28">
        <v>23</v>
      </c>
      <c r="BM70" s="28">
        <v>19</v>
      </c>
      <c r="BN70" s="74">
        <v>42</v>
      </c>
      <c r="BO70" s="77">
        <v>0</v>
      </c>
      <c r="BP70" s="28">
        <v>0</v>
      </c>
      <c r="BQ70" s="74">
        <v>6</v>
      </c>
      <c r="BR70" s="77">
        <f t="shared" si="6"/>
        <v>77</v>
      </c>
      <c r="BS70" s="72">
        <f>IFERROR(TOR_H211[[#This Row],[OBP]]+TOR_H211[[#This Row],[SLG]],0)</f>
        <v>0.81644553072625703</v>
      </c>
      <c r="BT70" s="74">
        <v>1</v>
      </c>
      <c r="BU70" s="615">
        <v>5</v>
      </c>
    </row>
    <row r="71" spans="1:73">
      <c r="A71" s="651" t="s">
        <v>266</v>
      </c>
      <c r="B71" s="71" t="s">
        <v>174</v>
      </c>
      <c r="C71" s="71" t="s">
        <v>273</v>
      </c>
      <c r="D71" s="72">
        <f>IFERROR(TOR_H[[#This Row],[H]]/TOR_H[[#This Row],[AB]],0)</f>
        <v>0.17592592592592593</v>
      </c>
      <c r="E71" s="72">
        <f>IFERROR((TOR_H[[#This Row],[H]]+TOR_H[[#This Row],[BB]])/(TOR_H[[#This Row],[AB]]+TOR_H[[#This Row],[BB]]),0)</f>
        <v>0.21929824561403508</v>
      </c>
      <c r="F71" s="73">
        <f>IFERROR(((TOR_H[[#This Row],[H]]-TOR_H[[#This Row],[2B]]-TOR_H[[#This Row],[3B]]-TOR_H[[#This Row],[HR]])+(TOR_H[[#This Row],[2B]]*2)+(TOR_H[[#This Row],[3B]]*3)+(TOR_H[[#This Row],[HR]]*4))/TOR_H[[#This Row],[AB]],0)</f>
        <v>0.43518518518518517</v>
      </c>
      <c r="G71" s="28">
        <v>29</v>
      </c>
      <c r="H71" s="28">
        <v>108</v>
      </c>
      <c r="I71" s="28">
        <v>9</v>
      </c>
      <c r="J71" s="28">
        <v>19</v>
      </c>
      <c r="K71" s="28">
        <v>4</v>
      </c>
      <c r="L71" s="28">
        <v>3</v>
      </c>
      <c r="M71" s="28">
        <v>6</v>
      </c>
      <c r="N71" s="28">
        <v>17</v>
      </c>
      <c r="O71" s="28">
        <v>6</v>
      </c>
      <c r="P71" s="74">
        <v>43</v>
      </c>
      <c r="Q71" s="77">
        <v>0</v>
      </c>
      <c r="R71" s="28">
        <v>3</v>
      </c>
      <c r="S71" s="74">
        <v>3</v>
      </c>
      <c r="T71" s="77">
        <f>IFERROR((TOR_H[[#This Row],[H]]-TOR_H[[#This Row],[2B]]-TOR_H[[#This Row],[3B]]-TOR_H[[#This Row],[HR]])+(TOR_H[[#This Row],[2B]]*2)+(TOR_H[[#This Row],[3B]]*3)+(TOR_H[[#This Row],[HR]]*4),0)</f>
        <v>47</v>
      </c>
      <c r="U71" s="72">
        <f>TOR_H[[#This Row],[OBP]]+TOR_H[[#This Row],[SLG]]</f>
        <v>0.65448343079922022</v>
      </c>
      <c r="V71" s="74">
        <v>3</v>
      </c>
      <c r="W71" s="615">
        <v>6</v>
      </c>
      <c r="Z71" s="720" t="s">
        <v>266</v>
      </c>
      <c r="AA71" s="71" t="s">
        <v>174</v>
      </c>
      <c r="AB71" s="71" t="s">
        <v>276</v>
      </c>
      <c r="AC71" s="72">
        <f>IFERROR(TOR_H298[[#This Row],[H]]/TOR_H298[[#This Row],[AB]],0)</f>
        <v>0.22222222222222221</v>
      </c>
      <c r="AD71" s="72">
        <f>IFERROR((TOR_H298[[#This Row],[H]]+TOR_H298[[#This Row],[BB]])/(TOR_H298[[#This Row],[AB]]+TOR_H298[[#This Row],[BB]]),0)</f>
        <v>0.25190839694656486</v>
      </c>
      <c r="AE71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0.40476190476190477</v>
      </c>
      <c r="AF71" s="28">
        <v>35</v>
      </c>
      <c r="AG71" s="28">
        <v>126</v>
      </c>
      <c r="AH71" s="28">
        <v>11</v>
      </c>
      <c r="AI71" s="28">
        <v>28</v>
      </c>
      <c r="AJ71" s="28">
        <v>8</v>
      </c>
      <c r="AK71" s="28">
        <v>0</v>
      </c>
      <c r="AL71" s="28">
        <v>5</v>
      </c>
      <c r="AM71" s="28">
        <v>11</v>
      </c>
      <c r="AN71" s="28">
        <v>5</v>
      </c>
      <c r="AO71" s="74">
        <v>33</v>
      </c>
      <c r="AP71" s="77">
        <v>0</v>
      </c>
      <c r="AQ71" s="28">
        <v>2</v>
      </c>
      <c r="AR71" s="74">
        <v>10</v>
      </c>
      <c r="AS71" s="77">
        <f>IFERROR((TOR_H298[[#This Row],[H]]-TOR_H298[[#This Row],[2B]]-TOR_H298[[#This Row],[3B]]-TOR_H298[[#This Row],[HR]])+(TOR_H298[[#This Row],[2B]]*2)+(TOR_H298[[#This Row],[3B]]*3)+(TOR_H298[[#This Row],[HR]]*4),0)</f>
        <v>51</v>
      </c>
      <c r="AT71" s="72">
        <f>TOR_H298[[#This Row],[OBP]]+TOR_H298[[#This Row],[SLG]]</f>
        <v>0.65667030170846963</v>
      </c>
      <c r="AU71" s="74">
        <v>1</v>
      </c>
      <c r="AV71" s="615">
        <v>6</v>
      </c>
      <c r="AY71" s="651" t="s">
        <v>266</v>
      </c>
      <c r="AZ71" s="71" t="s">
        <v>174</v>
      </c>
      <c r="BA71" s="71" t="s">
        <v>271</v>
      </c>
      <c r="BB71" s="72">
        <f>IFERROR(TOR_H211[[#This Row],[H]]/TOR_H211[[#This Row],[AB]],0)</f>
        <v>0.28082191780821919</v>
      </c>
      <c r="BC71" s="72">
        <f>IFERROR((TOR_H211[[#This Row],[BB]]+TOR_H211[[#This Row],[H]])/(TOR_H211[[#This Row],[AB]]+TOR_H211[[#This Row],[BB]]),0)</f>
        <v>0.30921052631578949</v>
      </c>
      <c r="BD71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0.5</v>
      </c>
      <c r="BE71" s="28">
        <v>37</v>
      </c>
      <c r="BF71" s="28">
        <v>146</v>
      </c>
      <c r="BG71" s="28">
        <v>17</v>
      </c>
      <c r="BH71" s="28">
        <v>41</v>
      </c>
      <c r="BI71" s="28">
        <v>11</v>
      </c>
      <c r="BJ71" s="28">
        <v>0</v>
      </c>
      <c r="BK71" s="28">
        <v>7</v>
      </c>
      <c r="BL71" s="28">
        <v>19</v>
      </c>
      <c r="BM71" s="28">
        <v>6</v>
      </c>
      <c r="BN71" s="74">
        <v>39</v>
      </c>
      <c r="BO71" s="77">
        <v>0</v>
      </c>
      <c r="BP71" s="28">
        <v>0</v>
      </c>
      <c r="BQ71" s="74">
        <v>5</v>
      </c>
      <c r="BR71" s="77">
        <f t="shared" si="6"/>
        <v>73</v>
      </c>
      <c r="BS71" s="72">
        <f>IFERROR(TOR_H211[[#This Row],[OBP]]+TOR_H211[[#This Row],[SLG]],0)</f>
        <v>0.80921052631578949</v>
      </c>
      <c r="BT71" s="74">
        <v>1</v>
      </c>
      <c r="BU71" s="615">
        <v>6</v>
      </c>
    </row>
    <row r="72" spans="1:73">
      <c r="A72" s="651" t="s">
        <v>266</v>
      </c>
      <c r="B72" s="71" t="s">
        <v>181</v>
      </c>
      <c r="C72" s="71" t="s">
        <v>276</v>
      </c>
      <c r="D72" s="72">
        <f>IFERROR(TOR_H[[#This Row],[H]]/TOR_H[[#This Row],[AB]],0)</f>
        <v>0.21649484536082475</v>
      </c>
      <c r="E72" s="72">
        <f>IFERROR((TOR_H[[#This Row],[H]]+TOR_H[[#This Row],[BB]])/(TOR_H[[#This Row],[AB]]+TOR_H[[#This Row],[BB]]),0)</f>
        <v>0.27619047619047621</v>
      </c>
      <c r="F72" s="73">
        <f>IFERROR(((TOR_H[[#This Row],[H]]-TOR_H[[#This Row],[2B]]-TOR_H[[#This Row],[3B]]-TOR_H[[#This Row],[HR]])+(TOR_H[[#This Row],[2B]]*2)+(TOR_H[[#This Row],[3B]]*3)+(TOR_H[[#This Row],[HR]]*4))/TOR_H[[#This Row],[AB]],0)</f>
        <v>0.39175257731958762</v>
      </c>
      <c r="G72" s="28">
        <v>30</v>
      </c>
      <c r="H72" s="28">
        <v>97</v>
      </c>
      <c r="I72" s="28">
        <v>11</v>
      </c>
      <c r="J72" s="28">
        <v>21</v>
      </c>
      <c r="K72" s="28">
        <v>3</v>
      </c>
      <c r="L72" s="28">
        <v>1</v>
      </c>
      <c r="M72" s="28">
        <v>4</v>
      </c>
      <c r="N72" s="28">
        <v>8</v>
      </c>
      <c r="O72" s="28">
        <v>8</v>
      </c>
      <c r="P72" s="74">
        <v>34</v>
      </c>
      <c r="Q72" s="77">
        <v>0</v>
      </c>
      <c r="R72" s="28">
        <v>0</v>
      </c>
      <c r="S72" s="74">
        <v>4</v>
      </c>
      <c r="T72" s="77">
        <f>IFERROR((TOR_H[[#This Row],[H]]-TOR_H[[#This Row],[2B]]-TOR_H[[#This Row],[3B]]-TOR_H[[#This Row],[HR]])+(TOR_H[[#This Row],[2B]]*2)+(TOR_H[[#This Row],[3B]]*3)+(TOR_H[[#This Row],[HR]]*4),0)</f>
        <v>38</v>
      </c>
      <c r="U72" s="72">
        <f>TOR_H[[#This Row],[OBP]]+TOR_H[[#This Row],[SLG]]</f>
        <v>0.66794305351006389</v>
      </c>
      <c r="V72" s="74">
        <v>2</v>
      </c>
      <c r="W72" s="615">
        <v>7</v>
      </c>
      <c r="Z72" s="720" t="s">
        <v>266</v>
      </c>
      <c r="AA72" s="71" t="s">
        <v>181</v>
      </c>
      <c r="AB72" s="71" t="s">
        <v>269</v>
      </c>
      <c r="AC72" s="72">
        <f>IFERROR(TOR_H298[[#This Row],[H]]/TOR_H298[[#This Row],[AB]],0)</f>
        <v>0.25333333333333335</v>
      </c>
      <c r="AD72" s="72">
        <f>IFERROR((TOR_H298[[#This Row],[H]]+TOR_H298[[#This Row],[BB]])/(TOR_H298[[#This Row],[AB]]+TOR_H298[[#This Row],[BB]]),0)</f>
        <v>0.31707317073170732</v>
      </c>
      <c r="AE72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0.54</v>
      </c>
      <c r="AF72" s="28">
        <v>39</v>
      </c>
      <c r="AG72" s="28">
        <v>150</v>
      </c>
      <c r="AH72" s="28">
        <v>30</v>
      </c>
      <c r="AI72" s="28">
        <v>38</v>
      </c>
      <c r="AJ72" s="28">
        <v>6</v>
      </c>
      <c r="AK72" s="28">
        <v>2</v>
      </c>
      <c r="AL72" s="28">
        <v>11</v>
      </c>
      <c r="AM72" s="28">
        <v>29</v>
      </c>
      <c r="AN72" s="28">
        <v>14</v>
      </c>
      <c r="AO72" s="74">
        <v>39</v>
      </c>
      <c r="AP72" s="77">
        <v>0</v>
      </c>
      <c r="AQ72" s="28">
        <v>1</v>
      </c>
      <c r="AR72" s="74">
        <v>9</v>
      </c>
      <c r="AS72" s="77">
        <f>IFERROR((TOR_H298[[#This Row],[H]]-TOR_H298[[#This Row],[2B]]-TOR_H298[[#This Row],[3B]]-TOR_H298[[#This Row],[HR]])+(TOR_H298[[#This Row],[2B]]*2)+(TOR_H298[[#This Row],[3B]]*3)+(TOR_H298[[#This Row],[HR]]*4),0)</f>
        <v>81</v>
      </c>
      <c r="AT72" s="72">
        <f>TOR_H298[[#This Row],[OBP]]+TOR_H298[[#This Row],[SLG]]</f>
        <v>0.85707317073170741</v>
      </c>
      <c r="AU72" s="74">
        <v>6</v>
      </c>
      <c r="AV72" s="615">
        <v>7</v>
      </c>
      <c r="AY72" s="651" t="s">
        <v>266</v>
      </c>
      <c r="AZ72" s="71" t="s">
        <v>181</v>
      </c>
      <c r="BA72" s="71" t="s">
        <v>269</v>
      </c>
      <c r="BB72" s="72">
        <f>IFERROR(TOR_H211[[#This Row],[H]]/TOR_H211[[#This Row],[AB]],0)</f>
        <v>0.24516129032258063</v>
      </c>
      <c r="BC72" s="72">
        <f>IFERROR((TOR_H211[[#This Row],[BB]]+TOR_H211[[#This Row],[H]])/(TOR_H211[[#This Row],[AB]]+TOR_H211[[#This Row],[BB]]),0)</f>
        <v>0.33522727272727271</v>
      </c>
      <c r="BD72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0.35483870967741937</v>
      </c>
      <c r="BE72" s="28">
        <v>39</v>
      </c>
      <c r="BF72" s="28">
        <v>155</v>
      </c>
      <c r="BG72" s="28">
        <v>20</v>
      </c>
      <c r="BH72" s="28">
        <v>38</v>
      </c>
      <c r="BI72" s="28">
        <v>4</v>
      </c>
      <c r="BJ72" s="28">
        <v>2</v>
      </c>
      <c r="BK72" s="28">
        <v>3</v>
      </c>
      <c r="BL72" s="28">
        <v>23</v>
      </c>
      <c r="BM72" s="28">
        <v>21</v>
      </c>
      <c r="BN72" s="74">
        <v>47</v>
      </c>
      <c r="BO72" s="77">
        <v>0</v>
      </c>
      <c r="BP72" s="28">
        <v>4</v>
      </c>
      <c r="BQ72" s="74">
        <v>10</v>
      </c>
      <c r="BR72" s="77">
        <f t="shared" si="6"/>
        <v>55</v>
      </c>
      <c r="BS72" s="72">
        <f>IFERROR(TOR_H211[[#This Row],[OBP]]+TOR_H211[[#This Row],[SLG]],0)</f>
        <v>0.69006598240469208</v>
      </c>
      <c r="BT72" s="74">
        <v>2</v>
      </c>
      <c r="BU72" s="615">
        <v>7</v>
      </c>
    </row>
    <row r="73" spans="1:73">
      <c r="A73" s="651" t="s">
        <v>266</v>
      </c>
      <c r="B73" s="71" t="s">
        <v>166</v>
      </c>
      <c r="C73" s="71" t="s">
        <v>269</v>
      </c>
      <c r="D73" s="72">
        <f>IFERROR(TOR_H[[#This Row],[H]]/TOR_H[[#This Row],[AB]],0)</f>
        <v>0.26845637583892618</v>
      </c>
      <c r="E73" s="72">
        <f>IFERROR((TOR_H[[#This Row],[H]]+TOR_H[[#This Row],[BB]])/(TOR_H[[#This Row],[AB]]+TOR_H[[#This Row],[BB]]),0)</f>
        <v>0.3271604938271605</v>
      </c>
      <c r="F73" s="73">
        <f>IFERROR(((TOR_H[[#This Row],[H]]-TOR_H[[#This Row],[2B]]-TOR_H[[#This Row],[3B]]-TOR_H[[#This Row],[HR]])+(TOR_H[[#This Row],[2B]]*2)+(TOR_H[[#This Row],[3B]]*3)+(TOR_H[[#This Row],[HR]]*4))/TOR_H[[#This Row],[AB]],0)</f>
        <v>0.51006711409395977</v>
      </c>
      <c r="G73" s="28">
        <v>36</v>
      </c>
      <c r="H73" s="28">
        <v>149</v>
      </c>
      <c r="I73" s="28">
        <v>20</v>
      </c>
      <c r="J73" s="28">
        <v>40</v>
      </c>
      <c r="K73" s="28">
        <v>6</v>
      </c>
      <c r="L73" s="28">
        <v>3</v>
      </c>
      <c r="M73" s="28">
        <v>8</v>
      </c>
      <c r="N73" s="28">
        <v>24</v>
      </c>
      <c r="O73" s="28">
        <v>13</v>
      </c>
      <c r="P73" s="74">
        <v>31</v>
      </c>
      <c r="Q73" s="77">
        <v>0</v>
      </c>
      <c r="R73" s="28">
        <v>0</v>
      </c>
      <c r="S73" s="74">
        <v>6</v>
      </c>
      <c r="T73" s="77">
        <f>IFERROR((TOR_H[[#This Row],[H]]-TOR_H[[#This Row],[2B]]-TOR_H[[#This Row],[3B]]-TOR_H[[#This Row],[HR]])+(TOR_H[[#This Row],[2B]]*2)+(TOR_H[[#This Row],[3B]]*3)+(TOR_H[[#This Row],[HR]]*4),0)</f>
        <v>76</v>
      </c>
      <c r="U73" s="72">
        <f>TOR_H[[#This Row],[OBP]]+TOR_H[[#This Row],[SLG]]</f>
        <v>0.83722760792112028</v>
      </c>
      <c r="V73" s="74">
        <v>2</v>
      </c>
      <c r="W73" s="615">
        <v>8</v>
      </c>
      <c r="Z73" s="720" t="s">
        <v>266</v>
      </c>
      <c r="AA73" s="71" t="s">
        <v>166</v>
      </c>
      <c r="AB73" s="71" t="s">
        <v>273</v>
      </c>
      <c r="AC73" s="72">
        <f>IFERROR(TOR_H298[[#This Row],[H]]/TOR_H298[[#This Row],[AB]],0)</f>
        <v>0.23076923076923078</v>
      </c>
      <c r="AD73" s="72">
        <f>IFERROR((TOR_H298[[#This Row],[H]]+TOR_H298[[#This Row],[BB]])/(TOR_H298[[#This Row],[AB]]+TOR_H298[[#This Row],[BB]]),0)</f>
        <v>0.26470588235294118</v>
      </c>
      <c r="AE73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0.46153846153846156</v>
      </c>
      <c r="AF73" s="28">
        <v>36</v>
      </c>
      <c r="AG73" s="28">
        <v>130</v>
      </c>
      <c r="AH73" s="28">
        <v>12</v>
      </c>
      <c r="AI73" s="28">
        <v>30</v>
      </c>
      <c r="AJ73" s="28">
        <v>9</v>
      </c>
      <c r="AK73" s="28">
        <v>0</v>
      </c>
      <c r="AL73" s="28">
        <v>7</v>
      </c>
      <c r="AM73" s="28">
        <v>21</v>
      </c>
      <c r="AN73" s="28">
        <v>6</v>
      </c>
      <c r="AO73" s="74">
        <v>45</v>
      </c>
      <c r="AP73" s="77">
        <v>0</v>
      </c>
      <c r="AQ73" s="28">
        <v>1</v>
      </c>
      <c r="AR73" s="74">
        <v>3</v>
      </c>
      <c r="AS73" s="77">
        <f>IFERROR((TOR_H298[[#This Row],[H]]-TOR_H298[[#This Row],[2B]]-TOR_H298[[#This Row],[3B]]-TOR_H298[[#This Row],[HR]])+(TOR_H298[[#This Row],[2B]]*2)+(TOR_H298[[#This Row],[3B]]*3)+(TOR_H298[[#This Row],[HR]]*4),0)</f>
        <v>60</v>
      </c>
      <c r="AT73" s="72">
        <f>TOR_H298[[#This Row],[OBP]]+TOR_H298[[#This Row],[SLG]]</f>
        <v>0.7262443438914028</v>
      </c>
      <c r="AU73" s="74">
        <v>2</v>
      </c>
      <c r="AV73" s="615">
        <v>8</v>
      </c>
      <c r="AY73" s="651" t="s">
        <v>266</v>
      </c>
      <c r="AZ73" s="71" t="s">
        <v>166</v>
      </c>
      <c r="BA73" s="71" t="s">
        <v>273</v>
      </c>
      <c r="BB73" s="72">
        <f>IFERROR(TOR_H211[[#This Row],[H]]/TOR_H211[[#This Row],[AB]],0)</f>
        <v>0.23404255319148937</v>
      </c>
      <c r="BC73" s="72">
        <f>IFERROR((TOR_H211[[#This Row],[BB]]+TOR_H211[[#This Row],[H]])/(TOR_H211[[#This Row],[AB]]+TOR_H211[[#This Row],[BB]]),0)</f>
        <v>0.3032258064516129</v>
      </c>
      <c r="BD73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0.46808510638297873</v>
      </c>
      <c r="BE73" s="28">
        <v>36</v>
      </c>
      <c r="BF73" s="28">
        <v>141</v>
      </c>
      <c r="BG73" s="28">
        <v>21</v>
      </c>
      <c r="BH73" s="28">
        <v>33</v>
      </c>
      <c r="BI73" s="28">
        <v>6</v>
      </c>
      <c r="BJ73" s="28">
        <v>0</v>
      </c>
      <c r="BK73" s="28">
        <v>9</v>
      </c>
      <c r="BL73" s="28">
        <v>29</v>
      </c>
      <c r="BM73" s="28">
        <v>14</v>
      </c>
      <c r="BN73" s="74">
        <v>54</v>
      </c>
      <c r="BO73" s="77">
        <v>0</v>
      </c>
      <c r="BP73" s="28">
        <v>1</v>
      </c>
      <c r="BQ73" s="74">
        <v>10</v>
      </c>
      <c r="BR73" s="77">
        <f t="shared" si="6"/>
        <v>66</v>
      </c>
      <c r="BS73" s="72">
        <f>IFERROR(TOR_H211[[#This Row],[OBP]]+TOR_H211[[#This Row],[SLG]],0)</f>
        <v>0.77131091283459163</v>
      </c>
      <c r="BT73" s="74">
        <v>6</v>
      </c>
      <c r="BU73" s="615">
        <v>8</v>
      </c>
    </row>
    <row r="74" spans="1:73">
      <c r="A74" s="651" t="s">
        <v>266</v>
      </c>
      <c r="B74" s="71" t="s">
        <v>168</v>
      </c>
      <c r="C74" s="71" t="s">
        <v>272</v>
      </c>
      <c r="D74" s="72">
        <f>IFERROR(TOR_H[[#This Row],[H]]/TOR_H[[#This Row],[AB]],0)</f>
        <v>0.24060150375939848</v>
      </c>
      <c r="E74" s="72">
        <f>IFERROR((TOR_H[[#This Row],[H]]+TOR_H[[#This Row],[BB]])/(TOR_H[[#This Row],[AB]]+TOR_H[[#This Row],[BB]]),0)</f>
        <v>0.34415584415584416</v>
      </c>
      <c r="F74" s="73">
        <f>IFERROR(((TOR_H[[#This Row],[H]]-TOR_H[[#This Row],[2B]]-TOR_H[[#This Row],[3B]]-TOR_H[[#This Row],[HR]])+(TOR_H[[#This Row],[2B]]*2)+(TOR_H[[#This Row],[3B]]*3)+(TOR_H[[#This Row],[HR]]*4))/TOR_H[[#This Row],[AB]],0)</f>
        <v>0.47368421052631576</v>
      </c>
      <c r="G74" s="28">
        <v>37</v>
      </c>
      <c r="H74" s="28">
        <v>133</v>
      </c>
      <c r="I74" s="28">
        <v>19</v>
      </c>
      <c r="J74" s="28">
        <v>32</v>
      </c>
      <c r="K74" s="28">
        <v>7</v>
      </c>
      <c r="L74" s="28">
        <v>0</v>
      </c>
      <c r="M74" s="28">
        <v>8</v>
      </c>
      <c r="N74" s="28">
        <v>14</v>
      </c>
      <c r="O74" s="28">
        <v>21</v>
      </c>
      <c r="P74" s="74">
        <v>34</v>
      </c>
      <c r="Q74" s="77">
        <v>0</v>
      </c>
      <c r="R74" s="28">
        <v>2</v>
      </c>
      <c r="S74" s="74">
        <v>6</v>
      </c>
      <c r="T74" s="77">
        <f>IFERROR((TOR_H[[#This Row],[H]]-TOR_H[[#This Row],[2B]]-TOR_H[[#This Row],[3B]]-TOR_H[[#This Row],[HR]])+(TOR_H[[#This Row],[2B]]*2)+(TOR_H[[#This Row],[3B]]*3)+(TOR_H[[#This Row],[HR]]*4),0)</f>
        <v>63</v>
      </c>
      <c r="U74" s="72">
        <f>TOR_H[[#This Row],[OBP]]+TOR_H[[#This Row],[SLG]]</f>
        <v>0.81784005468215992</v>
      </c>
      <c r="V74" s="74">
        <v>1</v>
      </c>
      <c r="W74" s="615">
        <v>9</v>
      </c>
      <c r="Z74" s="720" t="s">
        <v>266</v>
      </c>
      <c r="AA74" s="71" t="s">
        <v>168</v>
      </c>
      <c r="AB74" s="71" t="s">
        <v>272</v>
      </c>
      <c r="AC74" s="72">
        <f>IFERROR(TOR_H298[[#This Row],[H]]/TOR_H298[[#This Row],[AB]],0)</f>
        <v>0.24427480916030533</v>
      </c>
      <c r="AD74" s="72">
        <f>IFERROR((TOR_H298[[#This Row],[H]]+TOR_H298[[#This Row],[BB]])/(TOR_H298[[#This Row],[AB]]+TOR_H298[[#This Row],[BB]]),0)</f>
        <v>0.36129032258064514</v>
      </c>
      <c r="AE74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0.41984732824427479</v>
      </c>
      <c r="AF74" s="28">
        <v>39</v>
      </c>
      <c r="AG74" s="28">
        <v>131</v>
      </c>
      <c r="AH74" s="28">
        <v>18</v>
      </c>
      <c r="AI74" s="28">
        <v>32</v>
      </c>
      <c r="AJ74" s="28">
        <v>8</v>
      </c>
      <c r="AK74" s="28">
        <v>0</v>
      </c>
      <c r="AL74" s="28">
        <v>5</v>
      </c>
      <c r="AM74" s="28">
        <v>20</v>
      </c>
      <c r="AN74" s="28">
        <v>24</v>
      </c>
      <c r="AO74" s="74">
        <v>32</v>
      </c>
      <c r="AP74" s="77">
        <v>0</v>
      </c>
      <c r="AQ74" s="28">
        <v>3</v>
      </c>
      <c r="AR74" s="74">
        <v>7</v>
      </c>
      <c r="AS74" s="77">
        <f>IFERROR((TOR_H298[[#This Row],[H]]-TOR_H298[[#This Row],[2B]]-TOR_H298[[#This Row],[3B]]-TOR_H298[[#This Row],[HR]])+(TOR_H298[[#This Row],[2B]]*2)+(TOR_H298[[#This Row],[3B]]*3)+(TOR_H298[[#This Row],[HR]]*4),0)</f>
        <v>55</v>
      </c>
      <c r="AT74" s="72">
        <f>TOR_H298[[#This Row],[OBP]]+TOR_H298[[#This Row],[SLG]]</f>
        <v>0.78113765082491993</v>
      </c>
      <c r="AU74" s="74">
        <v>3</v>
      </c>
      <c r="AV74" s="615">
        <v>9</v>
      </c>
      <c r="AY74" s="651" t="s">
        <v>266</v>
      </c>
      <c r="AZ74" s="71" t="s">
        <v>168</v>
      </c>
      <c r="BA74" s="71" t="s">
        <v>272</v>
      </c>
      <c r="BB74" s="72">
        <f>IFERROR(TOR_H211[[#This Row],[H]]/TOR_H211[[#This Row],[AB]],0)</f>
        <v>0.2421875</v>
      </c>
      <c r="BC74" s="72">
        <f>IFERROR((TOR_H211[[#This Row],[BB]]+TOR_H211[[#This Row],[H]])/(TOR_H211[[#This Row],[AB]]+TOR_H211[[#This Row],[BB]]),0)</f>
        <v>0.36184210526315791</v>
      </c>
      <c r="BD74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0.4140625</v>
      </c>
      <c r="BE74" s="28">
        <v>35</v>
      </c>
      <c r="BF74" s="28">
        <v>128</v>
      </c>
      <c r="BG74" s="28">
        <v>23</v>
      </c>
      <c r="BH74" s="28">
        <v>31</v>
      </c>
      <c r="BI74" s="28">
        <v>1</v>
      </c>
      <c r="BJ74" s="28">
        <v>0</v>
      </c>
      <c r="BK74" s="28">
        <v>7</v>
      </c>
      <c r="BL74" s="28">
        <v>20</v>
      </c>
      <c r="BM74" s="28">
        <v>24</v>
      </c>
      <c r="BN74" s="74">
        <v>30</v>
      </c>
      <c r="BO74" s="77">
        <v>0</v>
      </c>
      <c r="BP74" s="28">
        <v>3</v>
      </c>
      <c r="BQ74" s="74">
        <v>5</v>
      </c>
      <c r="BR74" s="77">
        <f t="shared" si="6"/>
        <v>53</v>
      </c>
      <c r="BS74" s="72">
        <f>IFERROR(TOR_H211[[#This Row],[OBP]]+TOR_H211[[#This Row],[SLG]],0)</f>
        <v>0.77590460526315796</v>
      </c>
      <c r="BT74" s="74">
        <v>2</v>
      </c>
      <c r="BU74" s="615">
        <v>9</v>
      </c>
    </row>
    <row r="75" spans="1:73">
      <c r="A75" s="651" t="s">
        <v>266</v>
      </c>
      <c r="B75" s="71" t="s">
        <v>179</v>
      </c>
      <c r="C75" s="71" t="s">
        <v>278</v>
      </c>
      <c r="D75" s="72">
        <f>IFERROR(TOR_H[[#This Row],[H]]/TOR_H[[#This Row],[AB]],0)</f>
        <v>0.15384615384615385</v>
      </c>
      <c r="E75" s="72">
        <f>IFERROR((TOR_H[[#This Row],[H]]+TOR_H[[#This Row],[BB]])/(TOR_H[[#This Row],[AB]]+TOR_H[[#This Row],[BB]]),0)</f>
        <v>0.21428571428571427</v>
      </c>
      <c r="F75" s="73">
        <f>IFERROR(((TOR_H[[#This Row],[H]]-TOR_H[[#This Row],[2B]]-TOR_H[[#This Row],[3B]]-TOR_H[[#This Row],[HR]])+(TOR_H[[#This Row],[2B]]*2)+(TOR_H[[#This Row],[3B]]*3)+(TOR_H[[#This Row],[HR]]*4))/TOR_H[[#This Row],[AB]],0)</f>
        <v>0.19230769230769232</v>
      </c>
      <c r="G75" s="28">
        <v>8</v>
      </c>
      <c r="H75" s="28">
        <v>26</v>
      </c>
      <c r="I75" s="28">
        <v>1</v>
      </c>
      <c r="J75" s="28">
        <v>4</v>
      </c>
      <c r="K75" s="28">
        <v>1</v>
      </c>
      <c r="L75" s="28">
        <v>0</v>
      </c>
      <c r="M75" s="28">
        <v>0</v>
      </c>
      <c r="N75" s="28">
        <v>1</v>
      </c>
      <c r="O75" s="28">
        <v>2</v>
      </c>
      <c r="P75" s="74">
        <v>7</v>
      </c>
      <c r="Q75" s="77">
        <v>0</v>
      </c>
      <c r="R75" s="28">
        <v>2</v>
      </c>
      <c r="S75" s="74">
        <v>2</v>
      </c>
      <c r="T75" s="77">
        <f>IFERROR((TOR_H[[#This Row],[H]]-TOR_H[[#This Row],[2B]]-TOR_H[[#This Row],[3B]]-TOR_H[[#This Row],[HR]])+(TOR_H[[#This Row],[2B]]*2)+(TOR_H[[#This Row],[3B]]*3)+(TOR_H[[#This Row],[HR]]*4),0)</f>
        <v>5</v>
      </c>
      <c r="U75" s="72">
        <f>TOR_H[[#This Row],[OBP]]+TOR_H[[#This Row],[SLG]]</f>
        <v>0.40659340659340659</v>
      </c>
      <c r="V75" s="74">
        <v>0</v>
      </c>
      <c r="W75" s="615">
        <v>10</v>
      </c>
      <c r="Z75" s="720" t="s">
        <v>266</v>
      </c>
      <c r="AA75" s="71" t="s">
        <v>179</v>
      </c>
      <c r="AB75" s="71" t="s">
        <v>278</v>
      </c>
      <c r="AC75" s="72">
        <f>IFERROR(TOR_H298[[#This Row],[H]]/TOR_H298[[#This Row],[AB]],0)</f>
        <v>0.18604651162790697</v>
      </c>
      <c r="AD75" s="72">
        <f>IFERROR((TOR_H298[[#This Row],[H]]+TOR_H298[[#This Row],[BB]])/(TOR_H298[[#This Row],[AB]]+TOR_H298[[#This Row],[BB]]),0)</f>
        <v>0.27083333333333331</v>
      </c>
      <c r="AE75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0.48837209302325579</v>
      </c>
      <c r="AF75" s="28">
        <v>15</v>
      </c>
      <c r="AG75" s="28">
        <v>43</v>
      </c>
      <c r="AH75" s="28">
        <v>6</v>
      </c>
      <c r="AI75" s="28">
        <v>8</v>
      </c>
      <c r="AJ75" s="28">
        <v>4</v>
      </c>
      <c r="AK75" s="28">
        <v>0</v>
      </c>
      <c r="AL75" s="28">
        <v>3</v>
      </c>
      <c r="AM75" s="28">
        <v>4</v>
      </c>
      <c r="AN75" s="28">
        <v>5</v>
      </c>
      <c r="AO75" s="74">
        <v>13</v>
      </c>
      <c r="AP75" s="77">
        <v>0</v>
      </c>
      <c r="AQ75" s="28">
        <v>0</v>
      </c>
      <c r="AR75" s="74">
        <v>4</v>
      </c>
      <c r="AS75" s="77">
        <f>IFERROR((TOR_H298[[#This Row],[H]]-TOR_H298[[#This Row],[2B]]-TOR_H298[[#This Row],[3B]]-TOR_H298[[#This Row],[HR]])+(TOR_H298[[#This Row],[2B]]*2)+(TOR_H298[[#This Row],[3B]]*3)+(TOR_H298[[#This Row],[HR]]*4),0)</f>
        <v>21</v>
      </c>
      <c r="AT75" s="72">
        <f>TOR_H298[[#This Row],[OBP]]+TOR_H298[[#This Row],[SLG]]</f>
        <v>0.75920542635658905</v>
      </c>
      <c r="AU75" s="74">
        <v>2</v>
      </c>
      <c r="AV75" s="615">
        <v>10</v>
      </c>
      <c r="AY75" s="651" t="s">
        <v>266</v>
      </c>
      <c r="AZ75" s="71" t="s">
        <v>179</v>
      </c>
      <c r="BA75" s="71" t="s">
        <v>275</v>
      </c>
      <c r="BB75" s="72">
        <f>IFERROR(TOR_H211[[#This Row],[H]]/TOR_H211[[#This Row],[AB]],0)</f>
        <v>0.13114754098360656</v>
      </c>
      <c r="BC75" s="72">
        <f>IFERROR((TOR_H211[[#This Row],[BB]]+TOR_H211[[#This Row],[H]])/(TOR_H211[[#This Row],[AB]]+TOR_H211[[#This Row],[BB]]),0)</f>
        <v>0.171875</v>
      </c>
      <c r="BD75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0.24590163934426229</v>
      </c>
      <c r="BE75" s="28">
        <v>23</v>
      </c>
      <c r="BF75" s="28">
        <v>61</v>
      </c>
      <c r="BG75" s="28">
        <v>3</v>
      </c>
      <c r="BH75" s="28">
        <v>8</v>
      </c>
      <c r="BI75" s="28">
        <v>1</v>
      </c>
      <c r="BJ75" s="28">
        <v>0</v>
      </c>
      <c r="BK75" s="28">
        <v>2</v>
      </c>
      <c r="BL75" s="28">
        <v>6</v>
      </c>
      <c r="BM75" s="28">
        <v>3</v>
      </c>
      <c r="BN75" s="74">
        <v>21</v>
      </c>
      <c r="BO75" s="77">
        <v>0</v>
      </c>
      <c r="BP75" s="28">
        <v>0</v>
      </c>
      <c r="BQ75" s="74">
        <v>3</v>
      </c>
      <c r="BR75" s="77">
        <f t="shared" si="6"/>
        <v>15</v>
      </c>
      <c r="BS75" s="72">
        <f>IFERROR(TOR_H211[[#This Row],[OBP]]+TOR_H211[[#This Row],[SLG]],0)</f>
        <v>0.41777663934426229</v>
      </c>
      <c r="BT75" s="74">
        <v>1</v>
      </c>
      <c r="BU75" s="615">
        <v>10</v>
      </c>
    </row>
    <row r="76" spans="1:73">
      <c r="A76" s="651" t="s">
        <v>266</v>
      </c>
      <c r="B76" s="77" t="s">
        <v>187</v>
      </c>
      <c r="C76" s="77" t="s">
        <v>280</v>
      </c>
      <c r="D76" s="996">
        <f>IFERROR(TOR_H[[#This Row],[H]]/TOR_H[[#This Row],[AB]],0)</f>
        <v>0.25</v>
      </c>
      <c r="E76" s="72">
        <f>IFERROR((TOR_H[[#This Row],[H]]+TOR_H[[#This Row],[BB]])/(TOR_H[[#This Row],[AB]]+TOR_H[[#This Row],[BB]]),0)</f>
        <v>0.25</v>
      </c>
      <c r="F76" s="73">
        <f>IFERROR(((TOR_H[[#This Row],[H]]-TOR_H[[#This Row],[2B]]-TOR_H[[#This Row],[3B]]-TOR_H[[#This Row],[HR]])+(TOR_H[[#This Row],[2B]]*2)+(TOR_H[[#This Row],[3B]]*3)+(TOR_H[[#This Row],[HR]]*4))/TOR_H[[#This Row],[AB]],0)</f>
        <v>0.29166666666666669</v>
      </c>
      <c r="G76" s="28">
        <v>6</v>
      </c>
      <c r="H76" s="28">
        <v>24</v>
      </c>
      <c r="I76" s="28">
        <v>0</v>
      </c>
      <c r="J76" s="28">
        <v>6</v>
      </c>
      <c r="K76" s="28">
        <v>1</v>
      </c>
      <c r="L76" s="28">
        <v>0</v>
      </c>
      <c r="M76" s="28">
        <v>0</v>
      </c>
      <c r="N76" s="28">
        <v>1</v>
      </c>
      <c r="O76" s="28">
        <v>0</v>
      </c>
      <c r="P76" s="74">
        <v>2</v>
      </c>
      <c r="Q76" s="77">
        <v>0</v>
      </c>
      <c r="R76" s="28">
        <v>0</v>
      </c>
      <c r="S76" s="74">
        <v>2</v>
      </c>
      <c r="T76" s="77">
        <f>IFERROR((TOR_H[[#This Row],[H]]-TOR_H[[#This Row],[2B]]-TOR_H[[#This Row],[3B]]-TOR_H[[#This Row],[HR]])+(TOR_H[[#This Row],[2B]]*2)+(TOR_H[[#This Row],[3B]]*3)+(TOR_H[[#This Row],[HR]]*4),0)</f>
        <v>7</v>
      </c>
      <c r="U76" s="72">
        <f>TOR_H[[#This Row],[OBP]]+TOR_H[[#This Row],[SLG]]</f>
        <v>0.54166666666666674</v>
      </c>
      <c r="V76" s="74">
        <v>0</v>
      </c>
      <c r="W76" s="615">
        <v>11</v>
      </c>
      <c r="Z76" s="720" t="s">
        <v>266</v>
      </c>
      <c r="AA76" s="71" t="s">
        <v>187</v>
      </c>
      <c r="AB76" s="77" t="s">
        <v>280</v>
      </c>
      <c r="AC76" s="130">
        <f>IFERROR(TOR_H298[[#This Row],[H]]/TOR_H298[[#This Row],[AB]],0)</f>
        <v>0.35</v>
      </c>
      <c r="AD76" s="72">
        <f>IFERROR((TOR_H298[[#This Row],[H]]+TOR_H298[[#This Row],[BB]])/(TOR_H298[[#This Row],[AB]]+TOR_H298[[#This Row],[BB]]),0)</f>
        <v>0.38095238095238093</v>
      </c>
      <c r="AE76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0.35</v>
      </c>
      <c r="AF76" s="28">
        <v>5</v>
      </c>
      <c r="AG76" s="28">
        <v>20</v>
      </c>
      <c r="AH76" s="28">
        <v>3</v>
      </c>
      <c r="AI76" s="28">
        <v>7</v>
      </c>
      <c r="AJ76" s="28">
        <v>0</v>
      </c>
      <c r="AK76" s="28">
        <v>0</v>
      </c>
      <c r="AL76" s="28">
        <v>0</v>
      </c>
      <c r="AM76" s="28">
        <v>0</v>
      </c>
      <c r="AN76" s="28">
        <v>1</v>
      </c>
      <c r="AO76" s="74">
        <v>3</v>
      </c>
      <c r="AP76" s="77">
        <v>0</v>
      </c>
      <c r="AQ76" s="28">
        <v>1</v>
      </c>
      <c r="AR76" s="74">
        <v>1</v>
      </c>
      <c r="AS76" s="77">
        <f>IFERROR((TOR_H298[[#This Row],[H]]-TOR_H298[[#This Row],[2B]]-TOR_H298[[#This Row],[3B]]-TOR_H298[[#This Row],[HR]])+(TOR_H298[[#This Row],[2B]]*2)+(TOR_H298[[#This Row],[3B]]*3)+(TOR_H298[[#This Row],[HR]]*4),0)</f>
        <v>7</v>
      </c>
      <c r="AT76" s="72">
        <f>TOR_H298[[#This Row],[OBP]]+TOR_H298[[#This Row],[SLG]]</f>
        <v>0.73095238095238091</v>
      </c>
      <c r="AU76" s="74">
        <v>0</v>
      </c>
      <c r="AV76" s="615">
        <v>11</v>
      </c>
      <c r="AY76" s="651" t="s">
        <v>266</v>
      </c>
      <c r="AZ76" s="71" t="s">
        <v>187</v>
      </c>
      <c r="BA76" s="71" t="s">
        <v>280</v>
      </c>
      <c r="BB76" s="72">
        <f>IFERROR(TOR_H211[[#This Row],[H]]/TOR_H211[[#This Row],[AB]],0)</f>
        <v>0.38709677419354838</v>
      </c>
      <c r="BC76" s="72">
        <f>IFERROR((TOR_H211[[#This Row],[BB]]+TOR_H211[[#This Row],[H]])/(TOR_H211[[#This Row],[AB]]+TOR_H211[[#This Row],[BB]]),0)</f>
        <v>0.45714285714285713</v>
      </c>
      <c r="BD76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0.5161290322580645</v>
      </c>
      <c r="BE76" s="28">
        <v>18</v>
      </c>
      <c r="BF76" s="28">
        <v>31</v>
      </c>
      <c r="BG76" s="28">
        <v>6</v>
      </c>
      <c r="BH76" s="28">
        <v>12</v>
      </c>
      <c r="BI76" s="28">
        <v>1</v>
      </c>
      <c r="BJ76" s="28">
        <v>0</v>
      </c>
      <c r="BK76" s="28">
        <v>1</v>
      </c>
      <c r="BL76" s="28">
        <v>5</v>
      </c>
      <c r="BM76" s="28">
        <v>4</v>
      </c>
      <c r="BN76" s="74">
        <v>8</v>
      </c>
      <c r="BO76" s="77">
        <v>0</v>
      </c>
      <c r="BP76" s="28">
        <v>0</v>
      </c>
      <c r="BQ76" s="74">
        <v>2</v>
      </c>
      <c r="BR76" s="77">
        <f t="shared" si="6"/>
        <v>16</v>
      </c>
      <c r="BS76" s="72">
        <f>IFERROR(TOR_H211[[#This Row],[OBP]]+TOR_H211[[#This Row],[SLG]],0)</f>
        <v>0.97327188940092157</v>
      </c>
      <c r="BT76" s="74">
        <v>1</v>
      </c>
      <c r="BU76" s="615">
        <v>11</v>
      </c>
    </row>
    <row r="77" spans="1:73">
      <c r="A77" s="651" t="s">
        <v>266</v>
      </c>
      <c r="B77" s="71" t="s">
        <v>192</v>
      </c>
      <c r="C77" s="71" t="s">
        <v>283</v>
      </c>
      <c r="D77" s="72">
        <f>IFERROR(TOR_H[[#This Row],[H]]/TOR_H[[#This Row],[AB]],0)</f>
        <v>0</v>
      </c>
      <c r="E77" s="72">
        <f>IFERROR((TOR_H[[#This Row],[H]]+TOR_H[[#This Row],[BB]])/(TOR_H[[#This Row],[AB]]+TOR_H[[#This Row],[BB]]),0)</f>
        <v>0</v>
      </c>
      <c r="F77" s="73">
        <f>IFERROR(((TOR_H[[#This Row],[H]]-TOR_H[[#This Row],[2B]]-TOR_H[[#This Row],[3B]]-TOR_H[[#This Row],[HR]])+(TOR_H[[#This Row],[2B]]*2)+(TOR_H[[#This Row],[3B]]*3)+(TOR_H[[#This Row],[HR]]*4))/TOR_H[[#This Row],[AB]],0)</f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74">
        <v>0</v>
      </c>
      <c r="Q77" s="77">
        <v>0</v>
      </c>
      <c r="R77" s="28">
        <v>0</v>
      </c>
      <c r="S77" s="74">
        <v>0</v>
      </c>
      <c r="T77" s="77">
        <f>IFERROR((TOR_H[[#This Row],[H]]-TOR_H[[#This Row],[2B]]-TOR_H[[#This Row],[3B]]-TOR_H[[#This Row],[HR]])+(TOR_H[[#This Row],[2B]]*2)+(TOR_H[[#This Row],[3B]]*3)+(TOR_H[[#This Row],[HR]]*4),0)</f>
        <v>0</v>
      </c>
      <c r="U77" s="72">
        <f>TOR_H[[#This Row],[OBP]]+TOR_H[[#This Row],[SLG]]</f>
        <v>0</v>
      </c>
      <c r="V77" s="74">
        <v>0</v>
      </c>
      <c r="W77" s="615">
        <v>12</v>
      </c>
      <c r="Z77" s="720" t="s">
        <v>266</v>
      </c>
      <c r="AA77" s="71" t="s">
        <v>187</v>
      </c>
      <c r="AB77" s="71" t="s">
        <v>282</v>
      </c>
      <c r="AC77" s="72">
        <f>IFERROR(TOR_H298[[#This Row],[H]]/TOR_H298[[#This Row],[AB]],0)</f>
        <v>0.15384615384615385</v>
      </c>
      <c r="AD77" s="72">
        <f>IFERROR((TOR_H298[[#This Row],[H]]+TOR_H298[[#This Row],[BB]])/(TOR_H298[[#This Row],[AB]]+TOR_H298[[#This Row],[BB]]),0)</f>
        <v>0.3125</v>
      </c>
      <c r="AE77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0.38461538461538464</v>
      </c>
      <c r="AF77" s="28">
        <v>5</v>
      </c>
      <c r="AG77" s="28">
        <v>13</v>
      </c>
      <c r="AH77" s="28">
        <v>2</v>
      </c>
      <c r="AI77" s="28">
        <v>2</v>
      </c>
      <c r="AJ77" s="28">
        <v>0</v>
      </c>
      <c r="AK77" s="28">
        <v>0</v>
      </c>
      <c r="AL77" s="28">
        <v>1</v>
      </c>
      <c r="AM77" s="28">
        <v>1</v>
      </c>
      <c r="AN77" s="28">
        <v>3</v>
      </c>
      <c r="AO77" s="74">
        <v>7</v>
      </c>
      <c r="AP77" s="77">
        <v>0</v>
      </c>
      <c r="AQ77" s="28">
        <v>1</v>
      </c>
      <c r="AR77" s="74">
        <v>1</v>
      </c>
      <c r="AS77" s="77">
        <f>IFERROR((TOR_H298[[#This Row],[H]]-TOR_H298[[#This Row],[2B]]-TOR_H298[[#This Row],[3B]]-TOR_H298[[#This Row],[HR]])+(TOR_H298[[#This Row],[2B]]*2)+(TOR_H298[[#This Row],[3B]]*3)+(TOR_H298[[#This Row],[HR]]*4),0)</f>
        <v>5</v>
      </c>
      <c r="AT77" s="72">
        <f>TOR_H298[[#This Row],[OBP]]+TOR_H298[[#This Row],[SLG]]</f>
        <v>0.69711538461538458</v>
      </c>
      <c r="AU77" s="74">
        <v>0</v>
      </c>
      <c r="AV77" s="615">
        <v>12</v>
      </c>
      <c r="AY77" s="651" t="s">
        <v>266</v>
      </c>
      <c r="AZ77" s="71" t="s">
        <v>187</v>
      </c>
      <c r="BA77" s="71" t="s">
        <v>282</v>
      </c>
      <c r="BB77" s="72">
        <f>IFERROR(TOR_H211[[#This Row],[H]]/TOR_H211[[#This Row],[AB]],0)</f>
        <v>0.36842105263157893</v>
      </c>
      <c r="BC77" s="72">
        <f>IFERROR((TOR_H211[[#This Row],[BB]]+TOR_H211[[#This Row],[H]])/(TOR_H211[[#This Row],[AB]]+TOR_H211[[#This Row],[BB]]),0)</f>
        <v>0.42857142857142855</v>
      </c>
      <c r="BD77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0.57894736842105265</v>
      </c>
      <c r="BE77" s="28">
        <v>6</v>
      </c>
      <c r="BF77" s="28">
        <v>19</v>
      </c>
      <c r="BG77" s="28">
        <v>4</v>
      </c>
      <c r="BH77" s="28">
        <v>7</v>
      </c>
      <c r="BI77" s="28">
        <v>1</v>
      </c>
      <c r="BJ77" s="28">
        <v>0</v>
      </c>
      <c r="BK77" s="28">
        <v>1</v>
      </c>
      <c r="BL77" s="28">
        <v>1</v>
      </c>
      <c r="BM77" s="28">
        <v>2</v>
      </c>
      <c r="BN77" s="74">
        <v>5</v>
      </c>
      <c r="BO77" s="77">
        <v>0</v>
      </c>
      <c r="BP77" s="28">
        <v>0</v>
      </c>
      <c r="BQ77" s="74">
        <v>2</v>
      </c>
      <c r="BR77" s="77">
        <f t="shared" si="6"/>
        <v>11</v>
      </c>
      <c r="BS77" s="72">
        <f>IFERROR(TOR_H211[[#This Row],[OBP]]+TOR_H211[[#This Row],[SLG]],0)</f>
        <v>1.0075187969924813</v>
      </c>
      <c r="BT77" s="74">
        <v>0</v>
      </c>
      <c r="BU77" s="615">
        <v>12</v>
      </c>
    </row>
    <row r="78" spans="1:73">
      <c r="A78" s="651" t="s">
        <v>266</v>
      </c>
      <c r="B78" s="71" t="s">
        <v>186</v>
      </c>
      <c r="C78" s="71" t="s">
        <v>279</v>
      </c>
      <c r="D78" s="72">
        <f>IFERROR(TOR_H[[#This Row],[H]]/TOR_H[[#This Row],[AB]],0)</f>
        <v>0.22222222222222221</v>
      </c>
      <c r="E78" s="72">
        <f>IFERROR((TOR_H[[#This Row],[H]]+TOR_H[[#This Row],[BB]])/(TOR_H[[#This Row],[AB]]+TOR_H[[#This Row],[BB]]),0)</f>
        <v>0.22222222222222221</v>
      </c>
      <c r="F78" s="73">
        <f>IFERROR(((TOR_H[[#This Row],[H]]-TOR_H[[#This Row],[2B]]-TOR_H[[#This Row],[3B]]-TOR_H[[#This Row],[HR]])+(TOR_H[[#This Row],[2B]]*2)+(TOR_H[[#This Row],[3B]]*3)+(TOR_H[[#This Row],[HR]]*4))/TOR_H[[#This Row],[AB]],0)</f>
        <v>0.3888888888888889</v>
      </c>
      <c r="G78" s="28">
        <v>14</v>
      </c>
      <c r="H78" s="28">
        <v>54</v>
      </c>
      <c r="I78" s="28">
        <v>5</v>
      </c>
      <c r="J78" s="28">
        <v>12</v>
      </c>
      <c r="K78" s="28">
        <v>3</v>
      </c>
      <c r="L78" s="28">
        <v>0</v>
      </c>
      <c r="M78" s="28">
        <v>2</v>
      </c>
      <c r="N78" s="28">
        <v>2</v>
      </c>
      <c r="O78" s="28">
        <v>0</v>
      </c>
      <c r="P78" s="74">
        <v>15</v>
      </c>
      <c r="Q78" s="77">
        <v>0</v>
      </c>
      <c r="R78" s="28">
        <v>1</v>
      </c>
      <c r="S78" s="74">
        <v>6</v>
      </c>
      <c r="T78" s="77">
        <f>IFERROR((TOR_H[[#This Row],[H]]-TOR_H[[#This Row],[2B]]-TOR_H[[#This Row],[3B]]-TOR_H[[#This Row],[HR]])+(TOR_H[[#This Row],[2B]]*2)+(TOR_H[[#This Row],[3B]]*3)+(TOR_H[[#This Row],[HR]]*4),0)</f>
        <v>21</v>
      </c>
      <c r="U78" s="72">
        <f>TOR_H[[#This Row],[OBP]]+TOR_H[[#This Row],[SLG]]</f>
        <v>0.61111111111111116</v>
      </c>
      <c r="V78" s="74">
        <v>0</v>
      </c>
      <c r="W78" s="615">
        <v>13</v>
      </c>
      <c r="Z78" s="720" t="s">
        <v>266</v>
      </c>
      <c r="AA78" s="71" t="s">
        <v>186</v>
      </c>
      <c r="AB78" s="71" t="s">
        <v>279</v>
      </c>
      <c r="AC78" s="72">
        <f>IFERROR(TOR_H298[[#This Row],[H]]/TOR_H298[[#This Row],[AB]],0)</f>
        <v>0.22727272727272727</v>
      </c>
      <c r="AD78" s="72">
        <f>IFERROR((TOR_H298[[#This Row],[H]]+TOR_H298[[#This Row],[BB]])/(TOR_H298[[#This Row],[AB]]+TOR_H298[[#This Row],[BB]]),0)</f>
        <v>0.2608695652173913</v>
      </c>
      <c r="AE78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0.40909090909090912</v>
      </c>
      <c r="AF78" s="28">
        <v>6</v>
      </c>
      <c r="AG78" s="28">
        <v>22</v>
      </c>
      <c r="AH78" s="28">
        <v>2</v>
      </c>
      <c r="AI78" s="28">
        <v>5</v>
      </c>
      <c r="AJ78" s="28">
        <v>1</v>
      </c>
      <c r="AK78" s="28">
        <v>0</v>
      </c>
      <c r="AL78" s="28">
        <v>1</v>
      </c>
      <c r="AM78" s="28">
        <v>1</v>
      </c>
      <c r="AN78" s="28">
        <v>1</v>
      </c>
      <c r="AO78" s="74">
        <v>4</v>
      </c>
      <c r="AP78" s="77">
        <v>0</v>
      </c>
      <c r="AQ78" s="28">
        <v>4</v>
      </c>
      <c r="AR78" s="74">
        <v>4</v>
      </c>
      <c r="AS78" s="77">
        <f>IFERROR((TOR_H298[[#This Row],[H]]-TOR_H298[[#This Row],[2B]]-TOR_H298[[#This Row],[3B]]-TOR_H298[[#This Row],[HR]])+(TOR_H298[[#This Row],[2B]]*2)+(TOR_H298[[#This Row],[3B]]*3)+(TOR_H298[[#This Row],[HR]]*4),0)</f>
        <v>9</v>
      </c>
      <c r="AT78" s="72">
        <f>TOR_H298[[#This Row],[OBP]]+TOR_H298[[#This Row],[SLG]]</f>
        <v>0.66996047430830041</v>
      </c>
      <c r="AU78" s="74">
        <v>0</v>
      </c>
      <c r="AV78" s="615">
        <v>13</v>
      </c>
      <c r="AY78" s="651" t="s">
        <v>266</v>
      </c>
      <c r="AZ78" s="71" t="s">
        <v>186</v>
      </c>
      <c r="BA78" s="71" t="s">
        <v>279</v>
      </c>
      <c r="BB78" s="72">
        <f>IFERROR(TOR_H211[[#This Row],[H]]/TOR_H211[[#This Row],[AB]],0)</f>
        <v>0.23076923076923078</v>
      </c>
      <c r="BC78" s="72">
        <f>IFERROR((TOR_H211[[#This Row],[BB]]+TOR_H211[[#This Row],[H]])/(TOR_H211[[#This Row],[AB]]+TOR_H211[[#This Row],[BB]]),0)</f>
        <v>0.25925925925925924</v>
      </c>
      <c r="BD78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0.30769230769230771</v>
      </c>
      <c r="BE78" s="28">
        <v>9</v>
      </c>
      <c r="BF78" s="28">
        <v>26</v>
      </c>
      <c r="BG78" s="28">
        <v>2</v>
      </c>
      <c r="BH78" s="28">
        <v>6</v>
      </c>
      <c r="BI78" s="28">
        <v>2</v>
      </c>
      <c r="BJ78" s="28">
        <v>0</v>
      </c>
      <c r="BK78" s="28">
        <v>0</v>
      </c>
      <c r="BL78" s="28">
        <v>6</v>
      </c>
      <c r="BM78" s="28">
        <v>1</v>
      </c>
      <c r="BN78" s="74">
        <v>7</v>
      </c>
      <c r="BO78" s="77">
        <v>0</v>
      </c>
      <c r="BP78" s="28">
        <v>0</v>
      </c>
      <c r="BQ78" s="74">
        <v>3</v>
      </c>
      <c r="BR78" s="77">
        <f t="shared" si="6"/>
        <v>8</v>
      </c>
      <c r="BS78" s="72">
        <f>IFERROR(TOR_H211[[#This Row],[OBP]]+TOR_H211[[#This Row],[SLG]],0)</f>
        <v>0.56695156695156701</v>
      </c>
      <c r="BT78" s="74">
        <v>0</v>
      </c>
      <c r="BU78" s="615">
        <v>13</v>
      </c>
    </row>
    <row r="79" spans="1:73" ht="17" thickBot="1">
      <c r="A79" s="651" t="s">
        <v>266</v>
      </c>
      <c r="B79" s="71" t="s">
        <v>186</v>
      </c>
      <c r="C79" s="71" t="s">
        <v>281</v>
      </c>
      <c r="D79" s="72">
        <f>IFERROR(TOR_H[[#This Row],[H]]/TOR_H[[#This Row],[AB]],0)</f>
        <v>0.21276595744680851</v>
      </c>
      <c r="E79" s="72">
        <f>IFERROR((TOR_H[[#This Row],[H]]+TOR_H[[#This Row],[BB]])/(TOR_H[[#This Row],[AB]]+TOR_H[[#This Row],[BB]]),0)</f>
        <v>0.21276595744680851</v>
      </c>
      <c r="F79" s="73">
        <f>IFERROR(((TOR_H[[#This Row],[H]]-TOR_H[[#This Row],[2B]]-TOR_H[[#This Row],[3B]]-TOR_H[[#This Row],[HR]])+(TOR_H[[#This Row],[2B]]*2)+(TOR_H[[#This Row],[3B]]*3)+(TOR_H[[#This Row],[HR]]*4))/TOR_H[[#This Row],[AB]],0)</f>
        <v>0.42553191489361702</v>
      </c>
      <c r="G79" s="28">
        <v>13</v>
      </c>
      <c r="H79" s="28">
        <v>47</v>
      </c>
      <c r="I79" s="28">
        <v>4</v>
      </c>
      <c r="J79" s="28">
        <v>10</v>
      </c>
      <c r="K79" s="28">
        <v>7</v>
      </c>
      <c r="L79" s="28">
        <v>0</v>
      </c>
      <c r="M79" s="28">
        <v>1</v>
      </c>
      <c r="N79" s="28">
        <v>4</v>
      </c>
      <c r="O79" s="28">
        <v>0</v>
      </c>
      <c r="P79" s="74">
        <v>10</v>
      </c>
      <c r="Q79" s="77">
        <v>0</v>
      </c>
      <c r="R79" s="28">
        <v>2</v>
      </c>
      <c r="S79" s="74">
        <v>3</v>
      </c>
      <c r="T79" s="77">
        <f>IFERROR((TOR_H[[#This Row],[H]]-TOR_H[[#This Row],[2B]]-TOR_H[[#This Row],[3B]]-TOR_H[[#This Row],[HR]])+(TOR_H[[#This Row],[2B]]*2)+(TOR_H[[#This Row],[3B]]*3)+(TOR_H[[#This Row],[HR]]*4),0)</f>
        <v>20</v>
      </c>
      <c r="U79" s="72">
        <f>TOR_H[[#This Row],[OBP]]+TOR_H[[#This Row],[SLG]]</f>
        <v>0.63829787234042556</v>
      </c>
      <c r="V79" s="74">
        <v>1</v>
      </c>
      <c r="W79" s="615">
        <v>14</v>
      </c>
      <c r="Z79" s="720" t="s">
        <v>266</v>
      </c>
      <c r="AA79" s="71" t="s">
        <v>186</v>
      </c>
      <c r="AB79" s="71" t="s">
        <v>281</v>
      </c>
      <c r="AC79" s="72">
        <f>IFERROR(TOR_H298[[#This Row],[H]]/TOR_H298[[#This Row],[AB]],0)</f>
        <v>0.22580645161290322</v>
      </c>
      <c r="AD79" s="72">
        <f>IFERROR((TOR_H298[[#This Row],[H]]+TOR_H298[[#This Row],[BB]])/(TOR_H298[[#This Row],[AB]]+TOR_H298[[#This Row],[BB]]),0)</f>
        <v>0.22580645161290322</v>
      </c>
      <c r="AE79" s="73">
        <f>IFERROR(((TOR_H298[[#This Row],[H]]-TOR_H298[[#This Row],[2B]]-TOR_H298[[#This Row],[3B]]-TOR_H298[[#This Row],[HR]])+(TOR_H298[[#This Row],[2B]]*2)+(TOR_H298[[#This Row],[3B]]*3)+(TOR_H298[[#This Row],[HR]]*4))/TOR_H298[[#This Row],[AB]],0)</f>
        <v>0.29032258064516131</v>
      </c>
      <c r="AF79" s="28">
        <v>9</v>
      </c>
      <c r="AG79" s="28">
        <v>31</v>
      </c>
      <c r="AH79" s="28">
        <v>3</v>
      </c>
      <c r="AI79" s="28">
        <v>7</v>
      </c>
      <c r="AJ79" s="28">
        <v>2</v>
      </c>
      <c r="AK79" s="28">
        <v>0</v>
      </c>
      <c r="AL79" s="28">
        <v>0</v>
      </c>
      <c r="AM79" s="28">
        <v>3</v>
      </c>
      <c r="AN79" s="28">
        <v>0</v>
      </c>
      <c r="AO79" s="74">
        <v>5</v>
      </c>
      <c r="AP79" s="77">
        <v>0</v>
      </c>
      <c r="AQ79" s="28">
        <v>0</v>
      </c>
      <c r="AR79" s="74">
        <v>2</v>
      </c>
      <c r="AS79" s="77">
        <f>IFERROR((TOR_H298[[#This Row],[H]]-TOR_H298[[#This Row],[2B]]-TOR_H298[[#This Row],[3B]]-TOR_H298[[#This Row],[HR]])+(TOR_H298[[#This Row],[2B]]*2)+(TOR_H298[[#This Row],[3B]]*3)+(TOR_H298[[#This Row],[HR]]*4),0)</f>
        <v>9</v>
      </c>
      <c r="AT79" s="72">
        <f>TOR_H298[[#This Row],[OBP]]+TOR_H298[[#This Row],[SLG]]</f>
        <v>0.5161290322580645</v>
      </c>
      <c r="AU79" s="74">
        <v>0</v>
      </c>
      <c r="AV79" s="615">
        <v>14</v>
      </c>
      <c r="AY79" s="651" t="s">
        <v>266</v>
      </c>
      <c r="AZ79" s="71" t="s">
        <v>186</v>
      </c>
      <c r="BA79" s="71" t="s">
        <v>281</v>
      </c>
      <c r="BB79" s="72">
        <f>IFERROR(TOR_H211[[#This Row],[H]]/TOR_H211[[#This Row],[AB]],0)</f>
        <v>0.35</v>
      </c>
      <c r="BC79" s="72">
        <f>IFERROR((TOR_H211[[#This Row],[BB]]+TOR_H211[[#This Row],[H]])/(TOR_H211[[#This Row],[AB]]+TOR_H211[[#This Row],[BB]]),0)</f>
        <v>0.40909090909090912</v>
      </c>
      <c r="BD79" s="73">
        <f>IFERROR(((TOR_H211[[#This Row],[H]]-TOR_H211[[#This Row],[2B]]-TOR_H211[[#This Row],[3B]]-TOR_H211[[#This Row],[HR]])+(TOR_H211[[#This Row],[2B]]*2)+(TOR_H211[[#This Row],[3B]]*3)+(TOR_H211[[#This Row],[HR]]*4))/TOR_H211[[#This Row],[AB]],0)</f>
        <v>0.6</v>
      </c>
      <c r="BE79" s="28">
        <v>8</v>
      </c>
      <c r="BF79" s="28">
        <v>20</v>
      </c>
      <c r="BG79" s="28">
        <v>2</v>
      </c>
      <c r="BH79" s="28">
        <v>7</v>
      </c>
      <c r="BI79" s="28">
        <v>5</v>
      </c>
      <c r="BJ79" s="28">
        <v>0</v>
      </c>
      <c r="BK79" s="28">
        <v>0</v>
      </c>
      <c r="BL79" s="28">
        <v>3</v>
      </c>
      <c r="BM79" s="28">
        <v>2</v>
      </c>
      <c r="BN79" s="74">
        <v>5</v>
      </c>
      <c r="BO79" s="77">
        <v>0</v>
      </c>
      <c r="BP79" s="28">
        <v>0</v>
      </c>
      <c r="BQ79" s="74">
        <v>4</v>
      </c>
      <c r="BR79" s="77">
        <f t="shared" si="6"/>
        <v>12</v>
      </c>
      <c r="BS79" s="72">
        <f>IFERROR(TOR_H211[[#This Row],[OBP]]+TOR_H211[[#This Row],[SLG]],0)</f>
        <v>1.009090909090909</v>
      </c>
      <c r="BT79" s="74">
        <v>0</v>
      </c>
      <c r="BU79" s="615">
        <v>14</v>
      </c>
    </row>
    <row r="80" spans="1:73" ht="17" thickBot="1">
      <c r="A80" s="674"/>
      <c r="B80" s="675"/>
      <c r="C80" s="676" t="s">
        <v>195</v>
      </c>
      <c r="D80" s="677">
        <f>J80/H80</f>
        <v>0.24585436193222782</v>
      </c>
      <c r="E80" s="677">
        <f>(J80+O80)/(O80+H80)</f>
        <v>0.310935441370224</v>
      </c>
      <c r="F80" s="677">
        <f>((J80-K80-L80-M80)+(K80*2)+(L80*3)+(M80*4))/H80</f>
        <v>0.41672674837779378</v>
      </c>
      <c r="G80" s="678"/>
      <c r="H80" s="679">
        <f>SUBTOTAL(109,TOR_H[AB])</f>
        <v>1387</v>
      </c>
      <c r="I80" s="679">
        <f>SUBTOTAL(109,TOR_H[R])</f>
        <v>149</v>
      </c>
      <c r="J80" s="679">
        <f>SUBTOTAL(109,TOR_H[H])</f>
        <v>341</v>
      </c>
      <c r="K80" s="679">
        <f>SUBTOTAL(109,TOR_H[2B])</f>
        <v>63</v>
      </c>
      <c r="L80" s="679">
        <f>SUBTOTAL(109,TOR_H[3B])</f>
        <v>9</v>
      </c>
      <c r="M80" s="679">
        <f>SUBTOTAL(109,TOR_H[HR])</f>
        <v>52</v>
      </c>
      <c r="N80" s="679">
        <f>SUBTOTAL(109,TOR_H[RBI])</f>
        <v>149</v>
      </c>
      <c r="O80" s="679">
        <f>SUBTOTAL(109,TOR_H[BB])</f>
        <v>131</v>
      </c>
      <c r="P80" s="680">
        <f>SUBTOTAL(109,TOR_H[K])</f>
        <v>373</v>
      </c>
      <c r="Q80" s="678">
        <f>SUBTOTAL(109,TOR_H[SB])</f>
        <v>23</v>
      </c>
      <c r="R80" s="679"/>
      <c r="S80" s="679"/>
      <c r="T80" s="678">
        <f>SUBTOTAL(109,TOR_H[TB])</f>
        <v>578</v>
      </c>
      <c r="U80" s="677">
        <f>E80+F80</f>
        <v>0.72766218974801777</v>
      </c>
      <c r="V80" s="680">
        <f>SUBTOTAL(109,TOR_H[*])</f>
        <v>16</v>
      </c>
      <c r="W80" s="681"/>
      <c r="Z80" s="674"/>
      <c r="AA80" s="675"/>
      <c r="AB80" s="676" t="s">
        <v>195</v>
      </c>
      <c r="AC80" s="677">
        <f>AI80/AG80</f>
        <v>0.23707533234859676</v>
      </c>
      <c r="AD80" s="677">
        <f>(AI80+AN80)/(AN80+AG80)</f>
        <v>0.30437710437710436</v>
      </c>
      <c r="AE80" s="677">
        <f>((AI80-AJ80-AK80-AL80)+(AJ80*2)+(AK80*3)+(AL80*4))/AG80</f>
        <v>0.42614475627769571</v>
      </c>
      <c r="AF80" s="678"/>
      <c r="AG80" s="679">
        <f>SUBTOTAL(109,TOR_H298[AB])</f>
        <v>1354</v>
      </c>
      <c r="AH80" s="679">
        <f>SUBTOTAL(109,TOR_H298[R])</f>
        <v>175</v>
      </c>
      <c r="AI80" s="679">
        <f>SUBTOTAL(109,TOR_H298[H])</f>
        <v>321</v>
      </c>
      <c r="AJ80" s="679">
        <f>SUBTOTAL(109,TOR_H298[2B])</f>
        <v>78</v>
      </c>
      <c r="AK80" s="679">
        <f>SUBTOTAL(109,TOR_H298[3B])</f>
        <v>2</v>
      </c>
      <c r="AL80" s="679">
        <f>SUBTOTAL(109,TOR_H298[HR])</f>
        <v>58</v>
      </c>
      <c r="AM80" s="679">
        <f>SUBTOTAL(109,TOR_H298[RBI])</f>
        <v>174</v>
      </c>
      <c r="AN80" s="679">
        <f>SUBTOTAL(109,TOR_H298[BB])</f>
        <v>131</v>
      </c>
      <c r="AO80" s="680">
        <f>SUBTOTAL(109,TOR_H298[K])</f>
        <v>373</v>
      </c>
      <c r="AP80" s="678">
        <f>SUBTOTAL(109,TOR_H298[SB])</f>
        <v>13</v>
      </c>
      <c r="AQ80" s="679"/>
      <c r="AR80" s="679"/>
      <c r="AS80" s="678">
        <f>SUBTOTAL(109,TOR_H298[TB])</f>
        <v>577</v>
      </c>
      <c r="AT80" s="677">
        <f>AD80+AE80</f>
        <v>0.73052186065480007</v>
      </c>
      <c r="AU80" s="680">
        <f>SUBTOTAL(109,TOR_H298[*])</f>
        <v>28</v>
      </c>
      <c r="AV80" s="681"/>
      <c r="AY80" s="674"/>
      <c r="AZ80" s="675"/>
      <c r="BA80" s="676" t="s">
        <v>195</v>
      </c>
      <c r="BB80" s="677">
        <f>IFERROR(BH80/BF80,0)</f>
        <v>0.25264643613267468</v>
      </c>
      <c r="BC80" s="677">
        <f>IFERROR((BM80+BH80)/(BF80+BM80),0)</f>
        <v>0.32418634333120611</v>
      </c>
      <c r="BD80" s="677">
        <f>IFERROR(((BH80-BI80-BJ80-BK80)+(BI80*2)+(BJ80*3)+(BK80*4))/BF80,0)</f>
        <v>0.43119266055045874</v>
      </c>
      <c r="BE80" s="678"/>
      <c r="BF80" s="679">
        <f t="shared" ref="BF80:BO80" si="7">SUM(BF66:BF79)</f>
        <v>1417</v>
      </c>
      <c r="BG80" s="679">
        <f t="shared" si="7"/>
        <v>198</v>
      </c>
      <c r="BH80" s="679">
        <f t="shared" si="7"/>
        <v>358</v>
      </c>
      <c r="BI80" s="679">
        <f t="shared" si="7"/>
        <v>66</v>
      </c>
      <c r="BJ80" s="679">
        <f t="shared" si="7"/>
        <v>5</v>
      </c>
      <c r="BK80" s="679">
        <f t="shared" si="7"/>
        <v>59</v>
      </c>
      <c r="BL80" s="679">
        <f t="shared" si="7"/>
        <v>194</v>
      </c>
      <c r="BM80" s="679">
        <f t="shared" si="7"/>
        <v>150</v>
      </c>
      <c r="BN80" s="680">
        <f t="shared" si="7"/>
        <v>386</v>
      </c>
      <c r="BO80" s="678">
        <f t="shared" si="7"/>
        <v>29</v>
      </c>
      <c r="BP80" s="679"/>
      <c r="BQ80" s="679"/>
      <c r="BR80" s="678">
        <f t="shared" ref="BR80" si="8">((BH80-BI80-BJ80-BK80)+(BI80*2)+(BJ80*3)+(BK80*4))</f>
        <v>611</v>
      </c>
      <c r="BS80" s="677">
        <f>BC80+BD80</f>
        <v>0.75537900388166479</v>
      </c>
      <c r="BT80" s="680">
        <f>SUBTOTAL(109,TOR_H211[*])</f>
        <v>19</v>
      </c>
      <c r="BU80" s="681"/>
    </row>
    <row r="81" spans="1:73" ht="17" thickBot="1"/>
    <row r="82" spans="1:73" s="64" customFormat="1" ht="14" thickBot="1">
      <c r="A82" s="605" t="s">
        <v>143</v>
      </c>
      <c r="B82" s="606" t="s">
        <v>144</v>
      </c>
      <c r="C82" s="606" t="s">
        <v>145</v>
      </c>
      <c r="D82" s="606" t="s">
        <v>196</v>
      </c>
      <c r="E82" s="606" t="s">
        <v>197</v>
      </c>
      <c r="F82" s="606" t="s">
        <v>198</v>
      </c>
      <c r="G82" s="606" t="s">
        <v>149</v>
      </c>
      <c r="H82" s="606" t="s">
        <v>199</v>
      </c>
      <c r="I82" s="606" t="s">
        <v>152</v>
      </c>
      <c r="J82" s="606" t="s">
        <v>151</v>
      </c>
      <c r="K82" s="606" t="s">
        <v>157</v>
      </c>
      <c r="L82" s="606" t="s">
        <v>158</v>
      </c>
      <c r="M82" s="606" t="s">
        <v>200</v>
      </c>
      <c r="N82" s="606" t="s">
        <v>201</v>
      </c>
      <c r="O82" s="606" t="s">
        <v>202</v>
      </c>
      <c r="P82" s="606" t="s">
        <v>203</v>
      </c>
      <c r="Q82" s="606" t="s">
        <v>204</v>
      </c>
      <c r="R82" s="606" t="s">
        <v>205</v>
      </c>
      <c r="S82" s="607" t="s">
        <v>164</v>
      </c>
      <c r="Z82" s="605" t="s">
        <v>143</v>
      </c>
      <c r="AA82" s="606" t="s">
        <v>144</v>
      </c>
      <c r="AB82" s="606" t="s">
        <v>145</v>
      </c>
      <c r="AC82" s="606" t="s">
        <v>196</v>
      </c>
      <c r="AD82" s="606" t="s">
        <v>197</v>
      </c>
      <c r="AE82" s="606" t="s">
        <v>198</v>
      </c>
      <c r="AF82" s="606" t="s">
        <v>149</v>
      </c>
      <c r="AG82" s="606" t="s">
        <v>199</v>
      </c>
      <c r="AH82" s="606" t="s">
        <v>152</v>
      </c>
      <c r="AI82" s="606" t="s">
        <v>151</v>
      </c>
      <c r="AJ82" s="606" t="s">
        <v>157</v>
      </c>
      <c r="AK82" s="606" t="s">
        <v>158</v>
      </c>
      <c r="AL82" s="606" t="s">
        <v>200</v>
      </c>
      <c r="AM82" s="606" t="s">
        <v>201</v>
      </c>
      <c r="AN82" s="606" t="s">
        <v>202</v>
      </c>
      <c r="AO82" s="606" t="s">
        <v>203</v>
      </c>
      <c r="AP82" s="606" t="s">
        <v>204</v>
      </c>
      <c r="AQ82" s="606" t="s">
        <v>205</v>
      </c>
      <c r="AR82" s="607" t="s">
        <v>164</v>
      </c>
      <c r="AY82" s="605" t="s">
        <v>143</v>
      </c>
      <c r="AZ82" s="606" t="s">
        <v>144</v>
      </c>
      <c r="BA82" s="606" t="s">
        <v>145</v>
      </c>
      <c r="BB82" s="606" t="s">
        <v>196</v>
      </c>
      <c r="BC82" s="606" t="s">
        <v>197</v>
      </c>
      <c r="BD82" s="606" t="s">
        <v>198</v>
      </c>
      <c r="BE82" s="606" t="s">
        <v>149</v>
      </c>
      <c r="BF82" s="606" t="s">
        <v>199</v>
      </c>
      <c r="BG82" s="606" t="s">
        <v>152</v>
      </c>
      <c r="BH82" s="606" t="s">
        <v>151</v>
      </c>
      <c r="BI82" s="606" t="s">
        <v>157</v>
      </c>
      <c r="BJ82" s="606" t="s">
        <v>158</v>
      </c>
      <c r="BK82" s="606" t="s">
        <v>200</v>
      </c>
      <c r="BL82" s="606" t="s">
        <v>201</v>
      </c>
      <c r="BM82" s="606" t="s">
        <v>202</v>
      </c>
      <c r="BN82" s="606" t="s">
        <v>203</v>
      </c>
      <c r="BO82" s="606" t="s">
        <v>204</v>
      </c>
      <c r="BP82" s="606" t="s">
        <v>205</v>
      </c>
      <c r="BQ82" s="607" t="s">
        <v>164</v>
      </c>
    </row>
    <row r="83" spans="1:73">
      <c r="A83" s="650" t="s">
        <v>266</v>
      </c>
      <c r="B83" s="597" t="s">
        <v>206</v>
      </c>
      <c r="C83" s="682" t="s">
        <v>284</v>
      </c>
      <c r="D83" s="663">
        <f>IFERROR((TOR_P[[#This Row],[R]]*9)/TOR_P[[#This Row],[IP]],0)</f>
        <v>6.0349391212281631</v>
      </c>
      <c r="E83" s="600">
        <v>2</v>
      </c>
      <c r="F83" s="604">
        <v>5</v>
      </c>
      <c r="G83" s="600">
        <v>10</v>
      </c>
      <c r="H83" s="630">
        <v>56.67</v>
      </c>
      <c r="I83" s="600">
        <v>52</v>
      </c>
      <c r="J83" s="600">
        <v>38</v>
      </c>
      <c r="K83" s="600">
        <v>26</v>
      </c>
      <c r="L83" s="600">
        <v>41</v>
      </c>
      <c r="M83" s="600">
        <v>0</v>
      </c>
      <c r="N83" s="631">
        <f>IFERROR((TOR_P[[#This Row],[BB]]+TOR_P[[#This Row],[H]])/TOR_P[[#This Row],[IP]],0)</f>
        <v>1.3763896241397564</v>
      </c>
      <c r="O83" s="600">
        <v>2</v>
      </c>
      <c r="P83" s="601">
        <v>0</v>
      </c>
      <c r="Q83" s="600">
        <v>0</v>
      </c>
      <c r="R83" s="604">
        <v>0</v>
      </c>
      <c r="S83" s="614">
        <v>1</v>
      </c>
      <c r="Z83" s="719" t="s">
        <v>266</v>
      </c>
      <c r="AA83" s="597" t="s">
        <v>206</v>
      </c>
      <c r="AB83" s="682" t="s">
        <v>284</v>
      </c>
      <c r="AC83" s="663">
        <f>IFERROR((TOR_P296[[#This Row],[R]]*9)/TOR_P296[[#This Row],[IP]],0)</f>
        <v>2.229255538736755</v>
      </c>
      <c r="AD83" s="708">
        <v>8</v>
      </c>
      <c r="AE83" s="604">
        <v>1</v>
      </c>
      <c r="AF83" s="600">
        <v>10</v>
      </c>
      <c r="AG83" s="630">
        <v>72.67</v>
      </c>
      <c r="AH83" s="600">
        <v>58</v>
      </c>
      <c r="AI83" s="600">
        <v>18</v>
      </c>
      <c r="AJ83" s="600">
        <v>20</v>
      </c>
      <c r="AK83" s="600">
        <v>67</v>
      </c>
      <c r="AL83" s="600">
        <v>0</v>
      </c>
      <c r="AM83" s="631">
        <f>IFERROR((TOR_P296[[#This Row],[BB]]+TOR_P296[[#This Row],[H]])/TOR_P296[[#This Row],[IP]],0)</f>
        <v>1.0733452593917709</v>
      </c>
      <c r="AN83" s="600">
        <v>8</v>
      </c>
      <c r="AO83" s="601">
        <v>6</v>
      </c>
      <c r="AP83" s="600">
        <v>2</v>
      </c>
      <c r="AQ83" s="632">
        <v>2</v>
      </c>
      <c r="AR83" s="614">
        <v>1</v>
      </c>
      <c r="AY83" s="650" t="s">
        <v>266</v>
      </c>
      <c r="AZ83" s="597" t="s">
        <v>206</v>
      </c>
      <c r="BA83" s="604" t="s">
        <v>285</v>
      </c>
      <c r="BB83" s="663">
        <f>IFERROR((TOR_P209[[#This Row],[R]]*9)/TOR_P209[[#This Row],[IP]],0)</f>
        <v>3.9173014145810665</v>
      </c>
      <c r="BC83" s="600">
        <v>3</v>
      </c>
      <c r="BD83" s="604">
        <v>5</v>
      </c>
      <c r="BE83" s="600">
        <v>10</v>
      </c>
      <c r="BF83" s="630">
        <v>64.33</v>
      </c>
      <c r="BG83" s="600">
        <v>68</v>
      </c>
      <c r="BH83" s="600">
        <v>28</v>
      </c>
      <c r="BI83" s="600">
        <v>11</v>
      </c>
      <c r="BJ83" s="600">
        <v>62</v>
      </c>
      <c r="BK83" s="600">
        <v>0</v>
      </c>
      <c r="BL83" s="631">
        <f>IFERROR((TOR_P209[[#This Row],[H]]+TOR_P209[[#This Row],[BB]])/TOR_P209[[#This Row],[IP]],0)</f>
        <v>1.2280429037773979</v>
      </c>
      <c r="BM83" s="600">
        <v>6</v>
      </c>
      <c r="BN83" s="601">
        <v>2</v>
      </c>
      <c r="BO83" s="600">
        <v>0</v>
      </c>
      <c r="BP83" s="604">
        <v>0</v>
      </c>
      <c r="BQ83" s="614">
        <v>1</v>
      </c>
    </row>
    <row r="84" spans="1:73">
      <c r="A84" s="651" t="s">
        <v>266</v>
      </c>
      <c r="B84" s="71" t="s">
        <v>206</v>
      </c>
      <c r="C84" s="87" t="s">
        <v>286</v>
      </c>
      <c r="D84" s="88">
        <f>IFERROR((TOR_P[[#This Row],[R]]*9)/TOR_P[[#This Row],[IP]],0)</f>
        <v>4.9894015979129298</v>
      </c>
      <c r="E84" s="28">
        <v>1</v>
      </c>
      <c r="F84" s="74">
        <v>6</v>
      </c>
      <c r="G84" s="28">
        <v>10</v>
      </c>
      <c r="H84" s="584">
        <v>61.33</v>
      </c>
      <c r="I84" s="28">
        <v>70</v>
      </c>
      <c r="J84" s="28">
        <v>34</v>
      </c>
      <c r="K84" s="28">
        <v>20</v>
      </c>
      <c r="L84" s="28">
        <v>74</v>
      </c>
      <c r="M84" s="28">
        <v>0</v>
      </c>
      <c r="N84" s="89">
        <f>IFERROR((TOR_P[[#This Row],[BB]]+TOR_P[[#This Row],[H]])/TOR_P[[#This Row],[IP]],0)</f>
        <v>1.4674710582096853</v>
      </c>
      <c r="O84" s="28">
        <v>4</v>
      </c>
      <c r="P84" s="90">
        <v>1</v>
      </c>
      <c r="Q84" s="28">
        <v>0</v>
      </c>
      <c r="R84" s="74">
        <v>0</v>
      </c>
      <c r="S84" s="615">
        <v>2</v>
      </c>
      <c r="Z84" s="720" t="s">
        <v>266</v>
      </c>
      <c r="AA84" s="71" t="s">
        <v>206</v>
      </c>
      <c r="AB84" s="87" t="s">
        <v>286</v>
      </c>
      <c r="AC84" s="88">
        <f>IFERROR((TOR_P296[[#This Row],[R]]*9)/TOR_P296[[#This Row],[IP]],0)</f>
        <v>2.798072438986476</v>
      </c>
      <c r="AD84" s="28">
        <v>6</v>
      </c>
      <c r="AE84" s="74">
        <v>0</v>
      </c>
      <c r="AF84" s="28">
        <v>10</v>
      </c>
      <c r="AG84" s="584">
        <v>64.33</v>
      </c>
      <c r="AH84" s="28">
        <v>62</v>
      </c>
      <c r="AI84" s="28">
        <v>20</v>
      </c>
      <c r="AJ84" s="28">
        <v>11</v>
      </c>
      <c r="AK84" s="28">
        <v>89</v>
      </c>
      <c r="AL84" s="28">
        <v>0</v>
      </c>
      <c r="AM84" s="89">
        <f>IFERROR((TOR_P296[[#This Row],[BB]]+TOR_P296[[#This Row],[H]])/TOR_P296[[#This Row],[IP]],0)</f>
        <v>1.1347738224778485</v>
      </c>
      <c r="AN84" s="28">
        <v>8</v>
      </c>
      <c r="AO84" s="90">
        <v>5</v>
      </c>
      <c r="AP84" s="28">
        <v>0</v>
      </c>
      <c r="AQ84" s="74">
        <v>0</v>
      </c>
      <c r="AR84" s="615">
        <v>2</v>
      </c>
      <c r="AY84" s="651" t="s">
        <v>266</v>
      </c>
      <c r="AZ84" s="71" t="s">
        <v>206</v>
      </c>
      <c r="BA84" s="74" t="s">
        <v>287</v>
      </c>
      <c r="BB84" s="88">
        <f>IFERROR((TOR_P209[[#This Row],[R]]*9)/TOR_P209[[#This Row],[IP]],0)</f>
        <v>3.338709677419355</v>
      </c>
      <c r="BC84" s="28">
        <v>2</v>
      </c>
      <c r="BD84" s="74">
        <v>4</v>
      </c>
      <c r="BE84" s="28">
        <v>10</v>
      </c>
      <c r="BF84" s="584">
        <v>62</v>
      </c>
      <c r="BG84" s="28">
        <v>47</v>
      </c>
      <c r="BH84" s="28">
        <v>23</v>
      </c>
      <c r="BI84" s="28">
        <v>31</v>
      </c>
      <c r="BJ84" s="28">
        <v>45</v>
      </c>
      <c r="BK84" s="28">
        <v>0</v>
      </c>
      <c r="BL84" s="89">
        <f>IFERROR((TOR_P209[[#This Row],[H]]+TOR_P209[[#This Row],[BB]])/TOR_P209[[#This Row],[IP]],0)</f>
        <v>1.2580645161290323</v>
      </c>
      <c r="BM84" s="28">
        <v>7</v>
      </c>
      <c r="BN84" s="90">
        <v>1</v>
      </c>
      <c r="BO84" s="28">
        <v>0</v>
      </c>
      <c r="BP84" s="74">
        <v>0</v>
      </c>
      <c r="BQ84" s="615">
        <v>2</v>
      </c>
    </row>
    <row r="85" spans="1:73">
      <c r="A85" s="651" t="s">
        <v>266</v>
      </c>
      <c r="B85" s="71" t="s">
        <v>206</v>
      </c>
      <c r="C85" s="87" t="s">
        <v>285</v>
      </c>
      <c r="D85" s="88">
        <f>IFERROR((TOR_P[[#This Row],[R]]*9)/TOR_P[[#This Row],[IP]],0)</f>
        <v>4.8378706433154148</v>
      </c>
      <c r="E85" s="28">
        <v>1</v>
      </c>
      <c r="F85" s="74">
        <v>4</v>
      </c>
      <c r="G85" s="28">
        <v>10</v>
      </c>
      <c r="H85" s="584">
        <v>57.67</v>
      </c>
      <c r="I85" s="76">
        <v>82</v>
      </c>
      <c r="J85" s="28">
        <v>31</v>
      </c>
      <c r="K85" s="28">
        <v>18</v>
      </c>
      <c r="L85" s="28">
        <v>50</v>
      </c>
      <c r="M85" s="28">
        <v>0</v>
      </c>
      <c r="N85" s="89">
        <f>IFERROR((TOR_P[[#This Row],[BB]]+TOR_P[[#This Row],[H]])/TOR_P[[#This Row],[IP]],0)</f>
        <v>1.7340038148083925</v>
      </c>
      <c r="O85" s="28">
        <v>4</v>
      </c>
      <c r="P85" s="90">
        <v>1</v>
      </c>
      <c r="Q85" s="28">
        <v>0</v>
      </c>
      <c r="R85" s="74">
        <v>0</v>
      </c>
      <c r="S85" s="615">
        <v>3</v>
      </c>
      <c r="Z85" s="720" t="s">
        <v>266</v>
      </c>
      <c r="AA85" s="71" t="s">
        <v>206</v>
      </c>
      <c r="AB85" s="87" t="s">
        <v>285</v>
      </c>
      <c r="AC85" s="88">
        <f>IFERROR((TOR_P296[[#This Row],[R]]*9)/TOR_P296[[#This Row],[IP]],0)</f>
        <v>3</v>
      </c>
      <c r="AD85" s="28">
        <v>3</v>
      </c>
      <c r="AE85" s="74">
        <v>4</v>
      </c>
      <c r="AF85" s="28">
        <v>10</v>
      </c>
      <c r="AG85" s="584">
        <v>63</v>
      </c>
      <c r="AH85" s="28">
        <v>60</v>
      </c>
      <c r="AI85" s="28">
        <v>21</v>
      </c>
      <c r="AJ85" s="28">
        <v>15</v>
      </c>
      <c r="AK85" s="28">
        <v>49</v>
      </c>
      <c r="AL85" s="28">
        <v>0</v>
      </c>
      <c r="AM85" s="89">
        <f>IFERROR((TOR_P296[[#This Row],[BB]]+TOR_P296[[#This Row],[H]])/TOR_P296[[#This Row],[IP]],0)</f>
        <v>1.1904761904761905</v>
      </c>
      <c r="AN85" s="28">
        <v>9</v>
      </c>
      <c r="AO85" s="90">
        <v>2</v>
      </c>
      <c r="AP85" s="28">
        <v>0</v>
      </c>
      <c r="AQ85" s="74">
        <v>0</v>
      </c>
      <c r="AR85" s="615">
        <v>3</v>
      </c>
      <c r="AY85" s="651" t="s">
        <v>266</v>
      </c>
      <c r="AZ85" s="71" t="s">
        <v>206</v>
      </c>
      <c r="BA85" s="74" t="s">
        <v>288</v>
      </c>
      <c r="BB85" s="88">
        <f>IFERROR((TOR_P209[[#This Row],[R]]*9)/TOR_P209[[#This Row],[IP]],0)</f>
        <v>4.826546003016591</v>
      </c>
      <c r="BC85" s="28">
        <v>3</v>
      </c>
      <c r="BD85" s="74">
        <v>2</v>
      </c>
      <c r="BE85" s="28">
        <v>10</v>
      </c>
      <c r="BF85" s="584">
        <v>59.67</v>
      </c>
      <c r="BG85" s="28">
        <v>61</v>
      </c>
      <c r="BH85" s="28">
        <v>32</v>
      </c>
      <c r="BI85" s="28">
        <v>16</v>
      </c>
      <c r="BJ85" s="28">
        <v>45</v>
      </c>
      <c r="BK85" s="28">
        <v>0</v>
      </c>
      <c r="BL85" s="89">
        <f>IFERROR((TOR_P209[[#This Row],[H]]+TOR_P209[[#This Row],[BB]])/TOR_P209[[#This Row],[IP]],0)</f>
        <v>1.290430702195408</v>
      </c>
      <c r="BM85" s="28">
        <v>4</v>
      </c>
      <c r="BN85" s="90">
        <v>1</v>
      </c>
      <c r="BO85" s="28">
        <v>0</v>
      </c>
      <c r="BP85" s="74">
        <v>0</v>
      </c>
      <c r="BQ85" s="615">
        <v>3</v>
      </c>
    </row>
    <row r="86" spans="1:73">
      <c r="A86" s="651" t="s">
        <v>266</v>
      </c>
      <c r="B86" s="71" t="s">
        <v>206</v>
      </c>
      <c r="C86" s="87" t="s">
        <v>289</v>
      </c>
      <c r="D86" s="88">
        <f>IFERROR((TOR_P[[#This Row],[R]]*9)/TOR_P[[#This Row],[IP]],0)</f>
        <v>5.4945054945054945</v>
      </c>
      <c r="E86" s="28">
        <v>6</v>
      </c>
      <c r="F86" s="74">
        <v>3</v>
      </c>
      <c r="G86" s="28">
        <v>10</v>
      </c>
      <c r="H86" s="584">
        <v>57.33</v>
      </c>
      <c r="I86" s="28">
        <v>67</v>
      </c>
      <c r="J86" s="28">
        <v>35</v>
      </c>
      <c r="K86" s="28">
        <v>17</v>
      </c>
      <c r="L86" s="28">
        <v>43</v>
      </c>
      <c r="M86" s="28">
        <v>0</v>
      </c>
      <c r="N86" s="89">
        <f>IFERROR((TOR_P[[#This Row],[BB]]+TOR_P[[#This Row],[H]])/TOR_P[[#This Row],[IP]],0)</f>
        <v>1.4652014652014653</v>
      </c>
      <c r="O86" s="28">
        <v>4</v>
      </c>
      <c r="P86" s="90">
        <v>2</v>
      </c>
      <c r="Q86" s="28">
        <v>0</v>
      </c>
      <c r="R86" s="74">
        <v>0</v>
      </c>
      <c r="S86" s="615">
        <v>4</v>
      </c>
      <c r="Z86" s="720" t="s">
        <v>266</v>
      </c>
      <c r="AA86" s="71" t="s">
        <v>206</v>
      </c>
      <c r="AB86" s="87" t="s">
        <v>289</v>
      </c>
      <c r="AC86" s="88">
        <f>IFERROR((TOR_P296[[#This Row],[R]]*9)/TOR_P296[[#This Row],[IP]],0)</f>
        <v>3.0616978506262562</v>
      </c>
      <c r="AD86" s="28">
        <v>7</v>
      </c>
      <c r="AE86" s="74">
        <v>2</v>
      </c>
      <c r="AF86" s="28">
        <v>10</v>
      </c>
      <c r="AG86" s="584">
        <v>64.67</v>
      </c>
      <c r="AH86" s="28">
        <v>63</v>
      </c>
      <c r="AI86" s="28">
        <v>22</v>
      </c>
      <c r="AJ86" s="28">
        <v>18</v>
      </c>
      <c r="AK86" s="28">
        <v>53</v>
      </c>
      <c r="AL86" s="28">
        <v>0</v>
      </c>
      <c r="AM86" s="89">
        <f>IFERROR((TOR_P296[[#This Row],[BB]]+TOR_P296[[#This Row],[H]])/TOR_P296[[#This Row],[IP]],0)</f>
        <v>1.2525127570743775</v>
      </c>
      <c r="AN86" s="28">
        <v>7</v>
      </c>
      <c r="AO86" s="90">
        <v>1</v>
      </c>
      <c r="AP86" s="28">
        <v>0</v>
      </c>
      <c r="AQ86" s="74">
        <v>0</v>
      </c>
      <c r="AR86" s="615">
        <v>4</v>
      </c>
      <c r="AY86" s="651" t="s">
        <v>266</v>
      </c>
      <c r="AZ86" s="71" t="s">
        <v>206</v>
      </c>
      <c r="BA86" s="74" t="s">
        <v>284</v>
      </c>
      <c r="BB86" s="88">
        <f>IFERROR((TOR_P209[[#This Row],[R]]*9)/TOR_P209[[#This Row],[IP]],0)</f>
        <v>3.6635006784260518</v>
      </c>
      <c r="BC86" s="28">
        <v>4</v>
      </c>
      <c r="BD86" s="74">
        <v>3</v>
      </c>
      <c r="BE86" s="28">
        <v>10</v>
      </c>
      <c r="BF86" s="584">
        <v>66.33</v>
      </c>
      <c r="BG86" s="28">
        <v>56</v>
      </c>
      <c r="BH86" s="28">
        <v>27</v>
      </c>
      <c r="BI86" s="28">
        <v>23</v>
      </c>
      <c r="BJ86" s="28">
        <v>74</v>
      </c>
      <c r="BK86" s="28">
        <v>0</v>
      </c>
      <c r="BL86" s="89">
        <f>IFERROR((TOR_P209[[#This Row],[H]]+TOR_P209[[#This Row],[BB]])/TOR_P209[[#This Row],[IP]],0)</f>
        <v>1.1910146238504449</v>
      </c>
      <c r="BM86" s="28">
        <v>8</v>
      </c>
      <c r="BN86" s="90">
        <v>5</v>
      </c>
      <c r="BO86" s="28">
        <v>1</v>
      </c>
      <c r="BP86" s="74">
        <v>0</v>
      </c>
      <c r="BQ86" s="615">
        <v>4</v>
      </c>
    </row>
    <row r="87" spans="1:73">
      <c r="A87" s="651" t="s">
        <v>266</v>
      </c>
      <c r="B87" s="71" t="s">
        <v>212</v>
      </c>
      <c r="C87" s="87" t="s">
        <v>287</v>
      </c>
      <c r="D87" s="88">
        <f>IFERROR((TOR_P[[#This Row],[R]]*9)/TOR_P[[#This Row],[IP]],0)</f>
        <v>2.8636363636363638</v>
      </c>
      <c r="E87" s="28">
        <v>2</v>
      </c>
      <c r="F87" s="74">
        <v>1</v>
      </c>
      <c r="G87" s="28">
        <v>13</v>
      </c>
      <c r="H87" s="584">
        <v>22</v>
      </c>
      <c r="I87" s="28">
        <v>23</v>
      </c>
      <c r="J87" s="28">
        <v>7</v>
      </c>
      <c r="K87" s="28">
        <v>10</v>
      </c>
      <c r="L87" s="28">
        <v>13</v>
      </c>
      <c r="M87" s="28">
        <v>0</v>
      </c>
      <c r="N87" s="89">
        <f>IFERROR((TOR_P[[#This Row],[BB]]+TOR_P[[#This Row],[H]])/TOR_P[[#This Row],[IP]],0)</f>
        <v>1.5</v>
      </c>
      <c r="O87" s="28">
        <v>0</v>
      </c>
      <c r="P87" s="90">
        <v>0</v>
      </c>
      <c r="Q87" s="28">
        <v>0</v>
      </c>
      <c r="R87" s="74">
        <v>0</v>
      </c>
      <c r="S87" s="615">
        <v>5</v>
      </c>
      <c r="Z87" s="720" t="s">
        <v>266</v>
      </c>
      <c r="AA87" s="71" t="s">
        <v>212</v>
      </c>
      <c r="AB87" s="87" t="s">
        <v>291</v>
      </c>
      <c r="AC87" s="88">
        <f>IFERROR((TOR_P296[[#This Row],[R]]*9)/TOR_P296[[#This Row],[IP]],0)</f>
        <v>3.6353144835545299</v>
      </c>
      <c r="AD87" s="28">
        <v>2</v>
      </c>
      <c r="AE87" s="74">
        <v>1</v>
      </c>
      <c r="AF87" s="28">
        <v>10</v>
      </c>
      <c r="AG87" s="584">
        <v>17.329999999999998</v>
      </c>
      <c r="AH87" s="28">
        <v>13</v>
      </c>
      <c r="AI87" s="28">
        <v>7</v>
      </c>
      <c r="AJ87" s="28">
        <v>8</v>
      </c>
      <c r="AK87" s="28">
        <v>23</v>
      </c>
      <c r="AL87" s="28">
        <v>0</v>
      </c>
      <c r="AM87" s="89">
        <f>IFERROR((TOR_P296[[#This Row],[BB]]+TOR_P296[[#This Row],[H]])/TOR_P296[[#This Row],[IP]],0)</f>
        <v>1.2117714945181768</v>
      </c>
      <c r="AN87" s="28">
        <v>0</v>
      </c>
      <c r="AO87" s="90">
        <v>0</v>
      </c>
      <c r="AP87" s="28">
        <v>0</v>
      </c>
      <c r="AQ87" s="74">
        <v>0</v>
      </c>
      <c r="AR87" s="615">
        <v>5</v>
      </c>
      <c r="AY87" s="651" t="s">
        <v>266</v>
      </c>
      <c r="AZ87" s="71" t="s">
        <v>215</v>
      </c>
      <c r="BA87" s="74" t="s">
        <v>291</v>
      </c>
      <c r="BB87" s="88">
        <f>IFERROR((TOR_P209[[#This Row],[R]]*9)/TOR_P209[[#This Row],[IP]],0)</f>
        <v>5.0869565217391308</v>
      </c>
      <c r="BC87" s="28">
        <v>2</v>
      </c>
      <c r="BD87" s="74">
        <v>2</v>
      </c>
      <c r="BE87" s="28">
        <v>12</v>
      </c>
      <c r="BF87" s="584">
        <v>23</v>
      </c>
      <c r="BG87" s="28">
        <v>22</v>
      </c>
      <c r="BH87" s="28">
        <v>13</v>
      </c>
      <c r="BI87" s="28">
        <v>14</v>
      </c>
      <c r="BJ87" s="28">
        <v>19</v>
      </c>
      <c r="BK87" s="28">
        <v>0</v>
      </c>
      <c r="BL87" s="89">
        <f>IFERROR((TOR_P209[[#This Row],[H]]+TOR_P209[[#This Row],[BB]])/TOR_P209[[#This Row],[IP]],0)</f>
        <v>1.5652173913043479</v>
      </c>
      <c r="BM87" s="28">
        <v>0</v>
      </c>
      <c r="BN87" s="90">
        <v>0</v>
      </c>
      <c r="BO87" s="28">
        <v>0</v>
      </c>
      <c r="BP87" s="74">
        <v>0</v>
      </c>
      <c r="BQ87" s="615">
        <v>5</v>
      </c>
    </row>
    <row r="88" spans="1:73">
      <c r="A88" s="651" t="s">
        <v>266</v>
      </c>
      <c r="B88" s="71" t="s">
        <v>212</v>
      </c>
      <c r="C88" s="87" t="s">
        <v>293</v>
      </c>
      <c r="D88" s="88">
        <f>IFERROR((TOR_P[[#This Row],[R]]*9)/TOR_P[[#This Row],[IP]],0)</f>
        <v>6.3548102383053839</v>
      </c>
      <c r="E88" s="28">
        <v>0</v>
      </c>
      <c r="F88" s="74">
        <v>0</v>
      </c>
      <c r="G88" s="28">
        <v>9</v>
      </c>
      <c r="H88" s="584">
        <v>11.33</v>
      </c>
      <c r="I88" s="28">
        <v>13</v>
      </c>
      <c r="J88" s="28">
        <v>8</v>
      </c>
      <c r="K88" s="28">
        <v>2</v>
      </c>
      <c r="L88" s="28">
        <v>9</v>
      </c>
      <c r="M88" s="28">
        <v>0</v>
      </c>
      <c r="N88" s="89">
        <f>IFERROR((TOR_P[[#This Row],[BB]]+TOR_P[[#This Row],[H]])/TOR_P[[#This Row],[IP]],0)</f>
        <v>1.323918799646955</v>
      </c>
      <c r="O88" s="28">
        <v>0</v>
      </c>
      <c r="P88" s="90">
        <v>0</v>
      </c>
      <c r="Q88" s="28">
        <v>0</v>
      </c>
      <c r="R88" s="74">
        <v>0</v>
      </c>
      <c r="S88" s="615">
        <v>6</v>
      </c>
      <c r="Z88" s="720" t="s">
        <v>266</v>
      </c>
      <c r="AA88" s="71" t="s">
        <v>212</v>
      </c>
      <c r="AB88" s="87" t="s">
        <v>293</v>
      </c>
      <c r="AC88" s="88">
        <f>IFERROR((TOR_P296[[#This Row],[R]]*9)/TOR_P296[[#This Row],[IP]],0)</f>
        <v>5.7815845824411136</v>
      </c>
      <c r="AD88" s="28">
        <v>0</v>
      </c>
      <c r="AE88" s="74">
        <v>0</v>
      </c>
      <c r="AF88" s="28">
        <v>3</v>
      </c>
      <c r="AG88" s="584">
        <v>4.67</v>
      </c>
      <c r="AH88" s="28">
        <v>3</v>
      </c>
      <c r="AI88" s="28">
        <v>3</v>
      </c>
      <c r="AJ88" s="28">
        <v>4</v>
      </c>
      <c r="AK88" s="28">
        <v>5</v>
      </c>
      <c r="AL88" s="28">
        <v>0</v>
      </c>
      <c r="AM88" s="89">
        <f>IFERROR((TOR_P296[[#This Row],[BB]]+TOR_P296[[#This Row],[H]])/TOR_P296[[#This Row],[IP]],0)</f>
        <v>1.4989293361884368</v>
      </c>
      <c r="AN88" s="28">
        <v>0</v>
      </c>
      <c r="AO88" s="90">
        <v>0</v>
      </c>
      <c r="AP88" s="28">
        <v>0</v>
      </c>
      <c r="AQ88" s="74">
        <v>0</v>
      </c>
      <c r="AR88" s="615">
        <v>6</v>
      </c>
      <c r="AY88" s="651" t="s">
        <v>266</v>
      </c>
      <c r="AZ88" s="71" t="s">
        <v>215</v>
      </c>
      <c r="BA88" s="74" t="s">
        <v>293</v>
      </c>
      <c r="BB88" s="88">
        <f>IFERROR((TOR_P209[[#This Row],[R]]*9)/TOR_P209[[#This Row],[IP]],0)</f>
        <v>7.0404172099087354</v>
      </c>
      <c r="BC88" s="28">
        <v>1</v>
      </c>
      <c r="BD88" s="74">
        <v>0</v>
      </c>
      <c r="BE88" s="28">
        <v>11</v>
      </c>
      <c r="BF88" s="584">
        <v>7.67</v>
      </c>
      <c r="BG88" s="28">
        <v>10</v>
      </c>
      <c r="BH88" s="28">
        <v>6</v>
      </c>
      <c r="BI88" s="28">
        <v>5</v>
      </c>
      <c r="BJ88" s="28">
        <v>7</v>
      </c>
      <c r="BK88" s="28">
        <v>0</v>
      </c>
      <c r="BL88" s="89">
        <f>IFERROR((TOR_P209[[#This Row],[H]]+TOR_P209[[#This Row],[BB]])/TOR_P209[[#This Row],[IP]],0)</f>
        <v>1.955671447196871</v>
      </c>
      <c r="BM88" s="28">
        <v>0</v>
      </c>
      <c r="BN88" s="90">
        <v>0</v>
      </c>
      <c r="BO88" s="28">
        <v>0</v>
      </c>
      <c r="BP88" s="74">
        <v>0</v>
      </c>
      <c r="BQ88" s="615">
        <v>6</v>
      </c>
    </row>
    <row r="89" spans="1:73">
      <c r="A89" s="651" t="s">
        <v>266</v>
      </c>
      <c r="B89" s="71" t="s">
        <v>212</v>
      </c>
      <c r="C89" s="87" t="s">
        <v>292</v>
      </c>
      <c r="D89" s="88">
        <f>IFERROR((TOR_P[[#This Row],[R]]*9)/TOR_P[[#This Row],[IP]],0)</f>
        <v>2.1595680863827234</v>
      </c>
      <c r="E89" s="28">
        <v>1</v>
      </c>
      <c r="F89" s="74">
        <v>1</v>
      </c>
      <c r="G89" s="28">
        <v>12</v>
      </c>
      <c r="H89" s="584">
        <v>16.670000000000002</v>
      </c>
      <c r="I89" s="28">
        <v>14</v>
      </c>
      <c r="J89" s="28">
        <v>4</v>
      </c>
      <c r="K89" s="28">
        <v>2</v>
      </c>
      <c r="L89" s="28">
        <v>11</v>
      </c>
      <c r="M89" s="28">
        <v>0</v>
      </c>
      <c r="N89" s="89">
        <f>IFERROR((TOR_P[[#This Row],[BB]]+TOR_P[[#This Row],[H]])/TOR_P[[#This Row],[IP]],0)</f>
        <v>0.95980803839232143</v>
      </c>
      <c r="O89" s="28">
        <v>0</v>
      </c>
      <c r="P89" s="90">
        <v>0</v>
      </c>
      <c r="Q89" s="28">
        <v>0</v>
      </c>
      <c r="R89" s="74">
        <v>0</v>
      </c>
      <c r="S89" s="615">
        <v>7</v>
      </c>
      <c r="Z89" s="720" t="s">
        <v>266</v>
      </c>
      <c r="AA89" s="71" t="s">
        <v>212</v>
      </c>
      <c r="AB89" s="87" t="s">
        <v>292</v>
      </c>
      <c r="AC89" s="88">
        <f>IFERROR((TOR_P296[[#This Row],[R]]*9)/TOR_P296[[#This Row],[IP]],0)</f>
        <v>3.6</v>
      </c>
      <c r="AD89" s="28">
        <v>2</v>
      </c>
      <c r="AE89" s="74">
        <v>0</v>
      </c>
      <c r="AF89" s="28">
        <v>9</v>
      </c>
      <c r="AG89" s="584">
        <v>10</v>
      </c>
      <c r="AH89" s="28">
        <v>11</v>
      </c>
      <c r="AI89" s="28">
        <v>4</v>
      </c>
      <c r="AJ89" s="28">
        <v>2</v>
      </c>
      <c r="AK89" s="28">
        <v>9</v>
      </c>
      <c r="AL89" s="28">
        <v>0</v>
      </c>
      <c r="AM89" s="89">
        <f>IFERROR((TOR_P296[[#This Row],[BB]]+TOR_P296[[#This Row],[H]])/TOR_P296[[#This Row],[IP]],0)</f>
        <v>1.3</v>
      </c>
      <c r="AN89" s="28">
        <v>0</v>
      </c>
      <c r="AO89" s="90">
        <v>0</v>
      </c>
      <c r="AP89" s="28">
        <v>0</v>
      </c>
      <c r="AQ89" s="74">
        <v>0</v>
      </c>
      <c r="AR89" s="615">
        <v>7</v>
      </c>
      <c r="AY89" s="651" t="s">
        <v>266</v>
      </c>
      <c r="AZ89" s="71" t="s">
        <v>212</v>
      </c>
      <c r="BA89" s="74" t="s">
        <v>292</v>
      </c>
      <c r="BB89" s="88">
        <f>IFERROR((TOR_P209[[#This Row],[R]]*9)/TOR_P209[[#This Row],[IP]],0)</f>
        <v>4.8696507624200693</v>
      </c>
      <c r="BC89" s="28">
        <v>1</v>
      </c>
      <c r="BD89" s="74">
        <v>2</v>
      </c>
      <c r="BE89" s="28">
        <v>21</v>
      </c>
      <c r="BF89" s="584">
        <v>20.329999999999998</v>
      </c>
      <c r="BG89" s="28">
        <v>25</v>
      </c>
      <c r="BH89" s="28">
        <v>11</v>
      </c>
      <c r="BI89" s="28">
        <v>6</v>
      </c>
      <c r="BJ89" s="28">
        <v>17</v>
      </c>
      <c r="BK89" s="28">
        <v>0</v>
      </c>
      <c r="BL89" s="89">
        <f>IFERROR((TOR_P209[[#This Row],[H]]+TOR_P209[[#This Row],[BB]])/TOR_P209[[#This Row],[IP]],0)</f>
        <v>1.5248401377274965</v>
      </c>
      <c r="BM89" s="28">
        <v>0</v>
      </c>
      <c r="BN89" s="90">
        <v>0</v>
      </c>
      <c r="BO89" s="28">
        <v>0</v>
      </c>
      <c r="BP89" s="74">
        <v>0</v>
      </c>
      <c r="BQ89" s="615">
        <v>7</v>
      </c>
    </row>
    <row r="90" spans="1:73">
      <c r="A90" s="651" t="s">
        <v>266</v>
      </c>
      <c r="B90" s="71" t="s">
        <v>212</v>
      </c>
      <c r="C90" s="87" t="s">
        <v>294</v>
      </c>
      <c r="D90" s="88">
        <f>IFERROR((TOR_P[[#This Row],[R]]*9)/TOR_P[[#This Row],[IP]],0)</f>
        <v>6.0957910014513779</v>
      </c>
      <c r="E90" s="28">
        <v>0</v>
      </c>
      <c r="F90" s="74">
        <v>1</v>
      </c>
      <c r="G90" s="28">
        <v>19</v>
      </c>
      <c r="H90" s="584">
        <v>20.67</v>
      </c>
      <c r="I90" s="28">
        <v>24</v>
      </c>
      <c r="J90" s="28">
        <v>14</v>
      </c>
      <c r="K90" s="28">
        <v>7</v>
      </c>
      <c r="L90" s="28">
        <v>20</v>
      </c>
      <c r="M90" s="28">
        <v>1</v>
      </c>
      <c r="N90" s="89">
        <f>IFERROR((TOR_P[[#This Row],[BB]]+TOR_P[[#This Row],[H]])/TOR_P[[#This Row],[IP]],0)</f>
        <v>1.4997581035316883</v>
      </c>
      <c r="O90" s="28">
        <v>0</v>
      </c>
      <c r="P90" s="90">
        <v>0</v>
      </c>
      <c r="Q90" s="28">
        <v>0</v>
      </c>
      <c r="R90" s="74">
        <v>0</v>
      </c>
      <c r="S90" s="615">
        <v>8</v>
      </c>
      <c r="Z90" s="720" t="s">
        <v>266</v>
      </c>
      <c r="AA90" s="71" t="s">
        <v>212</v>
      </c>
      <c r="AB90" s="87" t="s">
        <v>294</v>
      </c>
      <c r="AC90" s="88">
        <f>IFERROR((TOR_P296[[#This Row],[R]]*9)/TOR_P296[[#This Row],[IP]],0)</f>
        <v>1.55799192152337</v>
      </c>
      <c r="AD90" s="28">
        <v>0</v>
      </c>
      <c r="AE90" s="74">
        <v>0</v>
      </c>
      <c r="AF90" s="28">
        <v>14</v>
      </c>
      <c r="AG90" s="584">
        <v>17.329999999999998</v>
      </c>
      <c r="AH90" s="28">
        <v>11</v>
      </c>
      <c r="AI90" s="28">
        <v>3</v>
      </c>
      <c r="AJ90" s="28">
        <v>0</v>
      </c>
      <c r="AK90" s="28">
        <v>15</v>
      </c>
      <c r="AL90" s="28">
        <v>0</v>
      </c>
      <c r="AM90" s="535">
        <f>IFERROR((TOR_P296[[#This Row],[BB]]+TOR_P296[[#This Row],[H]])/TOR_P296[[#This Row],[IP]],0)</f>
        <v>0.63473744950952116</v>
      </c>
      <c r="AN90" s="28">
        <v>0</v>
      </c>
      <c r="AO90" s="90">
        <v>0</v>
      </c>
      <c r="AP90" s="28">
        <v>0</v>
      </c>
      <c r="AQ90" s="74">
        <v>0</v>
      </c>
      <c r="AR90" s="615">
        <v>8</v>
      </c>
      <c r="AY90" s="651" t="s">
        <v>266</v>
      </c>
      <c r="AZ90" s="71" t="s">
        <v>212</v>
      </c>
      <c r="BA90" s="74" t="s">
        <v>294</v>
      </c>
      <c r="BB90" s="88">
        <f>IFERROR((TOR_P209[[#This Row],[R]]*9)/TOR_P209[[#This Row],[IP]],0)</f>
        <v>4.0510127531882967</v>
      </c>
      <c r="BC90" s="28">
        <v>0</v>
      </c>
      <c r="BD90" s="74">
        <v>0</v>
      </c>
      <c r="BE90" s="28">
        <v>10</v>
      </c>
      <c r="BF90" s="584">
        <v>13.33</v>
      </c>
      <c r="BG90" s="28">
        <v>8</v>
      </c>
      <c r="BH90" s="28">
        <v>6</v>
      </c>
      <c r="BI90" s="28">
        <v>9</v>
      </c>
      <c r="BJ90" s="28">
        <v>12</v>
      </c>
      <c r="BK90" s="28">
        <v>0</v>
      </c>
      <c r="BL90" s="89">
        <f>IFERROR((TOR_P209[[#This Row],[H]]+TOR_P209[[#This Row],[BB]])/TOR_P209[[#This Row],[IP]],0)</f>
        <v>1.2753188297074269</v>
      </c>
      <c r="BM90" s="28">
        <v>0</v>
      </c>
      <c r="BN90" s="90">
        <v>0</v>
      </c>
      <c r="BO90" s="28">
        <v>0</v>
      </c>
      <c r="BP90" s="74">
        <v>0</v>
      </c>
      <c r="BQ90" s="615">
        <v>8</v>
      </c>
    </row>
    <row r="91" spans="1:73">
      <c r="A91" s="651" t="s">
        <v>266</v>
      </c>
      <c r="B91" s="71" t="s">
        <v>212</v>
      </c>
      <c r="C91" s="87" t="s">
        <v>295</v>
      </c>
      <c r="D91" s="88">
        <f>IFERROR((TOR_P[[#This Row],[R]]*9)/TOR_P[[#This Row],[IP]],0)</f>
        <v>3.5530990919857879</v>
      </c>
      <c r="E91" s="28">
        <v>0</v>
      </c>
      <c r="F91" s="74">
        <v>1</v>
      </c>
      <c r="G91" s="28">
        <v>21</v>
      </c>
      <c r="H91" s="584">
        <v>25.33</v>
      </c>
      <c r="I91" s="28">
        <v>23</v>
      </c>
      <c r="J91" s="28">
        <v>10</v>
      </c>
      <c r="K91" s="28">
        <v>6</v>
      </c>
      <c r="L91" s="28">
        <v>34</v>
      </c>
      <c r="M91" s="28">
        <v>0</v>
      </c>
      <c r="N91" s="89">
        <f>IFERROR((TOR_P[[#This Row],[BB]]+TOR_P[[#This Row],[H]])/TOR_P[[#This Row],[IP]],0)</f>
        <v>1.1448874851954205</v>
      </c>
      <c r="O91" s="28">
        <v>0</v>
      </c>
      <c r="P91" s="90">
        <v>0</v>
      </c>
      <c r="Q91" s="28">
        <v>0</v>
      </c>
      <c r="R91" s="74">
        <v>0</v>
      </c>
      <c r="S91" s="615">
        <v>9</v>
      </c>
      <c r="Z91" s="720" t="s">
        <v>266</v>
      </c>
      <c r="AA91" s="71" t="s">
        <v>212</v>
      </c>
      <c r="AB91" s="87" t="s">
        <v>295</v>
      </c>
      <c r="AC91" s="88">
        <f>IFERROR((TOR_P296[[#This Row],[R]]*9)/TOR_P296[[#This Row],[IP]],0)</f>
        <v>4.5</v>
      </c>
      <c r="AD91" s="28">
        <v>0</v>
      </c>
      <c r="AE91" s="74">
        <v>1</v>
      </c>
      <c r="AF91" s="28">
        <v>19</v>
      </c>
      <c r="AG91" s="584">
        <v>20</v>
      </c>
      <c r="AH91" s="28">
        <v>19</v>
      </c>
      <c r="AI91" s="28">
        <v>10</v>
      </c>
      <c r="AJ91" s="28">
        <v>8</v>
      </c>
      <c r="AK91" s="28">
        <v>17</v>
      </c>
      <c r="AL91" s="28">
        <v>0</v>
      </c>
      <c r="AM91" s="89">
        <f>IFERROR((TOR_P296[[#This Row],[BB]]+TOR_P296[[#This Row],[H]])/TOR_P296[[#This Row],[IP]],0)</f>
        <v>1.35</v>
      </c>
      <c r="AN91" s="28">
        <v>0</v>
      </c>
      <c r="AO91" s="90">
        <v>0</v>
      </c>
      <c r="AP91" s="28">
        <v>0</v>
      </c>
      <c r="AQ91" s="74">
        <v>0</v>
      </c>
      <c r="AR91" s="615">
        <v>9</v>
      </c>
      <c r="AY91" s="651" t="s">
        <v>266</v>
      </c>
      <c r="AZ91" s="71" t="s">
        <v>215</v>
      </c>
      <c r="BA91" s="74" t="s">
        <v>290</v>
      </c>
      <c r="BB91" s="88">
        <f>IFERROR((TOR_P209[[#This Row],[R]]*9)/TOR_P209[[#This Row],[IP]],0)</f>
        <v>10.624692572552878</v>
      </c>
      <c r="BC91" s="28">
        <v>0</v>
      </c>
      <c r="BD91" s="74">
        <v>1</v>
      </c>
      <c r="BE91" s="28">
        <v>21</v>
      </c>
      <c r="BF91" s="584">
        <v>20.329999999999998</v>
      </c>
      <c r="BG91" s="28">
        <v>38</v>
      </c>
      <c r="BH91" s="28">
        <v>24</v>
      </c>
      <c r="BI91" s="28">
        <v>10</v>
      </c>
      <c r="BJ91" s="28">
        <v>12</v>
      </c>
      <c r="BK91" s="28">
        <v>1</v>
      </c>
      <c r="BL91" s="89">
        <f>IFERROR((TOR_P209[[#This Row],[H]]+TOR_P209[[#This Row],[BB]])/TOR_P209[[#This Row],[IP]],0)</f>
        <v>2.3610427939006398</v>
      </c>
      <c r="BM91" s="28">
        <v>0</v>
      </c>
      <c r="BN91" s="90">
        <v>0</v>
      </c>
      <c r="BO91" s="28">
        <v>0</v>
      </c>
      <c r="BP91" s="74">
        <v>0</v>
      </c>
      <c r="BQ91" s="615">
        <v>9</v>
      </c>
    </row>
    <row r="92" spans="1:73" ht="17" thickBot="1">
      <c r="A92" s="651" t="s">
        <v>266</v>
      </c>
      <c r="B92" s="71" t="s">
        <v>212</v>
      </c>
      <c r="C92" s="74" t="s">
        <v>296</v>
      </c>
      <c r="D92" s="88">
        <f>IFERROR((TOR_P[[#This Row],[R]]*9)/TOR_P[[#This Row],[IP]],0)</f>
        <v>4.2284062161185396</v>
      </c>
      <c r="E92" s="28">
        <v>3</v>
      </c>
      <c r="F92" s="74">
        <v>2</v>
      </c>
      <c r="G92" s="28">
        <v>23</v>
      </c>
      <c r="H92" s="584">
        <v>27.67</v>
      </c>
      <c r="I92" s="28">
        <v>19</v>
      </c>
      <c r="J92" s="28">
        <v>13</v>
      </c>
      <c r="K92" s="28">
        <v>10</v>
      </c>
      <c r="L92" s="28">
        <v>30</v>
      </c>
      <c r="M92" s="28">
        <v>5</v>
      </c>
      <c r="N92" s="89">
        <f>IFERROR((TOR_P[[#This Row],[BB]]+TOR_P[[#This Row],[H]])/TOR_P[[#This Row],[IP]],0)</f>
        <v>1.0480664980122876</v>
      </c>
      <c r="O92" s="28">
        <v>0</v>
      </c>
      <c r="P92" s="90">
        <v>0</v>
      </c>
      <c r="Q92" s="28">
        <v>0</v>
      </c>
      <c r="R92" s="74">
        <v>0</v>
      </c>
      <c r="S92" s="615">
        <v>10</v>
      </c>
      <c r="Z92" s="720" t="s">
        <v>266</v>
      </c>
      <c r="AA92" s="71" t="s">
        <v>212</v>
      </c>
      <c r="AB92" s="74" t="s">
        <v>296</v>
      </c>
      <c r="AC92" s="88">
        <f>IFERROR((TOR_P296[[#This Row],[R]]*9)/TOR_P296[[#This Row],[IP]],0)</f>
        <v>3.6666666666666665</v>
      </c>
      <c r="AD92" s="28">
        <v>1</v>
      </c>
      <c r="AE92" s="74">
        <v>2</v>
      </c>
      <c r="AF92" s="28">
        <v>27</v>
      </c>
      <c r="AG92" s="584">
        <v>27</v>
      </c>
      <c r="AH92" s="28">
        <v>23</v>
      </c>
      <c r="AI92" s="28">
        <v>11</v>
      </c>
      <c r="AJ92" s="28">
        <v>13</v>
      </c>
      <c r="AK92" s="28">
        <v>37</v>
      </c>
      <c r="AL92" s="76">
        <v>15</v>
      </c>
      <c r="AM92" s="89">
        <f>IFERROR((TOR_P296[[#This Row],[BB]]+TOR_P296[[#This Row],[H]])/TOR_P296[[#This Row],[IP]],0)</f>
        <v>1.3333333333333333</v>
      </c>
      <c r="AN92" s="28">
        <v>0</v>
      </c>
      <c r="AO92" s="90">
        <v>0</v>
      </c>
      <c r="AP92" s="28">
        <v>0</v>
      </c>
      <c r="AQ92" s="74">
        <v>0</v>
      </c>
      <c r="AR92" s="615">
        <v>10</v>
      </c>
      <c r="AY92" s="651" t="s">
        <v>266</v>
      </c>
      <c r="AZ92" s="71" t="s">
        <v>212</v>
      </c>
      <c r="BA92" s="74" t="s">
        <v>296</v>
      </c>
      <c r="BB92" s="88">
        <f>IFERROR((TOR_P209[[#This Row],[R]]*9)/TOR_P209[[#This Row],[IP]],0)</f>
        <v>2.7</v>
      </c>
      <c r="BC92" s="28">
        <v>3</v>
      </c>
      <c r="BD92" s="74">
        <v>2</v>
      </c>
      <c r="BE92" s="28">
        <v>23</v>
      </c>
      <c r="BF92" s="584">
        <v>30</v>
      </c>
      <c r="BG92" s="28">
        <v>16</v>
      </c>
      <c r="BH92" s="28">
        <v>9</v>
      </c>
      <c r="BI92" s="28">
        <v>12</v>
      </c>
      <c r="BJ92" s="76">
        <v>45</v>
      </c>
      <c r="BK92" s="28">
        <v>7</v>
      </c>
      <c r="BL92" s="89">
        <f>IFERROR((TOR_P209[[#This Row],[H]]+TOR_P209[[#This Row],[BB]])/TOR_P209[[#This Row],[IP]],0)</f>
        <v>0.93333333333333335</v>
      </c>
      <c r="BM92" s="28">
        <v>0</v>
      </c>
      <c r="BN92" s="90">
        <v>0</v>
      </c>
      <c r="BO92" s="28">
        <v>0</v>
      </c>
      <c r="BP92" s="74">
        <v>0</v>
      </c>
      <c r="BQ92" s="615">
        <v>10</v>
      </c>
    </row>
    <row r="93" spans="1:73" ht="17" thickBot="1">
      <c r="A93" s="674"/>
      <c r="B93" s="675"/>
      <c r="C93" s="676" t="s">
        <v>195</v>
      </c>
      <c r="D93" s="683">
        <f>(J93*9)/H93</f>
        <v>4.8952813525107244</v>
      </c>
      <c r="E93" s="679">
        <f>SUBTOTAL(109,TOR_P[W])</f>
        <v>16</v>
      </c>
      <c r="F93" s="679">
        <f>SUBTOTAL(109,TOR_P[L])</f>
        <v>24</v>
      </c>
      <c r="G93" s="678"/>
      <c r="H93" s="684">
        <f>SUBTOTAL(109,TOR_P[IP])</f>
        <v>356.67</v>
      </c>
      <c r="I93" s="679">
        <f>SUBTOTAL(109,TOR_P[H])</f>
        <v>387</v>
      </c>
      <c r="J93" s="679">
        <f>SUBTOTAL(109,TOR_P[R])</f>
        <v>194</v>
      </c>
      <c r="K93" s="679">
        <f>SUBTOTAL(109,TOR_P[BB])</f>
        <v>118</v>
      </c>
      <c r="L93" s="679">
        <f>SUBTOTAL(109,TOR_P[K])</f>
        <v>325</v>
      </c>
      <c r="M93" s="679">
        <f>SUBTOTAL(109,TOR_P[SV])</f>
        <v>6</v>
      </c>
      <c r="N93" s="685">
        <f>(I93+K93)/H93</f>
        <v>1.4158746179942243</v>
      </c>
      <c r="O93" s="686">
        <f>SUBTOTAL(109,TOR_P[QS])</f>
        <v>14</v>
      </c>
      <c r="P93" s="687">
        <f>SUBTOTAL(109,TOR_P[UQ])</f>
        <v>4</v>
      </c>
      <c r="Q93" s="686">
        <f>SUBTOTAL(109,TOR_P[CG])</f>
        <v>0</v>
      </c>
      <c r="R93" s="688">
        <f>SUBTOTAL(109,TOR_P[SH])</f>
        <v>0</v>
      </c>
      <c r="S93" s="681"/>
      <c r="Z93" s="674"/>
      <c r="AA93" s="675"/>
      <c r="AB93" s="676" t="s">
        <v>195</v>
      </c>
      <c r="AC93" s="721">
        <f>(AI93*9)/AG93</f>
        <v>2.966759002770083</v>
      </c>
      <c r="AD93" s="679">
        <f>SUBTOTAL(109,TOR_P296[W])</f>
        <v>29</v>
      </c>
      <c r="AE93" s="679">
        <f>SUBTOTAL(109,TOR_P296[L])</f>
        <v>11</v>
      </c>
      <c r="AF93" s="678"/>
      <c r="AG93" s="684">
        <f>SUBTOTAL(109,TOR_P296[IP])</f>
        <v>361</v>
      </c>
      <c r="AH93" s="679">
        <f>SUBTOTAL(109,TOR_P296[H])</f>
        <v>323</v>
      </c>
      <c r="AI93" s="722">
        <f>SUBTOTAL(109,TOR_P296[R])</f>
        <v>119</v>
      </c>
      <c r="AJ93" s="722">
        <f>SUBTOTAL(109,TOR_P296[BB])</f>
        <v>99</v>
      </c>
      <c r="AK93" s="679">
        <f>SUBTOTAL(109,TOR_P296[K])</f>
        <v>364</v>
      </c>
      <c r="AL93" s="679">
        <f>SUBTOTAL(109,TOR_P296[SV])</f>
        <v>15</v>
      </c>
      <c r="AM93" s="685">
        <f>(AH93+AJ93)/AG93</f>
        <v>1.1689750692520775</v>
      </c>
      <c r="AN93" s="723">
        <f>SUBTOTAL(109,TOR_P296[QS])</f>
        <v>32</v>
      </c>
      <c r="AO93" s="687">
        <f>SUBTOTAL(109,TOR_P296[UQ])</f>
        <v>14</v>
      </c>
      <c r="AP93" s="686">
        <f>SUBTOTAL(109,TOR_P296[CG])</f>
        <v>2</v>
      </c>
      <c r="AQ93" s="688">
        <f>SUBTOTAL(109,TOR_P296[SH])</f>
        <v>2</v>
      </c>
      <c r="AR93" s="681"/>
      <c r="AY93" s="674"/>
      <c r="AZ93" s="675"/>
      <c r="BA93" s="676" t="s">
        <v>195</v>
      </c>
      <c r="BB93" s="683">
        <f>IFERROR((BH93*9)/BF93,0)</f>
        <v>4.3897653887026902</v>
      </c>
      <c r="BC93" s="679">
        <f>SUBTOTAL(109,TOR_P209[W])</f>
        <v>19</v>
      </c>
      <c r="BD93" s="679">
        <f>SUBTOTAL(109,TOR_P209[L])</f>
        <v>21</v>
      </c>
      <c r="BE93" s="678"/>
      <c r="BF93" s="684">
        <f>SUBTOTAL(109,TOR_P209[IP])</f>
        <v>366.98999999999995</v>
      </c>
      <c r="BG93" s="679">
        <f>SUBTOTAL(109,TOR_P209[H])</f>
        <v>351</v>
      </c>
      <c r="BH93" s="679">
        <f>SUBTOTAL(109,TOR_P209[R])</f>
        <v>179</v>
      </c>
      <c r="BI93" s="679">
        <f>SUBTOTAL(109,TOR_P209[BB])</f>
        <v>137</v>
      </c>
      <c r="BJ93" s="679">
        <f>SUBTOTAL(109,TOR_P209[K])</f>
        <v>338</v>
      </c>
      <c r="BK93" s="679">
        <f>SUBTOTAL(109,TOR_P209[SV])</f>
        <v>8</v>
      </c>
      <c r="BL93" s="685">
        <f>(BI93+BG93)/BF93</f>
        <v>1.3297365050818826</v>
      </c>
      <c r="BM93" s="686">
        <f>SUM(BM83:BM92)</f>
        <v>25</v>
      </c>
      <c r="BN93" s="687">
        <f>SUM(BN83:BN92)</f>
        <v>9</v>
      </c>
      <c r="BO93" s="686">
        <f>SUM(BO83:BO92)</f>
        <v>1</v>
      </c>
      <c r="BP93" s="688">
        <f>SUM(BP83:BP92)</f>
        <v>0</v>
      </c>
      <c r="BQ93" s="681"/>
    </row>
    <row r="94" spans="1:73" ht="17" thickBot="1"/>
    <row r="95" spans="1:73" ht="24" thickBot="1">
      <c r="A95" s="1012" t="s">
        <v>297</v>
      </c>
      <c r="B95" s="1013"/>
      <c r="C95" s="1013"/>
      <c r="D95" s="1013"/>
      <c r="E95" s="1013"/>
      <c r="F95" s="1013"/>
      <c r="G95" s="1013"/>
      <c r="H95" s="1013"/>
      <c r="I95" s="1013"/>
      <c r="J95" s="1013"/>
      <c r="K95" s="1013"/>
      <c r="L95" s="1013"/>
      <c r="M95" s="1013"/>
      <c r="N95" s="1013"/>
      <c r="O95" s="1013"/>
      <c r="P95" s="1013"/>
      <c r="Q95" s="1013"/>
      <c r="R95" s="1013"/>
      <c r="S95" s="1013"/>
      <c r="T95" s="1013"/>
      <c r="U95" s="1013"/>
      <c r="V95" s="1013"/>
      <c r="W95" s="1014"/>
      <c r="Z95" s="1012" t="s">
        <v>298</v>
      </c>
      <c r="AA95" s="1013"/>
      <c r="AB95" s="1013"/>
      <c r="AC95" s="1013"/>
      <c r="AD95" s="1013"/>
      <c r="AE95" s="1013"/>
      <c r="AF95" s="1013"/>
      <c r="AG95" s="1013"/>
      <c r="AH95" s="1013"/>
      <c r="AI95" s="1013"/>
      <c r="AJ95" s="1013"/>
      <c r="AK95" s="1013"/>
      <c r="AL95" s="1013"/>
      <c r="AM95" s="1013"/>
      <c r="AN95" s="1013"/>
      <c r="AO95" s="1013"/>
      <c r="AP95" s="1013"/>
      <c r="AQ95" s="1013"/>
      <c r="AR95" s="1013"/>
      <c r="AS95" s="1013"/>
      <c r="AT95" s="1013"/>
      <c r="AU95" s="1013"/>
      <c r="AV95" s="1014"/>
      <c r="AY95" s="1012" t="s">
        <v>299</v>
      </c>
      <c r="AZ95" s="1013"/>
      <c r="BA95" s="1013"/>
      <c r="BB95" s="1013"/>
      <c r="BC95" s="1013"/>
      <c r="BD95" s="1013"/>
      <c r="BE95" s="1013"/>
      <c r="BF95" s="1013"/>
      <c r="BG95" s="1013"/>
      <c r="BH95" s="1013"/>
      <c r="BI95" s="1013"/>
      <c r="BJ95" s="1013"/>
      <c r="BK95" s="1013"/>
      <c r="BL95" s="1013"/>
      <c r="BM95" s="1013"/>
      <c r="BN95" s="1013"/>
      <c r="BO95" s="1013"/>
      <c r="BP95" s="1013"/>
      <c r="BQ95" s="1013"/>
      <c r="BR95" s="1013"/>
      <c r="BS95" s="1013"/>
      <c r="BT95" s="1013"/>
      <c r="BU95" s="1014"/>
    </row>
    <row r="96" spans="1:73" s="64" customFormat="1" ht="14" thickBot="1">
      <c r="A96" s="605" t="s">
        <v>143</v>
      </c>
      <c r="B96" s="606" t="s">
        <v>144</v>
      </c>
      <c r="C96" s="606" t="s">
        <v>145</v>
      </c>
      <c r="D96" s="606" t="s">
        <v>146</v>
      </c>
      <c r="E96" s="606" t="s">
        <v>147</v>
      </c>
      <c r="F96" s="606" t="s">
        <v>148</v>
      </c>
      <c r="G96" s="606" t="s">
        <v>149</v>
      </c>
      <c r="H96" s="606" t="s">
        <v>150</v>
      </c>
      <c r="I96" s="606" t="s">
        <v>151</v>
      </c>
      <c r="J96" s="606" t="s">
        <v>152</v>
      </c>
      <c r="K96" s="606" t="s">
        <v>153</v>
      </c>
      <c r="L96" s="606" t="s">
        <v>154</v>
      </c>
      <c r="M96" s="606" t="s">
        <v>155</v>
      </c>
      <c r="N96" s="606" t="s">
        <v>156</v>
      </c>
      <c r="O96" s="606" t="s">
        <v>157</v>
      </c>
      <c r="P96" s="606" t="s">
        <v>158</v>
      </c>
      <c r="Q96" s="606" t="s">
        <v>159</v>
      </c>
      <c r="R96" s="606" t="s">
        <v>160</v>
      </c>
      <c r="S96" s="606" t="s">
        <v>16</v>
      </c>
      <c r="T96" s="606" t="s">
        <v>161</v>
      </c>
      <c r="U96" s="606" t="s">
        <v>162</v>
      </c>
      <c r="V96" s="606" t="s">
        <v>163</v>
      </c>
      <c r="W96" s="607" t="s">
        <v>164</v>
      </c>
      <c r="Z96" s="605" t="s">
        <v>143</v>
      </c>
      <c r="AA96" s="606" t="s">
        <v>144</v>
      </c>
      <c r="AB96" s="606" t="s">
        <v>145</v>
      </c>
      <c r="AC96" s="606" t="s">
        <v>146</v>
      </c>
      <c r="AD96" s="606" t="s">
        <v>147</v>
      </c>
      <c r="AE96" s="606" t="s">
        <v>148</v>
      </c>
      <c r="AF96" s="606" t="s">
        <v>149</v>
      </c>
      <c r="AG96" s="606" t="s">
        <v>150</v>
      </c>
      <c r="AH96" s="606" t="s">
        <v>151</v>
      </c>
      <c r="AI96" s="606" t="s">
        <v>152</v>
      </c>
      <c r="AJ96" s="606" t="s">
        <v>153</v>
      </c>
      <c r="AK96" s="606" t="s">
        <v>154</v>
      </c>
      <c r="AL96" s="606" t="s">
        <v>155</v>
      </c>
      <c r="AM96" s="606" t="s">
        <v>156</v>
      </c>
      <c r="AN96" s="606" t="s">
        <v>157</v>
      </c>
      <c r="AO96" s="606" t="s">
        <v>158</v>
      </c>
      <c r="AP96" s="606" t="s">
        <v>159</v>
      </c>
      <c r="AQ96" s="606" t="s">
        <v>160</v>
      </c>
      <c r="AR96" s="606" t="s">
        <v>16</v>
      </c>
      <c r="AS96" s="606" t="s">
        <v>161</v>
      </c>
      <c r="AT96" s="606" t="s">
        <v>162</v>
      </c>
      <c r="AU96" s="606" t="s">
        <v>163</v>
      </c>
      <c r="AV96" s="607" t="s">
        <v>164</v>
      </c>
      <c r="AY96" s="605" t="s">
        <v>143</v>
      </c>
      <c r="AZ96" s="606" t="s">
        <v>144</v>
      </c>
      <c r="BA96" s="606" t="s">
        <v>145</v>
      </c>
      <c r="BB96" s="606" t="s">
        <v>146</v>
      </c>
      <c r="BC96" s="606" t="s">
        <v>147</v>
      </c>
      <c r="BD96" s="606" t="s">
        <v>148</v>
      </c>
      <c r="BE96" s="606" t="s">
        <v>149</v>
      </c>
      <c r="BF96" s="606" t="s">
        <v>150</v>
      </c>
      <c r="BG96" s="606" t="s">
        <v>151</v>
      </c>
      <c r="BH96" s="606" t="s">
        <v>152</v>
      </c>
      <c r="BI96" s="606" t="s">
        <v>153</v>
      </c>
      <c r="BJ96" s="606" t="s">
        <v>154</v>
      </c>
      <c r="BK96" s="606" t="s">
        <v>155</v>
      </c>
      <c r="BL96" s="606" t="s">
        <v>156</v>
      </c>
      <c r="BM96" s="606" t="s">
        <v>157</v>
      </c>
      <c r="BN96" s="606" t="s">
        <v>158</v>
      </c>
      <c r="BO96" s="606" t="s">
        <v>159</v>
      </c>
      <c r="BP96" s="606" t="s">
        <v>160</v>
      </c>
      <c r="BQ96" s="606" t="s">
        <v>16</v>
      </c>
      <c r="BR96" s="606" t="s">
        <v>161</v>
      </c>
      <c r="BS96" s="606" t="s">
        <v>162</v>
      </c>
      <c r="BT96" s="606" t="s">
        <v>163</v>
      </c>
      <c r="BU96" s="607" t="s">
        <v>164</v>
      </c>
    </row>
    <row r="97" spans="1:73">
      <c r="A97" s="650" t="s">
        <v>300</v>
      </c>
      <c r="B97" s="597" t="s">
        <v>179</v>
      </c>
      <c r="C97" s="597" t="s">
        <v>307</v>
      </c>
      <c r="D97" s="598">
        <f>IFERROR((BAL_H[[#This Row],[H]]/BAL_H[[#This Row],[AB]]),0)</f>
        <v>0.28275862068965518</v>
      </c>
      <c r="E97" s="598">
        <f>IFERROR((BAL_H[[#This Row],[H]]+BAL_H[[#This Row],[BB]])/(BAL_H[[#This Row],[BB]]+BAL_H[[#This Row],[AB]]),0)</f>
        <v>0.33333333333333331</v>
      </c>
      <c r="F97" s="599">
        <f>IFERROR(((BAL_H[[#This Row],[H]]-BAL_H[[#This Row],[2B]]-BAL_H[[#This Row],[3B]]-BAL_H[[#This Row],[HR]])+(BAL_H[[#This Row],[2B]]*2)+(BAL_H[[#This Row],[3B]]*3)+(BAL_H[[#This Row],[HR]]*4))/BAL_H[[#This Row],[AB]],0)</f>
        <v>0.48275862068965519</v>
      </c>
      <c r="G97" s="600">
        <v>40</v>
      </c>
      <c r="H97" s="600">
        <v>145</v>
      </c>
      <c r="I97" s="600">
        <v>17</v>
      </c>
      <c r="J97" s="600">
        <v>41</v>
      </c>
      <c r="K97" s="600">
        <v>5</v>
      </c>
      <c r="L97" s="600">
        <v>0</v>
      </c>
      <c r="M97" s="600">
        <v>8</v>
      </c>
      <c r="N97" s="600">
        <v>24</v>
      </c>
      <c r="O97" s="600">
        <v>11</v>
      </c>
      <c r="P97" s="604">
        <v>32</v>
      </c>
      <c r="Q97" s="600">
        <v>0</v>
      </c>
      <c r="R97" s="600">
        <v>3</v>
      </c>
      <c r="S97" s="604">
        <v>8</v>
      </c>
      <c r="T97" s="600">
        <f>IFERROR((BAL_H[[#This Row],[H]]-BAL_H[[#This Row],[2B]]-BAL_H[[#This Row],[3B]]-BAL_H[[#This Row],[HR]])+(BAL_H[[#This Row],[2B]]*2)+(BAL_H[[#This Row],[3B]]*3)+(BAL_H[[#This Row],[HR]]*4),0)</f>
        <v>70</v>
      </c>
      <c r="U97" s="598">
        <f>BAL_H[[#This Row],[OBP]]+BAL_H[[#This Row],[SLG]]</f>
        <v>0.81609195402298851</v>
      </c>
      <c r="V97" s="604">
        <v>1</v>
      </c>
      <c r="W97" s="614">
        <v>1</v>
      </c>
      <c r="Z97" s="650" t="s">
        <v>300</v>
      </c>
      <c r="AA97" s="597" t="s">
        <v>179</v>
      </c>
      <c r="AB97" s="597" t="s">
        <v>307</v>
      </c>
      <c r="AC97" s="598">
        <f>IFERROR((BAL_H302[[#This Row],[H]]/BAL_H302[[#This Row],[AB]]),0)</f>
        <v>0.18439716312056736</v>
      </c>
      <c r="AD97" s="598">
        <f>IFERROR((BAL_H302[[#This Row],[H]]+BAL_H302[[#This Row],[BB]])/(BAL_H302[[#This Row],[BB]]+BAL_H302[[#This Row],[AB]]),0)</f>
        <v>0.30303030303030304</v>
      </c>
      <c r="AE97" s="599">
        <f>IFERROR(((BAL_H302[[#This Row],[H]]-BAL_H302[[#This Row],[2B]]-BAL_H302[[#This Row],[3B]]-BAL_H302[[#This Row],[HR]])+(BAL_H302[[#This Row],[2B]]*2)+(BAL_H302[[#This Row],[3B]]*3)+(BAL_H302[[#This Row],[HR]]*4))/BAL_H302[[#This Row],[AB]],0)</f>
        <v>0.34042553191489361</v>
      </c>
      <c r="AF97" s="600">
        <v>40</v>
      </c>
      <c r="AG97" s="600">
        <v>141</v>
      </c>
      <c r="AH97" s="600">
        <v>14</v>
      </c>
      <c r="AI97" s="600">
        <v>26</v>
      </c>
      <c r="AJ97" s="600">
        <v>4</v>
      </c>
      <c r="AK97" s="600">
        <v>0</v>
      </c>
      <c r="AL97" s="600">
        <v>6</v>
      </c>
      <c r="AM97" s="600">
        <v>13</v>
      </c>
      <c r="AN97" s="600">
        <v>24</v>
      </c>
      <c r="AO97" s="604">
        <v>42</v>
      </c>
      <c r="AP97" s="600">
        <v>0</v>
      </c>
      <c r="AQ97" s="600">
        <v>6</v>
      </c>
      <c r="AR97" s="604">
        <v>6</v>
      </c>
      <c r="AS97" s="600">
        <f>IFERROR((BAL_H302[[#This Row],[H]]-BAL_H302[[#This Row],[2B]]-BAL_H302[[#This Row],[3B]]-BAL_H302[[#This Row],[HR]])+(BAL_H302[[#This Row],[2B]]*2)+(BAL_H302[[#This Row],[3B]]*3)+(BAL_H302[[#This Row],[HR]]*4),0)</f>
        <v>48</v>
      </c>
      <c r="AT97" s="598">
        <f>BAL_H302[[#This Row],[OBP]]+BAL_H302[[#This Row],[SLG]]</f>
        <v>0.64345583494519665</v>
      </c>
      <c r="AU97" s="604">
        <v>2</v>
      </c>
      <c r="AV97" s="614">
        <v>1</v>
      </c>
      <c r="AY97" s="650" t="s">
        <v>300</v>
      </c>
      <c r="AZ97" s="597" t="s">
        <v>308</v>
      </c>
      <c r="BA97" s="597" t="s">
        <v>307</v>
      </c>
      <c r="BB97" s="598">
        <f>IFERROR(BAL_H215[[#This Row],[H]]/BAL_H215[[#This Row],[AB]],0)</f>
        <v>0.1951219512195122</v>
      </c>
      <c r="BC97" s="598">
        <f>IFERROR((BAL_H215[[#This Row],[BB]]+BAL_H215[[#This Row],[H]])/(BAL_H215[[#This Row],[AB]]+BAL_H215[[#This Row],[BB]]),0)</f>
        <v>0.30769230769230771</v>
      </c>
      <c r="BD97" s="599">
        <f>IFERROR(((BAL_H215[[#This Row],[H]]-BAL_H215[[#This Row],[2B]]-BAL_H215[[#This Row],[3B]]-BAL_H215[[#This Row],[HR]])+(BAL_H215[[#This Row],[2B]]*2)+(BAL_H215[[#This Row],[3B]]*3)+(BAL_H215[[#This Row],[HR]]*4))/BAL_H215[[#This Row],[AB]],0)</f>
        <v>0.38211382113821141</v>
      </c>
      <c r="BE97" s="600">
        <v>38</v>
      </c>
      <c r="BF97" s="600">
        <v>123</v>
      </c>
      <c r="BG97" s="600">
        <v>11</v>
      </c>
      <c r="BH97" s="600">
        <v>24</v>
      </c>
      <c r="BI97" s="600">
        <v>5</v>
      </c>
      <c r="BJ97" s="600">
        <f>0</f>
        <v>0</v>
      </c>
      <c r="BK97" s="600">
        <v>6</v>
      </c>
      <c r="BL97" s="600">
        <v>17</v>
      </c>
      <c r="BM97" s="600">
        <v>20</v>
      </c>
      <c r="BN97" s="604">
        <v>27</v>
      </c>
      <c r="BO97" s="600">
        <v>0</v>
      </c>
      <c r="BP97" s="600">
        <v>0</v>
      </c>
      <c r="BQ97" s="604">
        <v>3</v>
      </c>
      <c r="BR97" s="600">
        <f t="shared" ref="BR97:BR111" si="9">IFERROR((BH97-BI97-BJ97-BK97)+(BI97*2)+(BJ97*3)+(BK97*4),0)</f>
        <v>47</v>
      </c>
      <c r="BS97" s="598">
        <f>IFERROR(BAL_H215[[#This Row],[OBP]]+BAL_H215[[#This Row],[SLG]],0)</f>
        <v>0.68980612883051906</v>
      </c>
      <c r="BT97" s="604">
        <v>2</v>
      </c>
      <c r="BU97" s="614">
        <v>1</v>
      </c>
    </row>
    <row r="98" spans="1:73">
      <c r="A98" s="651" t="s">
        <v>300</v>
      </c>
      <c r="B98" s="77" t="s">
        <v>154</v>
      </c>
      <c r="C98" s="77" t="s">
        <v>309</v>
      </c>
      <c r="D98" s="996">
        <f>IFERROR((BAL_H[[#This Row],[H]]/BAL_H[[#This Row],[AB]]),0)</f>
        <v>0.28187919463087246</v>
      </c>
      <c r="E98" s="72">
        <f>IFERROR((BAL_H[[#This Row],[H]]+BAL_H[[#This Row],[BB]])/(BAL_H[[#This Row],[BB]]+BAL_H[[#This Row],[AB]]),0)</f>
        <v>0.3515151515151515</v>
      </c>
      <c r="F98" s="73">
        <f>IFERROR(((BAL_H[[#This Row],[H]]-BAL_H[[#This Row],[2B]]-BAL_H[[#This Row],[3B]]-BAL_H[[#This Row],[HR]])+(BAL_H[[#This Row],[2B]]*2)+(BAL_H[[#This Row],[3B]]*3)+(BAL_H[[#This Row],[HR]]*4))/BAL_H[[#This Row],[AB]],0)</f>
        <v>0.44295302013422821</v>
      </c>
      <c r="G98" s="28">
        <v>40</v>
      </c>
      <c r="H98" s="28">
        <v>149</v>
      </c>
      <c r="I98" s="28">
        <v>14</v>
      </c>
      <c r="J98" s="28">
        <v>42</v>
      </c>
      <c r="K98" s="28">
        <v>9</v>
      </c>
      <c r="L98" s="28">
        <v>3</v>
      </c>
      <c r="M98" s="28">
        <v>3</v>
      </c>
      <c r="N98" s="28">
        <v>14</v>
      </c>
      <c r="O98" s="28">
        <v>16</v>
      </c>
      <c r="P98" s="74">
        <v>21</v>
      </c>
      <c r="Q98" s="28">
        <v>0</v>
      </c>
      <c r="R98" s="28">
        <v>0</v>
      </c>
      <c r="S98" s="74">
        <v>5</v>
      </c>
      <c r="T98" s="28">
        <f>IFERROR((BAL_H[[#This Row],[H]]-BAL_H[[#This Row],[2B]]-BAL_H[[#This Row],[3B]]-BAL_H[[#This Row],[HR]])+(BAL_H[[#This Row],[2B]]*2)+(BAL_H[[#This Row],[3B]]*3)+(BAL_H[[#This Row],[HR]]*4),0)</f>
        <v>66</v>
      </c>
      <c r="U98" s="72">
        <f>BAL_H[[#This Row],[OBP]]+BAL_H[[#This Row],[SLG]]</f>
        <v>0.79446817164937977</v>
      </c>
      <c r="V98" s="74">
        <v>0</v>
      </c>
      <c r="W98" s="615">
        <v>2</v>
      </c>
      <c r="Z98" s="651" t="s">
        <v>300</v>
      </c>
      <c r="AA98" s="71" t="s">
        <v>154</v>
      </c>
      <c r="AB98" s="71" t="s">
        <v>309</v>
      </c>
      <c r="AC98" s="72">
        <f>IFERROR((BAL_H302[[#This Row],[H]]/BAL_H302[[#This Row],[AB]]),0)</f>
        <v>0.20588235294117646</v>
      </c>
      <c r="AD98" s="72">
        <f>IFERROR((BAL_H302[[#This Row],[H]]+BAL_H302[[#This Row],[BB]])/(BAL_H302[[#This Row],[BB]]+BAL_H302[[#This Row],[AB]]),0)</f>
        <v>0.3032258064516129</v>
      </c>
      <c r="AE98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0.36029411764705882</v>
      </c>
      <c r="AF98" s="28">
        <v>38</v>
      </c>
      <c r="AG98" s="28">
        <v>136</v>
      </c>
      <c r="AH98" s="28">
        <v>22</v>
      </c>
      <c r="AI98" s="28">
        <v>28</v>
      </c>
      <c r="AJ98" s="28">
        <v>2</v>
      </c>
      <c r="AK98" s="28">
        <v>2</v>
      </c>
      <c r="AL98" s="28">
        <v>5</v>
      </c>
      <c r="AM98" s="28">
        <v>12</v>
      </c>
      <c r="AN98" s="28">
        <v>19</v>
      </c>
      <c r="AO98" s="74">
        <v>26</v>
      </c>
      <c r="AP98" s="28">
        <v>0</v>
      </c>
      <c r="AQ98" s="28">
        <v>0</v>
      </c>
      <c r="AR98" s="74">
        <v>8</v>
      </c>
      <c r="AS98" s="28">
        <f>IFERROR((BAL_H302[[#This Row],[H]]-BAL_H302[[#This Row],[2B]]-BAL_H302[[#This Row],[3B]]-BAL_H302[[#This Row],[HR]])+(BAL_H302[[#This Row],[2B]]*2)+(BAL_H302[[#This Row],[3B]]*3)+(BAL_H302[[#This Row],[HR]]*4),0)</f>
        <v>49</v>
      </c>
      <c r="AT98" s="72">
        <f>BAL_H302[[#This Row],[OBP]]+BAL_H302[[#This Row],[SLG]]</f>
        <v>0.66351992409867178</v>
      </c>
      <c r="AU98" s="74">
        <v>4</v>
      </c>
      <c r="AV98" s="615">
        <v>2</v>
      </c>
      <c r="AY98" s="651" t="s">
        <v>300</v>
      </c>
      <c r="AZ98" s="71" t="s">
        <v>154</v>
      </c>
      <c r="BA98" s="71" t="s">
        <v>315</v>
      </c>
      <c r="BB98" s="72">
        <f>IFERROR(BAL_H215[[#This Row],[H]]/BAL_H215[[#This Row],[AB]],0)</f>
        <v>0.2857142857142857</v>
      </c>
      <c r="BC98" s="72">
        <f>IFERROR((BAL_H215[[#This Row],[BB]]+BAL_H215[[#This Row],[H]])/(BAL_H215[[#This Row],[AB]]+BAL_H215[[#This Row],[BB]]),0)</f>
        <v>0.31818181818181818</v>
      </c>
      <c r="BD98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0.34523809523809523</v>
      </c>
      <c r="BE98" s="28">
        <v>27</v>
      </c>
      <c r="BF98" s="28">
        <v>84</v>
      </c>
      <c r="BG98" s="28">
        <v>10</v>
      </c>
      <c r="BH98" s="28">
        <v>24</v>
      </c>
      <c r="BI98" s="28">
        <v>2</v>
      </c>
      <c r="BJ98" s="28">
        <f>0</f>
        <v>0</v>
      </c>
      <c r="BK98" s="28">
        <v>1</v>
      </c>
      <c r="BL98" s="28">
        <v>2</v>
      </c>
      <c r="BM98" s="28">
        <v>4</v>
      </c>
      <c r="BN98" s="74">
        <v>24</v>
      </c>
      <c r="BO98" s="28">
        <v>0</v>
      </c>
      <c r="BP98" s="28">
        <v>0</v>
      </c>
      <c r="BQ98" s="74">
        <v>6</v>
      </c>
      <c r="BR98" s="28">
        <f t="shared" si="9"/>
        <v>29</v>
      </c>
      <c r="BS98" s="72">
        <f>IFERROR(BAL_H215[[#This Row],[OBP]]+BAL_H215[[#This Row],[SLG]],0)</f>
        <v>0.66341991341991347</v>
      </c>
      <c r="BT98" s="74">
        <v>0</v>
      </c>
      <c r="BU98" s="615">
        <v>2</v>
      </c>
    </row>
    <row r="99" spans="1:73">
      <c r="A99" s="651" t="s">
        <v>300</v>
      </c>
      <c r="B99" s="71" t="s">
        <v>172</v>
      </c>
      <c r="C99" s="71" t="s">
        <v>305</v>
      </c>
      <c r="D99" s="72">
        <f>IFERROR((BAL_H[[#This Row],[H]]/BAL_H[[#This Row],[AB]]),0)</f>
        <v>0.29012345679012347</v>
      </c>
      <c r="E99" s="72">
        <f>IFERROR((BAL_H[[#This Row],[H]]+BAL_H[[#This Row],[BB]])/(BAL_H[[#This Row],[BB]]+BAL_H[[#This Row],[AB]]),0)</f>
        <v>0.34659090909090912</v>
      </c>
      <c r="F99" s="73">
        <f>IFERROR(((BAL_H[[#This Row],[H]]-BAL_H[[#This Row],[2B]]-BAL_H[[#This Row],[3B]]-BAL_H[[#This Row],[HR]])+(BAL_H[[#This Row],[2B]]*2)+(BAL_H[[#This Row],[3B]]*3)+(BAL_H[[#This Row],[HR]]*4))/BAL_H[[#This Row],[AB]],0)</f>
        <v>0.5864197530864198</v>
      </c>
      <c r="G99" s="28">
        <v>39</v>
      </c>
      <c r="H99" s="28">
        <v>162</v>
      </c>
      <c r="I99" s="28">
        <v>26</v>
      </c>
      <c r="J99" s="28">
        <v>47</v>
      </c>
      <c r="K99" s="28">
        <v>13</v>
      </c>
      <c r="L99" s="28">
        <v>1</v>
      </c>
      <c r="M99" s="28">
        <v>11</v>
      </c>
      <c r="N99" s="28">
        <v>22</v>
      </c>
      <c r="O99" s="28">
        <v>14</v>
      </c>
      <c r="P99" s="74">
        <v>44</v>
      </c>
      <c r="Q99" s="28">
        <v>3</v>
      </c>
      <c r="R99" s="28">
        <v>8</v>
      </c>
      <c r="S99" s="74">
        <v>8</v>
      </c>
      <c r="T99" s="28">
        <f>IFERROR((BAL_H[[#This Row],[H]]-BAL_H[[#This Row],[2B]]-BAL_H[[#This Row],[3B]]-BAL_H[[#This Row],[HR]])+(BAL_H[[#This Row],[2B]]*2)+(BAL_H[[#This Row],[3B]]*3)+(BAL_H[[#This Row],[HR]]*4),0)</f>
        <v>95</v>
      </c>
      <c r="U99" s="72">
        <f>BAL_H[[#This Row],[OBP]]+BAL_H[[#This Row],[SLG]]</f>
        <v>0.93301066217732886</v>
      </c>
      <c r="V99" s="74">
        <v>3</v>
      </c>
      <c r="W99" s="615">
        <v>3</v>
      </c>
      <c r="Z99" s="651" t="s">
        <v>300</v>
      </c>
      <c r="AA99" s="71" t="s">
        <v>235</v>
      </c>
      <c r="AB99" s="71" t="s">
        <v>305</v>
      </c>
      <c r="AC99" s="72">
        <f>IFERROR((BAL_H302[[#This Row],[H]]/BAL_H302[[#This Row],[AB]]),0)</f>
        <v>0.25185185185185183</v>
      </c>
      <c r="AD99" s="72">
        <f>IFERROR((BAL_H302[[#This Row],[H]]+BAL_H302[[#This Row],[BB]])/(BAL_H302[[#This Row],[BB]]+BAL_H302[[#This Row],[AB]]),0)</f>
        <v>0.39156626506024095</v>
      </c>
      <c r="AE99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0.45185185185185184</v>
      </c>
      <c r="AF99" s="28">
        <v>39</v>
      </c>
      <c r="AG99" s="28">
        <v>135</v>
      </c>
      <c r="AH99" s="28">
        <v>18</v>
      </c>
      <c r="AI99" s="28">
        <v>34</v>
      </c>
      <c r="AJ99" s="28">
        <v>7</v>
      </c>
      <c r="AK99" s="28">
        <v>1</v>
      </c>
      <c r="AL99" s="28">
        <v>6</v>
      </c>
      <c r="AM99" s="28">
        <v>22</v>
      </c>
      <c r="AN99" s="76">
        <v>31</v>
      </c>
      <c r="AO99" s="74">
        <v>38</v>
      </c>
      <c r="AP99" s="28">
        <v>0</v>
      </c>
      <c r="AQ99" s="28">
        <v>1</v>
      </c>
      <c r="AR99" s="74">
        <v>7</v>
      </c>
      <c r="AS99" s="28">
        <f>IFERROR((BAL_H302[[#This Row],[H]]-BAL_H302[[#This Row],[2B]]-BAL_H302[[#This Row],[3B]]-BAL_H302[[#This Row],[HR]])+(BAL_H302[[#This Row],[2B]]*2)+(BAL_H302[[#This Row],[3B]]*3)+(BAL_H302[[#This Row],[HR]]*4),0)</f>
        <v>61</v>
      </c>
      <c r="AT99" s="72">
        <f>BAL_H302[[#This Row],[OBP]]+BAL_H302[[#This Row],[SLG]]</f>
        <v>0.84341811691209279</v>
      </c>
      <c r="AU99" s="74">
        <v>3</v>
      </c>
      <c r="AV99" s="615">
        <v>3</v>
      </c>
      <c r="AY99" s="651" t="s">
        <v>300</v>
      </c>
      <c r="AZ99" s="71" t="s">
        <v>172</v>
      </c>
      <c r="BA99" s="71" t="s">
        <v>309</v>
      </c>
      <c r="BB99" s="72">
        <f>IFERROR(BAL_H215[[#This Row],[H]]/BAL_H215[[#This Row],[AB]],0)</f>
        <v>0.21126760563380281</v>
      </c>
      <c r="BC99" s="72">
        <f>IFERROR((BAL_H215[[#This Row],[BB]]+BAL_H215[[#This Row],[H]])/(BAL_H215[[#This Row],[AB]]+BAL_H215[[#This Row],[BB]]),0)</f>
        <v>0.29559748427672955</v>
      </c>
      <c r="BD99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0.33098591549295775</v>
      </c>
      <c r="BE99" s="28">
        <v>40</v>
      </c>
      <c r="BF99" s="28">
        <v>142</v>
      </c>
      <c r="BG99" s="28">
        <v>9</v>
      </c>
      <c r="BH99" s="28">
        <v>30</v>
      </c>
      <c r="BI99" s="28">
        <v>6</v>
      </c>
      <c r="BJ99" s="28">
        <v>1</v>
      </c>
      <c r="BK99" s="28">
        <v>3</v>
      </c>
      <c r="BL99" s="28">
        <v>16</v>
      </c>
      <c r="BM99" s="28">
        <v>17</v>
      </c>
      <c r="BN99" s="74">
        <v>21</v>
      </c>
      <c r="BO99" s="28">
        <v>0</v>
      </c>
      <c r="BP99" s="28">
        <v>0</v>
      </c>
      <c r="BQ99" s="74">
        <v>7</v>
      </c>
      <c r="BR99" s="28">
        <f t="shared" si="9"/>
        <v>47</v>
      </c>
      <c r="BS99" s="72">
        <f>IFERROR(BAL_H215[[#This Row],[OBP]]+BAL_H215[[#This Row],[SLG]],0)</f>
        <v>0.62658339976968724</v>
      </c>
      <c r="BT99" s="74">
        <v>1</v>
      </c>
      <c r="BU99" s="615">
        <v>3</v>
      </c>
    </row>
    <row r="100" spans="1:73">
      <c r="A100" s="651" t="s">
        <v>300</v>
      </c>
      <c r="B100" s="71" t="s">
        <v>311</v>
      </c>
      <c r="C100" s="71" t="s">
        <v>312</v>
      </c>
      <c r="D100" s="72">
        <f>IFERROR((BAL_H[[#This Row],[H]]/BAL_H[[#This Row],[AB]]),0)</f>
        <v>0.2265625</v>
      </c>
      <c r="E100" s="72">
        <f>IFERROR((BAL_H[[#This Row],[H]]+BAL_H[[#This Row],[BB]])/(BAL_H[[#This Row],[BB]]+BAL_H[[#This Row],[AB]]),0)</f>
        <v>0.28260869565217389</v>
      </c>
      <c r="F100" s="73">
        <f>IFERROR(((BAL_H[[#This Row],[H]]-BAL_H[[#This Row],[2B]]-BAL_H[[#This Row],[3B]]-BAL_H[[#This Row],[HR]])+(BAL_H[[#This Row],[2B]]*2)+(BAL_H[[#This Row],[3B]]*3)+(BAL_H[[#This Row],[HR]]*4))/BAL_H[[#This Row],[AB]],0)</f>
        <v>0.3515625</v>
      </c>
      <c r="G100" s="28">
        <v>37</v>
      </c>
      <c r="H100" s="28">
        <v>128</v>
      </c>
      <c r="I100" s="28">
        <v>16</v>
      </c>
      <c r="J100" s="28">
        <v>29</v>
      </c>
      <c r="K100" s="28">
        <v>10</v>
      </c>
      <c r="L100" s="28">
        <v>0</v>
      </c>
      <c r="M100" s="28">
        <v>2</v>
      </c>
      <c r="N100" s="28">
        <v>10</v>
      </c>
      <c r="O100" s="28">
        <v>10</v>
      </c>
      <c r="P100" s="74">
        <v>33</v>
      </c>
      <c r="Q100" s="28">
        <v>0</v>
      </c>
      <c r="R100" s="28">
        <v>0</v>
      </c>
      <c r="S100" s="74">
        <v>6</v>
      </c>
      <c r="T100" s="28">
        <f>IFERROR((BAL_H[[#This Row],[H]]-BAL_H[[#This Row],[2B]]-BAL_H[[#This Row],[3B]]-BAL_H[[#This Row],[HR]])+(BAL_H[[#This Row],[2B]]*2)+(BAL_H[[#This Row],[3B]]*3)+(BAL_H[[#This Row],[HR]]*4),0)</f>
        <v>45</v>
      </c>
      <c r="U100" s="72">
        <f>BAL_H[[#This Row],[OBP]]+BAL_H[[#This Row],[SLG]]</f>
        <v>0.63417119565217384</v>
      </c>
      <c r="V100" s="74">
        <v>0</v>
      </c>
      <c r="W100" s="615">
        <v>4</v>
      </c>
      <c r="Z100" s="651" t="s">
        <v>300</v>
      </c>
      <c r="AA100" s="71" t="s">
        <v>153</v>
      </c>
      <c r="AB100" s="71" t="s">
        <v>314</v>
      </c>
      <c r="AC100" s="72">
        <f>IFERROR((BAL_H302[[#This Row],[H]]/BAL_H302[[#This Row],[AB]]),0)</f>
        <v>0.2073170731707317</v>
      </c>
      <c r="AD100" s="72">
        <f>IFERROR((BAL_H302[[#This Row],[H]]+BAL_H302[[#This Row],[BB]])/(BAL_H302[[#This Row],[BB]]+BAL_H302[[#This Row],[AB]]),0)</f>
        <v>0.22619047619047619</v>
      </c>
      <c r="AE100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0.37804878048780488</v>
      </c>
      <c r="AF100" s="28">
        <v>22</v>
      </c>
      <c r="AG100" s="28">
        <v>82</v>
      </c>
      <c r="AH100" s="28">
        <v>6</v>
      </c>
      <c r="AI100" s="28">
        <v>17</v>
      </c>
      <c r="AJ100" s="28">
        <v>2</v>
      </c>
      <c r="AK100" s="28">
        <v>0</v>
      </c>
      <c r="AL100" s="28">
        <v>4</v>
      </c>
      <c r="AM100" s="28">
        <v>11</v>
      </c>
      <c r="AN100" s="28">
        <v>2</v>
      </c>
      <c r="AO100" s="74">
        <v>19</v>
      </c>
      <c r="AP100" s="28">
        <v>0</v>
      </c>
      <c r="AQ100" s="28">
        <v>0</v>
      </c>
      <c r="AR100" s="74">
        <v>4</v>
      </c>
      <c r="AS100" s="28">
        <f>IFERROR((BAL_H302[[#This Row],[H]]-BAL_H302[[#This Row],[2B]]-BAL_H302[[#This Row],[3B]]-BAL_H302[[#This Row],[HR]])+(BAL_H302[[#This Row],[2B]]*2)+(BAL_H302[[#This Row],[3B]]*3)+(BAL_H302[[#This Row],[HR]]*4),0)</f>
        <v>31</v>
      </c>
      <c r="AT100" s="72">
        <f>BAL_H302[[#This Row],[OBP]]+BAL_H302[[#This Row],[SLG]]</f>
        <v>0.60423925667828104</v>
      </c>
      <c r="AU100" s="74">
        <v>0</v>
      </c>
      <c r="AV100" s="615">
        <v>4</v>
      </c>
      <c r="AY100" s="651" t="s">
        <v>300</v>
      </c>
      <c r="AZ100" s="71" t="s">
        <v>153</v>
      </c>
      <c r="BA100" s="71" t="s">
        <v>314</v>
      </c>
      <c r="BB100" s="72">
        <f>IFERROR(BAL_H215[[#This Row],[H]]/BAL_H215[[#This Row],[AB]],0)</f>
        <v>0.23076923076923078</v>
      </c>
      <c r="BC100" s="72">
        <f>IFERROR((BAL_H215[[#This Row],[BB]]+BAL_H215[[#This Row],[H]])/(BAL_H215[[#This Row],[AB]]+BAL_H215[[#This Row],[BB]]),0)</f>
        <v>0.2857142857142857</v>
      </c>
      <c r="BD100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0.35384615384615387</v>
      </c>
      <c r="BE100" s="28">
        <v>22</v>
      </c>
      <c r="BF100" s="28">
        <v>65</v>
      </c>
      <c r="BG100" s="28">
        <v>5</v>
      </c>
      <c r="BH100" s="28">
        <v>15</v>
      </c>
      <c r="BI100" s="28">
        <v>2</v>
      </c>
      <c r="BJ100" s="28">
        <f>0</f>
        <v>0</v>
      </c>
      <c r="BK100" s="28">
        <v>2</v>
      </c>
      <c r="BL100" s="28">
        <v>8</v>
      </c>
      <c r="BM100" s="28">
        <v>5</v>
      </c>
      <c r="BN100" s="74">
        <v>10</v>
      </c>
      <c r="BO100" s="28">
        <v>0</v>
      </c>
      <c r="BP100" s="28">
        <v>0</v>
      </c>
      <c r="BQ100" s="74">
        <v>6</v>
      </c>
      <c r="BR100" s="28">
        <f t="shared" si="9"/>
        <v>23</v>
      </c>
      <c r="BS100" s="72">
        <f>IFERROR(BAL_H215[[#This Row],[OBP]]+BAL_H215[[#This Row],[SLG]],0)</f>
        <v>0.63956043956043951</v>
      </c>
      <c r="BT100" s="74">
        <v>1</v>
      </c>
      <c r="BU100" s="615">
        <v>4</v>
      </c>
    </row>
    <row r="101" spans="1:73">
      <c r="A101" s="651" t="s">
        <v>300</v>
      </c>
      <c r="B101" s="345" t="s">
        <v>177</v>
      </c>
      <c r="C101" s="345" t="s">
        <v>301</v>
      </c>
      <c r="D101" s="72">
        <f>IFERROR((BAL_H[[#This Row],[H]]/BAL_H[[#This Row],[AB]]),0)</f>
        <v>0.34337349397590361</v>
      </c>
      <c r="E101" s="72">
        <f>IFERROR((BAL_H[[#This Row],[H]]+BAL_H[[#This Row],[BB]])/(BAL_H[[#This Row],[BB]]+BAL_H[[#This Row],[AB]]),0)</f>
        <v>0.39106145251396646</v>
      </c>
      <c r="F101" s="73">
        <f>IFERROR(((BAL_H[[#This Row],[H]]-BAL_H[[#This Row],[2B]]-BAL_H[[#This Row],[3B]]-BAL_H[[#This Row],[HR]])+(BAL_H[[#This Row],[2B]]*2)+(BAL_H[[#This Row],[3B]]*3)+(BAL_H[[#This Row],[HR]]*4))/BAL_H[[#This Row],[AB]],0)</f>
        <v>0.60843373493975905</v>
      </c>
      <c r="G101" s="28">
        <v>40</v>
      </c>
      <c r="H101" s="28">
        <v>166</v>
      </c>
      <c r="I101" s="28">
        <v>26</v>
      </c>
      <c r="J101" s="28">
        <v>57</v>
      </c>
      <c r="K101" s="28">
        <v>8</v>
      </c>
      <c r="L101" s="28">
        <v>0</v>
      </c>
      <c r="M101" s="28">
        <v>12</v>
      </c>
      <c r="N101" s="28">
        <v>33</v>
      </c>
      <c r="O101" s="28">
        <v>13</v>
      </c>
      <c r="P101" s="74">
        <v>31</v>
      </c>
      <c r="Q101" s="28">
        <v>0</v>
      </c>
      <c r="R101" s="28">
        <v>3</v>
      </c>
      <c r="S101" s="74">
        <v>11</v>
      </c>
      <c r="T101" s="28">
        <f>IFERROR((BAL_H[[#This Row],[H]]-BAL_H[[#This Row],[2B]]-BAL_H[[#This Row],[3B]]-BAL_H[[#This Row],[HR]])+(BAL_H[[#This Row],[2B]]*2)+(BAL_H[[#This Row],[3B]]*3)+(BAL_H[[#This Row],[HR]]*4),0)</f>
        <v>101</v>
      </c>
      <c r="U101" s="72">
        <f>BAL_H[[#This Row],[OBP]]+BAL_H[[#This Row],[SLG]]</f>
        <v>0.99949518745372545</v>
      </c>
      <c r="V101" s="104">
        <v>10</v>
      </c>
      <c r="W101" s="615">
        <v>5</v>
      </c>
      <c r="Z101" s="651" t="s">
        <v>300</v>
      </c>
      <c r="AA101" s="71" t="s">
        <v>177</v>
      </c>
      <c r="AB101" s="71" t="s">
        <v>301</v>
      </c>
      <c r="AC101" s="72">
        <f>IFERROR((BAL_H302[[#This Row],[H]]/BAL_H302[[#This Row],[AB]]),0)</f>
        <v>0.29931972789115646</v>
      </c>
      <c r="AD101" s="72">
        <f>IFERROR((BAL_H302[[#This Row],[H]]+BAL_H302[[#This Row],[BB]])/(BAL_H302[[#This Row],[BB]]+BAL_H302[[#This Row],[AB]]),0)</f>
        <v>0.39411764705882352</v>
      </c>
      <c r="AE101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0.42176870748299322</v>
      </c>
      <c r="AF101" s="28">
        <v>39</v>
      </c>
      <c r="AG101" s="28">
        <v>147</v>
      </c>
      <c r="AH101" s="28">
        <v>18</v>
      </c>
      <c r="AI101" s="28">
        <v>44</v>
      </c>
      <c r="AJ101" s="28">
        <v>6</v>
      </c>
      <c r="AK101" s="28">
        <v>0</v>
      </c>
      <c r="AL101" s="28">
        <v>4</v>
      </c>
      <c r="AM101" s="28">
        <v>17</v>
      </c>
      <c r="AN101" s="28">
        <v>23</v>
      </c>
      <c r="AO101" s="74">
        <v>22</v>
      </c>
      <c r="AP101" s="28">
        <v>0</v>
      </c>
      <c r="AQ101" s="28">
        <v>0</v>
      </c>
      <c r="AR101" s="74">
        <v>7</v>
      </c>
      <c r="AS101" s="28">
        <f>IFERROR((BAL_H302[[#This Row],[H]]-BAL_H302[[#This Row],[2B]]-BAL_H302[[#This Row],[3B]]-BAL_H302[[#This Row],[HR]])+(BAL_H302[[#This Row],[2B]]*2)+(BAL_H302[[#This Row],[3B]]*3)+(BAL_H302[[#This Row],[HR]]*4),0)</f>
        <v>62</v>
      </c>
      <c r="AT101" s="72">
        <f>BAL_H302[[#This Row],[OBP]]+BAL_H302[[#This Row],[SLG]]</f>
        <v>0.81588635454181668</v>
      </c>
      <c r="AU101" s="74">
        <v>1</v>
      </c>
      <c r="AV101" s="615">
        <v>5</v>
      </c>
      <c r="AY101" s="651" t="s">
        <v>300</v>
      </c>
      <c r="AZ101" s="71" t="s">
        <v>177</v>
      </c>
      <c r="BA101" s="71" t="s">
        <v>301</v>
      </c>
      <c r="BB101" s="72">
        <f>IFERROR(BAL_H215[[#This Row],[H]]/BAL_H215[[#This Row],[AB]],0)</f>
        <v>0.28472222222222221</v>
      </c>
      <c r="BC101" s="72">
        <f>IFERROR((BAL_H215[[#This Row],[BB]]+BAL_H215[[#This Row],[H]])/(BAL_H215[[#This Row],[AB]]+BAL_H215[[#This Row],[BB]]),0)</f>
        <v>0.36024844720496896</v>
      </c>
      <c r="BD101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0.39583333333333331</v>
      </c>
      <c r="BE101" s="28">
        <v>40</v>
      </c>
      <c r="BF101" s="28">
        <v>144</v>
      </c>
      <c r="BG101" s="28">
        <v>17</v>
      </c>
      <c r="BH101" s="28">
        <v>41</v>
      </c>
      <c r="BI101" s="28">
        <v>7</v>
      </c>
      <c r="BJ101" s="28">
        <v>0</v>
      </c>
      <c r="BK101" s="28">
        <v>3</v>
      </c>
      <c r="BL101" s="28">
        <v>18</v>
      </c>
      <c r="BM101" s="28">
        <v>17</v>
      </c>
      <c r="BN101" s="74">
        <v>27</v>
      </c>
      <c r="BO101" s="28">
        <v>0</v>
      </c>
      <c r="BP101" s="28">
        <v>0</v>
      </c>
      <c r="BQ101" s="74">
        <v>10</v>
      </c>
      <c r="BR101" s="28">
        <f t="shared" si="9"/>
        <v>57</v>
      </c>
      <c r="BS101" s="72">
        <f>IFERROR(BAL_H215[[#This Row],[OBP]]+BAL_H215[[#This Row],[SLG]],0)</f>
        <v>0.75608178053830222</v>
      </c>
      <c r="BT101" s="74">
        <v>2</v>
      </c>
      <c r="BU101" s="615">
        <v>5</v>
      </c>
    </row>
    <row r="102" spans="1:73">
      <c r="A102" s="651" t="s">
        <v>300</v>
      </c>
      <c r="B102" s="71" t="s">
        <v>174</v>
      </c>
      <c r="C102" s="71" t="s">
        <v>304</v>
      </c>
      <c r="D102" s="72">
        <f>IFERROR((BAL_H[[#This Row],[H]]/BAL_H[[#This Row],[AB]]),0)</f>
        <v>0.28160919540229884</v>
      </c>
      <c r="E102" s="72">
        <f>IFERROR((BAL_H[[#This Row],[H]]+BAL_H[[#This Row],[BB]])/(BAL_H[[#This Row],[BB]]+BAL_H[[#This Row],[AB]]),0)</f>
        <v>0.32065217391304346</v>
      </c>
      <c r="F102" s="73">
        <f>IFERROR(((BAL_H[[#This Row],[H]]-BAL_H[[#This Row],[2B]]-BAL_H[[#This Row],[3B]]-BAL_H[[#This Row],[HR]])+(BAL_H[[#This Row],[2B]]*2)+(BAL_H[[#This Row],[3B]]*3)+(BAL_H[[#This Row],[HR]]*4))/BAL_H[[#This Row],[AB]],0)</f>
        <v>0.5114942528735632</v>
      </c>
      <c r="G102" s="28">
        <v>40</v>
      </c>
      <c r="H102" s="28">
        <v>174</v>
      </c>
      <c r="I102" s="28">
        <v>28</v>
      </c>
      <c r="J102" s="28">
        <v>49</v>
      </c>
      <c r="K102" s="28">
        <v>10</v>
      </c>
      <c r="L102" s="28">
        <v>0</v>
      </c>
      <c r="M102" s="28">
        <v>10</v>
      </c>
      <c r="N102" s="28">
        <v>28</v>
      </c>
      <c r="O102" s="28">
        <v>10</v>
      </c>
      <c r="P102" s="74">
        <v>45</v>
      </c>
      <c r="Q102" s="28">
        <v>0</v>
      </c>
      <c r="R102" s="28">
        <v>3</v>
      </c>
      <c r="S102" s="74">
        <v>11</v>
      </c>
      <c r="T102" s="28">
        <f>IFERROR((BAL_H[[#This Row],[H]]-BAL_H[[#This Row],[2B]]-BAL_H[[#This Row],[3B]]-BAL_H[[#This Row],[HR]])+(BAL_H[[#This Row],[2B]]*2)+(BAL_H[[#This Row],[3B]]*3)+(BAL_H[[#This Row],[HR]]*4),0)</f>
        <v>89</v>
      </c>
      <c r="U102" s="72">
        <f>BAL_H[[#This Row],[OBP]]+BAL_H[[#This Row],[SLG]]</f>
        <v>0.83214642678660666</v>
      </c>
      <c r="V102" s="74">
        <v>6</v>
      </c>
      <c r="W102" s="615">
        <v>6</v>
      </c>
      <c r="Z102" s="651" t="s">
        <v>300</v>
      </c>
      <c r="AA102" s="71" t="s">
        <v>174</v>
      </c>
      <c r="AB102" s="71" t="s">
        <v>304</v>
      </c>
      <c r="AC102" s="72">
        <f>IFERROR((BAL_H302[[#This Row],[H]]/BAL_H302[[#This Row],[AB]]),0)</f>
        <v>0.28000000000000003</v>
      </c>
      <c r="AD102" s="72">
        <f>IFERROR((BAL_H302[[#This Row],[H]]+BAL_H302[[#This Row],[BB]])/(BAL_H302[[#This Row],[BB]]+BAL_H302[[#This Row],[AB]]),0)</f>
        <v>0.31818181818181818</v>
      </c>
      <c r="AE102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0.47199999999999998</v>
      </c>
      <c r="AF102" s="28">
        <v>29</v>
      </c>
      <c r="AG102" s="28">
        <v>125</v>
      </c>
      <c r="AH102" s="28">
        <v>20</v>
      </c>
      <c r="AI102" s="28">
        <v>35</v>
      </c>
      <c r="AJ102" s="28">
        <v>11</v>
      </c>
      <c r="AK102" s="28">
        <v>2</v>
      </c>
      <c r="AL102" s="28">
        <v>3</v>
      </c>
      <c r="AM102" s="28">
        <v>9</v>
      </c>
      <c r="AN102" s="28">
        <v>7</v>
      </c>
      <c r="AO102" s="74">
        <v>25</v>
      </c>
      <c r="AP102" s="28">
        <v>0</v>
      </c>
      <c r="AQ102" s="28">
        <v>1</v>
      </c>
      <c r="AR102" s="74">
        <v>6</v>
      </c>
      <c r="AS102" s="28">
        <f>IFERROR((BAL_H302[[#This Row],[H]]-BAL_H302[[#This Row],[2B]]-BAL_H302[[#This Row],[3B]]-BAL_H302[[#This Row],[HR]])+(BAL_H302[[#This Row],[2B]]*2)+(BAL_H302[[#This Row],[3B]]*3)+(BAL_H302[[#This Row],[HR]]*4),0)</f>
        <v>59</v>
      </c>
      <c r="AT102" s="72">
        <f>BAL_H302[[#This Row],[OBP]]+BAL_H302[[#This Row],[SLG]]</f>
        <v>0.7901818181818181</v>
      </c>
      <c r="AU102" s="74">
        <v>2</v>
      </c>
      <c r="AV102" s="615">
        <v>6</v>
      </c>
      <c r="AY102" s="651" t="s">
        <v>300</v>
      </c>
      <c r="AZ102" s="71" t="s">
        <v>174</v>
      </c>
      <c r="BA102" s="71" t="s">
        <v>313</v>
      </c>
      <c r="BB102" s="72">
        <f>IFERROR(BAL_H215[[#This Row],[H]]/BAL_H215[[#This Row],[AB]],0)</f>
        <v>0.22222222222222221</v>
      </c>
      <c r="BC102" s="72">
        <f>IFERROR((BAL_H215[[#This Row],[BB]]+BAL_H215[[#This Row],[H]])/(BAL_H215[[#This Row],[AB]]+BAL_H215[[#This Row],[BB]]),0)</f>
        <v>0.27835051546391754</v>
      </c>
      <c r="BD102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0.3888888888888889</v>
      </c>
      <c r="BE102" s="28">
        <v>26</v>
      </c>
      <c r="BF102" s="28">
        <v>90</v>
      </c>
      <c r="BG102" s="28">
        <v>8</v>
      </c>
      <c r="BH102" s="28">
        <v>20</v>
      </c>
      <c r="BI102" s="28">
        <v>3</v>
      </c>
      <c r="BJ102" s="28">
        <v>0</v>
      </c>
      <c r="BK102" s="28">
        <v>4</v>
      </c>
      <c r="BL102" s="28">
        <v>10</v>
      </c>
      <c r="BM102" s="28">
        <v>7</v>
      </c>
      <c r="BN102" s="74">
        <v>32</v>
      </c>
      <c r="BO102" s="28">
        <v>0</v>
      </c>
      <c r="BP102" s="28">
        <v>0</v>
      </c>
      <c r="BQ102" s="74">
        <v>4</v>
      </c>
      <c r="BR102" s="28">
        <f t="shared" si="9"/>
        <v>35</v>
      </c>
      <c r="BS102" s="72">
        <f>IFERROR(BAL_H215[[#This Row],[OBP]]+BAL_H215[[#This Row],[SLG]],0)</f>
        <v>0.66723940435280649</v>
      </c>
      <c r="BT102" s="74">
        <v>1</v>
      </c>
      <c r="BU102" s="615">
        <v>6</v>
      </c>
    </row>
    <row r="103" spans="1:73">
      <c r="A103" s="651" t="s">
        <v>300</v>
      </c>
      <c r="B103" s="71" t="s">
        <v>181</v>
      </c>
      <c r="C103" s="71" t="s">
        <v>306</v>
      </c>
      <c r="D103" s="72">
        <f>IFERROR((BAL_H[[#This Row],[H]]/BAL_H[[#This Row],[AB]]),0)</f>
        <v>0.27205882352941174</v>
      </c>
      <c r="E103" s="72">
        <f>IFERROR((BAL_H[[#This Row],[H]]+BAL_H[[#This Row],[BB]])/(BAL_H[[#This Row],[BB]]+BAL_H[[#This Row],[AB]]),0)</f>
        <v>0.34868421052631576</v>
      </c>
      <c r="F103" s="73">
        <f>IFERROR(((BAL_H[[#This Row],[H]]-BAL_H[[#This Row],[2B]]-BAL_H[[#This Row],[3B]]-BAL_H[[#This Row],[HR]])+(BAL_H[[#This Row],[2B]]*2)+(BAL_H[[#This Row],[3B]]*3)+(BAL_H[[#This Row],[HR]]*4))/BAL_H[[#This Row],[AB]],0)</f>
        <v>0.45588235294117646</v>
      </c>
      <c r="G103" s="28">
        <v>39</v>
      </c>
      <c r="H103" s="28">
        <v>136</v>
      </c>
      <c r="I103" s="28">
        <v>18</v>
      </c>
      <c r="J103" s="28">
        <v>37</v>
      </c>
      <c r="K103" s="28">
        <v>8</v>
      </c>
      <c r="L103" s="28">
        <v>1</v>
      </c>
      <c r="M103" s="28">
        <v>5</v>
      </c>
      <c r="N103" s="28">
        <v>18</v>
      </c>
      <c r="O103" s="28">
        <v>16</v>
      </c>
      <c r="P103" s="74">
        <v>32</v>
      </c>
      <c r="Q103" s="28">
        <v>1</v>
      </c>
      <c r="R103" s="28">
        <v>2</v>
      </c>
      <c r="S103" s="74">
        <v>7</v>
      </c>
      <c r="T103" s="28">
        <f>IFERROR((BAL_H[[#This Row],[H]]-BAL_H[[#This Row],[2B]]-BAL_H[[#This Row],[3B]]-BAL_H[[#This Row],[HR]])+(BAL_H[[#This Row],[2B]]*2)+(BAL_H[[#This Row],[3B]]*3)+(BAL_H[[#This Row],[HR]]*4),0)</f>
        <v>62</v>
      </c>
      <c r="U103" s="72">
        <f>BAL_H[[#This Row],[OBP]]+BAL_H[[#This Row],[SLG]]</f>
        <v>0.80456656346749222</v>
      </c>
      <c r="V103" s="74">
        <v>0</v>
      </c>
      <c r="W103" s="615">
        <v>7</v>
      </c>
      <c r="Z103" s="651" t="s">
        <v>300</v>
      </c>
      <c r="AA103" s="71" t="s">
        <v>181</v>
      </c>
      <c r="AB103" s="71" t="s">
        <v>306</v>
      </c>
      <c r="AC103" s="72">
        <f>IFERROR((BAL_H302[[#This Row],[H]]/BAL_H302[[#This Row],[AB]]),0)</f>
        <v>0.20930232558139536</v>
      </c>
      <c r="AD103" s="72">
        <f>IFERROR((BAL_H302[[#This Row],[H]]+BAL_H302[[#This Row],[BB]])/(BAL_H302[[#This Row],[BB]]+BAL_H302[[#This Row],[AB]]),0)</f>
        <v>0.23880597014925373</v>
      </c>
      <c r="AE103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0.2868217054263566</v>
      </c>
      <c r="AF103" s="28">
        <v>32</v>
      </c>
      <c r="AG103" s="28">
        <v>129</v>
      </c>
      <c r="AH103" s="28">
        <v>8</v>
      </c>
      <c r="AI103" s="28">
        <v>27</v>
      </c>
      <c r="AJ103" s="28">
        <v>5</v>
      </c>
      <c r="AK103" s="28">
        <v>1</v>
      </c>
      <c r="AL103" s="28">
        <v>1</v>
      </c>
      <c r="AM103" s="28">
        <v>9</v>
      </c>
      <c r="AN103" s="28">
        <v>5</v>
      </c>
      <c r="AO103" s="74">
        <v>25</v>
      </c>
      <c r="AP103" s="28">
        <v>4</v>
      </c>
      <c r="AQ103" s="28">
        <v>0</v>
      </c>
      <c r="AR103" s="74">
        <v>5</v>
      </c>
      <c r="AS103" s="28">
        <f>IFERROR((BAL_H302[[#This Row],[H]]-BAL_H302[[#This Row],[2B]]-BAL_H302[[#This Row],[3B]]-BAL_H302[[#This Row],[HR]])+(BAL_H302[[#This Row],[2B]]*2)+(BAL_H302[[#This Row],[3B]]*3)+(BAL_H302[[#This Row],[HR]]*4),0)</f>
        <v>37</v>
      </c>
      <c r="AT103" s="72">
        <f>BAL_H302[[#This Row],[OBP]]+BAL_H302[[#This Row],[SLG]]</f>
        <v>0.5256276755756103</v>
      </c>
      <c r="AU103" s="74">
        <v>1</v>
      </c>
      <c r="AV103" s="615">
        <v>7</v>
      </c>
      <c r="AY103" s="651" t="s">
        <v>300</v>
      </c>
      <c r="AZ103" s="71" t="s">
        <v>181</v>
      </c>
      <c r="BA103" s="71" t="s">
        <v>306</v>
      </c>
      <c r="BB103" s="72">
        <f>IFERROR(BAL_H215[[#This Row],[H]]/BAL_H215[[#This Row],[AB]],0)</f>
        <v>0.29310344827586204</v>
      </c>
      <c r="BC103" s="72">
        <f>IFERROR((BAL_H215[[#This Row],[BB]]+BAL_H215[[#This Row],[H]])/(BAL_H215[[#This Row],[AB]]+BAL_H215[[#This Row],[BB]]),0)</f>
        <v>0.33333333333333331</v>
      </c>
      <c r="BD103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0.51724137931034486</v>
      </c>
      <c r="BE103" s="28">
        <v>29</v>
      </c>
      <c r="BF103" s="28">
        <v>116</v>
      </c>
      <c r="BG103" s="28">
        <v>15</v>
      </c>
      <c r="BH103" s="28">
        <v>34</v>
      </c>
      <c r="BI103" s="28">
        <v>5</v>
      </c>
      <c r="BJ103" s="28">
        <v>0</v>
      </c>
      <c r="BK103" s="28">
        <v>7</v>
      </c>
      <c r="BL103" s="28">
        <v>12</v>
      </c>
      <c r="BM103" s="28">
        <v>7</v>
      </c>
      <c r="BN103" s="74">
        <v>27</v>
      </c>
      <c r="BO103" s="28">
        <v>7</v>
      </c>
      <c r="BP103" s="28">
        <v>4</v>
      </c>
      <c r="BQ103" s="74">
        <v>4</v>
      </c>
      <c r="BR103" s="28">
        <f t="shared" si="9"/>
        <v>60</v>
      </c>
      <c r="BS103" s="72">
        <f>IFERROR(BAL_H215[[#This Row],[OBP]]+BAL_H215[[#This Row],[SLG]],0)</f>
        <v>0.85057471264367823</v>
      </c>
      <c r="BT103" s="74">
        <v>1</v>
      </c>
      <c r="BU103" s="615">
        <v>7</v>
      </c>
    </row>
    <row r="104" spans="1:73">
      <c r="A104" s="651" t="s">
        <v>300</v>
      </c>
      <c r="B104" s="71" t="s">
        <v>166</v>
      </c>
      <c r="C104" s="71" t="s">
        <v>302</v>
      </c>
      <c r="D104" s="72">
        <f>IFERROR((BAL_H[[#This Row],[H]]/BAL_H[[#This Row],[AB]]),0)</f>
        <v>0.3081761006289308</v>
      </c>
      <c r="E104" s="72">
        <f>IFERROR((BAL_H[[#This Row],[H]]+BAL_H[[#This Row],[BB]])/(BAL_H[[#This Row],[BB]]+BAL_H[[#This Row],[AB]]),0)</f>
        <v>0.35672514619883039</v>
      </c>
      <c r="F104" s="73">
        <f>IFERROR(((BAL_H[[#This Row],[H]]-BAL_H[[#This Row],[2B]]-BAL_H[[#This Row],[3B]]-BAL_H[[#This Row],[HR]])+(BAL_H[[#This Row],[2B]]*2)+(BAL_H[[#This Row],[3B]]*3)+(BAL_H[[#This Row],[HR]]*4))/BAL_H[[#This Row],[AB]],0)</f>
        <v>0.61006289308176098</v>
      </c>
      <c r="G104" s="28">
        <v>40</v>
      </c>
      <c r="H104" s="28">
        <v>159</v>
      </c>
      <c r="I104" s="28">
        <v>24</v>
      </c>
      <c r="J104" s="28">
        <v>49</v>
      </c>
      <c r="K104" s="28">
        <v>15</v>
      </c>
      <c r="L104" s="28">
        <v>0</v>
      </c>
      <c r="M104" s="28">
        <v>11</v>
      </c>
      <c r="N104" s="28">
        <v>21</v>
      </c>
      <c r="O104" s="28">
        <v>12</v>
      </c>
      <c r="P104" s="74">
        <v>36</v>
      </c>
      <c r="Q104" s="28">
        <v>0</v>
      </c>
      <c r="R104" s="28">
        <v>1</v>
      </c>
      <c r="S104" s="74">
        <v>11</v>
      </c>
      <c r="T104" s="28">
        <f>IFERROR((BAL_H[[#This Row],[H]]-BAL_H[[#This Row],[2B]]-BAL_H[[#This Row],[3B]]-BAL_H[[#This Row],[HR]])+(BAL_H[[#This Row],[2B]]*2)+(BAL_H[[#This Row],[3B]]*3)+(BAL_H[[#This Row],[HR]]*4),0)</f>
        <v>97</v>
      </c>
      <c r="U104" s="72">
        <f>BAL_H[[#This Row],[OBP]]+BAL_H[[#This Row],[SLG]]</f>
        <v>0.96678803928059143</v>
      </c>
      <c r="V104" s="74">
        <v>1</v>
      </c>
      <c r="W104" s="615">
        <v>8</v>
      </c>
      <c r="Z104" s="651" t="s">
        <v>300</v>
      </c>
      <c r="AA104" s="71" t="s">
        <v>166</v>
      </c>
      <c r="AB104" s="71" t="s">
        <v>302</v>
      </c>
      <c r="AC104" s="72">
        <f>IFERROR((BAL_H302[[#This Row],[H]]/BAL_H302[[#This Row],[AB]]),0)</f>
        <v>0.28000000000000003</v>
      </c>
      <c r="AD104" s="72">
        <f>IFERROR((BAL_H302[[#This Row],[H]]+BAL_H302[[#This Row],[BB]])/(BAL_H302[[#This Row],[BB]]+BAL_H302[[#This Row],[AB]]),0)</f>
        <v>0.29870129870129869</v>
      </c>
      <c r="AE104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0.47333333333333333</v>
      </c>
      <c r="AF104" s="28">
        <v>38</v>
      </c>
      <c r="AG104" s="28">
        <v>150</v>
      </c>
      <c r="AH104" s="28">
        <v>16</v>
      </c>
      <c r="AI104" s="28">
        <v>42</v>
      </c>
      <c r="AJ104" s="28">
        <v>5</v>
      </c>
      <c r="AK104" s="28">
        <v>0</v>
      </c>
      <c r="AL104" s="28">
        <v>8</v>
      </c>
      <c r="AM104" s="28">
        <v>25</v>
      </c>
      <c r="AN104" s="28">
        <v>4</v>
      </c>
      <c r="AO104" s="74">
        <v>44</v>
      </c>
      <c r="AP104" s="28">
        <v>0</v>
      </c>
      <c r="AQ104" s="28">
        <v>2</v>
      </c>
      <c r="AR104" s="74">
        <v>14</v>
      </c>
      <c r="AS104" s="28">
        <f>IFERROR((BAL_H302[[#This Row],[H]]-BAL_H302[[#This Row],[2B]]-BAL_H302[[#This Row],[3B]]-BAL_H302[[#This Row],[HR]])+(BAL_H302[[#This Row],[2B]]*2)+(BAL_H302[[#This Row],[3B]]*3)+(BAL_H302[[#This Row],[HR]]*4),0)</f>
        <v>71</v>
      </c>
      <c r="AT104" s="72">
        <f>BAL_H302[[#This Row],[OBP]]+BAL_H302[[#This Row],[SLG]]</f>
        <v>0.77203463203463207</v>
      </c>
      <c r="AU104" s="104">
        <v>7</v>
      </c>
      <c r="AV104" s="615">
        <v>8</v>
      </c>
      <c r="AY104" s="651" t="s">
        <v>300</v>
      </c>
      <c r="AZ104" s="71" t="s">
        <v>166</v>
      </c>
      <c r="BA104" s="71" t="s">
        <v>304</v>
      </c>
      <c r="BB104" s="72">
        <f>IFERROR(BAL_H215[[#This Row],[H]]/BAL_H215[[#This Row],[AB]],0)</f>
        <v>0.30215827338129497</v>
      </c>
      <c r="BC104" s="72">
        <f>IFERROR((BAL_H215[[#This Row],[BB]]+BAL_H215[[#This Row],[H]])/(BAL_H215[[#This Row],[AB]]+BAL_H215[[#This Row],[BB]]),0)</f>
        <v>0.33103448275862069</v>
      </c>
      <c r="BD104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0.4460431654676259</v>
      </c>
      <c r="BE104" s="28">
        <v>36</v>
      </c>
      <c r="BF104" s="28">
        <v>139</v>
      </c>
      <c r="BG104" s="28">
        <v>15</v>
      </c>
      <c r="BH104" s="28">
        <v>42</v>
      </c>
      <c r="BI104" s="28">
        <v>11</v>
      </c>
      <c r="BJ104" s="28">
        <v>3</v>
      </c>
      <c r="BK104" s="28">
        <v>1</v>
      </c>
      <c r="BL104" s="28">
        <v>10</v>
      </c>
      <c r="BM104" s="28">
        <v>6</v>
      </c>
      <c r="BN104" s="74">
        <v>29</v>
      </c>
      <c r="BO104" s="28">
        <v>0</v>
      </c>
      <c r="BP104" s="28">
        <v>4</v>
      </c>
      <c r="BQ104" s="74">
        <v>4</v>
      </c>
      <c r="BR104" s="28">
        <f t="shared" si="9"/>
        <v>62</v>
      </c>
      <c r="BS104" s="72">
        <f>IFERROR(BAL_H215[[#This Row],[OBP]]+BAL_H215[[#This Row],[SLG]],0)</f>
        <v>0.77707764822624659</v>
      </c>
      <c r="BT104" s="74">
        <v>1</v>
      </c>
      <c r="BU104" s="615">
        <v>8</v>
      </c>
    </row>
    <row r="105" spans="1:73">
      <c r="A105" s="651" t="s">
        <v>300</v>
      </c>
      <c r="B105" s="71" t="s">
        <v>168</v>
      </c>
      <c r="C105" s="71" t="s">
        <v>313</v>
      </c>
      <c r="D105" s="72">
        <f>IFERROR((BAL_H[[#This Row],[H]]/BAL_H[[#This Row],[AB]]),0)</f>
        <v>0.24358974358974358</v>
      </c>
      <c r="E105" s="72">
        <f>IFERROR((BAL_H[[#This Row],[H]]+BAL_H[[#This Row],[BB]])/(BAL_H[[#This Row],[BB]]+BAL_H[[#This Row],[AB]]),0)</f>
        <v>0.30588235294117649</v>
      </c>
      <c r="F105" s="73">
        <f>IFERROR(((BAL_H[[#This Row],[H]]-BAL_H[[#This Row],[2B]]-BAL_H[[#This Row],[3B]]-BAL_H[[#This Row],[HR]])+(BAL_H[[#This Row],[2B]]*2)+(BAL_H[[#This Row],[3B]]*3)+(BAL_H[[#This Row],[HR]]*4))/BAL_H[[#This Row],[AB]],0)</f>
        <v>0.41025641025641024</v>
      </c>
      <c r="G105" s="28">
        <v>22</v>
      </c>
      <c r="H105" s="28">
        <v>78</v>
      </c>
      <c r="I105" s="28">
        <v>11</v>
      </c>
      <c r="J105" s="28">
        <v>19</v>
      </c>
      <c r="K105" s="28">
        <v>4</v>
      </c>
      <c r="L105" s="28">
        <v>0</v>
      </c>
      <c r="M105" s="28">
        <v>3</v>
      </c>
      <c r="N105" s="28">
        <v>9</v>
      </c>
      <c r="O105" s="28">
        <v>7</v>
      </c>
      <c r="P105" s="74">
        <v>25</v>
      </c>
      <c r="Q105" s="28">
        <v>0</v>
      </c>
      <c r="R105" s="28">
        <v>2</v>
      </c>
      <c r="S105" s="74">
        <v>5</v>
      </c>
      <c r="T105" s="28">
        <f>IFERROR((BAL_H[[#This Row],[H]]-BAL_H[[#This Row],[2B]]-BAL_H[[#This Row],[3B]]-BAL_H[[#This Row],[HR]])+(BAL_H[[#This Row],[2B]]*2)+(BAL_H[[#This Row],[3B]]*3)+(BAL_H[[#This Row],[HR]]*4),0)</f>
        <v>32</v>
      </c>
      <c r="U105" s="72">
        <f>BAL_H[[#This Row],[OBP]]+BAL_H[[#This Row],[SLG]]</f>
        <v>0.71613876319758674</v>
      </c>
      <c r="V105" s="74">
        <v>0</v>
      </c>
      <c r="W105" s="615">
        <v>9</v>
      </c>
      <c r="Z105" s="651" t="s">
        <v>300</v>
      </c>
      <c r="AA105" s="71" t="s">
        <v>168</v>
      </c>
      <c r="AB105" s="71" t="s">
        <v>303</v>
      </c>
      <c r="AC105" s="72">
        <f>IFERROR((BAL_H302[[#This Row],[H]]/BAL_H302[[#This Row],[AB]]),0)</f>
        <v>0.27210884353741499</v>
      </c>
      <c r="AD105" s="72">
        <f>IFERROR((BAL_H302[[#This Row],[H]]+BAL_H302[[#This Row],[BB]])/(BAL_H302[[#This Row],[BB]]+BAL_H302[[#This Row],[AB]]),0)</f>
        <v>0.32278481012658228</v>
      </c>
      <c r="AE105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0.35374149659863946</v>
      </c>
      <c r="AF105" s="28">
        <v>38</v>
      </c>
      <c r="AG105" s="28">
        <v>147</v>
      </c>
      <c r="AH105" s="28">
        <v>17</v>
      </c>
      <c r="AI105" s="28">
        <v>40</v>
      </c>
      <c r="AJ105" s="28">
        <v>5</v>
      </c>
      <c r="AK105" s="28">
        <v>2</v>
      </c>
      <c r="AL105" s="28">
        <v>1</v>
      </c>
      <c r="AM105" s="28">
        <v>10</v>
      </c>
      <c r="AN105" s="28">
        <v>11</v>
      </c>
      <c r="AO105" s="74">
        <v>45</v>
      </c>
      <c r="AP105" s="28">
        <v>0</v>
      </c>
      <c r="AQ105" s="28">
        <v>1</v>
      </c>
      <c r="AR105" s="74">
        <v>11</v>
      </c>
      <c r="AS105" s="28">
        <f>IFERROR((BAL_H302[[#This Row],[H]]-BAL_H302[[#This Row],[2B]]-BAL_H302[[#This Row],[3B]]-BAL_H302[[#This Row],[HR]])+(BAL_H302[[#This Row],[2B]]*2)+(BAL_H302[[#This Row],[3B]]*3)+(BAL_H302[[#This Row],[HR]]*4),0)</f>
        <v>52</v>
      </c>
      <c r="AT105" s="72">
        <f>BAL_H302[[#This Row],[OBP]]+BAL_H302[[#This Row],[SLG]]</f>
        <v>0.67652630672522174</v>
      </c>
      <c r="AU105" s="74">
        <v>1</v>
      </c>
      <c r="AV105" s="615">
        <v>9</v>
      </c>
      <c r="AY105" s="651" t="s">
        <v>300</v>
      </c>
      <c r="AZ105" s="71" t="s">
        <v>168</v>
      </c>
      <c r="BA105" s="71" t="s">
        <v>303</v>
      </c>
      <c r="BB105" s="72">
        <f>IFERROR(BAL_H215[[#This Row],[H]]/BAL_H215[[#This Row],[AB]],0)</f>
        <v>0.25850340136054423</v>
      </c>
      <c r="BC105" s="72">
        <f>IFERROR((BAL_H215[[#This Row],[BB]]+BAL_H215[[#This Row],[H]])/(BAL_H215[[#This Row],[AB]]+BAL_H215[[#This Row],[BB]]),0)</f>
        <v>0.30128205128205127</v>
      </c>
      <c r="BD105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0.50340136054421769</v>
      </c>
      <c r="BE105" s="28">
        <v>38</v>
      </c>
      <c r="BF105" s="28">
        <v>147</v>
      </c>
      <c r="BG105" s="28">
        <v>24</v>
      </c>
      <c r="BH105" s="28">
        <v>38</v>
      </c>
      <c r="BI105" s="28">
        <v>10</v>
      </c>
      <c r="BJ105" s="76">
        <v>4</v>
      </c>
      <c r="BK105" s="28">
        <v>6</v>
      </c>
      <c r="BL105" s="28">
        <v>17</v>
      </c>
      <c r="BM105" s="28">
        <v>9</v>
      </c>
      <c r="BN105" s="74">
        <v>42</v>
      </c>
      <c r="BO105" s="28">
        <v>0</v>
      </c>
      <c r="BP105" s="28">
        <v>0</v>
      </c>
      <c r="BQ105" s="74">
        <v>6</v>
      </c>
      <c r="BR105" s="28">
        <f t="shared" si="9"/>
        <v>74</v>
      </c>
      <c r="BS105" s="72">
        <f>IFERROR(BAL_H215[[#This Row],[OBP]]+BAL_H215[[#This Row],[SLG]],0)</f>
        <v>0.8046834118262689</v>
      </c>
      <c r="BT105" s="74">
        <v>1</v>
      </c>
      <c r="BU105" s="615">
        <v>9</v>
      </c>
    </row>
    <row r="106" spans="1:73">
      <c r="A106" s="651" t="s">
        <v>300</v>
      </c>
      <c r="B106" s="71" t="s">
        <v>308</v>
      </c>
      <c r="C106" s="71" t="s">
        <v>320</v>
      </c>
      <c r="D106" s="72">
        <f>IFERROR((BAL_H[[#This Row],[H]]/BAL_H[[#This Row],[AB]]),0)</f>
        <v>0</v>
      </c>
      <c r="E106" s="72">
        <f>IFERROR((BAL_H[[#This Row],[H]]+BAL_H[[#This Row],[BB]])/(BAL_H[[#This Row],[BB]]+BAL_H[[#This Row],[AB]]),0)</f>
        <v>0</v>
      </c>
      <c r="F106" s="73">
        <f>IFERROR(((BAL_H[[#This Row],[H]]-BAL_H[[#This Row],[2B]]-BAL_H[[#This Row],[3B]]-BAL_H[[#This Row],[HR]])+(BAL_H[[#This Row],[2B]]*2)+(BAL_H[[#This Row],[3B]]*3)+(BAL_H[[#This Row],[HR]]*4))/BAL_H[[#This Row],[AB]],0)</f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74">
        <v>0</v>
      </c>
      <c r="Q106" s="28">
        <v>0</v>
      </c>
      <c r="R106" s="28">
        <v>0</v>
      </c>
      <c r="S106" s="74">
        <v>0</v>
      </c>
      <c r="T106" s="28">
        <f>IFERROR((BAL_H[[#This Row],[H]]-BAL_H[[#This Row],[2B]]-BAL_H[[#This Row],[3B]]-BAL_H[[#This Row],[HR]])+(BAL_H[[#This Row],[2B]]*2)+(BAL_H[[#This Row],[3B]]*3)+(BAL_H[[#This Row],[HR]]*4),0)</f>
        <v>0</v>
      </c>
      <c r="U106" s="72">
        <f>BAL_H[[#This Row],[OBP]]+BAL_H[[#This Row],[SLG]]</f>
        <v>0</v>
      </c>
      <c r="V106" s="74">
        <v>0</v>
      </c>
      <c r="W106" s="615">
        <v>10</v>
      </c>
      <c r="Z106" s="651" t="s">
        <v>300</v>
      </c>
      <c r="AA106" s="71" t="s">
        <v>187</v>
      </c>
      <c r="AB106" s="71" t="s">
        <v>315</v>
      </c>
      <c r="AC106" s="72">
        <f>IFERROR((BAL_H302[[#This Row],[H]]/BAL_H302[[#This Row],[AB]]),0)</f>
        <v>0.23214285714285715</v>
      </c>
      <c r="AD106" s="72">
        <f>IFERROR((BAL_H302[[#This Row],[H]]+BAL_H302[[#This Row],[BB]])/(BAL_H302[[#This Row],[BB]]+BAL_H302[[#This Row],[AB]]),0)</f>
        <v>0.328125</v>
      </c>
      <c r="AE106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0.39285714285714285</v>
      </c>
      <c r="AF106" s="28">
        <v>17</v>
      </c>
      <c r="AG106" s="28">
        <v>56</v>
      </c>
      <c r="AH106" s="28">
        <v>6</v>
      </c>
      <c r="AI106" s="28">
        <v>13</v>
      </c>
      <c r="AJ106" s="28">
        <v>3</v>
      </c>
      <c r="AK106" s="28">
        <v>0</v>
      </c>
      <c r="AL106" s="28">
        <v>2</v>
      </c>
      <c r="AM106" s="28">
        <v>12</v>
      </c>
      <c r="AN106" s="28">
        <v>8</v>
      </c>
      <c r="AO106" s="74">
        <v>16</v>
      </c>
      <c r="AP106" s="28">
        <v>0</v>
      </c>
      <c r="AQ106" s="28">
        <v>1</v>
      </c>
      <c r="AR106" s="74">
        <v>3</v>
      </c>
      <c r="AS106" s="28">
        <f>IFERROR((BAL_H302[[#This Row],[H]]-BAL_H302[[#This Row],[2B]]-BAL_H302[[#This Row],[3B]]-BAL_H302[[#This Row],[HR]])+(BAL_H302[[#This Row],[2B]]*2)+(BAL_H302[[#This Row],[3B]]*3)+(BAL_H302[[#This Row],[HR]]*4),0)</f>
        <v>22</v>
      </c>
      <c r="AT106" s="72">
        <f>BAL_H302[[#This Row],[OBP]]+BAL_H302[[#This Row],[SLG]]</f>
        <v>0.72098214285714279</v>
      </c>
      <c r="AU106" s="74">
        <v>2</v>
      </c>
      <c r="AV106" s="615">
        <v>10</v>
      </c>
      <c r="AY106" s="651" t="s">
        <v>300</v>
      </c>
      <c r="AZ106" s="71" t="s">
        <v>187</v>
      </c>
      <c r="BA106" s="71" t="s">
        <v>316</v>
      </c>
      <c r="BB106" s="72">
        <f>IFERROR(BAL_H215[[#This Row],[H]]/BAL_H215[[#This Row],[AB]],0)</f>
        <v>0.21917808219178081</v>
      </c>
      <c r="BC106" s="72">
        <f>IFERROR((BAL_H215[[#This Row],[BB]]+BAL_H215[[#This Row],[H]])/(BAL_H215[[#This Row],[AB]]+BAL_H215[[#This Row],[BB]]),0)</f>
        <v>0.26923076923076922</v>
      </c>
      <c r="BD106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0.36986301369863012</v>
      </c>
      <c r="BE106" s="28">
        <v>23</v>
      </c>
      <c r="BF106" s="28">
        <v>73</v>
      </c>
      <c r="BG106" s="28">
        <v>7</v>
      </c>
      <c r="BH106" s="28">
        <v>16</v>
      </c>
      <c r="BI106" s="28">
        <v>2</v>
      </c>
      <c r="BJ106" s="28">
        <f>0</f>
        <v>0</v>
      </c>
      <c r="BK106" s="28">
        <v>3</v>
      </c>
      <c r="BL106" s="28">
        <v>6</v>
      </c>
      <c r="BM106" s="28">
        <v>5</v>
      </c>
      <c r="BN106" s="74">
        <v>33</v>
      </c>
      <c r="BO106" s="28">
        <v>0</v>
      </c>
      <c r="BP106" s="28">
        <v>0</v>
      </c>
      <c r="BQ106" s="74">
        <v>4</v>
      </c>
      <c r="BR106" s="28">
        <f t="shared" si="9"/>
        <v>27</v>
      </c>
      <c r="BS106" s="72">
        <f>IFERROR(BAL_H215[[#This Row],[OBP]]+BAL_H215[[#This Row],[SLG]],0)</f>
        <v>0.63909378292939933</v>
      </c>
      <c r="BT106" s="74">
        <v>1</v>
      </c>
      <c r="BU106" s="615">
        <v>10</v>
      </c>
    </row>
    <row r="107" spans="1:73">
      <c r="A107" s="651" t="s">
        <v>300</v>
      </c>
      <c r="B107" s="71" t="s">
        <v>187</v>
      </c>
      <c r="C107" s="71" t="s">
        <v>315</v>
      </c>
      <c r="D107" s="72">
        <f>IFERROR((BAL_H[[#This Row],[H]]/BAL_H[[#This Row],[AB]]),0)</f>
        <v>0.2857142857142857</v>
      </c>
      <c r="E107" s="72">
        <f>IFERROR((BAL_H[[#This Row],[H]]+BAL_H[[#This Row],[BB]])/(BAL_H[[#This Row],[BB]]+BAL_H[[#This Row],[AB]]),0)</f>
        <v>0.33333333333333331</v>
      </c>
      <c r="F107" s="73">
        <f>IFERROR(((BAL_H[[#This Row],[H]]-BAL_H[[#This Row],[2B]]-BAL_H[[#This Row],[3B]]-BAL_H[[#This Row],[HR]])+(BAL_H[[#This Row],[2B]]*2)+(BAL_H[[#This Row],[3B]]*3)+(BAL_H[[#This Row],[HR]]*4))/BAL_H[[#This Row],[AB]],0)</f>
        <v>0.5714285714285714</v>
      </c>
      <c r="G107" s="28">
        <v>7</v>
      </c>
      <c r="H107" s="28">
        <v>14</v>
      </c>
      <c r="I107" s="28">
        <v>5</v>
      </c>
      <c r="J107" s="28">
        <v>4</v>
      </c>
      <c r="K107" s="28">
        <v>1</v>
      </c>
      <c r="L107" s="28">
        <v>0</v>
      </c>
      <c r="M107" s="28">
        <v>1</v>
      </c>
      <c r="N107" s="28">
        <v>1</v>
      </c>
      <c r="O107" s="28">
        <v>1</v>
      </c>
      <c r="P107" s="74">
        <v>4</v>
      </c>
      <c r="Q107" s="28">
        <v>0</v>
      </c>
      <c r="R107" s="28">
        <v>3</v>
      </c>
      <c r="S107" s="74">
        <v>3</v>
      </c>
      <c r="T107" s="28">
        <f>IFERROR((BAL_H[[#This Row],[H]]-BAL_H[[#This Row],[2B]]-BAL_H[[#This Row],[3B]]-BAL_H[[#This Row],[HR]])+(BAL_H[[#This Row],[2B]]*2)+(BAL_H[[#This Row],[3B]]*3)+(BAL_H[[#This Row],[HR]]*4),0)</f>
        <v>8</v>
      </c>
      <c r="U107" s="72">
        <f>BAL_H[[#This Row],[OBP]]+BAL_H[[#This Row],[SLG]]</f>
        <v>0.90476190476190466</v>
      </c>
      <c r="V107" s="74">
        <v>0</v>
      </c>
      <c r="W107" s="615">
        <v>11</v>
      </c>
      <c r="Z107" s="651" t="s">
        <v>300</v>
      </c>
      <c r="AA107" s="71" t="s">
        <v>187</v>
      </c>
      <c r="AB107" s="71" t="s">
        <v>316</v>
      </c>
      <c r="AC107" s="72">
        <f>IFERROR((BAL_H302[[#This Row],[H]]/BAL_H302[[#This Row],[AB]]),0)</f>
        <v>0.3125</v>
      </c>
      <c r="AD107" s="72">
        <f>IFERROR((BAL_H302[[#This Row],[H]]+BAL_H302[[#This Row],[BB]])/(BAL_H302[[#This Row],[BB]]+BAL_H302[[#This Row],[AB]]),0)</f>
        <v>0.3125</v>
      </c>
      <c r="AE107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0.5625</v>
      </c>
      <c r="AF107" s="28">
        <v>4</v>
      </c>
      <c r="AG107" s="28">
        <v>16</v>
      </c>
      <c r="AH107" s="28">
        <v>1</v>
      </c>
      <c r="AI107" s="28">
        <v>5</v>
      </c>
      <c r="AJ107" s="28">
        <v>1</v>
      </c>
      <c r="AK107" s="28">
        <v>0</v>
      </c>
      <c r="AL107" s="28">
        <v>1</v>
      </c>
      <c r="AM107" s="28">
        <v>4</v>
      </c>
      <c r="AN107" s="28">
        <v>0</v>
      </c>
      <c r="AO107" s="74">
        <v>7</v>
      </c>
      <c r="AP107" s="28">
        <v>0</v>
      </c>
      <c r="AQ107" s="28">
        <v>1</v>
      </c>
      <c r="AR107" s="74">
        <v>2</v>
      </c>
      <c r="AS107" s="28">
        <f>IFERROR((BAL_H302[[#This Row],[H]]-BAL_H302[[#This Row],[2B]]-BAL_H302[[#This Row],[3B]]-BAL_H302[[#This Row],[HR]])+(BAL_H302[[#This Row],[2B]]*2)+(BAL_H302[[#This Row],[3B]]*3)+(BAL_H302[[#This Row],[HR]]*4),0)</f>
        <v>9</v>
      </c>
      <c r="AT107" s="72">
        <f>BAL_H302[[#This Row],[OBP]]+BAL_H302[[#This Row],[SLG]]</f>
        <v>0.875</v>
      </c>
      <c r="AU107" s="74">
        <v>0</v>
      </c>
      <c r="AV107" s="615">
        <v>11</v>
      </c>
      <c r="AY107" s="651" t="s">
        <v>300</v>
      </c>
      <c r="AZ107" s="71" t="s">
        <v>192</v>
      </c>
      <c r="BA107" s="71" t="s">
        <v>319</v>
      </c>
      <c r="BB107" s="72">
        <f>IFERROR(BAL_H215[[#This Row],[H]]/BAL_H215[[#This Row],[AB]],0)</f>
        <v>0.25</v>
      </c>
      <c r="BC107" s="72">
        <f>IFERROR((BAL_H215[[#This Row],[BB]]+BAL_H215[[#This Row],[H]])/(BAL_H215[[#This Row],[AB]]+BAL_H215[[#This Row],[BB]]),0)</f>
        <v>0.27272727272727271</v>
      </c>
      <c r="BD107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0.359375</v>
      </c>
      <c r="BE107" s="28">
        <v>21</v>
      </c>
      <c r="BF107" s="28">
        <v>64</v>
      </c>
      <c r="BG107" s="28">
        <v>6</v>
      </c>
      <c r="BH107" s="28">
        <v>16</v>
      </c>
      <c r="BI107" s="28">
        <v>1</v>
      </c>
      <c r="BJ107" s="28">
        <v>0</v>
      </c>
      <c r="BK107" s="28">
        <v>2</v>
      </c>
      <c r="BL107" s="28">
        <v>5</v>
      </c>
      <c r="BM107" s="28">
        <v>2</v>
      </c>
      <c r="BN107" s="74">
        <v>24</v>
      </c>
      <c r="BO107" s="28">
        <v>0</v>
      </c>
      <c r="BP107" s="28">
        <v>0</v>
      </c>
      <c r="BQ107" s="74">
        <v>5</v>
      </c>
      <c r="BR107" s="28">
        <f t="shared" si="9"/>
        <v>23</v>
      </c>
      <c r="BS107" s="72">
        <f>IFERROR(BAL_H215[[#This Row],[OBP]]+BAL_H215[[#This Row],[SLG]],0)</f>
        <v>0.63210227272727271</v>
      </c>
      <c r="BT107" s="74">
        <v>0</v>
      </c>
      <c r="BU107" s="615">
        <v>11</v>
      </c>
    </row>
    <row r="108" spans="1:73">
      <c r="A108" s="651" t="s">
        <v>300</v>
      </c>
      <c r="B108" s="71" t="s">
        <v>192</v>
      </c>
      <c r="C108" s="71" t="s">
        <v>318</v>
      </c>
      <c r="D108" s="72">
        <f>IFERROR((BAL_H[[#This Row],[H]]/BAL_H[[#This Row],[AB]]),0)</f>
        <v>0</v>
      </c>
      <c r="E108" s="72">
        <f>IFERROR((BAL_H[[#This Row],[H]]+BAL_H[[#This Row],[BB]])/(BAL_H[[#This Row],[BB]]+BAL_H[[#This Row],[AB]]),0)</f>
        <v>0</v>
      </c>
      <c r="F108" s="73">
        <f>IFERROR(((BAL_H[[#This Row],[H]]-BAL_H[[#This Row],[2B]]-BAL_H[[#This Row],[3B]]-BAL_H[[#This Row],[HR]])+(BAL_H[[#This Row],[2B]]*2)+(BAL_H[[#This Row],[3B]]*3)+(BAL_H[[#This Row],[HR]]*4))/BAL_H[[#This Row],[AB]],0)</f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74">
        <v>0</v>
      </c>
      <c r="Q108" s="28">
        <v>0</v>
      </c>
      <c r="R108" s="28">
        <v>0</v>
      </c>
      <c r="S108" s="74">
        <v>0</v>
      </c>
      <c r="T108" s="28">
        <f>IFERROR((BAL_H[[#This Row],[H]]-BAL_H[[#This Row],[2B]]-BAL_H[[#This Row],[3B]]-BAL_H[[#This Row],[HR]])+(BAL_H[[#This Row],[2B]]*2)+(BAL_H[[#This Row],[3B]]*3)+(BAL_H[[#This Row],[HR]]*4),0)</f>
        <v>0</v>
      </c>
      <c r="U108" s="72">
        <f>BAL_H[[#This Row],[OBP]]+BAL_H[[#This Row],[SLG]]</f>
        <v>0</v>
      </c>
      <c r="V108" s="74">
        <v>0</v>
      </c>
      <c r="W108" s="615">
        <v>12</v>
      </c>
      <c r="Z108" s="651" t="s">
        <v>300</v>
      </c>
      <c r="AA108" s="71" t="s">
        <v>186</v>
      </c>
      <c r="AB108" s="71" t="s">
        <v>313</v>
      </c>
      <c r="AC108" s="72">
        <f>IFERROR((BAL_H302[[#This Row],[H]]/BAL_H302[[#This Row],[AB]]),0)</f>
        <v>0.22807017543859648</v>
      </c>
      <c r="AD108" s="72">
        <f>IFERROR((BAL_H302[[#This Row],[H]]+BAL_H302[[#This Row],[BB]])/(BAL_H302[[#This Row],[BB]]+BAL_H302[[#This Row],[AB]]),0)</f>
        <v>0.26666666666666666</v>
      </c>
      <c r="AE108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0.43859649122807015</v>
      </c>
      <c r="AF108" s="28">
        <v>15</v>
      </c>
      <c r="AG108" s="28">
        <v>57</v>
      </c>
      <c r="AH108" s="28">
        <v>4</v>
      </c>
      <c r="AI108" s="28">
        <v>13</v>
      </c>
      <c r="AJ108" s="28">
        <v>6</v>
      </c>
      <c r="AK108" s="28">
        <v>0</v>
      </c>
      <c r="AL108" s="28">
        <v>2</v>
      </c>
      <c r="AM108" s="28">
        <v>5</v>
      </c>
      <c r="AN108" s="28">
        <v>3</v>
      </c>
      <c r="AO108" s="74">
        <v>16</v>
      </c>
      <c r="AP108" s="28">
        <v>0</v>
      </c>
      <c r="AQ108" s="28">
        <v>1</v>
      </c>
      <c r="AR108" s="74">
        <v>3</v>
      </c>
      <c r="AS108" s="28">
        <f>IFERROR((BAL_H302[[#This Row],[H]]-BAL_H302[[#This Row],[2B]]-BAL_H302[[#This Row],[3B]]-BAL_H302[[#This Row],[HR]])+(BAL_H302[[#This Row],[2B]]*2)+(BAL_H302[[#This Row],[3B]]*3)+(BAL_H302[[#This Row],[HR]]*4),0)</f>
        <v>25</v>
      </c>
      <c r="AT108" s="72">
        <f>BAL_H302[[#This Row],[OBP]]+BAL_H302[[#This Row],[SLG]]</f>
        <v>0.70526315789473681</v>
      </c>
      <c r="AU108" s="74">
        <v>0</v>
      </c>
      <c r="AV108" s="615">
        <v>12</v>
      </c>
      <c r="AY108" s="651" t="s">
        <v>300</v>
      </c>
      <c r="AZ108" s="71" t="s">
        <v>186</v>
      </c>
      <c r="BA108" s="71" t="s">
        <v>310</v>
      </c>
      <c r="BB108" s="72">
        <f>IFERROR(BAL_H215[[#This Row],[H]]/BAL_H215[[#This Row],[AB]],0)</f>
        <v>0.27083333333333331</v>
      </c>
      <c r="BC108" s="72">
        <f>IFERROR((BAL_H215[[#This Row],[BB]]+BAL_H215[[#This Row],[H]])/(BAL_H215[[#This Row],[AB]]+BAL_H215[[#This Row],[BB]]),0)</f>
        <v>0.29292929292929293</v>
      </c>
      <c r="BD108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0.46875</v>
      </c>
      <c r="BE108" s="28">
        <v>26</v>
      </c>
      <c r="BF108" s="28">
        <v>96</v>
      </c>
      <c r="BG108" s="28">
        <v>12</v>
      </c>
      <c r="BH108" s="28">
        <v>26</v>
      </c>
      <c r="BI108" s="28">
        <v>7</v>
      </c>
      <c r="BJ108" s="28">
        <f>0</f>
        <v>0</v>
      </c>
      <c r="BK108" s="28">
        <v>4</v>
      </c>
      <c r="BL108" s="28">
        <v>13</v>
      </c>
      <c r="BM108" s="28">
        <v>3</v>
      </c>
      <c r="BN108" s="74">
        <v>24</v>
      </c>
      <c r="BO108" s="28">
        <v>0</v>
      </c>
      <c r="BP108" s="28">
        <v>2</v>
      </c>
      <c r="BQ108" s="74">
        <v>7</v>
      </c>
      <c r="BR108" s="28">
        <f t="shared" si="9"/>
        <v>45</v>
      </c>
      <c r="BS108" s="72">
        <f>IFERROR(BAL_H215[[#This Row],[OBP]]+BAL_H215[[#This Row],[SLG]],0)</f>
        <v>0.76167929292929293</v>
      </c>
      <c r="BT108" s="74">
        <v>2</v>
      </c>
      <c r="BU108" s="615">
        <v>12</v>
      </c>
    </row>
    <row r="109" spans="1:73">
      <c r="A109" s="651" t="s">
        <v>300</v>
      </c>
      <c r="B109" s="71" t="s">
        <v>186</v>
      </c>
      <c r="C109" s="71" t="s">
        <v>303</v>
      </c>
      <c r="D109" s="72">
        <f>IFERROR((BAL_H[[#This Row],[H]]/BAL_H[[#This Row],[AB]]),0)</f>
        <v>0.2</v>
      </c>
      <c r="E109" s="72">
        <f>IFERROR((BAL_H[[#This Row],[H]]+BAL_H[[#This Row],[BB]])/(BAL_H[[#This Row],[BB]]+BAL_H[[#This Row],[AB]]),0)</f>
        <v>0.28205128205128205</v>
      </c>
      <c r="F109" s="73">
        <f>IFERROR(((BAL_H[[#This Row],[H]]-BAL_H[[#This Row],[2B]]-BAL_H[[#This Row],[3B]]-BAL_H[[#This Row],[HR]])+(BAL_H[[#This Row],[2B]]*2)+(BAL_H[[#This Row],[3B]]*3)+(BAL_H[[#This Row],[HR]]*4))/BAL_H[[#This Row],[AB]],0)</f>
        <v>0.2857142857142857</v>
      </c>
      <c r="G109" s="28">
        <v>19</v>
      </c>
      <c r="H109" s="28">
        <v>70</v>
      </c>
      <c r="I109" s="28">
        <v>4</v>
      </c>
      <c r="J109" s="28">
        <v>14</v>
      </c>
      <c r="K109" s="28">
        <v>3</v>
      </c>
      <c r="L109" s="28">
        <v>0</v>
      </c>
      <c r="M109" s="28">
        <v>1</v>
      </c>
      <c r="N109" s="28">
        <v>7</v>
      </c>
      <c r="O109" s="28">
        <v>8</v>
      </c>
      <c r="P109" s="74">
        <v>19</v>
      </c>
      <c r="Q109" s="28">
        <v>0</v>
      </c>
      <c r="R109" s="28">
        <v>0</v>
      </c>
      <c r="S109" s="74">
        <v>7</v>
      </c>
      <c r="T109" s="28">
        <f>IFERROR((BAL_H[[#This Row],[H]]-BAL_H[[#This Row],[2B]]-BAL_H[[#This Row],[3B]]-BAL_H[[#This Row],[HR]])+(BAL_H[[#This Row],[2B]]*2)+(BAL_H[[#This Row],[3B]]*3)+(BAL_H[[#This Row],[HR]]*4),0)</f>
        <v>20</v>
      </c>
      <c r="U109" s="72">
        <f>BAL_H[[#This Row],[OBP]]+BAL_H[[#This Row],[SLG]]</f>
        <v>0.56776556776556775</v>
      </c>
      <c r="V109" s="74">
        <v>1</v>
      </c>
      <c r="W109" s="615">
        <v>13</v>
      </c>
      <c r="Z109" s="651" t="s">
        <v>300</v>
      </c>
      <c r="AA109" s="71" t="s">
        <v>186</v>
      </c>
      <c r="AB109" s="71" t="s">
        <v>310</v>
      </c>
      <c r="AC109" s="72">
        <f>IFERROR((BAL_H302[[#This Row],[H]]/BAL_H302[[#This Row],[AB]]),0)</f>
        <v>0.16666666666666666</v>
      </c>
      <c r="AD109" s="72">
        <f>IFERROR((BAL_H302[[#This Row],[H]]+BAL_H302[[#This Row],[BB]])/(BAL_H302[[#This Row],[BB]]+BAL_H302[[#This Row],[AB]]),0)</f>
        <v>0.25925925925925924</v>
      </c>
      <c r="AE109" s="73">
        <f>IFERROR(((BAL_H302[[#This Row],[H]]-BAL_H302[[#This Row],[2B]]-BAL_H302[[#This Row],[3B]]-BAL_H302[[#This Row],[HR]])+(BAL_H302[[#This Row],[2B]]*2)+(BAL_H302[[#This Row],[3B]]*3)+(BAL_H302[[#This Row],[HR]]*4))/BAL_H302[[#This Row],[AB]],0)</f>
        <v>0.16666666666666666</v>
      </c>
      <c r="AF109" s="28">
        <v>7</v>
      </c>
      <c r="AG109" s="28">
        <v>24</v>
      </c>
      <c r="AH109" s="28">
        <v>1</v>
      </c>
      <c r="AI109" s="28">
        <v>4</v>
      </c>
      <c r="AJ109" s="28">
        <v>0</v>
      </c>
      <c r="AK109" s="28">
        <v>0</v>
      </c>
      <c r="AL109" s="28">
        <v>0</v>
      </c>
      <c r="AM109" s="28">
        <v>0</v>
      </c>
      <c r="AN109" s="28">
        <v>3</v>
      </c>
      <c r="AO109" s="74">
        <v>8</v>
      </c>
      <c r="AP109" s="28">
        <v>0</v>
      </c>
      <c r="AQ109" s="28">
        <v>0</v>
      </c>
      <c r="AR109" s="74">
        <v>3</v>
      </c>
      <c r="AS109" s="28">
        <f>IFERROR((BAL_H302[[#This Row],[H]]-BAL_H302[[#This Row],[2B]]-BAL_H302[[#This Row],[3B]]-BAL_H302[[#This Row],[HR]])+(BAL_H302[[#This Row],[2B]]*2)+(BAL_H302[[#This Row],[3B]]*3)+(BAL_H302[[#This Row],[HR]]*4),0)</f>
        <v>4</v>
      </c>
      <c r="AT109" s="72">
        <f>BAL_H302[[#This Row],[OBP]]+BAL_H302[[#This Row],[SLG]]</f>
        <v>0.42592592592592593</v>
      </c>
      <c r="AU109" s="74">
        <v>0</v>
      </c>
      <c r="AV109" s="615">
        <v>13</v>
      </c>
      <c r="AY109" s="651" t="s">
        <v>300</v>
      </c>
      <c r="AZ109" s="71" t="s">
        <v>186</v>
      </c>
      <c r="BA109" s="71" t="s">
        <v>302</v>
      </c>
      <c r="BB109" s="72">
        <f>IFERROR(BAL_H215[[#This Row],[H]]/BAL_H215[[#This Row],[AB]],0)</f>
        <v>0.14285714285714285</v>
      </c>
      <c r="BC109" s="72">
        <f>IFERROR((BAL_H215[[#This Row],[BB]]+BAL_H215[[#This Row],[H]])/(BAL_H215[[#This Row],[AB]]+BAL_H215[[#This Row],[BB]]),0)</f>
        <v>0.2413793103448276</v>
      </c>
      <c r="BD109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0.31168831168831168</v>
      </c>
      <c r="BE109" s="28">
        <v>22</v>
      </c>
      <c r="BF109" s="28">
        <v>77</v>
      </c>
      <c r="BG109" s="28">
        <v>6</v>
      </c>
      <c r="BH109" s="28">
        <v>11</v>
      </c>
      <c r="BI109" s="28">
        <v>4</v>
      </c>
      <c r="BJ109" s="28">
        <v>0</v>
      </c>
      <c r="BK109" s="28">
        <v>3</v>
      </c>
      <c r="BL109" s="28">
        <v>8</v>
      </c>
      <c r="BM109" s="28">
        <v>10</v>
      </c>
      <c r="BN109" s="74">
        <v>17</v>
      </c>
      <c r="BO109" s="28">
        <v>0</v>
      </c>
      <c r="BP109" s="28">
        <v>0</v>
      </c>
      <c r="BQ109" s="74">
        <v>5</v>
      </c>
      <c r="BR109" s="28">
        <f t="shared" si="9"/>
        <v>24</v>
      </c>
      <c r="BS109" s="72">
        <f>IFERROR(BAL_H215[[#This Row],[OBP]]+BAL_H215[[#This Row],[SLG]],0)</f>
        <v>0.55306762203313931</v>
      </c>
      <c r="BT109" s="74">
        <v>0</v>
      </c>
      <c r="BU109" s="615">
        <v>13</v>
      </c>
    </row>
    <row r="110" spans="1:73" ht="17" thickBot="1">
      <c r="A110" s="651" t="s">
        <v>300</v>
      </c>
      <c r="B110" s="71" t="s">
        <v>184</v>
      </c>
      <c r="C110" s="71" t="s">
        <v>317</v>
      </c>
      <c r="D110" s="72">
        <f>IFERROR((BAL_H[[#This Row],[H]]/BAL_H[[#This Row],[AB]]),0)</f>
        <v>0.2</v>
      </c>
      <c r="E110" s="72">
        <f>IFERROR((BAL_H[[#This Row],[H]]+BAL_H[[#This Row],[BB]])/(BAL_H[[#This Row],[BB]]+BAL_H[[#This Row],[AB]]),0)</f>
        <v>0.2</v>
      </c>
      <c r="F110" s="73">
        <f>IFERROR(((BAL_H[[#This Row],[H]]-BAL_H[[#This Row],[2B]]-BAL_H[[#This Row],[3B]]-BAL_H[[#This Row],[HR]])+(BAL_H[[#This Row],[2B]]*2)+(BAL_H[[#This Row],[3B]]*3)+(BAL_H[[#This Row],[HR]]*4))/BAL_H[[#This Row],[AB]],0)</f>
        <v>0.2</v>
      </c>
      <c r="G110" s="28">
        <v>3</v>
      </c>
      <c r="H110" s="28">
        <v>5</v>
      </c>
      <c r="I110" s="28">
        <v>1</v>
      </c>
      <c r="J110" s="28">
        <v>1</v>
      </c>
      <c r="K110" s="28">
        <v>0</v>
      </c>
      <c r="L110" s="28">
        <v>0</v>
      </c>
      <c r="M110" s="28">
        <v>0</v>
      </c>
      <c r="N110" s="28">
        <v>1</v>
      </c>
      <c r="O110" s="28">
        <v>0</v>
      </c>
      <c r="P110" s="74">
        <v>1</v>
      </c>
      <c r="Q110" s="28">
        <v>0</v>
      </c>
      <c r="R110" s="28">
        <v>0</v>
      </c>
      <c r="S110" s="74">
        <v>1</v>
      </c>
      <c r="T110" s="28">
        <f>IFERROR((BAL_H[[#This Row],[H]]-BAL_H[[#This Row],[2B]]-BAL_H[[#This Row],[3B]]-BAL_H[[#This Row],[HR]])+(BAL_H[[#This Row],[2B]]*2)+(BAL_H[[#This Row],[3B]]*3)+(BAL_H[[#This Row],[HR]]*4),0)</f>
        <v>1</v>
      </c>
      <c r="U110" s="72">
        <f>BAL_H[[#This Row],[OBP]]+BAL_H[[#This Row],[SLG]]</f>
        <v>0.4</v>
      </c>
      <c r="V110" s="74">
        <v>0</v>
      </c>
      <c r="W110" s="615">
        <v>14</v>
      </c>
      <c r="Z110" s="651" t="s">
        <v>300</v>
      </c>
      <c r="AA110" s="71" t="s">
        <v>186</v>
      </c>
      <c r="AB110" s="71" t="s">
        <v>321</v>
      </c>
      <c r="AC110" s="72">
        <f>IFERROR((BAL_H302[[#This Row],[H]]/BAL_H302[[#This Row],[AB]]),0)</f>
        <v>0</v>
      </c>
      <c r="AD110" s="72">
        <f>IFERROR((BAL_H302[[#This Row],[H]]+BAL_H302[[#This Row],[BB]])/(BAL_H302[[#This Row],[BB]]+BAL_H302[[#This Row],[AB]]),0)</f>
        <v>0</v>
      </c>
      <c r="AE110" s="73">
        <f>IFERROR(((BAL_H302[[#This Row],[H]]-BAL_H302[[#This Row],[2B]]-BAL_H302[[#This Row],[3B]]-BAL_H302[[#This Row],[HR]])+(BAL_H302[[#This Row],[2B]]*2)+(BAL_H302[[#This Row],[3B]]*3)+(BAL_H302[[#This Row],[HR]]*4))/BAL_H302[[#This Row],[AB]],0)</f>
        <v>0</v>
      </c>
      <c r="AF110" s="28">
        <v>2</v>
      </c>
      <c r="AG110" s="28">
        <v>7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74">
        <v>2</v>
      </c>
      <c r="AP110" s="28">
        <v>0</v>
      </c>
      <c r="AQ110" s="28">
        <v>0</v>
      </c>
      <c r="AR110" s="74">
        <v>0</v>
      </c>
      <c r="AS110" s="28">
        <f>IFERROR((BAL_H302[[#This Row],[H]]-BAL_H302[[#This Row],[2B]]-BAL_H302[[#This Row],[3B]]-BAL_H302[[#This Row],[HR]])+(BAL_H302[[#This Row],[2B]]*2)+(BAL_H302[[#This Row],[3B]]*3)+(BAL_H302[[#This Row],[HR]]*4),0)</f>
        <v>0</v>
      </c>
      <c r="AT110" s="72">
        <f>BAL_H302[[#This Row],[OBP]]+BAL_H302[[#This Row],[SLG]]</f>
        <v>0</v>
      </c>
      <c r="AU110" s="74">
        <v>0</v>
      </c>
      <c r="AV110" s="615">
        <v>14</v>
      </c>
      <c r="AY110" s="651" t="s">
        <v>300</v>
      </c>
      <c r="AZ110" s="71" t="s">
        <v>184</v>
      </c>
      <c r="BA110" s="71" t="s">
        <v>321</v>
      </c>
      <c r="BB110" s="72">
        <f>IFERROR(BAL_H215[[#This Row],[H]]/BAL_H215[[#This Row],[AB]],0)</f>
        <v>0.26666666666666666</v>
      </c>
      <c r="BC110" s="72">
        <f>IFERROR((BAL_H215[[#This Row],[BB]]+BAL_H215[[#This Row],[H]])/(BAL_H215[[#This Row],[AB]]+BAL_H215[[#This Row],[BB]]),0)</f>
        <v>0.35294117647058826</v>
      </c>
      <c r="BD110" s="73">
        <f>IFERROR(((BAL_H215[[#This Row],[H]]-BAL_H215[[#This Row],[2B]]-BAL_H215[[#This Row],[3B]]-BAL_H215[[#This Row],[HR]])+(BAL_H215[[#This Row],[2B]]*2)+(BAL_H215[[#This Row],[3B]]*3)+(BAL_H215[[#This Row],[HR]]*4))/BAL_H215[[#This Row],[AB]],0)</f>
        <v>0.33333333333333331</v>
      </c>
      <c r="BE110" s="28">
        <v>8</v>
      </c>
      <c r="BF110" s="28">
        <v>15</v>
      </c>
      <c r="BG110" s="28">
        <v>0</v>
      </c>
      <c r="BH110" s="28">
        <v>4</v>
      </c>
      <c r="BI110" s="28">
        <v>1</v>
      </c>
      <c r="BJ110" s="28">
        <v>0</v>
      </c>
      <c r="BK110" s="28">
        <v>0</v>
      </c>
      <c r="BL110" s="28">
        <v>3</v>
      </c>
      <c r="BM110" s="28">
        <v>2</v>
      </c>
      <c r="BN110" s="74">
        <v>5</v>
      </c>
      <c r="BO110" s="28">
        <v>0</v>
      </c>
      <c r="BP110" s="28">
        <v>0</v>
      </c>
      <c r="BQ110" s="74">
        <v>2</v>
      </c>
      <c r="BR110" s="28">
        <f t="shared" si="9"/>
        <v>5</v>
      </c>
      <c r="BS110" s="72">
        <f>IFERROR(BAL_H215[[#This Row],[OBP]]+BAL_H215[[#This Row],[SLG]],0)</f>
        <v>0.68627450980392157</v>
      </c>
      <c r="BT110" s="74">
        <v>1</v>
      </c>
      <c r="BU110" s="615">
        <v>14</v>
      </c>
    </row>
    <row r="111" spans="1:73" ht="17" thickBot="1">
      <c r="A111" s="652"/>
      <c r="B111" s="653"/>
      <c r="C111" s="654" t="s">
        <v>195</v>
      </c>
      <c r="D111" s="656">
        <f>J111/H111</f>
        <v>0.28066378066378067</v>
      </c>
      <c r="E111" s="656">
        <f>(J111+O111)/(H111+O111)</f>
        <v>0.33710106382978722</v>
      </c>
      <c r="F111" s="657">
        <f>((J111-K111-L111-M111)+(K111*2)+(L111*3)+(M111*4))/H111</f>
        <v>0.49494949494949497</v>
      </c>
      <c r="G111" s="658"/>
      <c r="H111" s="658">
        <f>SUBTOTAL(109,BAL_H[AB])</f>
        <v>1386</v>
      </c>
      <c r="I111" s="658">
        <f>SUBTOTAL(109,BAL_H[R])</f>
        <v>190</v>
      </c>
      <c r="J111" s="658">
        <f>SUBTOTAL(109,BAL_H[H])</f>
        <v>389</v>
      </c>
      <c r="K111" s="658">
        <f>SUBTOTAL(109,BAL_H[2B])</f>
        <v>86</v>
      </c>
      <c r="L111" s="658">
        <f>SUBTOTAL(109,BAL_H[3B])</f>
        <v>5</v>
      </c>
      <c r="M111" s="658">
        <f>SUBTOTAL(109,BAL_H[HR])</f>
        <v>67</v>
      </c>
      <c r="N111" s="658">
        <f>SUBTOTAL(109,BAL_H[RBI])</f>
        <v>188</v>
      </c>
      <c r="O111" s="658">
        <f>SUBTOTAL(109,BAL_H[BB])</f>
        <v>118</v>
      </c>
      <c r="P111" s="660">
        <f>SUBTOTAL(109,BAL_H[K])</f>
        <v>323</v>
      </c>
      <c r="Q111" s="658">
        <f>SUBTOTAL(109,BAL_H[SB])</f>
        <v>4</v>
      </c>
      <c r="R111" s="658"/>
      <c r="S111" s="660"/>
      <c r="T111" s="658">
        <f>SUBTOTAL(109,BAL_H[TB])</f>
        <v>686</v>
      </c>
      <c r="U111" s="656">
        <f>E111+F111</f>
        <v>0.83205055877928213</v>
      </c>
      <c r="V111" s="660">
        <f>SUBTOTAL(109,BAL_H[*])</f>
        <v>22</v>
      </c>
      <c r="W111" s="662"/>
      <c r="Z111" s="652"/>
      <c r="AA111" s="653"/>
      <c r="AB111" s="654" t="s">
        <v>195</v>
      </c>
      <c r="AC111" s="656">
        <f>AI111/AG111</f>
        <v>0.24260355029585798</v>
      </c>
      <c r="AD111" s="656">
        <f>(AI111+AN111)/(AG111+AN111)</f>
        <v>0.31367292225201071</v>
      </c>
      <c r="AE111" s="657">
        <f>((AI111-AJ111-AK111-AL111)+(AJ111*2)+(AK111*3)+(AL111*4))/AG111</f>
        <v>0.39201183431952663</v>
      </c>
      <c r="AF111" s="658"/>
      <c r="AG111" s="658">
        <f>SUBTOTAL(109,BAL_H302[AB])</f>
        <v>1352</v>
      </c>
      <c r="AH111" s="658">
        <f>SUBTOTAL(109,BAL_H302[R])</f>
        <v>151</v>
      </c>
      <c r="AI111" s="658">
        <f>SUBTOTAL(109,BAL_H302[H])</f>
        <v>328</v>
      </c>
      <c r="AJ111" s="658">
        <f>SUBTOTAL(109,BAL_H302[2B])</f>
        <v>57</v>
      </c>
      <c r="AK111" s="658">
        <f>SUBTOTAL(109,BAL_H302[3B])</f>
        <v>8</v>
      </c>
      <c r="AL111" s="658">
        <f>SUBTOTAL(109,BAL_H302[HR])</f>
        <v>43</v>
      </c>
      <c r="AM111" s="658">
        <f>SUBTOTAL(109,BAL_H302[RBI])</f>
        <v>149</v>
      </c>
      <c r="AN111" s="658">
        <f>SUBTOTAL(109,BAL_H302[BB])</f>
        <v>140</v>
      </c>
      <c r="AO111" s="660">
        <f>SUBTOTAL(109,BAL_H302[K])</f>
        <v>335</v>
      </c>
      <c r="AP111" s="658">
        <f>SUBTOTAL(109,BAL_H302[SB])</f>
        <v>4</v>
      </c>
      <c r="AQ111" s="658"/>
      <c r="AR111" s="660"/>
      <c r="AS111" s="658">
        <f>SUBTOTAL(109,BAL_H302[TB])</f>
        <v>530</v>
      </c>
      <c r="AT111" s="656">
        <f>AD111+AE111</f>
        <v>0.7056847565715374</v>
      </c>
      <c r="AU111" s="660">
        <f>SUBTOTAL(109,BAL_H302[*])</f>
        <v>23</v>
      </c>
      <c r="AV111" s="662"/>
      <c r="AY111" s="652"/>
      <c r="AZ111" s="653"/>
      <c r="BA111" s="654" t="s">
        <v>195</v>
      </c>
      <c r="BB111" s="656">
        <f>IFERROR(BH111/BF111,0)</f>
        <v>0.248</v>
      </c>
      <c r="BC111" s="656">
        <f>IFERROR((BM111+BH111)/(BF111+BM111),0)</f>
        <v>0.30557421087978509</v>
      </c>
      <c r="BD111" s="657">
        <f>IFERROR(((BH111-BI111-BJ111-BK111)+(BI111*2)+(BJ111*3)+(BK111*4))/BF111,0)</f>
        <v>0.4058181818181818</v>
      </c>
      <c r="BE111" s="658"/>
      <c r="BF111" s="658">
        <f t="shared" ref="BF111:BO111" si="10">SUM(BF97:BF110)</f>
        <v>1375</v>
      </c>
      <c r="BG111" s="658">
        <f t="shared" si="10"/>
        <v>145</v>
      </c>
      <c r="BH111" s="658">
        <f t="shared" si="10"/>
        <v>341</v>
      </c>
      <c r="BI111" s="658">
        <f t="shared" si="10"/>
        <v>66</v>
      </c>
      <c r="BJ111" s="658">
        <f t="shared" si="10"/>
        <v>8</v>
      </c>
      <c r="BK111" s="658">
        <f t="shared" si="10"/>
        <v>45</v>
      </c>
      <c r="BL111" s="658">
        <f t="shared" si="10"/>
        <v>145</v>
      </c>
      <c r="BM111" s="658">
        <f t="shared" si="10"/>
        <v>114</v>
      </c>
      <c r="BN111" s="660">
        <f t="shared" si="10"/>
        <v>342</v>
      </c>
      <c r="BO111" s="658">
        <f t="shared" si="10"/>
        <v>7</v>
      </c>
      <c r="BP111" s="658"/>
      <c r="BQ111" s="660"/>
      <c r="BR111" s="658">
        <f t="shared" si="9"/>
        <v>558</v>
      </c>
      <c r="BS111" s="656">
        <f>IFERROR(BC111+BD111,0)</f>
        <v>0.71139239269796684</v>
      </c>
      <c r="BT111" s="660">
        <f>SUBTOTAL(109,BAL_H215[*])</f>
        <v>14</v>
      </c>
      <c r="BU111" s="662"/>
    </row>
    <row r="112" spans="1:73" ht="17" thickBot="1"/>
    <row r="113" spans="1:73" s="64" customFormat="1" ht="14" thickBot="1">
      <c r="A113" s="605" t="s">
        <v>143</v>
      </c>
      <c r="B113" s="606" t="s">
        <v>144</v>
      </c>
      <c r="C113" s="606" t="s">
        <v>145</v>
      </c>
      <c r="D113" s="606" t="s">
        <v>196</v>
      </c>
      <c r="E113" s="606" t="s">
        <v>197</v>
      </c>
      <c r="F113" s="606" t="s">
        <v>198</v>
      </c>
      <c r="G113" s="606" t="s">
        <v>149</v>
      </c>
      <c r="H113" s="606" t="s">
        <v>199</v>
      </c>
      <c r="I113" s="606" t="s">
        <v>152</v>
      </c>
      <c r="J113" s="606" t="s">
        <v>151</v>
      </c>
      <c r="K113" s="606" t="s">
        <v>157</v>
      </c>
      <c r="L113" s="606" t="s">
        <v>158</v>
      </c>
      <c r="M113" s="606" t="s">
        <v>200</v>
      </c>
      <c r="N113" s="606" t="s">
        <v>201</v>
      </c>
      <c r="O113" s="606" t="s">
        <v>202</v>
      </c>
      <c r="P113" s="606" t="s">
        <v>203</v>
      </c>
      <c r="Q113" s="606" t="s">
        <v>204</v>
      </c>
      <c r="R113" s="606" t="s">
        <v>205</v>
      </c>
      <c r="S113" s="607" t="s">
        <v>164</v>
      </c>
      <c r="Z113" s="605" t="s">
        <v>143</v>
      </c>
      <c r="AA113" s="606" t="s">
        <v>144</v>
      </c>
      <c r="AB113" s="606" t="s">
        <v>145</v>
      </c>
      <c r="AC113" s="606" t="s">
        <v>196</v>
      </c>
      <c r="AD113" s="606" t="s">
        <v>197</v>
      </c>
      <c r="AE113" s="606" t="s">
        <v>198</v>
      </c>
      <c r="AF113" s="606" t="s">
        <v>149</v>
      </c>
      <c r="AG113" s="606" t="s">
        <v>199</v>
      </c>
      <c r="AH113" s="606" t="s">
        <v>152</v>
      </c>
      <c r="AI113" s="606" t="s">
        <v>151</v>
      </c>
      <c r="AJ113" s="606" t="s">
        <v>157</v>
      </c>
      <c r="AK113" s="606" t="s">
        <v>158</v>
      </c>
      <c r="AL113" s="606" t="s">
        <v>200</v>
      </c>
      <c r="AM113" s="606" t="s">
        <v>201</v>
      </c>
      <c r="AN113" s="606" t="s">
        <v>202</v>
      </c>
      <c r="AO113" s="606" t="s">
        <v>203</v>
      </c>
      <c r="AP113" s="606" t="s">
        <v>204</v>
      </c>
      <c r="AQ113" s="606" t="s">
        <v>205</v>
      </c>
      <c r="AR113" s="607" t="s">
        <v>164</v>
      </c>
      <c r="AY113" s="605" t="s">
        <v>143</v>
      </c>
      <c r="AZ113" s="606" t="s">
        <v>144</v>
      </c>
      <c r="BA113" s="606" t="s">
        <v>145</v>
      </c>
      <c r="BB113" s="606" t="s">
        <v>196</v>
      </c>
      <c r="BC113" s="606" t="s">
        <v>197</v>
      </c>
      <c r="BD113" s="606" t="s">
        <v>198</v>
      </c>
      <c r="BE113" s="606" t="s">
        <v>149</v>
      </c>
      <c r="BF113" s="606" t="s">
        <v>199</v>
      </c>
      <c r="BG113" s="606" t="s">
        <v>152</v>
      </c>
      <c r="BH113" s="606" t="s">
        <v>151</v>
      </c>
      <c r="BI113" s="606" t="s">
        <v>157</v>
      </c>
      <c r="BJ113" s="606" t="s">
        <v>158</v>
      </c>
      <c r="BK113" s="606" t="s">
        <v>200</v>
      </c>
      <c r="BL113" s="606" t="s">
        <v>201</v>
      </c>
      <c r="BM113" s="606" t="s">
        <v>202</v>
      </c>
      <c r="BN113" s="606" t="s">
        <v>203</v>
      </c>
      <c r="BO113" s="606" t="s">
        <v>204</v>
      </c>
      <c r="BP113" s="606" t="s">
        <v>205</v>
      </c>
      <c r="BQ113" s="607" t="s">
        <v>164</v>
      </c>
    </row>
    <row r="114" spans="1:73">
      <c r="A114" s="650" t="s">
        <v>300</v>
      </c>
      <c r="B114" s="597" t="s">
        <v>206</v>
      </c>
      <c r="C114" s="682" t="s">
        <v>322</v>
      </c>
      <c r="D114" s="663">
        <f>IFERROR((BAL_P[[#This Row],[R]]*9)/BAL_P[[#This Row],[IP]],0)</f>
        <v>4.6551724137931032</v>
      </c>
      <c r="E114" s="600">
        <v>3</v>
      </c>
      <c r="F114" s="604">
        <v>5</v>
      </c>
      <c r="G114" s="600">
        <v>10</v>
      </c>
      <c r="H114" s="630">
        <v>58</v>
      </c>
      <c r="I114" s="600">
        <v>56</v>
      </c>
      <c r="J114" s="600">
        <v>30</v>
      </c>
      <c r="K114" s="627">
        <v>37</v>
      </c>
      <c r="L114" s="600">
        <v>63</v>
      </c>
      <c r="M114" s="600">
        <v>0</v>
      </c>
      <c r="N114" s="631">
        <f>IFERROR((BAL_P[[#This Row],[BB]]+BAL_P[[#This Row],[H]])/BAL_P[[#This Row],[IP]],0)</f>
        <v>1.603448275862069</v>
      </c>
      <c r="O114" s="600">
        <v>4</v>
      </c>
      <c r="P114" s="601">
        <v>1</v>
      </c>
      <c r="Q114" s="600">
        <v>0</v>
      </c>
      <c r="R114" s="604">
        <v>0</v>
      </c>
      <c r="S114" s="614">
        <v>1</v>
      </c>
      <c r="Z114" s="650" t="s">
        <v>300</v>
      </c>
      <c r="AA114" s="597" t="s">
        <v>206</v>
      </c>
      <c r="AB114" s="604" t="s">
        <v>323</v>
      </c>
      <c r="AC114" s="663">
        <f>IFERROR((BAL_P301[[#This Row],[R]]*9)/BAL_P301[[#This Row],[IP]],0)</f>
        <v>3.9514122640128786</v>
      </c>
      <c r="AD114" s="600">
        <v>4</v>
      </c>
      <c r="AE114" s="604">
        <v>6</v>
      </c>
      <c r="AF114" s="600">
        <v>10</v>
      </c>
      <c r="AG114" s="630">
        <v>68.33</v>
      </c>
      <c r="AH114" s="600">
        <v>52</v>
      </c>
      <c r="AI114" s="600">
        <v>30</v>
      </c>
      <c r="AJ114" s="600">
        <v>25</v>
      </c>
      <c r="AK114" s="600">
        <v>63</v>
      </c>
      <c r="AL114" s="600">
        <v>0</v>
      </c>
      <c r="AM114" s="631">
        <f>IFERROR((BAL_P301[[#This Row],[BB]]+BAL_P301[[#This Row],[H]])/BAL_P301[[#This Row],[IP]],0)</f>
        <v>1.1268842382555246</v>
      </c>
      <c r="AN114" s="600">
        <v>6</v>
      </c>
      <c r="AO114" s="601">
        <v>6</v>
      </c>
      <c r="AP114" s="600">
        <v>1</v>
      </c>
      <c r="AQ114" s="604">
        <v>1</v>
      </c>
      <c r="AR114" s="614">
        <v>1</v>
      </c>
      <c r="AY114" s="650" t="s">
        <v>300</v>
      </c>
      <c r="AZ114" s="597" t="s">
        <v>206</v>
      </c>
      <c r="BA114" s="604" t="s">
        <v>323</v>
      </c>
      <c r="BB114" s="663">
        <f>IFERROR((BAL_P214[[#This Row],[R]]*9)/BAL_P214[[#This Row],[IP]],0)</f>
        <v>5.4</v>
      </c>
      <c r="BC114" s="600">
        <v>3</v>
      </c>
      <c r="BD114" s="604">
        <v>6</v>
      </c>
      <c r="BE114" s="600">
        <v>10</v>
      </c>
      <c r="BF114" s="630">
        <v>65</v>
      </c>
      <c r="BG114" s="600">
        <v>72</v>
      </c>
      <c r="BH114" s="600">
        <v>39</v>
      </c>
      <c r="BI114" s="600">
        <v>18</v>
      </c>
      <c r="BJ114" s="600">
        <v>58</v>
      </c>
      <c r="BK114" s="600">
        <v>0</v>
      </c>
      <c r="BL114" s="631">
        <f>IFERROR((BAL_P214[[#This Row],[BB]]+BAL_P214[[#This Row],[H]])/BAL_P214[[#This Row],[IP]],0)</f>
        <v>1.3846153846153846</v>
      </c>
      <c r="BM114" s="600">
        <v>5</v>
      </c>
      <c r="BN114" s="601">
        <v>3</v>
      </c>
      <c r="BO114" s="600">
        <v>1</v>
      </c>
      <c r="BP114" s="604">
        <v>1</v>
      </c>
      <c r="BQ114" s="614">
        <v>1</v>
      </c>
    </row>
    <row r="115" spans="1:73">
      <c r="A115" s="651" t="s">
        <v>300</v>
      </c>
      <c r="B115" s="71" t="s">
        <v>206</v>
      </c>
      <c r="C115" s="74" t="s">
        <v>323</v>
      </c>
      <c r="D115" s="88">
        <f>IFERROR((BAL_P[[#This Row],[R]]*9)/BAL_P[[#This Row],[IP]],0)</f>
        <v>5.9337399044008565</v>
      </c>
      <c r="E115" s="28">
        <v>4</v>
      </c>
      <c r="F115" s="74">
        <v>3</v>
      </c>
      <c r="G115" s="28">
        <v>10</v>
      </c>
      <c r="H115" s="584">
        <v>60.67</v>
      </c>
      <c r="I115" s="28">
        <v>74</v>
      </c>
      <c r="J115" s="28">
        <v>40</v>
      </c>
      <c r="K115" s="28">
        <v>15</v>
      </c>
      <c r="L115" s="28">
        <v>44</v>
      </c>
      <c r="M115" s="28">
        <v>0</v>
      </c>
      <c r="N115" s="89">
        <f>IFERROR((BAL_P[[#This Row],[BB]]+BAL_P[[#This Row],[H]])/BAL_P[[#This Row],[IP]],0)</f>
        <v>1.4669523652546563</v>
      </c>
      <c r="O115" s="28">
        <v>4</v>
      </c>
      <c r="P115" s="90">
        <v>2</v>
      </c>
      <c r="Q115" s="28">
        <v>0</v>
      </c>
      <c r="R115" s="74">
        <v>0</v>
      </c>
      <c r="S115" s="615">
        <v>2</v>
      </c>
      <c r="Z115" s="651" t="s">
        <v>300</v>
      </c>
      <c r="AA115" s="71" t="s">
        <v>206</v>
      </c>
      <c r="AB115" s="87" t="s">
        <v>324</v>
      </c>
      <c r="AC115" s="88">
        <f>IFERROR((BAL_P301[[#This Row],[R]]*9)/BAL_P301[[#This Row],[IP]],0)</f>
        <v>2.0969855832241153</v>
      </c>
      <c r="AD115" s="28">
        <v>3</v>
      </c>
      <c r="AE115" s="74">
        <v>0</v>
      </c>
      <c r="AF115" s="28">
        <v>10</v>
      </c>
      <c r="AG115" s="584">
        <v>68.67</v>
      </c>
      <c r="AH115" s="28">
        <v>44</v>
      </c>
      <c r="AI115" s="28">
        <v>16</v>
      </c>
      <c r="AJ115" s="28">
        <v>25</v>
      </c>
      <c r="AK115" s="28">
        <v>64</v>
      </c>
      <c r="AL115" s="28">
        <v>0</v>
      </c>
      <c r="AM115" s="89">
        <f>IFERROR((BAL_P301[[#This Row],[BB]]+BAL_P301[[#This Row],[H]])/BAL_P301[[#This Row],[IP]],0)</f>
        <v>1.0048055919615553</v>
      </c>
      <c r="AN115" s="28">
        <v>8</v>
      </c>
      <c r="AO115" s="90">
        <v>6</v>
      </c>
      <c r="AP115" s="28">
        <v>1</v>
      </c>
      <c r="AQ115" s="74">
        <v>1</v>
      </c>
      <c r="AR115" s="615">
        <v>2</v>
      </c>
      <c r="AY115" s="651" t="s">
        <v>300</v>
      </c>
      <c r="AZ115" s="71" t="s">
        <v>206</v>
      </c>
      <c r="BA115" s="74" t="s">
        <v>325</v>
      </c>
      <c r="BB115" s="88">
        <f>IFERROR((BAL_P214[[#This Row],[R]]*9)/BAL_P214[[#This Row],[IP]],0)</f>
        <v>5.3684210526315788</v>
      </c>
      <c r="BC115" s="28">
        <v>1</v>
      </c>
      <c r="BD115" s="74">
        <v>5</v>
      </c>
      <c r="BE115" s="28">
        <v>10</v>
      </c>
      <c r="BF115" s="584">
        <v>57</v>
      </c>
      <c r="BG115" s="28">
        <v>63</v>
      </c>
      <c r="BH115" s="28">
        <v>34</v>
      </c>
      <c r="BI115" s="28">
        <v>31</v>
      </c>
      <c r="BJ115" s="28">
        <v>41</v>
      </c>
      <c r="BK115" s="28">
        <v>0</v>
      </c>
      <c r="BL115" s="89">
        <f>IFERROR((BAL_P214[[#This Row],[BB]]+BAL_P214[[#This Row],[H]])/BAL_P214[[#This Row],[IP]],0)</f>
        <v>1.6491228070175439</v>
      </c>
      <c r="BM115" s="28">
        <v>3</v>
      </c>
      <c r="BN115" s="90">
        <v>0</v>
      </c>
      <c r="BO115" s="28">
        <v>0</v>
      </c>
      <c r="BP115" s="74">
        <v>0</v>
      </c>
      <c r="BQ115" s="615">
        <v>2</v>
      </c>
    </row>
    <row r="116" spans="1:73">
      <c r="A116" s="651" t="s">
        <v>300</v>
      </c>
      <c r="B116" s="71" t="s">
        <v>206</v>
      </c>
      <c r="C116" s="87" t="s">
        <v>326</v>
      </c>
      <c r="D116" s="88">
        <f>IFERROR((BAL_P[[#This Row],[R]]*9)/BAL_P[[#This Row],[IP]],0)</f>
        <v>4.6020112493608316</v>
      </c>
      <c r="E116" s="28">
        <v>5</v>
      </c>
      <c r="F116" s="74">
        <v>3</v>
      </c>
      <c r="G116" s="28">
        <v>10</v>
      </c>
      <c r="H116" s="584">
        <v>58.67</v>
      </c>
      <c r="I116" s="28">
        <v>65</v>
      </c>
      <c r="J116" s="28">
        <v>30</v>
      </c>
      <c r="K116" s="28">
        <v>15</v>
      </c>
      <c r="L116" s="28">
        <v>62</v>
      </c>
      <c r="M116" s="28">
        <v>0</v>
      </c>
      <c r="N116" s="89">
        <f>IFERROR((BAL_P[[#This Row],[BB]]+BAL_P[[#This Row],[H]])/BAL_P[[#This Row],[IP]],0)</f>
        <v>1.3635588886995056</v>
      </c>
      <c r="O116" s="28">
        <v>5</v>
      </c>
      <c r="P116" s="90">
        <v>2</v>
      </c>
      <c r="Q116" s="28">
        <v>0</v>
      </c>
      <c r="R116" s="74">
        <v>0</v>
      </c>
      <c r="S116" s="615">
        <v>3</v>
      </c>
      <c r="Z116" s="651" t="s">
        <v>300</v>
      </c>
      <c r="AA116" s="71" t="s">
        <v>206</v>
      </c>
      <c r="AB116" s="87" t="s">
        <v>326</v>
      </c>
      <c r="AC116" s="88">
        <f>IFERROR((BAL_P301[[#This Row],[R]]*9)/BAL_P301[[#This Row],[IP]],0)</f>
        <v>4.4237288135593218</v>
      </c>
      <c r="AD116" s="28">
        <v>6</v>
      </c>
      <c r="AE116" s="74">
        <v>3</v>
      </c>
      <c r="AF116" s="28">
        <v>10</v>
      </c>
      <c r="AG116" s="584">
        <v>59</v>
      </c>
      <c r="AH116" s="28">
        <v>64</v>
      </c>
      <c r="AI116" s="28">
        <v>29</v>
      </c>
      <c r="AJ116" s="28">
        <v>14</v>
      </c>
      <c r="AK116" s="28">
        <v>65</v>
      </c>
      <c r="AL116" s="28">
        <v>0</v>
      </c>
      <c r="AM116" s="89">
        <f>IFERROR((BAL_P301[[#This Row],[BB]]+BAL_P301[[#This Row],[H]])/BAL_P301[[#This Row],[IP]],0)</f>
        <v>1.3220338983050848</v>
      </c>
      <c r="AN116" s="28">
        <v>6</v>
      </c>
      <c r="AO116" s="90">
        <v>2</v>
      </c>
      <c r="AP116" s="28">
        <v>1</v>
      </c>
      <c r="AQ116" s="74">
        <v>0</v>
      </c>
      <c r="AR116" s="615">
        <v>3</v>
      </c>
      <c r="AY116" s="651" t="s">
        <v>300</v>
      </c>
      <c r="AZ116" s="71" t="s">
        <v>206</v>
      </c>
      <c r="BA116" s="74" t="s">
        <v>327</v>
      </c>
      <c r="BB116" s="88">
        <f>IFERROR((BAL_P214[[#This Row],[R]]*9)/BAL_P214[[#This Row],[IP]],0)</f>
        <v>4.383401519579194</v>
      </c>
      <c r="BC116" s="28">
        <v>1</v>
      </c>
      <c r="BD116" s="74">
        <v>3</v>
      </c>
      <c r="BE116" s="28">
        <v>10</v>
      </c>
      <c r="BF116" s="584">
        <v>51.33</v>
      </c>
      <c r="BG116" s="28">
        <v>61</v>
      </c>
      <c r="BH116" s="28">
        <v>25</v>
      </c>
      <c r="BI116" s="28">
        <v>24</v>
      </c>
      <c r="BJ116" s="28">
        <v>43</v>
      </c>
      <c r="BK116" s="28">
        <v>0</v>
      </c>
      <c r="BL116" s="89">
        <f>IFERROR((BAL_P214[[#This Row],[BB]]+BAL_P214[[#This Row],[H]])/BAL_P214[[#This Row],[IP]],0)</f>
        <v>1.6559516851743621</v>
      </c>
      <c r="BM116" s="28">
        <v>5</v>
      </c>
      <c r="BN116" s="90">
        <v>0</v>
      </c>
      <c r="BO116" s="28">
        <v>0</v>
      </c>
      <c r="BP116" s="74">
        <v>0</v>
      </c>
      <c r="BQ116" s="615">
        <v>3</v>
      </c>
    </row>
    <row r="117" spans="1:73">
      <c r="A117" s="651" t="s">
        <v>300</v>
      </c>
      <c r="B117" s="71" t="s">
        <v>206</v>
      </c>
      <c r="C117" s="87" t="s">
        <v>324</v>
      </c>
      <c r="D117" s="88">
        <f>IFERROR((BAL_P[[#This Row],[R]]*9)/BAL_P[[#This Row],[IP]],0)</f>
        <v>3.8571428571428572</v>
      </c>
      <c r="E117" s="28">
        <v>6</v>
      </c>
      <c r="F117" s="74">
        <v>3</v>
      </c>
      <c r="G117" s="28">
        <v>10</v>
      </c>
      <c r="H117" s="584">
        <v>63</v>
      </c>
      <c r="I117" s="28">
        <v>59</v>
      </c>
      <c r="J117" s="28">
        <v>27</v>
      </c>
      <c r="K117" s="28">
        <v>26</v>
      </c>
      <c r="L117" s="28">
        <v>70</v>
      </c>
      <c r="M117" s="28">
        <v>0</v>
      </c>
      <c r="N117" s="89">
        <f>IFERROR((BAL_P[[#This Row],[BB]]+BAL_P[[#This Row],[H]])/BAL_P[[#This Row],[IP]],0)</f>
        <v>1.3492063492063493</v>
      </c>
      <c r="O117" s="28">
        <v>8</v>
      </c>
      <c r="P117" s="90">
        <v>3</v>
      </c>
      <c r="Q117" s="28">
        <v>0</v>
      </c>
      <c r="R117" s="74">
        <v>0</v>
      </c>
      <c r="S117" s="615">
        <v>4</v>
      </c>
      <c r="Z117" s="651" t="s">
        <v>300</v>
      </c>
      <c r="AA117" s="71" t="s">
        <v>206</v>
      </c>
      <c r="AB117" s="87" t="s">
        <v>328</v>
      </c>
      <c r="AC117" s="88">
        <f>IFERROR((BAL_P301[[#This Row],[R]]*9)/BAL_P301[[#This Row],[IP]],0)</f>
        <v>6</v>
      </c>
      <c r="AD117" s="28">
        <v>3</v>
      </c>
      <c r="AE117" s="74">
        <v>4</v>
      </c>
      <c r="AF117" s="28">
        <v>10</v>
      </c>
      <c r="AG117" s="584">
        <v>48</v>
      </c>
      <c r="AH117" s="28">
        <v>59</v>
      </c>
      <c r="AI117" s="28">
        <v>32</v>
      </c>
      <c r="AJ117" s="28">
        <v>20</v>
      </c>
      <c r="AK117" s="28">
        <v>40</v>
      </c>
      <c r="AL117" s="28">
        <v>0</v>
      </c>
      <c r="AM117" s="89">
        <f>IFERROR((BAL_P301[[#This Row],[BB]]+BAL_P301[[#This Row],[H]])/BAL_P301[[#This Row],[IP]],0)</f>
        <v>1.6458333333333333</v>
      </c>
      <c r="AN117" s="28">
        <v>4</v>
      </c>
      <c r="AO117" s="90">
        <v>0</v>
      </c>
      <c r="AP117" s="28">
        <v>0</v>
      </c>
      <c r="AQ117" s="74">
        <v>0</v>
      </c>
      <c r="AR117" s="615">
        <v>4</v>
      </c>
      <c r="AY117" s="651" t="s">
        <v>300</v>
      </c>
      <c r="AZ117" s="71" t="s">
        <v>206</v>
      </c>
      <c r="BA117" s="74" t="s">
        <v>328</v>
      </c>
      <c r="BB117" s="88">
        <f>IFERROR((BAL_P214[[#This Row],[R]]*9)/BAL_P214[[#This Row],[IP]],0)</f>
        <v>7.9515101705362641</v>
      </c>
      <c r="BC117" s="28">
        <v>3</v>
      </c>
      <c r="BD117" s="74">
        <v>6</v>
      </c>
      <c r="BE117" s="28">
        <v>10</v>
      </c>
      <c r="BF117" s="584">
        <v>48.67</v>
      </c>
      <c r="BG117" s="28">
        <v>66</v>
      </c>
      <c r="BH117" s="28">
        <v>43</v>
      </c>
      <c r="BI117" s="28">
        <v>28</v>
      </c>
      <c r="BJ117" s="28">
        <v>45</v>
      </c>
      <c r="BK117" s="28">
        <v>0</v>
      </c>
      <c r="BL117" s="89">
        <f>IFERROR((BAL_P214[[#This Row],[BB]]+BAL_P214[[#This Row],[H]])/BAL_P214[[#This Row],[IP]],0)</f>
        <v>1.9313745633860693</v>
      </c>
      <c r="BM117" s="28">
        <v>1</v>
      </c>
      <c r="BN117" s="90">
        <v>1</v>
      </c>
      <c r="BO117" s="28">
        <v>0</v>
      </c>
      <c r="BP117" s="74">
        <v>0</v>
      </c>
      <c r="BQ117" s="615">
        <v>4</v>
      </c>
    </row>
    <row r="118" spans="1:73">
      <c r="A118" s="651" t="s">
        <v>300</v>
      </c>
      <c r="B118" s="71" t="s">
        <v>212</v>
      </c>
      <c r="C118" s="87" t="s">
        <v>328</v>
      </c>
      <c r="D118" s="88">
        <f>IFERROR((BAL_P[[#This Row],[R]]*9)/BAL_P[[#This Row],[IP]],0)</f>
        <v>4.125</v>
      </c>
      <c r="E118" s="28">
        <v>0</v>
      </c>
      <c r="F118" s="74">
        <v>0</v>
      </c>
      <c r="G118" s="28">
        <v>12</v>
      </c>
      <c r="H118" s="584">
        <v>24</v>
      </c>
      <c r="I118" s="28">
        <v>27</v>
      </c>
      <c r="J118" s="28">
        <v>11</v>
      </c>
      <c r="K118" s="28">
        <v>7</v>
      </c>
      <c r="L118" s="28">
        <v>16</v>
      </c>
      <c r="M118" s="28">
        <v>0</v>
      </c>
      <c r="N118" s="89">
        <f>IFERROR((BAL_P[[#This Row],[BB]]+BAL_P[[#This Row],[H]])/BAL_P[[#This Row],[IP]],0)</f>
        <v>1.4166666666666667</v>
      </c>
      <c r="O118" s="28">
        <v>0</v>
      </c>
      <c r="P118" s="90">
        <v>0</v>
      </c>
      <c r="Q118" s="28">
        <v>0</v>
      </c>
      <c r="R118" s="74">
        <v>0</v>
      </c>
      <c r="S118" s="615">
        <v>5</v>
      </c>
      <c r="Z118" s="651" t="s">
        <v>300</v>
      </c>
      <c r="AA118" s="71" t="s">
        <v>215</v>
      </c>
      <c r="AB118" s="87" t="s">
        <v>322</v>
      </c>
      <c r="AC118" s="88">
        <f>IFERROR((BAL_P301[[#This Row],[R]]*9)/BAL_P301[[#This Row],[IP]],0)</f>
        <v>4.1546451240623199</v>
      </c>
      <c r="AD118" s="28">
        <v>0</v>
      </c>
      <c r="AE118" s="74">
        <v>0</v>
      </c>
      <c r="AF118" s="28">
        <v>8</v>
      </c>
      <c r="AG118" s="584">
        <v>17.329999999999998</v>
      </c>
      <c r="AH118" s="28">
        <v>17</v>
      </c>
      <c r="AI118" s="28">
        <v>8</v>
      </c>
      <c r="AJ118" s="28">
        <v>7</v>
      </c>
      <c r="AK118" s="28">
        <v>18</v>
      </c>
      <c r="AL118" s="28">
        <v>0</v>
      </c>
      <c r="AM118" s="89">
        <f>IFERROR((BAL_P301[[#This Row],[BB]]+BAL_P301[[#This Row],[H]])/BAL_P301[[#This Row],[IP]],0)</f>
        <v>1.3848817080207734</v>
      </c>
      <c r="AN118" s="28">
        <v>0</v>
      </c>
      <c r="AO118" s="90">
        <v>0</v>
      </c>
      <c r="AP118" s="28">
        <v>0</v>
      </c>
      <c r="AQ118" s="74">
        <v>0</v>
      </c>
      <c r="AR118" s="615">
        <v>5</v>
      </c>
      <c r="AY118" s="651" t="s">
        <v>300</v>
      </c>
      <c r="AZ118" s="71" t="s">
        <v>215</v>
      </c>
      <c r="BA118" s="74" t="s">
        <v>324</v>
      </c>
      <c r="BB118" s="88">
        <f>IFERROR((BAL_P214[[#This Row],[R]]*9)/BAL_P214[[#This Row],[IP]],0)</f>
        <v>6.6213921901528003</v>
      </c>
      <c r="BC118" s="28">
        <v>0</v>
      </c>
      <c r="BD118" s="74">
        <v>1</v>
      </c>
      <c r="BE118" s="28">
        <v>7</v>
      </c>
      <c r="BF118" s="584">
        <v>17.670000000000002</v>
      </c>
      <c r="BG118" s="28">
        <v>17</v>
      </c>
      <c r="BH118" s="28">
        <v>13</v>
      </c>
      <c r="BI118" s="28">
        <v>9</v>
      </c>
      <c r="BJ118" s="28">
        <v>16</v>
      </c>
      <c r="BK118" s="28">
        <v>0</v>
      </c>
      <c r="BL118" s="89">
        <f>IFERROR((BAL_P214[[#This Row],[BB]]+BAL_P214[[#This Row],[H]])/BAL_P214[[#This Row],[IP]],0)</f>
        <v>1.4714204867006224</v>
      </c>
      <c r="BM118" s="28">
        <v>0</v>
      </c>
      <c r="BN118" s="90">
        <v>0</v>
      </c>
      <c r="BO118" s="28">
        <v>0</v>
      </c>
      <c r="BP118" s="74">
        <v>0</v>
      </c>
      <c r="BQ118" s="615">
        <v>5</v>
      </c>
    </row>
    <row r="119" spans="1:73">
      <c r="A119" s="651" t="s">
        <v>300</v>
      </c>
      <c r="B119" s="71" t="s">
        <v>215</v>
      </c>
      <c r="C119" s="87" t="s">
        <v>329</v>
      </c>
      <c r="D119" s="88">
        <f>IFERROR((BAL_P[[#This Row],[R]]*9)/BAL_P[[#This Row],[IP]],0)</f>
        <v>0</v>
      </c>
      <c r="E119" s="28">
        <v>0</v>
      </c>
      <c r="F119" s="74">
        <v>0</v>
      </c>
      <c r="G119" s="28">
        <v>0</v>
      </c>
      <c r="H119" s="584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89">
        <f>IFERROR((BAL_P[[#This Row],[BB]]+BAL_P[[#This Row],[H]])/BAL_P[[#This Row],[IP]],0)</f>
        <v>0</v>
      </c>
      <c r="O119" s="28">
        <v>0</v>
      </c>
      <c r="P119" s="90">
        <v>0</v>
      </c>
      <c r="Q119" s="28">
        <v>0</v>
      </c>
      <c r="R119" s="74">
        <v>0</v>
      </c>
      <c r="S119" s="615">
        <v>6</v>
      </c>
      <c r="Z119" s="651" t="s">
        <v>300</v>
      </c>
      <c r="AA119" s="71" t="s">
        <v>212</v>
      </c>
      <c r="AB119" s="87" t="s">
        <v>331</v>
      </c>
      <c r="AC119" s="88">
        <f>IFERROR((BAL_P301[[#This Row],[R]]*9)/BAL_P301[[#This Row],[IP]],0)</f>
        <v>10.121836925960638</v>
      </c>
      <c r="AD119" s="28">
        <v>0</v>
      </c>
      <c r="AE119" s="74">
        <v>2</v>
      </c>
      <c r="AF119" s="28">
        <v>11</v>
      </c>
      <c r="AG119" s="584">
        <v>10.67</v>
      </c>
      <c r="AH119" s="28">
        <v>15</v>
      </c>
      <c r="AI119" s="28">
        <v>12</v>
      </c>
      <c r="AJ119" s="28">
        <v>9</v>
      </c>
      <c r="AK119" s="28">
        <v>12</v>
      </c>
      <c r="AL119" s="28">
        <v>0</v>
      </c>
      <c r="AM119" s="89">
        <f>IFERROR((BAL_P301[[#This Row],[BB]]+BAL_P301[[#This Row],[H]])/BAL_P301[[#This Row],[IP]],0)</f>
        <v>2.2492970946579196</v>
      </c>
      <c r="AN119" s="28">
        <v>0</v>
      </c>
      <c r="AO119" s="90">
        <v>0</v>
      </c>
      <c r="AP119" s="28">
        <v>0</v>
      </c>
      <c r="AQ119" s="74">
        <v>0</v>
      </c>
      <c r="AR119" s="615">
        <v>6</v>
      </c>
      <c r="AY119" s="651" t="s">
        <v>300</v>
      </c>
      <c r="AZ119" s="71" t="s">
        <v>215</v>
      </c>
      <c r="BA119" s="74" t="s">
        <v>331</v>
      </c>
      <c r="BB119" s="88">
        <f>IFERROR((BAL_P214[[#This Row],[R]]*9)/BAL_P214[[#This Row],[IP]],0)</f>
        <v>7.4117647058823533</v>
      </c>
      <c r="BC119" s="28">
        <v>0</v>
      </c>
      <c r="BD119" s="74">
        <v>0</v>
      </c>
      <c r="BE119" s="28">
        <v>9</v>
      </c>
      <c r="BF119" s="584">
        <v>17</v>
      </c>
      <c r="BG119" s="28">
        <v>24</v>
      </c>
      <c r="BH119" s="28">
        <v>14</v>
      </c>
      <c r="BI119" s="28">
        <v>14</v>
      </c>
      <c r="BJ119" s="28">
        <v>24</v>
      </c>
      <c r="BK119" s="28">
        <v>0</v>
      </c>
      <c r="BL119" s="89">
        <f>IFERROR((BAL_P214[[#This Row],[BB]]+BAL_P214[[#This Row],[H]])/BAL_P214[[#This Row],[IP]],0)</f>
        <v>2.2352941176470589</v>
      </c>
      <c r="BM119" s="28">
        <v>0</v>
      </c>
      <c r="BN119" s="90">
        <v>0</v>
      </c>
      <c r="BO119" s="28">
        <v>0</v>
      </c>
      <c r="BP119" s="74">
        <v>0</v>
      </c>
      <c r="BQ119" s="615">
        <v>6</v>
      </c>
    </row>
    <row r="120" spans="1:73">
      <c r="A120" s="651" t="s">
        <v>300</v>
      </c>
      <c r="B120" s="71" t="s">
        <v>212</v>
      </c>
      <c r="C120" s="87" t="s">
        <v>330</v>
      </c>
      <c r="D120" s="88">
        <f>IFERROR((BAL_P[[#This Row],[R]]*9)/BAL_P[[#This Row],[IP]],0)</f>
        <v>3.75</v>
      </c>
      <c r="E120" s="28">
        <v>0</v>
      </c>
      <c r="F120" s="74">
        <v>0</v>
      </c>
      <c r="G120" s="28">
        <v>9</v>
      </c>
      <c r="H120" s="584">
        <v>12</v>
      </c>
      <c r="I120" s="28">
        <v>19</v>
      </c>
      <c r="J120" s="28">
        <v>5</v>
      </c>
      <c r="K120" s="28">
        <v>6</v>
      </c>
      <c r="L120" s="28">
        <v>4</v>
      </c>
      <c r="M120" s="28">
        <v>0</v>
      </c>
      <c r="N120" s="89">
        <f>IFERROR((BAL_P[[#This Row],[BB]]+BAL_P[[#This Row],[H]])/BAL_P[[#This Row],[IP]],0)</f>
        <v>2.0833333333333335</v>
      </c>
      <c r="O120" s="28">
        <v>0</v>
      </c>
      <c r="P120" s="90">
        <v>0</v>
      </c>
      <c r="Q120" s="28">
        <v>0</v>
      </c>
      <c r="R120" s="74">
        <v>0</v>
      </c>
      <c r="S120" s="615">
        <v>7</v>
      </c>
      <c r="Z120" s="651" t="s">
        <v>300</v>
      </c>
      <c r="AA120" s="71" t="s">
        <v>212</v>
      </c>
      <c r="AB120" s="87" t="s">
        <v>330</v>
      </c>
      <c r="AC120" s="88">
        <f>IFERROR((BAL_P301[[#This Row],[R]]*9)/BAL_P301[[#This Row],[IP]],0)</f>
        <v>4.5</v>
      </c>
      <c r="AD120" s="28">
        <v>1</v>
      </c>
      <c r="AE120" s="74">
        <v>0</v>
      </c>
      <c r="AF120" s="28">
        <v>5</v>
      </c>
      <c r="AG120" s="584">
        <v>12</v>
      </c>
      <c r="AH120" s="28">
        <v>8</v>
      </c>
      <c r="AI120" s="28">
        <v>6</v>
      </c>
      <c r="AJ120" s="28">
        <v>2</v>
      </c>
      <c r="AK120" s="28">
        <v>12</v>
      </c>
      <c r="AL120" s="28">
        <v>0</v>
      </c>
      <c r="AM120" s="89">
        <f>IFERROR((BAL_P301[[#This Row],[BB]]+BAL_P301[[#This Row],[H]])/BAL_P301[[#This Row],[IP]],0)</f>
        <v>0.83333333333333337</v>
      </c>
      <c r="AN120" s="28">
        <v>0</v>
      </c>
      <c r="AO120" s="90">
        <v>0</v>
      </c>
      <c r="AP120" s="28">
        <v>0</v>
      </c>
      <c r="AQ120" s="74">
        <v>0</v>
      </c>
      <c r="AR120" s="615">
        <v>7</v>
      </c>
      <c r="AY120" s="651" t="s">
        <v>300</v>
      </c>
      <c r="AZ120" s="71" t="s">
        <v>212</v>
      </c>
      <c r="BA120" s="74" t="s">
        <v>334</v>
      </c>
      <c r="BB120" s="88">
        <f>IFERROR((BAL_P214[[#This Row],[R]]*9)/BAL_P214[[#This Row],[IP]],0)</f>
        <v>5.0632911392405067</v>
      </c>
      <c r="BC120" s="28">
        <v>1</v>
      </c>
      <c r="BD120" s="74">
        <v>0</v>
      </c>
      <c r="BE120" s="28">
        <v>19</v>
      </c>
      <c r="BF120" s="584">
        <v>21.33</v>
      </c>
      <c r="BG120" s="28">
        <v>18</v>
      </c>
      <c r="BH120" s="28">
        <v>12</v>
      </c>
      <c r="BI120" s="28">
        <v>20</v>
      </c>
      <c r="BJ120" s="28">
        <v>25</v>
      </c>
      <c r="BK120" s="28">
        <v>0</v>
      </c>
      <c r="BL120" s="89">
        <f>IFERROR((BAL_P214[[#This Row],[BB]]+BAL_P214[[#This Row],[H]])/BAL_P214[[#This Row],[IP]],0)</f>
        <v>1.7815283638068449</v>
      </c>
      <c r="BM120" s="28">
        <v>0</v>
      </c>
      <c r="BN120" s="90">
        <v>0</v>
      </c>
      <c r="BO120" s="28">
        <v>0</v>
      </c>
      <c r="BP120" s="74">
        <v>0</v>
      </c>
      <c r="BQ120" s="615">
        <v>7</v>
      </c>
    </row>
    <row r="121" spans="1:73">
      <c r="A121" s="651" t="s">
        <v>300</v>
      </c>
      <c r="B121" s="71" t="s">
        <v>212</v>
      </c>
      <c r="C121" s="87" t="s">
        <v>327</v>
      </c>
      <c r="D121" s="88">
        <f>IFERROR((BAL_P[[#This Row],[R]]*9)/BAL_P[[#This Row],[IP]],0)</f>
        <v>3.9700044111160122</v>
      </c>
      <c r="E121" s="28">
        <v>0</v>
      </c>
      <c r="F121" s="74">
        <v>0</v>
      </c>
      <c r="G121" s="28">
        <v>18</v>
      </c>
      <c r="H121" s="584">
        <v>22.67</v>
      </c>
      <c r="I121" s="28">
        <v>20</v>
      </c>
      <c r="J121" s="28">
        <v>10</v>
      </c>
      <c r="K121" s="28">
        <v>8</v>
      </c>
      <c r="L121" s="28">
        <v>22</v>
      </c>
      <c r="M121" s="28">
        <v>0</v>
      </c>
      <c r="N121" s="89">
        <f>IFERROR((BAL_P[[#This Row],[BB]]+BAL_P[[#This Row],[H]])/BAL_P[[#This Row],[IP]],0)</f>
        <v>1.2351124834583149</v>
      </c>
      <c r="O121" s="28">
        <v>0</v>
      </c>
      <c r="P121" s="90">
        <v>0</v>
      </c>
      <c r="Q121" s="28">
        <v>0</v>
      </c>
      <c r="R121" s="74">
        <v>0</v>
      </c>
      <c r="S121" s="615">
        <v>8</v>
      </c>
      <c r="Z121" s="651" t="s">
        <v>300</v>
      </c>
      <c r="AA121" s="71" t="s">
        <v>212</v>
      </c>
      <c r="AB121" s="87" t="s">
        <v>327</v>
      </c>
      <c r="AC121" s="88">
        <f>IFERROR((BAL_P301[[#This Row],[R]]*9)/BAL_P301[[#This Row],[IP]],0)</f>
        <v>4.5</v>
      </c>
      <c r="AD121" s="28">
        <v>0</v>
      </c>
      <c r="AE121" s="74">
        <v>0</v>
      </c>
      <c r="AF121" s="28">
        <v>10</v>
      </c>
      <c r="AG121" s="584">
        <v>16</v>
      </c>
      <c r="AH121" s="28">
        <v>21</v>
      </c>
      <c r="AI121" s="28">
        <v>8</v>
      </c>
      <c r="AJ121" s="28">
        <v>5</v>
      </c>
      <c r="AK121" s="28">
        <v>17</v>
      </c>
      <c r="AL121" s="28">
        <v>0</v>
      </c>
      <c r="AM121" s="89">
        <f>IFERROR((BAL_P301[[#This Row],[BB]]+BAL_P301[[#This Row],[H]])/BAL_P301[[#This Row],[IP]],0)</f>
        <v>1.625</v>
      </c>
      <c r="AN121" s="28">
        <v>0</v>
      </c>
      <c r="AO121" s="90">
        <v>0</v>
      </c>
      <c r="AP121" s="28">
        <v>0</v>
      </c>
      <c r="AQ121" s="74">
        <v>0</v>
      </c>
      <c r="AR121" s="615">
        <v>8</v>
      </c>
      <c r="AY121" s="651" t="s">
        <v>300</v>
      </c>
      <c r="AZ121" s="71" t="s">
        <v>212</v>
      </c>
      <c r="BA121" s="74" t="s">
        <v>326</v>
      </c>
      <c r="BB121" s="88">
        <f>IFERROR((BAL_P214[[#This Row],[R]]*9)/BAL_P214[[#This Row],[IP]],0)</f>
        <v>3.2727272727272729</v>
      </c>
      <c r="BC121" s="28">
        <v>2</v>
      </c>
      <c r="BD121" s="74">
        <v>1</v>
      </c>
      <c r="BE121" s="28">
        <v>19</v>
      </c>
      <c r="BF121" s="584">
        <v>22</v>
      </c>
      <c r="BG121" s="28">
        <v>16</v>
      </c>
      <c r="BH121" s="28">
        <v>8</v>
      </c>
      <c r="BI121" s="28">
        <v>3</v>
      </c>
      <c r="BJ121" s="28">
        <v>24</v>
      </c>
      <c r="BK121" s="28">
        <v>0</v>
      </c>
      <c r="BL121" s="347">
        <f>IFERROR((BAL_P214[[#This Row],[BB]]+BAL_P214[[#This Row],[H]])/BAL_P214[[#This Row],[IP]],0)</f>
        <v>0.86363636363636365</v>
      </c>
      <c r="BM121" s="28">
        <v>0</v>
      </c>
      <c r="BN121" s="90">
        <v>0</v>
      </c>
      <c r="BO121" s="28">
        <v>0</v>
      </c>
      <c r="BP121" s="74">
        <v>0</v>
      </c>
      <c r="BQ121" s="615">
        <v>8</v>
      </c>
    </row>
    <row r="122" spans="1:73">
      <c r="A122" s="651" t="s">
        <v>300</v>
      </c>
      <c r="B122" s="71" t="s">
        <v>215</v>
      </c>
      <c r="C122" s="87" t="s">
        <v>333</v>
      </c>
      <c r="D122" s="88">
        <f>IFERROR((BAL_P[[#This Row],[R]]*9)/BAL_P[[#This Row],[IP]],0)</f>
        <v>1.9061066007765621</v>
      </c>
      <c r="E122" s="28">
        <v>2</v>
      </c>
      <c r="F122" s="74">
        <v>1</v>
      </c>
      <c r="G122" s="28">
        <v>23</v>
      </c>
      <c r="H122" s="584">
        <v>28.33</v>
      </c>
      <c r="I122" s="28">
        <v>14</v>
      </c>
      <c r="J122" s="28">
        <v>6</v>
      </c>
      <c r="K122" s="28">
        <v>10</v>
      </c>
      <c r="L122" s="28">
        <v>40</v>
      </c>
      <c r="M122" s="28">
        <v>0</v>
      </c>
      <c r="N122" s="89">
        <f>IFERROR((BAL_P[[#This Row],[BB]]+BAL_P[[#This Row],[H]])/BAL_P[[#This Row],[IP]],0)</f>
        <v>0.84715848923402759</v>
      </c>
      <c r="O122" s="28">
        <v>0</v>
      </c>
      <c r="P122" s="90">
        <v>0</v>
      </c>
      <c r="Q122" s="28">
        <v>0</v>
      </c>
      <c r="R122" s="74">
        <v>0</v>
      </c>
      <c r="S122" s="615">
        <v>9</v>
      </c>
      <c r="Z122" s="651" t="s">
        <v>300</v>
      </c>
      <c r="AA122" s="71" t="s">
        <v>212</v>
      </c>
      <c r="AB122" s="87" t="s">
        <v>332</v>
      </c>
      <c r="AC122" s="88">
        <f>IFERROR((BAL_P301[[#This Row],[R]]*9)/BAL_P301[[#This Row],[IP]],0)</f>
        <v>3.068530514831231</v>
      </c>
      <c r="AD122" s="28">
        <v>2</v>
      </c>
      <c r="AE122" s="74">
        <v>1</v>
      </c>
      <c r="AF122" s="28">
        <v>23</v>
      </c>
      <c r="AG122" s="584">
        <v>29.33</v>
      </c>
      <c r="AH122" s="28">
        <v>22</v>
      </c>
      <c r="AI122" s="28">
        <v>10</v>
      </c>
      <c r="AJ122" s="28">
        <v>10</v>
      </c>
      <c r="AK122" s="28">
        <v>24</v>
      </c>
      <c r="AL122" s="28">
        <v>0</v>
      </c>
      <c r="AM122" s="89">
        <f>IFERROR((BAL_P301[[#This Row],[BB]]+BAL_P301[[#This Row],[H]])/BAL_P301[[#This Row],[IP]],0)</f>
        <v>1.0910330719399932</v>
      </c>
      <c r="AN122" s="28">
        <v>0</v>
      </c>
      <c r="AO122" s="90">
        <v>0</v>
      </c>
      <c r="AP122" s="28">
        <v>0</v>
      </c>
      <c r="AQ122" s="74">
        <v>0</v>
      </c>
      <c r="AR122" s="615">
        <v>9</v>
      </c>
      <c r="AY122" s="651" t="s">
        <v>300</v>
      </c>
      <c r="AZ122" s="71" t="s">
        <v>212</v>
      </c>
      <c r="BA122" s="74" t="s">
        <v>332</v>
      </c>
      <c r="BB122" s="88">
        <f>IFERROR((BAL_P214[[#This Row],[R]]*9)/BAL_P214[[#This Row],[IP]],0)</f>
        <v>3.6818181818181817</v>
      </c>
      <c r="BC122" s="28">
        <v>1</v>
      </c>
      <c r="BD122" s="74">
        <v>1</v>
      </c>
      <c r="BE122" s="28">
        <v>22</v>
      </c>
      <c r="BF122" s="584">
        <v>22</v>
      </c>
      <c r="BG122" s="28">
        <v>22</v>
      </c>
      <c r="BH122" s="28">
        <v>9</v>
      </c>
      <c r="BI122" s="28">
        <v>11</v>
      </c>
      <c r="BJ122" s="28">
        <v>20</v>
      </c>
      <c r="BK122" s="28">
        <v>0</v>
      </c>
      <c r="BL122" s="89">
        <f>IFERROR((BAL_P214[[#This Row],[BB]]+BAL_P214[[#This Row],[H]])/BAL_P214[[#This Row],[IP]],0)</f>
        <v>1.5</v>
      </c>
      <c r="BM122" s="28">
        <v>0</v>
      </c>
      <c r="BN122" s="90">
        <v>0</v>
      </c>
      <c r="BO122" s="28">
        <v>0</v>
      </c>
      <c r="BP122" s="74">
        <v>0</v>
      </c>
      <c r="BQ122" s="615">
        <v>9</v>
      </c>
    </row>
    <row r="123" spans="1:73" ht="17" thickBot="1">
      <c r="A123" s="651" t="s">
        <v>300</v>
      </c>
      <c r="B123" s="71" t="s">
        <v>212</v>
      </c>
      <c r="C123" s="74" t="s">
        <v>335</v>
      </c>
      <c r="D123" s="88">
        <f>IFERROR((BAL_P[[#This Row],[R]]*9)/BAL_P[[#This Row],[IP]],0)</f>
        <v>2.6996625421822271</v>
      </c>
      <c r="E123" s="28">
        <v>3</v>
      </c>
      <c r="F123" s="74">
        <v>2</v>
      </c>
      <c r="G123" s="76">
        <v>26</v>
      </c>
      <c r="H123" s="584">
        <v>26.67</v>
      </c>
      <c r="I123" s="28">
        <v>19</v>
      </c>
      <c r="J123" s="28">
        <v>8</v>
      </c>
      <c r="K123" s="28">
        <v>11</v>
      </c>
      <c r="L123" s="28">
        <v>20</v>
      </c>
      <c r="M123" s="28">
        <v>10</v>
      </c>
      <c r="N123" s="89">
        <f>IFERROR((BAL_P[[#This Row],[BB]]+BAL_P[[#This Row],[H]])/BAL_P[[#This Row],[IP]],0)</f>
        <v>1.124859392575928</v>
      </c>
      <c r="O123" s="28">
        <v>0</v>
      </c>
      <c r="P123" s="90">
        <v>0</v>
      </c>
      <c r="Q123" s="28">
        <v>0</v>
      </c>
      <c r="R123" s="74">
        <v>0</v>
      </c>
      <c r="S123" s="615">
        <v>10</v>
      </c>
      <c r="Z123" s="651" t="s">
        <v>300</v>
      </c>
      <c r="AA123" s="71" t="s">
        <v>212</v>
      </c>
      <c r="AB123" s="74" t="s">
        <v>335</v>
      </c>
      <c r="AC123" s="88">
        <f>IFERROR((BAL_P301[[#This Row],[R]]*9)/BAL_P301[[#This Row],[IP]],0)</f>
        <v>2.5113358911754444</v>
      </c>
      <c r="AD123" s="28">
        <v>4</v>
      </c>
      <c r="AE123" s="74">
        <v>1</v>
      </c>
      <c r="AF123" s="28">
        <v>27</v>
      </c>
      <c r="AG123" s="584">
        <v>28.67</v>
      </c>
      <c r="AH123" s="28">
        <v>23</v>
      </c>
      <c r="AI123" s="28">
        <v>8</v>
      </c>
      <c r="AJ123" s="28">
        <v>9</v>
      </c>
      <c r="AK123" s="28">
        <v>23</v>
      </c>
      <c r="AL123" s="28">
        <v>9</v>
      </c>
      <c r="AM123" s="89">
        <f>IFERROR((BAL_P301[[#This Row],[BB]]+BAL_P301[[#This Row],[H]])/BAL_P301[[#This Row],[IP]],0)</f>
        <v>1.1161492849668642</v>
      </c>
      <c r="AN123" s="28">
        <v>0</v>
      </c>
      <c r="AO123" s="90">
        <v>0</v>
      </c>
      <c r="AP123" s="28">
        <v>0</v>
      </c>
      <c r="AQ123" s="74">
        <v>0</v>
      </c>
      <c r="AR123" s="615">
        <v>10</v>
      </c>
      <c r="AY123" s="651" t="s">
        <v>300</v>
      </c>
      <c r="AZ123" s="71" t="s">
        <v>212</v>
      </c>
      <c r="BA123" s="74" t="s">
        <v>335</v>
      </c>
      <c r="BB123" s="88">
        <f>IFERROR((BAL_P214[[#This Row],[R]]*9)/BAL_P214[[#This Row],[IP]],0)</f>
        <v>4.0690505548705307</v>
      </c>
      <c r="BC123" s="28">
        <v>2</v>
      </c>
      <c r="BD123" s="74">
        <v>3</v>
      </c>
      <c r="BE123" s="28">
        <v>23</v>
      </c>
      <c r="BF123" s="584">
        <v>24.33</v>
      </c>
      <c r="BG123" s="28">
        <v>23</v>
      </c>
      <c r="BH123" s="28">
        <v>11</v>
      </c>
      <c r="BI123" s="28">
        <v>9</v>
      </c>
      <c r="BJ123" s="28">
        <v>23</v>
      </c>
      <c r="BK123" s="28">
        <v>7</v>
      </c>
      <c r="BL123" s="89">
        <f>IFERROR((BAL_P214[[#This Row],[BB]]+BAL_P214[[#This Row],[H]])/BAL_P214[[#This Row],[IP]],0)</f>
        <v>1.3152486642005756</v>
      </c>
      <c r="BM123" s="28">
        <v>0</v>
      </c>
      <c r="BN123" s="90">
        <v>0</v>
      </c>
      <c r="BO123" s="28">
        <v>0</v>
      </c>
      <c r="BP123" s="74">
        <v>0</v>
      </c>
      <c r="BQ123" s="615">
        <v>10</v>
      </c>
    </row>
    <row r="124" spans="1:73" ht="17" thickBot="1">
      <c r="A124" s="652"/>
      <c r="B124" s="653"/>
      <c r="C124" s="653" t="s">
        <v>195</v>
      </c>
      <c r="D124" s="665">
        <f>(J124*9)/H124</f>
        <v>4.2456427784525852</v>
      </c>
      <c r="E124" s="658">
        <f>SUBTOTAL(109,BAL_P[W])</f>
        <v>23</v>
      </c>
      <c r="F124" s="660">
        <f>SUBTOTAL(109,BAL_P[L])</f>
        <v>17</v>
      </c>
      <c r="G124" s="658"/>
      <c r="H124" s="666">
        <f>SUBTOTAL(109,BAL_P[IP])</f>
        <v>354.01000000000005</v>
      </c>
      <c r="I124" s="658">
        <f>SUBTOTAL(109,BAL_P[H])</f>
        <v>353</v>
      </c>
      <c r="J124" s="658">
        <f>SUBTOTAL(109,BAL_P[R])</f>
        <v>167</v>
      </c>
      <c r="K124" s="658">
        <f>SUBTOTAL(109,BAL_P[BB])</f>
        <v>135</v>
      </c>
      <c r="L124" s="658">
        <f>SUBTOTAL(109,BAL_P[K])</f>
        <v>341</v>
      </c>
      <c r="M124" s="658">
        <f>SUBTOTAL(109,BAL_P[SV])</f>
        <v>10</v>
      </c>
      <c r="N124" s="689">
        <f>(I124+K124)/H124</f>
        <v>1.3784921329905933</v>
      </c>
      <c r="O124" s="690">
        <f>SUBTOTAL(109,BAL_P[QS])</f>
        <v>21</v>
      </c>
      <c r="P124" s="669">
        <f>SUBTOTAL(109,BAL_P[UQ])</f>
        <v>8</v>
      </c>
      <c r="Q124" s="670">
        <f>SUBTOTAL(109,BAL_P[CG])</f>
        <v>0</v>
      </c>
      <c r="R124" s="671">
        <f>SUBTOTAL(109,BAL_P[SH])</f>
        <v>0</v>
      </c>
      <c r="S124" s="662"/>
      <c r="Z124" s="652"/>
      <c r="AA124" s="653"/>
      <c r="AB124" s="653" t="s">
        <v>195</v>
      </c>
      <c r="AC124" s="665">
        <f>(AI124*9)/AG124</f>
        <v>3.9972067039106145</v>
      </c>
      <c r="AD124" s="658">
        <f>SUBTOTAL(109,BAL_P301[W])</f>
        <v>23</v>
      </c>
      <c r="AE124" s="660">
        <f>SUBTOTAL(109,BAL_P301[L])</f>
        <v>17</v>
      </c>
      <c r="AF124" s="658"/>
      <c r="AG124" s="666">
        <f>SUBTOTAL(109,BAL_P301[IP])</f>
        <v>358</v>
      </c>
      <c r="AH124" s="658">
        <f>SUBTOTAL(109,BAL_P301[H])</f>
        <v>325</v>
      </c>
      <c r="AI124" s="658">
        <f>SUBTOTAL(109,BAL_P301[R])</f>
        <v>159</v>
      </c>
      <c r="AJ124" s="658">
        <f>SUBTOTAL(109,BAL_P301[BB])</f>
        <v>126</v>
      </c>
      <c r="AK124" s="658">
        <f>SUBTOTAL(109,BAL_P301[K])</f>
        <v>338</v>
      </c>
      <c r="AL124" s="658">
        <f>SUBTOTAL(109,BAL_P301[SV])</f>
        <v>9</v>
      </c>
      <c r="AM124" s="689">
        <f>(AH124+AJ124)/AG124</f>
        <v>1.2597765363128492</v>
      </c>
      <c r="AN124" s="690">
        <f>SUBTOTAL(109,BAL_P301[QS])</f>
        <v>24</v>
      </c>
      <c r="AO124" s="669">
        <f>SUBTOTAL(109,BAL_P301[UQ])</f>
        <v>14</v>
      </c>
      <c r="AP124" s="670">
        <f>SUBTOTAL(109,BAL_P301[CG])</f>
        <v>3</v>
      </c>
      <c r="AQ124" s="671">
        <f>SUBTOTAL(109,BAL_P301[SH])</f>
        <v>2</v>
      </c>
      <c r="AR124" s="662"/>
      <c r="AY124" s="652"/>
      <c r="AZ124" s="653"/>
      <c r="BA124" s="653" t="s">
        <v>195</v>
      </c>
      <c r="BB124" s="665">
        <f>IFERROR((BH124*9)/BF124,0)</f>
        <v>5.4052493286749632</v>
      </c>
      <c r="BC124" s="658">
        <f>SUM(BC114:BC123)</f>
        <v>14</v>
      </c>
      <c r="BD124" s="660">
        <f>SUM(BD114:BD123)</f>
        <v>26</v>
      </c>
      <c r="BE124" s="658"/>
      <c r="BF124" s="666">
        <f t="shared" ref="BF124:BK124" si="11">SUM(BF114:BF123)</f>
        <v>346.33</v>
      </c>
      <c r="BG124" s="658">
        <f t="shared" si="11"/>
        <v>382</v>
      </c>
      <c r="BH124" s="658">
        <f t="shared" si="11"/>
        <v>208</v>
      </c>
      <c r="BI124" s="658">
        <f t="shared" si="11"/>
        <v>167</v>
      </c>
      <c r="BJ124" s="658">
        <f t="shared" si="11"/>
        <v>319</v>
      </c>
      <c r="BK124" s="658">
        <f t="shared" si="11"/>
        <v>7</v>
      </c>
      <c r="BL124" s="689">
        <f>(BI124+BG124)/BF124</f>
        <v>1.5851933127364075</v>
      </c>
      <c r="BM124" s="690">
        <f>SUBTOTAL(109,BAL_P214[QS])</f>
        <v>14</v>
      </c>
      <c r="BN124" s="669">
        <f>SUBTOTAL(109,BAL_P214[UQ])</f>
        <v>4</v>
      </c>
      <c r="BO124" s="670">
        <f>SUM(BO114:BO123)</f>
        <v>1</v>
      </c>
      <c r="BP124" s="671">
        <f>SUM(BP114:BP123)</f>
        <v>1</v>
      </c>
      <c r="BQ124" s="662"/>
    </row>
    <row r="125" spans="1:73" ht="17" thickBot="1"/>
    <row r="126" spans="1:73" ht="24" thickBot="1">
      <c r="A126" s="1045" t="s">
        <v>336</v>
      </c>
      <c r="B126" s="1046"/>
      <c r="C126" s="1046"/>
      <c r="D126" s="1046"/>
      <c r="E126" s="1046"/>
      <c r="F126" s="1046"/>
      <c r="G126" s="1046"/>
      <c r="H126" s="1046"/>
      <c r="I126" s="1046"/>
      <c r="J126" s="1046"/>
      <c r="K126" s="1046"/>
      <c r="L126" s="1046"/>
      <c r="M126" s="1046"/>
      <c r="N126" s="1046"/>
      <c r="O126" s="1046"/>
      <c r="P126" s="1046"/>
      <c r="Q126" s="1046"/>
      <c r="R126" s="1046"/>
      <c r="S126" s="1046"/>
      <c r="T126" s="1046"/>
      <c r="U126" s="1046"/>
      <c r="V126" s="1046"/>
      <c r="W126" s="1047"/>
      <c r="Z126" s="1045" t="s">
        <v>337</v>
      </c>
      <c r="AA126" s="1046"/>
      <c r="AB126" s="1046"/>
      <c r="AC126" s="1046"/>
      <c r="AD126" s="1046"/>
      <c r="AE126" s="1046"/>
      <c r="AF126" s="1046"/>
      <c r="AG126" s="1046"/>
      <c r="AH126" s="1046"/>
      <c r="AI126" s="1046"/>
      <c r="AJ126" s="1046"/>
      <c r="AK126" s="1046"/>
      <c r="AL126" s="1046"/>
      <c r="AM126" s="1046"/>
      <c r="AN126" s="1046"/>
      <c r="AO126" s="1046"/>
      <c r="AP126" s="1046"/>
      <c r="AQ126" s="1046"/>
      <c r="AR126" s="1046"/>
      <c r="AS126" s="1046"/>
      <c r="AT126" s="1046"/>
      <c r="AU126" s="1046"/>
      <c r="AV126" s="1047"/>
      <c r="AY126" s="1045" t="s">
        <v>338</v>
      </c>
      <c r="AZ126" s="1046"/>
      <c r="BA126" s="1046"/>
      <c r="BB126" s="1046"/>
      <c r="BC126" s="1046"/>
      <c r="BD126" s="1046"/>
      <c r="BE126" s="1046"/>
      <c r="BF126" s="1046"/>
      <c r="BG126" s="1046"/>
      <c r="BH126" s="1046"/>
      <c r="BI126" s="1046"/>
      <c r="BJ126" s="1046"/>
      <c r="BK126" s="1046"/>
      <c r="BL126" s="1046"/>
      <c r="BM126" s="1046"/>
      <c r="BN126" s="1046"/>
      <c r="BO126" s="1046"/>
      <c r="BP126" s="1046"/>
      <c r="BQ126" s="1046"/>
      <c r="BR126" s="1046"/>
      <c r="BS126" s="1046"/>
      <c r="BT126" s="1046"/>
      <c r="BU126" s="1047"/>
    </row>
    <row r="127" spans="1:73" s="64" customFormat="1" ht="14" thickBot="1">
      <c r="A127" s="605" t="s">
        <v>143</v>
      </c>
      <c r="B127" s="606" t="s">
        <v>144</v>
      </c>
      <c r="C127" s="606" t="s">
        <v>145</v>
      </c>
      <c r="D127" s="606" t="s">
        <v>146</v>
      </c>
      <c r="E127" s="606" t="s">
        <v>147</v>
      </c>
      <c r="F127" s="606" t="s">
        <v>148</v>
      </c>
      <c r="G127" s="606" t="s">
        <v>149</v>
      </c>
      <c r="H127" s="606" t="s">
        <v>150</v>
      </c>
      <c r="I127" s="606" t="s">
        <v>151</v>
      </c>
      <c r="J127" s="606" t="s">
        <v>152</v>
      </c>
      <c r="K127" s="606" t="s">
        <v>153</v>
      </c>
      <c r="L127" s="606" t="s">
        <v>154</v>
      </c>
      <c r="M127" s="606" t="s">
        <v>155</v>
      </c>
      <c r="N127" s="606" t="s">
        <v>156</v>
      </c>
      <c r="O127" s="606" t="s">
        <v>157</v>
      </c>
      <c r="P127" s="606" t="s">
        <v>158</v>
      </c>
      <c r="Q127" s="606" t="s">
        <v>159</v>
      </c>
      <c r="R127" s="606" t="s">
        <v>160</v>
      </c>
      <c r="S127" s="606" t="s">
        <v>16</v>
      </c>
      <c r="T127" s="606" t="s">
        <v>161</v>
      </c>
      <c r="U127" s="606" t="s">
        <v>162</v>
      </c>
      <c r="V127" s="606" t="s">
        <v>163</v>
      </c>
      <c r="W127" s="607" t="s">
        <v>164</v>
      </c>
      <c r="Z127" s="605" t="s">
        <v>143</v>
      </c>
      <c r="AA127" s="606" t="s">
        <v>144</v>
      </c>
      <c r="AB127" s="606" t="s">
        <v>145</v>
      </c>
      <c r="AC127" s="606" t="s">
        <v>146</v>
      </c>
      <c r="AD127" s="606" t="s">
        <v>147</v>
      </c>
      <c r="AE127" s="606" t="s">
        <v>148</v>
      </c>
      <c r="AF127" s="606" t="s">
        <v>149</v>
      </c>
      <c r="AG127" s="606" t="s">
        <v>150</v>
      </c>
      <c r="AH127" s="606" t="s">
        <v>151</v>
      </c>
      <c r="AI127" s="606" t="s">
        <v>152</v>
      </c>
      <c r="AJ127" s="606" t="s">
        <v>153</v>
      </c>
      <c r="AK127" s="606" t="s">
        <v>154</v>
      </c>
      <c r="AL127" s="606" t="s">
        <v>155</v>
      </c>
      <c r="AM127" s="606" t="s">
        <v>156</v>
      </c>
      <c r="AN127" s="606" t="s">
        <v>157</v>
      </c>
      <c r="AO127" s="606" t="s">
        <v>158</v>
      </c>
      <c r="AP127" s="606" t="s">
        <v>159</v>
      </c>
      <c r="AQ127" s="606" t="s">
        <v>160</v>
      </c>
      <c r="AR127" s="606" t="s">
        <v>16</v>
      </c>
      <c r="AS127" s="606" t="s">
        <v>161</v>
      </c>
      <c r="AT127" s="606" t="s">
        <v>162</v>
      </c>
      <c r="AU127" s="606" t="s">
        <v>163</v>
      </c>
      <c r="AV127" s="607" t="s">
        <v>164</v>
      </c>
      <c r="AY127" s="605" t="s">
        <v>143</v>
      </c>
      <c r="AZ127" s="606" t="s">
        <v>144</v>
      </c>
      <c r="BA127" s="606" t="s">
        <v>145</v>
      </c>
      <c r="BB127" s="606" t="s">
        <v>146</v>
      </c>
      <c r="BC127" s="606" t="s">
        <v>147</v>
      </c>
      <c r="BD127" s="606" t="s">
        <v>148</v>
      </c>
      <c r="BE127" s="606" t="s">
        <v>149</v>
      </c>
      <c r="BF127" s="606" t="s">
        <v>150</v>
      </c>
      <c r="BG127" s="606" t="s">
        <v>151</v>
      </c>
      <c r="BH127" s="606" t="s">
        <v>152</v>
      </c>
      <c r="BI127" s="606" t="s">
        <v>153</v>
      </c>
      <c r="BJ127" s="606" t="s">
        <v>154</v>
      </c>
      <c r="BK127" s="606" t="s">
        <v>155</v>
      </c>
      <c r="BL127" s="606" t="s">
        <v>156</v>
      </c>
      <c r="BM127" s="606" t="s">
        <v>157</v>
      </c>
      <c r="BN127" s="606" t="s">
        <v>158</v>
      </c>
      <c r="BO127" s="606" t="s">
        <v>159</v>
      </c>
      <c r="BP127" s="606" t="s">
        <v>160</v>
      </c>
      <c r="BQ127" s="606" t="s">
        <v>16</v>
      </c>
      <c r="BR127" s="606" t="s">
        <v>161</v>
      </c>
      <c r="BS127" s="606" t="s">
        <v>162</v>
      </c>
      <c r="BT127" s="606" t="s">
        <v>163</v>
      </c>
      <c r="BU127" s="607" t="s">
        <v>164</v>
      </c>
    </row>
    <row r="128" spans="1:73">
      <c r="A128" s="650" t="s">
        <v>339</v>
      </c>
      <c r="B128" s="597" t="s">
        <v>179</v>
      </c>
      <c r="C128" s="597" t="s">
        <v>346</v>
      </c>
      <c r="D128" s="598">
        <f>IFERROR((TBR_H[[#This Row],[H]]/TBR_H[[#This Row],[AB]]),0)</f>
        <v>0.24409448818897639</v>
      </c>
      <c r="E128" s="598">
        <f>IFERROR((TBR_H[[#This Row],[H]]+TBR_H[[#This Row],[BB]])/(TBR_H[[#This Row],[BB]]+TBR_H[[#This Row],[AB]]),0)</f>
        <v>0.29927007299270075</v>
      </c>
      <c r="F128" s="599">
        <f>IFERROR(((TBR_H[[#This Row],[H]]-TBR_H[[#This Row],[2B]]-TBR_H[[#This Row],[3B]]-TBR_H[[#This Row],[HR]])+(TBR_H[[#This Row],[2B]]*2)+(TBR_H[[#This Row],[3B]]*3)+(TBR_H[[#This Row],[HR]]*4))/TBR_H[[#This Row],[AB]],0)</f>
        <v>0.51181102362204722</v>
      </c>
      <c r="G128" s="600">
        <v>34</v>
      </c>
      <c r="H128" s="600">
        <v>127</v>
      </c>
      <c r="I128" s="600">
        <v>17</v>
      </c>
      <c r="J128" s="600">
        <v>31</v>
      </c>
      <c r="K128" s="600">
        <v>7</v>
      </c>
      <c r="L128" s="600">
        <v>0</v>
      </c>
      <c r="M128" s="600">
        <v>9</v>
      </c>
      <c r="N128" s="600">
        <v>21</v>
      </c>
      <c r="O128" s="600">
        <v>10</v>
      </c>
      <c r="P128" s="604">
        <v>52</v>
      </c>
      <c r="Q128" s="600">
        <v>0</v>
      </c>
      <c r="R128" s="600">
        <v>0</v>
      </c>
      <c r="S128" s="604">
        <v>7</v>
      </c>
      <c r="T128" s="600">
        <f>IFERROR((TBR_H[[#This Row],[H]]-TBR_H[[#This Row],[2B]]-TBR_H[[#This Row],[3B]]-TBR_H[[#This Row],[HR]])+(TBR_H[[#This Row],[2B]]*2)+(TBR_H[[#This Row],[3B]]*3)+(TBR_H[[#This Row],[HR]]*4),0)</f>
        <v>65</v>
      </c>
      <c r="U128" s="598">
        <f>TBR_H[[#This Row],[OBP]]+TBR_H[[#This Row],[SLG]]</f>
        <v>0.81108109661474792</v>
      </c>
      <c r="V128" s="604">
        <v>1</v>
      </c>
      <c r="W128" s="614">
        <v>1</v>
      </c>
      <c r="Z128" s="650" t="s">
        <v>339</v>
      </c>
      <c r="AA128" s="597" t="s">
        <v>179</v>
      </c>
      <c r="AB128" s="597" t="s">
        <v>346</v>
      </c>
      <c r="AC128" s="598">
        <f>IFERROR((TBR_H303[[#This Row],[H]]/TBR_H303[[#This Row],[AB]]),0)</f>
        <v>0.18181818181818182</v>
      </c>
      <c r="AD128" s="598">
        <f>IFERROR((TBR_H303[[#This Row],[H]]+TBR_H303[[#This Row],[BB]])/(TBR_H303[[#This Row],[BB]]+TBR_H303[[#This Row],[AB]]),0)</f>
        <v>0.23026315789473684</v>
      </c>
      <c r="AE128" s="599">
        <f>IFERROR(((TBR_H303[[#This Row],[H]]-TBR_H303[[#This Row],[2B]]-TBR_H303[[#This Row],[3B]]-TBR_H303[[#This Row],[HR]])+(TBR_H303[[#This Row],[2B]]*2)+(TBR_H303[[#This Row],[3B]]*3)+(TBR_H303[[#This Row],[HR]]*4))/TBR_H303[[#This Row],[AB]],0)</f>
        <v>0.30769230769230771</v>
      </c>
      <c r="AF128" s="600">
        <v>40</v>
      </c>
      <c r="AG128" s="600">
        <v>143</v>
      </c>
      <c r="AH128" s="600">
        <v>9</v>
      </c>
      <c r="AI128" s="600">
        <v>26</v>
      </c>
      <c r="AJ128" s="600">
        <v>6</v>
      </c>
      <c r="AK128" s="600">
        <v>0</v>
      </c>
      <c r="AL128" s="600">
        <v>4</v>
      </c>
      <c r="AM128" s="600">
        <v>10</v>
      </c>
      <c r="AN128" s="600">
        <v>9</v>
      </c>
      <c r="AO128" s="632">
        <v>60</v>
      </c>
      <c r="AP128" s="600">
        <v>0</v>
      </c>
      <c r="AQ128" s="600">
        <v>0</v>
      </c>
      <c r="AR128" s="604">
        <v>3</v>
      </c>
      <c r="AS128" s="600">
        <f>IFERROR((TBR_H303[[#This Row],[H]]-TBR_H303[[#This Row],[2B]]-TBR_H303[[#This Row],[3B]]-TBR_H303[[#This Row],[HR]])+(TBR_H303[[#This Row],[2B]]*2)+(TBR_H303[[#This Row],[3B]]*3)+(TBR_H303[[#This Row],[HR]]*4),0)</f>
        <v>44</v>
      </c>
      <c r="AT128" s="598">
        <f>TBR_H303[[#This Row],[OBP]]+TBR_H303[[#This Row],[SLG]]</f>
        <v>0.53795546558704455</v>
      </c>
      <c r="AU128" s="604">
        <v>0</v>
      </c>
      <c r="AV128" s="614">
        <v>1</v>
      </c>
      <c r="AY128" s="650" t="s">
        <v>339</v>
      </c>
      <c r="AZ128" s="597" t="s">
        <v>179</v>
      </c>
      <c r="BA128" s="597" t="s">
        <v>346</v>
      </c>
      <c r="BB128" s="598">
        <f>IFERROR(TBR_H216[[#This Row],[H]]/TBR_H216[[#This Row],[AB]],0)</f>
        <v>0.21052631578947367</v>
      </c>
      <c r="BC128" s="598">
        <f>IFERROR((TBR_H216[[#This Row],[BB]]+TBR_H216[[#This Row],[H]])/(TBR_H216[[#This Row],[AB]]+TBR_H216[[#This Row],[BB]]),0)</f>
        <v>0.26573426573426573</v>
      </c>
      <c r="BD128" s="599">
        <f>IFERROR(((TBR_H216[[#This Row],[H]]-TBR_H216[[#This Row],[2B]]-TBR_H216[[#This Row],[3B]]-TBR_H216[[#This Row],[HR]])+(TBR_H216[[#This Row],[2B]]*2)+(TBR_H216[[#This Row],[3B]]*3)+(TBR_H216[[#This Row],[HR]]*4))/TBR_H216[[#This Row],[AB]],0)</f>
        <v>0.39097744360902253</v>
      </c>
      <c r="BE128" s="600">
        <v>38</v>
      </c>
      <c r="BF128" s="600">
        <v>133</v>
      </c>
      <c r="BG128" s="600">
        <v>12</v>
      </c>
      <c r="BH128" s="600">
        <v>28</v>
      </c>
      <c r="BI128" s="600">
        <v>6</v>
      </c>
      <c r="BJ128" s="600">
        <v>0</v>
      </c>
      <c r="BK128" s="600">
        <v>6</v>
      </c>
      <c r="BL128" s="600">
        <v>17</v>
      </c>
      <c r="BM128" s="600">
        <v>10</v>
      </c>
      <c r="BN128" s="604">
        <v>57</v>
      </c>
      <c r="BO128" s="600">
        <v>0</v>
      </c>
      <c r="BP128" s="600">
        <v>0</v>
      </c>
      <c r="BQ128" s="604">
        <v>7</v>
      </c>
      <c r="BR128" s="600">
        <f t="shared" ref="BR128:BR141" si="12">IFERROR((BH128-BI128-BJ128-BK128)+(BI128*2)+(BJ128*3)+(BK128*4),0)</f>
        <v>52</v>
      </c>
      <c r="BS128" s="598">
        <f>IFERROR(TBR_H216[[#This Row],[OBP]]+TBR_H216[[#This Row],[SLG]],0)</f>
        <v>0.65671170934328826</v>
      </c>
      <c r="BT128" s="604">
        <v>2</v>
      </c>
      <c r="BU128" s="614">
        <v>1</v>
      </c>
    </row>
    <row r="129" spans="1:73">
      <c r="A129" s="651" t="s">
        <v>339</v>
      </c>
      <c r="B129" s="71" t="s">
        <v>349</v>
      </c>
      <c r="C129" s="71" t="s">
        <v>350</v>
      </c>
      <c r="D129" s="72">
        <f>IFERROR((TBR_H[[#This Row],[H]]/TBR_H[[#This Row],[AB]]),0)</f>
        <v>0.23972602739726026</v>
      </c>
      <c r="E129" s="72">
        <f>IFERROR((TBR_H[[#This Row],[H]]+TBR_H[[#This Row],[BB]])/(TBR_H[[#This Row],[BB]]+TBR_H[[#This Row],[AB]]),0)</f>
        <v>0.2929936305732484</v>
      </c>
      <c r="F129" s="73">
        <f>IFERROR(((TBR_H[[#This Row],[H]]-TBR_H[[#This Row],[2B]]-TBR_H[[#This Row],[3B]]-TBR_H[[#This Row],[HR]])+(TBR_H[[#This Row],[2B]]*2)+(TBR_H[[#This Row],[3B]]*3)+(TBR_H[[#This Row],[HR]]*4))/TBR_H[[#This Row],[AB]],0)</f>
        <v>0.32191780821917809</v>
      </c>
      <c r="G129" s="28">
        <v>39</v>
      </c>
      <c r="H129" s="28">
        <v>146</v>
      </c>
      <c r="I129" s="28">
        <v>17</v>
      </c>
      <c r="J129" s="28">
        <v>35</v>
      </c>
      <c r="K129" s="28">
        <v>6</v>
      </c>
      <c r="L129" s="28">
        <v>0</v>
      </c>
      <c r="M129" s="28">
        <v>2</v>
      </c>
      <c r="N129" s="28">
        <v>8</v>
      </c>
      <c r="O129" s="28">
        <v>11</v>
      </c>
      <c r="P129" s="74">
        <v>37</v>
      </c>
      <c r="Q129" s="28">
        <v>0</v>
      </c>
      <c r="R129" s="28">
        <v>2</v>
      </c>
      <c r="S129" s="74">
        <v>17</v>
      </c>
      <c r="T129" s="28">
        <f>IFERROR((TBR_H[[#This Row],[H]]-TBR_H[[#This Row],[2B]]-TBR_H[[#This Row],[3B]]-TBR_H[[#This Row],[HR]])+(TBR_H[[#This Row],[2B]]*2)+(TBR_H[[#This Row],[3B]]*3)+(TBR_H[[#This Row],[HR]]*4),0)</f>
        <v>47</v>
      </c>
      <c r="U129" s="72">
        <f>TBR_H[[#This Row],[OBP]]+TBR_H[[#This Row],[SLG]]</f>
        <v>0.61491143879242649</v>
      </c>
      <c r="V129" s="74">
        <v>0</v>
      </c>
      <c r="W129" s="615">
        <v>2</v>
      </c>
      <c r="Z129" s="651" t="s">
        <v>339</v>
      </c>
      <c r="AA129" s="71" t="s">
        <v>154</v>
      </c>
      <c r="AB129" s="71" t="s">
        <v>348</v>
      </c>
      <c r="AC129" s="72">
        <f>IFERROR((TBR_H303[[#This Row],[H]]/TBR_H303[[#This Row],[AB]]),0)</f>
        <v>0.19607843137254902</v>
      </c>
      <c r="AD129" s="72">
        <f>IFERROR((TBR_H303[[#This Row],[H]]+TBR_H303[[#This Row],[BB]])/(TBR_H303[[#This Row],[BB]]+TBR_H303[[#This Row],[AB]]),0)</f>
        <v>0.32044198895027626</v>
      </c>
      <c r="AE129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0.33986928104575165</v>
      </c>
      <c r="AF129" s="28">
        <v>40</v>
      </c>
      <c r="AG129" s="28">
        <v>153</v>
      </c>
      <c r="AH129" s="28">
        <v>22</v>
      </c>
      <c r="AI129" s="28">
        <v>30</v>
      </c>
      <c r="AJ129" s="28">
        <v>7</v>
      </c>
      <c r="AK129" s="28">
        <v>0</v>
      </c>
      <c r="AL129" s="28">
        <v>5</v>
      </c>
      <c r="AM129" s="28">
        <v>12</v>
      </c>
      <c r="AN129" s="28">
        <v>28</v>
      </c>
      <c r="AO129" s="74">
        <v>36</v>
      </c>
      <c r="AP129" s="28">
        <v>0</v>
      </c>
      <c r="AQ129" s="28">
        <v>2</v>
      </c>
      <c r="AR129" s="74">
        <v>3</v>
      </c>
      <c r="AS129" s="28">
        <f>IFERROR((TBR_H303[[#This Row],[H]]-TBR_H303[[#This Row],[2B]]-TBR_H303[[#This Row],[3B]]-TBR_H303[[#This Row],[HR]])+(TBR_H303[[#This Row],[2B]]*2)+(TBR_H303[[#This Row],[3B]]*3)+(TBR_H303[[#This Row],[HR]]*4),0)</f>
        <v>52</v>
      </c>
      <c r="AT129" s="72">
        <f>TBR_H303[[#This Row],[OBP]]+TBR_H303[[#This Row],[SLG]]</f>
        <v>0.66031126999602785</v>
      </c>
      <c r="AU129" s="74">
        <v>1</v>
      </c>
      <c r="AV129" s="615">
        <v>2</v>
      </c>
      <c r="AY129" s="651" t="s">
        <v>339</v>
      </c>
      <c r="AZ129" s="71" t="s">
        <v>154</v>
      </c>
      <c r="BA129" s="71" t="s">
        <v>352</v>
      </c>
      <c r="BB129" s="72">
        <f>IFERROR(TBR_H216[[#This Row],[H]]/TBR_H216[[#This Row],[AB]],0)</f>
        <v>0.20792079207920791</v>
      </c>
      <c r="BC129" s="72">
        <f>IFERROR((TBR_H216[[#This Row],[BB]]+TBR_H216[[#This Row],[H]])/(TBR_H216[[#This Row],[AB]]+TBR_H216[[#This Row],[BB]]),0)</f>
        <v>0.27272727272727271</v>
      </c>
      <c r="BD129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0.24752475247524752</v>
      </c>
      <c r="BE129" s="28">
        <v>31</v>
      </c>
      <c r="BF129" s="28">
        <v>101</v>
      </c>
      <c r="BG129" s="28">
        <v>12</v>
      </c>
      <c r="BH129" s="28">
        <v>21</v>
      </c>
      <c r="BI129" s="28">
        <v>4</v>
      </c>
      <c r="BJ129" s="28">
        <v>0</v>
      </c>
      <c r="BK129" s="28">
        <v>0</v>
      </c>
      <c r="BL129" s="28">
        <v>7</v>
      </c>
      <c r="BM129" s="28">
        <v>9</v>
      </c>
      <c r="BN129" s="74">
        <v>29</v>
      </c>
      <c r="BO129" s="28">
        <v>0</v>
      </c>
      <c r="BP129" s="28">
        <v>1</v>
      </c>
      <c r="BQ129" s="74">
        <v>6</v>
      </c>
      <c r="BR129" s="28">
        <f t="shared" si="12"/>
        <v>25</v>
      </c>
      <c r="BS129" s="72">
        <f>IFERROR(TBR_H216[[#This Row],[OBP]]+TBR_H216[[#This Row],[SLG]],0)</f>
        <v>0.52025202520252023</v>
      </c>
      <c r="BT129" s="74">
        <v>0</v>
      </c>
      <c r="BU129" s="615">
        <v>2</v>
      </c>
    </row>
    <row r="130" spans="1:73">
      <c r="A130" s="651" t="s">
        <v>339</v>
      </c>
      <c r="B130" s="71" t="s">
        <v>172</v>
      </c>
      <c r="C130" s="71" t="s">
        <v>351</v>
      </c>
      <c r="D130" s="72">
        <f>IFERROR((TBR_H[[#This Row],[H]]/TBR_H[[#This Row],[AB]]),0)</f>
        <v>0.19852941176470587</v>
      </c>
      <c r="E130" s="72">
        <f>IFERROR((TBR_H[[#This Row],[H]]+TBR_H[[#This Row],[BB]])/(TBR_H[[#This Row],[BB]]+TBR_H[[#This Row],[AB]]),0)</f>
        <v>0.27333333333333332</v>
      </c>
      <c r="F130" s="73">
        <f>IFERROR(((TBR_H[[#This Row],[H]]-TBR_H[[#This Row],[2B]]-TBR_H[[#This Row],[3B]]-TBR_H[[#This Row],[HR]])+(TBR_H[[#This Row],[2B]]*2)+(TBR_H[[#This Row],[3B]]*3)+(TBR_H[[#This Row],[HR]]*4))/TBR_H[[#This Row],[AB]],0)</f>
        <v>0.33088235294117646</v>
      </c>
      <c r="G130" s="28">
        <v>40</v>
      </c>
      <c r="H130" s="28">
        <v>136</v>
      </c>
      <c r="I130" s="28">
        <v>13</v>
      </c>
      <c r="J130" s="28">
        <v>27</v>
      </c>
      <c r="K130" s="28">
        <v>9</v>
      </c>
      <c r="L130" s="28">
        <v>0</v>
      </c>
      <c r="M130" s="28">
        <v>3</v>
      </c>
      <c r="N130" s="28">
        <v>16</v>
      </c>
      <c r="O130" s="28">
        <v>14</v>
      </c>
      <c r="P130" s="74">
        <v>41</v>
      </c>
      <c r="Q130" s="28">
        <v>0</v>
      </c>
      <c r="R130" s="28">
        <v>0</v>
      </c>
      <c r="S130" s="74">
        <v>5</v>
      </c>
      <c r="T130" s="28">
        <f>IFERROR((TBR_H[[#This Row],[H]]-TBR_H[[#This Row],[2B]]-TBR_H[[#This Row],[3B]]-TBR_H[[#This Row],[HR]])+(TBR_H[[#This Row],[2B]]*2)+(TBR_H[[#This Row],[3B]]*3)+(TBR_H[[#This Row],[HR]]*4),0)</f>
        <v>45</v>
      </c>
      <c r="U130" s="72">
        <f>TBR_H[[#This Row],[OBP]]+TBR_H[[#This Row],[SLG]]</f>
        <v>0.60421568627450983</v>
      </c>
      <c r="V130" s="74">
        <v>1</v>
      </c>
      <c r="W130" s="615">
        <v>3</v>
      </c>
      <c r="Z130" s="651" t="s">
        <v>339</v>
      </c>
      <c r="AA130" s="71" t="s">
        <v>172</v>
      </c>
      <c r="AB130" s="71" t="s">
        <v>352</v>
      </c>
      <c r="AC130" s="72">
        <f>IFERROR((TBR_H303[[#This Row],[H]]/TBR_H303[[#This Row],[AB]]),0)</f>
        <v>0.27906976744186046</v>
      </c>
      <c r="AD130" s="72">
        <f>IFERROR((TBR_H303[[#This Row],[H]]+TBR_H303[[#This Row],[BB]])/(TBR_H303[[#This Row],[BB]]+TBR_H303[[#This Row],[AB]]),0)</f>
        <v>0.29545454545454547</v>
      </c>
      <c r="AE130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0.41860465116279072</v>
      </c>
      <c r="AF130" s="28">
        <v>21</v>
      </c>
      <c r="AG130" s="28">
        <v>86</v>
      </c>
      <c r="AH130" s="28">
        <v>5</v>
      </c>
      <c r="AI130" s="28">
        <v>24</v>
      </c>
      <c r="AJ130" s="28">
        <v>7</v>
      </c>
      <c r="AK130" s="28">
        <v>1</v>
      </c>
      <c r="AL130" s="28">
        <v>1</v>
      </c>
      <c r="AM130" s="28">
        <v>7</v>
      </c>
      <c r="AN130" s="28">
        <v>2</v>
      </c>
      <c r="AO130" s="74">
        <v>17</v>
      </c>
      <c r="AP130" s="28">
        <v>0</v>
      </c>
      <c r="AQ130" s="28">
        <v>3</v>
      </c>
      <c r="AR130" s="74">
        <v>11</v>
      </c>
      <c r="AS130" s="28">
        <f>IFERROR((TBR_H303[[#This Row],[H]]-TBR_H303[[#This Row],[2B]]-TBR_H303[[#This Row],[3B]]-TBR_H303[[#This Row],[HR]])+(TBR_H303[[#This Row],[2B]]*2)+(TBR_H303[[#This Row],[3B]]*3)+(TBR_H303[[#This Row],[HR]]*4),0)</f>
        <v>36</v>
      </c>
      <c r="AT130" s="72">
        <f>TBR_H303[[#This Row],[OBP]]+TBR_H303[[#This Row],[SLG]]</f>
        <v>0.71405919661733619</v>
      </c>
      <c r="AU130" s="74">
        <v>0</v>
      </c>
      <c r="AV130" s="615">
        <v>3</v>
      </c>
      <c r="AY130" s="651" t="s">
        <v>339</v>
      </c>
      <c r="AZ130" s="71" t="s">
        <v>172</v>
      </c>
      <c r="BA130" s="71" t="s">
        <v>345</v>
      </c>
      <c r="BB130" s="72">
        <f>IFERROR(TBR_H216[[#This Row],[H]]/TBR_H216[[#This Row],[AB]],0)</f>
        <v>0.29447852760736198</v>
      </c>
      <c r="BC130" s="72">
        <f>IFERROR((TBR_H216[[#This Row],[BB]]+TBR_H216[[#This Row],[H]])/(TBR_H216[[#This Row],[AB]]+TBR_H216[[#This Row],[BB]]),0)</f>
        <v>0.3539325842696629</v>
      </c>
      <c r="BD130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0.44785276073619634</v>
      </c>
      <c r="BE130" s="28">
        <v>40</v>
      </c>
      <c r="BF130" s="28">
        <v>163</v>
      </c>
      <c r="BG130" s="28">
        <v>27</v>
      </c>
      <c r="BH130" s="28">
        <v>48</v>
      </c>
      <c r="BI130" s="28">
        <v>9</v>
      </c>
      <c r="BJ130" s="28">
        <v>2</v>
      </c>
      <c r="BK130" s="28">
        <v>4</v>
      </c>
      <c r="BL130" s="28">
        <v>16</v>
      </c>
      <c r="BM130" s="28">
        <v>15</v>
      </c>
      <c r="BN130" s="74">
        <v>22</v>
      </c>
      <c r="BO130" s="28">
        <v>0</v>
      </c>
      <c r="BP130" s="28">
        <v>0</v>
      </c>
      <c r="BQ130" s="74">
        <v>8</v>
      </c>
      <c r="BR130" s="28">
        <f t="shared" si="12"/>
        <v>73</v>
      </c>
      <c r="BS130" s="72">
        <f>IFERROR(TBR_H216[[#This Row],[OBP]]+TBR_H216[[#This Row],[SLG]],0)</f>
        <v>0.80178534500585918</v>
      </c>
      <c r="BT130" s="74">
        <v>1</v>
      </c>
      <c r="BU130" s="615">
        <v>3</v>
      </c>
    </row>
    <row r="131" spans="1:73">
      <c r="A131" s="651" t="s">
        <v>339</v>
      </c>
      <c r="B131" s="71" t="s">
        <v>153</v>
      </c>
      <c r="C131" s="71" t="s">
        <v>343</v>
      </c>
      <c r="D131" s="72">
        <f>IFERROR((TBR_H[[#This Row],[H]]/TBR_H[[#This Row],[AB]]),0)</f>
        <v>0.25170068027210885</v>
      </c>
      <c r="E131" s="72">
        <f>IFERROR((TBR_H[[#This Row],[H]]+TBR_H[[#This Row],[BB]])/(TBR_H[[#This Row],[BB]]+TBR_H[[#This Row],[AB]]),0)</f>
        <v>0.32515337423312884</v>
      </c>
      <c r="F131" s="73">
        <f>IFERROR(((TBR_H[[#This Row],[H]]-TBR_H[[#This Row],[2B]]-TBR_H[[#This Row],[3B]]-TBR_H[[#This Row],[HR]])+(TBR_H[[#This Row],[2B]]*2)+(TBR_H[[#This Row],[3B]]*3)+(TBR_H[[#This Row],[HR]]*4))/TBR_H[[#This Row],[AB]],0)</f>
        <v>0.47619047619047616</v>
      </c>
      <c r="G131" s="28">
        <v>38</v>
      </c>
      <c r="H131" s="28">
        <v>147</v>
      </c>
      <c r="I131" s="28">
        <v>22</v>
      </c>
      <c r="J131" s="28">
        <v>37</v>
      </c>
      <c r="K131" s="28">
        <v>7</v>
      </c>
      <c r="L131" s="28">
        <v>1</v>
      </c>
      <c r="M131" s="28">
        <v>8</v>
      </c>
      <c r="N131" s="28">
        <v>21</v>
      </c>
      <c r="O131" s="28">
        <v>16</v>
      </c>
      <c r="P131" s="74">
        <v>54</v>
      </c>
      <c r="Q131" s="28">
        <v>0</v>
      </c>
      <c r="R131" s="28">
        <v>3</v>
      </c>
      <c r="S131" s="74">
        <v>8</v>
      </c>
      <c r="T131" s="28">
        <f>IFERROR((TBR_H[[#This Row],[H]]-TBR_H[[#This Row],[2B]]-TBR_H[[#This Row],[3B]]-TBR_H[[#This Row],[HR]])+(TBR_H[[#This Row],[2B]]*2)+(TBR_H[[#This Row],[3B]]*3)+(TBR_H[[#This Row],[HR]]*4),0)</f>
        <v>70</v>
      </c>
      <c r="U131" s="72">
        <f>TBR_H[[#This Row],[OBP]]+TBR_H[[#This Row],[SLG]]</f>
        <v>0.80134385042360501</v>
      </c>
      <c r="V131" s="74">
        <v>3</v>
      </c>
      <c r="W131" s="615">
        <v>4</v>
      </c>
      <c r="Z131" s="651" t="s">
        <v>339</v>
      </c>
      <c r="AA131" s="345" t="s">
        <v>153</v>
      </c>
      <c r="AB131" s="71" t="s">
        <v>343</v>
      </c>
      <c r="AC131" s="72">
        <f>IFERROR((TBR_H303[[#This Row],[H]]/TBR_H303[[#This Row],[AB]]),0)</f>
        <v>0.2361111111111111</v>
      </c>
      <c r="AD131" s="72">
        <f>IFERROR((TBR_H303[[#This Row],[H]]+TBR_H303[[#This Row],[BB]])/(TBR_H303[[#This Row],[BB]]+TBR_H303[[#This Row],[AB]]),0)</f>
        <v>0.34911242603550297</v>
      </c>
      <c r="AE131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0.56944444444444442</v>
      </c>
      <c r="AF131" s="28">
        <v>40</v>
      </c>
      <c r="AG131" s="28">
        <v>144</v>
      </c>
      <c r="AH131" s="28">
        <v>26</v>
      </c>
      <c r="AI131" s="28">
        <v>34</v>
      </c>
      <c r="AJ131" s="28">
        <v>8</v>
      </c>
      <c r="AK131" s="28">
        <v>2</v>
      </c>
      <c r="AL131" s="28">
        <v>12</v>
      </c>
      <c r="AM131" s="28">
        <v>32</v>
      </c>
      <c r="AN131" s="28">
        <v>25</v>
      </c>
      <c r="AO131" s="74">
        <v>56</v>
      </c>
      <c r="AP131" s="28">
        <v>0</v>
      </c>
      <c r="AQ131" s="28">
        <v>3</v>
      </c>
      <c r="AR131" s="74">
        <v>5</v>
      </c>
      <c r="AS131" s="28">
        <f>IFERROR((TBR_H303[[#This Row],[H]]-TBR_H303[[#This Row],[2B]]-TBR_H303[[#This Row],[3B]]-TBR_H303[[#This Row],[HR]])+(TBR_H303[[#This Row],[2B]]*2)+(TBR_H303[[#This Row],[3B]]*3)+(TBR_H303[[#This Row],[HR]]*4),0)</f>
        <v>82</v>
      </c>
      <c r="AT131" s="72">
        <f>TBR_H303[[#This Row],[OBP]]+TBR_H303[[#This Row],[SLG]]</f>
        <v>0.91855687047994738</v>
      </c>
      <c r="AU131" s="74">
        <v>5</v>
      </c>
      <c r="AV131" s="615">
        <v>4</v>
      </c>
      <c r="AY131" s="651" t="s">
        <v>339</v>
      </c>
      <c r="AZ131" s="71" t="s">
        <v>153</v>
      </c>
      <c r="BA131" s="71" t="s">
        <v>343</v>
      </c>
      <c r="BB131" s="72">
        <f>IFERROR(TBR_H216[[#This Row],[H]]/TBR_H216[[#This Row],[AB]],0)</f>
        <v>0.25454545454545452</v>
      </c>
      <c r="BC131" s="72">
        <f>IFERROR((TBR_H216[[#This Row],[BB]]+TBR_H216[[#This Row],[H]])/(TBR_H216[[#This Row],[AB]]+TBR_H216[[#This Row],[BB]]),0)</f>
        <v>0.32786885245901637</v>
      </c>
      <c r="BD131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0.41818181818181815</v>
      </c>
      <c r="BE131" s="28">
        <v>35</v>
      </c>
      <c r="BF131" s="28">
        <v>110</v>
      </c>
      <c r="BG131" s="28">
        <v>13</v>
      </c>
      <c r="BH131" s="28">
        <v>28</v>
      </c>
      <c r="BI131" s="28">
        <v>3</v>
      </c>
      <c r="BJ131" s="28">
        <v>0</v>
      </c>
      <c r="BK131" s="28">
        <v>5</v>
      </c>
      <c r="BL131" s="28">
        <v>16</v>
      </c>
      <c r="BM131" s="28">
        <v>12</v>
      </c>
      <c r="BN131" s="74">
        <v>44</v>
      </c>
      <c r="BO131" s="28">
        <v>0</v>
      </c>
      <c r="BP131" s="28">
        <v>3</v>
      </c>
      <c r="BQ131" s="74">
        <v>5</v>
      </c>
      <c r="BR131" s="28">
        <f t="shared" si="12"/>
        <v>46</v>
      </c>
      <c r="BS131" s="72">
        <f>IFERROR(TBR_H216[[#This Row],[OBP]]+TBR_H216[[#This Row],[SLG]],0)</f>
        <v>0.74605067064083452</v>
      </c>
      <c r="BT131" s="74">
        <v>1</v>
      </c>
      <c r="BU131" s="615">
        <v>4</v>
      </c>
    </row>
    <row r="132" spans="1:73">
      <c r="A132" s="651" t="s">
        <v>339</v>
      </c>
      <c r="B132" s="71" t="s">
        <v>177</v>
      </c>
      <c r="C132" s="71" t="s">
        <v>348</v>
      </c>
      <c r="D132" s="72">
        <f>IFERROR((TBR_H[[#This Row],[H]]/TBR_H[[#This Row],[AB]]),0)</f>
        <v>0.24161073825503357</v>
      </c>
      <c r="E132" s="72">
        <f>IFERROR((TBR_H[[#This Row],[H]]+TBR_H[[#This Row],[BB]])/(TBR_H[[#This Row],[BB]]+TBR_H[[#This Row],[AB]]),0)</f>
        <v>0.33918128654970758</v>
      </c>
      <c r="F132" s="73">
        <f>IFERROR(((TBR_H[[#This Row],[H]]-TBR_H[[#This Row],[2B]]-TBR_H[[#This Row],[3B]]-TBR_H[[#This Row],[HR]])+(TBR_H[[#This Row],[2B]]*2)+(TBR_H[[#This Row],[3B]]*3)+(TBR_H[[#This Row],[HR]]*4))/TBR_H[[#This Row],[AB]],0)</f>
        <v>0.34899328859060402</v>
      </c>
      <c r="G132" s="28">
        <v>37</v>
      </c>
      <c r="H132" s="28">
        <v>149</v>
      </c>
      <c r="I132" s="28">
        <v>21</v>
      </c>
      <c r="J132" s="28">
        <v>36</v>
      </c>
      <c r="K132" s="28">
        <v>4</v>
      </c>
      <c r="L132" s="28">
        <v>0</v>
      </c>
      <c r="M132" s="28">
        <v>4</v>
      </c>
      <c r="N132" s="28">
        <v>11</v>
      </c>
      <c r="O132" s="28">
        <v>22</v>
      </c>
      <c r="P132" s="74">
        <v>28</v>
      </c>
      <c r="Q132" s="28">
        <v>0</v>
      </c>
      <c r="R132" s="28">
        <v>2</v>
      </c>
      <c r="S132" s="74">
        <v>6</v>
      </c>
      <c r="T132" s="28">
        <f>IFERROR((TBR_H[[#This Row],[H]]-TBR_H[[#This Row],[2B]]-TBR_H[[#This Row],[3B]]-TBR_H[[#This Row],[HR]])+(TBR_H[[#This Row],[2B]]*2)+(TBR_H[[#This Row],[3B]]*3)+(TBR_H[[#This Row],[HR]]*4),0)</f>
        <v>52</v>
      </c>
      <c r="U132" s="72">
        <f>TBR_H[[#This Row],[OBP]]+TBR_H[[#This Row],[SLG]]</f>
        <v>0.68817457514031166</v>
      </c>
      <c r="V132" s="74">
        <v>0</v>
      </c>
      <c r="W132" s="615">
        <v>5</v>
      </c>
      <c r="Z132" s="651" t="s">
        <v>339</v>
      </c>
      <c r="AA132" s="71" t="s">
        <v>177</v>
      </c>
      <c r="AB132" s="71" t="s">
        <v>344</v>
      </c>
      <c r="AC132" s="72">
        <f>IFERROR((TBR_H303[[#This Row],[H]]/TBR_H303[[#This Row],[AB]]),0)</f>
        <v>0.25786163522012578</v>
      </c>
      <c r="AD132" s="72">
        <f>IFERROR((TBR_H303[[#This Row],[H]]+TBR_H303[[#This Row],[BB]])/(TBR_H303[[#This Row],[BB]]+TBR_H303[[#This Row],[AB]]),0)</f>
        <v>0.31395348837209303</v>
      </c>
      <c r="AE132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0.49685534591194969</v>
      </c>
      <c r="AF132" s="28">
        <v>40</v>
      </c>
      <c r="AG132" s="28">
        <v>159</v>
      </c>
      <c r="AH132" s="28">
        <v>25</v>
      </c>
      <c r="AI132" s="28">
        <v>41</v>
      </c>
      <c r="AJ132" s="28">
        <v>11</v>
      </c>
      <c r="AK132" s="28">
        <v>3</v>
      </c>
      <c r="AL132" s="28">
        <v>7</v>
      </c>
      <c r="AM132" s="28">
        <v>22</v>
      </c>
      <c r="AN132" s="28">
        <v>13</v>
      </c>
      <c r="AO132" s="74">
        <v>50</v>
      </c>
      <c r="AP132" s="28">
        <v>0</v>
      </c>
      <c r="AQ132" s="28">
        <v>4</v>
      </c>
      <c r="AR132" s="74">
        <v>5</v>
      </c>
      <c r="AS132" s="28">
        <f>IFERROR((TBR_H303[[#This Row],[H]]-TBR_H303[[#This Row],[2B]]-TBR_H303[[#This Row],[3B]]-TBR_H303[[#This Row],[HR]])+(TBR_H303[[#This Row],[2B]]*2)+(TBR_H303[[#This Row],[3B]]*3)+(TBR_H303[[#This Row],[HR]]*4),0)</f>
        <v>79</v>
      </c>
      <c r="AT132" s="72">
        <f>TBR_H303[[#This Row],[OBP]]+TBR_H303[[#This Row],[SLG]]</f>
        <v>0.81080883428404271</v>
      </c>
      <c r="AU132" s="74">
        <v>2</v>
      </c>
      <c r="AV132" s="615">
        <v>5</v>
      </c>
      <c r="AY132" s="651" t="s">
        <v>339</v>
      </c>
      <c r="AZ132" s="71" t="s">
        <v>177</v>
      </c>
      <c r="BA132" s="71" t="s">
        <v>348</v>
      </c>
      <c r="BB132" s="72">
        <f>IFERROR(TBR_H216[[#This Row],[H]]/TBR_H216[[#This Row],[AB]],0)</f>
        <v>0.23076923076923078</v>
      </c>
      <c r="BC132" s="72">
        <f>IFERROR((TBR_H216[[#This Row],[BB]]+TBR_H216[[#This Row],[H]])/(TBR_H216[[#This Row],[AB]]+TBR_H216[[#This Row],[BB]]),0)</f>
        <v>0.33333333333333331</v>
      </c>
      <c r="BD132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0.34965034965034963</v>
      </c>
      <c r="BE132" s="28">
        <v>39</v>
      </c>
      <c r="BF132" s="28">
        <v>143</v>
      </c>
      <c r="BG132" s="28">
        <v>14</v>
      </c>
      <c r="BH132" s="28">
        <v>33</v>
      </c>
      <c r="BI132" s="28">
        <v>5</v>
      </c>
      <c r="BJ132" s="28">
        <v>0</v>
      </c>
      <c r="BK132" s="28">
        <v>4</v>
      </c>
      <c r="BL132" s="28">
        <v>19</v>
      </c>
      <c r="BM132" s="28">
        <v>22</v>
      </c>
      <c r="BN132" s="74">
        <v>41</v>
      </c>
      <c r="BO132" s="28">
        <v>0</v>
      </c>
      <c r="BP132" s="28">
        <v>0</v>
      </c>
      <c r="BQ132" s="74">
        <v>6</v>
      </c>
      <c r="BR132" s="28">
        <f t="shared" si="12"/>
        <v>50</v>
      </c>
      <c r="BS132" s="72">
        <f>IFERROR(TBR_H216[[#This Row],[OBP]]+TBR_H216[[#This Row],[SLG]],0)</f>
        <v>0.68298368298368295</v>
      </c>
      <c r="BT132" s="74">
        <v>2</v>
      </c>
      <c r="BU132" s="615">
        <v>5</v>
      </c>
    </row>
    <row r="133" spans="1:73">
      <c r="A133" s="651" t="s">
        <v>339</v>
      </c>
      <c r="B133" s="71" t="s">
        <v>174</v>
      </c>
      <c r="C133" s="71" t="s">
        <v>340</v>
      </c>
      <c r="D133" s="72">
        <f>IFERROR((TBR_H[[#This Row],[H]]/TBR_H[[#This Row],[AB]]),0)</f>
        <v>0.26923076923076922</v>
      </c>
      <c r="E133" s="72">
        <f>IFERROR((TBR_H[[#This Row],[H]]+TBR_H[[#This Row],[BB]])/(TBR_H[[#This Row],[BB]]+TBR_H[[#This Row],[AB]]),0)</f>
        <v>0.34104046242774566</v>
      </c>
      <c r="F133" s="73">
        <f>IFERROR(((TBR_H[[#This Row],[H]]-TBR_H[[#This Row],[2B]]-TBR_H[[#This Row],[3B]]-TBR_H[[#This Row],[HR]])+(TBR_H[[#This Row],[2B]]*2)+(TBR_H[[#This Row],[3B]]*3)+(TBR_H[[#This Row],[HR]]*4))/TBR_H[[#This Row],[AB]],0)</f>
        <v>0.48717948717948717</v>
      </c>
      <c r="G133" s="28">
        <v>39</v>
      </c>
      <c r="H133" s="28">
        <v>156</v>
      </c>
      <c r="I133" s="28">
        <v>17</v>
      </c>
      <c r="J133" s="28">
        <v>42</v>
      </c>
      <c r="K133" s="28">
        <v>7</v>
      </c>
      <c r="L133" s="28">
        <v>0</v>
      </c>
      <c r="M133" s="28">
        <v>9</v>
      </c>
      <c r="N133" s="28">
        <v>19</v>
      </c>
      <c r="O133" s="28">
        <v>17</v>
      </c>
      <c r="P133" s="74">
        <v>44</v>
      </c>
      <c r="Q133" s="28">
        <v>0</v>
      </c>
      <c r="R133" s="28">
        <v>4</v>
      </c>
      <c r="S133" s="74">
        <v>7</v>
      </c>
      <c r="T133" s="28">
        <f>IFERROR((TBR_H[[#This Row],[H]]-TBR_H[[#This Row],[2B]]-TBR_H[[#This Row],[3B]]-TBR_H[[#This Row],[HR]])+(TBR_H[[#This Row],[2B]]*2)+(TBR_H[[#This Row],[3B]]*3)+(TBR_H[[#This Row],[HR]]*4),0)</f>
        <v>76</v>
      </c>
      <c r="U133" s="72">
        <f>TBR_H[[#This Row],[OBP]]+TBR_H[[#This Row],[SLG]]</f>
        <v>0.82821994960723289</v>
      </c>
      <c r="V133" s="74">
        <v>3</v>
      </c>
      <c r="W133" s="615">
        <v>6</v>
      </c>
      <c r="Z133" s="651" t="s">
        <v>339</v>
      </c>
      <c r="AA133" s="71" t="s">
        <v>174</v>
      </c>
      <c r="AB133" s="71" t="s">
        <v>340</v>
      </c>
      <c r="AC133" s="72">
        <f>IFERROR((TBR_H303[[#This Row],[H]]/TBR_H303[[#This Row],[AB]]),0)</f>
        <v>0.33536585365853661</v>
      </c>
      <c r="AD133" s="72">
        <f>IFERROR((TBR_H303[[#This Row],[H]]+TBR_H303[[#This Row],[BB]])/(TBR_H303[[#This Row],[BB]]+TBR_H303[[#This Row],[AB]]),0)</f>
        <v>0.38418079096045199</v>
      </c>
      <c r="AE133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0.56097560975609762</v>
      </c>
      <c r="AF133" s="28">
        <v>40</v>
      </c>
      <c r="AG133" s="28">
        <v>164</v>
      </c>
      <c r="AH133" s="28">
        <v>24</v>
      </c>
      <c r="AI133" s="28">
        <v>55</v>
      </c>
      <c r="AJ133" s="28">
        <v>13</v>
      </c>
      <c r="AK133" s="28">
        <v>3</v>
      </c>
      <c r="AL133" s="28">
        <v>6</v>
      </c>
      <c r="AM133" s="28">
        <v>18</v>
      </c>
      <c r="AN133" s="28">
        <v>13</v>
      </c>
      <c r="AO133" s="74">
        <v>40</v>
      </c>
      <c r="AP133" s="28">
        <v>2</v>
      </c>
      <c r="AQ133" s="28">
        <v>4</v>
      </c>
      <c r="AR133" s="74">
        <v>14</v>
      </c>
      <c r="AS133" s="28">
        <f>IFERROR((TBR_H303[[#This Row],[H]]-TBR_H303[[#This Row],[2B]]-TBR_H303[[#This Row],[3B]]-TBR_H303[[#This Row],[HR]])+(TBR_H303[[#This Row],[2B]]*2)+(TBR_H303[[#This Row],[3B]]*3)+(TBR_H303[[#This Row],[HR]]*4),0)</f>
        <v>92</v>
      </c>
      <c r="AT133" s="72">
        <f>TBR_H303[[#This Row],[OBP]]+TBR_H303[[#This Row],[SLG]]</f>
        <v>0.94515640071654961</v>
      </c>
      <c r="AU133" s="74">
        <v>2</v>
      </c>
      <c r="AV133" s="615">
        <v>6</v>
      </c>
      <c r="AY133" s="651" t="s">
        <v>339</v>
      </c>
      <c r="AZ133" s="71" t="s">
        <v>174</v>
      </c>
      <c r="BA133" s="71" t="s">
        <v>340</v>
      </c>
      <c r="BB133" s="72">
        <f>IFERROR(TBR_H216[[#This Row],[H]]/TBR_H216[[#This Row],[AB]],0)</f>
        <v>0.27152317880794702</v>
      </c>
      <c r="BC133" s="72">
        <f>IFERROR((TBR_H216[[#This Row],[BB]]+TBR_H216[[#This Row],[H]])/(TBR_H216[[#This Row],[AB]]+TBR_H216[[#This Row],[BB]]),0)</f>
        <v>0.3413173652694611</v>
      </c>
      <c r="BD133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0.50993377483443714</v>
      </c>
      <c r="BE133" s="28">
        <v>39</v>
      </c>
      <c r="BF133" s="28">
        <v>151</v>
      </c>
      <c r="BG133" s="28">
        <v>25</v>
      </c>
      <c r="BH133" s="28">
        <v>41</v>
      </c>
      <c r="BI133" s="28">
        <v>7</v>
      </c>
      <c r="BJ133" s="28">
        <v>1</v>
      </c>
      <c r="BK133" s="28">
        <v>9</v>
      </c>
      <c r="BL133" s="28">
        <v>24</v>
      </c>
      <c r="BM133" s="28">
        <v>16</v>
      </c>
      <c r="BN133" s="74">
        <v>58</v>
      </c>
      <c r="BO133" s="28">
        <v>5</v>
      </c>
      <c r="BP133" s="28">
        <v>1</v>
      </c>
      <c r="BQ133" s="74">
        <v>7</v>
      </c>
      <c r="BR133" s="28">
        <f t="shared" si="12"/>
        <v>77</v>
      </c>
      <c r="BS133" s="72">
        <f>IFERROR(TBR_H216[[#This Row],[OBP]]+TBR_H216[[#This Row],[SLG]],0)</f>
        <v>0.85125114010389824</v>
      </c>
      <c r="BT133" s="74">
        <v>2</v>
      </c>
      <c r="BU133" s="615">
        <v>6</v>
      </c>
    </row>
    <row r="134" spans="1:73">
      <c r="A134" s="651" t="s">
        <v>339</v>
      </c>
      <c r="B134" s="71" t="s">
        <v>181</v>
      </c>
      <c r="C134" s="71" t="s">
        <v>347</v>
      </c>
      <c r="D134" s="72">
        <f>IFERROR((TBR_H[[#This Row],[H]]/TBR_H[[#This Row],[AB]]),0)</f>
        <v>0.25954198473282442</v>
      </c>
      <c r="E134" s="72">
        <f>IFERROR((TBR_H[[#This Row],[H]]+TBR_H[[#This Row],[BB]])/(TBR_H[[#This Row],[BB]]+TBR_H[[#This Row],[AB]]),0)</f>
        <v>0.3263888888888889</v>
      </c>
      <c r="F134" s="73">
        <f>IFERROR(((TBR_H[[#This Row],[H]]-TBR_H[[#This Row],[2B]]-TBR_H[[#This Row],[3B]]-TBR_H[[#This Row],[HR]])+(TBR_H[[#This Row],[2B]]*2)+(TBR_H[[#This Row],[3B]]*3)+(TBR_H[[#This Row],[HR]]*4))/TBR_H[[#This Row],[AB]],0)</f>
        <v>0.49618320610687022</v>
      </c>
      <c r="G134" s="28">
        <v>37</v>
      </c>
      <c r="H134" s="28">
        <v>131</v>
      </c>
      <c r="I134" s="28">
        <v>13</v>
      </c>
      <c r="J134" s="28">
        <v>34</v>
      </c>
      <c r="K134" s="28">
        <v>7</v>
      </c>
      <c r="L134" s="586">
        <v>6</v>
      </c>
      <c r="M134" s="28">
        <v>4</v>
      </c>
      <c r="N134" s="28">
        <v>19</v>
      </c>
      <c r="O134" s="28">
        <v>13</v>
      </c>
      <c r="P134" s="74">
        <v>27</v>
      </c>
      <c r="Q134" s="28">
        <v>2</v>
      </c>
      <c r="R134" s="28">
        <v>4</v>
      </c>
      <c r="S134" s="74">
        <v>4</v>
      </c>
      <c r="T134" s="28">
        <f>IFERROR((TBR_H[[#This Row],[H]]-TBR_H[[#This Row],[2B]]-TBR_H[[#This Row],[3B]]-TBR_H[[#This Row],[HR]])+(TBR_H[[#This Row],[2B]]*2)+(TBR_H[[#This Row],[3B]]*3)+(TBR_H[[#This Row],[HR]]*4),0)</f>
        <v>65</v>
      </c>
      <c r="U134" s="72">
        <f>TBR_H[[#This Row],[OBP]]+TBR_H[[#This Row],[SLG]]</f>
        <v>0.82257209499575912</v>
      </c>
      <c r="V134" s="74">
        <v>1</v>
      </c>
      <c r="W134" s="615">
        <v>7</v>
      </c>
      <c r="Z134" s="651" t="s">
        <v>339</v>
      </c>
      <c r="AA134" s="71" t="s">
        <v>181</v>
      </c>
      <c r="AB134" s="71" t="s">
        <v>347</v>
      </c>
      <c r="AC134" s="72">
        <f>IFERROR((TBR_H303[[#This Row],[H]]/TBR_H303[[#This Row],[AB]]),0)</f>
        <v>0.23021582733812951</v>
      </c>
      <c r="AD134" s="72">
        <f>IFERROR((TBR_H303[[#This Row],[H]]+TBR_H303[[#This Row],[BB]])/(TBR_H303[[#This Row],[BB]]+TBR_H303[[#This Row],[AB]]),0)</f>
        <v>0.27702702702702703</v>
      </c>
      <c r="AE134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0.39568345323741005</v>
      </c>
      <c r="AF134" s="28">
        <v>40</v>
      </c>
      <c r="AG134" s="28">
        <v>139</v>
      </c>
      <c r="AH134" s="28">
        <v>12</v>
      </c>
      <c r="AI134" s="28">
        <v>32</v>
      </c>
      <c r="AJ134" s="28">
        <v>5</v>
      </c>
      <c r="AK134" s="28">
        <v>3</v>
      </c>
      <c r="AL134" s="28">
        <v>4</v>
      </c>
      <c r="AM134" s="28">
        <v>13</v>
      </c>
      <c r="AN134" s="28">
        <v>9</v>
      </c>
      <c r="AO134" s="74">
        <v>40</v>
      </c>
      <c r="AP134" s="28">
        <v>0</v>
      </c>
      <c r="AQ134" s="28">
        <v>4</v>
      </c>
      <c r="AR134" s="74">
        <v>6</v>
      </c>
      <c r="AS134" s="28">
        <f>IFERROR((TBR_H303[[#This Row],[H]]-TBR_H303[[#This Row],[2B]]-TBR_H303[[#This Row],[3B]]-TBR_H303[[#This Row],[HR]])+(TBR_H303[[#This Row],[2B]]*2)+(TBR_H303[[#This Row],[3B]]*3)+(TBR_H303[[#This Row],[HR]]*4),0)</f>
        <v>55</v>
      </c>
      <c r="AT134" s="72">
        <f>TBR_H303[[#This Row],[OBP]]+TBR_H303[[#This Row],[SLG]]</f>
        <v>0.67271048026443703</v>
      </c>
      <c r="AU134" s="74">
        <v>3</v>
      </c>
      <c r="AV134" s="615">
        <v>7</v>
      </c>
      <c r="AY134" s="651" t="s">
        <v>339</v>
      </c>
      <c r="AZ134" s="71" t="s">
        <v>181</v>
      </c>
      <c r="BA134" s="71" t="s">
        <v>347</v>
      </c>
      <c r="BB134" s="72">
        <f>IFERROR(TBR_H216[[#This Row],[H]]/TBR_H216[[#This Row],[AB]],0)</f>
        <v>0.19811320754716982</v>
      </c>
      <c r="BC134" s="72">
        <f>IFERROR((TBR_H216[[#This Row],[BB]]+TBR_H216[[#This Row],[H]])/(TBR_H216[[#This Row],[AB]]+TBR_H216[[#This Row],[BB]]),0)</f>
        <v>0.25438596491228072</v>
      </c>
      <c r="BD134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0.330188679245283</v>
      </c>
      <c r="BE134" s="28">
        <v>33</v>
      </c>
      <c r="BF134" s="28">
        <v>106</v>
      </c>
      <c r="BG134" s="28">
        <v>11</v>
      </c>
      <c r="BH134" s="28">
        <v>21</v>
      </c>
      <c r="BI134" s="28">
        <v>6</v>
      </c>
      <c r="BJ134" s="28">
        <v>1</v>
      </c>
      <c r="BK134" s="28">
        <v>2</v>
      </c>
      <c r="BL134" s="28">
        <v>8</v>
      </c>
      <c r="BM134" s="28">
        <v>8</v>
      </c>
      <c r="BN134" s="74">
        <v>35</v>
      </c>
      <c r="BO134" s="28">
        <v>2</v>
      </c>
      <c r="BP134" s="28">
        <v>0</v>
      </c>
      <c r="BQ134" s="74">
        <v>6</v>
      </c>
      <c r="BR134" s="28">
        <f t="shared" si="12"/>
        <v>35</v>
      </c>
      <c r="BS134" s="72">
        <f>IFERROR(TBR_H216[[#This Row],[OBP]]+TBR_H216[[#This Row],[SLG]],0)</f>
        <v>0.58457464415756366</v>
      </c>
      <c r="BT134" s="74">
        <v>0</v>
      </c>
      <c r="BU134" s="615">
        <v>7</v>
      </c>
    </row>
    <row r="135" spans="1:73">
      <c r="A135" s="651" t="s">
        <v>339</v>
      </c>
      <c r="B135" s="71" t="s">
        <v>166</v>
      </c>
      <c r="C135" s="71" t="s">
        <v>342</v>
      </c>
      <c r="D135" s="72">
        <f>IFERROR((TBR_H[[#This Row],[H]]/TBR_H[[#This Row],[AB]]),0)</f>
        <v>0.26797385620915032</v>
      </c>
      <c r="E135" s="72">
        <f>IFERROR((TBR_H[[#This Row],[H]]+TBR_H[[#This Row],[BB]])/(TBR_H[[#This Row],[BB]]+TBR_H[[#This Row],[AB]]),0)</f>
        <v>0.3253012048192771</v>
      </c>
      <c r="F135" s="73">
        <f>IFERROR(((TBR_H[[#This Row],[H]]-TBR_H[[#This Row],[2B]]-TBR_H[[#This Row],[3B]]-TBR_H[[#This Row],[HR]])+(TBR_H[[#This Row],[2B]]*2)+(TBR_H[[#This Row],[3B]]*3)+(TBR_H[[#This Row],[HR]]*4))/TBR_H[[#This Row],[AB]],0)</f>
        <v>0.49673202614379086</v>
      </c>
      <c r="G135" s="28">
        <v>38</v>
      </c>
      <c r="H135" s="28">
        <v>153</v>
      </c>
      <c r="I135" s="28">
        <v>24</v>
      </c>
      <c r="J135" s="28">
        <v>41</v>
      </c>
      <c r="K135" s="28">
        <v>12</v>
      </c>
      <c r="L135" s="28">
        <v>1</v>
      </c>
      <c r="M135" s="28">
        <v>7</v>
      </c>
      <c r="N135" s="28">
        <v>23</v>
      </c>
      <c r="O135" s="28">
        <v>13</v>
      </c>
      <c r="P135" s="74">
        <v>48</v>
      </c>
      <c r="Q135" s="28">
        <v>1</v>
      </c>
      <c r="R135" s="28">
        <v>1</v>
      </c>
      <c r="S135" s="74">
        <v>13</v>
      </c>
      <c r="T135" s="28">
        <f>IFERROR((TBR_H[[#This Row],[H]]-TBR_H[[#This Row],[2B]]-TBR_H[[#This Row],[3B]]-TBR_H[[#This Row],[HR]])+(TBR_H[[#This Row],[2B]]*2)+(TBR_H[[#This Row],[3B]]*3)+(TBR_H[[#This Row],[HR]]*4),0)</f>
        <v>76</v>
      </c>
      <c r="U135" s="72">
        <f>TBR_H[[#This Row],[OBP]]+TBR_H[[#This Row],[SLG]]</f>
        <v>0.82203323096306802</v>
      </c>
      <c r="V135" s="74">
        <v>4</v>
      </c>
      <c r="W135" s="615">
        <v>8</v>
      </c>
      <c r="Z135" s="651" t="s">
        <v>339</v>
      </c>
      <c r="AA135" s="71" t="s">
        <v>166</v>
      </c>
      <c r="AB135" s="71" t="s">
        <v>342</v>
      </c>
      <c r="AC135" s="72">
        <f>IFERROR((TBR_H303[[#This Row],[H]]/TBR_H303[[#This Row],[AB]]),0)</f>
        <v>0.26605504587155965</v>
      </c>
      <c r="AD135" s="72">
        <f>IFERROR((TBR_H303[[#This Row],[H]]+TBR_H303[[#This Row],[BB]])/(TBR_H303[[#This Row],[BB]]+TBR_H303[[#This Row],[AB]]),0)</f>
        <v>0.32203389830508472</v>
      </c>
      <c r="AE135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0.50458715596330272</v>
      </c>
      <c r="AF135" s="28">
        <v>29</v>
      </c>
      <c r="AG135" s="28">
        <v>109</v>
      </c>
      <c r="AH135" s="28">
        <v>11</v>
      </c>
      <c r="AI135" s="28">
        <v>29</v>
      </c>
      <c r="AJ135" s="28">
        <v>4</v>
      </c>
      <c r="AK135" s="28">
        <v>2</v>
      </c>
      <c r="AL135" s="28">
        <v>6</v>
      </c>
      <c r="AM135" s="28">
        <v>16</v>
      </c>
      <c r="AN135" s="28">
        <v>9</v>
      </c>
      <c r="AO135" s="74">
        <v>31</v>
      </c>
      <c r="AP135" s="28">
        <v>0</v>
      </c>
      <c r="AQ135" s="28">
        <v>6</v>
      </c>
      <c r="AR135" s="74">
        <v>6</v>
      </c>
      <c r="AS135" s="28">
        <f>IFERROR((TBR_H303[[#This Row],[H]]-TBR_H303[[#This Row],[2B]]-TBR_H303[[#This Row],[3B]]-TBR_H303[[#This Row],[HR]])+(TBR_H303[[#This Row],[2B]]*2)+(TBR_H303[[#This Row],[3B]]*3)+(TBR_H303[[#This Row],[HR]]*4),0)</f>
        <v>55</v>
      </c>
      <c r="AT135" s="72">
        <f>TBR_H303[[#This Row],[OBP]]+TBR_H303[[#This Row],[SLG]]</f>
        <v>0.82662105426838739</v>
      </c>
      <c r="AU135" s="74">
        <v>4</v>
      </c>
      <c r="AV135" s="615">
        <v>8</v>
      </c>
      <c r="AY135" s="651" t="s">
        <v>339</v>
      </c>
      <c r="AZ135" s="71" t="s">
        <v>166</v>
      </c>
      <c r="BA135" s="71" t="s">
        <v>344</v>
      </c>
      <c r="BB135" s="72">
        <f>IFERROR(TBR_H216[[#This Row],[H]]/TBR_H216[[#This Row],[AB]],0)</f>
        <v>0.28099173553719009</v>
      </c>
      <c r="BC135" s="72">
        <f>IFERROR((TBR_H216[[#This Row],[BB]]+TBR_H216[[#This Row],[H]])/(TBR_H216[[#This Row],[AB]]+TBR_H216[[#This Row],[BB]]),0)</f>
        <v>0.36956521739130432</v>
      </c>
      <c r="BD135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0.47933884297520662</v>
      </c>
      <c r="BE135" s="28">
        <v>36</v>
      </c>
      <c r="BF135" s="28">
        <v>121</v>
      </c>
      <c r="BG135" s="28">
        <v>18</v>
      </c>
      <c r="BH135" s="28">
        <v>34</v>
      </c>
      <c r="BI135" s="28">
        <v>9</v>
      </c>
      <c r="BJ135" s="28">
        <v>0</v>
      </c>
      <c r="BK135" s="28">
        <v>5</v>
      </c>
      <c r="BL135" s="28">
        <v>18</v>
      </c>
      <c r="BM135" s="28">
        <v>17</v>
      </c>
      <c r="BN135" s="74">
        <v>35</v>
      </c>
      <c r="BO135" s="28">
        <v>0</v>
      </c>
      <c r="BP135" s="28">
        <v>0</v>
      </c>
      <c r="BQ135" s="74">
        <v>12</v>
      </c>
      <c r="BR135" s="28">
        <f t="shared" si="12"/>
        <v>58</v>
      </c>
      <c r="BS135" s="72">
        <f>IFERROR(TBR_H216[[#This Row],[OBP]]+TBR_H216[[#This Row],[SLG]],0)</f>
        <v>0.848904060366511</v>
      </c>
      <c r="BT135" s="74">
        <v>3</v>
      </c>
      <c r="BU135" s="615">
        <v>8</v>
      </c>
    </row>
    <row r="136" spans="1:73">
      <c r="A136" s="651" t="s">
        <v>339</v>
      </c>
      <c r="B136" s="71" t="s">
        <v>168</v>
      </c>
      <c r="C136" s="71" t="s">
        <v>344</v>
      </c>
      <c r="D136" s="72">
        <f>IFERROR((TBR_H[[#This Row],[H]]/TBR_H[[#This Row],[AB]]),0)</f>
        <v>0.23225806451612904</v>
      </c>
      <c r="E136" s="72">
        <f>IFERROR((TBR_H[[#This Row],[H]]+TBR_H[[#This Row],[BB]])/(TBR_H[[#This Row],[BB]]+TBR_H[[#This Row],[AB]]),0)</f>
        <v>0.29585798816568049</v>
      </c>
      <c r="F136" s="73">
        <f>IFERROR(((TBR_H[[#This Row],[H]]-TBR_H[[#This Row],[2B]]-TBR_H[[#This Row],[3B]]-TBR_H[[#This Row],[HR]])+(TBR_H[[#This Row],[2B]]*2)+(TBR_H[[#This Row],[3B]]*3)+(TBR_H[[#This Row],[HR]]*4))/TBR_H[[#This Row],[AB]],0)</f>
        <v>0.41290322580645161</v>
      </c>
      <c r="G136" s="28">
        <v>39</v>
      </c>
      <c r="H136" s="28">
        <v>155</v>
      </c>
      <c r="I136" s="28">
        <v>19</v>
      </c>
      <c r="J136" s="28">
        <v>36</v>
      </c>
      <c r="K136" s="28">
        <v>10</v>
      </c>
      <c r="L136" s="28">
        <v>0</v>
      </c>
      <c r="M136" s="28">
        <v>6</v>
      </c>
      <c r="N136" s="28">
        <v>28</v>
      </c>
      <c r="O136" s="28">
        <v>14</v>
      </c>
      <c r="P136" s="74">
        <v>50</v>
      </c>
      <c r="Q136" s="28">
        <v>0</v>
      </c>
      <c r="R136" s="28">
        <v>1</v>
      </c>
      <c r="S136" s="74">
        <v>7</v>
      </c>
      <c r="T136" s="28">
        <f>IFERROR((TBR_H[[#This Row],[H]]-TBR_H[[#This Row],[2B]]-TBR_H[[#This Row],[3B]]-TBR_H[[#This Row],[HR]])+(TBR_H[[#This Row],[2B]]*2)+(TBR_H[[#This Row],[3B]]*3)+(TBR_H[[#This Row],[HR]]*4),0)</f>
        <v>64</v>
      </c>
      <c r="U136" s="72">
        <f>TBR_H[[#This Row],[OBP]]+TBR_H[[#This Row],[SLG]]</f>
        <v>0.7087612139721321</v>
      </c>
      <c r="V136" s="74">
        <v>2</v>
      </c>
      <c r="W136" s="615">
        <v>9</v>
      </c>
      <c r="Z136" s="651" t="s">
        <v>339</v>
      </c>
      <c r="AA136" s="71" t="s">
        <v>168</v>
      </c>
      <c r="AB136" s="71" t="s">
        <v>341</v>
      </c>
      <c r="AC136" s="72">
        <f>IFERROR((TBR_H303[[#This Row],[H]]/TBR_H303[[#This Row],[AB]]),0)</f>
        <v>0.21249999999999999</v>
      </c>
      <c r="AD136" s="72">
        <f>IFERROR((TBR_H303[[#This Row],[H]]+TBR_H303[[#This Row],[BB]])/(TBR_H303[[#This Row],[BB]]+TBR_H303[[#This Row],[AB]]),0)</f>
        <v>0.26315789473684209</v>
      </c>
      <c r="AE136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0.46250000000000002</v>
      </c>
      <c r="AF136" s="28">
        <v>40</v>
      </c>
      <c r="AG136" s="28">
        <v>160</v>
      </c>
      <c r="AH136" s="28">
        <v>22</v>
      </c>
      <c r="AI136" s="28">
        <v>34</v>
      </c>
      <c r="AJ136" s="28">
        <v>10</v>
      </c>
      <c r="AK136" s="28">
        <v>0</v>
      </c>
      <c r="AL136" s="28">
        <v>10</v>
      </c>
      <c r="AM136" s="28">
        <v>30</v>
      </c>
      <c r="AN136" s="28">
        <v>11</v>
      </c>
      <c r="AO136" s="74">
        <v>54</v>
      </c>
      <c r="AP136" s="28">
        <v>0</v>
      </c>
      <c r="AQ136" s="28">
        <v>2</v>
      </c>
      <c r="AR136" s="74">
        <v>9</v>
      </c>
      <c r="AS136" s="28">
        <f>IFERROR((TBR_H303[[#This Row],[H]]-TBR_H303[[#This Row],[2B]]-TBR_H303[[#This Row],[3B]]-TBR_H303[[#This Row],[HR]])+(TBR_H303[[#This Row],[2B]]*2)+(TBR_H303[[#This Row],[3B]]*3)+(TBR_H303[[#This Row],[HR]]*4),0)</f>
        <v>74</v>
      </c>
      <c r="AT136" s="72">
        <f>TBR_H303[[#This Row],[OBP]]+TBR_H303[[#This Row],[SLG]]</f>
        <v>0.72565789473684217</v>
      </c>
      <c r="AU136" s="74">
        <v>3</v>
      </c>
      <c r="AV136" s="615">
        <v>9</v>
      </c>
      <c r="AY136" s="651" t="s">
        <v>339</v>
      </c>
      <c r="AZ136" s="71" t="s">
        <v>168</v>
      </c>
      <c r="BA136" s="71" t="s">
        <v>341</v>
      </c>
      <c r="BB136" s="72">
        <f>IFERROR(TBR_H216[[#This Row],[H]]/TBR_H216[[#This Row],[AB]],0)</f>
        <v>0.28125</v>
      </c>
      <c r="BC136" s="72">
        <f>IFERROR((TBR_H216[[#This Row],[BB]]+TBR_H216[[#This Row],[H]])/(TBR_H216[[#This Row],[AB]]+TBR_H216[[#This Row],[BB]]),0)</f>
        <v>0.33139534883720928</v>
      </c>
      <c r="BD136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0.63124999999999998</v>
      </c>
      <c r="BE136" s="28">
        <v>40</v>
      </c>
      <c r="BF136" s="28">
        <v>160</v>
      </c>
      <c r="BG136" s="28">
        <v>26</v>
      </c>
      <c r="BH136" s="28">
        <v>45</v>
      </c>
      <c r="BI136" s="28">
        <v>8</v>
      </c>
      <c r="BJ136" s="28">
        <v>0</v>
      </c>
      <c r="BK136" s="28">
        <v>16</v>
      </c>
      <c r="BL136" s="28">
        <v>41</v>
      </c>
      <c r="BM136" s="28">
        <v>12</v>
      </c>
      <c r="BN136" s="74">
        <v>34</v>
      </c>
      <c r="BO136" s="28">
        <v>0</v>
      </c>
      <c r="BP136" s="28">
        <v>4</v>
      </c>
      <c r="BQ136" s="74">
        <v>9</v>
      </c>
      <c r="BR136" s="28">
        <f t="shared" si="12"/>
        <v>101</v>
      </c>
      <c r="BS136" s="72">
        <f>IFERROR(TBR_H216[[#This Row],[OBP]]+TBR_H216[[#This Row],[SLG]],0)</f>
        <v>0.96264534883720931</v>
      </c>
      <c r="BT136" s="74">
        <v>4</v>
      </c>
      <c r="BU136" s="615">
        <v>9</v>
      </c>
    </row>
    <row r="137" spans="1:73">
      <c r="A137" s="651" t="s">
        <v>339</v>
      </c>
      <c r="B137" s="71" t="s">
        <v>179</v>
      </c>
      <c r="C137" s="71" t="s">
        <v>354</v>
      </c>
      <c r="D137" s="72">
        <f>IFERROR((TBR_H[[#This Row],[H]]/TBR_H[[#This Row],[AB]]),0)</f>
        <v>0.34782608695652173</v>
      </c>
      <c r="E137" s="72">
        <f>IFERROR((TBR_H[[#This Row],[H]]+TBR_H[[#This Row],[BB]])/(TBR_H[[#This Row],[BB]]+TBR_H[[#This Row],[AB]]),0)</f>
        <v>0.34782608695652173</v>
      </c>
      <c r="F137" s="73">
        <f>IFERROR(((TBR_H[[#This Row],[H]]-TBR_H[[#This Row],[2B]]-TBR_H[[#This Row],[3B]]-TBR_H[[#This Row],[HR]])+(TBR_H[[#This Row],[2B]]*2)+(TBR_H[[#This Row],[3B]]*3)+(TBR_H[[#This Row],[HR]]*4))/TBR_H[[#This Row],[AB]],0)</f>
        <v>0.52173913043478259</v>
      </c>
      <c r="G137" s="28">
        <v>6</v>
      </c>
      <c r="H137" s="28">
        <v>23</v>
      </c>
      <c r="I137" s="28">
        <v>1</v>
      </c>
      <c r="J137" s="28">
        <v>8</v>
      </c>
      <c r="K137" s="28">
        <v>4</v>
      </c>
      <c r="L137" s="28">
        <v>0</v>
      </c>
      <c r="M137" s="28">
        <v>0</v>
      </c>
      <c r="N137" s="28">
        <v>2</v>
      </c>
      <c r="O137" s="28">
        <v>0</v>
      </c>
      <c r="P137" s="74">
        <v>3</v>
      </c>
      <c r="Q137" s="28">
        <v>0</v>
      </c>
      <c r="R137" s="28">
        <v>5</v>
      </c>
      <c r="S137" s="74">
        <v>5</v>
      </c>
      <c r="T137" s="28">
        <f>IFERROR((TBR_H[[#This Row],[H]]-TBR_H[[#This Row],[2B]]-TBR_H[[#This Row],[3B]]-TBR_H[[#This Row],[HR]])+(TBR_H[[#This Row],[2B]]*2)+(TBR_H[[#This Row],[3B]]*3)+(TBR_H[[#This Row],[HR]]*4),0)</f>
        <v>12</v>
      </c>
      <c r="U137" s="72">
        <f>TBR_H[[#This Row],[OBP]]+TBR_H[[#This Row],[SLG]]</f>
        <v>0.86956521739130432</v>
      </c>
      <c r="V137" s="74">
        <v>0</v>
      </c>
      <c r="W137" s="615">
        <v>10</v>
      </c>
      <c r="Z137" s="651" t="s">
        <v>339</v>
      </c>
      <c r="AA137" s="71" t="s">
        <v>179</v>
      </c>
      <c r="AB137" s="71" t="s">
        <v>357</v>
      </c>
      <c r="AC137" s="72">
        <f>IFERROR((TBR_H303[[#This Row],[H]]/TBR_H303[[#This Row],[AB]]),0)</f>
        <v>0</v>
      </c>
      <c r="AD137" s="72">
        <f>IFERROR((TBR_H303[[#This Row],[H]]+TBR_H303[[#This Row],[BB]])/(TBR_H303[[#This Row],[BB]]+TBR_H303[[#This Row],[AB]]),0)</f>
        <v>0</v>
      </c>
      <c r="AE137" s="73">
        <f>IFERROR(((TBR_H303[[#This Row],[H]]-TBR_H303[[#This Row],[2B]]-TBR_H303[[#This Row],[3B]]-TBR_H303[[#This Row],[HR]])+(TBR_H303[[#This Row],[2B]]*2)+(TBR_H303[[#This Row],[3B]]*3)+(TBR_H303[[#This Row],[HR]]*4))/TBR_H303[[#This Row],[AB]],0)</f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74">
        <v>0</v>
      </c>
      <c r="AP137" s="28">
        <v>0</v>
      </c>
      <c r="AQ137" s="28">
        <v>0</v>
      </c>
      <c r="AR137" s="74">
        <v>0</v>
      </c>
      <c r="AS137" s="28">
        <f>IFERROR((TBR_H303[[#This Row],[H]]-TBR_H303[[#This Row],[2B]]-TBR_H303[[#This Row],[3B]]-TBR_H303[[#This Row],[HR]])+(TBR_H303[[#This Row],[2B]]*2)+(TBR_H303[[#This Row],[3B]]*3)+(TBR_H303[[#This Row],[HR]]*4),0)</f>
        <v>0</v>
      </c>
      <c r="AT137" s="72">
        <f>TBR_H303[[#This Row],[OBP]]+TBR_H303[[#This Row],[SLG]]</f>
        <v>0</v>
      </c>
      <c r="AU137" s="74">
        <v>0</v>
      </c>
      <c r="AV137" s="615">
        <v>10</v>
      </c>
      <c r="AY137" s="651" t="s">
        <v>339</v>
      </c>
      <c r="AZ137" s="71" t="s">
        <v>308</v>
      </c>
      <c r="BA137" s="71" t="s">
        <v>357</v>
      </c>
      <c r="BB137" s="72">
        <f>IFERROR(TBR_H216[[#This Row],[H]]/TBR_H216[[#This Row],[AB]],0)</f>
        <v>0.1</v>
      </c>
      <c r="BC137" s="72">
        <f>IFERROR((TBR_H216[[#This Row],[BB]]+TBR_H216[[#This Row],[H]])/(TBR_H216[[#This Row],[AB]]+TBR_H216[[#This Row],[BB]]),0)</f>
        <v>0.1</v>
      </c>
      <c r="BD137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0.1</v>
      </c>
      <c r="BE137" s="28">
        <v>6</v>
      </c>
      <c r="BF137" s="28">
        <v>10</v>
      </c>
      <c r="BG137" s="28">
        <v>1</v>
      </c>
      <c r="BH137" s="28">
        <v>1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74">
        <v>4</v>
      </c>
      <c r="BO137" s="28">
        <v>0</v>
      </c>
      <c r="BP137" s="28">
        <v>0</v>
      </c>
      <c r="BQ137" s="74">
        <v>1</v>
      </c>
      <c r="BR137" s="28">
        <f t="shared" si="12"/>
        <v>1</v>
      </c>
      <c r="BS137" s="72">
        <f>IFERROR(TBR_H216[[#This Row],[OBP]]+TBR_H216[[#This Row],[SLG]],0)</f>
        <v>0.2</v>
      </c>
      <c r="BT137" s="74">
        <v>0</v>
      </c>
      <c r="BU137" s="615">
        <v>10</v>
      </c>
    </row>
    <row r="138" spans="1:73">
      <c r="A138" s="651" t="s">
        <v>339</v>
      </c>
      <c r="B138" s="71" t="s">
        <v>192</v>
      </c>
      <c r="C138" s="77" t="s">
        <v>355</v>
      </c>
      <c r="D138" s="130">
        <f>IFERROR((TBR_H[[#This Row],[H]]/TBR_H[[#This Row],[AB]]),0)</f>
        <v>0.22222222222222221</v>
      </c>
      <c r="E138" s="72">
        <f>IFERROR((TBR_H[[#This Row],[H]]+TBR_H[[#This Row],[BB]])/(TBR_H[[#This Row],[BB]]+TBR_H[[#This Row],[AB]]),0)</f>
        <v>0.22222222222222221</v>
      </c>
      <c r="F138" s="73">
        <f>IFERROR(((TBR_H[[#This Row],[H]]-TBR_H[[#This Row],[2B]]-TBR_H[[#This Row],[3B]]-TBR_H[[#This Row],[HR]])+(TBR_H[[#This Row],[2B]]*2)+(TBR_H[[#This Row],[3B]]*3)+(TBR_H[[#This Row],[HR]]*4))/TBR_H[[#This Row],[AB]],0)</f>
        <v>0.29629629629629628</v>
      </c>
      <c r="G138" s="28">
        <v>6</v>
      </c>
      <c r="H138" s="28">
        <v>27</v>
      </c>
      <c r="I138" s="28">
        <v>1</v>
      </c>
      <c r="J138" s="28">
        <v>6</v>
      </c>
      <c r="K138" s="28">
        <v>0</v>
      </c>
      <c r="L138" s="28">
        <v>1</v>
      </c>
      <c r="M138" s="28">
        <v>0</v>
      </c>
      <c r="N138" s="28">
        <v>0</v>
      </c>
      <c r="O138" s="28">
        <v>0</v>
      </c>
      <c r="P138" s="74">
        <v>11</v>
      </c>
      <c r="Q138" s="28">
        <v>0</v>
      </c>
      <c r="R138" s="28">
        <v>2</v>
      </c>
      <c r="S138" s="74">
        <v>2</v>
      </c>
      <c r="T138" s="28">
        <f>IFERROR((TBR_H[[#This Row],[H]]-TBR_H[[#This Row],[2B]]-TBR_H[[#This Row],[3B]]-TBR_H[[#This Row],[HR]])+(TBR_H[[#This Row],[2B]]*2)+(TBR_H[[#This Row],[3B]]*3)+(TBR_H[[#This Row],[HR]]*4),0)</f>
        <v>8</v>
      </c>
      <c r="U138" s="72">
        <f>TBR_H[[#This Row],[OBP]]+TBR_H[[#This Row],[SLG]]</f>
        <v>0.51851851851851849</v>
      </c>
      <c r="V138" s="74">
        <v>0</v>
      </c>
      <c r="W138" s="615">
        <v>11</v>
      </c>
      <c r="Z138" s="651" t="s">
        <v>339</v>
      </c>
      <c r="AA138" s="71" t="s">
        <v>187</v>
      </c>
      <c r="AB138" s="71" t="s">
        <v>351</v>
      </c>
      <c r="AC138" s="72">
        <f>IFERROR((TBR_H303[[#This Row],[H]]/TBR_H303[[#This Row],[AB]]),0)</f>
        <v>0.14754098360655737</v>
      </c>
      <c r="AD138" s="72">
        <f>IFERROR((TBR_H303[[#This Row],[H]]+TBR_H303[[#This Row],[BB]])/(TBR_H303[[#This Row],[BB]]+TBR_H303[[#This Row],[AB]]),0)</f>
        <v>0.16129032258064516</v>
      </c>
      <c r="AE138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0.18032786885245902</v>
      </c>
      <c r="AF138" s="28">
        <v>22</v>
      </c>
      <c r="AG138" s="28">
        <v>61</v>
      </c>
      <c r="AH138" s="28">
        <v>2</v>
      </c>
      <c r="AI138" s="28">
        <v>9</v>
      </c>
      <c r="AJ138" s="28">
        <v>2</v>
      </c>
      <c r="AK138" s="28">
        <v>0</v>
      </c>
      <c r="AL138" s="28">
        <v>0</v>
      </c>
      <c r="AM138" s="28">
        <v>3</v>
      </c>
      <c r="AN138" s="28">
        <v>1</v>
      </c>
      <c r="AO138" s="74">
        <v>24</v>
      </c>
      <c r="AP138" s="28">
        <v>0</v>
      </c>
      <c r="AQ138" s="28">
        <v>0</v>
      </c>
      <c r="AR138" s="74">
        <v>2</v>
      </c>
      <c r="AS138" s="28">
        <f>IFERROR((TBR_H303[[#This Row],[H]]-TBR_H303[[#This Row],[2B]]-TBR_H303[[#This Row],[3B]]-TBR_H303[[#This Row],[HR]])+(TBR_H303[[#This Row],[2B]]*2)+(TBR_H303[[#This Row],[3B]]*3)+(TBR_H303[[#This Row],[HR]]*4),0)</f>
        <v>11</v>
      </c>
      <c r="AT138" s="72">
        <f>TBR_H303[[#This Row],[OBP]]+TBR_H303[[#This Row],[SLG]]</f>
        <v>0.34161819143310418</v>
      </c>
      <c r="AU138" s="74">
        <v>0</v>
      </c>
      <c r="AV138" s="615">
        <v>11</v>
      </c>
      <c r="AY138" s="651" t="s">
        <v>339</v>
      </c>
      <c r="AZ138" s="71" t="s">
        <v>192</v>
      </c>
      <c r="BA138" s="71" t="s">
        <v>351</v>
      </c>
      <c r="BB138" s="72">
        <f>IFERROR(TBR_H216[[#This Row],[H]]/TBR_H216[[#This Row],[AB]],0)</f>
        <v>0.27142857142857141</v>
      </c>
      <c r="BC138" s="72">
        <f>IFERROR((TBR_H216[[#This Row],[BB]]+TBR_H216[[#This Row],[H]])/(TBR_H216[[#This Row],[AB]]+TBR_H216[[#This Row],[BB]]),0)</f>
        <v>0.36249999999999999</v>
      </c>
      <c r="BD138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0.34285714285714286</v>
      </c>
      <c r="BE138" s="28">
        <v>25</v>
      </c>
      <c r="BF138" s="28">
        <v>70</v>
      </c>
      <c r="BG138" s="28">
        <v>13</v>
      </c>
      <c r="BH138" s="28">
        <v>19</v>
      </c>
      <c r="BI138" s="28">
        <v>2</v>
      </c>
      <c r="BJ138" s="28">
        <v>0</v>
      </c>
      <c r="BK138" s="28">
        <v>1</v>
      </c>
      <c r="BL138" s="28">
        <v>5</v>
      </c>
      <c r="BM138" s="28">
        <v>10</v>
      </c>
      <c r="BN138" s="74">
        <v>24</v>
      </c>
      <c r="BO138" s="28">
        <v>0</v>
      </c>
      <c r="BP138" s="28">
        <v>0</v>
      </c>
      <c r="BQ138" s="74">
        <v>6</v>
      </c>
      <c r="BR138" s="28">
        <f t="shared" si="12"/>
        <v>24</v>
      </c>
      <c r="BS138" s="72">
        <f>IFERROR(TBR_H216[[#This Row],[OBP]]+TBR_H216[[#This Row],[SLG]],0)</f>
        <v>0.70535714285714279</v>
      </c>
      <c r="BT138" s="74">
        <v>1</v>
      </c>
      <c r="BU138" s="615">
        <v>11</v>
      </c>
    </row>
    <row r="139" spans="1:73">
      <c r="A139" s="651" t="s">
        <v>339</v>
      </c>
      <c r="B139" s="71" t="s">
        <v>187</v>
      </c>
      <c r="C139" s="77" t="s">
        <v>356</v>
      </c>
      <c r="D139" s="130">
        <f>IFERROR((TBR_H[[#This Row],[H]]/TBR_H[[#This Row],[AB]]),0)</f>
        <v>0.17647058823529413</v>
      </c>
      <c r="E139" s="72">
        <f>IFERROR((TBR_H[[#This Row],[H]]+TBR_H[[#This Row],[BB]])/(TBR_H[[#This Row],[BB]]+TBR_H[[#This Row],[AB]]),0)</f>
        <v>0.44</v>
      </c>
      <c r="F139" s="73">
        <f>IFERROR(((TBR_H[[#This Row],[H]]-TBR_H[[#This Row],[2B]]-TBR_H[[#This Row],[3B]]-TBR_H[[#This Row],[HR]])+(TBR_H[[#This Row],[2B]]*2)+(TBR_H[[#This Row],[3B]]*3)+(TBR_H[[#This Row],[HR]]*4))/TBR_H[[#This Row],[AB]],0)</f>
        <v>0.17647058823529413</v>
      </c>
      <c r="G139" s="28">
        <v>8</v>
      </c>
      <c r="H139" s="28">
        <v>17</v>
      </c>
      <c r="I139" s="28">
        <v>4</v>
      </c>
      <c r="J139" s="28">
        <v>3</v>
      </c>
      <c r="K139" s="28">
        <v>0</v>
      </c>
      <c r="L139" s="28">
        <v>0</v>
      </c>
      <c r="M139" s="28">
        <v>0</v>
      </c>
      <c r="N139" s="28">
        <v>1</v>
      </c>
      <c r="O139" s="28">
        <v>8</v>
      </c>
      <c r="P139" s="74">
        <v>2</v>
      </c>
      <c r="Q139" s="28">
        <v>0</v>
      </c>
      <c r="R139" s="28">
        <v>0</v>
      </c>
      <c r="S139" s="74">
        <v>1</v>
      </c>
      <c r="T139" s="28">
        <f>IFERROR((TBR_H[[#This Row],[H]]-TBR_H[[#This Row],[2B]]-TBR_H[[#This Row],[3B]]-TBR_H[[#This Row],[HR]])+(TBR_H[[#This Row],[2B]]*2)+(TBR_H[[#This Row],[3B]]*3)+(TBR_H[[#This Row],[HR]]*4),0)</f>
        <v>3</v>
      </c>
      <c r="U139" s="72">
        <f>TBR_H[[#This Row],[OBP]]+TBR_H[[#This Row],[SLG]]</f>
        <v>0.6164705882352941</v>
      </c>
      <c r="V139" s="74">
        <v>0</v>
      </c>
      <c r="W139" s="615">
        <v>12</v>
      </c>
      <c r="Z139" s="651" t="s">
        <v>339</v>
      </c>
      <c r="AA139" s="71" t="s">
        <v>187</v>
      </c>
      <c r="AB139" s="71" t="s">
        <v>356</v>
      </c>
      <c r="AC139" s="72">
        <f>IFERROR((TBR_H303[[#This Row],[H]]/TBR_H303[[#This Row],[AB]]),0)</f>
        <v>0</v>
      </c>
      <c r="AD139" s="72">
        <f>IFERROR((TBR_H303[[#This Row],[H]]+TBR_H303[[#This Row],[BB]])/(TBR_H303[[#This Row],[BB]]+TBR_H303[[#This Row],[AB]]),0)</f>
        <v>0</v>
      </c>
      <c r="AE139" s="73">
        <f>IFERROR(((TBR_H303[[#This Row],[H]]-TBR_H303[[#This Row],[2B]]-TBR_H303[[#This Row],[3B]]-TBR_H303[[#This Row],[HR]])+(TBR_H303[[#This Row],[2B]]*2)+(TBR_H303[[#This Row],[3B]]*3)+(TBR_H303[[#This Row],[HR]]*4))/TBR_H303[[#This Row],[AB]],0)</f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74">
        <v>0</v>
      </c>
      <c r="AP139" s="28">
        <v>0</v>
      </c>
      <c r="AQ139" s="28">
        <v>0</v>
      </c>
      <c r="AR139" s="74">
        <v>0</v>
      </c>
      <c r="AS139" s="28">
        <f>IFERROR((TBR_H303[[#This Row],[H]]-TBR_H303[[#This Row],[2B]]-TBR_H303[[#This Row],[3B]]-TBR_H303[[#This Row],[HR]])+(TBR_H303[[#This Row],[2B]]*2)+(TBR_H303[[#This Row],[3B]]*3)+(TBR_H303[[#This Row],[HR]]*4),0)</f>
        <v>0</v>
      </c>
      <c r="AT139" s="72">
        <f>TBR_H303[[#This Row],[OBP]]+TBR_H303[[#This Row],[SLG]]</f>
        <v>0</v>
      </c>
      <c r="AU139" s="74">
        <v>0</v>
      </c>
      <c r="AV139" s="615">
        <v>12</v>
      </c>
      <c r="AY139" s="651" t="s">
        <v>339</v>
      </c>
      <c r="AZ139" s="71" t="s">
        <v>192</v>
      </c>
      <c r="BA139" s="77" t="s">
        <v>356</v>
      </c>
      <c r="BB139" s="130">
        <f>IFERROR(TBR_H216[[#This Row],[H]]/TBR_H216[[#This Row],[AB]],0)</f>
        <v>0.3</v>
      </c>
      <c r="BC139" s="72">
        <f>IFERROR((TBR_H216[[#This Row],[BB]]+TBR_H216[[#This Row],[H]])/(TBR_H216[[#This Row],[AB]]+TBR_H216[[#This Row],[BB]]),0)</f>
        <v>0.39130434782608697</v>
      </c>
      <c r="BD139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0.4</v>
      </c>
      <c r="BE139" s="28">
        <v>8</v>
      </c>
      <c r="BF139" s="28">
        <v>20</v>
      </c>
      <c r="BG139" s="28">
        <v>2</v>
      </c>
      <c r="BH139" s="28">
        <v>6</v>
      </c>
      <c r="BI139" s="28">
        <v>2</v>
      </c>
      <c r="BJ139" s="28">
        <v>0</v>
      </c>
      <c r="BK139" s="28">
        <v>0</v>
      </c>
      <c r="BL139" s="28">
        <v>0</v>
      </c>
      <c r="BM139" s="28">
        <v>3</v>
      </c>
      <c r="BN139" s="74">
        <v>4</v>
      </c>
      <c r="BO139" s="28">
        <v>0</v>
      </c>
      <c r="BP139" s="28">
        <v>1</v>
      </c>
      <c r="BQ139" s="74">
        <v>2</v>
      </c>
      <c r="BR139" s="28">
        <f t="shared" si="12"/>
        <v>8</v>
      </c>
      <c r="BS139" s="72">
        <f>IFERROR(TBR_H216[[#This Row],[OBP]]+TBR_H216[[#This Row],[SLG]],0)</f>
        <v>0.79130434782608705</v>
      </c>
      <c r="BT139" s="74">
        <v>0</v>
      </c>
      <c r="BU139" s="615">
        <v>12</v>
      </c>
    </row>
    <row r="140" spans="1:73">
      <c r="A140" s="651" t="s">
        <v>339</v>
      </c>
      <c r="B140" s="71" t="s">
        <v>184</v>
      </c>
      <c r="C140" s="77" t="s">
        <v>358</v>
      </c>
      <c r="D140" s="130">
        <f>IFERROR((TBR_H[[#This Row],[H]]/TBR_H[[#This Row],[AB]]),0)</f>
        <v>0.1</v>
      </c>
      <c r="E140" s="72">
        <f>IFERROR((TBR_H[[#This Row],[H]]+TBR_H[[#This Row],[BB]])/(TBR_H[[#This Row],[BB]]+TBR_H[[#This Row],[AB]]),0)</f>
        <v>0.18181818181818182</v>
      </c>
      <c r="F140" s="73">
        <f>IFERROR(((TBR_H[[#This Row],[H]]-TBR_H[[#This Row],[2B]]-TBR_H[[#This Row],[3B]]-TBR_H[[#This Row],[HR]])+(TBR_H[[#This Row],[2B]]*2)+(TBR_H[[#This Row],[3B]]*3)+(TBR_H[[#This Row],[HR]]*4))/TBR_H[[#This Row],[AB]],0)</f>
        <v>0.1</v>
      </c>
      <c r="G140" s="28">
        <v>7</v>
      </c>
      <c r="H140" s="28">
        <v>20</v>
      </c>
      <c r="I140" s="28">
        <v>1</v>
      </c>
      <c r="J140" s="28">
        <v>2</v>
      </c>
      <c r="K140" s="28">
        <v>0</v>
      </c>
      <c r="L140" s="28">
        <v>0</v>
      </c>
      <c r="M140" s="28">
        <v>0</v>
      </c>
      <c r="N140" s="28">
        <v>1</v>
      </c>
      <c r="O140" s="28">
        <v>2</v>
      </c>
      <c r="P140" s="74">
        <v>6</v>
      </c>
      <c r="Q140" s="28">
        <v>0</v>
      </c>
      <c r="R140" s="28">
        <v>1</v>
      </c>
      <c r="S140" s="74">
        <v>1</v>
      </c>
      <c r="T140" s="28">
        <f>IFERROR((TBR_H[[#This Row],[H]]-TBR_H[[#This Row],[2B]]-TBR_H[[#This Row],[3B]]-TBR_H[[#This Row],[HR]])+(TBR_H[[#This Row],[2B]]*2)+(TBR_H[[#This Row],[3B]]*3)+(TBR_H[[#This Row],[HR]]*4),0)</f>
        <v>2</v>
      </c>
      <c r="U140" s="72">
        <f>TBR_H[[#This Row],[OBP]]+TBR_H[[#This Row],[SLG]]</f>
        <v>0.28181818181818186</v>
      </c>
      <c r="V140" s="74">
        <v>0</v>
      </c>
      <c r="W140" s="615">
        <v>13</v>
      </c>
      <c r="Z140" s="651" t="s">
        <v>339</v>
      </c>
      <c r="AA140" s="71" t="s">
        <v>187</v>
      </c>
      <c r="AB140" s="77" t="s">
        <v>345</v>
      </c>
      <c r="AC140" s="130">
        <f>IFERROR((TBR_H303[[#This Row],[H]]/TBR_H303[[#This Row],[AB]]),0)</f>
        <v>0.36734693877551022</v>
      </c>
      <c r="AD140" s="72">
        <f>IFERROR((TBR_H303[[#This Row],[H]]+TBR_H303[[#This Row],[BB]])/(TBR_H303[[#This Row],[BB]]+TBR_H303[[#This Row],[AB]]),0)</f>
        <v>0.43636363636363634</v>
      </c>
      <c r="AE140" s="73">
        <f>IFERROR(((TBR_H303[[#This Row],[H]]-TBR_H303[[#This Row],[2B]]-TBR_H303[[#This Row],[3B]]-TBR_H303[[#This Row],[HR]])+(TBR_H303[[#This Row],[2B]]*2)+(TBR_H303[[#This Row],[3B]]*3)+(TBR_H303[[#This Row],[HR]]*4))/TBR_H303[[#This Row],[AB]],0)</f>
        <v>0.55102040816326525</v>
      </c>
      <c r="AF140" s="28">
        <v>12</v>
      </c>
      <c r="AG140" s="28">
        <v>49</v>
      </c>
      <c r="AH140" s="28">
        <v>11</v>
      </c>
      <c r="AI140" s="28">
        <v>18</v>
      </c>
      <c r="AJ140" s="28">
        <v>4</v>
      </c>
      <c r="AK140" s="28">
        <v>1</v>
      </c>
      <c r="AL140" s="28">
        <v>1</v>
      </c>
      <c r="AM140" s="28">
        <v>5</v>
      </c>
      <c r="AN140" s="28">
        <v>6</v>
      </c>
      <c r="AO140" s="74">
        <v>12</v>
      </c>
      <c r="AP140" s="28">
        <v>0</v>
      </c>
      <c r="AQ140" s="28">
        <v>2</v>
      </c>
      <c r="AR140" s="74">
        <v>4</v>
      </c>
      <c r="AS140" s="28">
        <f>IFERROR((TBR_H303[[#This Row],[H]]-TBR_H303[[#This Row],[2B]]-TBR_H303[[#This Row],[3B]]-TBR_H303[[#This Row],[HR]])+(TBR_H303[[#This Row],[2B]]*2)+(TBR_H303[[#This Row],[3B]]*3)+(TBR_H303[[#This Row],[HR]]*4),0)</f>
        <v>27</v>
      </c>
      <c r="AT140" s="72">
        <f>TBR_H303[[#This Row],[OBP]]+TBR_H303[[#This Row],[SLG]]</f>
        <v>0.98738404452690154</v>
      </c>
      <c r="AU140" s="74">
        <v>1</v>
      </c>
      <c r="AV140" s="615">
        <v>13</v>
      </c>
      <c r="AY140" s="651" t="s">
        <v>339</v>
      </c>
      <c r="AZ140" s="71" t="s">
        <v>184</v>
      </c>
      <c r="BA140" s="71" t="s">
        <v>342</v>
      </c>
      <c r="BB140" s="72">
        <f>IFERROR(TBR_H216[[#This Row],[H]]/TBR_H216[[#This Row],[AB]],0)</f>
        <v>0.27777777777777779</v>
      </c>
      <c r="BC140" s="72">
        <f>IFERROR((TBR_H216[[#This Row],[BB]]+TBR_H216[[#This Row],[H]])/(TBR_H216[[#This Row],[AB]]+TBR_H216[[#This Row],[BB]]),0)</f>
        <v>0.27777777777777779</v>
      </c>
      <c r="BD140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0.27777777777777779</v>
      </c>
      <c r="BE140" s="28">
        <v>7</v>
      </c>
      <c r="BF140" s="28">
        <v>18</v>
      </c>
      <c r="BG140" s="28">
        <v>1</v>
      </c>
      <c r="BH140" s="28">
        <v>5</v>
      </c>
      <c r="BI140" s="28">
        <v>0</v>
      </c>
      <c r="BJ140" s="28">
        <v>0</v>
      </c>
      <c r="BK140" s="28">
        <v>0</v>
      </c>
      <c r="BL140" s="28">
        <v>2</v>
      </c>
      <c r="BM140" s="28">
        <v>0</v>
      </c>
      <c r="BN140" s="74">
        <v>6</v>
      </c>
      <c r="BO140" s="28">
        <v>0</v>
      </c>
      <c r="BP140" s="28">
        <v>0</v>
      </c>
      <c r="BQ140" s="74">
        <v>3</v>
      </c>
      <c r="BR140" s="28">
        <f t="shared" si="12"/>
        <v>5</v>
      </c>
      <c r="BS140" s="72">
        <f>IFERROR(TBR_H216[[#This Row],[OBP]]+TBR_H216[[#This Row],[SLG]],0)</f>
        <v>0.55555555555555558</v>
      </c>
      <c r="BT140" s="74">
        <v>0</v>
      </c>
      <c r="BU140" s="615">
        <v>13</v>
      </c>
    </row>
    <row r="141" spans="1:73" ht="17" thickBot="1">
      <c r="A141" s="651" t="s">
        <v>339</v>
      </c>
      <c r="B141" s="71" t="s">
        <v>184</v>
      </c>
      <c r="C141" s="71" t="s">
        <v>359</v>
      </c>
      <c r="D141" s="72">
        <f>IFERROR((TBR_H[[#This Row],[H]]/TBR_H[[#This Row],[AB]]),0)</f>
        <v>0</v>
      </c>
      <c r="E141" s="72">
        <f>IFERROR((TBR_H[[#This Row],[H]]+TBR_H[[#This Row],[BB]])/(TBR_H[[#This Row],[BB]]+TBR_H[[#This Row],[AB]]),0)</f>
        <v>0</v>
      </c>
      <c r="F141" s="73">
        <f>IFERROR(((TBR_H[[#This Row],[H]]-TBR_H[[#This Row],[2B]]-TBR_H[[#This Row],[3B]]-TBR_H[[#This Row],[HR]])+(TBR_H[[#This Row],[2B]]*2)+(TBR_H[[#This Row],[3B]]*3)+(TBR_H[[#This Row],[HR]]*4))/TBR_H[[#This Row],[AB]],0)</f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74">
        <v>0</v>
      </c>
      <c r="Q141" s="28">
        <v>0</v>
      </c>
      <c r="R141" s="28">
        <v>0</v>
      </c>
      <c r="S141" s="74">
        <v>0</v>
      </c>
      <c r="T141" s="28">
        <f>IFERROR((TBR_H[[#This Row],[H]]-TBR_H[[#This Row],[2B]]-TBR_H[[#This Row],[3B]]-TBR_H[[#This Row],[HR]])+(TBR_H[[#This Row],[2B]]*2)+(TBR_H[[#This Row],[3B]]*3)+(TBR_H[[#This Row],[HR]]*4),0)</f>
        <v>0</v>
      </c>
      <c r="U141" s="72">
        <f>TBR_H[[#This Row],[OBP]]+TBR_H[[#This Row],[SLG]]</f>
        <v>0</v>
      </c>
      <c r="V141" s="74">
        <v>0</v>
      </c>
      <c r="W141" s="615">
        <v>14</v>
      </c>
      <c r="Z141" s="651" t="s">
        <v>339</v>
      </c>
      <c r="AA141" s="71" t="s">
        <v>186</v>
      </c>
      <c r="AB141" s="71" t="s">
        <v>353</v>
      </c>
      <c r="AC141" s="72">
        <f>IFERROR((TBR_H303[[#This Row],[H]]/TBR_H303[[#This Row],[AB]]),0)</f>
        <v>0</v>
      </c>
      <c r="AD141" s="72">
        <f>IFERROR((TBR_H303[[#This Row],[H]]+TBR_H303[[#This Row],[BB]])/(TBR_H303[[#This Row],[BB]]+TBR_H303[[#This Row],[AB]]),0)</f>
        <v>0</v>
      </c>
      <c r="AE141" s="73">
        <f>IFERROR(((TBR_H303[[#This Row],[H]]-TBR_H303[[#This Row],[2B]]-TBR_H303[[#This Row],[3B]]-TBR_H303[[#This Row],[HR]])+(TBR_H303[[#This Row],[2B]]*2)+(TBR_H303[[#This Row],[3B]]*3)+(TBR_H303[[#This Row],[HR]]*4))/TBR_H303[[#This Row],[AB]],0)</f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74">
        <v>0</v>
      </c>
      <c r="AP141" s="28">
        <v>0</v>
      </c>
      <c r="AQ141" s="28">
        <v>0</v>
      </c>
      <c r="AR141" s="74">
        <v>0</v>
      </c>
      <c r="AS141" s="28">
        <f>IFERROR((TBR_H303[[#This Row],[H]]-TBR_H303[[#This Row],[2B]]-TBR_H303[[#This Row],[3B]]-TBR_H303[[#This Row],[HR]])+(TBR_H303[[#This Row],[2B]]*2)+(TBR_H303[[#This Row],[3B]]*3)+(TBR_H303[[#This Row],[HR]]*4),0)</f>
        <v>0</v>
      </c>
      <c r="AT141" s="72">
        <f>TBR_H303[[#This Row],[OBP]]+TBR_H303[[#This Row],[SLG]]</f>
        <v>0</v>
      </c>
      <c r="AU141" s="74">
        <v>0</v>
      </c>
      <c r="AV141" s="615">
        <v>14</v>
      </c>
      <c r="AY141" s="651" t="s">
        <v>339</v>
      </c>
      <c r="AZ141" s="71" t="s">
        <v>186</v>
      </c>
      <c r="BA141" s="71" t="s">
        <v>353</v>
      </c>
      <c r="BB141" s="72">
        <f>IFERROR(TBR_H216[[#This Row],[H]]/TBR_H216[[#This Row],[AB]],0)</f>
        <v>0.25757575757575757</v>
      </c>
      <c r="BC141" s="72">
        <f>IFERROR((TBR_H216[[#This Row],[BB]]+TBR_H216[[#This Row],[H]])/(TBR_H216[[#This Row],[AB]]+TBR_H216[[#This Row],[BB]]),0)</f>
        <v>0.28985507246376813</v>
      </c>
      <c r="BD141" s="73">
        <f>IFERROR(((TBR_H216[[#This Row],[H]]-TBR_H216[[#This Row],[2B]]-TBR_H216[[#This Row],[3B]]-TBR_H216[[#This Row],[HR]])+(TBR_H216[[#This Row],[2B]]*2)+(TBR_H216[[#This Row],[3B]]*3)+(TBR_H216[[#This Row],[HR]]*4))/TBR_H216[[#This Row],[AB]],0)</f>
        <v>0.46969696969696972</v>
      </c>
      <c r="BE141" s="28">
        <v>19</v>
      </c>
      <c r="BF141" s="28">
        <v>66</v>
      </c>
      <c r="BG141" s="28">
        <v>8</v>
      </c>
      <c r="BH141" s="28">
        <v>17</v>
      </c>
      <c r="BI141" s="28">
        <v>2</v>
      </c>
      <c r="BJ141" s="28">
        <v>0</v>
      </c>
      <c r="BK141" s="28">
        <v>4</v>
      </c>
      <c r="BL141" s="28">
        <v>10</v>
      </c>
      <c r="BM141" s="28">
        <v>3</v>
      </c>
      <c r="BN141" s="74">
        <v>15</v>
      </c>
      <c r="BO141" s="28">
        <v>0</v>
      </c>
      <c r="BP141" s="28">
        <v>0</v>
      </c>
      <c r="BQ141" s="74">
        <v>3</v>
      </c>
      <c r="BR141" s="28">
        <f t="shared" si="12"/>
        <v>31</v>
      </c>
      <c r="BS141" s="72">
        <f>IFERROR(TBR_H216[[#This Row],[OBP]]+TBR_H216[[#This Row],[SLG]],0)</f>
        <v>0.75955204216073779</v>
      </c>
      <c r="BT141" s="74">
        <v>1</v>
      </c>
      <c r="BU141" s="615">
        <v>14</v>
      </c>
    </row>
    <row r="142" spans="1:73" ht="17" thickBot="1">
      <c r="A142" s="691"/>
      <c r="B142" s="692"/>
      <c r="C142" s="693" t="s">
        <v>195</v>
      </c>
      <c r="D142" s="694">
        <f>J142/H142</f>
        <v>0.24369142033165103</v>
      </c>
      <c r="E142" s="694">
        <f>(J142+O142)/(H142+O142)</f>
        <v>0.31303208906352326</v>
      </c>
      <c r="F142" s="695">
        <f>((J142-K142-L142-M142)+(K142*2)+(L142*3)+(M142*4))/H142</f>
        <v>0.42177361211247294</v>
      </c>
      <c r="G142" s="696"/>
      <c r="H142" s="696">
        <f>SUBTOTAL(109,TBR_H[AB])</f>
        <v>1387</v>
      </c>
      <c r="I142" s="696">
        <f>SUBTOTAL(109,TBR_H[R])</f>
        <v>170</v>
      </c>
      <c r="J142" s="696">
        <f>SUBTOTAL(109,TBR_H[H])</f>
        <v>338</v>
      </c>
      <c r="K142" s="696">
        <f>SUBTOTAL(109,TBR_H[2B])</f>
        <v>73</v>
      </c>
      <c r="L142" s="696">
        <f>SUBTOTAL(109,TBR_H[3B])</f>
        <v>9</v>
      </c>
      <c r="M142" s="696">
        <f>SUBTOTAL(109,TBR_H[HR])</f>
        <v>52</v>
      </c>
      <c r="N142" s="696">
        <f>SUBTOTAL(109,TBR_H[RBI])</f>
        <v>170</v>
      </c>
      <c r="O142" s="696">
        <f>SUBTOTAL(109,TBR_H[BB])</f>
        <v>140</v>
      </c>
      <c r="P142" s="697">
        <f>SUBTOTAL(109,TBR_H[K])</f>
        <v>403</v>
      </c>
      <c r="Q142" s="696">
        <f>SUBTOTAL(109,TBR_H[SB])</f>
        <v>3</v>
      </c>
      <c r="R142" s="696"/>
      <c r="S142" s="697"/>
      <c r="T142" s="696">
        <f>SUBTOTAL(109,TBR_H[TB])</f>
        <v>585</v>
      </c>
      <c r="U142" s="694">
        <f>E142+F142</f>
        <v>0.7348057011759962</v>
      </c>
      <c r="V142" s="697">
        <f>SUBTOTAL(109,TBR_H[*])</f>
        <v>15</v>
      </c>
      <c r="W142" s="698"/>
      <c r="Z142" s="691"/>
      <c r="AA142" s="692"/>
      <c r="AB142" s="693" t="s">
        <v>195</v>
      </c>
      <c r="AC142" s="694">
        <f>AI142/AG142</f>
        <v>0.24286759326993415</v>
      </c>
      <c r="AD142" s="694">
        <f>(AI142+AN142)/(AG142+AN142)</f>
        <v>0.30676490288010716</v>
      </c>
      <c r="AE142" s="695">
        <f>((AI142-AJ142-AK142-AL142)+(AJ142*2)+(AK142*3)+(AL142*4))/AG142</f>
        <v>0.44403803950256038</v>
      </c>
      <c r="AF142" s="696"/>
      <c r="AG142" s="696">
        <f>SUBTOTAL(109,TBR_H303[AB])</f>
        <v>1367</v>
      </c>
      <c r="AH142" s="696">
        <f>SUBTOTAL(109,TBR_H303[R])</f>
        <v>169</v>
      </c>
      <c r="AI142" s="696">
        <f>SUBTOTAL(109,TBR_H303[H])</f>
        <v>332</v>
      </c>
      <c r="AJ142" s="696">
        <f>SUBTOTAL(109,TBR_H303[2B])</f>
        <v>77</v>
      </c>
      <c r="AK142" s="696">
        <f>SUBTOTAL(109,TBR_H303[3B])</f>
        <v>15</v>
      </c>
      <c r="AL142" s="696">
        <f>SUBTOTAL(109,TBR_H303[HR])</f>
        <v>56</v>
      </c>
      <c r="AM142" s="696">
        <f>SUBTOTAL(109,TBR_H303[RBI])</f>
        <v>168</v>
      </c>
      <c r="AN142" s="696">
        <f>SUBTOTAL(109,TBR_H303[BB])</f>
        <v>126</v>
      </c>
      <c r="AO142" s="724">
        <f>SUBTOTAL(109,TBR_H303[K])</f>
        <v>420</v>
      </c>
      <c r="AP142" s="696">
        <f>SUBTOTAL(109,TBR_H303[SB])</f>
        <v>2</v>
      </c>
      <c r="AQ142" s="696"/>
      <c r="AR142" s="697"/>
      <c r="AS142" s="696">
        <f>SUBTOTAL(109,TBR_H303[TB])</f>
        <v>607</v>
      </c>
      <c r="AT142" s="694">
        <f>AD142+AE142</f>
        <v>0.75080294238266754</v>
      </c>
      <c r="AU142" s="697">
        <f>SUBTOTAL(109,TBR_H303[*])</f>
        <v>21</v>
      </c>
      <c r="AV142" s="698"/>
      <c r="AY142" s="691"/>
      <c r="AZ142" s="692"/>
      <c r="BA142" s="693" t="s">
        <v>195</v>
      </c>
      <c r="BB142" s="694">
        <f>IFERROR(BH142/BF142,0)</f>
        <v>0.25291545189504372</v>
      </c>
      <c r="BC142" s="694">
        <f>IFERROR((BM142+BH142)/(BF142+BM142),0)</f>
        <v>0.32074221338634856</v>
      </c>
      <c r="BD142" s="695">
        <f>IFERROR(((BH142-BI142-BJ142-BK142)+(BI142*2)+(BJ142*3)+(BK142*4))/BF142,0)</f>
        <v>0.42711370262390669</v>
      </c>
      <c r="BE142" s="696"/>
      <c r="BF142" s="696">
        <f t="shared" ref="BF142:BO142" si="13">SUM(BF128:BF141)</f>
        <v>1372</v>
      </c>
      <c r="BG142" s="696">
        <f t="shared" si="13"/>
        <v>183</v>
      </c>
      <c r="BH142" s="696">
        <f t="shared" si="13"/>
        <v>347</v>
      </c>
      <c r="BI142" s="696">
        <f t="shared" si="13"/>
        <v>63</v>
      </c>
      <c r="BJ142" s="696">
        <f t="shared" si="13"/>
        <v>4</v>
      </c>
      <c r="BK142" s="696">
        <f t="shared" si="13"/>
        <v>56</v>
      </c>
      <c r="BL142" s="696">
        <f t="shared" si="13"/>
        <v>183</v>
      </c>
      <c r="BM142" s="696">
        <f t="shared" si="13"/>
        <v>137</v>
      </c>
      <c r="BN142" s="729">
        <f t="shared" si="13"/>
        <v>408</v>
      </c>
      <c r="BO142" s="696">
        <f t="shared" si="13"/>
        <v>7</v>
      </c>
      <c r="BP142" s="696"/>
      <c r="BQ142" s="697"/>
      <c r="BR142" s="696">
        <f>SUM(BR128:BR141)</f>
        <v>586</v>
      </c>
      <c r="BS142" s="694">
        <f>IFERROR(BC142+BD142,0)</f>
        <v>0.74785591601025525</v>
      </c>
      <c r="BT142" s="697">
        <f>SUBTOTAL(109,TBR_H216[*])</f>
        <v>17</v>
      </c>
      <c r="BU142" s="698"/>
    </row>
    <row r="143" spans="1:73" ht="17" thickBot="1"/>
    <row r="144" spans="1:73" s="64" customFormat="1" ht="14" thickBot="1">
      <c r="A144" s="605" t="s">
        <v>143</v>
      </c>
      <c r="B144" s="606" t="s">
        <v>144</v>
      </c>
      <c r="C144" s="606" t="s">
        <v>145</v>
      </c>
      <c r="D144" s="606" t="s">
        <v>196</v>
      </c>
      <c r="E144" s="606" t="s">
        <v>197</v>
      </c>
      <c r="F144" s="606" t="s">
        <v>198</v>
      </c>
      <c r="G144" s="606" t="s">
        <v>149</v>
      </c>
      <c r="H144" s="606" t="s">
        <v>199</v>
      </c>
      <c r="I144" s="606" t="s">
        <v>152</v>
      </c>
      <c r="J144" s="606" t="s">
        <v>151</v>
      </c>
      <c r="K144" s="606" t="s">
        <v>157</v>
      </c>
      <c r="L144" s="606" t="s">
        <v>158</v>
      </c>
      <c r="M144" s="606" t="s">
        <v>200</v>
      </c>
      <c r="N144" s="606" t="s">
        <v>201</v>
      </c>
      <c r="O144" s="606" t="s">
        <v>202</v>
      </c>
      <c r="P144" s="606" t="s">
        <v>203</v>
      </c>
      <c r="Q144" s="606" t="s">
        <v>204</v>
      </c>
      <c r="R144" s="606" t="s">
        <v>205</v>
      </c>
      <c r="S144" s="607" t="s">
        <v>164</v>
      </c>
      <c r="Z144" s="605" t="s">
        <v>143</v>
      </c>
      <c r="AA144" s="606" t="s">
        <v>144</v>
      </c>
      <c r="AB144" s="606" t="s">
        <v>145</v>
      </c>
      <c r="AC144" s="606" t="s">
        <v>196</v>
      </c>
      <c r="AD144" s="606" t="s">
        <v>197</v>
      </c>
      <c r="AE144" s="606" t="s">
        <v>198</v>
      </c>
      <c r="AF144" s="606" t="s">
        <v>149</v>
      </c>
      <c r="AG144" s="606" t="s">
        <v>199</v>
      </c>
      <c r="AH144" s="606" t="s">
        <v>152</v>
      </c>
      <c r="AI144" s="606" t="s">
        <v>151</v>
      </c>
      <c r="AJ144" s="606" t="s">
        <v>157</v>
      </c>
      <c r="AK144" s="606" t="s">
        <v>158</v>
      </c>
      <c r="AL144" s="606" t="s">
        <v>200</v>
      </c>
      <c r="AM144" s="606" t="s">
        <v>201</v>
      </c>
      <c r="AN144" s="606" t="s">
        <v>202</v>
      </c>
      <c r="AO144" s="606" t="s">
        <v>203</v>
      </c>
      <c r="AP144" s="606" t="s">
        <v>204</v>
      </c>
      <c r="AQ144" s="606" t="s">
        <v>205</v>
      </c>
      <c r="AR144" s="607" t="s">
        <v>164</v>
      </c>
      <c r="AY144" s="605" t="s">
        <v>143</v>
      </c>
      <c r="AZ144" s="606" t="s">
        <v>144</v>
      </c>
      <c r="BA144" s="606" t="s">
        <v>145</v>
      </c>
      <c r="BB144" s="606" t="s">
        <v>196</v>
      </c>
      <c r="BC144" s="606" t="s">
        <v>197</v>
      </c>
      <c r="BD144" s="606" t="s">
        <v>198</v>
      </c>
      <c r="BE144" s="606" t="s">
        <v>149</v>
      </c>
      <c r="BF144" s="606" t="s">
        <v>199</v>
      </c>
      <c r="BG144" s="606" t="s">
        <v>152</v>
      </c>
      <c r="BH144" s="606" t="s">
        <v>151</v>
      </c>
      <c r="BI144" s="606" t="s">
        <v>157</v>
      </c>
      <c r="BJ144" s="606" t="s">
        <v>158</v>
      </c>
      <c r="BK144" s="606" t="s">
        <v>200</v>
      </c>
      <c r="BL144" s="606" t="s">
        <v>201</v>
      </c>
      <c r="BM144" s="606" t="s">
        <v>202</v>
      </c>
      <c r="BN144" s="606" t="s">
        <v>203</v>
      </c>
      <c r="BO144" s="606" t="s">
        <v>204</v>
      </c>
      <c r="BP144" s="606" t="s">
        <v>205</v>
      </c>
      <c r="BQ144" s="607" t="s">
        <v>164</v>
      </c>
    </row>
    <row r="145" spans="1:73">
      <c r="A145" s="650" t="s">
        <v>339</v>
      </c>
      <c r="B145" s="597" t="s">
        <v>206</v>
      </c>
      <c r="C145" s="597" t="s">
        <v>360</v>
      </c>
      <c r="D145" s="631">
        <f>IFERROR((TBR_P[[#This Row],[R]]*9)/TBR_P[[#This Row],[IP]],0)</f>
        <v>3.7239544850007387</v>
      </c>
      <c r="E145" s="600">
        <v>4</v>
      </c>
      <c r="F145" s="604">
        <v>3</v>
      </c>
      <c r="G145" s="600">
        <v>10</v>
      </c>
      <c r="H145" s="630">
        <v>67.67</v>
      </c>
      <c r="I145" s="600">
        <v>57</v>
      </c>
      <c r="J145" s="600">
        <v>28</v>
      </c>
      <c r="K145" s="600">
        <v>19</v>
      </c>
      <c r="L145" s="627">
        <v>99</v>
      </c>
      <c r="M145" s="600">
        <v>0</v>
      </c>
      <c r="N145" s="631">
        <f>IFERROR((TBR_P[[#This Row],[BB]]+TBR_P[[#This Row],[H]])/TBR_P[[#This Row],[IP]],0)</f>
        <v>1.1230973843653023</v>
      </c>
      <c r="O145" s="600">
        <v>8</v>
      </c>
      <c r="P145" s="601">
        <v>5</v>
      </c>
      <c r="Q145" s="600">
        <v>1</v>
      </c>
      <c r="R145" s="604">
        <v>1</v>
      </c>
      <c r="S145" s="614">
        <v>1</v>
      </c>
      <c r="Z145" s="650" t="s">
        <v>339</v>
      </c>
      <c r="AA145" s="597" t="s">
        <v>206</v>
      </c>
      <c r="AB145" s="597" t="s">
        <v>360</v>
      </c>
      <c r="AC145" s="631">
        <f>IFERROR((TBR_P300[[#This Row],[R]]*9)/TBR_P300[[#This Row],[IP]],0)</f>
        <v>2.6470588235294117</v>
      </c>
      <c r="AD145" s="600">
        <v>4</v>
      </c>
      <c r="AE145" s="604">
        <v>2</v>
      </c>
      <c r="AF145" s="600">
        <v>10</v>
      </c>
      <c r="AG145" s="630">
        <v>68</v>
      </c>
      <c r="AH145" s="600">
        <v>50</v>
      </c>
      <c r="AI145" s="600">
        <v>20</v>
      </c>
      <c r="AJ145" s="600">
        <v>23</v>
      </c>
      <c r="AK145" s="600">
        <v>85</v>
      </c>
      <c r="AL145" s="600">
        <v>0</v>
      </c>
      <c r="AM145" s="631">
        <f>IFERROR((TBR_P300[[#This Row],[BB]]+TBR_P300[[#This Row],[H]])/TBR_P300[[#This Row],[IP]],0)</f>
        <v>1.0735294117647058</v>
      </c>
      <c r="AN145" s="600">
        <v>8</v>
      </c>
      <c r="AO145" s="601">
        <v>4</v>
      </c>
      <c r="AP145" s="600">
        <v>2</v>
      </c>
      <c r="AQ145" s="604">
        <v>1</v>
      </c>
      <c r="AR145" s="614">
        <v>1</v>
      </c>
      <c r="AY145" s="650" t="s">
        <v>339</v>
      </c>
      <c r="AZ145" s="596" t="s">
        <v>206</v>
      </c>
      <c r="BA145" s="596" t="s">
        <v>360</v>
      </c>
      <c r="BB145" s="730">
        <f>IFERROR((TBR_P213[[#This Row],[R]]*9)/TBR_P213[[#This Row],[IP]],0)</f>
        <v>1.9726027397260273</v>
      </c>
      <c r="BC145" s="600">
        <v>7</v>
      </c>
      <c r="BD145" s="604">
        <v>2</v>
      </c>
      <c r="BE145" s="600">
        <v>10</v>
      </c>
      <c r="BF145" s="630">
        <v>73</v>
      </c>
      <c r="BG145" s="600">
        <v>53</v>
      </c>
      <c r="BH145" s="600">
        <v>16</v>
      </c>
      <c r="BI145" s="600">
        <v>28</v>
      </c>
      <c r="BJ145" s="627">
        <v>97</v>
      </c>
      <c r="BK145" s="600">
        <v>0</v>
      </c>
      <c r="BL145" s="631">
        <f>IFERROR((TBR_P213[[#This Row],[BB]]+TBR_P213[[#This Row],[H]])/TBR_P213[[#This Row],[IP]],0)</f>
        <v>1.1095890410958904</v>
      </c>
      <c r="BM145" s="627">
        <v>9</v>
      </c>
      <c r="BN145" s="601">
        <v>5</v>
      </c>
      <c r="BO145" s="600">
        <v>2</v>
      </c>
      <c r="BP145" s="632">
        <v>2</v>
      </c>
      <c r="BQ145" s="614">
        <v>1</v>
      </c>
    </row>
    <row r="146" spans="1:73">
      <c r="A146" s="651" t="s">
        <v>339</v>
      </c>
      <c r="B146" s="71" t="s">
        <v>206</v>
      </c>
      <c r="C146" s="87" t="s">
        <v>361</v>
      </c>
      <c r="D146" s="89">
        <f>IFERROR((TBR_P[[#This Row],[R]]*9)/TBR_P[[#This Row],[IP]],0)</f>
        <v>4.2</v>
      </c>
      <c r="E146" s="28">
        <v>3</v>
      </c>
      <c r="F146" s="74">
        <v>3</v>
      </c>
      <c r="G146" s="28">
        <v>10</v>
      </c>
      <c r="H146" s="584">
        <v>60</v>
      </c>
      <c r="I146" s="28">
        <v>75</v>
      </c>
      <c r="J146" s="28">
        <v>28</v>
      </c>
      <c r="K146" s="28">
        <v>19</v>
      </c>
      <c r="L146" s="28">
        <v>62</v>
      </c>
      <c r="M146" s="28">
        <v>0</v>
      </c>
      <c r="N146" s="89">
        <f>IFERROR((TBR_P[[#This Row],[BB]]+TBR_P[[#This Row],[H]])/TBR_P[[#This Row],[IP]],0)</f>
        <v>1.5666666666666667</v>
      </c>
      <c r="O146" s="28">
        <v>4</v>
      </c>
      <c r="P146" s="90">
        <v>2</v>
      </c>
      <c r="Q146" s="28">
        <v>0</v>
      </c>
      <c r="R146" s="74">
        <v>0</v>
      </c>
      <c r="S146" s="615">
        <v>2</v>
      </c>
      <c r="Z146" s="651" t="s">
        <v>339</v>
      </c>
      <c r="AA146" s="71" t="s">
        <v>206</v>
      </c>
      <c r="AB146" s="87" t="s">
        <v>361</v>
      </c>
      <c r="AC146" s="89">
        <f>IFERROR((TBR_P300[[#This Row],[R]]*9)/TBR_P300[[#This Row],[IP]],0)</f>
        <v>2.7</v>
      </c>
      <c r="AD146" s="28">
        <v>3</v>
      </c>
      <c r="AE146" s="74">
        <v>3</v>
      </c>
      <c r="AF146" s="28">
        <v>10</v>
      </c>
      <c r="AG146" s="584">
        <v>70</v>
      </c>
      <c r="AH146" s="28">
        <v>64</v>
      </c>
      <c r="AI146" s="28">
        <v>21</v>
      </c>
      <c r="AJ146" s="28">
        <v>14</v>
      </c>
      <c r="AK146" s="28">
        <v>78</v>
      </c>
      <c r="AL146" s="28">
        <v>0</v>
      </c>
      <c r="AM146" s="89">
        <f>IFERROR((TBR_P300[[#This Row],[BB]]+TBR_P300[[#This Row],[H]])/TBR_P300[[#This Row],[IP]],0)</f>
        <v>1.1142857142857143</v>
      </c>
      <c r="AN146" s="28">
        <v>9</v>
      </c>
      <c r="AO146" s="90">
        <v>6</v>
      </c>
      <c r="AP146" s="28">
        <v>1</v>
      </c>
      <c r="AQ146" s="74">
        <v>0</v>
      </c>
      <c r="AR146" s="615">
        <v>2</v>
      </c>
      <c r="AY146" s="651" t="s">
        <v>339</v>
      </c>
      <c r="AZ146" s="71" t="s">
        <v>206</v>
      </c>
      <c r="BA146" s="71" t="s">
        <v>362</v>
      </c>
      <c r="BB146" s="89">
        <f>IFERROR((TBR_P213[[#This Row],[R]]*9)/TBR_P213[[#This Row],[IP]],0)</f>
        <v>4.1437694935392839</v>
      </c>
      <c r="BC146" s="28">
        <v>4</v>
      </c>
      <c r="BD146" s="74">
        <v>4</v>
      </c>
      <c r="BE146" s="28">
        <v>10</v>
      </c>
      <c r="BF146" s="584">
        <v>67.33</v>
      </c>
      <c r="BG146" s="28">
        <v>63</v>
      </c>
      <c r="BH146" s="28">
        <v>31</v>
      </c>
      <c r="BI146" s="28">
        <v>18</v>
      </c>
      <c r="BJ146" s="28">
        <v>68</v>
      </c>
      <c r="BK146" s="28">
        <v>0</v>
      </c>
      <c r="BL146" s="89">
        <f>IFERROR((TBR_P213[[#This Row],[BB]]+TBR_P213[[#This Row],[H]])/TBR_P213[[#This Row],[IP]],0)</f>
        <v>1.2030298529630179</v>
      </c>
      <c r="BM146" s="28">
        <v>8</v>
      </c>
      <c r="BN146" s="90">
        <v>4</v>
      </c>
      <c r="BO146" s="28">
        <v>0</v>
      </c>
      <c r="BP146" s="74">
        <v>0</v>
      </c>
      <c r="BQ146" s="615">
        <v>2</v>
      </c>
    </row>
    <row r="147" spans="1:73">
      <c r="A147" s="651" t="s">
        <v>339</v>
      </c>
      <c r="B147" s="71" t="s">
        <v>206</v>
      </c>
      <c r="C147" s="87" t="s">
        <v>363</v>
      </c>
      <c r="D147" s="89">
        <f>IFERROR((TBR_P[[#This Row],[R]]*9)/TBR_P[[#This Row],[IP]],0)</f>
        <v>5.5862068965517242</v>
      </c>
      <c r="E147" s="28">
        <v>1</v>
      </c>
      <c r="F147" s="74">
        <v>3</v>
      </c>
      <c r="G147" s="28">
        <v>10</v>
      </c>
      <c r="H147" s="584">
        <v>58</v>
      </c>
      <c r="I147" s="28">
        <v>63</v>
      </c>
      <c r="J147" s="28">
        <v>36</v>
      </c>
      <c r="K147" s="28">
        <v>29</v>
      </c>
      <c r="L147" s="28">
        <v>53</v>
      </c>
      <c r="M147" s="28">
        <v>0</v>
      </c>
      <c r="N147" s="89">
        <f>IFERROR((TBR_P[[#This Row],[BB]]+TBR_P[[#This Row],[H]])/TBR_P[[#This Row],[IP]],0)</f>
        <v>1.5862068965517242</v>
      </c>
      <c r="O147" s="28">
        <v>3</v>
      </c>
      <c r="P147" s="90">
        <v>1</v>
      </c>
      <c r="Q147" s="28">
        <v>1</v>
      </c>
      <c r="R147" s="74">
        <v>1</v>
      </c>
      <c r="S147" s="615">
        <v>3</v>
      </c>
      <c r="Z147" s="651" t="s">
        <v>339</v>
      </c>
      <c r="AA147" s="71" t="s">
        <v>206</v>
      </c>
      <c r="AB147" s="87" t="s">
        <v>364</v>
      </c>
      <c r="AC147" s="89">
        <f>IFERROR((TBR_P300[[#This Row],[R]]*9)/TBR_P300[[#This Row],[IP]],0)</f>
        <v>3.4975905487330952</v>
      </c>
      <c r="AD147" s="28">
        <v>6</v>
      </c>
      <c r="AE147" s="74">
        <v>3</v>
      </c>
      <c r="AF147" s="28">
        <v>10</v>
      </c>
      <c r="AG147" s="584">
        <v>64.33</v>
      </c>
      <c r="AH147" s="28">
        <v>58</v>
      </c>
      <c r="AI147" s="28">
        <v>25</v>
      </c>
      <c r="AJ147" s="28">
        <v>20</v>
      </c>
      <c r="AK147" s="28">
        <v>62</v>
      </c>
      <c r="AL147" s="28">
        <v>0</v>
      </c>
      <c r="AM147" s="89">
        <f>IFERROR((TBR_P300[[#This Row],[BB]]+TBR_P300[[#This Row],[H]])/TBR_P300[[#This Row],[IP]],0)</f>
        <v>1.2124980568941397</v>
      </c>
      <c r="AN147" s="28">
        <v>6</v>
      </c>
      <c r="AO147" s="90">
        <v>3</v>
      </c>
      <c r="AP147" s="28">
        <v>1</v>
      </c>
      <c r="AQ147" s="74">
        <v>0</v>
      </c>
      <c r="AR147" s="615">
        <v>3</v>
      </c>
      <c r="AY147" s="651" t="s">
        <v>339</v>
      </c>
      <c r="AZ147" s="71" t="s">
        <v>206</v>
      </c>
      <c r="BA147" s="71" t="s">
        <v>361</v>
      </c>
      <c r="BB147" s="89">
        <f>IFERROR((TBR_P213[[#This Row],[R]]*9)/TBR_P213[[#This Row],[IP]],0)</f>
        <v>4.9090909090909092</v>
      </c>
      <c r="BC147" s="28">
        <v>1</v>
      </c>
      <c r="BD147" s="74">
        <v>5</v>
      </c>
      <c r="BE147" s="28">
        <v>10</v>
      </c>
      <c r="BF147" s="584">
        <v>66</v>
      </c>
      <c r="BG147" s="76">
        <v>86</v>
      </c>
      <c r="BH147" s="28">
        <v>36</v>
      </c>
      <c r="BI147" s="28">
        <v>15</v>
      </c>
      <c r="BJ147" s="28">
        <v>74</v>
      </c>
      <c r="BK147" s="28">
        <v>0</v>
      </c>
      <c r="BL147" s="89">
        <f>IFERROR((TBR_P213[[#This Row],[BB]]+TBR_P213[[#This Row],[H]])/TBR_P213[[#This Row],[IP]],0)</f>
        <v>1.5303030303030303</v>
      </c>
      <c r="BM147" s="28">
        <v>5</v>
      </c>
      <c r="BN147" s="90">
        <v>2</v>
      </c>
      <c r="BO147" s="28">
        <v>1</v>
      </c>
      <c r="BP147" s="74">
        <v>1</v>
      </c>
      <c r="BQ147" s="615">
        <v>3</v>
      </c>
    </row>
    <row r="148" spans="1:73">
      <c r="A148" s="651" t="s">
        <v>339</v>
      </c>
      <c r="B148" s="71" t="s">
        <v>365</v>
      </c>
      <c r="C148" s="87" t="s">
        <v>366</v>
      </c>
      <c r="D148" s="89">
        <f>IFERROR((TBR_P[[#This Row],[R]]*9)/TBR_P[[#This Row],[IP]],0)</f>
        <v>4.7469919235206852</v>
      </c>
      <c r="E148" s="28">
        <v>1</v>
      </c>
      <c r="F148" s="74">
        <v>6</v>
      </c>
      <c r="G148" s="28">
        <v>10</v>
      </c>
      <c r="H148" s="584">
        <v>60.67</v>
      </c>
      <c r="I148" s="28">
        <v>66</v>
      </c>
      <c r="J148" s="28">
        <v>32</v>
      </c>
      <c r="K148" s="28">
        <v>14</v>
      </c>
      <c r="L148" s="28">
        <v>70</v>
      </c>
      <c r="M148" s="28">
        <v>0</v>
      </c>
      <c r="N148" s="89">
        <f>IFERROR((TBR_P[[#This Row],[BB]]+TBR_P[[#This Row],[H]])/TBR_P[[#This Row],[IP]],0)</f>
        <v>1.3186088676446348</v>
      </c>
      <c r="O148" s="28">
        <v>6</v>
      </c>
      <c r="P148" s="90">
        <v>1</v>
      </c>
      <c r="Q148" s="28">
        <v>0</v>
      </c>
      <c r="R148" s="74">
        <v>0</v>
      </c>
      <c r="S148" s="615">
        <v>4</v>
      </c>
      <c r="Z148" s="651" t="s">
        <v>339</v>
      </c>
      <c r="AA148" s="71" t="s">
        <v>206</v>
      </c>
      <c r="AB148" s="87" t="s">
        <v>362</v>
      </c>
      <c r="AC148" s="89">
        <f>IFERROR((TBR_P300[[#This Row],[R]]*9)/TBR_P300[[#This Row],[IP]],0)</f>
        <v>3.7195775294657891</v>
      </c>
      <c r="AD148" s="28">
        <v>3</v>
      </c>
      <c r="AE148" s="74">
        <v>6</v>
      </c>
      <c r="AF148" s="28">
        <v>10</v>
      </c>
      <c r="AG148" s="584">
        <v>65.33</v>
      </c>
      <c r="AH148" s="28">
        <v>57</v>
      </c>
      <c r="AI148" s="28">
        <v>27</v>
      </c>
      <c r="AJ148" s="28">
        <v>15</v>
      </c>
      <c r="AK148" s="28">
        <v>56</v>
      </c>
      <c r="AL148" s="28">
        <v>0</v>
      </c>
      <c r="AM148" s="89">
        <f>IFERROR((TBR_P300[[#This Row],[BB]]+TBR_P300[[#This Row],[H]])/TBR_P300[[#This Row],[IP]],0)</f>
        <v>1.1020970457676413</v>
      </c>
      <c r="AN148" s="28">
        <v>4</v>
      </c>
      <c r="AO148" s="90">
        <v>4</v>
      </c>
      <c r="AP148" s="28">
        <v>2</v>
      </c>
      <c r="AQ148" s="104">
        <v>2</v>
      </c>
      <c r="AR148" s="615">
        <v>4</v>
      </c>
      <c r="AY148" s="651" t="s">
        <v>339</v>
      </c>
      <c r="AZ148" s="71" t="s">
        <v>206</v>
      </c>
      <c r="BA148" s="71" t="s">
        <v>367</v>
      </c>
      <c r="BB148" s="89">
        <f>IFERROR((TBR_P213[[#This Row],[R]]*9)/TBR_P213[[#This Row],[IP]],0)</f>
        <v>7.7407174323473882</v>
      </c>
      <c r="BC148" s="28">
        <v>1</v>
      </c>
      <c r="BD148" s="104">
        <v>7</v>
      </c>
      <c r="BE148" s="28">
        <v>9</v>
      </c>
      <c r="BF148" s="584">
        <v>47.67</v>
      </c>
      <c r="BG148" s="28">
        <v>73</v>
      </c>
      <c r="BH148" s="28">
        <v>41</v>
      </c>
      <c r="BI148" s="28">
        <v>14</v>
      </c>
      <c r="BJ148" s="28">
        <v>39</v>
      </c>
      <c r="BK148" s="28">
        <v>0</v>
      </c>
      <c r="BL148" s="89">
        <f>IFERROR((TBR_P213[[#This Row],[BB]]+TBR_P213[[#This Row],[H]])/TBR_P213[[#This Row],[IP]],0)</f>
        <v>1.8250471994965387</v>
      </c>
      <c r="BM148" s="28">
        <v>1</v>
      </c>
      <c r="BN148" s="90">
        <v>1</v>
      </c>
      <c r="BO148" s="28">
        <v>1</v>
      </c>
      <c r="BP148" s="74">
        <v>1</v>
      </c>
      <c r="BQ148" s="615">
        <v>4</v>
      </c>
    </row>
    <row r="149" spans="1:73">
      <c r="A149" s="651" t="s">
        <v>339</v>
      </c>
      <c r="B149" s="71" t="s">
        <v>212</v>
      </c>
      <c r="C149" s="87" t="s">
        <v>368</v>
      </c>
      <c r="D149" s="89">
        <f>IFERROR((TBR_P[[#This Row],[R]]*9)/TBR_P[[#This Row],[IP]],0)</f>
        <v>16.2</v>
      </c>
      <c r="E149" s="28">
        <v>0</v>
      </c>
      <c r="F149" s="74">
        <v>0</v>
      </c>
      <c r="G149" s="28">
        <v>2</v>
      </c>
      <c r="H149" s="584">
        <v>5</v>
      </c>
      <c r="I149" s="28">
        <v>10</v>
      </c>
      <c r="J149" s="28">
        <v>9</v>
      </c>
      <c r="K149" s="28">
        <v>8</v>
      </c>
      <c r="L149" s="28">
        <v>7</v>
      </c>
      <c r="M149" s="28">
        <v>0</v>
      </c>
      <c r="N149" s="89">
        <f>IFERROR((TBR_P[[#This Row],[BB]]+TBR_P[[#This Row],[H]])/TBR_P[[#This Row],[IP]],0)</f>
        <v>3.6</v>
      </c>
      <c r="O149" s="28">
        <v>0</v>
      </c>
      <c r="P149" s="90">
        <v>0</v>
      </c>
      <c r="Q149" s="28">
        <v>0</v>
      </c>
      <c r="R149" s="74">
        <v>0</v>
      </c>
      <c r="S149" s="615">
        <v>5</v>
      </c>
      <c r="Z149" s="651" t="s">
        <v>339</v>
      </c>
      <c r="AA149" s="71" t="s">
        <v>212</v>
      </c>
      <c r="AB149" s="87" t="s">
        <v>363</v>
      </c>
      <c r="AC149" s="89">
        <f>IFERROR((TBR_P300[[#This Row],[R]]*9)/TBR_P300[[#This Row],[IP]],0)</f>
        <v>2.1036229061160885</v>
      </c>
      <c r="AD149" s="28">
        <v>0</v>
      </c>
      <c r="AE149" s="74">
        <v>2</v>
      </c>
      <c r="AF149" s="28">
        <v>12</v>
      </c>
      <c r="AG149" s="584">
        <v>25.67</v>
      </c>
      <c r="AH149" s="28">
        <v>16</v>
      </c>
      <c r="AI149" s="28">
        <v>6</v>
      </c>
      <c r="AJ149" s="28">
        <v>12</v>
      </c>
      <c r="AK149" s="28">
        <v>17</v>
      </c>
      <c r="AL149" s="28">
        <v>0</v>
      </c>
      <c r="AM149" s="89">
        <f>IFERROR((TBR_P300[[#This Row],[BB]]+TBR_P300[[#This Row],[H]])/TBR_P300[[#This Row],[IP]],0)</f>
        <v>1.0907674328009349</v>
      </c>
      <c r="AN149" s="28">
        <v>0</v>
      </c>
      <c r="AO149" s="90">
        <v>0</v>
      </c>
      <c r="AP149" s="28">
        <v>0</v>
      </c>
      <c r="AQ149" s="74">
        <v>0</v>
      </c>
      <c r="AR149" s="615">
        <v>5</v>
      </c>
      <c r="AY149" s="651" t="s">
        <v>339</v>
      </c>
      <c r="AZ149" s="71" t="s">
        <v>215</v>
      </c>
      <c r="BA149" s="71" t="s">
        <v>363</v>
      </c>
      <c r="BB149" s="89">
        <f>IFERROR((TBR_P213[[#This Row],[R]]*9)/TBR_P213[[#This Row],[IP]],0)</f>
        <v>4</v>
      </c>
      <c r="BC149" s="28">
        <v>1</v>
      </c>
      <c r="BD149" s="74">
        <v>1</v>
      </c>
      <c r="BE149" s="28">
        <v>14</v>
      </c>
      <c r="BF149" s="584">
        <v>36</v>
      </c>
      <c r="BG149" s="28">
        <v>34</v>
      </c>
      <c r="BH149" s="28">
        <v>16</v>
      </c>
      <c r="BI149" s="28">
        <v>10</v>
      </c>
      <c r="BJ149" s="28">
        <v>29</v>
      </c>
      <c r="BK149" s="28">
        <v>0</v>
      </c>
      <c r="BL149" s="89">
        <f>IFERROR((TBR_P213[[#This Row],[BB]]+TBR_P213[[#This Row],[H]])/TBR_P213[[#This Row],[IP]],0)</f>
        <v>1.2222222222222223</v>
      </c>
      <c r="BM149" s="28">
        <v>0</v>
      </c>
      <c r="BN149" s="90">
        <v>0</v>
      </c>
      <c r="BO149" s="28">
        <v>0</v>
      </c>
      <c r="BP149" s="74">
        <v>0</v>
      </c>
      <c r="BQ149" s="615">
        <v>5</v>
      </c>
    </row>
    <row r="150" spans="1:73">
      <c r="A150" s="651" t="s">
        <v>339</v>
      </c>
      <c r="B150" s="71" t="s">
        <v>212</v>
      </c>
      <c r="C150" s="87" t="s">
        <v>370</v>
      </c>
      <c r="D150" s="89">
        <f>IFERROR((TBR_P[[#This Row],[R]]*9)/TBR_P[[#This Row],[IP]],0)</f>
        <v>5.7272727272727275</v>
      </c>
      <c r="E150" s="28">
        <v>3</v>
      </c>
      <c r="F150" s="74">
        <v>1</v>
      </c>
      <c r="G150" s="28">
        <v>15</v>
      </c>
      <c r="H150" s="584">
        <v>22</v>
      </c>
      <c r="I150" s="28">
        <v>28</v>
      </c>
      <c r="J150" s="28">
        <v>14</v>
      </c>
      <c r="K150" s="28">
        <v>9</v>
      </c>
      <c r="L150" s="28">
        <v>25</v>
      </c>
      <c r="M150" s="28">
        <v>0</v>
      </c>
      <c r="N150" s="89">
        <f>IFERROR((TBR_P[[#This Row],[BB]]+TBR_P[[#This Row],[H]])/TBR_P[[#This Row],[IP]],0)</f>
        <v>1.6818181818181819</v>
      </c>
      <c r="O150" s="28">
        <v>0</v>
      </c>
      <c r="P150" s="90">
        <v>0</v>
      </c>
      <c r="Q150" s="28">
        <v>0</v>
      </c>
      <c r="R150" s="74">
        <v>0</v>
      </c>
      <c r="S150" s="615">
        <v>6</v>
      </c>
      <c r="Z150" s="651" t="s">
        <v>339</v>
      </c>
      <c r="AA150" s="71" t="s">
        <v>212</v>
      </c>
      <c r="AB150" s="87" t="s">
        <v>368</v>
      </c>
      <c r="AC150" s="89">
        <f>IFERROR((TBR_P300[[#This Row],[R]]*9)/TBR_P300[[#This Row],[IP]],0)</f>
        <v>4.5</v>
      </c>
      <c r="AD150" s="28">
        <v>0</v>
      </c>
      <c r="AE150" s="74">
        <v>0</v>
      </c>
      <c r="AF150" s="28">
        <v>1</v>
      </c>
      <c r="AG150" s="584">
        <v>2</v>
      </c>
      <c r="AH150" s="28">
        <v>3</v>
      </c>
      <c r="AI150" s="28">
        <v>1</v>
      </c>
      <c r="AJ150" s="28">
        <v>0</v>
      </c>
      <c r="AK150" s="28">
        <v>3</v>
      </c>
      <c r="AL150" s="28">
        <v>0</v>
      </c>
      <c r="AM150" s="89">
        <f>IFERROR((TBR_P300[[#This Row],[BB]]+TBR_P300[[#This Row],[H]])/TBR_P300[[#This Row],[IP]],0)</f>
        <v>1.5</v>
      </c>
      <c r="AN150" s="28">
        <v>0</v>
      </c>
      <c r="AO150" s="90">
        <v>0</v>
      </c>
      <c r="AP150" s="28">
        <v>0</v>
      </c>
      <c r="AQ150" s="74">
        <v>0</v>
      </c>
      <c r="AR150" s="615">
        <v>6</v>
      </c>
      <c r="AY150" s="651" t="s">
        <v>339</v>
      </c>
      <c r="AZ150" s="71" t="s">
        <v>215</v>
      </c>
      <c r="BA150" s="71" t="s">
        <v>368</v>
      </c>
      <c r="BB150" s="89">
        <f>IFERROR((TBR_P213[[#This Row],[R]]*9)/TBR_P213[[#This Row],[IP]],0)</f>
        <v>6.2307692307692308</v>
      </c>
      <c r="BC150" s="28">
        <v>1</v>
      </c>
      <c r="BD150" s="74">
        <v>0</v>
      </c>
      <c r="BE150" s="28">
        <v>7</v>
      </c>
      <c r="BF150" s="584">
        <v>13</v>
      </c>
      <c r="BG150" s="28">
        <v>8</v>
      </c>
      <c r="BH150" s="28">
        <v>9</v>
      </c>
      <c r="BI150" s="28">
        <v>8</v>
      </c>
      <c r="BJ150" s="28">
        <v>15</v>
      </c>
      <c r="BK150" s="28">
        <v>0</v>
      </c>
      <c r="BL150" s="89">
        <f>IFERROR((TBR_P213[[#This Row],[BB]]+TBR_P213[[#This Row],[H]])/TBR_P213[[#This Row],[IP]],0)</f>
        <v>1.2307692307692308</v>
      </c>
      <c r="BM150" s="28">
        <v>0</v>
      </c>
      <c r="BN150" s="90">
        <v>0</v>
      </c>
      <c r="BO150" s="28">
        <v>0</v>
      </c>
      <c r="BP150" s="74">
        <v>0</v>
      </c>
      <c r="BQ150" s="615">
        <v>6</v>
      </c>
    </row>
    <row r="151" spans="1:73">
      <c r="A151" s="651" t="s">
        <v>339</v>
      </c>
      <c r="B151" s="71" t="s">
        <v>212</v>
      </c>
      <c r="C151" s="87" t="s">
        <v>369</v>
      </c>
      <c r="D151" s="89">
        <f>IFERROR((TBR_P[[#This Row],[R]]*9)/TBR_P[[#This Row],[IP]],0)</f>
        <v>2.2045315370483776</v>
      </c>
      <c r="E151" s="28">
        <v>0</v>
      </c>
      <c r="F151" s="74">
        <v>0</v>
      </c>
      <c r="G151" s="28">
        <v>14</v>
      </c>
      <c r="H151" s="584">
        <v>16.329999999999998</v>
      </c>
      <c r="I151" s="28">
        <v>16</v>
      </c>
      <c r="J151" s="28">
        <v>4</v>
      </c>
      <c r="K151" s="28">
        <v>5</v>
      </c>
      <c r="L151" s="28">
        <v>17</v>
      </c>
      <c r="M151" s="28">
        <v>1</v>
      </c>
      <c r="N151" s="89">
        <f>IFERROR((TBR_P[[#This Row],[BB]]+TBR_P[[#This Row],[H]])/TBR_P[[#This Row],[IP]],0)</f>
        <v>1.2859767299448868</v>
      </c>
      <c r="O151" s="28">
        <v>0</v>
      </c>
      <c r="P151" s="90">
        <v>0</v>
      </c>
      <c r="Q151" s="28">
        <v>0</v>
      </c>
      <c r="R151" s="74">
        <v>0</v>
      </c>
      <c r="S151" s="615">
        <v>7</v>
      </c>
      <c r="Z151" s="651" t="s">
        <v>339</v>
      </c>
      <c r="AA151" s="71" t="s">
        <v>212</v>
      </c>
      <c r="AB151" s="87" t="s">
        <v>369</v>
      </c>
      <c r="AC151" s="89">
        <f>IFERROR((TBR_P300[[#This Row],[R]]*9)/TBR_P300[[#This Row],[IP]],0)</f>
        <v>0</v>
      </c>
      <c r="AD151" s="28">
        <v>1</v>
      </c>
      <c r="AE151" s="74">
        <v>0</v>
      </c>
      <c r="AF151" s="28">
        <v>3</v>
      </c>
      <c r="AG151" s="584">
        <v>3</v>
      </c>
      <c r="AH151" s="28">
        <v>0</v>
      </c>
      <c r="AI151" s="28">
        <v>0</v>
      </c>
      <c r="AJ151" s="28">
        <v>2</v>
      </c>
      <c r="AK151" s="28">
        <v>2</v>
      </c>
      <c r="AL151" s="28">
        <v>0</v>
      </c>
      <c r="AM151" s="89">
        <f>IFERROR((TBR_P300[[#This Row],[BB]]+TBR_P300[[#This Row],[H]])/TBR_P300[[#This Row],[IP]],0)</f>
        <v>0.66666666666666663</v>
      </c>
      <c r="AN151" s="28">
        <v>0</v>
      </c>
      <c r="AO151" s="90">
        <v>0</v>
      </c>
      <c r="AP151" s="28">
        <v>0</v>
      </c>
      <c r="AQ151" s="74">
        <v>0</v>
      </c>
      <c r="AR151" s="615">
        <v>7</v>
      </c>
      <c r="AY151" s="651" t="s">
        <v>339</v>
      </c>
      <c r="AZ151" s="71" t="s">
        <v>215</v>
      </c>
      <c r="BA151" s="71" t="s">
        <v>369</v>
      </c>
      <c r="BB151" s="89">
        <f>IFERROR((TBR_P213[[#This Row],[R]]*9)/TBR_P213[[#This Row],[IP]],0)</f>
        <v>7.7087794432548185</v>
      </c>
      <c r="BC151" s="28">
        <v>0</v>
      </c>
      <c r="BD151" s="74">
        <v>0</v>
      </c>
      <c r="BE151" s="28">
        <v>4</v>
      </c>
      <c r="BF151" s="584">
        <v>4.67</v>
      </c>
      <c r="BG151" s="28">
        <v>6</v>
      </c>
      <c r="BH151" s="28">
        <v>4</v>
      </c>
      <c r="BI151" s="28">
        <v>1</v>
      </c>
      <c r="BJ151" s="28">
        <v>2</v>
      </c>
      <c r="BK151" s="28">
        <v>0</v>
      </c>
      <c r="BL151" s="89">
        <f>IFERROR((TBR_P213[[#This Row],[BB]]+TBR_P213[[#This Row],[H]])/TBR_P213[[#This Row],[IP]],0)</f>
        <v>1.4989293361884368</v>
      </c>
      <c r="BM151" s="28">
        <v>0</v>
      </c>
      <c r="BN151" s="90">
        <v>0</v>
      </c>
      <c r="BO151" s="28">
        <v>0</v>
      </c>
      <c r="BP151" s="74">
        <v>0</v>
      </c>
      <c r="BQ151" s="615">
        <v>7</v>
      </c>
    </row>
    <row r="152" spans="1:73">
      <c r="A152" s="651" t="s">
        <v>339</v>
      </c>
      <c r="B152" s="71" t="s">
        <v>212</v>
      </c>
      <c r="C152" s="87" t="s">
        <v>372</v>
      </c>
      <c r="D152" s="89">
        <f>IFERROR((TBR_P[[#This Row],[R]]*9)/TBR_P[[#This Row],[IP]],0)</f>
        <v>6.3529411764705879</v>
      </c>
      <c r="E152" s="28">
        <v>0</v>
      </c>
      <c r="F152" s="74">
        <v>4</v>
      </c>
      <c r="G152" s="28">
        <v>16</v>
      </c>
      <c r="H152" s="584">
        <v>17</v>
      </c>
      <c r="I152" s="28">
        <v>22</v>
      </c>
      <c r="J152" s="28">
        <v>12</v>
      </c>
      <c r="K152" s="28">
        <v>11</v>
      </c>
      <c r="L152" s="28">
        <v>10</v>
      </c>
      <c r="M152" s="28">
        <v>0</v>
      </c>
      <c r="N152" s="89">
        <f>IFERROR((TBR_P[[#This Row],[BB]]+TBR_P[[#This Row],[H]])/TBR_P[[#This Row],[IP]],0)</f>
        <v>1.9411764705882353</v>
      </c>
      <c r="O152" s="28">
        <v>0</v>
      </c>
      <c r="P152" s="90">
        <v>0</v>
      </c>
      <c r="Q152" s="28">
        <v>0</v>
      </c>
      <c r="R152" s="74">
        <v>0</v>
      </c>
      <c r="S152" s="615">
        <v>8</v>
      </c>
      <c r="Z152" s="651" t="s">
        <v>339</v>
      </c>
      <c r="AA152" s="71" t="s">
        <v>212</v>
      </c>
      <c r="AB152" s="87" t="s">
        <v>372</v>
      </c>
      <c r="AC152" s="89">
        <f>IFERROR((TBR_P300[[#This Row],[R]]*9)/TBR_P300[[#This Row],[IP]],0)</f>
        <v>8.1818181818181817</v>
      </c>
      <c r="AD152" s="28">
        <v>1</v>
      </c>
      <c r="AE152" s="74">
        <v>0</v>
      </c>
      <c r="AF152" s="28">
        <v>10</v>
      </c>
      <c r="AG152" s="584">
        <v>11</v>
      </c>
      <c r="AH152" s="28">
        <v>19</v>
      </c>
      <c r="AI152" s="28">
        <v>10</v>
      </c>
      <c r="AJ152" s="28">
        <v>5</v>
      </c>
      <c r="AK152" s="28">
        <v>10</v>
      </c>
      <c r="AL152" s="28">
        <v>0</v>
      </c>
      <c r="AM152" s="89">
        <f>IFERROR((TBR_P300[[#This Row],[BB]]+TBR_P300[[#This Row],[H]])/TBR_P300[[#This Row],[IP]],0)</f>
        <v>2.1818181818181817</v>
      </c>
      <c r="AN152" s="28">
        <v>0</v>
      </c>
      <c r="AO152" s="90">
        <v>0</v>
      </c>
      <c r="AP152" s="28">
        <v>0</v>
      </c>
      <c r="AQ152" s="74">
        <v>0</v>
      </c>
      <c r="AR152" s="615">
        <v>8</v>
      </c>
      <c r="AY152" s="651" t="s">
        <v>339</v>
      </c>
      <c r="AZ152" s="71" t="s">
        <v>215</v>
      </c>
      <c r="BA152" s="71" t="s">
        <v>371</v>
      </c>
      <c r="BB152" s="89">
        <f>IFERROR((TBR_P213[[#This Row],[R]]*9)/TBR_P213[[#This Row],[IP]],0)</f>
        <v>5.6872037914691944</v>
      </c>
      <c r="BC152" s="28">
        <v>0</v>
      </c>
      <c r="BD152" s="74">
        <v>0</v>
      </c>
      <c r="BE152" s="28">
        <v>6</v>
      </c>
      <c r="BF152" s="584">
        <v>6.33</v>
      </c>
      <c r="BG152" s="28">
        <v>9</v>
      </c>
      <c r="BH152" s="28">
        <v>4</v>
      </c>
      <c r="BI152" s="28">
        <v>1</v>
      </c>
      <c r="BJ152" s="28">
        <v>2</v>
      </c>
      <c r="BK152" s="28">
        <v>0</v>
      </c>
      <c r="BL152" s="89">
        <f>IFERROR((TBR_P213[[#This Row],[BB]]+TBR_P213[[#This Row],[H]])/TBR_P213[[#This Row],[IP]],0)</f>
        <v>1.5797788309636651</v>
      </c>
      <c r="BM152" s="28">
        <v>0</v>
      </c>
      <c r="BN152" s="90">
        <v>0</v>
      </c>
      <c r="BO152" s="28">
        <v>0</v>
      </c>
      <c r="BP152" s="74">
        <v>0</v>
      </c>
      <c r="BQ152" s="615">
        <v>8</v>
      </c>
    </row>
    <row r="153" spans="1:73">
      <c r="A153" s="651" t="s">
        <v>339</v>
      </c>
      <c r="B153" s="71" t="s">
        <v>212</v>
      </c>
      <c r="C153" s="87" t="s">
        <v>373</v>
      </c>
      <c r="D153" s="89">
        <f>IFERROR((TBR_P[[#This Row],[R]]*9)/TBR_P[[#This Row],[IP]],0)</f>
        <v>5.1428571428571432</v>
      </c>
      <c r="E153" s="28">
        <v>1</v>
      </c>
      <c r="F153" s="74">
        <v>1</v>
      </c>
      <c r="G153" s="28">
        <v>19</v>
      </c>
      <c r="H153" s="584">
        <v>21</v>
      </c>
      <c r="I153" s="28">
        <v>21</v>
      </c>
      <c r="J153" s="28">
        <v>12</v>
      </c>
      <c r="K153" s="28">
        <v>14</v>
      </c>
      <c r="L153" s="28">
        <v>22</v>
      </c>
      <c r="M153" s="28">
        <v>1</v>
      </c>
      <c r="N153" s="89">
        <f>IFERROR((TBR_P[[#This Row],[BB]]+TBR_P[[#This Row],[H]])/TBR_P[[#This Row],[IP]],0)</f>
        <v>1.6666666666666667</v>
      </c>
      <c r="O153" s="28">
        <v>0</v>
      </c>
      <c r="P153" s="90">
        <v>0</v>
      </c>
      <c r="Q153" s="28">
        <v>0</v>
      </c>
      <c r="R153" s="74">
        <v>0</v>
      </c>
      <c r="S153" s="615">
        <v>9</v>
      </c>
      <c r="Z153" s="651" t="s">
        <v>339</v>
      </c>
      <c r="AA153" s="71" t="s">
        <v>212</v>
      </c>
      <c r="AB153" s="87" t="s">
        <v>373</v>
      </c>
      <c r="AC153" s="89">
        <f>IFERROR((TBR_P300[[#This Row],[R]]*9)/TBR_P300[[#This Row],[IP]],0)</f>
        <v>7.0831283817019193</v>
      </c>
      <c r="AD153" s="28">
        <v>2</v>
      </c>
      <c r="AE153" s="74">
        <v>2</v>
      </c>
      <c r="AF153" s="28">
        <v>21</v>
      </c>
      <c r="AG153" s="584">
        <v>20.329999999999998</v>
      </c>
      <c r="AH153" s="28">
        <v>25</v>
      </c>
      <c r="AI153" s="28">
        <v>16</v>
      </c>
      <c r="AJ153" s="28">
        <v>10</v>
      </c>
      <c r="AK153" s="28">
        <v>24</v>
      </c>
      <c r="AL153" s="28">
        <v>1</v>
      </c>
      <c r="AM153" s="89">
        <f>IFERROR((TBR_P300[[#This Row],[BB]]+TBR_P300[[#This Row],[H]])/TBR_P300[[#This Row],[IP]],0)</f>
        <v>1.7215937038858831</v>
      </c>
      <c r="AN153" s="28">
        <v>0</v>
      </c>
      <c r="AO153" s="90">
        <v>0</v>
      </c>
      <c r="AP153" s="28">
        <v>0</v>
      </c>
      <c r="AQ153" s="74">
        <v>0</v>
      </c>
      <c r="AR153" s="615">
        <v>9</v>
      </c>
      <c r="AY153" s="651" t="s">
        <v>339</v>
      </c>
      <c r="AZ153" s="71" t="s">
        <v>212</v>
      </c>
      <c r="BA153" s="71" t="s">
        <v>374</v>
      </c>
      <c r="BB153" s="89">
        <f>IFERROR((TBR_P213[[#This Row],[R]]*9)/TBR_P213[[#This Row],[IP]],0)</f>
        <v>6.7487948580610597</v>
      </c>
      <c r="BC153" s="28">
        <v>2</v>
      </c>
      <c r="BD153" s="74">
        <v>2</v>
      </c>
      <c r="BE153" s="28">
        <v>15</v>
      </c>
      <c r="BF153" s="584">
        <v>18.670000000000002</v>
      </c>
      <c r="BG153" s="28">
        <v>21</v>
      </c>
      <c r="BH153" s="28">
        <v>14</v>
      </c>
      <c r="BI153" s="28">
        <v>11</v>
      </c>
      <c r="BJ153" s="28">
        <v>15</v>
      </c>
      <c r="BK153" s="28">
        <v>0</v>
      </c>
      <c r="BL153" s="89">
        <f>IFERROR((TBR_P213[[#This Row],[BB]]+TBR_P213[[#This Row],[H]])/TBR_P213[[#This Row],[IP]],0)</f>
        <v>1.7139796464916977</v>
      </c>
      <c r="BM153" s="28">
        <v>0</v>
      </c>
      <c r="BN153" s="90">
        <v>0</v>
      </c>
      <c r="BO153" s="28">
        <v>0</v>
      </c>
      <c r="BP153" s="74">
        <v>0</v>
      </c>
      <c r="BQ153" s="615">
        <v>9</v>
      </c>
    </row>
    <row r="154" spans="1:73" ht="17" thickBot="1">
      <c r="A154" s="651" t="s">
        <v>339</v>
      </c>
      <c r="B154" s="71" t="s">
        <v>212</v>
      </c>
      <c r="C154" s="87" t="s">
        <v>375</v>
      </c>
      <c r="D154" s="89">
        <f>IFERROR((TBR_P[[#This Row],[R]]*9)/TBR_P[[#This Row],[IP]],0)</f>
        <v>5.1272312951006462</v>
      </c>
      <c r="E154" s="28">
        <v>2</v>
      </c>
      <c r="F154" s="74">
        <v>4</v>
      </c>
      <c r="G154" s="28">
        <v>22</v>
      </c>
      <c r="H154" s="584">
        <v>26.33</v>
      </c>
      <c r="I154" s="28">
        <v>30</v>
      </c>
      <c r="J154" s="28">
        <v>15</v>
      </c>
      <c r="K154" s="28">
        <v>12</v>
      </c>
      <c r="L154" s="28">
        <v>48</v>
      </c>
      <c r="M154" s="28">
        <v>4</v>
      </c>
      <c r="N154" s="89">
        <f>IFERROR((TBR_P[[#This Row],[BB]]+TBR_P[[#This Row],[H]])/TBR_P[[#This Row],[IP]],0)</f>
        <v>1.5951386251424231</v>
      </c>
      <c r="O154" s="28">
        <v>0</v>
      </c>
      <c r="P154" s="90">
        <v>0</v>
      </c>
      <c r="Q154" s="28">
        <v>0</v>
      </c>
      <c r="R154" s="74">
        <v>0</v>
      </c>
      <c r="S154" s="615">
        <v>10</v>
      </c>
      <c r="Z154" s="651" t="s">
        <v>339</v>
      </c>
      <c r="AA154" s="71" t="s">
        <v>212</v>
      </c>
      <c r="AB154" s="87" t="s">
        <v>375</v>
      </c>
      <c r="AC154" s="89">
        <f>IFERROR((TBR_P300[[#This Row],[R]]*9)/TBR_P300[[#This Row],[IP]],0)</f>
        <v>3.7599696164071403</v>
      </c>
      <c r="AD154" s="28">
        <v>1</v>
      </c>
      <c r="AE154" s="74">
        <v>1</v>
      </c>
      <c r="AF154" s="28">
        <v>24</v>
      </c>
      <c r="AG154" s="584">
        <v>26.33</v>
      </c>
      <c r="AH154" s="28">
        <v>25</v>
      </c>
      <c r="AI154" s="28">
        <v>11</v>
      </c>
      <c r="AJ154" s="28">
        <v>12</v>
      </c>
      <c r="AK154" s="28">
        <v>38</v>
      </c>
      <c r="AL154" s="28">
        <v>7</v>
      </c>
      <c r="AM154" s="89">
        <f>IFERROR((TBR_P300[[#This Row],[BB]]+TBR_P300[[#This Row],[H]])/TBR_P300[[#This Row],[IP]],0)</f>
        <v>1.4052411697683251</v>
      </c>
      <c r="AN154" s="28">
        <v>0</v>
      </c>
      <c r="AO154" s="90">
        <v>0</v>
      </c>
      <c r="AP154" s="28">
        <v>0</v>
      </c>
      <c r="AQ154" s="74">
        <v>0</v>
      </c>
      <c r="AR154" s="615">
        <v>10</v>
      </c>
      <c r="AY154" s="651" t="s">
        <v>339</v>
      </c>
      <c r="AZ154" s="71" t="s">
        <v>212</v>
      </c>
      <c r="BA154" s="71" t="s">
        <v>372</v>
      </c>
      <c r="BB154" s="89">
        <f>IFERROR((TBR_P213[[#This Row],[R]]*9)/TBR_P213[[#This Row],[IP]],0)</f>
        <v>5.485232067510549</v>
      </c>
      <c r="BC154" s="28">
        <v>0</v>
      </c>
      <c r="BD154" s="74">
        <v>2</v>
      </c>
      <c r="BE154" s="28">
        <v>21</v>
      </c>
      <c r="BF154" s="584">
        <v>21.33</v>
      </c>
      <c r="BG154" s="28">
        <v>21</v>
      </c>
      <c r="BH154" s="28">
        <v>13</v>
      </c>
      <c r="BI154" s="28">
        <v>6</v>
      </c>
      <c r="BJ154" s="28">
        <v>20</v>
      </c>
      <c r="BK154" s="28">
        <v>9</v>
      </c>
      <c r="BL154" s="89">
        <f>IFERROR((TBR_P213[[#This Row],[BB]]+TBR_P213[[#This Row],[H]])/TBR_P213[[#This Row],[IP]],0)</f>
        <v>1.2658227848101267</v>
      </c>
      <c r="BM154" s="28">
        <v>0</v>
      </c>
      <c r="BN154" s="90">
        <v>0</v>
      </c>
      <c r="BO154" s="28">
        <v>0</v>
      </c>
      <c r="BP154" s="74">
        <v>0</v>
      </c>
      <c r="BQ154" s="615">
        <v>10</v>
      </c>
    </row>
    <row r="155" spans="1:73" ht="17" thickBot="1">
      <c r="A155" s="691"/>
      <c r="B155" s="692"/>
      <c r="C155" s="693" t="s">
        <v>195</v>
      </c>
      <c r="D155" s="699">
        <f>(J155*9)/H155</f>
        <v>4.8305084745762707</v>
      </c>
      <c r="E155" s="696">
        <f>SUBTOTAL(109,TBR_P[W])</f>
        <v>15</v>
      </c>
      <c r="F155" s="697">
        <f>SUBTOTAL(109,TBR_P[L])</f>
        <v>25</v>
      </c>
      <c r="G155" s="696"/>
      <c r="H155" s="700">
        <f>SUBTOTAL(109,TBR_P[IP])</f>
        <v>354</v>
      </c>
      <c r="I155" s="696">
        <f>SUBTOTAL(109,TBR_P[H])</f>
        <v>388</v>
      </c>
      <c r="J155" s="696">
        <f>SUBTOTAL(109,TBR_P[R])</f>
        <v>190</v>
      </c>
      <c r="K155" s="696">
        <f>SUBTOTAL(109,TBR_P[BB])</f>
        <v>140</v>
      </c>
      <c r="L155" s="696">
        <f>SUBTOTAL(109,TBR_P[K])</f>
        <v>413</v>
      </c>
      <c r="M155" s="696">
        <f>SUBTOTAL(109,TBR_P[SV])</f>
        <v>6</v>
      </c>
      <c r="N155" s="699">
        <f>(I155+K155)/H155</f>
        <v>1.4915254237288136</v>
      </c>
      <c r="O155" s="701">
        <f>SUBTOTAL(109,TBR_P[QS])</f>
        <v>21</v>
      </c>
      <c r="P155" s="702">
        <f>SUBTOTAL(109,TBR_P[UQ])</f>
        <v>9</v>
      </c>
      <c r="Q155" s="703">
        <f>SUBTOTAL(109,TBR_P[CG])</f>
        <v>2</v>
      </c>
      <c r="R155" s="704">
        <f>SUBTOTAL(109,TBR_P[SH])</f>
        <v>2</v>
      </c>
      <c r="S155" s="698"/>
      <c r="Z155" s="691"/>
      <c r="AA155" s="692"/>
      <c r="AB155" s="693" t="s">
        <v>195</v>
      </c>
      <c r="AC155" s="699">
        <f>(AI155*9)/AG155</f>
        <v>3.4635804376527437</v>
      </c>
      <c r="AD155" s="696">
        <f>SUBTOTAL(109,TBR_P300[W])</f>
        <v>21</v>
      </c>
      <c r="AE155" s="697">
        <f>SUBTOTAL(109,TBR_P300[L])</f>
        <v>19</v>
      </c>
      <c r="AF155" s="696"/>
      <c r="AG155" s="700">
        <f>SUBTOTAL(109,TBR_P300[IP])</f>
        <v>355.98999999999995</v>
      </c>
      <c r="AH155" s="696">
        <f>SUBTOTAL(109,TBR_P300[H])</f>
        <v>317</v>
      </c>
      <c r="AI155" s="696">
        <f>SUBTOTAL(109,TBR_P300[R])</f>
        <v>137</v>
      </c>
      <c r="AJ155" s="696">
        <f>SUBTOTAL(109,TBR_P300[BB])</f>
        <v>113</v>
      </c>
      <c r="AK155" s="696">
        <f>SUBTOTAL(109,TBR_P300[K])</f>
        <v>375</v>
      </c>
      <c r="AL155" s="696">
        <f>SUBTOTAL(109,TBR_P300[SV])</f>
        <v>8</v>
      </c>
      <c r="AM155" s="699">
        <f>(AH155+AJ155)/AG155</f>
        <v>1.2078990982892779</v>
      </c>
      <c r="AN155" s="701">
        <f>SUBTOTAL(109,TBR_P300[QS])</f>
        <v>27</v>
      </c>
      <c r="AO155" s="725">
        <f>SUBTOTAL(109,TBR_P300[UQ])</f>
        <v>17</v>
      </c>
      <c r="AP155" s="726">
        <f>SUBTOTAL(109,TBR_P300[CG])</f>
        <v>6</v>
      </c>
      <c r="AQ155" s="704">
        <f>SUBTOTAL(109,TBR_P300[SH])</f>
        <v>3</v>
      </c>
      <c r="AR155" s="698"/>
      <c r="AY155" s="691"/>
      <c r="AZ155" s="692"/>
      <c r="BA155" s="693" t="s">
        <v>195</v>
      </c>
      <c r="BB155" s="699">
        <f>IFERROR((BH155*9)/BF155,0)</f>
        <v>4.6779661016949152</v>
      </c>
      <c r="BC155" s="696">
        <f>SUM(BC145:BC154)</f>
        <v>17</v>
      </c>
      <c r="BD155" s="697">
        <f>SUM(BD145:BD154)</f>
        <v>23</v>
      </c>
      <c r="BE155" s="696"/>
      <c r="BF155" s="700">
        <f t="shared" ref="BF155:BK155" si="14">SUM(BF145:BF154)</f>
        <v>354</v>
      </c>
      <c r="BG155" s="696">
        <f t="shared" si="14"/>
        <v>374</v>
      </c>
      <c r="BH155" s="696">
        <f t="shared" si="14"/>
        <v>184</v>
      </c>
      <c r="BI155" s="696">
        <f t="shared" si="14"/>
        <v>112</v>
      </c>
      <c r="BJ155" s="696">
        <f t="shared" si="14"/>
        <v>361</v>
      </c>
      <c r="BK155" s="696">
        <f t="shared" si="14"/>
        <v>9</v>
      </c>
      <c r="BL155" s="699">
        <f>(BI155+BG155)/BF155</f>
        <v>1.3728813559322033</v>
      </c>
      <c r="BM155" s="701">
        <f>SUM(BM145:BM154)</f>
        <v>23</v>
      </c>
      <c r="BN155" s="702">
        <f>SUM(BN145:BN154)</f>
        <v>12</v>
      </c>
      <c r="BO155" s="703">
        <f>SUM(BO145:BO154)</f>
        <v>4</v>
      </c>
      <c r="BP155" s="704">
        <f>SUM(BP145:BP154)</f>
        <v>4</v>
      </c>
      <c r="BQ155" s="698"/>
    </row>
    <row r="156" spans="1:73" ht="17" thickBot="1"/>
    <row r="157" spans="1:73" ht="29" thickBot="1">
      <c r="A157" s="1018" t="s">
        <v>376</v>
      </c>
      <c r="B157" s="1019"/>
      <c r="C157" s="1019"/>
      <c r="D157" s="1019"/>
      <c r="E157" s="1019"/>
      <c r="F157" s="1019"/>
      <c r="G157" s="1019"/>
      <c r="H157" s="1019"/>
      <c r="I157" s="1019"/>
      <c r="J157" s="1019"/>
      <c r="K157" s="1019"/>
      <c r="L157" s="1019"/>
      <c r="M157" s="1019"/>
      <c r="N157" s="1019"/>
      <c r="O157" s="1019"/>
      <c r="P157" s="1019"/>
      <c r="Q157" s="1019"/>
      <c r="R157" s="1019"/>
      <c r="S157" s="1019"/>
      <c r="T157" s="1019"/>
      <c r="U157" s="1019"/>
      <c r="V157" s="1019"/>
      <c r="W157" s="1020"/>
      <c r="Z157" s="1018" t="s">
        <v>376</v>
      </c>
      <c r="AA157" s="1019"/>
      <c r="AB157" s="1019"/>
      <c r="AC157" s="1019"/>
      <c r="AD157" s="1019"/>
      <c r="AE157" s="1019"/>
      <c r="AF157" s="1019"/>
      <c r="AG157" s="1019"/>
      <c r="AH157" s="1019"/>
      <c r="AI157" s="1019"/>
      <c r="AJ157" s="1019"/>
      <c r="AK157" s="1019"/>
      <c r="AL157" s="1019"/>
      <c r="AM157" s="1019"/>
      <c r="AN157" s="1019"/>
      <c r="AO157" s="1019"/>
      <c r="AP157" s="1019"/>
      <c r="AQ157" s="1019"/>
      <c r="AR157" s="1019"/>
      <c r="AS157" s="1019"/>
      <c r="AT157" s="1019"/>
      <c r="AU157" s="1019"/>
      <c r="AV157" s="1020"/>
      <c r="AY157" s="1018" t="s">
        <v>376</v>
      </c>
      <c r="AZ157" s="1019"/>
      <c r="BA157" s="1019"/>
      <c r="BB157" s="1019"/>
      <c r="BC157" s="1019"/>
      <c r="BD157" s="1019"/>
      <c r="BE157" s="1019"/>
      <c r="BF157" s="1019"/>
      <c r="BG157" s="1019"/>
      <c r="BH157" s="1019"/>
      <c r="BI157" s="1019"/>
      <c r="BJ157" s="1019"/>
      <c r="BK157" s="1019"/>
      <c r="BL157" s="1019"/>
      <c r="BM157" s="1019"/>
      <c r="BN157" s="1019"/>
      <c r="BO157" s="1019"/>
      <c r="BP157" s="1019"/>
      <c r="BQ157" s="1019"/>
      <c r="BR157" s="1019"/>
      <c r="BS157" s="1019"/>
      <c r="BT157" s="1019"/>
      <c r="BU157" s="1020"/>
    </row>
    <row r="158" spans="1:73" ht="24" thickBot="1">
      <c r="A158" s="1039" t="s">
        <v>377</v>
      </c>
      <c r="B158" s="1040"/>
      <c r="C158" s="1040"/>
      <c r="D158" s="1040"/>
      <c r="E158" s="1040"/>
      <c r="F158" s="1040"/>
      <c r="G158" s="1040"/>
      <c r="H158" s="1040"/>
      <c r="I158" s="1040"/>
      <c r="J158" s="1040"/>
      <c r="K158" s="1040"/>
      <c r="L158" s="1040"/>
      <c r="M158" s="1040"/>
      <c r="N158" s="1040"/>
      <c r="O158" s="1040"/>
      <c r="P158" s="1040"/>
      <c r="Q158" s="1040"/>
      <c r="R158" s="1040"/>
      <c r="S158" s="1040"/>
      <c r="T158" s="1040"/>
      <c r="U158" s="1040"/>
      <c r="V158" s="1040"/>
      <c r="W158" s="1041"/>
      <c r="Z158" s="1048" t="s">
        <v>378</v>
      </c>
      <c r="AA158" s="1049"/>
      <c r="AB158" s="1049"/>
      <c r="AC158" s="1049"/>
      <c r="AD158" s="1049"/>
      <c r="AE158" s="1049"/>
      <c r="AF158" s="1049"/>
      <c r="AG158" s="1049"/>
      <c r="AH158" s="1049"/>
      <c r="AI158" s="1049"/>
      <c r="AJ158" s="1049"/>
      <c r="AK158" s="1049"/>
      <c r="AL158" s="1049"/>
      <c r="AM158" s="1049"/>
      <c r="AN158" s="1049"/>
      <c r="AO158" s="1049"/>
      <c r="AP158" s="1049"/>
      <c r="AQ158" s="1049"/>
      <c r="AR158" s="1049"/>
      <c r="AS158" s="1049"/>
      <c r="AT158" s="1049"/>
      <c r="AU158" s="1049"/>
      <c r="AV158" s="1050"/>
      <c r="AY158" s="1012" t="s">
        <v>379</v>
      </c>
      <c r="AZ158" s="1013"/>
      <c r="BA158" s="1013"/>
      <c r="BB158" s="1013"/>
      <c r="BC158" s="1013"/>
      <c r="BD158" s="1013"/>
      <c r="BE158" s="1013"/>
      <c r="BF158" s="1013"/>
      <c r="BG158" s="1013"/>
      <c r="BH158" s="1013"/>
      <c r="BI158" s="1013"/>
      <c r="BJ158" s="1013"/>
      <c r="BK158" s="1013"/>
      <c r="BL158" s="1013"/>
      <c r="BM158" s="1013"/>
      <c r="BN158" s="1013"/>
      <c r="BO158" s="1013"/>
      <c r="BP158" s="1013"/>
      <c r="BQ158" s="1013"/>
      <c r="BR158" s="1013"/>
      <c r="BS158" s="1013"/>
      <c r="BT158" s="1013"/>
      <c r="BU158" s="1014"/>
    </row>
    <row r="159" spans="1:73" s="64" customFormat="1" ht="14" thickBot="1">
      <c r="A159" s="605" t="s">
        <v>143</v>
      </c>
      <c r="B159" s="606" t="s">
        <v>144</v>
      </c>
      <c r="C159" s="606" t="s">
        <v>145</v>
      </c>
      <c r="D159" s="606" t="s">
        <v>146</v>
      </c>
      <c r="E159" s="606" t="s">
        <v>147</v>
      </c>
      <c r="F159" s="606" t="s">
        <v>148</v>
      </c>
      <c r="G159" s="606" t="s">
        <v>149</v>
      </c>
      <c r="H159" s="606" t="s">
        <v>150</v>
      </c>
      <c r="I159" s="606" t="s">
        <v>151</v>
      </c>
      <c r="J159" s="606" t="s">
        <v>152</v>
      </c>
      <c r="K159" s="606" t="s">
        <v>153</v>
      </c>
      <c r="L159" s="606" t="s">
        <v>154</v>
      </c>
      <c r="M159" s="606" t="s">
        <v>155</v>
      </c>
      <c r="N159" s="606" t="s">
        <v>156</v>
      </c>
      <c r="O159" s="606" t="s">
        <v>157</v>
      </c>
      <c r="P159" s="606" t="s">
        <v>158</v>
      </c>
      <c r="Q159" s="606" t="s">
        <v>159</v>
      </c>
      <c r="R159" s="606" t="s">
        <v>160</v>
      </c>
      <c r="S159" s="606" t="s">
        <v>16</v>
      </c>
      <c r="T159" s="606" t="s">
        <v>161</v>
      </c>
      <c r="U159" s="606" t="s">
        <v>162</v>
      </c>
      <c r="V159" s="606" t="s">
        <v>163</v>
      </c>
      <c r="W159" s="607" t="s">
        <v>164</v>
      </c>
      <c r="Z159" s="605" t="s">
        <v>143</v>
      </c>
      <c r="AA159" s="606" t="s">
        <v>144</v>
      </c>
      <c r="AB159" s="606" t="s">
        <v>145</v>
      </c>
      <c r="AC159" s="606" t="s">
        <v>146</v>
      </c>
      <c r="AD159" s="606" t="s">
        <v>147</v>
      </c>
      <c r="AE159" s="606" t="s">
        <v>148</v>
      </c>
      <c r="AF159" s="606" t="s">
        <v>149</v>
      </c>
      <c r="AG159" s="606" t="s">
        <v>150</v>
      </c>
      <c r="AH159" s="606" t="s">
        <v>151</v>
      </c>
      <c r="AI159" s="606" t="s">
        <v>152</v>
      </c>
      <c r="AJ159" s="606" t="s">
        <v>153</v>
      </c>
      <c r="AK159" s="606" t="s">
        <v>154</v>
      </c>
      <c r="AL159" s="606" t="s">
        <v>155</v>
      </c>
      <c r="AM159" s="606" t="s">
        <v>156</v>
      </c>
      <c r="AN159" s="606" t="s">
        <v>157</v>
      </c>
      <c r="AO159" s="606" t="s">
        <v>158</v>
      </c>
      <c r="AP159" s="606" t="s">
        <v>159</v>
      </c>
      <c r="AQ159" s="606" t="s">
        <v>160</v>
      </c>
      <c r="AR159" s="606" t="s">
        <v>16</v>
      </c>
      <c r="AS159" s="606" t="s">
        <v>161</v>
      </c>
      <c r="AT159" s="606" t="s">
        <v>162</v>
      </c>
      <c r="AU159" s="606" t="s">
        <v>163</v>
      </c>
      <c r="AV159" s="607" t="s">
        <v>164</v>
      </c>
      <c r="AY159" s="605" t="s">
        <v>143</v>
      </c>
      <c r="AZ159" s="606" t="s">
        <v>144</v>
      </c>
      <c r="BA159" s="606" t="s">
        <v>145</v>
      </c>
      <c r="BB159" s="606" t="s">
        <v>146</v>
      </c>
      <c r="BC159" s="606" t="s">
        <v>147</v>
      </c>
      <c r="BD159" s="606" t="s">
        <v>148</v>
      </c>
      <c r="BE159" s="606" t="s">
        <v>149</v>
      </c>
      <c r="BF159" s="606" t="s">
        <v>150</v>
      </c>
      <c r="BG159" s="606" t="s">
        <v>151</v>
      </c>
      <c r="BH159" s="606" t="s">
        <v>152</v>
      </c>
      <c r="BI159" s="606" t="s">
        <v>153</v>
      </c>
      <c r="BJ159" s="606" t="s">
        <v>154</v>
      </c>
      <c r="BK159" s="606" t="s">
        <v>155</v>
      </c>
      <c r="BL159" s="606" t="s">
        <v>156</v>
      </c>
      <c r="BM159" s="606" t="s">
        <v>157</v>
      </c>
      <c r="BN159" s="606" t="s">
        <v>158</v>
      </c>
      <c r="BO159" s="606" t="s">
        <v>159</v>
      </c>
      <c r="BP159" s="606" t="s">
        <v>160</v>
      </c>
      <c r="BQ159" s="606" t="s">
        <v>16</v>
      </c>
      <c r="BR159" s="606" t="s">
        <v>161</v>
      </c>
      <c r="BS159" s="606" t="s">
        <v>162</v>
      </c>
      <c r="BT159" s="606" t="s">
        <v>163</v>
      </c>
      <c r="BU159" s="607" t="s">
        <v>164</v>
      </c>
    </row>
    <row r="160" spans="1:73">
      <c r="A160" s="608" t="s">
        <v>165</v>
      </c>
      <c r="B160" s="597" t="s">
        <v>179</v>
      </c>
      <c r="C160" s="673" t="s">
        <v>180</v>
      </c>
      <c r="D160" s="706">
        <f>IFERROR((NYY_H50[[#This Row],[H]]/NYY_H50[[#This Row],[AB]]),0)</f>
        <v>0.28125</v>
      </c>
      <c r="E160" s="598">
        <f>IFERROR((NYY_H50[[#This Row],[H]]+NYY_H50[[#This Row],[BB]])/(NYY_H50[[#This Row],[AB]]+NYY_H50[[#This Row],[BB]]),)</f>
        <v>0.34285714285714286</v>
      </c>
      <c r="F160" s="599">
        <f>IFERROR(((NYY_H50[[#This Row],[H]]-NYY_H50[[#This Row],[2B]]-NYY_H50[[#This Row],[3B]]-NYY_H50[[#This Row],[HR]])+(NYY_H50[[#This Row],[2B]]*2)+(NYY_H50[[#This Row],[3B]]*3)+(NYY_H50[[#This Row],[HR]]*4))/NYY_H50[[#This Row],[AB]],0)</f>
        <v>0.5</v>
      </c>
      <c r="G160" s="600">
        <v>18</v>
      </c>
      <c r="H160" s="601">
        <v>64</v>
      </c>
      <c r="I160" s="601">
        <v>9</v>
      </c>
      <c r="J160" s="601">
        <v>18</v>
      </c>
      <c r="K160" s="601">
        <v>5</v>
      </c>
      <c r="L160" s="601">
        <v>0</v>
      </c>
      <c r="M160" s="601">
        <v>3</v>
      </c>
      <c r="N160" s="601">
        <v>8</v>
      </c>
      <c r="O160" s="601">
        <v>6</v>
      </c>
      <c r="P160" s="603">
        <v>18</v>
      </c>
      <c r="Q160" s="601">
        <v>0</v>
      </c>
      <c r="R160" s="601">
        <v>0</v>
      </c>
      <c r="S160" s="603">
        <v>8</v>
      </c>
      <c r="T160" s="601">
        <f>IFERROR((NYY_H50[[#This Row],[H]]-NYY_H50[[#This Row],[2B]]-NYY_H50[[#This Row],[3B]]-NYY_H50[[#This Row],[HR]])+(NYY_H50[[#This Row],[2B]]*2)+(NYY_H50[[#This Row],[3B]]*3)+(NYY_H50[[#This Row],[HR]]*4),0)</f>
        <v>32</v>
      </c>
      <c r="U160" s="598">
        <f>NYY_H50[[#This Row],[OBP]]+NYY_H50[[#This Row],[SLG]]</f>
        <v>0.84285714285714286</v>
      </c>
      <c r="V160" s="604">
        <v>1</v>
      </c>
      <c r="W160" s="614">
        <v>1</v>
      </c>
      <c r="Z160" s="719" t="s">
        <v>266</v>
      </c>
      <c r="AA160" s="597" t="s">
        <v>179</v>
      </c>
      <c r="AB160" s="597" t="s">
        <v>278</v>
      </c>
      <c r="AC160" s="598">
        <f>IFERROR(TOR_H51[[#This Row],[H]]/TOR_H51[[#This Row],[AB]],0)</f>
        <v>0.23076923076923078</v>
      </c>
      <c r="AD160" s="598">
        <f>IFERROR((TOR_H51[[#This Row],[H]]+TOR_H51[[#This Row],[BB]])/(TOR_H51[[#This Row],[AB]]+TOR_H51[[#This Row],[BB]]),0)</f>
        <v>0.27272727272727271</v>
      </c>
      <c r="AE160" s="599">
        <f>IFERROR(((TOR_H51[[#This Row],[H]]-TOR_H51[[#This Row],[2B]]-TOR_H51[[#This Row],[3B]]-TOR_H51[[#This Row],[HR]])+(TOR_H51[[#This Row],[2B]]*2)+(TOR_H51[[#This Row],[3B]]*3)+(TOR_H51[[#This Row],[HR]]*4))/TOR_H51[[#This Row],[AB]],0)</f>
        <v>0.34615384615384615</v>
      </c>
      <c r="AF160" s="600">
        <v>15</v>
      </c>
      <c r="AG160" s="600">
        <v>52</v>
      </c>
      <c r="AH160" s="600">
        <v>2</v>
      </c>
      <c r="AI160" s="600">
        <v>12</v>
      </c>
      <c r="AJ160" s="600">
        <v>3</v>
      </c>
      <c r="AK160" s="600">
        <v>0</v>
      </c>
      <c r="AL160" s="600">
        <v>1</v>
      </c>
      <c r="AM160" s="600">
        <v>4</v>
      </c>
      <c r="AN160" s="600">
        <v>3</v>
      </c>
      <c r="AO160" s="604">
        <v>13</v>
      </c>
      <c r="AP160" s="673">
        <v>0</v>
      </c>
      <c r="AQ160" s="600">
        <v>0</v>
      </c>
      <c r="AR160" s="604">
        <v>5</v>
      </c>
      <c r="AS160" s="673">
        <f>IFERROR((TOR_H51[[#This Row],[H]]-TOR_H51[[#This Row],[2B]]-TOR_H51[[#This Row],[3B]]-TOR_H51[[#This Row],[HR]])+(TOR_H51[[#This Row],[2B]]*2)+(TOR_H51[[#This Row],[3B]]*3)+(TOR_H51[[#This Row],[HR]]*4),0)</f>
        <v>18</v>
      </c>
      <c r="AT160" s="598">
        <f>TOR_H51[[#This Row],[OBP]]+TOR_H51[[#This Row],[SLG]]</f>
        <v>0.61888111888111885</v>
      </c>
      <c r="AU160" s="604">
        <v>0</v>
      </c>
      <c r="AV160" s="614">
        <v>1</v>
      </c>
      <c r="AY160" s="650" t="s">
        <v>226</v>
      </c>
      <c r="AZ160" s="597" t="s">
        <v>179</v>
      </c>
      <c r="BA160" s="597" t="s">
        <v>238</v>
      </c>
      <c r="BB160" s="598">
        <f>IFERROR(BOS_H13114[[#This Row],[H]]/BOS_H13114[[#This Row],[AB]],0)</f>
        <v>0.31578947368421051</v>
      </c>
      <c r="BC160" s="598">
        <f>IFERROR((BOS_H13114[[#This Row],[BB]]+BOS_H13114[[#This Row],[H]])/(BOS_H13114[[#This Row],[AB]]+BOS_H13114[[#This Row],[BB]]),0)</f>
        <v>0.31578947368421051</v>
      </c>
      <c r="BD160" s="599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0.57894736842105265</v>
      </c>
      <c r="BE160" s="600">
        <v>5</v>
      </c>
      <c r="BF160" s="600">
        <v>19</v>
      </c>
      <c r="BG160" s="600">
        <v>3</v>
      </c>
      <c r="BH160" s="600">
        <v>6</v>
      </c>
      <c r="BI160" s="600">
        <v>5</v>
      </c>
      <c r="BJ160" s="600">
        <v>0</v>
      </c>
      <c r="BK160" s="600">
        <v>0</v>
      </c>
      <c r="BL160" s="600">
        <v>1</v>
      </c>
      <c r="BM160" s="600">
        <v>0</v>
      </c>
      <c r="BN160" s="604">
        <v>6</v>
      </c>
      <c r="BO160" s="600">
        <v>0</v>
      </c>
      <c r="BP160" s="600">
        <v>4</v>
      </c>
      <c r="BQ160" s="604">
        <v>4</v>
      </c>
      <c r="BR160" s="600">
        <f t="shared" ref="BR160:BR173" si="15">IFERROR((BH160-BI160-BJ160-BK160)+(BI160*2)+(BJ160*3)+(BK160*4),0)</f>
        <v>11</v>
      </c>
      <c r="BS160" s="598">
        <f>IFERROR(BOS_H13114[[#This Row],[OBP]]+BOS_H13114[[#This Row],[SLG]],0)</f>
        <v>0.89473684210526316</v>
      </c>
      <c r="BT160" s="604">
        <v>0</v>
      </c>
      <c r="BU160" s="614">
        <v>1</v>
      </c>
    </row>
    <row r="161" spans="1:73">
      <c r="A161" s="609" t="s">
        <v>165</v>
      </c>
      <c r="B161" s="71" t="s">
        <v>154</v>
      </c>
      <c r="C161" s="77" t="s">
        <v>175</v>
      </c>
      <c r="D161" s="130">
        <f>IFERROR((NYY_H50[[#This Row],[H]]/NYY_H50[[#This Row],[AB]]),0)</f>
        <v>0.26865671641791045</v>
      </c>
      <c r="E161" s="72">
        <f>IFERROR((NYY_H50[[#This Row],[H]]+NYY_H50[[#This Row],[BB]])/(NYY_H50[[#This Row],[AB]]+NYY_H50[[#This Row],[BB]]),)</f>
        <v>0.31944444444444442</v>
      </c>
      <c r="F161" s="73">
        <f>IFERROR(((NYY_H50[[#This Row],[H]]-NYY_H50[[#This Row],[2B]]-NYY_H50[[#This Row],[3B]]-NYY_H50[[#This Row],[HR]])+(NYY_H50[[#This Row],[2B]]*2)+(NYY_H50[[#This Row],[3B]]*3)+(NYY_H50[[#This Row],[HR]]*4))/NYY_H50[[#This Row],[AB]],0)</f>
        <v>0.32835820895522388</v>
      </c>
      <c r="G161" s="28">
        <v>18</v>
      </c>
      <c r="H161" s="90">
        <v>67</v>
      </c>
      <c r="I161" s="90">
        <v>7</v>
      </c>
      <c r="J161" s="90">
        <v>18</v>
      </c>
      <c r="K161" s="90">
        <v>4</v>
      </c>
      <c r="L161" s="90">
        <v>0</v>
      </c>
      <c r="M161" s="90">
        <v>0</v>
      </c>
      <c r="N161" s="90">
        <v>3</v>
      </c>
      <c r="O161" s="90">
        <v>5</v>
      </c>
      <c r="P161" s="95">
        <v>15</v>
      </c>
      <c r="Q161" s="90">
        <v>0</v>
      </c>
      <c r="R161" s="90">
        <v>0</v>
      </c>
      <c r="S161" s="96">
        <v>11</v>
      </c>
      <c r="T161" s="90">
        <f>IFERROR((NYY_H50[[#This Row],[H]]-NYY_H50[[#This Row],[2B]]-NYY_H50[[#This Row],[3B]]-NYY_H50[[#This Row],[HR]])+(NYY_H50[[#This Row],[2B]]*2)+(NYY_H50[[#This Row],[3B]]*3)+(NYY_H50[[#This Row],[HR]]*4),0)</f>
        <v>22</v>
      </c>
      <c r="U161" s="72">
        <f>NYY_H50[[#This Row],[OBP]]+NYY_H50[[#This Row],[SLG]]</f>
        <v>0.64780265339966836</v>
      </c>
      <c r="V161" s="74">
        <v>2</v>
      </c>
      <c r="W161" s="615">
        <v>2</v>
      </c>
      <c r="Z161" s="720" t="s">
        <v>266</v>
      </c>
      <c r="AA161" s="71" t="s">
        <v>154</v>
      </c>
      <c r="AB161" s="71" t="s">
        <v>277</v>
      </c>
      <c r="AC161" s="72">
        <f>IFERROR(TOR_H51[[#This Row],[H]]/TOR_H51[[#This Row],[AB]],0)</f>
        <v>0.16071428571428573</v>
      </c>
      <c r="AD161" s="72">
        <f>IFERROR((TOR_H51[[#This Row],[H]]+TOR_H51[[#This Row],[BB]])/(TOR_H51[[#This Row],[AB]]+TOR_H51[[#This Row],[BB]]),0)</f>
        <v>0.21666666666666667</v>
      </c>
      <c r="AE161" s="73">
        <f>IFERROR(((TOR_H51[[#This Row],[H]]-TOR_H51[[#This Row],[2B]]-TOR_H51[[#This Row],[3B]]-TOR_H51[[#This Row],[HR]])+(TOR_H51[[#This Row],[2B]]*2)+(TOR_H51[[#This Row],[3B]]*3)+(TOR_H51[[#This Row],[HR]]*4))/TOR_H51[[#This Row],[AB]],0)</f>
        <v>0.32142857142857145</v>
      </c>
      <c r="AF161" s="28">
        <v>15</v>
      </c>
      <c r="AG161" s="28">
        <v>56</v>
      </c>
      <c r="AH161" s="28">
        <v>4</v>
      </c>
      <c r="AI161" s="28">
        <v>9</v>
      </c>
      <c r="AJ161" s="28">
        <v>3</v>
      </c>
      <c r="AK161" s="28">
        <v>0</v>
      </c>
      <c r="AL161" s="28">
        <v>2</v>
      </c>
      <c r="AM161" s="28">
        <v>3</v>
      </c>
      <c r="AN161" s="28">
        <v>4</v>
      </c>
      <c r="AO161" s="104">
        <v>26</v>
      </c>
      <c r="AP161" s="77">
        <v>0</v>
      </c>
      <c r="AQ161" s="28">
        <v>0</v>
      </c>
      <c r="AR161" s="74">
        <v>2</v>
      </c>
      <c r="AS161" s="77">
        <f>IFERROR((TOR_H51[[#This Row],[H]]-TOR_H51[[#This Row],[2B]]-TOR_H51[[#This Row],[3B]]-TOR_H51[[#This Row],[HR]])+(TOR_H51[[#This Row],[2B]]*2)+(TOR_H51[[#This Row],[3B]]*3)+(TOR_H51[[#This Row],[HR]]*4),0)</f>
        <v>18</v>
      </c>
      <c r="AT161" s="72">
        <f>TOR_H51[[#This Row],[OBP]]+TOR_H51[[#This Row],[SLG]]</f>
        <v>0.53809523809523818</v>
      </c>
      <c r="AU161" s="74">
        <v>1</v>
      </c>
      <c r="AV161" s="615">
        <v>2</v>
      </c>
      <c r="AY161" s="651" t="s">
        <v>226</v>
      </c>
      <c r="AZ161" s="71" t="s">
        <v>154</v>
      </c>
      <c r="BA161" s="71" t="s">
        <v>233</v>
      </c>
      <c r="BB161" s="72">
        <f>IFERROR(BOS_H13114[[#This Row],[H]]/BOS_H13114[[#This Row],[AB]],0)</f>
        <v>0.13636363636363635</v>
      </c>
      <c r="BC161" s="72">
        <f>IFERROR((BOS_H13114[[#This Row],[BB]]+BOS_H13114[[#This Row],[H]])/(BOS_H13114[[#This Row],[AB]]+BOS_H13114[[#This Row],[BB]]),0)</f>
        <v>0.17391304347826086</v>
      </c>
      <c r="BD161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0.13636363636363635</v>
      </c>
      <c r="BE161" s="28">
        <v>5</v>
      </c>
      <c r="BF161" s="28">
        <v>22</v>
      </c>
      <c r="BG161" s="28">
        <v>2</v>
      </c>
      <c r="BH161" s="28">
        <v>3</v>
      </c>
      <c r="BI161" s="28">
        <v>0</v>
      </c>
      <c r="BJ161" s="28">
        <v>0</v>
      </c>
      <c r="BK161" s="28">
        <v>0</v>
      </c>
      <c r="BL161" s="28">
        <v>0</v>
      </c>
      <c r="BM161" s="28">
        <v>1</v>
      </c>
      <c r="BN161" s="74">
        <v>7</v>
      </c>
      <c r="BO161" s="28">
        <v>0</v>
      </c>
      <c r="BP161" s="28">
        <v>0</v>
      </c>
      <c r="BQ161" s="74">
        <v>1</v>
      </c>
      <c r="BR161" s="28">
        <f t="shared" si="15"/>
        <v>3</v>
      </c>
      <c r="BS161" s="72">
        <f>IFERROR(BOS_H13114[[#This Row],[OBP]]+BOS_H13114[[#This Row],[SLG]],0)</f>
        <v>0.31027667984189722</v>
      </c>
      <c r="BT161" s="74">
        <v>0</v>
      </c>
      <c r="BU161" s="615">
        <v>2</v>
      </c>
    </row>
    <row r="162" spans="1:73">
      <c r="A162" s="609" t="s">
        <v>165</v>
      </c>
      <c r="B162" s="71" t="s">
        <v>172</v>
      </c>
      <c r="C162" s="77" t="s">
        <v>173</v>
      </c>
      <c r="D162" s="130">
        <f>IFERROR((NYY_H50[[#This Row],[H]]/NYY_H50[[#This Row],[AB]]),0)</f>
        <v>0.27848101265822783</v>
      </c>
      <c r="E162" s="72">
        <f>IFERROR((NYY_H50[[#This Row],[H]]+NYY_H50[[#This Row],[BB]])/(NYY_H50[[#This Row],[AB]]+NYY_H50[[#This Row],[BB]]),)</f>
        <v>0.32941176470588235</v>
      </c>
      <c r="F162" s="73">
        <f>IFERROR(((NYY_H50[[#This Row],[H]]-NYY_H50[[#This Row],[2B]]-NYY_H50[[#This Row],[3B]]-NYY_H50[[#This Row],[HR]])+(NYY_H50[[#This Row],[2B]]*2)+(NYY_H50[[#This Row],[3B]]*3)+(NYY_H50[[#This Row],[HR]]*4))/NYY_H50[[#This Row],[AB]],0)</f>
        <v>0.46835443037974683</v>
      </c>
      <c r="G162" s="28">
        <v>18</v>
      </c>
      <c r="H162" s="705">
        <v>79</v>
      </c>
      <c r="I162" s="90">
        <v>9</v>
      </c>
      <c r="J162" s="90">
        <v>22</v>
      </c>
      <c r="K162" s="90">
        <v>1</v>
      </c>
      <c r="L162" s="90">
        <v>1</v>
      </c>
      <c r="M162" s="90">
        <v>4</v>
      </c>
      <c r="N162" s="90">
        <v>10</v>
      </c>
      <c r="O162" s="90">
        <v>6</v>
      </c>
      <c r="P162" s="95">
        <v>18</v>
      </c>
      <c r="Q162" s="90">
        <v>0</v>
      </c>
      <c r="R162" s="90">
        <v>1</v>
      </c>
      <c r="S162" s="95">
        <v>7</v>
      </c>
      <c r="T162" s="90">
        <f>IFERROR((NYY_H50[[#This Row],[H]]-NYY_H50[[#This Row],[2B]]-NYY_H50[[#This Row],[3B]]-NYY_H50[[#This Row],[HR]])+(NYY_H50[[#This Row],[2B]]*2)+(NYY_H50[[#This Row],[3B]]*3)+(NYY_H50[[#This Row],[HR]]*4),0)</f>
        <v>37</v>
      </c>
      <c r="U162" s="72">
        <f>NYY_H50[[#This Row],[OBP]]+NYY_H50[[#This Row],[SLG]]</f>
        <v>0.79776619508562918</v>
      </c>
      <c r="V162" s="74">
        <v>2</v>
      </c>
      <c r="W162" s="615">
        <v>3</v>
      </c>
      <c r="Z162" s="720" t="s">
        <v>266</v>
      </c>
      <c r="AA162" s="345" t="s">
        <v>172</v>
      </c>
      <c r="AB162" s="345" t="s">
        <v>268</v>
      </c>
      <c r="AC162" s="72">
        <f>IFERROR(TOR_H51[[#This Row],[H]]/TOR_H51[[#This Row],[AB]],0)</f>
        <v>0.36065573770491804</v>
      </c>
      <c r="AD162" s="72">
        <f>IFERROR((TOR_H51[[#This Row],[H]]+TOR_H51[[#This Row],[BB]])/(TOR_H51[[#This Row],[AB]]+TOR_H51[[#This Row],[BB]]),0)</f>
        <v>0.38095238095238093</v>
      </c>
      <c r="AE162" s="73">
        <f>IFERROR(((TOR_H51[[#This Row],[H]]-TOR_H51[[#This Row],[2B]]-TOR_H51[[#This Row],[3B]]-TOR_H51[[#This Row],[HR]])+(TOR_H51[[#This Row],[2B]]*2)+(TOR_H51[[#This Row],[3B]]*3)+(TOR_H51[[#This Row],[HR]]*4))/TOR_H51[[#This Row],[AB]],0)</f>
        <v>0.67213114754098358</v>
      </c>
      <c r="AF162" s="28">
        <v>15</v>
      </c>
      <c r="AG162" s="28">
        <v>61</v>
      </c>
      <c r="AH162" s="28">
        <v>8</v>
      </c>
      <c r="AI162" s="76">
        <v>22</v>
      </c>
      <c r="AJ162" s="586">
        <v>7</v>
      </c>
      <c r="AK162" s="28">
        <v>0</v>
      </c>
      <c r="AL162" s="28">
        <v>4</v>
      </c>
      <c r="AM162" s="28">
        <v>11</v>
      </c>
      <c r="AN162" s="28">
        <v>2</v>
      </c>
      <c r="AO162" s="74">
        <v>14</v>
      </c>
      <c r="AP162" s="77">
        <v>0</v>
      </c>
      <c r="AQ162" s="28">
        <v>0</v>
      </c>
      <c r="AR162" s="74">
        <v>7</v>
      </c>
      <c r="AS162" s="352">
        <f>IFERROR((TOR_H51[[#This Row],[H]]-TOR_H51[[#This Row],[2B]]-TOR_H51[[#This Row],[3B]]-TOR_H51[[#This Row],[HR]])+(TOR_H51[[#This Row],[2B]]*2)+(TOR_H51[[#This Row],[3B]]*3)+(TOR_H51[[#This Row],[HR]]*4),0)</f>
        <v>41</v>
      </c>
      <c r="AT162" s="72">
        <f>TOR_H51[[#This Row],[OBP]]+TOR_H51[[#This Row],[SLG]]</f>
        <v>1.0530835284933646</v>
      </c>
      <c r="AU162" s="104">
        <v>3</v>
      </c>
      <c r="AV162" s="615">
        <v>3</v>
      </c>
      <c r="AY162" s="651" t="s">
        <v>226</v>
      </c>
      <c r="AZ162" s="71" t="s">
        <v>172</v>
      </c>
      <c r="BA162" s="71" t="s">
        <v>237</v>
      </c>
      <c r="BB162" s="72">
        <f>IFERROR(BOS_H13114[[#This Row],[H]]/BOS_H13114[[#This Row],[AB]],0)</f>
        <v>0.22222222222222221</v>
      </c>
      <c r="BC162" s="72">
        <f>IFERROR((BOS_H13114[[#This Row],[BB]]+BOS_H13114[[#This Row],[H]])/(BOS_H13114[[#This Row],[AB]]+BOS_H13114[[#This Row],[BB]]),0)</f>
        <v>0.26315789473684209</v>
      </c>
      <c r="BD162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0.27777777777777779</v>
      </c>
      <c r="BE162" s="28">
        <v>5</v>
      </c>
      <c r="BF162" s="28">
        <v>18</v>
      </c>
      <c r="BG162" s="28">
        <v>0</v>
      </c>
      <c r="BH162" s="28">
        <v>4</v>
      </c>
      <c r="BI162" s="28">
        <v>1</v>
      </c>
      <c r="BJ162" s="28">
        <v>0</v>
      </c>
      <c r="BK162" s="28">
        <v>0</v>
      </c>
      <c r="BL162" s="28">
        <v>2</v>
      </c>
      <c r="BM162" s="28">
        <v>1</v>
      </c>
      <c r="BN162" s="74">
        <v>10</v>
      </c>
      <c r="BO162" s="28">
        <v>0</v>
      </c>
      <c r="BP162" s="28">
        <v>2</v>
      </c>
      <c r="BQ162" s="74">
        <v>2</v>
      </c>
      <c r="BR162" s="28">
        <f t="shared" si="15"/>
        <v>5</v>
      </c>
      <c r="BS162" s="72">
        <f>IFERROR(BOS_H13114[[#This Row],[OBP]]+BOS_H13114[[#This Row],[SLG]],0)</f>
        <v>0.54093567251461994</v>
      </c>
      <c r="BT162" s="74">
        <v>0</v>
      </c>
      <c r="BU162" s="615">
        <v>3</v>
      </c>
    </row>
    <row r="163" spans="1:73">
      <c r="A163" s="609" t="s">
        <v>165</v>
      </c>
      <c r="B163" s="71" t="s">
        <v>153</v>
      </c>
      <c r="C163" s="77" t="s">
        <v>171</v>
      </c>
      <c r="D163" s="130">
        <f>IFERROR((NYY_H50[[#This Row],[H]]/NYY_H50[[#This Row],[AB]]),0)</f>
        <v>0.12121212121212122</v>
      </c>
      <c r="E163" s="72">
        <f>IFERROR((NYY_H50[[#This Row],[H]]+NYY_H50[[#This Row],[BB]])/(NYY_H50[[#This Row],[AB]]+NYY_H50[[#This Row],[BB]]),)</f>
        <v>0.15942028985507245</v>
      </c>
      <c r="F163" s="73">
        <f>IFERROR(((NYY_H50[[#This Row],[H]]-NYY_H50[[#This Row],[2B]]-NYY_H50[[#This Row],[3B]]-NYY_H50[[#This Row],[HR]])+(NYY_H50[[#This Row],[2B]]*2)+(NYY_H50[[#This Row],[3B]]*3)+(NYY_H50[[#This Row],[HR]]*4))/NYY_H50[[#This Row],[AB]],0)</f>
        <v>0.27272727272727271</v>
      </c>
      <c r="G163" s="28">
        <v>18</v>
      </c>
      <c r="H163" s="90">
        <v>66</v>
      </c>
      <c r="I163" s="90">
        <v>7</v>
      </c>
      <c r="J163" s="90">
        <v>8</v>
      </c>
      <c r="K163" s="90">
        <v>1</v>
      </c>
      <c r="L163" s="90">
        <v>0</v>
      </c>
      <c r="M163" s="90">
        <v>3</v>
      </c>
      <c r="N163" s="90">
        <v>5</v>
      </c>
      <c r="O163" s="90">
        <v>3</v>
      </c>
      <c r="P163" s="95">
        <v>18</v>
      </c>
      <c r="Q163" s="90">
        <v>0</v>
      </c>
      <c r="R163" s="90">
        <v>1</v>
      </c>
      <c r="S163" s="95">
        <v>2</v>
      </c>
      <c r="T163" s="90">
        <f>IFERROR((NYY_H50[[#This Row],[H]]-NYY_H50[[#This Row],[2B]]-NYY_H50[[#This Row],[3B]]-NYY_H50[[#This Row],[HR]])+(NYY_H50[[#This Row],[2B]]*2)+(NYY_H50[[#This Row],[3B]]*3)+(NYY_H50[[#This Row],[HR]]*4),0)</f>
        <v>18</v>
      </c>
      <c r="U163" s="72">
        <f>NYY_H50[[#This Row],[OBP]]+NYY_H50[[#This Row],[SLG]]</f>
        <v>0.43214756258234516</v>
      </c>
      <c r="V163" s="74">
        <v>1</v>
      </c>
      <c r="W163" s="615">
        <v>4</v>
      </c>
      <c r="Z163" s="720" t="s">
        <v>266</v>
      </c>
      <c r="AA163" s="345" t="s">
        <v>153</v>
      </c>
      <c r="AB163" s="71" t="s">
        <v>267</v>
      </c>
      <c r="AC163" s="72">
        <f>IFERROR(TOR_H51[[#This Row],[H]]/TOR_H51[[#This Row],[AB]],0)</f>
        <v>0.31147540983606559</v>
      </c>
      <c r="AD163" s="72">
        <f>IFERROR((TOR_H51[[#This Row],[H]]+TOR_H51[[#This Row],[BB]])/(TOR_H51[[#This Row],[AB]]+TOR_H51[[#This Row],[BB]]),0)</f>
        <v>0.36363636363636365</v>
      </c>
      <c r="AE163" s="73">
        <f>IFERROR(((TOR_H51[[#This Row],[H]]-TOR_H51[[#This Row],[2B]]-TOR_H51[[#This Row],[3B]]-TOR_H51[[#This Row],[HR]])+(TOR_H51[[#This Row],[2B]]*2)+(TOR_H51[[#This Row],[3B]]*3)+(TOR_H51[[#This Row],[HR]]*4))/TOR_H51[[#This Row],[AB]],0)</f>
        <v>0.4098360655737705</v>
      </c>
      <c r="AF163" s="28">
        <v>15</v>
      </c>
      <c r="AG163" s="28">
        <v>61</v>
      </c>
      <c r="AH163" s="28">
        <v>11</v>
      </c>
      <c r="AI163" s="28">
        <v>19</v>
      </c>
      <c r="AJ163" s="28">
        <v>3</v>
      </c>
      <c r="AK163" s="28">
        <v>0</v>
      </c>
      <c r="AL163" s="28">
        <v>1</v>
      </c>
      <c r="AM163" s="28">
        <v>2</v>
      </c>
      <c r="AN163" s="28">
        <v>5</v>
      </c>
      <c r="AO163" s="74">
        <v>11</v>
      </c>
      <c r="AP163" s="77">
        <v>2</v>
      </c>
      <c r="AQ163" s="28">
        <v>3</v>
      </c>
      <c r="AR163" s="74">
        <v>4</v>
      </c>
      <c r="AS163" s="77">
        <f>IFERROR((TOR_H51[[#This Row],[H]]-TOR_H51[[#This Row],[2B]]-TOR_H51[[#This Row],[3B]]-TOR_H51[[#This Row],[HR]])+(TOR_H51[[#This Row],[2B]]*2)+(TOR_H51[[#This Row],[3B]]*3)+(TOR_H51[[#This Row],[HR]]*4),0)</f>
        <v>25</v>
      </c>
      <c r="AT163" s="72">
        <f>TOR_H51[[#This Row],[OBP]]+TOR_H51[[#This Row],[SLG]]</f>
        <v>0.77347242921013415</v>
      </c>
      <c r="AU163" s="74">
        <v>0</v>
      </c>
      <c r="AV163" s="615">
        <v>4</v>
      </c>
      <c r="AY163" s="651" t="s">
        <v>226</v>
      </c>
      <c r="AZ163" s="71" t="s">
        <v>153</v>
      </c>
      <c r="BA163" s="71" t="s">
        <v>232</v>
      </c>
      <c r="BB163" s="72">
        <f>IFERROR(BOS_H13114[[#This Row],[H]]/BOS_H13114[[#This Row],[AB]],0)</f>
        <v>0.2857142857142857</v>
      </c>
      <c r="BC163" s="72">
        <f>IFERROR((BOS_H13114[[#This Row],[BB]]+BOS_H13114[[#This Row],[H]])/(BOS_H13114[[#This Row],[AB]]+BOS_H13114[[#This Row],[BB]]),0)</f>
        <v>0.34782608695652173</v>
      </c>
      <c r="BD163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0.2857142857142857</v>
      </c>
      <c r="BE163" s="28">
        <v>5</v>
      </c>
      <c r="BF163" s="28">
        <v>21</v>
      </c>
      <c r="BG163" s="28">
        <v>3</v>
      </c>
      <c r="BH163" s="28">
        <v>6</v>
      </c>
      <c r="BI163" s="28">
        <v>0</v>
      </c>
      <c r="BJ163" s="28">
        <v>0</v>
      </c>
      <c r="BK163" s="28">
        <v>0</v>
      </c>
      <c r="BL163" s="28">
        <v>2</v>
      </c>
      <c r="BM163" s="28">
        <v>2</v>
      </c>
      <c r="BN163" s="74">
        <v>2</v>
      </c>
      <c r="BO163" s="28">
        <v>0</v>
      </c>
      <c r="BP163" s="28">
        <v>2</v>
      </c>
      <c r="BQ163" s="74">
        <v>2</v>
      </c>
      <c r="BR163" s="28">
        <f t="shared" si="15"/>
        <v>6</v>
      </c>
      <c r="BS163" s="72">
        <f>IFERROR(BOS_H13114[[#This Row],[OBP]]+BOS_H13114[[#This Row],[SLG]],0)</f>
        <v>0.63354037267080743</v>
      </c>
      <c r="BT163" s="74">
        <v>0</v>
      </c>
      <c r="BU163" s="615">
        <v>4</v>
      </c>
    </row>
    <row r="164" spans="1:73">
      <c r="A164" s="609" t="s">
        <v>165</v>
      </c>
      <c r="B164" s="71" t="s">
        <v>177</v>
      </c>
      <c r="C164" s="77" t="s">
        <v>178</v>
      </c>
      <c r="D164" s="130">
        <f>IFERROR((NYY_H50[[#This Row],[H]]/NYY_H50[[#This Row],[AB]]),0)</f>
        <v>0.19736842105263158</v>
      </c>
      <c r="E164" s="72">
        <f>IFERROR((NYY_H50[[#This Row],[H]]+NYY_H50[[#This Row],[BB]])/(NYY_H50[[#This Row],[AB]]+NYY_H50[[#This Row],[BB]]),)</f>
        <v>0.24691358024691357</v>
      </c>
      <c r="F164" s="73">
        <f>IFERROR(((NYY_H50[[#This Row],[H]]-NYY_H50[[#This Row],[2B]]-NYY_H50[[#This Row],[3B]]-NYY_H50[[#This Row],[HR]])+(NYY_H50[[#This Row],[2B]]*2)+(NYY_H50[[#This Row],[3B]]*3)+(NYY_H50[[#This Row],[HR]]*4))/NYY_H50[[#This Row],[AB]],0)</f>
        <v>0.36842105263157893</v>
      </c>
      <c r="G164" s="28">
        <v>18</v>
      </c>
      <c r="H164" s="90">
        <v>76</v>
      </c>
      <c r="I164" s="90">
        <v>4</v>
      </c>
      <c r="J164" s="90">
        <v>15</v>
      </c>
      <c r="K164" s="90">
        <v>4</v>
      </c>
      <c r="L164" s="90">
        <v>0</v>
      </c>
      <c r="M164" s="90">
        <v>3</v>
      </c>
      <c r="N164" s="90">
        <v>9</v>
      </c>
      <c r="O164" s="90">
        <v>5</v>
      </c>
      <c r="P164" s="95">
        <v>13</v>
      </c>
      <c r="Q164" s="90">
        <v>0</v>
      </c>
      <c r="R164" s="90">
        <v>0</v>
      </c>
      <c r="S164" s="95">
        <v>3</v>
      </c>
      <c r="T164" s="90">
        <f>IFERROR((NYY_H50[[#This Row],[H]]-NYY_H50[[#This Row],[2B]]-NYY_H50[[#This Row],[3B]]-NYY_H50[[#This Row],[HR]])+(NYY_H50[[#This Row],[2B]]*2)+(NYY_H50[[#This Row],[3B]]*3)+(NYY_H50[[#This Row],[HR]]*4),0)</f>
        <v>28</v>
      </c>
      <c r="U164" s="72">
        <f>NYY_H50[[#This Row],[OBP]]+NYY_H50[[#This Row],[SLG]]</f>
        <v>0.61533463287849255</v>
      </c>
      <c r="V164" s="74">
        <v>0</v>
      </c>
      <c r="W164" s="615">
        <v>5</v>
      </c>
      <c r="Z164" s="720" t="s">
        <v>266</v>
      </c>
      <c r="AA164" s="71" t="s">
        <v>177</v>
      </c>
      <c r="AB164" s="71" t="s">
        <v>270</v>
      </c>
      <c r="AC164" s="72">
        <f>IFERROR(TOR_H51[[#This Row],[H]]/TOR_H51[[#This Row],[AB]],0)</f>
        <v>0.20754716981132076</v>
      </c>
      <c r="AD164" s="72">
        <f>IFERROR((TOR_H51[[#This Row],[H]]+TOR_H51[[#This Row],[BB]])/(TOR_H51[[#This Row],[AB]]+TOR_H51[[#This Row],[BB]]),0)</f>
        <v>0.31147540983606559</v>
      </c>
      <c r="AE164" s="73">
        <f>IFERROR(((TOR_H51[[#This Row],[H]]-TOR_H51[[#This Row],[2B]]-TOR_H51[[#This Row],[3B]]-TOR_H51[[#This Row],[HR]])+(TOR_H51[[#This Row],[2B]]*2)+(TOR_H51[[#This Row],[3B]]*3)+(TOR_H51[[#This Row],[HR]]*4))/TOR_H51[[#This Row],[AB]],0)</f>
        <v>0.39622641509433965</v>
      </c>
      <c r="AF164" s="28">
        <v>15</v>
      </c>
      <c r="AG164" s="28">
        <v>53</v>
      </c>
      <c r="AH164" s="28">
        <v>8</v>
      </c>
      <c r="AI164" s="28">
        <v>11</v>
      </c>
      <c r="AJ164" s="28">
        <v>1</v>
      </c>
      <c r="AK164" s="28">
        <v>0</v>
      </c>
      <c r="AL164" s="28">
        <v>3</v>
      </c>
      <c r="AM164" s="28">
        <v>7</v>
      </c>
      <c r="AN164" s="28">
        <v>8</v>
      </c>
      <c r="AO164" s="74">
        <v>15</v>
      </c>
      <c r="AP164" s="77">
        <v>0</v>
      </c>
      <c r="AQ164" s="28">
        <v>0</v>
      </c>
      <c r="AR164" s="74">
        <v>5</v>
      </c>
      <c r="AS164" s="77">
        <f>IFERROR((TOR_H51[[#This Row],[H]]-TOR_H51[[#This Row],[2B]]-TOR_H51[[#This Row],[3B]]-TOR_H51[[#This Row],[HR]])+(TOR_H51[[#This Row],[2B]]*2)+(TOR_H51[[#This Row],[3B]]*3)+(TOR_H51[[#This Row],[HR]]*4),0)</f>
        <v>21</v>
      </c>
      <c r="AT164" s="72">
        <f>TOR_H51[[#This Row],[OBP]]+TOR_H51[[#This Row],[SLG]]</f>
        <v>0.70770182493040523</v>
      </c>
      <c r="AU164" s="74">
        <v>1</v>
      </c>
      <c r="AV164" s="615">
        <v>5</v>
      </c>
      <c r="AY164" s="651" t="s">
        <v>226</v>
      </c>
      <c r="AZ164" s="71" t="s">
        <v>177</v>
      </c>
      <c r="BA164" s="71" t="s">
        <v>239</v>
      </c>
      <c r="BB164" s="72">
        <f>IFERROR(BOS_H13114[[#This Row],[H]]/BOS_H13114[[#This Row],[AB]],0)</f>
        <v>0.3888888888888889</v>
      </c>
      <c r="BC164" s="72">
        <f>IFERROR((BOS_H13114[[#This Row],[BB]]+BOS_H13114[[#This Row],[H]])/(BOS_H13114[[#This Row],[AB]]+BOS_H13114[[#This Row],[BB]]),0)</f>
        <v>0.42105263157894735</v>
      </c>
      <c r="BD164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0.77777777777777779</v>
      </c>
      <c r="BE164" s="28">
        <v>5</v>
      </c>
      <c r="BF164" s="28">
        <v>18</v>
      </c>
      <c r="BG164" s="28">
        <v>2</v>
      </c>
      <c r="BH164" s="28">
        <v>7</v>
      </c>
      <c r="BI164" s="28">
        <v>1</v>
      </c>
      <c r="BJ164" s="28">
        <v>0</v>
      </c>
      <c r="BK164" s="28">
        <v>2</v>
      </c>
      <c r="BL164" s="28">
        <v>7</v>
      </c>
      <c r="BM164" s="28">
        <v>1</v>
      </c>
      <c r="BN164" s="74">
        <v>3</v>
      </c>
      <c r="BO164" s="28">
        <v>0</v>
      </c>
      <c r="BP164" s="28">
        <v>4</v>
      </c>
      <c r="BQ164" s="74">
        <v>4</v>
      </c>
      <c r="BR164" s="28">
        <f t="shared" si="15"/>
        <v>14</v>
      </c>
      <c r="BS164" s="72">
        <f>IFERROR(BOS_H13114[[#This Row],[OBP]]+BOS_H13114[[#This Row],[SLG]],0)</f>
        <v>1.198830409356725</v>
      </c>
      <c r="BT164" s="74">
        <v>1</v>
      </c>
      <c r="BU164" s="615">
        <v>5</v>
      </c>
    </row>
    <row r="165" spans="1:73">
      <c r="A165" s="609" t="s">
        <v>165</v>
      </c>
      <c r="B165" s="71" t="s">
        <v>174</v>
      </c>
      <c r="C165" s="77" t="s">
        <v>169</v>
      </c>
      <c r="D165" s="130">
        <f>IFERROR((NYY_H50[[#This Row],[H]]/NYY_H50[[#This Row],[AB]]),0)</f>
        <v>0.22535211267605634</v>
      </c>
      <c r="E165" s="72">
        <f>IFERROR((NYY_H50[[#This Row],[H]]+NYY_H50[[#This Row],[BB]])/(NYY_H50[[#This Row],[AB]]+NYY_H50[[#This Row],[BB]]),)</f>
        <v>0.2857142857142857</v>
      </c>
      <c r="F165" s="73">
        <f>IFERROR(((NYY_H50[[#This Row],[H]]-NYY_H50[[#This Row],[2B]]-NYY_H50[[#This Row],[3B]]-NYY_H50[[#This Row],[HR]])+(NYY_H50[[#This Row],[2B]]*2)+(NYY_H50[[#This Row],[3B]]*3)+(NYY_H50[[#This Row],[HR]]*4))/NYY_H50[[#This Row],[AB]],0)</f>
        <v>0.47887323943661969</v>
      </c>
      <c r="G165" s="28">
        <v>18</v>
      </c>
      <c r="H165" s="90">
        <v>71</v>
      </c>
      <c r="I165" s="90">
        <v>9</v>
      </c>
      <c r="J165" s="90">
        <v>16</v>
      </c>
      <c r="K165" s="90">
        <v>3</v>
      </c>
      <c r="L165" s="90">
        <v>0</v>
      </c>
      <c r="M165" s="90">
        <v>5</v>
      </c>
      <c r="N165" s="90">
        <v>10</v>
      </c>
      <c r="O165" s="90">
        <v>6</v>
      </c>
      <c r="P165" s="565">
        <v>29</v>
      </c>
      <c r="Q165" s="90">
        <v>0</v>
      </c>
      <c r="R165" s="90">
        <v>1</v>
      </c>
      <c r="S165" s="95">
        <v>3</v>
      </c>
      <c r="T165" s="90">
        <f>IFERROR((NYY_H50[[#This Row],[H]]-NYY_H50[[#This Row],[2B]]-NYY_H50[[#This Row],[3B]]-NYY_H50[[#This Row],[HR]])+(NYY_H50[[#This Row],[2B]]*2)+(NYY_H50[[#This Row],[3B]]*3)+(NYY_H50[[#This Row],[HR]]*4),0)</f>
        <v>34</v>
      </c>
      <c r="U165" s="72">
        <f>NYY_H50[[#This Row],[OBP]]+NYY_H50[[#This Row],[SLG]]</f>
        <v>0.76458752515090533</v>
      </c>
      <c r="V165" s="74">
        <v>1</v>
      </c>
      <c r="W165" s="615">
        <v>6</v>
      </c>
      <c r="Z165" s="720" t="s">
        <v>266</v>
      </c>
      <c r="AA165" s="71" t="s">
        <v>174</v>
      </c>
      <c r="AB165" s="71" t="s">
        <v>276</v>
      </c>
      <c r="AC165" s="72">
        <f>IFERROR(TOR_H51[[#This Row],[H]]/TOR_H51[[#This Row],[AB]],0)</f>
        <v>0.2</v>
      </c>
      <c r="AD165" s="72">
        <f>IFERROR((TOR_H51[[#This Row],[H]]+TOR_H51[[#This Row],[BB]])/(TOR_H51[[#This Row],[AB]]+TOR_H51[[#This Row],[BB]]),0)</f>
        <v>0.23404255319148937</v>
      </c>
      <c r="AE165" s="73">
        <f>IFERROR(((TOR_H51[[#This Row],[H]]-TOR_H51[[#This Row],[2B]]-TOR_H51[[#This Row],[3B]]-TOR_H51[[#This Row],[HR]])+(TOR_H51[[#This Row],[2B]]*2)+(TOR_H51[[#This Row],[3B]]*3)+(TOR_H51[[#This Row],[HR]]*4))/TOR_H51[[#This Row],[AB]],0)</f>
        <v>0.42222222222222222</v>
      </c>
      <c r="AF165" s="28">
        <v>13</v>
      </c>
      <c r="AG165" s="28">
        <v>45</v>
      </c>
      <c r="AH165" s="28">
        <v>4</v>
      </c>
      <c r="AI165" s="28">
        <v>9</v>
      </c>
      <c r="AJ165" s="28">
        <v>2</v>
      </c>
      <c r="AK165" s="28">
        <v>1</v>
      </c>
      <c r="AL165" s="28">
        <v>2</v>
      </c>
      <c r="AM165" s="28">
        <v>3</v>
      </c>
      <c r="AN165" s="28">
        <v>2</v>
      </c>
      <c r="AO165" s="74">
        <v>12</v>
      </c>
      <c r="AP165" s="77">
        <v>0</v>
      </c>
      <c r="AQ165" s="28">
        <v>0</v>
      </c>
      <c r="AR165" s="74">
        <v>2</v>
      </c>
      <c r="AS165" s="77">
        <f>IFERROR((TOR_H51[[#This Row],[H]]-TOR_H51[[#This Row],[2B]]-TOR_H51[[#This Row],[3B]]-TOR_H51[[#This Row],[HR]])+(TOR_H51[[#This Row],[2B]]*2)+(TOR_H51[[#This Row],[3B]]*3)+(TOR_H51[[#This Row],[HR]]*4),0)</f>
        <v>19</v>
      </c>
      <c r="AT165" s="72">
        <f>TOR_H51[[#This Row],[OBP]]+TOR_H51[[#This Row],[SLG]]</f>
        <v>0.65626477541371164</v>
      </c>
      <c r="AU165" s="74">
        <v>1</v>
      </c>
      <c r="AV165" s="615">
        <v>6</v>
      </c>
      <c r="AY165" s="651" t="s">
        <v>226</v>
      </c>
      <c r="AZ165" s="71" t="s">
        <v>174</v>
      </c>
      <c r="BA165" s="71" t="s">
        <v>231</v>
      </c>
      <c r="BB165" s="72">
        <f>IFERROR(BOS_H13114[[#This Row],[H]]/BOS_H13114[[#This Row],[AB]],0)</f>
        <v>0.21052631578947367</v>
      </c>
      <c r="BC165" s="72">
        <f>IFERROR((BOS_H13114[[#This Row],[BB]]+BOS_H13114[[#This Row],[H]])/(BOS_H13114[[#This Row],[AB]]+BOS_H13114[[#This Row],[BB]]),0)</f>
        <v>0.21052631578947367</v>
      </c>
      <c r="BD165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0.31578947368421051</v>
      </c>
      <c r="BE165" s="28">
        <v>5</v>
      </c>
      <c r="BF165" s="28">
        <v>19</v>
      </c>
      <c r="BG165" s="28">
        <v>1</v>
      </c>
      <c r="BH165" s="28">
        <v>4</v>
      </c>
      <c r="BI165" s="28">
        <v>2</v>
      </c>
      <c r="BJ165" s="28">
        <v>0</v>
      </c>
      <c r="BK165" s="28">
        <v>0</v>
      </c>
      <c r="BL165" s="28">
        <v>1</v>
      </c>
      <c r="BM165" s="28">
        <v>0</v>
      </c>
      <c r="BN165" s="74">
        <v>6</v>
      </c>
      <c r="BO165" s="28">
        <v>0</v>
      </c>
      <c r="BP165" s="28">
        <v>1</v>
      </c>
      <c r="BQ165" s="74">
        <v>2</v>
      </c>
      <c r="BR165" s="28">
        <f t="shared" si="15"/>
        <v>6</v>
      </c>
      <c r="BS165" s="72">
        <f>IFERROR(BOS_H13114[[#This Row],[OBP]]+BOS_H13114[[#This Row],[SLG]],0)</f>
        <v>0.52631578947368418</v>
      </c>
      <c r="BT165" s="74">
        <v>0</v>
      </c>
      <c r="BU165" s="615">
        <v>6</v>
      </c>
    </row>
    <row r="166" spans="1:73">
      <c r="A166" s="609" t="s">
        <v>165</v>
      </c>
      <c r="B166" s="71" t="s">
        <v>181</v>
      </c>
      <c r="C166" s="77" t="s">
        <v>183</v>
      </c>
      <c r="D166" s="130">
        <f>IFERROR((NYY_H50[[#This Row],[H]]/NYY_H50[[#This Row],[AB]]),0)</f>
        <v>0.27272727272727271</v>
      </c>
      <c r="E166" s="72">
        <f>IFERROR((NYY_H50[[#This Row],[H]]+NYY_H50[[#This Row],[BB]])/(NYY_H50[[#This Row],[AB]]+NYY_H50[[#This Row],[BB]]),)</f>
        <v>0.40298507462686567</v>
      </c>
      <c r="F166" s="73">
        <f>IFERROR(((NYY_H50[[#This Row],[H]]-NYY_H50[[#This Row],[2B]]-NYY_H50[[#This Row],[3B]]-NYY_H50[[#This Row],[HR]])+(NYY_H50[[#This Row],[2B]]*2)+(NYY_H50[[#This Row],[3B]]*3)+(NYY_H50[[#This Row],[HR]]*4))/NYY_H50[[#This Row],[AB]],0)</f>
        <v>0.36363636363636365</v>
      </c>
      <c r="G166" s="28">
        <v>18</v>
      </c>
      <c r="H166" s="90">
        <v>55</v>
      </c>
      <c r="I166" s="90">
        <v>6</v>
      </c>
      <c r="J166" s="90">
        <v>15</v>
      </c>
      <c r="K166" s="90">
        <v>2</v>
      </c>
      <c r="L166" s="90">
        <v>0</v>
      </c>
      <c r="M166" s="90">
        <v>1</v>
      </c>
      <c r="N166" s="90">
        <v>6</v>
      </c>
      <c r="O166" s="595">
        <v>12</v>
      </c>
      <c r="P166" s="95">
        <v>11</v>
      </c>
      <c r="Q166" s="90">
        <v>5</v>
      </c>
      <c r="R166" s="90">
        <v>1</v>
      </c>
      <c r="S166" s="95">
        <v>5</v>
      </c>
      <c r="T166" s="90">
        <f>IFERROR((NYY_H50[[#This Row],[H]]-NYY_H50[[#This Row],[2B]]-NYY_H50[[#This Row],[3B]]-NYY_H50[[#This Row],[HR]])+(NYY_H50[[#This Row],[2B]]*2)+(NYY_H50[[#This Row],[3B]]*3)+(NYY_H50[[#This Row],[HR]]*4),0)</f>
        <v>20</v>
      </c>
      <c r="U166" s="72">
        <f>NYY_H50[[#This Row],[OBP]]+NYY_H50[[#This Row],[SLG]]</f>
        <v>0.76662143826322926</v>
      </c>
      <c r="V166" s="74">
        <v>0</v>
      </c>
      <c r="W166" s="615">
        <v>7</v>
      </c>
      <c r="Z166" s="720" t="s">
        <v>266</v>
      </c>
      <c r="AA166" s="345" t="s">
        <v>181</v>
      </c>
      <c r="AB166" s="71" t="s">
        <v>269</v>
      </c>
      <c r="AC166" s="72">
        <f>IFERROR(TOR_H51[[#This Row],[H]]/TOR_H51[[#This Row],[AB]],0)</f>
        <v>0.18867924528301888</v>
      </c>
      <c r="AD166" s="72">
        <f>IFERROR((TOR_H51[[#This Row],[H]]+TOR_H51[[#This Row],[BB]])/(TOR_H51[[#This Row],[AB]]+TOR_H51[[#This Row],[BB]]),0)</f>
        <v>0.33846153846153848</v>
      </c>
      <c r="AE166" s="73">
        <f>IFERROR(((TOR_H51[[#This Row],[H]]-TOR_H51[[#This Row],[2B]]-TOR_H51[[#This Row],[3B]]-TOR_H51[[#This Row],[HR]])+(TOR_H51[[#This Row],[2B]]*2)+(TOR_H51[[#This Row],[3B]]*3)+(TOR_H51[[#This Row],[HR]]*4))/TOR_H51[[#This Row],[AB]],0)</f>
        <v>0.41509433962264153</v>
      </c>
      <c r="AF166" s="28">
        <v>15</v>
      </c>
      <c r="AG166" s="28">
        <v>53</v>
      </c>
      <c r="AH166" s="76">
        <v>12</v>
      </c>
      <c r="AI166" s="28">
        <v>10</v>
      </c>
      <c r="AJ166" s="28">
        <v>3</v>
      </c>
      <c r="AK166" s="28">
        <v>0</v>
      </c>
      <c r="AL166" s="28">
        <v>3</v>
      </c>
      <c r="AM166" s="28">
        <v>8</v>
      </c>
      <c r="AN166" s="76">
        <v>12</v>
      </c>
      <c r="AO166" s="74">
        <v>19</v>
      </c>
      <c r="AP166" s="77">
        <v>0</v>
      </c>
      <c r="AQ166" s="28">
        <v>1</v>
      </c>
      <c r="AR166" s="74">
        <v>3</v>
      </c>
      <c r="AS166" s="77">
        <f>IFERROR((TOR_H51[[#This Row],[H]]-TOR_H51[[#This Row],[2B]]-TOR_H51[[#This Row],[3B]]-TOR_H51[[#This Row],[HR]])+(TOR_H51[[#This Row],[2B]]*2)+(TOR_H51[[#This Row],[3B]]*3)+(TOR_H51[[#This Row],[HR]]*4),0)</f>
        <v>22</v>
      </c>
      <c r="AT166" s="72">
        <f>TOR_H51[[#This Row],[OBP]]+TOR_H51[[#This Row],[SLG]]</f>
        <v>0.75355587808418001</v>
      </c>
      <c r="AU166" s="74">
        <v>2</v>
      </c>
      <c r="AV166" s="615">
        <v>7</v>
      </c>
      <c r="AY166" s="651" t="s">
        <v>226</v>
      </c>
      <c r="AZ166" s="71" t="s">
        <v>181</v>
      </c>
      <c r="BA166" s="71" t="s">
        <v>242</v>
      </c>
      <c r="BB166" s="72">
        <f>IFERROR(BOS_H13114[[#This Row],[H]]/BOS_H13114[[#This Row],[AB]],0)</f>
        <v>6.25E-2</v>
      </c>
      <c r="BC166" s="72">
        <f>IFERROR((BOS_H13114[[#This Row],[BB]]+BOS_H13114[[#This Row],[H]])/(BOS_H13114[[#This Row],[AB]]+BOS_H13114[[#This Row],[BB]]),0)</f>
        <v>0.11764705882352941</v>
      </c>
      <c r="BD166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6.25E-2</v>
      </c>
      <c r="BE166" s="28">
        <v>5</v>
      </c>
      <c r="BF166" s="28">
        <v>16</v>
      </c>
      <c r="BG166" s="28">
        <v>0</v>
      </c>
      <c r="BH166" s="28">
        <v>1</v>
      </c>
      <c r="BI166" s="28">
        <v>0</v>
      </c>
      <c r="BJ166" s="28">
        <v>0</v>
      </c>
      <c r="BK166" s="28">
        <v>0</v>
      </c>
      <c r="BL166" s="28">
        <v>1</v>
      </c>
      <c r="BM166" s="28">
        <v>1</v>
      </c>
      <c r="BN166" s="74">
        <v>7</v>
      </c>
      <c r="BO166" s="28">
        <v>0</v>
      </c>
      <c r="BP166" s="28">
        <v>1</v>
      </c>
      <c r="BQ166" s="74">
        <v>1</v>
      </c>
      <c r="BR166" s="28">
        <f t="shared" si="15"/>
        <v>1</v>
      </c>
      <c r="BS166" s="72">
        <f>IFERROR(BOS_H13114[[#This Row],[OBP]]+BOS_H13114[[#This Row],[SLG]],0)</f>
        <v>0.18014705882352941</v>
      </c>
      <c r="BT166" s="74">
        <v>0</v>
      </c>
      <c r="BU166" s="615">
        <v>7</v>
      </c>
    </row>
    <row r="167" spans="1:73">
      <c r="A167" s="609" t="s">
        <v>165</v>
      </c>
      <c r="B167" s="71" t="s">
        <v>166</v>
      </c>
      <c r="C167" s="77" t="s">
        <v>167</v>
      </c>
      <c r="D167" s="130">
        <f>IFERROR((NYY_H50[[#This Row],[H]]/NYY_H50[[#This Row],[AB]]),0)</f>
        <v>0.29870129870129869</v>
      </c>
      <c r="E167" s="72">
        <f>IFERROR((NYY_H50[[#This Row],[H]]+NYY_H50[[#This Row],[BB]])/(NYY_H50[[#This Row],[AB]]+NYY_H50[[#This Row],[BB]]),)</f>
        <v>0.35714285714285715</v>
      </c>
      <c r="F167" s="73">
        <f>IFERROR(((NYY_H50[[#This Row],[H]]-NYY_H50[[#This Row],[2B]]-NYY_H50[[#This Row],[3B]]-NYY_H50[[#This Row],[HR]])+(NYY_H50[[#This Row],[2B]]*2)+(NYY_H50[[#This Row],[3B]]*3)+(NYY_H50[[#This Row],[HR]]*4))/NYY_H50[[#This Row],[AB]],0)</f>
        <v>0.66233766233766234</v>
      </c>
      <c r="G167" s="28">
        <v>18</v>
      </c>
      <c r="H167" s="90">
        <v>77</v>
      </c>
      <c r="I167" s="90">
        <v>12</v>
      </c>
      <c r="J167" s="90">
        <v>23</v>
      </c>
      <c r="K167" s="90">
        <v>4</v>
      </c>
      <c r="L167" s="90">
        <v>0</v>
      </c>
      <c r="M167" s="705">
        <v>8</v>
      </c>
      <c r="N167" s="595">
        <v>14</v>
      </c>
      <c r="O167" s="90">
        <v>7</v>
      </c>
      <c r="P167" s="95">
        <v>28</v>
      </c>
      <c r="Q167" s="90">
        <v>0</v>
      </c>
      <c r="R167" s="90">
        <v>8</v>
      </c>
      <c r="S167" s="95">
        <v>8</v>
      </c>
      <c r="T167" s="705">
        <f>IFERROR((NYY_H50[[#This Row],[H]]-NYY_H50[[#This Row],[2B]]-NYY_H50[[#This Row],[3B]]-NYY_H50[[#This Row],[HR]])+(NYY_H50[[#This Row],[2B]]*2)+(NYY_H50[[#This Row],[3B]]*3)+(NYY_H50[[#This Row],[HR]]*4),0)</f>
        <v>51</v>
      </c>
      <c r="U167" s="72">
        <f>NYY_H50[[#This Row],[OBP]]+NYY_H50[[#This Row],[SLG]]</f>
        <v>1.0194805194805194</v>
      </c>
      <c r="V167" s="74">
        <v>2</v>
      </c>
      <c r="W167" s="615">
        <v>8</v>
      </c>
      <c r="Z167" s="720" t="s">
        <v>266</v>
      </c>
      <c r="AA167" s="345" t="s">
        <v>166</v>
      </c>
      <c r="AB167" s="71" t="s">
        <v>273</v>
      </c>
      <c r="AC167" s="72">
        <f>IFERROR(TOR_H51[[#This Row],[H]]/TOR_H51[[#This Row],[AB]],0)</f>
        <v>0.25925925925925924</v>
      </c>
      <c r="AD167" s="72">
        <f>IFERROR((TOR_H51[[#This Row],[H]]+TOR_H51[[#This Row],[BB]])/(TOR_H51[[#This Row],[AB]]+TOR_H51[[#This Row],[BB]]),0)</f>
        <v>0.35483870967741937</v>
      </c>
      <c r="AE167" s="73">
        <f>IFERROR(((TOR_H51[[#This Row],[H]]-TOR_H51[[#This Row],[2B]]-TOR_H51[[#This Row],[3B]]-TOR_H51[[#This Row],[HR]])+(TOR_H51[[#This Row],[2B]]*2)+(TOR_H51[[#This Row],[3B]]*3)+(TOR_H51[[#This Row],[HR]]*4))/TOR_H51[[#This Row],[AB]],0)</f>
        <v>0.61111111111111116</v>
      </c>
      <c r="AF167" s="28">
        <v>15</v>
      </c>
      <c r="AG167" s="28">
        <v>54</v>
      </c>
      <c r="AH167" s="28">
        <v>6</v>
      </c>
      <c r="AI167" s="28">
        <v>14</v>
      </c>
      <c r="AJ167" s="28">
        <v>4</v>
      </c>
      <c r="AK167" s="28">
        <v>0</v>
      </c>
      <c r="AL167" s="76">
        <v>5</v>
      </c>
      <c r="AM167" s="28">
        <v>7</v>
      </c>
      <c r="AN167" s="28">
        <v>8</v>
      </c>
      <c r="AO167" s="74">
        <v>13</v>
      </c>
      <c r="AP167" s="77">
        <v>0</v>
      </c>
      <c r="AQ167" s="28">
        <v>0</v>
      </c>
      <c r="AR167" s="74">
        <v>5</v>
      </c>
      <c r="AS167" s="77">
        <f>IFERROR((TOR_H51[[#This Row],[H]]-TOR_H51[[#This Row],[2B]]-TOR_H51[[#This Row],[3B]]-TOR_H51[[#This Row],[HR]])+(TOR_H51[[#This Row],[2B]]*2)+(TOR_H51[[#This Row],[3B]]*3)+(TOR_H51[[#This Row],[HR]]*4),0)</f>
        <v>33</v>
      </c>
      <c r="AT167" s="72">
        <f>TOR_H51[[#This Row],[OBP]]+TOR_H51[[#This Row],[SLG]]</f>
        <v>0.96594982078853053</v>
      </c>
      <c r="AU167" s="74">
        <v>1</v>
      </c>
      <c r="AV167" s="615">
        <v>8</v>
      </c>
      <c r="AY167" s="651" t="s">
        <v>226</v>
      </c>
      <c r="AZ167" s="71" t="s">
        <v>166</v>
      </c>
      <c r="BA167" s="71" t="s">
        <v>228</v>
      </c>
      <c r="BB167" s="72">
        <f>IFERROR(BOS_H13114[[#This Row],[H]]/BOS_H13114[[#This Row],[AB]],0)</f>
        <v>0.17647058823529413</v>
      </c>
      <c r="BC167" s="72">
        <f>IFERROR((BOS_H13114[[#This Row],[BB]]+BOS_H13114[[#This Row],[H]])/(BOS_H13114[[#This Row],[AB]]+BOS_H13114[[#This Row],[BB]]),0)</f>
        <v>0.3</v>
      </c>
      <c r="BD167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0.23529411764705882</v>
      </c>
      <c r="BE167" s="28">
        <v>5</v>
      </c>
      <c r="BF167" s="28">
        <v>17</v>
      </c>
      <c r="BG167" s="28">
        <v>4</v>
      </c>
      <c r="BH167" s="28">
        <v>3</v>
      </c>
      <c r="BI167" s="28">
        <v>1</v>
      </c>
      <c r="BJ167" s="28">
        <v>0</v>
      </c>
      <c r="BK167" s="28">
        <v>0</v>
      </c>
      <c r="BL167" s="28">
        <v>0</v>
      </c>
      <c r="BM167" s="28">
        <v>3</v>
      </c>
      <c r="BN167" s="74">
        <v>9</v>
      </c>
      <c r="BO167" s="28">
        <v>0</v>
      </c>
      <c r="BP167" s="28">
        <v>2</v>
      </c>
      <c r="BQ167" s="74">
        <v>2</v>
      </c>
      <c r="BR167" s="28">
        <f t="shared" si="15"/>
        <v>4</v>
      </c>
      <c r="BS167" s="72">
        <f>IFERROR(BOS_H13114[[#This Row],[OBP]]+BOS_H13114[[#This Row],[SLG]],0)</f>
        <v>0.53529411764705881</v>
      </c>
      <c r="BT167" s="74">
        <v>0</v>
      </c>
      <c r="BU167" s="615">
        <v>8</v>
      </c>
    </row>
    <row r="168" spans="1:73">
      <c r="A168" s="609" t="s">
        <v>165</v>
      </c>
      <c r="B168" s="71" t="s">
        <v>168</v>
      </c>
      <c r="C168" s="77" t="s">
        <v>170</v>
      </c>
      <c r="D168" s="130">
        <f>IFERROR((NYY_H50[[#This Row],[H]]/NYY_H50[[#This Row],[AB]]),0)</f>
        <v>0.18181818181818182</v>
      </c>
      <c r="E168" s="72">
        <f>IFERROR((NYY_H50[[#This Row],[H]]+NYY_H50[[#This Row],[BB]])/(NYY_H50[[#This Row],[AB]]+NYY_H50[[#This Row],[BB]]),)</f>
        <v>0.26027397260273971</v>
      </c>
      <c r="F168" s="73">
        <f>IFERROR(((NYY_H50[[#This Row],[H]]-NYY_H50[[#This Row],[2B]]-NYY_H50[[#This Row],[3B]]-NYY_H50[[#This Row],[HR]])+(NYY_H50[[#This Row],[2B]]*2)+(NYY_H50[[#This Row],[3B]]*3)+(NYY_H50[[#This Row],[HR]]*4))/NYY_H50[[#This Row],[AB]],0)</f>
        <v>0.25757575757575757</v>
      </c>
      <c r="G168" s="28">
        <v>18</v>
      </c>
      <c r="H168" s="90">
        <v>66</v>
      </c>
      <c r="I168" s="90">
        <v>5</v>
      </c>
      <c r="J168" s="90">
        <v>12</v>
      </c>
      <c r="K168" s="90">
        <v>2</v>
      </c>
      <c r="L168" s="90">
        <v>0</v>
      </c>
      <c r="M168" s="90">
        <v>1</v>
      </c>
      <c r="N168" s="90">
        <v>3</v>
      </c>
      <c r="O168" s="90">
        <v>7</v>
      </c>
      <c r="P168" s="95">
        <v>19</v>
      </c>
      <c r="Q168" s="90">
        <v>0</v>
      </c>
      <c r="R168" s="90">
        <v>0</v>
      </c>
      <c r="S168" s="95">
        <v>2</v>
      </c>
      <c r="T168" s="90">
        <f>IFERROR((NYY_H50[[#This Row],[H]]-NYY_H50[[#This Row],[2B]]-NYY_H50[[#This Row],[3B]]-NYY_H50[[#This Row],[HR]])+(NYY_H50[[#This Row],[2B]]*2)+(NYY_H50[[#This Row],[3B]]*3)+(NYY_H50[[#This Row],[HR]]*4),0)</f>
        <v>17</v>
      </c>
      <c r="U168" s="72">
        <f>NYY_H50[[#This Row],[OBP]]+NYY_H50[[#This Row],[SLG]]</f>
        <v>0.51784973017849723</v>
      </c>
      <c r="V168" s="74">
        <v>0</v>
      </c>
      <c r="W168" s="615">
        <v>9</v>
      </c>
      <c r="Z168" s="720" t="s">
        <v>266</v>
      </c>
      <c r="AA168" s="345" t="s">
        <v>168</v>
      </c>
      <c r="AB168" s="71" t="s">
        <v>272</v>
      </c>
      <c r="AC168" s="72">
        <f>IFERROR(TOR_H51[[#This Row],[H]]/TOR_H51[[#This Row],[AB]],0)</f>
        <v>0.26315789473684209</v>
      </c>
      <c r="AD168" s="72">
        <f>IFERROR((TOR_H51[[#This Row],[H]]+TOR_H51[[#This Row],[BB]])/(TOR_H51[[#This Row],[AB]]+TOR_H51[[#This Row],[BB]]),0)</f>
        <v>0.32258064516129031</v>
      </c>
      <c r="AE168" s="73">
        <f>IFERROR(((TOR_H51[[#This Row],[H]]-TOR_H51[[#This Row],[2B]]-TOR_H51[[#This Row],[3B]]-TOR_H51[[#This Row],[HR]])+(TOR_H51[[#This Row],[2B]]*2)+(TOR_H51[[#This Row],[3B]]*3)+(TOR_H51[[#This Row],[HR]]*4))/TOR_H51[[#This Row],[AB]],0)</f>
        <v>0.54385964912280704</v>
      </c>
      <c r="AF168" s="28">
        <v>15</v>
      </c>
      <c r="AG168" s="28">
        <v>57</v>
      </c>
      <c r="AH168" s="28">
        <v>7</v>
      </c>
      <c r="AI168" s="28">
        <v>15</v>
      </c>
      <c r="AJ168" s="28">
        <v>4</v>
      </c>
      <c r="AK168" s="28">
        <v>0</v>
      </c>
      <c r="AL168" s="28">
        <v>4</v>
      </c>
      <c r="AM168" s="28">
        <v>13</v>
      </c>
      <c r="AN168" s="28">
        <v>5</v>
      </c>
      <c r="AO168" s="74">
        <v>13</v>
      </c>
      <c r="AP168" s="77">
        <v>0</v>
      </c>
      <c r="AQ168" s="28">
        <v>0</v>
      </c>
      <c r="AR168" s="104">
        <v>11</v>
      </c>
      <c r="AS168" s="77">
        <f>IFERROR((TOR_H51[[#This Row],[H]]-TOR_H51[[#This Row],[2B]]-TOR_H51[[#This Row],[3B]]-TOR_H51[[#This Row],[HR]])+(TOR_H51[[#This Row],[2B]]*2)+(TOR_H51[[#This Row],[3B]]*3)+(TOR_H51[[#This Row],[HR]]*4),0)</f>
        <v>31</v>
      </c>
      <c r="AT168" s="72">
        <f>TOR_H51[[#This Row],[OBP]]+TOR_H51[[#This Row],[SLG]]</f>
        <v>0.86644029428409741</v>
      </c>
      <c r="AU168" s="74">
        <v>2</v>
      </c>
      <c r="AV168" s="615">
        <v>9</v>
      </c>
      <c r="AY168" s="651" t="s">
        <v>226</v>
      </c>
      <c r="AZ168" s="71" t="s">
        <v>168</v>
      </c>
      <c r="BA168" s="71" t="s">
        <v>230</v>
      </c>
      <c r="BB168" s="72">
        <f>IFERROR(BOS_H13114[[#This Row],[H]]/BOS_H13114[[#This Row],[AB]],0)</f>
        <v>0.25</v>
      </c>
      <c r="BC168" s="72">
        <f>IFERROR((BOS_H13114[[#This Row],[BB]]+BOS_H13114[[#This Row],[H]])/(BOS_H13114[[#This Row],[AB]]+BOS_H13114[[#This Row],[BB]]),0)</f>
        <v>0.4</v>
      </c>
      <c r="BD168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0.375</v>
      </c>
      <c r="BE168" s="28">
        <v>5</v>
      </c>
      <c r="BF168" s="28">
        <v>16</v>
      </c>
      <c r="BG168" s="28">
        <v>2</v>
      </c>
      <c r="BH168" s="28">
        <v>4</v>
      </c>
      <c r="BI168" s="28">
        <v>2</v>
      </c>
      <c r="BJ168" s="28">
        <v>0</v>
      </c>
      <c r="BK168" s="28">
        <v>0</v>
      </c>
      <c r="BL168" s="28">
        <v>2</v>
      </c>
      <c r="BM168" s="28">
        <v>4</v>
      </c>
      <c r="BN168" s="74">
        <v>2</v>
      </c>
      <c r="BO168" s="28">
        <v>0</v>
      </c>
      <c r="BP168" s="28">
        <v>2</v>
      </c>
      <c r="BQ168" s="74">
        <v>2</v>
      </c>
      <c r="BR168" s="28">
        <f t="shared" si="15"/>
        <v>6</v>
      </c>
      <c r="BS168" s="72">
        <f>IFERROR(BOS_H13114[[#This Row],[OBP]]+BOS_H13114[[#This Row],[SLG]],0)</f>
        <v>0.77500000000000002</v>
      </c>
      <c r="BT168" s="74">
        <v>1</v>
      </c>
      <c r="BU168" s="615">
        <v>9</v>
      </c>
    </row>
    <row r="169" spans="1:73">
      <c r="A169" s="609" t="s">
        <v>165</v>
      </c>
      <c r="B169" s="71" t="s">
        <v>179</v>
      </c>
      <c r="C169" s="77" t="s">
        <v>190</v>
      </c>
      <c r="D169" s="130">
        <f>IFERROR((NYY_H50[[#This Row],[H]]/NYY_H50[[#This Row],[AB]]),0)</f>
        <v>0</v>
      </c>
      <c r="E169" s="72">
        <f>IFERROR((NYY_H50[[#This Row],[H]]+NYY_H50[[#This Row],[BB]])/(NYY_H50[[#This Row],[AB]]+NYY_H50[[#This Row],[BB]]),)</f>
        <v>0</v>
      </c>
      <c r="F169" s="73">
        <f>IFERROR(((NYY_H50[[#This Row],[H]]-NYY_H50[[#This Row],[2B]]-NYY_H50[[#This Row],[3B]]-NYY_H50[[#This Row],[HR]])+(NYY_H50[[#This Row],[2B]]*2)+(NYY_H50[[#This Row],[3B]]*3)+(NYY_H50[[#This Row],[HR]]*4))/NYY_H50[[#This Row],[AB]],0)</f>
        <v>0</v>
      </c>
      <c r="G169" s="28">
        <v>0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90">
        <v>0</v>
      </c>
      <c r="O169" s="90">
        <v>0</v>
      </c>
      <c r="P169" s="95">
        <v>0</v>
      </c>
      <c r="Q169" s="90">
        <v>0</v>
      </c>
      <c r="R169" s="90">
        <v>0</v>
      </c>
      <c r="S169" s="95">
        <v>0</v>
      </c>
      <c r="T169" s="90">
        <f>IFERROR((NYY_H50[[#This Row],[H]]-NYY_H50[[#This Row],[2B]]-NYY_H50[[#This Row],[3B]]-NYY_H50[[#This Row],[HR]])+(NYY_H50[[#This Row],[2B]]*2)+(NYY_H50[[#This Row],[3B]]*3)+(NYY_H50[[#This Row],[HR]]*4),0)</f>
        <v>0</v>
      </c>
      <c r="U169" s="72">
        <f>NYY_H50[[#This Row],[OBP]]+NYY_H50[[#This Row],[SLG]]</f>
        <v>0</v>
      </c>
      <c r="V169" s="74">
        <v>0</v>
      </c>
      <c r="W169" s="615">
        <v>10</v>
      </c>
      <c r="Z169" s="720" t="s">
        <v>266</v>
      </c>
      <c r="AA169" s="71" t="s">
        <v>179</v>
      </c>
      <c r="AB169" s="71" t="s">
        <v>275</v>
      </c>
      <c r="AC169" s="72">
        <f>IFERROR(TOR_H51[[#This Row],[H]]/TOR_H51[[#This Row],[AB]],0)</f>
        <v>0</v>
      </c>
      <c r="AD169" s="72">
        <f>IFERROR((TOR_H51[[#This Row],[H]]+TOR_H51[[#This Row],[BB]])/(TOR_H51[[#This Row],[AB]]+TOR_H51[[#This Row],[BB]]),0)</f>
        <v>0</v>
      </c>
      <c r="AE169" s="73">
        <f>IFERROR(((TOR_H51[[#This Row],[H]]-TOR_H51[[#This Row],[2B]]-TOR_H51[[#This Row],[3B]]-TOR_H51[[#This Row],[HR]])+(TOR_H51[[#This Row],[2B]]*2)+(TOR_H51[[#This Row],[3B]]*3)+(TOR_H51[[#This Row],[HR]]*4))/TOR_H51[[#This Row],[AB]],0)</f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0</v>
      </c>
      <c r="AP169" s="77">
        <v>0</v>
      </c>
      <c r="AQ169" s="28">
        <v>0</v>
      </c>
      <c r="AR169" s="74">
        <v>0</v>
      </c>
      <c r="AS169" s="77">
        <f>IFERROR((TOR_H51[[#This Row],[H]]-TOR_H51[[#This Row],[2B]]-TOR_H51[[#This Row],[3B]]-TOR_H51[[#This Row],[HR]])+(TOR_H51[[#This Row],[2B]]*2)+(TOR_H51[[#This Row],[3B]]*3)+(TOR_H51[[#This Row],[HR]]*4),0)</f>
        <v>0</v>
      </c>
      <c r="AT169" s="72">
        <f>TOR_H51[[#This Row],[OBP]]+TOR_H51[[#This Row],[SLG]]</f>
        <v>0</v>
      </c>
      <c r="AU169" s="74">
        <v>0</v>
      </c>
      <c r="AV169" s="615">
        <v>10</v>
      </c>
      <c r="AY169" s="651" t="s">
        <v>226</v>
      </c>
      <c r="AZ169" s="71" t="s">
        <v>179</v>
      </c>
      <c r="BA169" s="71" t="s">
        <v>246</v>
      </c>
      <c r="BB169" s="72">
        <f>IFERROR(BOS_H13114[[#This Row],[H]]/BOS_H13114[[#This Row],[AB]],0)</f>
        <v>0</v>
      </c>
      <c r="BC169" s="72">
        <f>IFERROR((BOS_H13114[[#This Row],[BB]]+BOS_H13114[[#This Row],[H]])/(BOS_H13114[[#This Row],[AB]]+BOS_H13114[[#This Row],[BB]]),0)</f>
        <v>0</v>
      </c>
      <c r="BD169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28">
        <v>0</v>
      </c>
      <c r="BP169" s="28">
        <v>0</v>
      </c>
      <c r="BQ169" s="74">
        <v>0</v>
      </c>
      <c r="BR169" s="28">
        <f t="shared" si="15"/>
        <v>0</v>
      </c>
      <c r="BS169" s="72">
        <f>IFERROR(BOS_H13114[[#This Row],[OBP]]+BOS_H13114[[#This Row],[SLG]],0)</f>
        <v>0</v>
      </c>
      <c r="BT169" s="74">
        <v>0</v>
      </c>
      <c r="BU169" s="615">
        <v>10</v>
      </c>
    </row>
    <row r="170" spans="1:73">
      <c r="A170" s="609" t="s">
        <v>165</v>
      </c>
      <c r="B170" s="71" t="s">
        <v>187</v>
      </c>
      <c r="C170" s="77" t="s">
        <v>188</v>
      </c>
      <c r="D170" s="130">
        <f>IFERROR((NYY_H50[[#This Row],[H]]/NYY_H50[[#This Row],[AB]]),0)</f>
        <v>0</v>
      </c>
      <c r="E170" s="72">
        <f>IFERROR((NYY_H50[[#This Row],[H]]+NYY_H50[[#This Row],[BB]])/(NYY_H50[[#This Row],[AB]]+NYY_H50[[#This Row],[BB]]),)</f>
        <v>0</v>
      </c>
      <c r="F170" s="73">
        <f>IFERROR(((NYY_H50[[#This Row],[H]]-NYY_H50[[#This Row],[2B]]-NYY_H50[[#This Row],[3B]]-NYY_H50[[#This Row],[HR]])+(NYY_H50[[#This Row],[2B]]*2)+(NYY_H50[[#This Row],[3B]]*3)+(NYY_H50[[#This Row],[HR]]*4))/NYY_H50[[#This Row],[AB]],0)</f>
        <v>0</v>
      </c>
      <c r="G170" s="28">
        <v>0</v>
      </c>
      <c r="H170" s="90">
        <v>0</v>
      </c>
      <c r="I170" s="90">
        <v>0</v>
      </c>
      <c r="J170" s="90">
        <v>0</v>
      </c>
      <c r="K170" s="90">
        <v>0</v>
      </c>
      <c r="L170" s="90">
        <v>0</v>
      </c>
      <c r="M170" s="90">
        <v>0</v>
      </c>
      <c r="N170" s="90">
        <v>0</v>
      </c>
      <c r="O170" s="90">
        <v>0</v>
      </c>
      <c r="P170" s="95">
        <v>0</v>
      </c>
      <c r="Q170" s="90">
        <v>0</v>
      </c>
      <c r="R170" s="90">
        <v>0</v>
      </c>
      <c r="S170" s="95">
        <v>0</v>
      </c>
      <c r="T170" s="90">
        <f>IFERROR((NYY_H50[[#This Row],[H]]-NYY_H50[[#This Row],[2B]]-NYY_H50[[#This Row],[3B]]-NYY_H50[[#This Row],[HR]])+(NYY_H50[[#This Row],[2B]]*2)+(NYY_H50[[#This Row],[3B]]*3)+(NYY_H50[[#This Row],[HR]]*4),0)</f>
        <v>0</v>
      </c>
      <c r="U170" s="72">
        <f>NYY_H50[[#This Row],[OBP]]+NYY_H50[[#This Row],[SLG]]</f>
        <v>0</v>
      </c>
      <c r="V170" s="74">
        <v>0</v>
      </c>
      <c r="W170" s="615">
        <v>11</v>
      </c>
      <c r="Z170" s="720" t="s">
        <v>266</v>
      </c>
      <c r="AA170" s="71" t="s">
        <v>187</v>
      </c>
      <c r="AB170" s="77" t="s">
        <v>280</v>
      </c>
      <c r="AC170" s="130">
        <f>IFERROR(TOR_H51[[#This Row],[H]]/TOR_H51[[#This Row],[AB]],0)</f>
        <v>0</v>
      </c>
      <c r="AD170" s="72">
        <f>IFERROR((TOR_H51[[#This Row],[H]]+TOR_H51[[#This Row],[BB]])/(TOR_H51[[#This Row],[AB]]+TOR_H51[[#This Row],[BB]]),0)</f>
        <v>0</v>
      </c>
      <c r="AE170" s="73">
        <f>IFERROR(((TOR_H51[[#This Row],[H]]-TOR_H51[[#This Row],[2B]]-TOR_H51[[#This Row],[3B]]-TOR_H51[[#This Row],[HR]])+(TOR_H51[[#This Row],[2B]]*2)+(TOR_H51[[#This Row],[3B]]*3)+(TOR_H51[[#This Row],[HR]]*4))/TOR_H51[[#This Row],[AB]],0)</f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74">
        <v>0</v>
      </c>
      <c r="AP170" s="77">
        <v>0</v>
      </c>
      <c r="AQ170" s="28">
        <v>0</v>
      </c>
      <c r="AR170" s="74">
        <v>0</v>
      </c>
      <c r="AS170" s="77">
        <f>IFERROR((TOR_H51[[#This Row],[H]]-TOR_H51[[#This Row],[2B]]-TOR_H51[[#This Row],[3B]]-TOR_H51[[#This Row],[HR]])+(TOR_H51[[#This Row],[2B]]*2)+(TOR_H51[[#This Row],[3B]]*3)+(TOR_H51[[#This Row],[HR]]*4),0)</f>
        <v>0</v>
      </c>
      <c r="AT170" s="72">
        <f>TOR_H51[[#This Row],[OBP]]+TOR_H51[[#This Row],[SLG]]</f>
        <v>0</v>
      </c>
      <c r="AU170" s="74">
        <v>0</v>
      </c>
      <c r="AV170" s="615">
        <v>11</v>
      </c>
      <c r="AY170" s="651" t="s">
        <v>226</v>
      </c>
      <c r="AZ170" s="71" t="s">
        <v>192</v>
      </c>
      <c r="BA170" s="71" t="s">
        <v>244</v>
      </c>
      <c r="BB170" s="72">
        <f>IFERROR(BOS_H13114[[#This Row],[H]]/BOS_H13114[[#This Row],[AB]],0)</f>
        <v>0</v>
      </c>
      <c r="BC170" s="72">
        <f>IFERROR((BOS_H13114[[#This Row],[BB]]+BOS_H13114[[#This Row],[H]])/(BOS_H13114[[#This Row],[AB]]+BOS_H13114[[#This Row],[BB]]),0)</f>
        <v>0</v>
      </c>
      <c r="BD170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</v>
      </c>
      <c r="BE170" s="28">
        <v>1</v>
      </c>
      <c r="BF170" s="28">
        <v>1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74">
        <v>1</v>
      </c>
      <c r="BO170" s="28">
        <v>0</v>
      </c>
      <c r="BP170" s="28">
        <v>0</v>
      </c>
      <c r="BQ170" s="74">
        <v>0</v>
      </c>
      <c r="BR170" s="28">
        <f t="shared" si="15"/>
        <v>0</v>
      </c>
      <c r="BS170" s="72">
        <f>IFERROR(BOS_H13114[[#This Row],[OBP]]+BOS_H13114[[#This Row],[SLG]],0)</f>
        <v>0</v>
      </c>
      <c r="BT170" s="74">
        <v>0</v>
      </c>
      <c r="BU170" s="615">
        <v>11</v>
      </c>
    </row>
    <row r="171" spans="1:73">
      <c r="A171" s="609" t="s">
        <v>165</v>
      </c>
      <c r="B171" s="71" t="s">
        <v>187</v>
      </c>
      <c r="C171" s="77" t="s">
        <v>193</v>
      </c>
      <c r="D171" s="130">
        <f>IFERROR((NYY_H50[[#This Row],[H]]/NYY_H50[[#This Row],[AB]]),0)</f>
        <v>0</v>
      </c>
      <c r="E171" s="72">
        <f>IFERROR((NYY_H50[[#This Row],[H]]+NYY_H50[[#This Row],[BB]])/(NYY_H50[[#This Row],[AB]]+NYY_H50[[#This Row],[BB]]),)</f>
        <v>0</v>
      </c>
      <c r="F171" s="73">
        <f>IFERROR(((NYY_H50[[#This Row],[H]]-NYY_H50[[#This Row],[2B]]-NYY_H50[[#This Row],[3B]]-NYY_H50[[#This Row],[HR]])+(NYY_H50[[#This Row],[2B]]*2)+(NYY_H50[[#This Row],[3B]]*3)+(NYY_H50[[#This Row],[HR]]*4))/NYY_H50[[#This Row],[AB]],0)</f>
        <v>0</v>
      </c>
      <c r="G171" s="28">
        <v>0</v>
      </c>
      <c r="H171" s="90">
        <v>0</v>
      </c>
      <c r="I171" s="90">
        <v>0</v>
      </c>
      <c r="J171" s="90">
        <v>0</v>
      </c>
      <c r="K171" s="90">
        <v>0</v>
      </c>
      <c r="L171" s="90">
        <v>0</v>
      </c>
      <c r="M171" s="90">
        <v>0</v>
      </c>
      <c r="N171" s="90">
        <v>0</v>
      </c>
      <c r="O171" s="90">
        <v>0</v>
      </c>
      <c r="P171" s="95">
        <v>0</v>
      </c>
      <c r="Q171" s="90">
        <v>0</v>
      </c>
      <c r="R171" s="90">
        <v>0</v>
      </c>
      <c r="S171" s="95">
        <v>0</v>
      </c>
      <c r="T171" s="90">
        <f>IFERROR((NYY_H50[[#This Row],[H]]-NYY_H50[[#This Row],[2B]]-NYY_H50[[#This Row],[3B]]-NYY_H50[[#This Row],[HR]])+(NYY_H50[[#This Row],[2B]]*2)+(NYY_H50[[#This Row],[3B]]*3)+(NYY_H50[[#This Row],[HR]]*4),0)</f>
        <v>0</v>
      </c>
      <c r="U171" s="72">
        <f>NYY_H50[[#This Row],[OBP]]+NYY_H50[[#This Row],[SLG]]</f>
        <v>0</v>
      </c>
      <c r="V171" s="74">
        <v>0</v>
      </c>
      <c r="W171" s="615">
        <v>12</v>
      </c>
      <c r="Z171" s="720" t="s">
        <v>266</v>
      </c>
      <c r="AA171" s="71" t="s">
        <v>187</v>
      </c>
      <c r="AB171" s="71" t="s">
        <v>282</v>
      </c>
      <c r="AC171" s="72">
        <f>IFERROR(TOR_H51[[#This Row],[H]]/TOR_H51[[#This Row],[AB]],0)</f>
        <v>0</v>
      </c>
      <c r="AD171" s="72">
        <f>IFERROR((TOR_H51[[#This Row],[H]]+TOR_H51[[#This Row],[BB]])/(TOR_H51[[#This Row],[AB]]+TOR_H51[[#This Row],[BB]]),0)</f>
        <v>0</v>
      </c>
      <c r="AE171" s="73">
        <f>IFERROR(((TOR_H51[[#This Row],[H]]-TOR_H51[[#This Row],[2B]]-TOR_H51[[#This Row],[3B]]-TOR_H51[[#This Row],[HR]])+(TOR_H51[[#This Row],[2B]]*2)+(TOR_H51[[#This Row],[3B]]*3)+(TOR_H51[[#This Row],[HR]]*4))/TOR_H51[[#This Row],[AB]],0)</f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74">
        <v>0</v>
      </c>
      <c r="AP171" s="77">
        <v>0</v>
      </c>
      <c r="AQ171" s="28">
        <v>0</v>
      </c>
      <c r="AR171" s="74">
        <v>0</v>
      </c>
      <c r="AS171" s="77">
        <f>IFERROR((TOR_H51[[#This Row],[H]]-TOR_H51[[#This Row],[2B]]-TOR_H51[[#This Row],[3B]]-TOR_H51[[#This Row],[HR]])+(TOR_H51[[#This Row],[2B]]*2)+(TOR_H51[[#This Row],[3B]]*3)+(TOR_H51[[#This Row],[HR]]*4),0)</f>
        <v>0</v>
      </c>
      <c r="AT171" s="72">
        <f>TOR_H51[[#This Row],[OBP]]+TOR_H51[[#This Row],[SLG]]</f>
        <v>0</v>
      </c>
      <c r="AU171" s="74">
        <v>0</v>
      </c>
      <c r="AV171" s="615">
        <v>12</v>
      </c>
      <c r="AY171" s="651" t="s">
        <v>226</v>
      </c>
      <c r="AZ171" s="71" t="s">
        <v>187</v>
      </c>
      <c r="BA171" s="71" t="s">
        <v>243</v>
      </c>
      <c r="BB171" s="72">
        <f>IFERROR(BOS_H13114[[#This Row],[H]]/BOS_H13114[[#This Row],[AB]],0)</f>
        <v>0</v>
      </c>
      <c r="BC171" s="72">
        <f>IFERROR((BOS_H13114[[#This Row],[BB]]+BOS_H13114[[#This Row],[H]])/(BOS_H13114[[#This Row],[AB]]+BOS_H13114[[#This Row],[BB]]),0)</f>
        <v>0</v>
      </c>
      <c r="BD171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74">
        <v>0</v>
      </c>
      <c r="BO171" s="28">
        <v>0</v>
      </c>
      <c r="BP171" s="28">
        <v>0</v>
      </c>
      <c r="BQ171" s="74">
        <v>0</v>
      </c>
      <c r="BR171" s="28">
        <f t="shared" si="15"/>
        <v>0</v>
      </c>
      <c r="BS171" s="72">
        <f>IFERROR(BOS_H13114[[#This Row],[OBP]]+BOS_H13114[[#This Row],[SLG]],0)</f>
        <v>0</v>
      </c>
      <c r="BT171" s="74">
        <v>0</v>
      </c>
      <c r="BU171" s="615">
        <v>12</v>
      </c>
    </row>
    <row r="172" spans="1:73">
      <c r="A172" s="609" t="s">
        <v>165</v>
      </c>
      <c r="B172" s="71" t="s">
        <v>184</v>
      </c>
      <c r="C172" s="77" t="s">
        <v>185</v>
      </c>
      <c r="D172" s="130">
        <f>IFERROR((NYY_H50[[#This Row],[H]]/NYY_H50[[#This Row],[AB]]),0)</f>
        <v>0</v>
      </c>
      <c r="E172" s="72">
        <f>IFERROR((NYY_H50[[#This Row],[H]]+NYY_H50[[#This Row],[BB]])/(NYY_H50[[#This Row],[AB]]+NYY_H50[[#This Row],[BB]]),)</f>
        <v>0</v>
      </c>
      <c r="F172" s="73">
        <f>IFERROR(((NYY_H50[[#This Row],[H]]-NYY_H50[[#This Row],[2B]]-NYY_H50[[#This Row],[3B]]-NYY_H50[[#This Row],[HR]])+(NYY_H50[[#This Row],[2B]]*2)+(NYY_H50[[#This Row],[3B]]*3)+(NYY_H50[[#This Row],[HR]]*4))/NYY_H50[[#This Row],[AB]],0)</f>
        <v>0</v>
      </c>
      <c r="G172" s="28">
        <v>0</v>
      </c>
      <c r="H172" s="90">
        <v>0</v>
      </c>
      <c r="I172" s="90">
        <v>0</v>
      </c>
      <c r="J172" s="90">
        <v>0</v>
      </c>
      <c r="K172" s="90">
        <v>0</v>
      </c>
      <c r="L172" s="90">
        <v>0</v>
      </c>
      <c r="M172" s="90">
        <v>0</v>
      </c>
      <c r="N172" s="90">
        <v>0</v>
      </c>
      <c r="O172" s="90">
        <v>0</v>
      </c>
      <c r="P172" s="95">
        <v>0</v>
      </c>
      <c r="Q172" s="90">
        <v>0</v>
      </c>
      <c r="R172" s="90">
        <v>0</v>
      </c>
      <c r="S172" s="95">
        <v>0</v>
      </c>
      <c r="T172" s="90">
        <f>IFERROR((NYY_H50[[#This Row],[H]]-NYY_H50[[#This Row],[2B]]-NYY_H50[[#This Row],[3B]]-NYY_H50[[#This Row],[HR]])+(NYY_H50[[#This Row],[2B]]*2)+(NYY_H50[[#This Row],[3B]]*3)+(NYY_H50[[#This Row],[HR]]*4),0)</f>
        <v>0</v>
      </c>
      <c r="U172" s="72">
        <f>NYY_H50[[#This Row],[OBP]]+NYY_H50[[#This Row],[SLG]]</f>
        <v>0</v>
      </c>
      <c r="V172" s="74">
        <v>0</v>
      </c>
      <c r="W172" s="615">
        <v>13</v>
      </c>
      <c r="Z172" s="720" t="s">
        <v>266</v>
      </c>
      <c r="AA172" s="71" t="s">
        <v>186</v>
      </c>
      <c r="AB172" s="71" t="s">
        <v>279</v>
      </c>
      <c r="AC172" s="72">
        <f>IFERROR(TOR_H51[[#This Row],[H]]/TOR_H51[[#This Row],[AB]],0)</f>
        <v>0.33333333333333331</v>
      </c>
      <c r="AD172" s="72">
        <f>IFERROR((TOR_H51[[#This Row],[H]]+TOR_H51[[#This Row],[BB]])/(TOR_H51[[#This Row],[AB]]+TOR_H51[[#This Row],[BB]]),0)</f>
        <v>0.45454545454545453</v>
      </c>
      <c r="AE172" s="73">
        <f>IFERROR(((TOR_H51[[#This Row],[H]]-TOR_H51[[#This Row],[2B]]-TOR_H51[[#This Row],[3B]]-TOR_H51[[#This Row],[HR]])+(TOR_H51[[#This Row],[2B]]*2)+(TOR_H51[[#This Row],[3B]]*3)+(TOR_H51[[#This Row],[HR]]*4))/TOR_H51[[#This Row],[AB]],0)</f>
        <v>0.33333333333333331</v>
      </c>
      <c r="AF172" s="28">
        <v>3</v>
      </c>
      <c r="AG172" s="28">
        <v>9</v>
      </c>
      <c r="AH172" s="28">
        <v>1</v>
      </c>
      <c r="AI172" s="28">
        <v>3</v>
      </c>
      <c r="AJ172" s="28">
        <v>0</v>
      </c>
      <c r="AK172" s="28">
        <v>0</v>
      </c>
      <c r="AL172" s="28">
        <v>0</v>
      </c>
      <c r="AM172" s="28">
        <v>4</v>
      </c>
      <c r="AN172" s="28">
        <v>2</v>
      </c>
      <c r="AO172" s="74">
        <v>5</v>
      </c>
      <c r="AP172" s="77">
        <v>0</v>
      </c>
      <c r="AQ172" s="28">
        <v>2</v>
      </c>
      <c r="AR172" s="74">
        <v>2</v>
      </c>
      <c r="AS172" s="77">
        <f>IFERROR((TOR_H51[[#This Row],[H]]-TOR_H51[[#This Row],[2B]]-TOR_H51[[#This Row],[3B]]-TOR_H51[[#This Row],[HR]])+(TOR_H51[[#This Row],[2B]]*2)+(TOR_H51[[#This Row],[3B]]*3)+(TOR_H51[[#This Row],[HR]]*4),0)</f>
        <v>3</v>
      </c>
      <c r="AT172" s="72">
        <f>TOR_H51[[#This Row],[OBP]]+TOR_H51[[#This Row],[SLG]]</f>
        <v>0.78787878787878785</v>
      </c>
      <c r="AU172" s="74">
        <v>0</v>
      </c>
      <c r="AV172" s="615">
        <v>13</v>
      </c>
      <c r="AY172" s="651" t="s">
        <v>226</v>
      </c>
      <c r="AZ172" s="71" t="s">
        <v>184</v>
      </c>
      <c r="BA172" s="71" t="s">
        <v>227</v>
      </c>
      <c r="BB172" s="72">
        <f>IFERROR(BOS_H13114[[#This Row],[H]]/BOS_H13114[[#This Row],[AB]],0)</f>
        <v>0</v>
      </c>
      <c r="BC172" s="72">
        <f>IFERROR((BOS_H13114[[#This Row],[BB]]+BOS_H13114[[#This Row],[H]])/(BOS_H13114[[#This Row],[AB]]+BOS_H13114[[#This Row],[BB]]),0)</f>
        <v>0</v>
      </c>
      <c r="BD172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74">
        <v>0</v>
      </c>
      <c r="BO172" s="28">
        <v>0</v>
      </c>
      <c r="BP172" s="28">
        <v>0</v>
      </c>
      <c r="BQ172" s="74">
        <v>0</v>
      </c>
      <c r="BR172" s="28">
        <f t="shared" si="15"/>
        <v>0</v>
      </c>
      <c r="BS172" s="72">
        <f>IFERROR(BOS_H13114[[#This Row],[OBP]]+BOS_H13114[[#This Row],[SLG]],0)</f>
        <v>0</v>
      </c>
      <c r="BT172" s="74">
        <v>0</v>
      </c>
      <c r="BU172" s="615">
        <v>13</v>
      </c>
    </row>
    <row r="173" spans="1:73" ht="17" thickBot="1">
      <c r="A173" s="609" t="s">
        <v>165</v>
      </c>
      <c r="B173" s="71" t="s">
        <v>186</v>
      </c>
      <c r="C173" s="71" t="s">
        <v>182</v>
      </c>
      <c r="D173" s="72">
        <f>IFERROR((NYY_H50[[#This Row],[H]]/NYY_H50[[#This Row],[AB]]),0)</f>
        <v>0</v>
      </c>
      <c r="E173" s="72">
        <f>IFERROR((NYY_H50[[#This Row],[H]]+NYY_H50[[#This Row],[BB]])/(NYY_H50[[#This Row],[AB]]+NYY_H50[[#This Row],[BB]]),)</f>
        <v>0</v>
      </c>
      <c r="F173" s="73">
        <f>IFERROR(((NYY_H50[[#This Row],[H]]-NYY_H50[[#This Row],[2B]]-NYY_H50[[#This Row],[3B]]-NYY_H50[[#This Row],[HR]])+(NYY_H50[[#This Row],[2B]]*2)+(NYY_H50[[#This Row],[3B]]*3)+(NYY_H50[[#This Row],[HR]]*4))/NYY_H50[[#This Row],[AB]],0)</f>
        <v>0</v>
      </c>
      <c r="G173" s="28">
        <v>0</v>
      </c>
      <c r="H173" s="90">
        <v>0</v>
      </c>
      <c r="I173" s="90">
        <v>0</v>
      </c>
      <c r="J173" s="90">
        <v>0</v>
      </c>
      <c r="K173" s="90">
        <v>0</v>
      </c>
      <c r="L173" s="90">
        <v>0</v>
      </c>
      <c r="M173" s="90">
        <v>0</v>
      </c>
      <c r="N173" s="90">
        <v>0</v>
      </c>
      <c r="O173" s="90">
        <v>0</v>
      </c>
      <c r="P173" s="95">
        <v>0</v>
      </c>
      <c r="Q173" s="90">
        <v>0</v>
      </c>
      <c r="R173" s="90">
        <v>0</v>
      </c>
      <c r="S173" s="95">
        <v>0</v>
      </c>
      <c r="T173" s="90">
        <f>IFERROR((NYY_H50[[#This Row],[H]]-NYY_H50[[#This Row],[2B]]-NYY_H50[[#This Row],[3B]]-NYY_H50[[#This Row],[HR]])+(NYY_H50[[#This Row],[2B]]*2)+(NYY_H50[[#This Row],[3B]]*3)+(NYY_H50[[#This Row],[HR]]*4),0)</f>
        <v>0</v>
      </c>
      <c r="U173" s="72">
        <f>NYY_H50[[#This Row],[OBP]]+NYY_H50[[#This Row],[SLG]]</f>
        <v>0</v>
      </c>
      <c r="V173" s="74">
        <v>0</v>
      </c>
      <c r="W173" s="615">
        <v>14</v>
      </c>
      <c r="Z173" s="720" t="s">
        <v>266</v>
      </c>
      <c r="AA173" s="71" t="s">
        <v>186</v>
      </c>
      <c r="AB173" s="71" t="s">
        <v>281</v>
      </c>
      <c r="AC173" s="72">
        <f>IFERROR(TOR_H51[[#This Row],[H]]/TOR_H51[[#This Row],[AB]],0)</f>
        <v>0</v>
      </c>
      <c r="AD173" s="72">
        <f>IFERROR((TOR_H51[[#This Row],[H]]+TOR_H51[[#This Row],[BB]])/(TOR_H51[[#This Row],[AB]]+TOR_H51[[#This Row],[BB]]),0)</f>
        <v>0</v>
      </c>
      <c r="AE173" s="73">
        <f>IFERROR(((TOR_H51[[#This Row],[H]]-TOR_H51[[#This Row],[2B]]-TOR_H51[[#This Row],[3B]]-TOR_H51[[#This Row],[HR]])+(TOR_H51[[#This Row],[2B]]*2)+(TOR_H51[[#This Row],[3B]]*3)+(TOR_H51[[#This Row],[HR]]*4))/TOR_H51[[#This Row],[AB]],0)</f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74">
        <v>0</v>
      </c>
      <c r="AP173" s="77">
        <v>0</v>
      </c>
      <c r="AQ173" s="28">
        <v>0</v>
      </c>
      <c r="AR173" s="74">
        <v>0</v>
      </c>
      <c r="AS173" s="77">
        <f>IFERROR((TOR_H51[[#This Row],[H]]-TOR_H51[[#This Row],[2B]]-TOR_H51[[#This Row],[3B]]-TOR_H51[[#This Row],[HR]])+(TOR_H51[[#This Row],[2B]]*2)+(TOR_H51[[#This Row],[3B]]*3)+(TOR_H51[[#This Row],[HR]]*4),0)</f>
        <v>0</v>
      </c>
      <c r="AT173" s="72">
        <f>TOR_H51[[#This Row],[OBP]]+TOR_H51[[#This Row],[SLG]]</f>
        <v>0</v>
      </c>
      <c r="AU173" s="74">
        <v>0</v>
      </c>
      <c r="AV173" s="615">
        <v>14</v>
      </c>
      <c r="AY173" s="651" t="s">
        <v>226</v>
      </c>
      <c r="AZ173" s="71" t="s">
        <v>186</v>
      </c>
      <c r="BA173" s="71" t="s">
        <v>247</v>
      </c>
      <c r="BB173" s="72">
        <f>IFERROR(BOS_H13114[[#This Row],[H]]/BOS_H13114[[#This Row],[AB]],0)</f>
        <v>0</v>
      </c>
      <c r="BC173" s="72">
        <f>IFERROR((BOS_H13114[[#This Row],[BB]]+BOS_H13114[[#This Row],[H]])/(BOS_H13114[[#This Row],[AB]]+BOS_H13114[[#This Row],[BB]]),0)</f>
        <v>0</v>
      </c>
      <c r="BD173" s="73">
        <f>IFERROR(((BOS_H13114[[#This Row],[H]]-BOS_H13114[[#This Row],[2B]]-BOS_H13114[[#This Row],[3B]]-BOS_H13114[[#This Row],[HR]])+(BOS_H13114[[#This Row],[2B]]*2)+(BOS_H13114[[#This Row],[3B]]*3)+(BOS_H13114[[#This Row],[HR]]*4))/BOS_H13114[[#This Row],[AB]],0)</f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74">
        <v>0</v>
      </c>
      <c r="BO173" s="28">
        <v>0</v>
      </c>
      <c r="BP173" s="28">
        <v>0</v>
      </c>
      <c r="BQ173" s="74">
        <v>0</v>
      </c>
      <c r="BR173" s="28">
        <f t="shared" si="15"/>
        <v>0</v>
      </c>
      <c r="BS173" s="72">
        <f>IFERROR(BOS_H13114[[#This Row],[OBP]]+BOS_H13114[[#This Row],[SLG]],0)</f>
        <v>0</v>
      </c>
      <c r="BT173" s="74">
        <v>0</v>
      </c>
      <c r="BU173" s="615">
        <v>14</v>
      </c>
    </row>
    <row r="174" spans="1:73" ht="17" thickBot="1">
      <c r="A174" s="617"/>
      <c r="B174" s="618"/>
      <c r="C174" s="619" t="s">
        <v>195</v>
      </c>
      <c r="D174" s="620">
        <f>J174/H174</f>
        <v>0.23671497584541062</v>
      </c>
      <c r="E174" s="620">
        <f>(J174+O174)/(O174+H174)</f>
        <v>0.30088495575221241</v>
      </c>
      <c r="F174" s="621">
        <f>((J174-K174-L174-M174)+(K174*2)+(L174*3)+(M174*4))/H174</f>
        <v>0.4170692431561997</v>
      </c>
      <c r="G174" s="622"/>
      <c r="H174" s="623">
        <f>SUBTOTAL(109,NYY_H50[AB])</f>
        <v>621</v>
      </c>
      <c r="I174" s="623">
        <f>SUBTOTAL(109,NYY_H50[R])</f>
        <v>68</v>
      </c>
      <c r="J174" s="623">
        <f>SUBTOTAL(109,NYY_H50[H])</f>
        <v>147</v>
      </c>
      <c r="K174" s="623">
        <f>SUBTOTAL(109,NYY_H50[2B])</f>
        <v>26</v>
      </c>
      <c r="L174" s="623">
        <f>SUBTOTAL(109,NYY_H50[3B])</f>
        <v>1</v>
      </c>
      <c r="M174" s="623">
        <f>SUBTOTAL(109,NYY_H50[HR])</f>
        <v>28</v>
      </c>
      <c r="N174" s="623">
        <f>SUBTOTAL(109,NYY_H50[RBI])</f>
        <v>68</v>
      </c>
      <c r="O174" s="623">
        <f>SUBTOTAL(109,NYY_H50[BB])</f>
        <v>57</v>
      </c>
      <c r="P174" s="624">
        <f>SUBTOTAL(109,NYY_H50[K])</f>
        <v>169</v>
      </c>
      <c r="Q174" s="623">
        <f>SUBTOTAL(109,NYY_H50[SB])</f>
        <v>5</v>
      </c>
      <c r="R174" s="622"/>
      <c r="S174" s="625"/>
      <c r="T174" s="623">
        <f>SUBTOTAL(109,NYY_H50[TB])</f>
        <v>259</v>
      </c>
      <c r="U174" s="620">
        <f>E174+F174</f>
        <v>0.71795419890841217</v>
      </c>
      <c r="V174" s="625">
        <f>SUBTOTAL(109,NYY_H50[*])</f>
        <v>9</v>
      </c>
      <c r="W174" s="626"/>
      <c r="Z174" s="674"/>
      <c r="AA174" s="675"/>
      <c r="AB174" s="676" t="s">
        <v>195</v>
      </c>
      <c r="AC174" s="677">
        <f>AI174/AG174</f>
        <v>0.24750499001996007</v>
      </c>
      <c r="AD174" s="677">
        <f>(AI174+AN174)/(AN174+AG174)</f>
        <v>0.3170289855072464</v>
      </c>
      <c r="AE174" s="677">
        <f>((AI174-AJ174-AK174-AL174)+(AJ174*2)+(AK174*3)+(AL174*4))/AG174</f>
        <v>0.46107784431137727</v>
      </c>
      <c r="AF174" s="678"/>
      <c r="AG174" s="679">
        <f>SUBTOTAL(109,TOR_H51[AB])</f>
        <v>501</v>
      </c>
      <c r="AH174" s="679">
        <f>SUBTOTAL(109,TOR_H51[R])</f>
        <v>63</v>
      </c>
      <c r="AI174" s="679">
        <f>SUBTOTAL(109,TOR_H51[H])</f>
        <v>124</v>
      </c>
      <c r="AJ174" s="679">
        <f>SUBTOTAL(109,TOR_H51[2B])</f>
        <v>30</v>
      </c>
      <c r="AK174" s="679">
        <f>SUBTOTAL(109,TOR_H51[3B])</f>
        <v>1</v>
      </c>
      <c r="AL174" s="679">
        <f>SUBTOTAL(109,TOR_H51[HR])</f>
        <v>25</v>
      </c>
      <c r="AM174" s="679">
        <f>SUBTOTAL(109,TOR_H51[RBI])</f>
        <v>62</v>
      </c>
      <c r="AN174" s="679">
        <f>SUBTOTAL(109,TOR_H51[BB])</f>
        <v>51</v>
      </c>
      <c r="AO174" s="680">
        <f>SUBTOTAL(109,TOR_H51[K])</f>
        <v>141</v>
      </c>
      <c r="AP174" s="678">
        <f>SUBTOTAL(109,TOR_H51[SB])</f>
        <v>2</v>
      </c>
      <c r="AQ174" s="679"/>
      <c r="AR174" s="679"/>
      <c r="AS174" s="678">
        <f>SUBTOTAL(109,TOR_H51[TB])</f>
        <v>231</v>
      </c>
      <c r="AT174" s="677">
        <f>AD174+AE174</f>
        <v>0.77810682981862367</v>
      </c>
      <c r="AU174" s="680">
        <f>SUBTOTAL(109,TOR_H51[*])</f>
        <v>11</v>
      </c>
      <c r="AV174" s="681"/>
      <c r="AY174" s="652"/>
      <c r="AZ174" s="653"/>
      <c r="BA174" s="654" t="s">
        <v>195</v>
      </c>
      <c r="BB174" s="656">
        <f>IFERROR(BH174/BF174,0)</f>
        <v>0.22754491017964071</v>
      </c>
      <c r="BC174" s="656">
        <f>IFERROR((BM174+BH174)/(BF174+BM174),0)</f>
        <v>0.28333333333333333</v>
      </c>
      <c r="BD174" s="657">
        <f>IFERROR(((BH174-BI174-BJ174-BK174)+(BI174*2)+(BJ174*3)+(BK174*4))/BF174,0)</f>
        <v>0.33532934131736525</v>
      </c>
      <c r="BE174" s="658"/>
      <c r="BF174" s="658">
        <f>SUM(BF160:BF173)</f>
        <v>167</v>
      </c>
      <c r="BG174" s="658">
        <f>SUBTOTAL(109,BOS_H13114[R])</f>
        <v>17</v>
      </c>
      <c r="BH174" s="658">
        <f t="shared" ref="BH174:BO174" si="16">SUM(BH160:BH173)</f>
        <v>38</v>
      </c>
      <c r="BI174" s="658">
        <f t="shared" si="16"/>
        <v>12</v>
      </c>
      <c r="BJ174" s="658">
        <f t="shared" si="16"/>
        <v>0</v>
      </c>
      <c r="BK174" s="658">
        <f t="shared" si="16"/>
        <v>2</v>
      </c>
      <c r="BL174" s="658">
        <f t="shared" si="16"/>
        <v>16</v>
      </c>
      <c r="BM174" s="658">
        <f t="shared" si="16"/>
        <v>13</v>
      </c>
      <c r="BN174" s="660">
        <f t="shared" si="16"/>
        <v>53</v>
      </c>
      <c r="BO174" s="658">
        <f t="shared" si="16"/>
        <v>0</v>
      </c>
      <c r="BP174" s="658"/>
      <c r="BQ174" s="660"/>
      <c r="BR174" s="661">
        <f>SUM(BR160:BR173)</f>
        <v>56</v>
      </c>
      <c r="BS174" s="656">
        <f>IFERROR(BC174+BD174,0)</f>
        <v>0.61866267465069857</v>
      </c>
      <c r="BT174" s="660">
        <f>SUBTOTAL(109,BOS_H13114[*])</f>
        <v>2</v>
      </c>
      <c r="BU174" s="662"/>
    </row>
    <row r="175" spans="1:73" ht="17" thickBot="1"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73" s="64" customFormat="1" ht="17" thickBot="1">
      <c r="A176" s="605" t="s">
        <v>143</v>
      </c>
      <c r="B176" s="606" t="s">
        <v>144</v>
      </c>
      <c r="C176" s="606" t="s">
        <v>145</v>
      </c>
      <c r="D176" s="606" t="s">
        <v>196</v>
      </c>
      <c r="E176" s="606" t="s">
        <v>197</v>
      </c>
      <c r="F176" s="606" t="s">
        <v>198</v>
      </c>
      <c r="G176" s="606" t="s">
        <v>149</v>
      </c>
      <c r="H176" s="606" t="s">
        <v>199</v>
      </c>
      <c r="I176" s="606" t="s">
        <v>152</v>
      </c>
      <c r="J176" s="606" t="s">
        <v>151</v>
      </c>
      <c r="K176" s="606" t="s">
        <v>157</v>
      </c>
      <c r="L176" s="606" t="s">
        <v>158</v>
      </c>
      <c r="M176" s="606" t="s">
        <v>200</v>
      </c>
      <c r="N176" s="606" t="s">
        <v>201</v>
      </c>
      <c r="O176" s="606" t="s">
        <v>202</v>
      </c>
      <c r="P176" s="606" t="s">
        <v>203</v>
      </c>
      <c r="Q176" s="606" t="s">
        <v>204</v>
      </c>
      <c r="R176" s="606" t="s">
        <v>205</v>
      </c>
      <c r="S176" s="607" t="s">
        <v>164</v>
      </c>
      <c r="Z176" s="605" t="s">
        <v>143</v>
      </c>
      <c r="AA176" s="606" t="s">
        <v>144</v>
      </c>
      <c r="AB176" s="606" t="s">
        <v>145</v>
      </c>
      <c r="AC176" s="606" t="s">
        <v>196</v>
      </c>
      <c r="AD176" s="606" t="s">
        <v>197</v>
      </c>
      <c r="AE176" s="606" t="s">
        <v>198</v>
      </c>
      <c r="AF176" s="606" t="s">
        <v>149</v>
      </c>
      <c r="AG176" s="606" t="s">
        <v>199</v>
      </c>
      <c r="AH176" s="606" t="s">
        <v>152</v>
      </c>
      <c r="AI176" s="606" t="s">
        <v>151</v>
      </c>
      <c r="AJ176" s="606" t="s">
        <v>157</v>
      </c>
      <c r="AK176" s="606" t="s">
        <v>158</v>
      </c>
      <c r="AL176" s="606" t="s">
        <v>200</v>
      </c>
      <c r="AM176" s="606" t="s">
        <v>201</v>
      </c>
      <c r="AN176" s="606" t="s">
        <v>202</v>
      </c>
      <c r="AO176" s="606" t="s">
        <v>203</v>
      </c>
      <c r="AP176" s="606" t="s">
        <v>204</v>
      </c>
      <c r="AQ176" s="606" t="s">
        <v>205</v>
      </c>
      <c r="AR176" s="607" t="s">
        <v>164</v>
      </c>
      <c r="AS176"/>
      <c r="AT176"/>
      <c r="AU176"/>
      <c r="AV176"/>
      <c r="AY176" s="605" t="s">
        <v>143</v>
      </c>
      <c r="AZ176" s="606" t="s">
        <v>144</v>
      </c>
      <c r="BA176" s="606" t="s">
        <v>145</v>
      </c>
      <c r="BB176" s="606" t="s">
        <v>196</v>
      </c>
      <c r="BC176" s="606" t="s">
        <v>197</v>
      </c>
      <c r="BD176" s="606" t="s">
        <v>198</v>
      </c>
      <c r="BE176" s="606" t="s">
        <v>149</v>
      </c>
      <c r="BF176" s="606" t="s">
        <v>199</v>
      </c>
      <c r="BG176" s="606" t="s">
        <v>152</v>
      </c>
      <c r="BH176" s="606" t="s">
        <v>151</v>
      </c>
      <c r="BI176" s="606" t="s">
        <v>157</v>
      </c>
      <c r="BJ176" s="606" t="s">
        <v>158</v>
      </c>
      <c r="BK176" s="606" t="s">
        <v>200</v>
      </c>
      <c r="BL176" s="606" t="s">
        <v>201</v>
      </c>
      <c r="BM176" s="606" t="s">
        <v>202</v>
      </c>
      <c r="BN176" s="606" t="s">
        <v>203</v>
      </c>
      <c r="BO176" s="606" t="s">
        <v>204</v>
      </c>
      <c r="BP176" s="606" t="s">
        <v>205</v>
      </c>
      <c r="BQ176" s="607" t="s">
        <v>164</v>
      </c>
      <c r="BR176" s="108"/>
      <c r="BS176" s="108"/>
      <c r="BT176" s="108"/>
      <c r="BU176" s="108"/>
    </row>
    <row r="177" spans="1:73">
      <c r="A177" s="634" t="s">
        <v>165</v>
      </c>
      <c r="B177" s="597" t="s">
        <v>206</v>
      </c>
      <c r="C177" s="600" t="s">
        <v>207</v>
      </c>
      <c r="D177" s="663">
        <f>IFERROR((NYY_P51[[#This Row],[R]]*9)/NYY_P51[[#This Row],[IP]],0)</f>
        <v>2.0930232558139537</v>
      </c>
      <c r="E177" s="673">
        <v>4</v>
      </c>
      <c r="F177" s="604">
        <v>2</v>
      </c>
      <c r="G177" s="600">
        <v>6</v>
      </c>
      <c r="H177" s="630">
        <v>43</v>
      </c>
      <c r="I177" s="601">
        <v>31</v>
      </c>
      <c r="J177" s="601">
        <v>10</v>
      </c>
      <c r="K177" s="601">
        <v>15</v>
      </c>
      <c r="L177" s="601">
        <v>42</v>
      </c>
      <c r="M177" s="600">
        <v>0</v>
      </c>
      <c r="N177" s="631">
        <f>IFERROR((NYY_P51[[#This Row],[BB]]+NYY_P51[[#This Row],[H]])/NYY_P51[[#This Row],[IP]],)</f>
        <v>1.069767441860465</v>
      </c>
      <c r="O177" s="708">
        <v>6</v>
      </c>
      <c r="P177" s="602">
        <v>4</v>
      </c>
      <c r="Q177" s="600">
        <v>0</v>
      </c>
      <c r="R177" s="604">
        <v>0</v>
      </c>
      <c r="S177" s="614">
        <v>1</v>
      </c>
      <c r="Z177" s="719" t="s">
        <v>266</v>
      </c>
      <c r="AA177" s="597" t="s">
        <v>206</v>
      </c>
      <c r="AB177" s="682" t="s">
        <v>284</v>
      </c>
      <c r="AC177" s="663">
        <f>IFERROR((TOR_P52[[#This Row],[R]]*9)/TOR_P52[[#This Row],[IP]],0)</f>
        <v>2.5576255131038836</v>
      </c>
      <c r="AD177" s="627">
        <v>4</v>
      </c>
      <c r="AE177" s="604">
        <v>1</v>
      </c>
      <c r="AF177" s="600">
        <v>5</v>
      </c>
      <c r="AG177" s="630">
        <v>31.67</v>
      </c>
      <c r="AH177" s="600">
        <v>29</v>
      </c>
      <c r="AI177" s="600">
        <v>9</v>
      </c>
      <c r="AJ177" s="600">
        <v>14</v>
      </c>
      <c r="AK177" s="600">
        <v>29</v>
      </c>
      <c r="AL177" s="600">
        <v>0</v>
      </c>
      <c r="AM177" s="631">
        <f>IFERROR((TOR_P52[[#This Row],[BB]]+TOR_P52[[#This Row],[H]])/TOR_P52[[#This Row],[IP]],0)</f>
        <v>1.3577518155983579</v>
      </c>
      <c r="AN177" s="600">
        <v>3</v>
      </c>
      <c r="AO177" s="601">
        <v>2</v>
      </c>
      <c r="AP177" s="600">
        <v>0</v>
      </c>
      <c r="AQ177" s="604">
        <v>0</v>
      </c>
      <c r="AR177" s="614">
        <v>1</v>
      </c>
      <c r="AS177"/>
      <c r="AT177"/>
      <c r="AU177"/>
      <c r="AV177"/>
      <c r="AY177" s="650" t="s">
        <v>226</v>
      </c>
      <c r="AZ177" s="597" t="s">
        <v>206</v>
      </c>
      <c r="BA177" s="597" t="s">
        <v>249</v>
      </c>
      <c r="BB177" s="663">
        <f>IFERROR((BOS_P11115[[#This Row],[R]]*9)/BOS_P11115[[#This Row],[IP]],0)</f>
        <v>2.6335040234089249</v>
      </c>
      <c r="BC177" s="600">
        <v>1</v>
      </c>
      <c r="BD177" s="604">
        <v>1</v>
      </c>
      <c r="BE177" s="600">
        <v>2</v>
      </c>
      <c r="BF177" s="630">
        <v>13.67</v>
      </c>
      <c r="BG177" s="600">
        <v>14</v>
      </c>
      <c r="BH177" s="600">
        <v>4</v>
      </c>
      <c r="BI177" s="600">
        <v>8</v>
      </c>
      <c r="BJ177" s="600">
        <v>22</v>
      </c>
      <c r="BK177" s="600">
        <v>0</v>
      </c>
      <c r="BL177" s="631">
        <f>IFERROR((BOS_P11115[[#This Row],[BB]]+BOS_P11115[[#This Row],[H]])/BOS_P11115[[#This Row],[IP]],0)</f>
        <v>1.6093635698610096</v>
      </c>
      <c r="BM177" s="600">
        <v>2</v>
      </c>
      <c r="BN177" s="601">
        <v>1</v>
      </c>
      <c r="BO177" s="600">
        <v>0</v>
      </c>
      <c r="BP177" s="604">
        <v>0</v>
      </c>
      <c r="BQ177" s="614">
        <v>1</v>
      </c>
      <c r="BR177"/>
      <c r="BS177"/>
      <c r="BT177"/>
      <c r="BU177"/>
    </row>
    <row r="178" spans="1:73">
      <c r="A178" s="635" t="s">
        <v>165</v>
      </c>
      <c r="B178" s="71" t="s">
        <v>206</v>
      </c>
      <c r="C178" s="633" t="s">
        <v>208</v>
      </c>
      <c r="D178" s="88">
        <f>IFERROR((NYY_P51[[#This Row],[R]]*9)/NYY_P51[[#This Row],[IP]],0)</f>
        <v>5.2432274978153224</v>
      </c>
      <c r="E178" s="77">
        <v>2</v>
      </c>
      <c r="F178" s="536">
        <v>4</v>
      </c>
      <c r="G178" s="28">
        <v>6</v>
      </c>
      <c r="H178" s="584">
        <v>34.33</v>
      </c>
      <c r="I178" s="595">
        <v>38</v>
      </c>
      <c r="J178" s="595">
        <v>20</v>
      </c>
      <c r="K178" s="90">
        <v>15</v>
      </c>
      <c r="L178" s="90">
        <v>39</v>
      </c>
      <c r="M178" s="28">
        <v>0</v>
      </c>
      <c r="N178" s="89">
        <f>IFERROR((NYY_P51[[#This Row],[BB]]+NYY_P51[[#This Row],[H]])/NYY_P51[[#This Row],[IP]],)</f>
        <v>1.5438392076900671</v>
      </c>
      <c r="O178" s="28">
        <v>4</v>
      </c>
      <c r="P178" s="90">
        <v>1</v>
      </c>
      <c r="Q178" s="28">
        <v>0</v>
      </c>
      <c r="R178" s="74">
        <v>0</v>
      </c>
      <c r="S178" s="615">
        <v>2</v>
      </c>
      <c r="Z178" s="720" t="s">
        <v>266</v>
      </c>
      <c r="AA178" s="71" t="s">
        <v>206</v>
      </c>
      <c r="AB178" s="87" t="s">
        <v>286</v>
      </c>
      <c r="AC178" s="88">
        <f>IFERROR((TOR_P52[[#This Row],[R]]*9)/TOR_P52[[#This Row],[IP]],0)</f>
        <v>4.4540674296319214</v>
      </c>
      <c r="AD178" s="28">
        <v>1</v>
      </c>
      <c r="AE178" s="74">
        <v>1</v>
      </c>
      <c r="AF178" s="28">
        <v>5</v>
      </c>
      <c r="AG178" s="584">
        <v>32.33</v>
      </c>
      <c r="AH178" s="28">
        <v>27</v>
      </c>
      <c r="AI178" s="28">
        <v>16</v>
      </c>
      <c r="AJ178" s="28">
        <v>11</v>
      </c>
      <c r="AK178" s="28">
        <v>36</v>
      </c>
      <c r="AL178" s="28">
        <v>0</v>
      </c>
      <c r="AM178" s="89">
        <f>IFERROR((TOR_P52[[#This Row],[BB]]+TOR_P52[[#This Row],[H]])/TOR_P52[[#This Row],[IP]],0)</f>
        <v>1.1753789050417569</v>
      </c>
      <c r="AN178" s="28">
        <v>2</v>
      </c>
      <c r="AO178" s="90">
        <v>2</v>
      </c>
      <c r="AP178" s="28">
        <v>0</v>
      </c>
      <c r="AQ178" s="74">
        <v>0</v>
      </c>
      <c r="AR178" s="615">
        <v>2</v>
      </c>
      <c r="AS178"/>
      <c r="AT178"/>
      <c r="AU178"/>
      <c r="AV178"/>
      <c r="AY178" s="651" t="s">
        <v>226</v>
      </c>
      <c r="AZ178" s="71" t="s">
        <v>206</v>
      </c>
      <c r="BA178" s="71" t="s">
        <v>251</v>
      </c>
      <c r="BB178" s="88">
        <f>IFERROR((BOS_P11115[[#This Row],[R]]*9)/BOS_P11115[[#This Row],[IP]],0)</f>
        <v>6.7478912839737584</v>
      </c>
      <c r="BC178" s="28">
        <v>1</v>
      </c>
      <c r="BD178" s="74">
        <v>1</v>
      </c>
      <c r="BE178" s="28">
        <v>2</v>
      </c>
      <c r="BF178" s="584">
        <v>10.67</v>
      </c>
      <c r="BG178" s="28">
        <v>13</v>
      </c>
      <c r="BH178" s="28">
        <v>8</v>
      </c>
      <c r="BI178" s="28">
        <v>6</v>
      </c>
      <c r="BJ178" s="28">
        <v>12</v>
      </c>
      <c r="BK178" s="28">
        <v>0</v>
      </c>
      <c r="BL178" s="89">
        <f>IFERROR((BOS_P11115[[#This Row],[BB]]+BOS_P11115[[#This Row],[H]])/BOS_P11115[[#This Row],[IP]],0)</f>
        <v>1.7806935332708529</v>
      </c>
      <c r="BM178" s="28">
        <v>0</v>
      </c>
      <c r="BN178" s="90">
        <v>0</v>
      </c>
      <c r="BO178" s="28">
        <v>0</v>
      </c>
      <c r="BP178" s="74">
        <v>0</v>
      </c>
      <c r="BQ178" s="615">
        <v>2</v>
      </c>
      <c r="BR178"/>
      <c r="BS178"/>
      <c r="BT178"/>
      <c r="BU178"/>
    </row>
    <row r="179" spans="1:73">
      <c r="A179" s="635" t="s">
        <v>165</v>
      </c>
      <c r="B179" s="71" t="s">
        <v>206</v>
      </c>
      <c r="C179" s="74" t="s">
        <v>209</v>
      </c>
      <c r="D179" s="88">
        <f>IFERROR((NYY_P51[[#This Row],[R]]*9)/NYY_P51[[#This Row],[IP]],0)</f>
        <v>3.6613272311212817</v>
      </c>
      <c r="E179" s="77">
        <v>1</v>
      </c>
      <c r="F179" s="74">
        <v>1</v>
      </c>
      <c r="G179" s="28">
        <v>6</v>
      </c>
      <c r="H179" s="584">
        <v>39.33</v>
      </c>
      <c r="I179" s="90">
        <v>37</v>
      </c>
      <c r="J179" s="90">
        <v>16</v>
      </c>
      <c r="K179" s="90">
        <v>10</v>
      </c>
      <c r="L179" s="90">
        <v>40</v>
      </c>
      <c r="M179" s="28">
        <v>0</v>
      </c>
      <c r="N179" s="89">
        <f>IFERROR((NYY_P51[[#This Row],[BB]]+NYY_P51[[#This Row],[H]])/NYY_P51[[#This Row],[IP]],)</f>
        <v>1.1950165268243071</v>
      </c>
      <c r="O179" s="28">
        <v>4</v>
      </c>
      <c r="P179" s="90">
        <v>3</v>
      </c>
      <c r="Q179" s="28">
        <v>0</v>
      </c>
      <c r="R179" s="74">
        <v>0</v>
      </c>
      <c r="S179" s="615">
        <v>3</v>
      </c>
      <c r="Z179" s="720" t="s">
        <v>266</v>
      </c>
      <c r="AA179" s="71" t="s">
        <v>206</v>
      </c>
      <c r="AB179" s="87" t="s">
        <v>285</v>
      </c>
      <c r="AC179" s="88">
        <f>IFERROR((TOR_P52[[#This Row],[R]]*9)/TOR_P52[[#This Row],[IP]],0)</f>
        <v>3.774193548387097</v>
      </c>
      <c r="AD179" s="76">
        <v>4</v>
      </c>
      <c r="AE179" s="74">
        <v>1</v>
      </c>
      <c r="AF179" s="28">
        <v>5</v>
      </c>
      <c r="AG179" s="584">
        <v>31</v>
      </c>
      <c r="AH179" s="28">
        <v>31</v>
      </c>
      <c r="AI179" s="28">
        <v>13</v>
      </c>
      <c r="AJ179" s="28">
        <v>6</v>
      </c>
      <c r="AK179" s="28">
        <v>24</v>
      </c>
      <c r="AL179" s="28">
        <v>0</v>
      </c>
      <c r="AM179" s="89">
        <f>IFERROR((TOR_P52[[#This Row],[BB]]+TOR_P52[[#This Row],[H]])/TOR_P52[[#This Row],[IP]],0)</f>
        <v>1.1935483870967742</v>
      </c>
      <c r="AN179" s="28">
        <v>2</v>
      </c>
      <c r="AO179" s="90">
        <v>2</v>
      </c>
      <c r="AP179" s="28">
        <v>0</v>
      </c>
      <c r="AQ179" s="74">
        <v>0</v>
      </c>
      <c r="AR179" s="615">
        <v>3</v>
      </c>
      <c r="AS179"/>
      <c r="AT179"/>
      <c r="AU179"/>
      <c r="AV179"/>
      <c r="AY179" s="651" t="s">
        <v>226</v>
      </c>
      <c r="AZ179" s="71" t="s">
        <v>206</v>
      </c>
      <c r="BA179" s="71" t="s">
        <v>250</v>
      </c>
      <c r="BB179" s="88">
        <f>IFERROR((BOS_P11115[[#This Row],[R]]*9)/BOS_P11115[[#This Row],[IP]],0)</f>
        <v>7.2</v>
      </c>
      <c r="BC179" s="28">
        <v>0</v>
      </c>
      <c r="BD179" s="74">
        <v>1</v>
      </c>
      <c r="BE179" s="28">
        <v>1</v>
      </c>
      <c r="BF179" s="584">
        <v>5</v>
      </c>
      <c r="BG179" s="28">
        <v>7</v>
      </c>
      <c r="BH179" s="28">
        <v>4</v>
      </c>
      <c r="BI179" s="28">
        <v>6</v>
      </c>
      <c r="BJ179" s="28">
        <v>5</v>
      </c>
      <c r="BK179" s="28">
        <v>0</v>
      </c>
      <c r="BL179" s="89">
        <f>IFERROR((BOS_P11115[[#This Row],[BB]]+BOS_P11115[[#This Row],[H]])/BOS_P11115[[#This Row],[IP]],0)</f>
        <v>2.6</v>
      </c>
      <c r="BM179" s="28">
        <v>0</v>
      </c>
      <c r="BN179" s="90">
        <v>0</v>
      </c>
      <c r="BO179" s="28">
        <v>0</v>
      </c>
      <c r="BP179" s="74">
        <v>0</v>
      </c>
      <c r="BQ179" s="615">
        <v>3</v>
      </c>
      <c r="BR179"/>
      <c r="BS179"/>
      <c r="BT179"/>
      <c r="BU179"/>
    </row>
    <row r="180" spans="1:73">
      <c r="A180" s="635" t="s">
        <v>165</v>
      </c>
      <c r="B180" s="71" t="s">
        <v>206</v>
      </c>
      <c r="C180" s="87" t="s">
        <v>211</v>
      </c>
      <c r="D180" s="88">
        <f>IFERROR((NYY_P51[[#This Row],[R]]*9)/NYY_P51[[#This Row],[IP]],0)</f>
        <v>1.6363636363636365</v>
      </c>
      <c r="E180" s="77">
        <v>1</v>
      </c>
      <c r="F180" s="74">
        <v>0</v>
      </c>
      <c r="G180" s="28">
        <v>5</v>
      </c>
      <c r="H180" s="584">
        <v>11</v>
      </c>
      <c r="I180" s="90">
        <v>9</v>
      </c>
      <c r="J180" s="90">
        <v>2</v>
      </c>
      <c r="K180" s="90">
        <v>2</v>
      </c>
      <c r="L180" s="90">
        <v>6</v>
      </c>
      <c r="M180" s="28">
        <v>0</v>
      </c>
      <c r="N180" s="89">
        <f>IFERROR((NYY_P51[[#This Row],[BB]]+NYY_P51[[#This Row],[H]])/NYY_P51[[#This Row],[IP]],)</f>
        <v>1</v>
      </c>
      <c r="O180" s="28">
        <v>0</v>
      </c>
      <c r="P180" s="90">
        <v>0</v>
      </c>
      <c r="Q180" s="28">
        <v>0</v>
      </c>
      <c r="R180" s="74">
        <v>0</v>
      </c>
      <c r="S180" s="615">
        <v>4</v>
      </c>
      <c r="Z180" s="720" t="s">
        <v>266</v>
      </c>
      <c r="AA180" s="71" t="s">
        <v>206</v>
      </c>
      <c r="AB180" s="87" t="s">
        <v>289</v>
      </c>
      <c r="AC180" s="88">
        <f>IFERROR((TOR_P52[[#This Row],[R]]*9)/TOR_P52[[#This Row],[IP]],0)</f>
        <v>3</v>
      </c>
      <c r="AD180" s="28">
        <v>1</v>
      </c>
      <c r="AE180" s="74">
        <v>0</v>
      </c>
      <c r="AF180" s="28">
        <v>3</v>
      </c>
      <c r="AG180" s="584">
        <v>9</v>
      </c>
      <c r="AH180" s="28">
        <v>8</v>
      </c>
      <c r="AI180" s="28">
        <v>3</v>
      </c>
      <c r="AJ180" s="28">
        <v>3</v>
      </c>
      <c r="AK180" s="28">
        <v>3</v>
      </c>
      <c r="AL180" s="28">
        <v>0</v>
      </c>
      <c r="AM180" s="89">
        <f>IFERROR((TOR_P52[[#This Row],[BB]]+TOR_P52[[#This Row],[H]])/TOR_P52[[#This Row],[IP]],0)</f>
        <v>1.2222222222222223</v>
      </c>
      <c r="AN180" s="28">
        <v>0</v>
      </c>
      <c r="AO180" s="90">
        <v>0</v>
      </c>
      <c r="AP180" s="28">
        <v>0</v>
      </c>
      <c r="AQ180" s="74">
        <v>0</v>
      </c>
      <c r="AR180" s="615">
        <v>4</v>
      </c>
      <c r="AS180"/>
      <c r="AT180"/>
      <c r="AU180"/>
      <c r="AV180"/>
      <c r="AY180" s="651" t="s">
        <v>226</v>
      </c>
      <c r="AZ180" s="71" t="s">
        <v>206</v>
      </c>
      <c r="BA180" s="71" t="s">
        <v>253</v>
      </c>
      <c r="BB180" s="88">
        <f>IFERROR((BOS_P11115[[#This Row],[R]]*9)/BOS_P11115[[#This Row],[IP]],0)</f>
        <v>9</v>
      </c>
      <c r="BC180" s="28">
        <v>0</v>
      </c>
      <c r="BD180" s="74">
        <v>0</v>
      </c>
      <c r="BE180" s="28">
        <v>1</v>
      </c>
      <c r="BF180" s="584">
        <v>3</v>
      </c>
      <c r="BG180" s="28">
        <v>5</v>
      </c>
      <c r="BH180" s="28">
        <v>3</v>
      </c>
      <c r="BI180" s="28">
        <v>2</v>
      </c>
      <c r="BJ180" s="28">
        <v>2</v>
      </c>
      <c r="BK180" s="28">
        <v>0</v>
      </c>
      <c r="BL180" s="89">
        <f>IFERROR((BOS_P11115[[#This Row],[BB]]+BOS_P11115[[#This Row],[H]])/BOS_P11115[[#This Row],[IP]],0)</f>
        <v>2.3333333333333335</v>
      </c>
      <c r="BM180" s="28">
        <v>0</v>
      </c>
      <c r="BN180" s="90">
        <v>0</v>
      </c>
      <c r="BO180" s="28">
        <v>0</v>
      </c>
      <c r="BP180" s="74">
        <v>0</v>
      </c>
      <c r="BQ180" s="615">
        <v>4</v>
      </c>
      <c r="BR180"/>
      <c r="BS180"/>
      <c r="BT180"/>
      <c r="BU180"/>
    </row>
    <row r="181" spans="1:73">
      <c r="A181" s="635" t="s">
        <v>165</v>
      </c>
      <c r="B181" s="71" t="s">
        <v>215</v>
      </c>
      <c r="C181" s="87" t="s">
        <v>216</v>
      </c>
      <c r="D181" s="88">
        <f>IFERROR((NYY_P51[[#This Row],[R]]*9)/NYY_P51[[#This Row],[IP]],0)</f>
        <v>0</v>
      </c>
      <c r="E181" s="77">
        <v>0</v>
      </c>
      <c r="F181" s="74">
        <v>0</v>
      </c>
      <c r="G181" s="28">
        <v>0</v>
      </c>
      <c r="H181" s="584">
        <v>0</v>
      </c>
      <c r="I181" s="90">
        <v>0</v>
      </c>
      <c r="J181" s="90">
        <v>0</v>
      </c>
      <c r="K181" s="90">
        <v>0</v>
      </c>
      <c r="L181" s="90">
        <v>0</v>
      </c>
      <c r="M181" s="28">
        <v>0</v>
      </c>
      <c r="N181" s="89">
        <f>IFERROR((NYY_P51[[#This Row],[BB]]+NYY_P51[[#This Row],[H]])/NYY_P51[[#This Row],[IP]],)</f>
        <v>0</v>
      </c>
      <c r="O181" s="28">
        <v>0</v>
      </c>
      <c r="P181" s="90">
        <v>0</v>
      </c>
      <c r="Q181" s="28">
        <v>0</v>
      </c>
      <c r="R181" s="74">
        <v>0</v>
      </c>
      <c r="S181" s="615">
        <v>5</v>
      </c>
      <c r="Z181" s="720" t="s">
        <v>266</v>
      </c>
      <c r="AA181" s="71" t="s">
        <v>212</v>
      </c>
      <c r="AB181" s="87" t="s">
        <v>291</v>
      </c>
      <c r="AC181" s="88">
        <f>IFERROR((TOR_P52[[#This Row],[R]]*9)/TOR_P52[[#This Row],[IP]],0)</f>
        <v>0</v>
      </c>
      <c r="AD181" s="28">
        <v>0</v>
      </c>
      <c r="AE181" s="74">
        <v>0</v>
      </c>
      <c r="AF181" s="28">
        <v>0</v>
      </c>
      <c r="AG181" s="584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89">
        <f>IFERROR((TOR_P52[[#This Row],[BB]]+TOR_P52[[#This Row],[H]])/TOR_P52[[#This Row],[IP]],0)</f>
        <v>0</v>
      </c>
      <c r="AN181" s="28">
        <v>0</v>
      </c>
      <c r="AO181" s="90">
        <v>0</v>
      </c>
      <c r="AP181" s="28">
        <v>0</v>
      </c>
      <c r="AQ181" s="74">
        <v>0</v>
      </c>
      <c r="AR181" s="615">
        <v>5</v>
      </c>
      <c r="AS181"/>
      <c r="AT181"/>
      <c r="AU181"/>
      <c r="AV181"/>
      <c r="AY181" s="651" t="s">
        <v>226</v>
      </c>
      <c r="AZ181" s="382" t="s">
        <v>212</v>
      </c>
      <c r="BA181" s="71" t="s">
        <v>254</v>
      </c>
      <c r="BB181" s="88">
        <f>IFERROR((BOS_P11115[[#This Row],[R]]*9)/BOS_P11115[[#This Row],[IP]],0)</f>
        <v>0</v>
      </c>
      <c r="BC181" s="28">
        <v>0</v>
      </c>
      <c r="BD181" s="74">
        <v>0</v>
      </c>
      <c r="BE181" s="28">
        <v>0</v>
      </c>
      <c r="BF181" s="584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89">
        <f>IFERROR((BOS_P11115[[#This Row],[BB]]+BOS_P11115[[#This Row],[H]])/BOS_P11115[[#This Row],[IP]],0)</f>
        <v>0</v>
      </c>
      <c r="BM181" s="28">
        <v>0</v>
      </c>
      <c r="BN181" s="90">
        <v>0</v>
      </c>
      <c r="BO181" s="28">
        <v>0</v>
      </c>
      <c r="BP181" s="74">
        <v>0</v>
      </c>
      <c r="BQ181" s="615">
        <v>5</v>
      </c>
      <c r="BR181"/>
      <c r="BS181"/>
      <c r="BT181"/>
      <c r="BU181"/>
    </row>
    <row r="182" spans="1:73">
      <c r="A182" s="635" t="s">
        <v>165</v>
      </c>
      <c r="B182" s="71" t="s">
        <v>212</v>
      </c>
      <c r="C182" s="633" t="s">
        <v>213</v>
      </c>
      <c r="D182" s="88">
        <f>IFERROR((NYY_P51[[#This Row],[R]]*9)/NYY_P51[[#This Row],[IP]],0)</f>
        <v>4.823151125401929</v>
      </c>
      <c r="E182" s="77">
        <v>0</v>
      </c>
      <c r="F182" s="74">
        <v>0</v>
      </c>
      <c r="G182" s="28">
        <v>4</v>
      </c>
      <c r="H182" s="584">
        <v>9.33</v>
      </c>
      <c r="I182" s="90">
        <v>10</v>
      </c>
      <c r="J182" s="90">
        <v>5</v>
      </c>
      <c r="K182" s="90">
        <v>5</v>
      </c>
      <c r="L182" s="90">
        <v>6</v>
      </c>
      <c r="M182" s="28">
        <v>0</v>
      </c>
      <c r="N182" s="89">
        <f>IFERROR((NYY_P51[[#This Row],[BB]]+NYY_P51[[#This Row],[H]])/NYY_P51[[#This Row],[IP]],)</f>
        <v>1.607717041800643</v>
      </c>
      <c r="O182" s="28">
        <v>0</v>
      </c>
      <c r="P182" s="90">
        <v>0</v>
      </c>
      <c r="Q182" s="28">
        <v>0</v>
      </c>
      <c r="R182" s="74">
        <v>0</v>
      </c>
      <c r="S182" s="615">
        <v>6</v>
      </c>
      <c r="Z182" s="720" t="s">
        <v>266</v>
      </c>
      <c r="AA182" s="71" t="s">
        <v>212</v>
      </c>
      <c r="AB182" s="87" t="s">
        <v>293</v>
      </c>
      <c r="AC182" s="88">
        <f>IFERROR((TOR_P52[[#This Row],[R]]*9)/TOR_P52[[#This Row],[IP]],0)</f>
        <v>0</v>
      </c>
      <c r="AD182" s="28">
        <v>0</v>
      </c>
      <c r="AE182" s="74">
        <v>0</v>
      </c>
      <c r="AF182" s="28">
        <v>0</v>
      </c>
      <c r="AG182" s="584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89">
        <f>IFERROR((TOR_P52[[#This Row],[BB]]+TOR_P52[[#This Row],[H]])/TOR_P52[[#This Row],[IP]],0)</f>
        <v>0</v>
      </c>
      <c r="AN182" s="28">
        <v>0</v>
      </c>
      <c r="AO182" s="90">
        <v>0</v>
      </c>
      <c r="AP182" s="28">
        <v>0</v>
      </c>
      <c r="AQ182" s="74">
        <v>0</v>
      </c>
      <c r="AR182" s="615">
        <v>6</v>
      </c>
      <c r="AS182"/>
      <c r="AT182"/>
      <c r="AU182"/>
      <c r="AV182"/>
      <c r="AY182" s="651" t="s">
        <v>226</v>
      </c>
      <c r="AZ182" s="71" t="s">
        <v>215</v>
      </c>
      <c r="BA182" s="71" t="s">
        <v>252</v>
      </c>
      <c r="BB182" s="88">
        <f>IFERROR((BOS_P11115[[#This Row],[R]]*9)/BOS_P11115[[#This Row],[IP]],0)</f>
        <v>7.3569482288828336</v>
      </c>
      <c r="BC182" s="28">
        <v>0</v>
      </c>
      <c r="BD182" s="74">
        <v>0</v>
      </c>
      <c r="BE182" s="28">
        <v>2</v>
      </c>
      <c r="BF182" s="584">
        <v>3.67</v>
      </c>
      <c r="BG182" s="28">
        <v>4</v>
      </c>
      <c r="BH182" s="28">
        <v>3</v>
      </c>
      <c r="BI182" s="28">
        <v>1</v>
      </c>
      <c r="BJ182" s="28">
        <v>3</v>
      </c>
      <c r="BK182" s="28">
        <v>0</v>
      </c>
      <c r="BL182" s="89">
        <f>IFERROR((BOS_P11115[[#This Row],[BB]]+BOS_P11115[[#This Row],[H]])/BOS_P11115[[#This Row],[IP]],0)</f>
        <v>1.3623978201634879</v>
      </c>
      <c r="BM182" s="28">
        <v>0</v>
      </c>
      <c r="BN182" s="90">
        <v>0</v>
      </c>
      <c r="BO182" s="28">
        <v>0</v>
      </c>
      <c r="BP182" s="74">
        <v>0</v>
      </c>
      <c r="BQ182" s="615">
        <v>6</v>
      </c>
      <c r="BR182"/>
      <c r="BS182"/>
      <c r="BT182"/>
      <c r="BU182"/>
    </row>
    <row r="183" spans="1:73">
      <c r="A183" s="635" t="s">
        <v>165</v>
      </c>
      <c r="B183" s="71" t="s">
        <v>215</v>
      </c>
      <c r="C183" s="87" t="s">
        <v>217</v>
      </c>
      <c r="D183" s="88">
        <f>IFERROR((NYY_P51[[#This Row],[R]]*9)/NYY_P51[[#This Row],[IP]],0)</f>
        <v>0</v>
      </c>
      <c r="E183" s="77">
        <v>0</v>
      </c>
      <c r="F183" s="74">
        <v>0</v>
      </c>
      <c r="G183" s="28">
        <v>0</v>
      </c>
      <c r="H183" s="584">
        <v>0</v>
      </c>
      <c r="I183" s="90">
        <v>0</v>
      </c>
      <c r="J183" s="90">
        <v>0</v>
      </c>
      <c r="K183" s="90">
        <v>0</v>
      </c>
      <c r="L183" s="90">
        <v>0</v>
      </c>
      <c r="M183" s="28">
        <v>0</v>
      </c>
      <c r="N183" s="89">
        <f>IFERROR((NYY_P51[[#This Row],[BB]]+NYY_P51[[#This Row],[H]])/NYY_P51[[#This Row],[IP]],)</f>
        <v>0</v>
      </c>
      <c r="O183" s="28">
        <v>0</v>
      </c>
      <c r="P183" s="90">
        <v>0</v>
      </c>
      <c r="Q183" s="28">
        <v>0</v>
      </c>
      <c r="R183" s="74">
        <v>0</v>
      </c>
      <c r="S183" s="615">
        <v>7</v>
      </c>
      <c r="Z183" s="720" t="s">
        <v>266</v>
      </c>
      <c r="AA183" s="71" t="s">
        <v>212</v>
      </c>
      <c r="AB183" s="87" t="s">
        <v>292</v>
      </c>
      <c r="AC183" s="88">
        <f>IFERROR((TOR_P52[[#This Row],[R]]*9)/TOR_P52[[#This Row],[IP]],0)</f>
        <v>0</v>
      </c>
      <c r="AD183" s="28">
        <v>0</v>
      </c>
      <c r="AE183" s="74">
        <v>0</v>
      </c>
      <c r="AF183" s="28">
        <v>2</v>
      </c>
      <c r="AG183" s="584">
        <v>2</v>
      </c>
      <c r="AH183" s="28">
        <v>0</v>
      </c>
      <c r="AI183" s="28">
        <v>0</v>
      </c>
      <c r="AJ183" s="28">
        <v>1</v>
      </c>
      <c r="AK183" s="28">
        <v>2</v>
      </c>
      <c r="AL183" s="28">
        <v>0</v>
      </c>
      <c r="AM183" s="89">
        <f>IFERROR((TOR_P52[[#This Row],[BB]]+TOR_P52[[#This Row],[H]])/TOR_P52[[#This Row],[IP]],0)</f>
        <v>0.5</v>
      </c>
      <c r="AN183" s="28">
        <v>0</v>
      </c>
      <c r="AO183" s="90">
        <v>0</v>
      </c>
      <c r="AP183" s="28">
        <v>0</v>
      </c>
      <c r="AQ183" s="74">
        <v>0</v>
      </c>
      <c r="AR183" s="615">
        <v>7</v>
      </c>
      <c r="AS183"/>
      <c r="AT183"/>
      <c r="AU183"/>
      <c r="AV183"/>
      <c r="AY183" s="651" t="s">
        <v>226</v>
      </c>
      <c r="AZ183" s="71" t="s">
        <v>212</v>
      </c>
      <c r="BA183" s="71" t="s">
        <v>257</v>
      </c>
      <c r="BB183" s="88">
        <f>IFERROR((BOS_P11115[[#This Row],[R]]*9)/BOS_P11115[[#This Row],[IP]],0)</f>
        <v>0</v>
      </c>
      <c r="BC183" s="28">
        <v>0</v>
      </c>
      <c r="BD183" s="74">
        <v>0</v>
      </c>
      <c r="BE183" s="28">
        <v>0</v>
      </c>
      <c r="BF183" s="584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89">
        <f>IFERROR((BOS_P11115[[#This Row],[BB]]+BOS_P11115[[#This Row],[H]])/BOS_P11115[[#This Row],[IP]],0)</f>
        <v>0</v>
      </c>
      <c r="BM183" s="28">
        <v>0</v>
      </c>
      <c r="BN183" s="90">
        <v>0</v>
      </c>
      <c r="BO183" s="28">
        <v>0</v>
      </c>
      <c r="BP183" s="74">
        <v>0</v>
      </c>
      <c r="BQ183" s="615">
        <v>7</v>
      </c>
      <c r="BR183"/>
      <c r="BS183"/>
      <c r="BT183"/>
      <c r="BU183"/>
    </row>
    <row r="184" spans="1:73">
      <c r="A184" s="635" t="s">
        <v>165</v>
      </c>
      <c r="B184" s="71" t="s">
        <v>212</v>
      </c>
      <c r="C184" s="87" t="s">
        <v>219</v>
      </c>
      <c r="D184" s="88">
        <f>IFERROR((NYY_P51[[#This Row],[R]]*9)/NYY_P51[[#This Row],[IP]],0)</f>
        <v>7.7142857142857144</v>
      </c>
      <c r="E184" s="77">
        <v>0</v>
      </c>
      <c r="F184" s="74">
        <v>0</v>
      </c>
      <c r="G184" s="28">
        <v>7</v>
      </c>
      <c r="H184" s="584">
        <v>7</v>
      </c>
      <c r="I184" s="90">
        <v>6</v>
      </c>
      <c r="J184" s="90">
        <v>6</v>
      </c>
      <c r="K184" s="90">
        <v>4</v>
      </c>
      <c r="L184" s="90">
        <v>9</v>
      </c>
      <c r="M184" s="28">
        <v>1</v>
      </c>
      <c r="N184" s="89">
        <f>IFERROR((NYY_P51[[#This Row],[BB]]+NYY_P51[[#This Row],[H]])/NYY_P51[[#This Row],[IP]],)</f>
        <v>1.4285714285714286</v>
      </c>
      <c r="O184" s="28">
        <v>0</v>
      </c>
      <c r="P184" s="90">
        <v>0</v>
      </c>
      <c r="Q184" s="28">
        <v>0</v>
      </c>
      <c r="R184" s="74">
        <v>0</v>
      </c>
      <c r="S184" s="615">
        <v>8</v>
      </c>
      <c r="Z184" s="720" t="s">
        <v>266</v>
      </c>
      <c r="AA184" s="71" t="s">
        <v>212</v>
      </c>
      <c r="AB184" s="87" t="s">
        <v>294</v>
      </c>
      <c r="AC184" s="88">
        <f>IFERROR((TOR_P52[[#This Row],[R]]*9)/TOR_P52[[#This Row],[IP]],0)</f>
        <v>5.7815845824411136</v>
      </c>
      <c r="AD184" s="28">
        <v>0</v>
      </c>
      <c r="AE184" s="74">
        <v>0</v>
      </c>
      <c r="AF184" s="28">
        <v>5</v>
      </c>
      <c r="AG184" s="584">
        <v>4.67</v>
      </c>
      <c r="AH184" s="28">
        <v>5</v>
      </c>
      <c r="AI184" s="28">
        <v>3</v>
      </c>
      <c r="AJ184" s="28">
        <v>3</v>
      </c>
      <c r="AK184" s="28">
        <v>4</v>
      </c>
      <c r="AL184" s="28">
        <v>0</v>
      </c>
      <c r="AM184" s="89">
        <f>IFERROR((TOR_P52[[#This Row],[BB]]+TOR_P52[[#This Row],[H]])/TOR_P52[[#This Row],[IP]],0)</f>
        <v>1.7130620985010707</v>
      </c>
      <c r="AN184" s="28">
        <v>0</v>
      </c>
      <c r="AO184" s="90">
        <v>0</v>
      </c>
      <c r="AP184" s="28">
        <v>0</v>
      </c>
      <c r="AQ184" s="74">
        <v>0</v>
      </c>
      <c r="AR184" s="615">
        <v>8</v>
      </c>
      <c r="AS184"/>
      <c r="AT184"/>
      <c r="AU184"/>
      <c r="AV184"/>
      <c r="AY184" s="651" t="s">
        <v>226</v>
      </c>
      <c r="AZ184" s="71" t="s">
        <v>212</v>
      </c>
      <c r="BA184" s="71" t="s">
        <v>259</v>
      </c>
      <c r="BB184" s="88">
        <f>IFERROR((BOS_P11115[[#This Row],[R]]*9)/BOS_P11115[[#This Row],[IP]],0)</f>
        <v>0</v>
      </c>
      <c r="BC184" s="28">
        <v>0</v>
      </c>
      <c r="BD184" s="74">
        <v>0</v>
      </c>
      <c r="BE184" s="28">
        <v>2</v>
      </c>
      <c r="BF184" s="584">
        <v>1.33</v>
      </c>
      <c r="BG184" s="28">
        <v>1</v>
      </c>
      <c r="BH184" s="28">
        <v>0</v>
      </c>
      <c r="BI184" s="28">
        <v>1</v>
      </c>
      <c r="BJ184" s="28">
        <v>1</v>
      </c>
      <c r="BK184" s="28">
        <v>0</v>
      </c>
      <c r="BL184" s="89">
        <f>IFERROR((BOS_P11115[[#This Row],[BB]]+BOS_P11115[[#This Row],[H]])/BOS_P11115[[#This Row],[IP]],0)</f>
        <v>1.5037593984962405</v>
      </c>
      <c r="BM184" s="28">
        <v>0</v>
      </c>
      <c r="BN184" s="90">
        <v>0</v>
      </c>
      <c r="BO184" s="28">
        <v>0</v>
      </c>
      <c r="BP184" s="74">
        <v>0</v>
      </c>
      <c r="BQ184" s="615">
        <v>8</v>
      </c>
      <c r="BR184"/>
      <c r="BS184"/>
      <c r="BT184"/>
      <c r="BU184"/>
    </row>
    <row r="185" spans="1:73">
      <c r="A185" s="635" t="s">
        <v>165</v>
      </c>
      <c r="B185" s="71" t="s">
        <v>212</v>
      </c>
      <c r="C185" s="87" t="s">
        <v>220</v>
      </c>
      <c r="D185" s="88">
        <f>IFERROR((NYY_P51[[#This Row],[R]]*9)/NYY_P51[[#This Row],[IP]],0)</f>
        <v>10.8</v>
      </c>
      <c r="E185" s="77">
        <v>0</v>
      </c>
      <c r="F185" s="74">
        <v>2</v>
      </c>
      <c r="G185" s="28">
        <v>6</v>
      </c>
      <c r="H185" s="584">
        <v>5</v>
      </c>
      <c r="I185" s="90">
        <v>10</v>
      </c>
      <c r="J185" s="90">
        <v>6</v>
      </c>
      <c r="K185" s="90">
        <v>2</v>
      </c>
      <c r="L185" s="90">
        <v>3</v>
      </c>
      <c r="M185" s="28">
        <v>0</v>
      </c>
      <c r="N185" s="89">
        <f>IFERROR((NYY_P51[[#This Row],[BB]]+NYY_P51[[#This Row],[H]])/NYY_P51[[#This Row],[IP]],)</f>
        <v>2.4</v>
      </c>
      <c r="O185" s="28">
        <v>0</v>
      </c>
      <c r="P185" s="90">
        <v>0</v>
      </c>
      <c r="Q185" s="28">
        <v>0</v>
      </c>
      <c r="R185" s="74">
        <v>0</v>
      </c>
      <c r="S185" s="615">
        <v>9</v>
      </c>
      <c r="Z185" s="720" t="s">
        <v>266</v>
      </c>
      <c r="AA185" s="71" t="s">
        <v>212</v>
      </c>
      <c r="AB185" s="87" t="s">
        <v>295</v>
      </c>
      <c r="AC185" s="88">
        <f>IFERROR((TOR_P52[[#This Row],[R]]*9)/TOR_P52[[#This Row],[IP]],0)</f>
        <v>3.3739456419868792</v>
      </c>
      <c r="AD185" s="28">
        <v>0</v>
      </c>
      <c r="AE185" s="74">
        <v>1</v>
      </c>
      <c r="AF185" s="28">
        <v>10</v>
      </c>
      <c r="AG185" s="584">
        <v>10.67</v>
      </c>
      <c r="AH185" s="28">
        <v>12</v>
      </c>
      <c r="AI185" s="28">
        <v>4</v>
      </c>
      <c r="AJ185" s="28">
        <v>1</v>
      </c>
      <c r="AK185" s="28">
        <v>16</v>
      </c>
      <c r="AL185" s="28">
        <v>0</v>
      </c>
      <c r="AM185" s="89">
        <f>IFERROR((TOR_P52[[#This Row],[BB]]+TOR_P52[[#This Row],[H]])/TOR_P52[[#This Row],[IP]],0)</f>
        <v>1.2183692596063731</v>
      </c>
      <c r="AN185" s="28">
        <v>0</v>
      </c>
      <c r="AO185" s="90">
        <v>0</v>
      </c>
      <c r="AP185" s="28">
        <v>0</v>
      </c>
      <c r="AQ185" s="74">
        <v>0</v>
      </c>
      <c r="AR185" s="615">
        <v>9</v>
      </c>
      <c r="AS185"/>
      <c r="AT185"/>
      <c r="AU185"/>
      <c r="AV185"/>
      <c r="AY185" s="651" t="s">
        <v>226</v>
      </c>
      <c r="AZ185" s="71" t="s">
        <v>212</v>
      </c>
      <c r="BA185" s="71" t="s">
        <v>262</v>
      </c>
      <c r="BB185" s="88">
        <f>IFERROR((BOS_P11115[[#This Row],[R]]*9)/BOS_P11115[[#This Row],[IP]],0)</f>
        <v>0</v>
      </c>
      <c r="BC185" s="28">
        <v>0</v>
      </c>
      <c r="BD185" s="74">
        <v>0</v>
      </c>
      <c r="BE185" s="28">
        <v>3</v>
      </c>
      <c r="BF185" s="584">
        <v>4.67</v>
      </c>
      <c r="BG185" s="28">
        <v>3</v>
      </c>
      <c r="BH185" s="28">
        <v>0</v>
      </c>
      <c r="BI185" s="28">
        <v>2</v>
      </c>
      <c r="BJ185" s="28">
        <v>6</v>
      </c>
      <c r="BK185" s="28">
        <v>0</v>
      </c>
      <c r="BL185" s="89">
        <f>IFERROR((BOS_P11115[[#This Row],[BB]]+BOS_P11115[[#This Row],[H]])/BOS_P11115[[#This Row],[IP]],0)</f>
        <v>1.0706638115631693</v>
      </c>
      <c r="BM185" s="28">
        <v>0</v>
      </c>
      <c r="BN185" s="90">
        <v>0</v>
      </c>
      <c r="BO185" s="28">
        <v>0</v>
      </c>
      <c r="BP185" s="74">
        <v>0</v>
      </c>
      <c r="BQ185" s="615">
        <v>9</v>
      </c>
      <c r="BR185"/>
      <c r="BS185"/>
      <c r="BT185"/>
      <c r="BU185"/>
    </row>
    <row r="186" spans="1:73" ht="17" thickBot="1">
      <c r="A186" s="635" t="s">
        <v>165</v>
      </c>
      <c r="B186" s="71" t="s">
        <v>212</v>
      </c>
      <c r="C186" s="28" t="s">
        <v>222</v>
      </c>
      <c r="D186" s="88">
        <f>IFERROR((NYY_P51[[#This Row],[R]]*9)/NYY_P51[[#This Row],[IP]],0)</f>
        <v>4.9090909090909092</v>
      </c>
      <c r="E186" s="77">
        <v>1</v>
      </c>
      <c r="F186" s="74">
        <v>0</v>
      </c>
      <c r="G186" s="28">
        <v>9</v>
      </c>
      <c r="H186" s="584">
        <v>11</v>
      </c>
      <c r="I186" s="90">
        <v>13</v>
      </c>
      <c r="J186" s="90">
        <v>6</v>
      </c>
      <c r="K186" s="90">
        <v>4</v>
      </c>
      <c r="L186" s="90">
        <v>17</v>
      </c>
      <c r="M186" s="28">
        <v>1</v>
      </c>
      <c r="N186" s="89">
        <f>IFERROR((NYY_P51[[#This Row],[BB]]+NYY_P51[[#This Row],[H]])/NYY_P51[[#This Row],[IP]],)</f>
        <v>1.5454545454545454</v>
      </c>
      <c r="O186" s="28">
        <v>0</v>
      </c>
      <c r="P186" s="90">
        <v>0</v>
      </c>
      <c r="Q186" s="28">
        <v>0</v>
      </c>
      <c r="R186" s="74">
        <v>0</v>
      </c>
      <c r="S186" s="615">
        <v>10</v>
      </c>
      <c r="Z186" s="720" t="s">
        <v>266</v>
      </c>
      <c r="AA186" s="345" t="s">
        <v>212</v>
      </c>
      <c r="AB186" s="104" t="s">
        <v>296</v>
      </c>
      <c r="AC186" s="349">
        <f>IFERROR((TOR_P52[[#This Row],[R]]*9)/TOR_P52[[#This Row],[IP]],0)</f>
        <v>0</v>
      </c>
      <c r="AD186" s="28">
        <v>1</v>
      </c>
      <c r="AE186" s="74">
        <v>0</v>
      </c>
      <c r="AF186" s="76">
        <v>12</v>
      </c>
      <c r="AG186" s="584">
        <v>14.67</v>
      </c>
      <c r="AH186" s="28">
        <v>8</v>
      </c>
      <c r="AI186" s="28">
        <v>0</v>
      </c>
      <c r="AJ186" s="28">
        <v>3</v>
      </c>
      <c r="AK186" s="28">
        <v>11</v>
      </c>
      <c r="AL186" s="76">
        <v>5</v>
      </c>
      <c r="AM186" s="89">
        <f>IFERROR((TOR_P52[[#This Row],[BB]]+TOR_P52[[#This Row],[H]])/TOR_P52[[#This Row],[IP]],0)</f>
        <v>0.74982958418541246</v>
      </c>
      <c r="AN186" s="28">
        <v>0</v>
      </c>
      <c r="AO186" s="90">
        <v>0</v>
      </c>
      <c r="AP186" s="28">
        <v>0</v>
      </c>
      <c r="AQ186" s="74">
        <v>0</v>
      </c>
      <c r="AR186" s="615">
        <v>10</v>
      </c>
      <c r="AS186"/>
      <c r="AT186"/>
      <c r="AU186"/>
      <c r="AV186"/>
      <c r="AY186" s="651" t="s">
        <v>226</v>
      </c>
      <c r="AZ186" s="71" t="s">
        <v>212</v>
      </c>
      <c r="BA186" s="71" t="s">
        <v>261</v>
      </c>
      <c r="BB186" s="88">
        <f>IFERROR((BOS_P11115[[#This Row],[R]]*9)/BOS_P11115[[#This Row],[IP]],0)</f>
        <v>0</v>
      </c>
      <c r="BC186" s="28">
        <v>0</v>
      </c>
      <c r="BD186" s="74">
        <v>0</v>
      </c>
      <c r="BE186" s="28">
        <v>2</v>
      </c>
      <c r="BF186" s="584">
        <v>2</v>
      </c>
      <c r="BG186" s="28">
        <v>0</v>
      </c>
      <c r="BH186" s="28">
        <v>0</v>
      </c>
      <c r="BI186" s="28">
        <v>2</v>
      </c>
      <c r="BJ186" s="28">
        <v>5</v>
      </c>
      <c r="BK186" s="28">
        <v>1</v>
      </c>
      <c r="BL186" s="89">
        <f>IFERROR((BOS_P11115[[#This Row],[BB]]+BOS_P11115[[#This Row],[H]])/BOS_P11115[[#This Row],[IP]],0)</f>
        <v>1</v>
      </c>
      <c r="BM186" s="28">
        <v>0</v>
      </c>
      <c r="BN186" s="90">
        <v>0</v>
      </c>
      <c r="BO186" s="28">
        <v>0</v>
      </c>
      <c r="BP186" s="74">
        <v>0</v>
      </c>
      <c r="BQ186" s="615">
        <v>10</v>
      </c>
      <c r="BR186"/>
      <c r="BS186"/>
      <c r="BT186"/>
      <c r="BU186"/>
    </row>
    <row r="187" spans="1:73" ht="17" thickBot="1">
      <c r="A187" s="617"/>
      <c r="B187" s="618"/>
      <c r="C187" s="639" t="s">
        <v>195</v>
      </c>
      <c r="D187" s="709">
        <f>(J187*9)/H187</f>
        <v>3.9939996249765608</v>
      </c>
      <c r="E187" s="641">
        <f>SUBTOTAL(109,NYY_P51[W])</f>
        <v>9</v>
      </c>
      <c r="F187" s="625">
        <f>SUBTOTAL(109,NYY_P51[L])</f>
        <v>9</v>
      </c>
      <c r="G187" s="622"/>
      <c r="H187" s="642">
        <f>SUBTOTAL(109,NYY_P51[IP])</f>
        <v>159.99</v>
      </c>
      <c r="I187" s="623">
        <f>SUBTOTAL(109,NYY_P51[H])</f>
        <v>154</v>
      </c>
      <c r="J187" s="623">
        <f>SUBTOTAL(109,NYY_P51[R])</f>
        <v>71</v>
      </c>
      <c r="K187" s="623">
        <f>SUBTOTAL(109,NYY_P51[BB])</f>
        <v>57</v>
      </c>
      <c r="L187" s="623">
        <f>SUBTOTAL(109,NYY_P51[K])</f>
        <v>162</v>
      </c>
      <c r="M187" s="622">
        <f>SUBTOTAL(109,NYY_P51[SV])</f>
        <v>2</v>
      </c>
      <c r="N187" s="644">
        <f>(K187+I187)/H187</f>
        <v>1.3188324270266891</v>
      </c>
      <c r="O187" s="645">
        <f>SUBTOTAL(109,NYY_P51[QS])</f>
        <v>14</v>
      </c>
      <c r="P187" s="646">
        <f>SUBTOTAL(109,NYY_P51[UQ])</f>
        <v>8</v>
      </c>
      <c r="Q187" s="647">
        <f>SUBTOTAL(109,NYY_P51[CG])</f>
        <v>0</v>
      </c>
      <c r="R187" s="648">
        <f>SUBTOTAL(109,NYY_P51[SH])</f>
        <v>0</v>
      </c>
      <c r="S187" s="649"/>
      <c r="Z187" s="674"/>
      <c r="AA187" s="675"/>
      <c r="AB187" s="676" t="s">
        <v>195</v>
      </c>
      <c r="AC187" s="683">
        <f>(AI187*9)/AG187</f>
        <v>3.1762370413940153</v>
      </c>
      <c r="AD187" s="679">
        <f>SUBTOTAL(109,TOR_P52[W])</f>
        <v>11</v>
      </c>
      <c r="AE187" s="679">
        <f>SUBTOTAL(109,TOR_P52[L])</f>
        <v>4</v>
      </c>
      <c r="AF187" s="678"/>
      <c r="AG187" s="684">
        <f>SUBTOTAL(109,TOR_P52[IP])</f>
        <v>136.01</v>
      </c>
      <c r="AH187" s="679">
        <f>SUBTOTAL(109,TOR_P52[H])</f>
        <v>120</v>
      </c>
      <c r="AI187" s="679">
        <f>SUBTOTAL(109,TOR_P52[R])</f>
        <v>48</v>
      </c>
      <c r="AJ187" s="679">
        <f>SUBTOTAL(109,TOR_P52[BB])</f>
        <v>42</v>
      </c>
      <c r="AK187" s="679">
        <f>SUBTOTAL(109,TOR_P52[K])</f>
        <v>125</v>
      </c>
      <c r="AL187" s="679">
        <f>SUBTOTAL(109,TOR_P52[SV])</f>
        <v>5</v>
      </c>
      <c r="AM187" s="685">
        <f>(AH187+AJ187)/AG187</f>
        <v>1.1910888905227557</v>
      </c>
      <c r="AN187" s="686">
        <f>SUBTOTAL(109,TOR_P52[QS])</f>
        <v>7</v>
      </c>
      <c r="AO187" s="687">
        <f>SUBTOTAL(109,TOR_P52[UQ])</f>
        <v>6</v>
      </c>
      <c r="AP187" s="686">
        <f>SUBTOTAL(109,TOR_P52[CG])</f>
        <v>0</v>
      </c>
      <c r="AQ187" s="688">
        <f>SUBTOTAL(109,TOR_P52[SH])</f>
        <v>0</v>
      </c>
      <c r="AR187" s="681"/>
      <c r="AS187"/>
      <c r="AT187"/>
      <c r="AU187"/>
      <c r="AV187"/>
      <c r="AY187" s="652"/>
      <c r="AZ187" s="664"/>
      <c r="BA187" s="654" t="s">
        <v>195</v>
      </c>
      <c r="BB187" s="665">
        <f>IFERROR((BH187*9)/BF187,0)</f>
        <v>4.4989775051124736</v>
      </c>
      <c r="BC187" s="658">
        <f>SUM(BC177:BC186)</f>
        <v>2</v>
      </c>
      <c r="BD187" s="658">
        <f>SUM(BD177:BD186)</f>
        <v>3</v>
      </c>
      <c r="BE187" s="661"/>
      <c r="BF187" s="666">
        <f t="shared" ref="BF187:BK187" si="17">SUM(BF177:BF186)</f>
        <v>44.010000000000005</v>
      </c>
      <c r="BG187" s="658">
        <f t="shared" si="17"/>
        <v>47</v>
      </c>
      <c r="BH187" s="658">
        <f t="shared" si="17"/>
        <v>22</v>
      </c>
      <c r="BI187" s="658">
        <f t="shared" si="17"/>
        <v>28</v>
      </c>
      <c r="BJ187" s="658">
        <f t="shared" si="17"/>
        <v>56</v>
      </c>
      <c r="BK187" s="658">
        <f t="shared" si="17"/>
        <v>1</v>
      </c>
      <c r="BL187" s="667">
        <f>IFERROR((BI187+BG187)/BF187,0)</f>
        <v>1.7041581458759372</v>
      </c>
      <c r="BM187" s="690">
        <f>SUBTOTAL(109,BOS_P11115[QS])</f>
        <v>2</v>
      </c>
      <c r="BN187" s="669">
        <f>SUBTOTAL(109,BOS_P11115[UQ])</f>
        <v>1</v>
      </c>
      <c r="BO187" s="670">
        <f>SUM(BO177:BO186)</f>
        <v>0</v>
      </c>
      <c r="BP187" s="671">
        <f>SUM(BP177:BP186)</f>
        <v>0</v>
      </c>
      <c r="BQ187" s="662"/>
      <c r="BR187"/>
      <c r="BS187"/>
      <c r="BT187"/>
      <c r="BU187"/>
    </row>
    <row r="188" spans="1:73" ht="17" thickBot="1"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73" ht="24" thickBot="1">
      <c r="A189" s="1012" t="s">
        <v>380</v>
      </c>
      <c r="B189" s="1013"/>
      <c r="C189" s="1013"/>
      <c r="D189" s="1013"/>
      <c r="E189" s="1013"/>
      <c r="F189" s="1013"/>
      <c r="G189" s="1013"/>
      <c r="H189" s="1013"/>
      <c r="I189" s="1013"/>
      <c r="J189" s="1013"/>
      <c r="K189" s="1013"/>
      <c r="L189" s="1013"/>
      <c r="M189" s="1013"/>
      <c r="N189" s="1013"/>
      <c r="O189" s="1013"/>
      <c r="P189" s="1013"/>
      <c r="Q189" s="1013"/>
      <c r="R189" s="1013"/>
      <c r="S189" s="1013"/>
      <c r="T189" s="1013"/>
      <c r="U189" s="1013"/>
      <c r="V189" s="1013"/>
      <c r="W189" s="1014"/>
      <c r="Z189" s="1012" t="s">
        <v>381</v>
      </c>
      <c r="AA189" s="1013"/>
      <c r="AB189" s="1013"/>
      <c r="AC189" s="1013"/>
      <c r="AD189" s="1013"/>
      <c r="AE189" s="1013"/>
      <c r="AF189" s="1013"/>
      <c r="AG189" s="1013"/>
      <c r="AH189" s="1013"/>
      <c r="AI189" s="1013"/>
      <c r="AJ189" s="1013"/>
      <c r="AK189" s="1013"/>
      <c r="AL189" s="1013"/>
      <c r="AM189" s="1013"/>
      <c r="AN189" s="1013"/>
      <c r="AO189" s="1013"/>
      <c r="AP189" s="1013"/>
      <c r="AQ189" s="1013"/>
      <c r="AR189" s="1013"/>
      <c r="AS189" s="1013"/>
      <c r="AT189" s="1013"/>
      <c r="AU189" s="1013"/>
      <c r="AV189" s="1014"/>
      <c r="AY189" s="1039" t="s">
        <v>382</v>
      </c>
      <c r="AZ189" s="1040"/>
      <c r="BA189" s="1040"/>
      <c r="BB189" s="1040"/>
      <c r="BC189" s="1040"/>
      <c r="BD189" s="1040"/>
      <c r="BE189" s="1040"/>
      <c r="BF189" s="1040"/>
      <c r="BG189" s="1040"/>
      <c r="BH189" s="1040"/>
      <c r="BI189" s="1040"/>
      <c r="BJ189" s="1040"/>
      <c r="BK189" s="1040"/>
      <c r="BL189" s="1040"/>
      <c r="BM189" s="1040"/>
      <c r="BN189" s="1040"/>
      <c r="BO189" s="1040"/>
      <c r="BP189" s="1040"/>
      <c r="BQ189" s="1040"/>
      <c r="BR189" s="1040"/>
      <c r="BS189" s="1040"/>
      <c r="BT189" s="1040"/>
      <c r="BU189" s="1041"/>
    </row>
    <row r="190" spans="1:73" s="64" customFormat="1" ht="14" thickBot="1">
      <c r="A190" s="605" t="s">
        <v>143</v>
      </c>
      <c r="B190" s="606" t="s">
        <v>144</v>
      </c>
      <c r="C190" s="606" t="s">
        <v>145</v>
      </c>
      <c r="D190" s="606" t="s">
        <v>146</v>
      </c>
      <c r="E190" s="606" t="s">
        <v>147</v>
      </c>
      <c r="F190" s="606" t="s">
        <v>148</v>
      </c>
      <c r="G190" s="606" t="s">
        <v>149</v>
      </c>
      <c r="H190" s="606" t="s">
        <v>150</v>
      </c>
      <c r="I190" s="606" t="s">
        <v>151</v>
      </c>
      <c r="J190" s="606" t="s">
        <v>152</v>
      </c>
      <c r="K190" s="606" t="s">
        <v>153</v>
      </c>
      <c r="L190" s="606" t="s">
        <v>154</v>
      </c>
      <c r="M190" s="606" t="s">
        <v>155</v>
      </c>
      <c r="N190" s="606" t="s">
        <v>156</v>
      </c>
      <c r="O190" s="606" t="s">
        <v>157</v>
      </c>
      <c r="P190" s="606" t="s">
        <v>158</v>
      </c>
      <c r="Q190" s="606" t="s">
        <v>159</v>
      </c>
      <c r="R190" s="606" t="s">
        <v>160</v>
      </c>
      <c r="S190" s="606" t="s">
        <v>16</v>
      </c>
      <c r="T190" s="606" t="s">
        <v>161</v>
      </c>
      <c r="U190" s="606" t="s">
        <v>162</v>
      </c>
      <c r="V190" s="606" t="s">
        <v>163</v>
      </c>
      <c r="W190" s="607" t="s">
        <v>164</v>
      </c>
      <c r="Z190" s="605" t="s">
        <v>143</v>
      </c>
      <c r="AA190" s="606" t="s">
        <v>144</v>
      </c>
      <c r="AB190" s="606" t="s">
        <v>145</v>
      </c>
      <c r="AC190" s="606" t="s">
        <v>146</v>
      </c>
      <c r="AD190" s="606" t="s">
        <v>147</v>
      </c>
      <c r="AE190" s="606" t="s">
        <v>148</v>
      </c>
      <c r="AF190" s="606" t="s">
        <v>149</v>
      </c>
      <c r="AG190" s="606" t="s">
        <v>150</v>
      </c>
      <c r="AH190" s="606" t="s">
        <v>151</v>
      </c>
      <c r="AI190" s="606" t="s">
        <v>152</v>
      </c>
      <c r="AJ190" s="606" t="s">
        <v>153</v>
      </c>
      <c r="AK190" s="606" t="s">
        <v>154</v>
      </c>
      <c r="AL190" s="606" t="s">
        <v>155</v>
      </c>
      <c r="AM190" s="606" t="s">
        <v>156</v>
      </c>
      <c r="AN190" s="606" t="s">
        <v>157</v>
      </c>
      <c r="AO190" s="606" t="s">
        <v>158</v>
      </c>
      <c r="AP190" s="606" t="s">
        <v>159</v>
      </c>
      <c r="AQ190" s="606" t="s">
        <v>160</v>
      </c>
      <c r="AR190" s="606" t="s">
        <v>16</v>
      </c>
      <c r="AS190" s="606" t="s">
        <v>161</v>
      </c>
      <c r="AT190" s="606" t="s">
        <v>162</v>
      </c>
      <c r="AU190" s="606" t="s">
        <v>163</v>
      </c>
      <c r="AV190" s="607" t="s">
        <v>164</v>
      </c>
      <c r="AY190" s="605" t="s">
        <v>143</v>
      </c>
      <c r="AZ190" s="606" t="s">
        <v>144</v>
      </c>
      <c r="BA190" s="606" t="s">
        <v>145</v>
      </c>
      <c r="BB190" s="606" t="s">
        <v>146</v>
      </c>
      <c r="BC190" s="606" t="s">
        <v>147</v>
      </c>
      <c r="BD190" s="606" t="s">
        <v>148</v>
      </c>
      <c r="BE190" s="606" t="s">
        <v>149</v>
      </c>
      <c r="BF190" s="606" t="s">
        <v>150</v>
      </c>
      <c r="BG190" s="606" t="s">
        <v>151</v>
      </c>
      <c r="BH190" s="606" t="s">
        <v>152</v>
      </c>
      <c r="BI190" s="606" t="s">
        <v>153</v>
      </c>
      <c r="BJ190" s="606" t="s">
        <v>154</v>
      </c>
      <c r="BK190" s="606" t="s">
        <v>155</v>
      </c>
      <c r="BL190" s="606" t="s">
        <v>156</v>
      </c>
      <c r="BM190" s="606" t="s">
        <v>157</v>
      </c>
      <c r="BN190" s="606" t="s">
        <v>158</v>
      </c>
      <c r="BO190" s="606" t="s">
        <v>159</v>
      </c>
      <c r="BP190" s="606" t="s">
        <v>160</v>
      </c>
      <c r="BQ190" s="606" t="s">
        <v>16</v>
      </c>
      <c r="BR190" s="606" t="s">
        <v>161</v>
      </c>
      <c r="BS190" s="606" t="s">
        <v>162</v>
      </c>
      <c r="BT190" s="606" t="s">
        <v>163</v>
      </c>
      <c r="BU190" s="607" t="s">
        <v>164</v>
      </c>
    </row>
    <row r="191" spans="1:73">
      <c r="A191" s="650" t="s">
        <v>226</v>
      </c>
      <c r="B191" s="597" t="s">
        <v>179</v>
      </c>
      <c r="C191" s="597" t="s">
        <v>238</v>
      </c>
      <c r="D191" s="598">
        <f>IFERROR(BOS_H49[[#This Row],[H]]/BOS_H49[[#This Row],[AB]],0)</f>
        <v>0.125</v>
      </c>
      <c r="E191" s="598">
        <f>IFERROR((BOS_H49[[#This Row],[H]]+BOS_H49[[#This Row],[BB]])/(BOS_H49[[#This Row],[AB]]+BOS_H49[[#This Row],[BB]]),0)</f>
        <v>0.125</v>
      </c>
      <c r="F191" s="599">
        <f>IFERROR(((BOS_H49[[#This Row],[H]]-BOS_H49[[#This Row],[2B]]-BOS_H49[[#This Row],[3B]]-BOS_H49[[#This Row],[HR]])+(BOS_H49[[#This Row],[2B]]*2)+(BOS_H49[[#This Row],[3B]]*3)+(BOS_H49[[#This Row],[HR]]*4))/BOS_H49[[#This Row],[AB]],0)</f>
        <v>0.125</v>
      </c>
      <c r="G191" s="600">
        <v>2</v>
      </c>
      <c r="H191" s="600">
        <v>8</v>
      </c>
      <c r="I191" s="600">
        <v>0</v>
      </c>
      <c r="J191" s="600">
        <v>1</v>
      </c>
      <c r="K191" s="600">
        <v>0</v>
      </c>
      <c r="L191" s="600">
        <v>0</v>
      </c>
      <c r="M191" s="600">
        <v>0</v>
      </c>
      <c r="N191" s="600">
        <v>0</v>
      </c>
      <c r="O191" s="600">
        <v>0</v>
      </c>
      <c r="P191" s="604">
        <v>5</v>
      </c>
      <c r="Q191" s="600">
        <v>0</v>
      </c>
      <c r="R191" s="600">
        <v>1</v>
      </c>
      <c r="S191" s="604">
        <v>1</v>
      </c>
      <c r="T191" s="600">
        <f>IFERROR((BOS_H49[[#This Row],[H]]-BOS_H49[[#This Row],[2B]]-BOS_H49[[#This Row],[3B]]-BOS_H49[[#This Row],[HR]])+(BOS_H49[[#This Row],[2B]]*2)+(BOS_H49[[#This Row],[3B]]*3)+(BOS_H49[[#This Row],[HR]]*4),0)</f>
        <v>1</v>
      </c>
      <c r="U191" s="598">
        <f>BOS_H49[[#This Row],[OBP]]+BOS_H49[[#This Row],[SLG]]</f>
        <v>0.25</v>
      </c>
      <c r="V191" s="604">
        <v>0</v>
      </c>
      <c r="W191" s="614">
        <v>1</v>
      </c>
      <c r="Z191" s="650" t="s">
        <v>226</v>
      </c>
      <c r="AA191" s="597" t="s">
        <v>179</v>
      </c>
      <c r="AB191" s="597" t="s">
        <v>238</v>
      </c>
      <c r="AC191" s="598">
        <f>IFERROR(BOS_H21[[#This Row],[H]]/BOS_H21[[#This Row],[AB]],0)</f>
        <v>0.32432432432432434</v>
      </c>
      <c r="AD191" s="598">
        <f>IFERROR((BOS_H21[[#This Row],[H]]+BOS_H21[[#This Row],[BB]])/(BOS_H21[[#This Row],[AB]]+BOS_H21[[#This Row],[BB]]),0)</f>
        <v>0.3902439024390244</v>
      </c>
      <c r="AE191" s="599">
        <f>IFERROR(((BOS_H21[[#This Row],[H]]-BOS_H21[[#This Row],[2B]]-BOS_H21[[#This Row],[3B]]-BOS_H21[[#This Row],[HR]])+(BOS_H21[[#This Row],[2B]]*2)+(BOS_H21[[#This Row],[3B]]*3)+(BOS_H21[[#This Row],[HR]]*4))/BOS_H21[[#This Row],[AB]],0)</f>
        <v>0.51351351351351349</v>
      </c>
      <c r="AF191" s="600">
        <v>11</v>
      </c>
      <c r="AG191" s="600">
        <v>37</v>
      </c>
      <c r="AH191" s="600">
        <v>4</v>
      </c>
      <c r="AI191" s="600">
        <v>12</v>
      </c>
      <c r="AJ191" s="600">
        <v>1</v>
      </c>
      <c r="AK191" s="600">
        <v>0</v>
      </c>
      <c r="AL191" s="600">
        <v>2</v>
      </c>
      <c r="AM191" s="600">
        <v>5</v>
      </c>
      <c r="AN191" s="600">
        <v>4</v>
      </c>
      <c r="AO191" s="604">
        <v>5</v>
      </c>
      <c r="AP191" s="600">
        <v>0</v>
      </c>
      <c r="AQ191" s="600">
        <v>1</v>
      </c>
      <c r="AR191" s="604">
        <v>4</v>
      </c>
      <c r="AS191" s="600">
        <f>IFERROR((BOS_H21[[#This Row],[H]]-BOS_H21[[#This Row],[2B]]-BOS_H21[[#This Row],[3B]]-BOS_H21[[#This Row],[HR]])+(BOS_H21[[#This Row],[2B]]*2)+(BOS_H21[[#This Row],[3B]]*3)+(BOS_H21[[#This Row],[HR]]*4),0)</f>
        <v>19</v>
      </c>
      <c r="AT191" s="598">
        <f>BOS_H21[[#This Row],[OBP]]+BOS_H21[[#This Row],[SLG]]</f>
        <v>0.90375741595253789</v>
      </c>
      <c r="AU191" s="604">
        <v>1</v>
      </c>
      <c r="AV191" s="614">
        <v>1</v>
      </c>
      <c r="AY191" s="650" t="s">
        <v>165</v>
      </c>
      <c r="AZ191" s="604" t="s">
        <v>179</v>
      </c>
      <c r="BA191" s="597" t="s">
        <v>180</v>
      </c>
      <c r="BB191" s="598">
        <f>IFERROR(NYY_H14[[#This Row],[H]]/NYY_H14[[#This Row],[AB]],0)</f>
        <v>9.0909090909090912E-2</v>
      </c>
      <c r="BC191" s="598">
        <f>IFERROR((NYY_H14[[#This Row],[BB]]+NYY_H14[[#This Row],[H]])/(NYY_H14[[#This Row],[AB]]+NYY_H14[[#This Row],[BB]]),0)</f>
        <v>0.16666666666666666</v>
      </c>
      <c r="BD191" s="599">
        <f>IFERROR(((NYY_H14[[#This Row],[H]]-NYY_H14[[#This Row],[2B]]-NYY_H14[[#This Row],[3B]]-NYY_H14[[#This Row],[HR]])+(NYY_H14[[#This Row],[2B]]*2)+(NYY_H14[[#This Row],[3B]]*3)+(NYY_H14[[#This Row],[HR]]*4))/NYY_H14[[#This Row],[AB]],0)</f>
        <v>9.0909090909090912E-2</v>
      </c>
      <c r="BE191" s="600">
        <v>3</v>
      </c>
      <c r="BF191" s="600">
        <v>11</v>
      </c>
      <c r="BG191" s="600">
        <v>1</v>
      </c>
      <c r="BH191" s="600">
        <v>1</v>
      </c>
      <c r="BI191" s="600">
        <v>0</v>
      </c>
      <c r="BJ191" s="600">
        <v>0</v>
      </c>
      <c r="BK191" s="600">
        <v>0</v>
      </c>
      <c r="BL191" s="600">
        <v>0</v>
      </c>
      <c r="BM191" s="600">
        <v>1</v>
      </c>
      <c r="BN191" s="604">
        <v>3</v>
      </c>
      <c r="BO191" s="600">
        <v>0</v>
      </c>
      <c r="BP191" s="600">
        <v>0</v>
      </c>
      <c r="BQ191" s="604">
        <v>1</v>
      </c>
      <c r="BR191" s="601">
        <f t="shared" ref="BR191:BR204" si="18">IFERROR((BH191-BI191-BJ191-BK191)+(BI191*2)+(BJ191*3)+(BK191*4),0)</f>
        <v>1</v>
      </c>
      <c r="BS191" s="598">
        <f>IFERROR(NYY_H14[[#This Row],[OBP]]+NYY_H14[[#This Row],[SLG]],0)</f>
        <v>0.25757575757575757</v>
      </c>
      <c r="BT191" s="604">
        <v>0</v>
      </c>
      <c r="BU191" s="614">
        <v>1</v>
      </c>
    </row>
    <row r="192" spans="1:73">
      <c r="A192" s="651" t="s">
        <v>226</v>
      </c>
      <c r="B192" s="71" t="s">
        <v>154</v>
      </c>
      <c r="C192" s="77" t="s">
        <v>233</v>
      </c>
      <c r="D192" s="130">
        <f>IFERROR(BOS_H49[[#This Row],[H]]/BOS_H49[[#This Row],[AB]],0)</f>
        <v>0.2</v>
      </c>
      <c r="E192" s="72">
        <f>IFERROR((BOS_H49[[#This Row],[H]]+BOS_H49[[#This Row],[BB]])/(BOS_H49[[#This Row],[AB]]+BOS_H49[[#This Row],[BB]]),0)</f>
        <v>0.2</v>
      </c>
      <c r="F192" s="73">
        <f>IFERROR(((BOS_H49[[#This Row],[H]]-BOS_H49[[#This Row],[2B]]-BOS_H49[[#This Row],[3B]]-BOS_H49[[#This Row],[HR]])+(BOS_H49[[#This Row],[2B]]*2)+(BOS_H49[[#This Row],[3B]]*3)+(BOS_H49[[#This Row],[HR]]*4))/BOS_H49[[#This Row],[AB]],0)</f>
        <v>0.2</v>
      </c>
      <c r="G192" s="28">
        <v>2</v>
      </c>
      <c r="H192" s="28">
        <v>10</v>
      </c>
      <c r="I192" s="28">
        <v>0</v>
      </c>
      <c r="J192" s="28">
        <v>2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74">
        <v>2</v>
      </c>
      <c r="Q192" s="28">
        <v>0</v>
      </c>
      <c r="R192" s="28">
        <v>2</v>
      </c>
      <c r="S192" s="74">
        <v>2</v>
      </c>
      <c r="T192" s="28">
        <f>IFERROR((BOS_H49[[#This Row],[H]]-BOS_H49[[#This Row],[2B]]-BOS_H49[[#This Row],[3B]]-BOS_H49[[#This Row],[HR]])+(BOS_H49[[#This Row],[2B]]*2)+(BOS_H49[[#This Row],[3B]]*3)+(BOS_H49[[#This Row],[HR]]*4),0)</f>
        <v>2</v>
      </c>
      <c r="U192" s="72">
        <f>BOS_H49[[#This Row],[OBP]]+BOS_H49[[#This Row],[SLG]]</f>
        <v>0.4</v>
      </c>
      <c r="V192" s="74">
        <v>0</v>
      </c>
      <c r="W192" s="615">
        <v>2</v>
      </c>
      <c r="Z192" s="651" t="s">
        <v>226</v>
      </c>
      <c r="AA192" s="71" t="s">
        <v>154</v>
      </c>
      <c r="AB192" s="71" t="s">
        <v>233</v>
      </c>
      <c r="AC192" s="72">
        <f>IFERROR(BOS_H21[[#This Row],[H]]/BOS_H21[[#This Row],[AB]],0)</f>
        <v>0.42553191489361702</v>
      </c>
      <c r="AD192" s="594">
        <f>IFERROR((BOS_H21[[#This Row],[H]]+BOS_H21[[#This Row],[BB]])/(BOS_H21[[#This Row],[AB]]+BOS_H21[[#This Row],[BB]]),0)</f>
        <v>0.48076923076923078</v>
      </c>
      <c r="AE192" s="73">
        <f>IFERROR(((BOS_H21[[#This Row],[H]]-BOS_H21[[#This Row],[2B]]-BOS_H21[[#This Row],[3B]]-BOS_H21[[#This Row],[HR]])+(BOS_H21[[#This Row],[2B]]*2)+(BOS_H21[[#This Row],[3B]]*3)+(BOS_H21[[#This Row],[HR]]*4))/BOS_H21[[#This Row],[AB]],0)</f>
        <v>0.53191489361702127</v>
      </c>
      <c r="AF192" s="28">
        <v>11</v>
      </c>
      <c r="AG192" s="28">
        <v>47</v>
      </c>
      <c r="AH192" s="28">
        <v>3</v>
      </c>
      <c r="AI192" s="28">
        <v>20</v>
      </c>
      <c r="AJ192" s="28">
        <v>5</v>
      </c>
      <c r="AK192" s="28">
        <v>0</v>
      </c>
      <c r="AL192" s="28">
        <v>0</v>
      </c>
      <c r="AM192" s="28">
        <v>5</v>
      </c>
      <c r="AN192" s="28">
        <v>5</v>
      </c>
      <c r="AO192" s="74">
        <v>12</v>
      </c>
      <c r="AP192" s="28">
        <v>0</v>
      </c>
      <c r="AQ192" s="28">
        <v>11</v>
      </c>
      <c r="AR192" s="104">
        <v>11</v>
      </c>
      <c r="AS192" s="28">
        <f>IFERROR((BOS_H21[[#This Row],[H]]-BOS_H21[[#This Row],[2B]]-BOS_H21[[#This Row],[3B]]-BOS_H21[[#This Row],[HR]])+(BOS_H21[[#This Row],[2B]]*2)+(BOS_H21[[#This Row],[3B]]*3)+(BOS_H21[[#This Row],[HR]]*4),0)</f>
        <v>25</v>
      </c>
      <c r="AT192" s="72">
        <f>BOS_H21[[#This Row],[OBP]]+BOS_H21[[#This Row],[SLG]]</f>
        <v>1.0126841243862521</v>
      </c>
      <c r="AU192" s="74">
        <v>0</v>
      </c>
      <c r="AV192" s="615">
        <v>2</v>
      </c>
      <c r="AY192" s="651" t="s">
        <v>165</v>
      </c>
      <c r="AZ192" s="74" t="s">
        <v>154</v>
      </c>
      <c r="BA192" s="71" t="s">
        <v>176</v>
      </c>
      <c r="BB192" s="72">
        <f>IFERROR(NYY_H14[[#This Row],[H]]/NYY_H14[[#This Row],[AB]],0)</f>
        <v>0.16666666666666666</v>
      </c>
      <c r="BC192" s="72">
        <f>IFERROR((NYY_H14[[#This Row],[BB]]+NYY_H14[[#This Row],[H]])/(NYY_H14[[#This Row],[AB]]+NYY_H14[[#This Row],[BB]]),0)</f>
        <v>0.23076923076923078</v>
      </c>
      <c r="BD192" s="73">
        <f>IFERROR(((NYY_H14[[#This Row],[H]]-NYY_H14[[#This Row],[2B]]-NYY_H14[[#This Row],[3B]]-NYY_H14[[#This Row],[HR]])+(NYY_H14[[#This Row],[2B]]*2)+(NYY_H14[[#This Row],[3B]]*3)+(NYY_H14[[#This Row],[HR]]*4))/NYY_H14[[#This Row],[AB]],0)</f>
        <v>0.25</v>
      </c>
      <c r="BE192" s="28">
        <v>3</v>
      </c>
      <c r="BF192" s="28">
        <v>12</v>
      </c>
      <c r="BG192" s="28">
        <v>0</v>
      </c>
      <c r="BH192" s="28">
        <v>2</v>
      </c>
      <c r="BI192" s="28">
        <v>1</v>
      </c>
      <c r="BJ192" s="28">
        <v>0</v>
      </c>
      <c r="BK192" s="28">
        <v>0</v>
      </c>
      <c r="BL192" s="28">
        <v>0</v>
      </c>
      <c r="BM192" s="28">
        <v>1</v>
      </c>
      <c r="BN192" s="74">
        <v>5</v>
      </c>
      <c r="BO192" s="28">
        <v>0</v>
      </c>
      <c r="BP192" s="28">
        <v>0</v>
      </c>
      <c r="BQ192" s="74">
        <v>2</v>
      </c>
      <c r="BR192" s="90">
        <f t="shared" si="18"/>
        <v>3</v>
      </c>
      <c r="BS192" s="72">
        <f>IFERROR(NYY_H14[[#This Row],[OBP]]+NYY_H14[[#This Row],[SLG]],0)</f>
        <v>0.48076923076923078</v>
      </c>
      <c r="BT192" s="74">
        <v>0</v>
      </c>
      <c r="BU192" s="615">
        <v>2</v>
      </c>
    </row>
    <row r="193" spans="1:73">
      <c r="A193" s="651" t="s">
        <v>226</v>
      </c>
      <c r="B193" s="71" t="s">
        <v>235</v>
      </c>
      <c r="C193" s="77" t="s">
        <v>236</v>
      </c>
      <c r="D193" s="130">
        <f>IFERROR(BOS_H49[[#This Row],[H]]/BOS_H49[[#This Row],[AB]],0)</f>
        <v>0.375</v>
      </c>
      <c r="E193" s="72">
        <f>IFERROR((BOS_H49[[#This Row],[H]]+BOS_H49[[#This Row],[BB]])/(BOS_H49[[#This Row],[AB]]+BOS_H49[[#This Row],[BB]]),0)</f>
        <v>0.375</v>
      </c>
      <c r="F193" s="73">
        <f>IFERROR(((BOS_H49[[#This Row],[H]]-BOS_H49[[#This Row],[2B]]-BOS_H49[[#This Row],[3B]]-BOS_H49[[#This Row],[HR]])+(BOS_H49[[#This Row],[2B]]*2)+(BOS_H49[[#This Row],[3B]]*3)+(BOS_H49[[#This Row],[HR]]*4))/BOS_H49[[#This Row],[AB]],0)</f>
        <v>0.5</v>
      </c>
      <c r="G193" s="28">
        <v>2</v>
      </c>
      <c r="H193" s="28">
        <v>8</v>
      </c>
      <c r="I193" s="28">
        <v>0</v>
      </c>
      <c r="J193" s="28">
        <v>3</v>
      </c>
      <c r="K193" s="28">
        <v>1</v>
      </c>
      <c r="L193" s="28">
        <v>0</v>
      </c>
      <c r="M193" s="28">
        <v>0</v>
      </c>
      <c r="N193" s="28">
        <v>0</v>
      </c>
      <c r="O193" s="28">
        <v>0</v>
      </c>
      <c r="P193" s="74">
        <v>2</v>
      </c>
      <c r="Q193" s="28">
        <v>0</v>
      </c>
      <c r="R193" s="28">
        <v>2</v>
      </c>
      <c r="S193" s="74">
        <v>2</v>
      </c>
      <c r="T193" s="28">
        <f>IFERROR((BOS_H49[[#This Row],[H]]-BOS_H49[[#This Row],[2B]]-BOS_H49[[#This Row],[3B]]-BOS_H49[[#This Row],[HR]])+(BOS_H49[[#This Row],[2B]]*2)+(BOS_H49[[#This Row],[3B]]*3)+(BOS_H49[[#This Row],[HR]]*4),0)</f>
        <v>4</v>
      </c>
      <c r="U193" s="72">
        <f>BOS_H49[[#This Row],[OBP]]+BOS_H49[[#This Row],[SLG]]</f>
        <v>0.875</v>
      </c>
      <c r="V193" s="74">
        <v>0</v>
      </c>
      <c r="W193" s="615">
        <v>3</v>
      </c>
      <c r="Z193" s="651" t="s">
        <v>226</v>
      </c>
      <c r="AA193" s="71" t="s">
        <v>172</v>
      </c>
      <c r="AB193" s="71" t="s">
        <v>237</v>
      </c>
      <c r="AC193" s="72">
        <f>IFERROR(BOS_H21[[#This Row],[H]]/BOS_H21[[#This Row],[AB]],0)</f>
        <v>0.27906976744186046</v>
      </c>
      <c r="AD193" s="72">
        <f>IFERROR((BOS_H21[[#This Row],[H]]+BOS_H21[[#This Row],[BB]])/(BOS_H21[[#This Row],[AB]]+BOS_H21[[#This Row],[BB]]),0)</f>
        <v>0.32608695652173914</v>
      </c>
      <c r="AE193" s="73">
        <f>IFERROR(((BOS_H21[[#This Row],[H]]-BOS_H21[[#This Row],[2B]]-BOS_H21[[#This Row],[3B]]-BOS_H21[[#This Row],[HR]])+(BOS_H21[[#This Row],[2B]]*2)+(BOS_H21[[#This Row],[3B]]*3)+(BOS_H21[[#This Row],[HR]]*4))/BOS_H21[[#This Row],[AB]],0)</f>
        <v>0.46511627906976744</v>
      </c>
      <c r="AF193" s="28">
        <v>11</v>
      </c>
      <c r="AG193" s="28">
        <v>43</v>
      </c>
      <c r="AH193" s="28">
        <v>8</v>
      </c>
      <c r="AI193" s="28">
        <v>12</v>
      </c>
      <c r="AJ193" s="28">
        <v>5</v>
      </c>
      <c r="AK193" s="28">
        <v>0</v>
      </c>
      <c r="AL193" s="28">
        <v>1</v>
      </c>
      <c r="AM193" s="28">
        <v>6</v>
      </c>
      <c r="AN193" s="28">
        <v>3</v>
      </c>
      <c r="AO193" s="74">
        <v>10</v>
      </c>
      <c r="AP193" s="28">
        <v>0</v>
      </c>
      <c r="AQ193" s="28">
        <v>3</v>
      </c>
      <c r="AR193" s="74">
        <v>4</v>
      </c>
      <c r="AS193" s="28">
        <f>IFERROR((BOS_H21[[#This Row],[H]]-BOS_H21[[#This Row],[2B]]-BOS_H21[[#This Row],[3B]]-BOS_H21[[#This Row],[HR]])+(BOS_H21[[#This Row],[2B]]*2)+(BOS_H21[[#This Row],[3B]]*3)+(BOS_H21[[#This Row],[HR]]*4),0)</f>
        <v>20</v>
      </c>
      <c r="AT193" s="72">
        <f>BOS_H21[[#This Row],[OBP]]+BOS_H21[[#This Row],[SLG]]</f>
        <v>0.79120323559150663</v>
      </c>
      <c r="AU193" s="74">
        <v>1</v>
      </c>
      <c r="AV193" s="615">
        <v>3</v>
      </c>
      <c r="AY193" s="651" t="s">
        <v>165</v>
      </c>
      <c r="AZ193" s="74" t="s">
        <v>172</v>
      </c>
      <c r="BA193" s="71" t="s">
        <v>173</v>
      </c>
      <c r="BB193" s="594">
        <f>IFERROR(NYY_H14[[#This Row],[H]]/NYY_H14[[#This Row],[AB]],0)</f>
        <v>0.58333333333333337</v>
      </c>
      <c r="BC193" s="594">
        <f>IFERROR((NYY_H14[[#This Row],[BB]]+NYY_H14[[#This Row],[H]])/(NYY_H14[[#This Row],[AB]]+NYY_H14[[#This Row],[BB]]),0)</f>
        <v>0.61538461538461542</v>
      </c>
      <c r="BD193" s="346">
        <f>IFERROR(((NYY_H14[[#This Row],[H]]-NYY_H14[[#This Row],[2B]]-NYY_H14[[#This Row],[3B]]-NYY_H14[[#This Row],[HR]])+(NYY_H14[[#This Row],[2B]]*2)+(NYY_H14[[#This Row],[3B]]*3)+(NYY_H14[[#This Row],[HR]]*4))/NYY_H14[[#This Row],[AB]],0)</f>
        <v>1</v>
      </c>
      <c r="BE193" s="28">
        <v>3</v>
      </c>
      <c r="BF193" s="28">
        <v>12</v>
      </c>
      <c r="BG193" s="28">
        <v>4</v>
      </c>
      <c r="BH193" s="28">
        <v>7</v>
      </c>
      <c r="BI193" s="28">
        <v>2</v>
      </c>
      <c r="BJ193" s="28">
        <v>0</v>
      </c>
      <c r="BK193" s="28">
        <v>1</v>
      </c>
      <c r="BL193" s="28">
        <v>2</v>
      </c>
      <c r="BM193" s="28">
        <v>1</v>
      </c>
      <c r="BN193" s="74">
        <v>2</v>
      </c>
      <c r="BO193" s="28">
        <v>1</v>
      </c>
      <c r="BP193" s="28">
        <v>3</v>
      </c>
      <c r="BQ193" s="74">
        <v>3</v>
      </c>
      <c r="BR193" s="90">
        <f t="shared" si="18"/>
        <v>12</v>
      </c>
      <c r="BS193" s="594">
        <f>IFERROR(NYY_H14[[#This Row],[OBP]]+NYY_H14[[#This Row],[SLG]],0)</f>
        <v>1.6153846153846154</v>
      </c>
      <c r="BT193" s="74">
        <v>0</v>
      </c>
      <c r="BU193" s="615">
        <v>3</v>
      </c>
    </row>
    <row r="194" spans="1:73">
      <c r="A194" s="651" t="s">
        <v>226</v>
      </c>
      <c r="B194" s="71" t="s">
        <v>153</v>
      </c>
      <c r="C194" s="77" t="s">
        <v>232</v>
      </c>
      <c r="D194" s="130">
        <f>IFERROR(BOS_H49[[#This Row],[H]]/BOS_H49[[#This Row],[AB]],0)</f>
        <v>0.25</v>
      </c>
      <c r="E194" s="72">
        <f>IFERROR((BOS_H49[[#This Row],[H]]+BOS_H49[[#This Row],[BB]])/(BOS_H49[[#This Row],[AB]]+BOS_H49[[#This Row],[BB]]),0)</f>
        <v>0.4</v>
      </c>
      <c r="F194" s="73">
        <f>IFERROR(((BOS_H49[[#This Row],[H]]-BOS_H49[[#This Row],[2B]]-BOS_H49[[#This Row],[3B]]-BOS_H49[[#This Row],[HR]])+(BOS_H49[[#This Row],[2B]]*2)+(BOS_H49[[#This Row],[3B]]*3)+(BOS_H49[[#This Row],[HR]]*4))/BOS_H49[[#This Row],[AB]],0)</f>
        <v>0.25</v>
      </c>
      <c r="G194" s="28">
        <v>2</v>
      </c>
      <c r="H194" s="28">
        <v>8</v>
      </c>
      <c r="I194" s="28">
        <v>0</v>
      </c>
      <c r="J194" s="28">
        <v>2</v>
      </c>
      <c r="K194" s="28">
        <v>0</v>
      </c>
      <c r="L194" s="28">
        <v>0</v>
      </c>
      <c r="M194" s="28">
        <v>0</v>
      </c>
      <c r="N194" s="28">
        <v>0</v>
      </c>
      <c r="O194" s="28">
        <v>2</v>
      </c>
      <c r="P194" s="74">
        <v>3</v>
      </c>
      <c r="Q194" s="28">
        <v>0</v>
      </c>
      <c r="R194" s="28">
        <v>1</v>
      </c>
      <c r="S194" s="74">
        <v>1</v>
      </c>
      <c r="T194" s="28">
        <f>IFERROR((BOS_H49[[#This Row],[H]]-BOS_H49[[#This Row],[2B]]-BOS_H49[[#This Row],[3B]]-BOS_H49[[#This Row],[HR]])+(BOS_H49[[#This Row],[2B]]*2)+(BOS_H49[[#This Row],[3B]]*3)+(BOS_H49[[#This Row],[HR]]*4),0)</f>
        <v>2</v>
      </c>
      <c r="U194" s="72">
        <f>BOS_H49[[#This Row],[OBP]]+BOS_H49[[#This Row],[SLG]]</f>
        <v>0.65</v>
      </c>
      <c r="V194" s="74">
        <v>0</v>
      </c>
      <c r="W194" s="615">
        <v>4</v>
      </c>
      <c r="Z194" s="651" t="s">
        <v>226</v>
      </c>
      <c r="AA194" s="71" t="s">
        <v>153</v>
      </c>
      <c r="AB194" s="71" t="s">
        <v>232</v>
      </c>
      <c r="AC194" s="72">
        <f>IFERROR(BOS_H21[[#This Row],[H]]/BOS_H21[[#This Row],[AB]],0)</f>
        <v>0.18</v>
      </c>
      <c r="AD194" s="72">
        <f>IFERROR((BOS_H21[[#This Row],[H]]+BOS_H21[[#This Row],[BB]])/(BOS_H21[[#This Row],[AB]]+BOS_H21[[#This Row],[BB]]),0)</f>
        <v>0.19607843137254902</v>
      </c>
      <c r="AE194" s="73">
        <f>IFERROR(((BOS_H21[[#This Row],[H]]-BOS_H21[[#This Row],[2B]]-BOS_H21[[#This Row],[3B]]-BOS_H21[[#This Row],[HR]])+(BOS_H21[[#This Row],[2B]]*2)+(BOS_H21[[#This Row],[3B]]*3)+(BOS_H21[[#This Row],[HR]]*4))/BOS_H21[[#This Row],[AB]],0)</f>
        <v>0.24</v>
      </c>
      <c r="AF194" s="28">
        <v>11</v>
      </c>
      <c r="AG194" s="28">
        <v>50</v>
      </c>
      <c r="AH194" s="28">
        <v>4</v>
      </c>
      <c r="AI194" s="28">
        <v>9</v>
      </c>
      <c r="AJ194" s="28">
        <v>3</v>
      </c>
      <c r="AK194" s="28">
        <v>0</v>
      </c>
      <c r="AL194" s="28">
        <v>0</v>
      </c>
      <c r="AM194" s="28">
        <v>5</v>
      </c>
      <c r="AN194" s="28">
        <v>1</v>
      </c>
      <c r="AO194" s="74">
        <v>9</v>
      </c>
      <c r="AP194" s="28">
        <v>0</v>
      </c>
      <c r="AQ194" s="28">
        <v>3</v>
      </c>
      <c r="AR194" s="74">
        <v>3</v>
      </c>
      <c r="AS194" s="28">
        <f>IFERROR((BOS_H21[[#This Row],[H]]-BOS_H21[[#This Row],[2B]]-BOS_H21[[#This Row],[3B]]-BOS_H21[[#This Row],[HR]])+(BOS_H21[[#This Row],[2B]]*2)+(BOS_H21[[#This Row],[3B]]*3)+(BOS_H21[[#This Row],[HR]]*4),0)</f>
        <v>12</v>
      </c>
      <c r="AT194" s="72">
        <f>BOS_H21[[#This Row],[OBP]]+BOS_H21[[#This Row],[SLG]]</f>
        <v>0.43607843137254898</v>
      </c>
      <c r="AU194" s="74">
        <v>0</v>
      </c>
      <c r="AV194" s="615">
        <v>4</v>
      </c>
      <c r="AY194" s="651" t="s">
        <v>165</v>
      </c>
      <c r="AZ194" s="74" t="s">
        <v>153</v>
      </c>
      <c r="BA194" s="71" t="s">
        <v>175</v>
      </c>
      <c r="BB194" s="72">
        <f>IFERROR(NYY_H14[[#This Row],[H]]/NYY_H14[[#This Row],[AB]],0)</f>
        <v>0.2</v>
      </c>
      <c r="BC194" s="72">
        <f>IFERROR((NYY_H14[[#This Row],[BB]]+NYY_H14[[#This Row],[H]])/(NYY_H14[[#This Row],[AB]]+NYY_H14[[#This Row],[BB]]),0)</f>
        <v>0.33333333333333331</v>
      </c>
      <c r="BD194" s="73">
        <f>IFERROR(((NYY_H14[[#This Row],[H]]-NYY_H14[[#This Row],[2B]]-NYY_H14[[#This Row],[3B]]-NYY_H14[[#This Row],[HR]])+(NYY_H14[[#This Row],[2B]]*2)+(NYY_H14[[#This Row],[3B]]*3)+(NYY_H14[[#This Row],[HR]]*4))/NYY_H14[[#This Row],[AB]],0)</f>
        <v>0.3</v>
      </c>
      <c r="BE194" s="28">
        <v>3</v>
      </c>
      <c r="BF194" s="28">
        <v>10</v>
      </c>
      <c r="BG194" s="28">
        <v>1</v>
      </c>
      <c r="BH194" s="28">
        <v>2</v>
      </c>
      <c r="BI194" s="28">
        <v>1</v>
      </c>
      <c r="BJ194" s="28">
        <v>0</v>
      </c>
      <c r="BK194" s="28">
        <v>0</v>
      </c>
      <c r="BL194" s="28">
        <v>0</v>
      </c>
      <c r="BM194" s="28">
        <v>2</v>
      </c>
      <c r="BN194" s="74">
        <v>2</v>
      </c>
      <c r="BO194" s="28">
        <v>0</v>
      </c>
      <c r="BP194" s="28">
        <v>1</v>
      </c>
      <c r="BQ194" s="74">
        <v>1</v>
      </c>
      <c r="BR194" s="90">
        <f t="shared" si="18"/>
        <v>3</v>
      </c>
      <c r="BS194" s="72">
        <f>IFERROR(NYY_H14[[#This Row],[OBP]]+NYY_H14[[#This Row],[SLG]],0)</f>
        <v>0.6333333333333333</v>
      </c>
      <c r="BT194" s="74">
        <v>0</v>
      </c>
      <c r="BU194" s="615">
        <v>4</v>
      </c>
    </row>
    <row r="195" spans="1:73">
      <c r="A195" s="651" t="s">
        <v>226</v>
      </c>
      <c r="B195" s="71" t="s">
        <v>177</v>
      </c>
      <c r="C195" s="77" t="s">
        <v>239</v>
      </c>
      <c r="D195" s="130">
        <f>IFERROR(BOS_H49[[#This Row],[H]]/BOS_H49[[#This Row],[AB]],0)</f>
        <v>0.5</v>
      </c>
      <c r="E195" s="72">
        <f>IFERROR((BOS_H49[[#This Row],[H]]+BOS_H49[[#This Row],[BB]])/(BOS_H49[[#This Row],[AB]]+BOS_H49[[#This Row],[BB]]),0)</f>
        <v>0.5</v>
      </c>
      <c r="F195" s="73">
        <f>IFERROR(((BOS_H49[[#This Row],[H]]-BOS_H49[[#This Row],[2B]]-BOS_H49[[#This Row],[3B]]-BOS_H49[[#This Row],[HR]])+(BOS_H49[[#This Row],[2B]]*2)+(BOS_H49[[#This Row],[3B]]*3)+(BOS_H49[[#This Row],[HR]]*4))/BOS_H49[[#This Row],[AB]],0)</f>
        <v>1</v>
      </c>
      <c r="G195" s="28">
        <v>2</v>
      </c>
      <c r="H195" s="28">
        <v>8</v>
      </c>
      <c r="I195" s="28">
        <v>1</v>
      </c>
      <c r="J195" s="28">
        <v>4</v>
      </c>
      <c r="K195" s="28">
        <v>1</v>
      </c>
      <c r="L195" s="28">
        <v>0</v>
      </c>
      <c r="M195" s="28">
        <v>1</v>
      </c>
      <c r="N195" s="28">
        <v>2</v>
      </c>
      <c r="O195" s="28">
        <v>0</v>
      </c>
      <c r="P195" s="74">
        <v>3</v>
      </c>
      <c r="Q195" s="28">
        <v>0</v>
      </c>
      <c r="R195" s="28">
        <v>2</v>
      </c>
      <c r="S195" s="74">
        <v>2</v>
      </c>
      <c r="T195" s="28">
        <f>IFERROR((BOS_H49[[#This Row],[H]]-BOS_H49[[#This Row],[2B]]-BOS_H49[[#This Row],[3B]]-BOS_H49[[#This Row],[HR]])+(BOS_H49[[#This Row],[2B]]*2)+(BOS_H49[[#This Row],[3B]]*3)+(BOS_H49[[#This Row],[HR]]*4),0)</f>
        <v>8</v>
      </c>
      <c r="U195" s="72">
        <f>BOS_H49[[#This Row],[OBP]]+BOS_H49[[#This Row],[SLG]]</f>
        <v>1.5</v>
      </c>
      <c r="V195" s="74">
        <v>0</v>
      </c>
      <c r="W195" s="615">
        <v>5</v>
      </c>
      <c r="Z195" s="651" t="s">
        <v>226</v>
      </c>
      <c r="AA195" s="71" t="s">
        <v>177</v>
      </c>
      <c r="AB195" s="71" t="s">
        <v>239</v>
      </c>
      <c r="AC195" s="72">
        <f>IFERROR(BOS_H21[[#This Row],[H]]/BOS_H21[[#This Row],[AB]],0)</f>
        <v>0.21951219512195122</v>
      </c>
      <c r="AD195" s="72">
        <f>IFERROR((BOS_H21[[#This Row],[H]]+BOS_H21[[#This Row],[BB]])/(BOS_H21[[#This Row],[AB]]+BOS_H21[[#This Row],[BB]]),0)</f>
        <v>0.27272727272727271</v>
      </c>
      <c r="AE195" s="73">
        <f>IFERROR(((BOS_H21[[#This Row],[H]]-BOS_H21[[#This Row],[2B]]-BOS_H21[[#This Row],[3B]]-BOS_H21[[#This Row],[HR]])+(BOS_H21[[#This Row],[2B]]*2)+(BOS_H21[[#This Row],[3B]]*3)+(BOS_H21[[#This Row],[HR]]*4))/BOS_H21[[#This Row],[AB]],0)</f>
        <v>0.43902439024390244</v>
      </c>
      <c r="AF195" s="28">
        <v>11</v>
      </c>
      <c r="AG195" s="28">
        <v>41</v>
      </c>
      <c r="AH195" s="28">
        <v>7</v>
      </c>
      <c r="AI195" s="28">
        <v>9</v>
      </c>
      <c r="AJ195" s="28">
        <v>0</v>
      </c>
      <c r="AK195" s="28">
        <v>0</v>
      </c>
      <c r="AL195" s="28">
        <v>3</v>
      </c>
      <c r="AM195" s="28">
        <v>6</v>
      </c>
      <c r="AN195" s="28">
        <v>3</v>
      </c>
      <c r="AO195" s="74">
        <v>11</v>
      </c>
      <c r="AP195" s="28">
        <v>0</v>
      </c>
      <c r="AQ195" s="28">
        <v>0</v>
      </c>
      <c r="AR195" s="74">
        <v>3</v>
      </c>
      <c r="AS195" s="28">
        <f>IFERROR((BOS_H21[[#This Row],[H]]-BOS_H21[[#This Row],[2B]]-BOS_H21[[#This Row],[3B]]-BOS_H21[[#This Row],[HR]])+(BOS_H21[[#This Row],[2B]]*2)+(BOS_H21[[#This Row],[3B]]*3)+(BOS_H21[[#This Row],[HR]]*4),0)</f>
        <v>18</v>
      </c>
      <c r="AT195" s="72">
        <f>BOS_H21[[#This Row],[OBP]]+BOS_H21[[#This Row],[SLG]]</f>
        <v>0.71175166297117509</v>
      </c>
      <c r="AU195" s="74">
        <v>0</v>
      </c>
      <c r="AV195" s="615">
        <v>5</v>
      </c>
      <c r="AY195" s="651" t="s">
        <v>165</v>
      </c>
      <c r="AZ195" s="74" t="s">
        <v>177</v>
      </c>
      <c r="BA195" s="71" t="s">
        <v>178</v>
      </c>
      <c r="BB195" s="72">
        <f>IFERROR(NYY_H14[[#This Row],[H]]/NYY_H14[[#This Row],[AB]],0)</f>
        <v>0.36363636363636365</v>
      </c>
      <c r="BC195" s="72">
        <f>IFERROR((NYY_H14[[#This Row],[BB]]+NYY_H14[[#This Row],[H]])/(NYY_H14[[#This Row],[AB]]+NYY_H14[[#This Row],[BB]]),0)</f>
        <v>0.46153846153846156</v>
      </c>
      <c r="BD195" s="73">
        <f>IFERROR(((NYY_H14[[#This Row],[H]]-NYY_H14[[#This Row],[2B]]-NYY_H14[[#This Row],[3B]]-NYY_H14[[#This Row],[HR]])+(NYY_H14[[#This Row],[2B]]*2)+(NYY_H14[[#This Row],[3B]]*3)+(NYY_H14[[#This Row],[HR]]*4))/NYY_H14[[#This Row],[AB]],0)</f>
        <v>0.63636363636363635</v>
      </c>
      <c r="BE195" s="28">
        <v>3</v>
      </c>
      <c r="BF195" s="28">
        <v>11</v>
      </c>
      <c r="BG195" s="28">
        <v>1</v>
      </c>
      <c r="BH195" s="28">
        <v>4</v>
      </c>
      <c r="BI195" s="28">
        <v>0</v>
      </c>
      <c r="BJ195" s="28">
        <v>0</v>
      </c>
      <c r="BK195" s="28">
        <v>1</v>
      </c>
      <c r="BL195" s="28">
        <v>4</v>
      </c>
      <c r="BM195" s="28">
        <v>2</v>
      </c>
      <c r="BN195" s="74">
        <v>3</v>
      </c>
      <c r="BO195" s="28">
        <v>0</v>
      </c>
      <c r="BP195" s="28">
        <v>0</v>
      </c>
      <c r="BQ195" s="74">
        <v>2</v>
      </c>
      <c r="BR195" s="90">
        <f t="shared" si="18"/>
        <v>7</v>
      </c>
      <c r="BS195" s="72">
        <f>IFERROR(NYY_H14[[#This Row],[OBP]]+NYY_H14[[#This Row],[SLG]],0)</f>
        <v>1.0979020979020979</v>
      </c>
      <c r="BT195" s="74">
        <v>1</v>
      </c>
      <c r="BU195" s="615">
        <v>5</v>
      </c>
    </row>
    <row r="196" spans="1:73">
      <c r="A196" s="651" t="s">
        <v>226</v>
      </c>
      <c r="B196" s="71" t="s">
        <v>174</v>
      </c>
      <c r="C196" s="77" t="s">
        <v>229</v>
      </c>
      <c r="D196" s="130">
        <f>IFERROR(BOS_H49[[#This Row],[H]]/BOS_H49[[#This Row],[AB]],0)</f>
        <v>0.33333333333333331</v>
      </c>
      <c r="E196" s="72">
        <f>IFERROR((BOS_H49[[#This Row],[H]]+BOS_H49[[#This Row],[BB]])/(BOS_H49[[#This Row],[AB]]+BOS_H49[[#This Row],[BB]]),0)</f>
        <v>0.33333333333333331</v>
      </c>
      <c r="F196" s="73">
        <f>IFERROR(((BOS_H49[[#This Row],[H]]-BOS_H49[[#This Row],[2B]]-BOS_H49[[#This Row],[3B]]-BOS_H49[[#This Row],[HR]])+(BOS_H49[[#This Row],[2B]]*2)+(BOS_H49[[#This Row],[3B]]*3)+(BOS_H49[[#This Row],[HR]]*4))/BOS_H49[[#This Row],[AB]],0)</f>
        <v>0.44444444444444442</v>
      </c>
      <c r="G196" s="28">
        <v>2</v>
      </c>
      <c r="H196" s="28">
        <v>9</v>
      </c>
      <c r="I196" s="28">
        <v>0</v>
      </c>
      <c r="J196" s="28">
        <v>3</v>
      </c>
      <c r="K196" s="28">
        <v>1</v>
      </c>
      <c r="L196" s="28">
        <v>0</v>
      </c>
      <c r="M196" s="28">
        <v>0</v>
      </c>
      <c r="N196" s="28">
        <v>0</v>
      </c>
      <c r="O196" s="28">
        <v>0</v>
      </c>
      <c r="P196" s="74">
        <v>1</v>
      </c>
      <c r="Q196" s="28">
        <v>0</v>
      </c>
      <c r="R196" s="28">
        <v>2</v>
      </c>
      <c r="S196" s="74">
        <v>2</v>
      </c>
      <c r="T196" s="28">
        <f>IFERROR((BOS_H49[[#This Row],[H]]-BOS_H49[[#This Row],[2B]]-BOS_H49[[#This Row],[3B]]-BOS_H49[[#This Row],[HR]])+(BOS_H49[[#This Row],[2B]]*2)+(BOS_H49[[#This Row],[3B]]*3)+(BOS_H49[[#This Row],[HR]]*4),0)</f>
        <v>4</v>
      </c>
      <c r="U196" s="72">
        <f>BOS_H49[[#This Row],[OBP]]+BOS_H49[[#This Row],[SLG]]</f>
        <v>0.77777777777777768</v>
      </c>
      <c r="V196" s="74">
        <v>0</v>
      </c>
      <c r="W196" s="615">
        <v>6</v>
      </c>
      <c r="Z196" s="651" t="s">
        <v>226</v>
      </c>
      <c r="AA196" s="71" t="s">
        <v>234</v>
      </c>
      <c r="AB196" s="71" t="s">
        <v>229</v>
      </c>
      <c r="AC196" s="72">
        <f>IFERROR(BOS_H21[[#This Row],[H]]/BOS_H21[[#This Row],[AB]],0)</f>
        <v>0.33333333333333331</v>
      </c>
      <c r="AD196" s="72">
        <f>IFERROR((BOS_H21[[#This Row],[H]]+BOS_H21[[#This Row],[BB]])/(BOS_H21[[#This Row],[AB]]+BOS_H21[[#This Row],[BB]]),0)</f>
        <v>0.42857142857142855</v>
      </c>
      <c r="AE196" s="73">
        <f>IFERROR(((BOS_H21[[#This Row],[H]]-BOS_H21[[#This Row],[2B]]-BOS_H21[[#This Row],[3B]]-BOS_H21[[#This Row],[HR]])+(BOS_H21[[#This Row],[2B]]*2)+(BOS_H21[[#This Row],[3B]]*3)+(BOS_H21[[#This Row],[HR]]*4))/BOS_H21[[#This Row],[AB]],0)</f>
        <v>0.7142857142857143</v>
      </c>
      <c r="AF196" s="28">
        <v>11</v>
      </c>
      <c r="AG196" s="28">
        <v>42</v>
      </c>
      <c r="AH196" s="28">
        <v>7</v>
      </c>
      <c r="AI196" s="28">
        <v>14</v>
      </c>
      <c r="AJ196" s="586">
        <v>7</v>
      </c>
      <c r="AK196" s="28">
        <v>0</v>
      </c>
      <c r="AL196" s="28">
        <v>3</v>
      </c>
      <c r="AM196" s="28">
        <v>6</v>
      </c>
      <c r="AN196" s="28">
        <v>7</v>
      </c>
      <c r="AO196" s="74">
        <v>5</v>
      </c>
      <c r="AP196" s="28">
        <v>0</v>
      </c>
      <c r="AQ196" s="28">
        <v>2</v>
      </c>
      <c r="AR196" s="74">
        <v>5</v>
      </c>
      <c r="AS196" s="28">
        <f>IFERROR((BOS_H21[[#This Row],[H]]-BOS_H21[[#This Row],[2B]]-BOS_H21[[#This Row],[3B]]-BOS_H21[[#This Row],[HR]])+(BOS_H21[[#This Row],[2B]]*2)+(BOS_H21[[#This Row],[3B]]*3)+(BOS_H21[[#This Row],[HR]]*4),0)</f>
        <v>30</v>
      </c>
      <c r="AT196" s="72">
        <f>BOS_H21[[#This Row],[OBP]]+BOS_H21[[#This Row],[SLG]]</f>
        <v>1.1428571428571428</v>
      </c>
      <c r="AU196" s="74">
        <v>1</v>
      </c>
      <c r="AV196" s="615">
        <v>6</v>
      </c>
      <c r="AY196" s="651" t="s">
        <v>165</v>
      </c>
      <c r="AZ196" s="74" t="s">
        <v>174</v>
      </c>
      <c r="BA196" s="71" t="s">
        <v>170</v>
      </c>
      <c r="BB196" s="72">
        <f>IFERROR(NYY_H14[[#This Row],[H]]/NYY_H14[[#This Row],[AB]],0)</f>
        <v>0.27272727272727271</v>
      </c>
      <c r="BC196" s="72">
        <f>IFERROR((NYY_H14[[#This Row],[BB]]+NYY_H14[[#This Row],[H]])/(NYY_H14[[#This Row],[AB]]+NYY_H14[[#This Row],[BB]]),0)</f>
        <v>0.33333333333333331</v>
      </c>
      <c r="BD196" s="73">
        <f>IFERROR(((NYY_H14[[#This Row],[H]]-NYY_H14[[#This Row],[2B]]-NYY_H14[[#This Row],[3B]]-NYY_H14[[#This Row],[HR]])+(NYY_H14[[#This Row],[2B]]*2)+(NYY_H14[[#This Row],[3B]]*3)+(NYY_H14[[#This Row],[HR]]*4))/NYY_H14[[#This Row],[AB]],0)</f>
        <v>0.36363636363636365</v>
      </c>
      <c r="BE196" s="28">
        <v>3</v>
      </c>
      <c r="BF196" s="28">
        <v>11</v>
      </c>
      <c r="BG196" s="28">
        <v>1</v>
      </c>
      <c r="BH196" s="28">
        <v>3</v>
      </c>
      <c r="BI196" s="28">
        <v>1</v>
      </c>
      <c r="BJ196" s="28">
        <v>0</v>
      </c>
      <c r="BK196" s="28">
        <v>0</v>
      </c>
      <c r="BL196" s="28">
        <v>2</v>
      </c>
      <c r="BM196" s="28">
        <v>1</v>
      </c>
      <c r="BN196" s="74">
        <v>2</v>
      </c>
      <c r="BO196" s="28">
        <v>0</v>
      </c>
      <c r="BP196" s="28">
        <v>3</v>
      </c>
      <c r="BQ196" s="74">
        <v>3</v>
      </c>
      <c r="BR196" s="90">
        <f t="shared" si="18"/>
        <v>4</v>
      </c>
      <c r="BS196" s="72">
        <f>IFERROR(NYY_H14[[#This Row],[OBP]]+NYY_H14[[#This Row],[SLG]],0)</f>
        <v>0.69696969696969702</v>
      </c>
      <c r="BT196" s="74">
        <v>0</v>
      </c>
      <c r="BU196" s="615">
        <v>6</v>
      </c>
    </row>
    <row r="197" spans="1:73">
      <c r="A197" s="651" t="s">
        <v>226</v>
      </c>
      <c r="B197" s="71" t="s">
        <v>181</v>
      </c>
      <c r="C197" s="77" t="s">
        <v>227</v>
      </c>
      <c r="D197" s="130">
        <f>IFERROR(BOS_H49[[#This Row],[H]]/BOS_H49[[#This Row],[AB]],0)</f>
        <v>0.14285714285714285</v>
      </c>
      <c r="E197" s="72">
        <f>IFERROR((BOS_H49[[#This Row],[H]]+BOS_H49[[#This Row],[BB]])/(BOS_H49[[#This Row],[AB]]+BOS_H49[[#This Row],[BB]]),0)</f>
        <v>0.33333333333333331</v>
      </c>
      <c r="F197" s="73">
        <f>IFERROR(((BOS_H49[[#This Row],[H]]-BOS_H49[[#This Row],[2B]]-BOS_H49[[#This Row],[3B]]-BOS_H49[[#This Row],[HR]])+(BOS_H49[[#This Row],[2B]]*2)+(BOS_H49[[#This Row],[3B]]*3)+(BOS_H49[[#This Row],[HR]]*4))/BOS_H49[[#This Row],[AB]],0)</f>
        <v>0.14285714285714285</v>
      </c>
      <c r="G197" s="28">
        <v>2</v>
      </c>
      <c r="H197" s="28">
        <v>7</v>
      </c>
      <c r="I197" s="28">
        <v>0</v>
      </c>
      <c r="J197" s="28">
        <v>1</v>
      </c>
      <c r="K197" s="28">
        <v>0</v>
      </c>
      <c r="L197" s="28">
        <v>0</v>
      </c>
      <c r="M197" s="28">
        <v>0</v>
      </c>
      <c r="N197" s="28">
        <v>0</v>
      </c>
      <c r="O197" s="28">
        <v>2</v>
      </c>
      <c r="P197" s="74">
        <v>4</v>
      </c>
      <c r="Q197" s="28">
        <v>0</v>
      </c>
      <c r="R197" s="28">
        <v>1</v>
      </c>
      <c r="S197" s="74">
        <v>1</v>
      </c>
      <c r="T197" s="28">
        <f>IFERROR((BOS_H49[[#This Row],[H]]-BOS_H49[[#This Row],[2B]]-BOS_H49[[#This Row],[3B]]-BOS_H49[[#This Row],[HR]])+(BOS_H49[[#This Row],[2B]]*2)+(BOS_H49[[#This Row],[3B]]*3)+(BOS_H49[[#This Row],[HR]]*4),0)</f>
        <v>1</v>
      </c>
      <c r="U197" s="72">
        <f>BOS_H49[[#This Row],[OBP]]+BOS_H49[[#This Row],[SLG]]</f>
        <v>0.47619047619047616</v>
      </c>
      <c r="V197" s="74">
        <v>0</v>
      </c>
      <c r="W197" s="615">
        <v>7</v>
      </c>
      <c r="Z197" s="651" t="s">
        <v>226</v>
      </c>
      <c r="AA197" s="71" t="s">
        <v>181</v>
      </c>
      <c r="AB197" s="77" t="s">
        <v>231</v>
      </c>
      <c r="AC197" s="130">
        <f>IFERROR(BOS_H21[[#This Row],[H]]/BOS_H21[[#This Row],[AB]],0)</f>
        <v>0.29545454545454547</v>
      </c>
      <c r="AD197" s="72">
        <f>IFERROR((BOS_H21[[#This Row],[H]]+BOS_H21[[#This Row],[BB]])/(BOS_H21[[#This Row],[AB]]+BOS_H21[[#This Row],[BB]]),0)</f>
        <v>0.34042553191489361</v>
      </c>
      <c r="AE197" s="73">
        <f>IFERROR(((BOS_H21[[#This Row],[H]]-BOS_H21[[#This Row],[2B]]-BOS_H21[[#This Row],[3B]]-BOS_H21[[#This Row],[HR]])+(BOS_H21[[#This Row],[2B]]*2)+(BOS_H21[[#This Row],[3B]]*3)+(BOS_H21[[#This Row],[HR]]*4))/BOS_H21[[#This Row],[AB]],0)</f>
        <v>0.43181818181818182</v>
      </c>
      <c r="AF197" s="28">
        <v>11</v>
      </c>
      <c r="AG197" s="28">
        <v>44</v>
      </c>
      <c r="AH197" s="28">
        <v>8</v>
      </c>
      <c r="AI197" s="28">
        <v>13</v>
      </c>
      <c r="AJ197" s="28">
        <v>0</v>
      </c>
      <c r="AK197" s="28">
        <v>0</v>
      </c>
      <c r="AL197" s="28">
        <v>2</v>
      </c>
      <c r="AM197" s="28">
        <v>9</v>
      </c>
      <c r="AN197" s="28">
        <v>3</v>
      </c>
      <c r="AO197" s="74">
        <v>8</v>
      </c>
      <c r="AP197" s="28">
        <v>0</v>
      </c>
      <c r="AQ197" s="28">
        <v>4</v>
      </c>
      <c r="AR197" s="74">
        <v>4</v>
      </c>
      <c r="AS197" s="28">
        <f>IFERROR((BOS_H21[[#This Row],[H]]-BOS_H21[[#This Row],[2B]]-BOS_H21[[#This Row],[3B]]-BOS_H21[[#This Row],[HR]])+(BOS_H21[[#This Row],[2B]]*2)+(BOS_H21[[#This Row],[3B]]*3)+(BOS_H21[[#This Row],[HR]]*4),0)</f>
        <v>19</v>
      </c>
      <c r="AT197" s="72">
        <f>BOS_H21[[#This Row],[OBP]]+BOS_H21[[#This Row],[SLG]]</f>
        <v>0.77224371373307543</v>
      </c>
      <c r="AU197" s="74">
        <v>2</v>
      </c>
      <c r="AV197" s="615">
        <v>7</v>
      </c>
      <c r="AY197" s="651" t="s">
        <v>165</v>
      </c>
      <c r="AZ197" s="74" t="s">
        <v>181</v>
      </c>
      <c r="BA197" s="71" t="s">
        <v>182</v>
      </c>
      <c r="BB197" s="72">
        <f>IFERROR(NYY_H14[[#This Row],[H]]/NYY_H14[[#This Row],[AB]],0)</f>
        <v>0.18181818181818182</v>
      </c>
      <c r="BC197" s="72">
        <f>IFERROR((NYY_H14[[#This Row],[BB]]+NYY_H14[[#This Row],[H]])/(NYY_H14[[#This Row],[AB]]+NYY_H14[[#This Row],[BB]]),0)</f>
        <v>0.25</v>
      </c>
      <c r="BD197" s="73">
        <f>IFERROR(((NYY_H14[[#This Row],[H]]-NYY_H14[[#This Row],[2B]]-NYY_H14[[#This Row],[3B]]-NYY_H14[[#This Row],[HR]])+(NYY_H14[[#This Row],[2B]]*2)+(NYY_H14[[#This Row],[3B]]*3)+(NYY_H14[[#This Row],[HR]]*4))/NYY_H14[[#This Row],[AB]],0)</f>
        <v>0.18181818181818182</v>
      </c>
      <c r="BE197" s="28">
        <v>3</v>
      </c>
      <c r="BF197" s="28">
        <v>11</v>
      </c>
      <c r="BG197" s="28">
        <v>1</v>
      </c>
      <c r="BH197" s="28">
        <v>2</v>
      </c>
      <c r="BI197" s="28">
        <v>0</v>
      </c>
      <c r="BJ197" s="28">
        <v>0</v>
      </c>
      <c r="BK197" s="28">
        <v>0</v>
      </c>
      <c r="BL197" s="28">
        <v>1</v>
      </c>
      <c r="BM197" s="28">
        <v>1</v>
      </c>
      <c r="BN197" s="74">
        <v>5</v>
      </c>
      <c r="BO197" s="28">
        <v>0</v>
      </c>
      <c r="BP197" s="28">
        <v>0</v>
      </c>
      <c r="BQ197" s="74">
        <v>2</v>
      </c>
      <c r="BR197" s="90">
        <f t="shared" si="18"/>
        <v>2</v>
      </c>
      <c r="BS197" s="72">
        <f>IFERROR(NYY_H14[[#This Row],[OBP]]+NYY_H14[[#This Row],[SLG]],0)</f>
        <v>0.43181818181818182</v>
      </c>
      <c r="BT197" s="74">
        <v>0</v>
      </c>
      <c r="BU197" s="615">
        <v>7</v>
      </c>
    </row>
    <row r="198" spans="1:73">
      <c r="A198" s="651" t="s">
        <v>226</v>
      </c>
      <c r="B198" s="71" t="s">
        <v>166</v>
      </c>
      <c r="C198" s="77" t="s">
        <v>231</v>
      </c>
      <c r="D198" s="130">
        <f>IFERROR(BOS_H49[[#This Row],[H]]/BOS_H49[[#This Row],[AB]],0)</f>
        <v>0</v>
      </c>
      <c r="E198" s="72">
        <f>IFERROR((BOS_H49[[#This Row],[H]]+BOS_H49[[#This Row],[BB]])/(BOS_H49[[#This Row],[AB]]+BOS_H49[[#This Row],[BB]]),0)</f>
        <v>0</v>
      </c>
      <c r="F198" s="73">
        <f>IFERROR(((BOS_H49[[#This Row],[H]]-BOS_H49[[#This Row],[2B]]-BOS_H49[[#This Row],[3B]]-BOS_H49[[#This Row],[HR]])+(BOS_H49[[#This Row],[2B]]*2)+(BOS_H49[[#This Row],[3B]]*3)+(BOS_H49[[#This Row],[HR]]*4))/BOS_H49[[#This Row],[AB]],0)</f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74">
        <v>0</v>
      </c>
      <c r="Q198" s="28">
        <v>0</v>
      </c>
      <c r="R198" s="28">
        <v>0</v>
      </c>
      <c r="S198" s="74">
        <v>0</v>
      </c>
      <c r="T198" s="28">
        <f>IFERROR((BOS_H49[[#This Row],[H]]-BOS_H49[[#This Row],[2B]]-BOS_H49[[#This Row],[3B]]-BOS_H49[[#This Row],[HR]])+(BOS_H49[[#This Row],[2B]]*2)+(BOS_H49[[#This Row],[3B]]*3)+(BOS_H49[[#This Row],[HR]]*4),0)</f>
        <v>0</v>
      </c>
      <c r="U198" s="72">
        <f>BOS_H49[[#This Row],[OBP]]+BOS_H49[[#This Row],[SLG]]</f>
        <v>0</v>
      </c>
      <c r="V198" s="74">
        <v>0</v>
      </c>
      <c r="W198" s="615">
        <v>8</v>
      </c>
      <c r="Z198" s="651" t="s">
        <v>226</v>
      </c>
      <c r="AA198" s="71" t="s">
        <v>166</v>
      </c>
      <c r="AB198" s="77" t="s">
        <v>228</v>
      </c>
      <c r="AC198" s="130">
        <f>IFERROR(BOS_H21[[#This Row],[H]]/BOS_H21[[#This Row],[AB]],0)</f>
        <v>0.19148936170212766</v>
      </c>
      <c r="AD198" s="72">
        <f>IFERROR((BOS_H21[[#This Row],[H]]+BOS_H21[[#This Row],[BB]])/(BOS_H21[[#This Row],[AB]]+BOS_H21[[#This Row],[BB]]),0)</f>
        <v>0.25490196078431371</v>
      </c>
      <c r="AE198" s="73">
        <f>IFERROR(((BOS_H21[[#This Row],[H]]-BOS_H21[[#This Row],[2B]]-BOS_H21[[#This Row],[3B]]-BOS_H21[[#This Row],[HR]])+(BOS_H21[[#This Row],[2B]]*2)+(BOS_H21[[#This Row],[3B]]*3)+(BOS_H21[[#This Row],[HR]]*4))/BOS_H21[[#This Row],[AB]],0)</f>
        <v>0.34042553191489361</v>
      </c>
      <c r="AF198" s="28">
        <v>11</v>
      </c>
      <c r="AG198" s="28">
        <v>47</v>
      </c>
      <c r="AH198" s="28">
        <v>5</v>
      </c>
      <c r="AI198" s="28">
        <v>9</v>
      </c>
      <c r="AJ198" s="28">
        <v>4</v>
      </c>
      <c r="AK198" s="28">
        <v>0</v>
      </c>
      <c r="AL198" s="28">
        <v>1</v>
      </c>
      <c r="AM198" s="28">
        <v>4</v>
      </c>
      <c r="AN198" s="28">
        <v>4</v>
      </c>
      <c r="AO198" s="74">
        <v>16</v>
      </c>
      <c r="AP198" s="28">
        <v>0</v>
      </c>
      <c r="AQ198" s="28">
        <v>0</v>
      </c>
      <c r="AR198" s="74">
        <v>4</v>
      </c>
      <c r="AS198" s="28">
        <f>IFERROR((BOS_H21[[#This Row],[H]]-BOS_H21[[#This Row],[2B]]-BOS_H21[[#This Row],[3B]]-BOS_H21[[#This Row],[HR]])+(BOS_H21[[#This Row],[2B]]*2)+(BOS_H21[[#This Row],[3B]]*3)+(BOS_H21[[#This Row],[HR]]*4),0)</f>
        <v>16</v>
      </c>
      <c r="AT198" s="72">
        <f>BOS_H21[[#This Row],[OBP]]+BOS_H21[[#This Row],[SLG]]</f>
        <v>0.59532749269920737</v>
      </c>
      <c r="AU198" s="74">
        <v>0</v>
      </c>
      <c r="AV198" s="615">
        <v>8</v>
      </c>
      <c r="AY198" s="651" t="s">
        <v>165</v>
      </c>
      <c r="AZ198" s="74" t="s">
        <v>166</v>
      </c>
      <c r="BA198" s="71" t="s">
        <v>167</v>
      </c>
      <c r="BB198" s="72">
        <f>IFERROR(NYY_H14[[#This Row],[H]]/NYY_H14[[#This Row],[AB]],0)</f>
        <v>9.0909090909090912E-2</v>
      </c>
      <c r="BC198" s="72">
        <f>IFERROR((NYY_H14[[#This Row],[BB]]+NYY_H14[[#This Row],[H]])/(NYY_H14[[#This Row],[AB]]+NYY_H14[[#This Row],[BB]]),0)</f>
        <v>0.16666666666666666</v>
      </c>
      <c r="BD198" s="73">
        <f>IFERROR(((NYY_H14[[#This Row],[H]]-NYY_H14[[#This Row],[2B]]-NYY_H14[[#This Row],[3B]]-NYY_H14[[#This Row],[HR]])+(NYY_H14[[#This Row],[2B]]*2)+(NYY_H14[[#This Row],[3B]]*3)+(NYY_H14[[#This Row],[HR]]*4))/NYY_H14[[#This Row],[AB]],0)</f>
        <v>9.0909090909090912E-2</v>
      </c>
      <c r="BE198" s="28">
        <v>3</v>
      </c>
      <c r="BF198" s="28">
        <v>11</v>
      </c>
      <c r="BG198" s="28">
        <v>0</v>
      </c>
      <c r="BH198" s="28">
        <v>1</v>
      </c>
      <c r="BI198" s="28">
        <v>0</v>
      </c>
      <c r="BJ198" s="28">
        <v>0</v>
      </c>
      <c r="BK198" s="28">
        <v>0</v>
      </c>
      <c r="BL198" s="28">
        <v>0</v>
      </c>
      <c r="BM198" s="28">
        <v>1</v>
      </c>
      <c r="BN198" s="74">
        <v>5</v>
      </c>
      <c r="BO198" s="28">
        <v>0</v>
      </c>
      <c r="BP198" s="28">
        <v>1</v>
      </c>
      <c r="BQ198" s="74">
        <v>1</v>
      </c>
      <c r="BR198" s="90">
        <f t="shared" si="18"/>
        <v>1</v>
      </c>
      <c r="BS198" s="72">
        <f>IFERROR(NYY_H14[[#This Row],[OBP]]+NYY_H14[[#This Row],[SLG]],0)</f>
        <v>0.25757575757575757</v>
      </c>
      <c r="BT198" s="74">
        <v>0</v>
      </c>
      <c r="BU198" s="615">
        <v>8</v>
      </c>
    </row>
    <row r="199" spans="1:73">
      <c r="A199" s="651" t="s">
        <v>226</v>
      </c>
      <c r="B199" s="71" t="s">
        <v>168</v>
      </c>
      <c r="C199" s="77" t="s">
        <v>230</v>
      </c>
      <c r="D199" s="130">
        <f>IFERROR(BOS_H49[[#This Row],[H]]/BOS_H49[[#This Row],[AB]],0)</f>
        <v>0.375</v>
      </c>
      <c r="E199" s="72">
        <f>IFERROR((BOS_H49[[#This Row],[H]]+BOS_H49[[#This Row],[BB]])/(BOS_H49[[#This Row],[AB]]+BOS_H49[[#This Row],[BB]]),0)</f>
        <v>0.44444444444444442</v>
      </c>
      <c r="F199" s="73">
        <f>IFERROR(((BOS_H49[[#This Row],[H]]-BOS_H49[[#This Row],[2B]]-BOS_H49[[#This Row],[3B]]-BOS_H49[[#This Row],[HR]])+(BOS_H49[[#This Row],[2B]]*2)+(BOS_H49[[#This Row],[3B]]*3)+(BOS_H49[[#This Row],[HR]]*4))/BOS_H49[[#This Row],[AB]],0)</f>
        <v>0.5</v>
      </c>
      <c r="G199" s="28">
        <v>2</v>
      </c>
      <c r="H199" s="28">
        <v>8</v>
      </c>
      <c r="I199" s="28">
        <v>1</v>
      </c>
      <c r="J199" s="28">
        <v>3</v>
      </c>
      <c r="K199" s="28">
        <v>1</v>
      </c>
      <c r="L199" s="28">
        <v>0</v>
      </c>
      <c r="M199" s="28">
        <v>0</v>
      </c>
      <c r="N199" s="28">
        <v>0</v>
      </c>
      <c r="O199" s="28">
        <v>1</v>
      </c>
      <c r="P199" s="74">
        <v>2</v>
      </c>
      <c r="Q199" s="28">
        <v>0</v>
      </c>
      <c r="R199" s="28">
        <v>2</v>
      </c>
      <c r="S199" s="74">
        <v>2</v>
      </c>
      <c r="T199" s="28">
        <f>IFERROR((BOS_H49[[#This Row],[H]]-BOS_H49[[#This Row],[2B]]-BOS_H49[[#This Row],[3B]]-BOS_H49[[#This Row],[HR]])+(BOS_H49[[#This Row],[2B]]*2)+(BOS_H49[[#This Row],[3B]]*3)+(BOS_H49[[#This Row],[HR]]*4),0)</f>
        <v>4</v>
      </c>
      <c r="U199" s="72">
        <f>BOS_H49[[#This Row],[OBP]]+BOS_H49[[#This Row],[SLG]]</f>
        <v>0.94444444444444442</v>
      </c>
      <c r="V199" s="74">
        <v>0</v>
      </c>
      <c r="W199" s="615">
        <v>9</v>
      </c>
      <c r="Z199" s="651" t="s">
        <v>226</v>
      </c>
      <c r="AA199" s="71" t="s">
        <v>168</v>
      </c>
      <c r="AB199" s="77" t="s">
        <v>230</v>
      </c>
      <c r="AC199" s="130">
        <f>IFERROR(BOS_H21[[#This Row],[H]]/BOS_H21[[#This Row],[AB]],0)</f>
        <v>0.28260869565217389</v>
      </c>
      <c r="AD199" s="72">
        <f>IFERROR((BOS_H21[[#This Row],[H]]+BOS_H21[[#This Row],[BB]])/(BOS_H21[[#This Row],[AB]]+BOS_H21[[#This Row],[BB]]),0)</f>
        <v>0.34</v>
      </c>
      <c r="AE199" s="73">
        <f>IFERROR(((BOS_H21[[#This Row],[H]]-BOS_H21[[#This Row],[2B]]-BOS_H21[[#This Row],[3B]]-BOS_H21[[#This Row],[HR]])+(BOS_H21[[#This Row],[2B]]*2)+(BOS_H21[[#This Row],[3B]]*3)+(BOS_H21[[#This Row],[HR]]*4))/BOS_H21[[#This Row],[AB]],0)</f>
        <v>0.52173913043478259</v>
      </c>
      <c r="AF199" s="28">
        <v>11</v>
      </c>
      <c r="AG199" s="28">
        <v>46</v>
      </c>
      <c r="AH199" s="28">
        <v>5</v>
      </c>
      <c r="AI199" s="28">
        <v>13</v>
      </c>
      <c r="AJ199" s="28">
        <v>2</v>
      </c>
      <c r="AK199" s="28">
        <v>0</v>
      </c>
      <c r="AL199" s="28">
        <v>3</v>
      </c>
      <c r="AM199" s="28">
        <v>5</v>
      </c>
      <c r="AN199" s="28">
        <v>4</v>
      </c>
      <c r="AO199" s="74">
        <v>13</v>
      </c>
      <c r="AP199" s="28">
        <v>0</v>
      </c>
      <c r="AQ199" s="28">
        <v>4</v>
      </c>
      <c r="AR199" s="74">
        <v>4</v>
      </c>
      <c r="AS199" s="28">
        <f>IFERROR((BOS_H21[[#This Row],[H]]-BOS_H21[[#This Row],[2B]]-BOS_H21[[#This Row],[3B]]-BOS_H21[[#This Row],[HR]])+(BOS_H21[[#This Row],[2B]]*2)+(BOS_H21[[#This Row],[3B]]*3)+(BOS_H21[[#This Row],[HR]]*4),0)</f>
        <v>24</v>
      </c>
      <c r="AT199" s="72">
        <f>BOS_H21[[#This Row],[OBP]]+BOS_H21[[#This Row],[SLG]]</f>
        <v>0.86173913043478256</v>
      </c>
      <c r="AU199" s="74">
        <v>1</v>
      </c>
      <c r="AV199" s="615">
        <v>9</v>
      </c>
      <c r="AY199" s="651" t="s">
        <v>165</v>
      </c>
      <c r="AZ199" s="74" t="s">
        <v>168</v>
      </c>
      <c r="BA199" s="71" t="s">
        <v>169</v>
      </c>
      <c r="BB199" s="72">
        <f>IFERROR(NYY_H14[[#This Row],[H]]/NYY_H14[[#This Row],[AB]],0)</f>
        <v>0.18181818181818182</v>
      </c>
      <c r="BC199" s="72">
        <f>IFERROR((NYY_H14[[#This Row],[BB]]+NYY_H14[[#This Row],[H]])/(NYY_H14[[#This Row],[AB]]+NYY_H14[[#This Row],[BB]]),0)</f>
        <v>0.25</v>
      </c>
      <c r="BD199" s="73">
        <f>IFERROR(((NYY_H14[[#This Row],[H]]-NYY_H14[[#This Row],[2B]]-NYY_H14[[#This Row],[3B]]-NYY_H14[[#This Row],[HR]])+(NYY_H14[[#This Row],[2B]]*2)+(NYY_H14[[#This Row],[3B]]*3)+(NYY_H14[[#This Row],[HR]]*4))/NYY_H14[[#This Row],[AB]],0)</f>
        <v>0.18181818181818182</v>
      </c>
      <c r="BE199" s="28">
        <v>3</v>
      </c>
      <c r="BF199" s="28">
        <v>11</v>
      </c>
      <c r="BG199" s="28">
        <v>1</v>
      </c>
      <c r="BH199" s="28">
        <v>2</v>
      </c>
      <c r="BI199" s="28">
        <v>0</v>
      </c>
      <c r="BJ199" s="28">
        <v>0</v>
      </c>
      <c r="BK199" s="28">
        <v>0</v>
      </c>
      <c r="BL199" s="28">
        <v>1</v>
      </c>
      <c r="BM199" s="28">
        <v>1</v>
      </c>
      <c r="BN199" s="74">
        <v>3</v>
      </c>
      <c r="BO199" s="28">
        <v>0</v>
      </c>
      <c r="BP199" s="28">
        <v>2</v>
      </c>
      <c r="BQ199" s="74">
        <v>2</v>
      </c>
      <c r="BR199" s="90">
        <f t="shared" si="18"/>
        <v>2</v>
      </c>
      <c r="BS199" s="72">
        <f>IFERROR(NYY_H14[[#This Row],[OBP]]+NYY_H14[[#This Row],[SLG]],0)</f>
        <v>0.43181818181818182</v>
      </c>
      <c r="BT199" s="74">
        <v>0</v>
      </c>
      <c r="BU199" s="615">
        <v>9</v>
      </c>
    </row>
    <row r="200" spans="1:73">
      <c r="A200" s="651" t="s">
        <v>226</v>
      </c>
      <c r="B200" s="71" t="s">
        <v>179</v>
      </c>
      <c r="C200" s="77" t="s">
        <v>246</v>
      </c>
      <c r="D200" s="130">
        <f>IFERROR(BOS_H49[[#This Row],[H]]/BOS_H49[[#This Row],[AB]],0)</f>
        <v>0</v>
      </c>
      <c r="E200" s="72">
        <f>IFERROR((BOS_H49[[#This Row],[H]]+BOS_H49[[#This Row],[BB]])/(BOS_H49[[#This Row],[AB]]+BOS_H49[[#This Row],[BB]]),0)</f>
        <v>0</v>
      </c>
      <c r="F200" s="73">
        <f>IFERROR(((BOS_H49[[#This Row],[H]]-BOS_H49[[#This Row],[2B]]-BOS_H49[[#This Row],[3B]]-BOS_H49[[#This Row],[HR]])+(BOS_H49[[#This Row],[2B]]*2)+(BOS_H49[[#This Row],[3B]]*3)+(BOS_H49[[#This Row],[HR]]*4))/BOS_H49[[#This Row],[AB]],0)</f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74">
        <v>0</v>
      </c>
      <c r="Q200" s="28">
        <v>0</v>
      </c>
      <c r="R200" s="28">
        <v>0</v>
      </c>
      <c r="S200" s="74">
        <v>0</v>
      </c>
      <c r="T200" s="28">
        <f>IFERROR((BOS_H49[[#This Row],[H]]-BOS_H49[[#This Row],[2B]]-BOS_H49[[#This Row],[3B]]-BOS_H49[[#This Row],[HR]])+(BOS_H49[[#This Row],[2B]]*2)+(BOS_H49[[#This Row],[3B]]*3)+(BOS_H49[[#This Row],[HR]]*4),0)</f>
        <v>0</v>
      </c>
      <c r="U200" s="72">
        <f>BOS_H49[[#This Row],[OBP]]+BOS_H49[[#This Row],[SLG]]</f>
        <v>0</v>
      </c>
      <c r="V200" s="74">
        <v>0</v>
      </c>
      <c r="W200" s="615">
        <v>10</v>
      </c>
      <c r="Z200" s="651" t="s">
        <v>226</v>
      </c>
      <c r="AA200" s="71" t="s">
        <v>179</v>
      </c>
      <c r="AB200" s="77" t="s">
        <v>246</v>
      </c>
      <c r="AC200" s="130">
        <f>IFERROR(BOS_H21[[#This Row],[H]]/BOS_H21[[#This Row],[AB]],0)</f>
        <v>0</v>
      </c>
      <c r="AD200" s="72">
        <f>IFERROR((BOS_H21[[#This Row],[H]]+BOS_H21[[#This Row],[BB]])/(BOS_H21[[#This Row],[AB]]+BOS_H21[[#This Row],[BB]]),0)</f>
        <v>0</v>
      </c>
      <c r="AE200" s="73">
        <f>IFERROR(((BOS_H21[[#This Row],[H]]-BOS_H21[[#This Row],[2B]]-BOS_H21[[#This Row],[3B]]-BOS_H21[[#This Row],[HR]])+(BOS_H21[[#This Row],[2B]]*2)+(BOS_H21[[#This Row],[3B]]*3)+(BOS_H21[[#This Row],[HR]]*4))/BOS_H21[[#This Row],[AB]],0)</f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74">
        <v>0</v>
      </c>
      <c r="AP200" s="28">
        <v>0</v>
      </c>
      <c r="AQ200" s="28">
        <v>0</v>
      </c>
      <c r="AR200" s="74">
        <v>0</v>
      </c>
      <c r="AS200" s="28">
        <f>IFERROR((BOS_H21[[#This Row],[H]]-BOS_H21[[#This Row],[2B]]-BOS_H21[[#This Row],[3B]]-BOS_H21[[#This Row],[HR]])+(BOS_H21[[#This Row],[2B]]*2)+(BOS_H21[[#This Row],[3B]]*3)+(BOS_H21[[#This Row],[HR]]*4),0)</f>
        <v>0</v>
      </c>
      <c r="AT200" s="72">
        <f>BOS_H21[[#This Row],[OBP]]+BOS_H21[[#This Row],[SLG]]</f>
        <v>0</v>
      </c>
      <c r="AU200" s="74">
        <v>0</v>
      </c>
      <c r="AV200" s="615">
        <v>10</v>
      </c>
      <c r="AY200" s="651" t="s">
        <v>165</v>
      </c>
      <c r="AZ200" s="74" t="s">
        <v>179</v>
      </c>
      <c r="BA200" s="71" t="s">
        <v>190</v>
      </c>
      <c r="BB200" s="72">
        <f>IFERROR(NYY_H14[[#This Row],[H]]/NYY_H14[[#This Row],[AB]],0)</f>
        <v>0</v>
      </c>
      <c r="BC200" s="72">
        <f>IFERROR((NYY_H14[[#This Row],[BB]]+NYY_H14[[#This Row],[H]])/(NYY_H14[[#This Row],[AB]]+NYY_H14[[#This Row],[BB]]),0)</f>
        <v>0</v>
      </c>
      <c r="BD200" s="73">
        <f>IFERROR(((NYY_H14[[#This Row],[H]]-NYY_H14[[#This Row],[2B]]-NYY_H14[[#This Row],[3B]]-NYY_H14[[#This Row],[HR]])+(NYY_H14[[#This Row],[2B]]*2)+(NYY_H14[[#This Row],[3B]]*3)+(NYY_H14[[#This Row],[HR]]*4))/NYY_H14[[#This Row],[AB]],0)</f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74">
        <v>0</v>
      </c>
      <c r="BO200" s="28">
        <v>0</v>
      </c>
      <c r="BP200" s="28">
        <v>0</v>
      </c>
      <c r="BQ200" s="74">
        <v>0</v>
      </c>
      <c r="BR200" s="90">
        <f t="shared" si="18"/>
        <v>0</v>
      </c>
      <c r="BS200" s="72">
        <f>IFERROR(NYY_H14[[#This Row],[OBP]]+NYY_H14[[#This Row],[SLG]],0)</f>
        <v>0</v>
      </c>
      <c r="BT200" s="74">
        <v>0</v>
      </c>
      <c r="BU200" s="615">
        <v>10</v>
      </c>
    </row>
    <row r="201" spans="1:73">
      <c r="A201" s="651" t="s">
        <v>226</v>
      </c>
      <c r="B201" s="71" t="s">
        <v>187</v>
      </c>
      <c r="C201" s="77" t="s">
        <v>245</v>
      </c>
      <c r="D201" s="130">
        <f>IFERROR(BOS_H49[[#This Row],[H]]/BOS_H49[[#This Row],[AB]],0)</f>
        <v>0</v>
      </c>
      <c r="E201" s="72">
        <f>IFERROR((BOS_H49[[#This Row],[H]]+BOS_H49[[#This Row],[BB]])/(BOS_H49[[#This Row],[AB]]+BOS_H49[[#This Row],[BB]]),0)</f>
        <v>0</v>
      </c>
      <c r="F201" s="73">
        <f>IFERROR(((BOS_H49[[#This Row],[H]]-BOS_H49[[#This Row],[2B]]-BOS_H49[[#This Row],[3B]]-BOS_H49[[#This Row],[HR]])+(BOS_H49[[#This Row],[2B]]*2)+(BOS_H49[[#This Row],[3B]]*3)+(BOS_H49[[#This Row],[HR]]*4))/BOS_H49[[#This Row],[AB]],0)</f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74">
        <v>0</v>
      </c>
      <c r="Q201" s="28">
        <v>0</v>
      </c>
      <c r="R201" s="28">
        <v>0</v>
      </c>
      <c r="S201" s="74">
        <v>0</v>
      </c>
      <c r="T201" s="28">
        <f>IFERROR((BOS_H49[[#This Row],[H]]-BOS_H49[[#This Row],[2B]]-BOS_H49[[#This Row],[3B]]-BOS_H49[[#This Row],[HR]])+(BOS_H49[[#This Row],[2B]]*2)+(BOS_H49[[#This Row],[3B]]*3)+(BOS_H49[[#This Row],[HR]]*4),0)</f>
        <v>0</v>
      </c>
      <c r="U201" s="72">
        <f>BOS_H49[[#This Row],[OBP]]+BOS_H49[[#This Row],[SLG]]</f>
        <v>0</v>
      </c>
      <c r="V201" s="74">
        <v>0</v>
      </c>
      <c r="W201" s="615">
        <v>11</v>
      </c>
      <c r="Z201" s="651" t="s">
        <v>226</v>
      </c>
      <c r="AA201" s="71" t="s">
        <v>192</v>
      </c>
      <c r="AB201" s="77" t="s">
        <v>245</v>
      </c>
      <c r="AC201" s="130">
        <f>IFERROR(BOS_H21[[#This Row],[H]]/BOS_H21[[#This Row],[AB]],0)</f>
        <v>0</v>
      </c>
      <c r="AD201" s="72">
        <f>IFERROR((BOS_H21[[#This Row],[H]]+BOS_H21[[#This Row],[BB]])/(BOS_H21[[#This Row],[AB]]+BOS_H21[[#This Row],[BB]]),0)</f>
        <v>0</v>
      </c>
      <c r="AE201" s="73">
        <f>IFERROR(((BOS_H21[[#This Row],[H]]-BOS_H21[[#This Row],[2B]]-BOS_H21[[#This Row],[3B]]-BOS_H21[[#This Row],[HR]])+(BOS_H21[[#This Row],[2B]]*2)+(BOS_H21[[#This Row],[3B]]*3)+(BOS_H21[[#This Row],[HR]]*4))/BOS_H21[[#This Row],[AB]],0)</f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74">
        <v>0</v>
      </c>
      <c r="AP201" s="28">
        <v>0</v>
      </c>
      <c r="AQ201" s="28">
        <v>0</v>
      </c>
      <c r="AR201" s="74">
        <v>0</v>
      </c>
      <c r="AS201" s="28">
        <f>IFERROR((BOS_H21[[#This Row],[H]]-BOS_H21[[#This Row],[2B]]-BOS_H21[[#This Row],[3B]]-BOS_H21[[#This Row],[HR]])+(BOS_H21[[#This Row],[2B]]*2)+(BOS_H21[[#This Row],[3B]]*3)+(BOS_H21[[#This Row],[HR]]*4),0)</f>
        <v>0</v>
      </c>
      <c r="AT201" s="72">
        <f>BOS_H21[[#This Row],[OBP]]+BOS_H21[[#This Row],[SLG]]</f>
        <v>0</v>
      </c>
      <c r="AU201" s="74">
        <v>0</v>
      </c>
      <c r="AV201" s="615">
        <v>11</v>
      </c>
      <c r="AY201" s="651" t="s">
        <v>165</v>
      </c>
      <c r="AZ201" s="74" t="s">
        <v>187</v>
      </c>
      <c r="BA201" s="71" t="s">
        <v>171</v>
      </c>
      <c r="BB201" s="72">
        <f>IFERROR(NYY_H14[[#This Row],[H]]/NYY_H14[[#This Row],[AB]],0)</f>
        <v>0</v>
      </c>
      <c r="BC201" s="72">
        <f>IFERROR((NYY_H14[[#This Row],[BB]]+NYY_H14[[#This Row],[H]])/(NYY_H14[[#This Row],[AB]]+NYY_H14[[#This Row],[BB]]),0)</f>
        <v>0</v>
      </c>
      <c r="BD201" s="73">
        <f>IFERROR(((NYY_H14[[#This Row],[H]]-NYY_H14[[#This Row],[2B]]-NYY_H14[[#This Row],[3B]]-NYY_H14[[#This Row],[HR]])+(NYY_H14[[#This Row],[2B]]*2)+(NYY_H14[[#This Row],[3B]]*3)+(NYY_H14[[#This Row],[HR]]*4))/NYY_H14[[#This Row],[AB]],0)</f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74">
        <v>0</v>
      </c>
      <c r="BO201" s="28">
        <v>0</v>
      </c>
      <c r="BP201" s="28">
        <v>0</v>
      </c>
      <c r="BQ201" s="74">
        <v>0</v>
      </c>
      <c r="BR201" s="90">
        <f t="shared" si="18"/>
        <v>0</v>
      </c>
      <c r="BS201" s="72">
        <f>IFERROR(NYY_H14[[#This Row],[OBP]]+NYY_H14[[#This Row],[SLG]],0)</f>
        <v>0</v>
      </c>
      <c r="BT201" s="74">
        <v>0</v>
      </c>
      <c r="BU201" s="615">
        <v>11</v>
      </c>
    </row>
    <row r="202" spans="1:73">
      <c r="A202" s="651" t="s">
        <v>226</v>
      </c>
      <c r="B202" s="71" t="s">
        <v>192</v>
      </c>
      <c r="C202" s="77" t="s">
        <v>248</v>
      </c>
      <c r="D202" s="130">
        <f>IFERROR(BOS_H49[[#This Row],[H]]/BOS_H49[[#This Row],[AB]],0)</f>
        <v>0</v>
      </c>
      <c r="E202" s="72">
        <f>IFERROR((BOS_H49[[#This Row],[H]]+BOS_H49[[#This Row],[BB]])/(BOS_H49[[#This Row],[AB]]+BOS_H49[[#This Row],[BB]]),0)</f>
        <v>0</v>
      </c>
      <c r="F202" s="73">
        <f>IFERROR(((BOS_H49[[#This Row],[H]]-BOS_H49[[#This Row],[2B]]-BOS_H49[[#This Row],[3B]]-BOS_H49[[#This Row],[HR]])+(BOS_H49[[#This Row],[2B]]*2)+(BOS_H49[[#This Row],[3B]]*3)+(BOS_H49[[#This Row],[HR]]*4))/BOS_H49[[#This Row],[AB]],0)</f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74">
        <v>0</v>
      </c>
      <c r="Q202" s="28">
        <v>0</v>
      </c>
      <c r="R202" s="28">
        <v>0</v>
      </c>
      <c r="S202" s="74">
        <v>0</v>
      </c>
      <c r="T202" s="28">
        <f>IFERROR((BOS_H49[[#This Row],[H]]-BOS_H49[[#This Row],[2B]]-BOS_H49[[#This Row],[3B]]-BOS_H49[[#This Row],[HR]])+(BOS_H49[[#This Row],[2B]]*2)+(BOS_H49[[#This Row],[3B]]*3)+(BOS_H49[[#This Row],[HR]]*4),0)</f>
        <v>0</v>
      </c>
      <c r="U202" s="72">
        <f>BOS_H49[[#This Row],[OBP]]+BOS_H49[[#This Row],[SLG]]</f>
        <v>0</v>
      </c>
      <c r="V202" s="74">
        <v>0</v>
      </c>
      <c r="W202" s="615">
        <v>12</v>
      </c>
      <c r="Z202" s="651" t="s">
        <v>226</v>
      </c>
      <c r="AA202" s="71" t="s">
        <v>187</v>
      </c>
      <c r="AB202" s="77" t="s">
        <v>243</v>
      </c>
      <c r="AC202" s="130">
        <f>IFERROR(BOS_H21[[#This Row],[H]]/BOS_H21[[#This Row],[AB]],0)</f>
        <v>0</v>
      </c>
      <c r="AD202" s="72">
        <f>IFERROR((BOS_H21[[#This Row],[H]]+BOS_H21[[#This Row],[BB]])/(BOS_H21[[#This Row],[AB]]+BOS_H21[[#This Row],[BB]]),0)</f>
        <v>0</v>
      </c>
      <c r="AE202" s="73">
        <f>IFERROR(((BOS_H21[[#This Row],[H]]-BOS_H21[[#This Row],[2B]]-BOS_H21[[#This Row],[3B]]-BOS_H21[[#This Row],[HR]])+(BOS_H21[[#This Row],[2B]]*2)+(BOS_H21[[#This Row],[3B]]*3)+(BOS_H21[[#This Row],[HR]]*4))/BOS_H21[[#This Row],[AB]],0)</f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74">
        <v>0</v>
      </c>
      <c r="AP202" s="28">
        <v>0</v>
      </c>
      <c r="AQ202" s="28">
        <v>0</v>
      </c>
      <c r="AR202" s="74">
        <v>0</v>
      </c>
      <c r="AS202" s="28">
        <f>IFERROR((BOS_H21[[#This Row],[H]]-BOS_H21[[#This Row],[2B]]-BOS_H21[[#This Row],[3B]]-BOS_H21[[#This Row],[HR]])+(BOS_H21[[#This Row],[2B]]*2)+(BOS_H21[[#This Row],[3B]]*3)+(BOS_H21[[#This Row],[HR]]*4),0)</f>
        <v>0</v>
      </c>
      <c r="AT202" s="72">
        <f>BOS_H21[[#This Row],[OBP]]+BOS_H21[[#This Row],[SLG]]</f>
        <v>0</v>
      </c>
      <c r="AU202" s="74">
        <v>0</v>
      </c>
      <c r="AV202" s="615">
        <v>12</v>
      </c>
      <c r="AY202" s="651" t="s">
        <v>165</v>
      </c>
      <c r="AZ202" s="74" t="s">
        <v>187</v>
      </c>
      <c r="BA202" s="71" t="s">
        <v>194</v>
      </c>
      <c r="BB202" s="72">
        <f>IFERROR(NYY_H14[[#This Row],[H]]/NYY_H14[[#This Row],[AB]],0)</f>
        <v>0</v>
      </c>
      <c r="BC202" s="72">
        <f>IFERROR((NYY_H14[[#This Row],[BB]]+NYY_H14[[#This Row],[H]])/(NYY_H14[[#This Row],[AB]]+NYY_H14[[#This Row],[BB]]),0)</f>
        <v>0</v>
      </c>
      <c r="BD202" s="73">
        <f>IFERROR(((NYY_H14[[#This Row],[H]]-NYY_H14[[#This Row],[2B]]-NYY_H14[[#This Row],[3B]]-NYY_H14[[#This Row],[HR]])+(NYY_H14[[#This Row],[2B]]*2)+(NYY_H14[[#This Row],[3B]]*3)+(NYY_H14[[#This Row],[HR]]*4))/NYY_H14[[#This Row],[AB]],0)</f>
        <v>0</v>
      </c>
      <c r="BE202" s="28">
        <v>0</v>
      </c>
      <c r="BF202" s="90">
        <v>0</v>
      </c>
      <c r="BG202" s="90">
        <v>0</v>
      </c>
      <c r="BH202" s="90">
        <v>0</v>
      </c>
      <c r="BI202" s="90">
        <v>0</v>
      </c>
      <c r="BJ202" s="90">
        <v>0</v>
      </c>
      <c r="BK202" s="90">
        <v>0</v>
      </c>
      <c r="BL202" s="90">
        <v>0</v>
      </c>
      <c r="BM202" s="90">
        <v>0</v>
      </c>
      <c r="BN202" s="95">
        <v>0</v>
      </c>
      <c r="BO202" s="90">
        <v>0</v>
      </c>
      <c r="BP202" s="90">
        <v>0</v>
      </c>
      <c r="BQ202" s="95">
        <v>0</v>
      </c>
      <c r="BR202" s="90">
        <f t="shared" si="18"/>
        <v>0</v>
      </c>
      <c r="BS202" s="72">
        <f>IFERROR(NYY_H14[[#This Row],[OBP]]+NYY_H14[[#This Row],[SLG]],0)</f>
        <v>0</v>
      </c>
      <c r="BT202" s="74">
        <v>0</v>
      </c>
      <c r="BU202" s="615">
        <v>12</v>
      </c>
    </row>
    <row r="203" spans="1:73">
      <c r="A203" s="651" t="s">
        <v>226</v>
      </c>
      <c r="B203" s="71" t="s">
        <v>184</v>
      </c>
      <c r="C203" s="77" t="s">
        <v>241</v>
      </c>
      <c r="D203" s="130">
        <f>IFERROR(BOS_H49[[#This Row],[H]]/BOS_H49[[#This Row],[AB]],0)</f>
        <v>0.22222222222222221</v>
      </c>
      <c r="E203" s="72">
        <f>IFERROR((BOS_H49[[#This Row],[H]]+BOS_H49[[#This Row],[BB]])/(BOS_H49[[#This Row],[AB]]+BOS_H49[[#This Row],[BB]]),0)</f>
        <v>0.22222222222222221</v>
      </c>
      <c r="F203" s="73">
        <f>IFERROR(((BOS_H49[[#This Row],[H]]-BOS_H49[[#This Row],[2B]]-BOS_H49[[#This Row],[3B]]-BOS_H49[[#This Row],[HR]])+(BOS_H49[[#This Row],[2B]]*2)+(BOS_H49[[#This Row],[3B]]*3)+(BOS_H49[[#This Row],[HR]]*4))/BOS_H49[[#This Row],[AB]],0)</f>
        <v>0.22222222222222221</v>
      </c>
      <c r="G203" s="28">
        <v>2</v>
      </c>
      <c r="H203" s="28">
        <v>9</v>
      </c>
      <c r="I203" s="28">
        <v>0</v>
      </c>
      <c r="J203" s="28">
        <v>2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74">
        <v>3</v>
      </c>
      <c r="Q203" s="28">
        <v>0</v>
      </c>
      <c r="R203" s="28">
        <v>2</v>
      </c>
      <c r="S203" s="74">
        <v>2</v>
      </c>
      <c r="T203" s="28">
        <f>IFERROR((BOS_H49[[#This Row],[H]]-BOS_H49[[#This Row],[2B]]-BOS_H49[[#This Row],[3B]]-BOS_H49[[#This Row],[HR]])+(BOS_H49[[#This Row],[2B]]*2)+(BOS_H49[[#This Row],[3B]]*3)+(BOS_H49[[#This Row],[HR]]*4),0)</f>
        <v>2</v>
      </c>
      <c r="U203" s="72">
        <f>BOS_H49[[#This Row],[OBP]]+BOS_H49[[#This Row],[SLG]]</f>
        <v>0.44444444444444442</v>
      </c>
      <c r="V203" s="74">
        <v>0</v>
      </c>
      <c r="W203" s="615">
        <v>13</v>
      </c>
      <c r="Z203" s="651" t="s">
        <v>226</v>
      </c>
      <c r="AA203" s="71" t="s">
        <v>186</v>
      </c>
      <c r="AB203" s="71" t="s">
        <v>227</v>
      </c>
      <c r="AC203" s="72">
        <f>IFERROR(BOS_H21[[#This Row],[H]]/BOS_H21[[#This Row],[AB]],0)</f>
        <v>0</v>
      </c>
      <c r="AD203" s="72">
        <f>IFERROR((BOS_H21[[#This Row],[H]]+BOS_H21[[#This Row],[BB]])/(BOS_H21[[#This Row],[AB]]+BOS_H21[[#This Row],[BB]]),0)</f>
        <v>0</v>
      </c>
      <c r="AE203" s="73">
        <f>IFERROR(((BOS_H21[[#This Row],[H]]-BOS_H21[[#This Row],[2B]]-BOS_H21[[#This Row],[3B]]-BOS_H21[[#This Row],[HR]])+(BOS_H21[[#This Row],[2B]]*2)+(BOS_H21[[#This Row],[3B]]*3)+(BOS_H21[[#This Row],[HR]]*4))/BOS_H21[[#This Row],[AB]],0)</f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74">
        <v>0</v>
      </c>
      <c r="AP203" s="28">
        <v>0</v>
      </c>
      <c r="AQ203" s="28">
        <v>0</v>
      </c>
      <c r="AR203" s="74">
        <v>0</v>
      </c>
      <c r="AS203" s="28">
        <f>IFERROR((BOS_H21[[#This Row],[H]]-BOS_H21[[#This Row],[2B]]-BOS_H21[[#This Row],[3B]]-BOS_H21[[#This Row],[HR]])+(BOS_H21[[#This Row],[2B]]*2)+(BOS_H21[[#This Row],[3B]]*3)+(BOS_H21[[#This Row],[HR]]*4),0)</f>
        <v>0</v>
      </c>
      <c r="AT203" s="72">
        <f>BOS_H21[[#This Row],[OBP]]+BOS_H21[[#This Row],[SLG]]</f>
        <v>0</v>
      </c>
      <c r="AU203" s="74">
        <v>0</v>
      </c>
      <c r="AV203" s="615">
        <v>13</v>
      </c>
      <c r="AY203" s="651" t="s">
        <v>165</v>
      </c>
      <c r="AZ203" s="74" t="s">
        <v>186</v>
      </c>
      <c r="BA203" s="71" t="s">
        <v>191</v>
      </c>
      <c r="BB203" s="72">
        <f>IFERROR(NYY_H14[[#This Row],[H]]/NYY_H14[[#This Row],[AB]],0)</f>
        <v>0</v>
      </c>
      <c r="BC203" s="72">
        <f>IFERROR((NYY_H14[[#This Row],[BB]]+NYY_H14[[#This Row],[H]])/(NYY_H14[[#This Row],[AB]]+NYY_H14[[#This Row],[BB]]),0)</f>
        <v>0</v>
      </c>
      <c r="BD203" s="73">
        <f>IFERROR(((NYY_H14[[#This Row],[H]]-NYY_H14[[#This Row],[2B]]-NYY_H14[[#This Row],[3B]]-NYY_H14[[#This Row],[HR]])+(NYY_H14[[#This Row],[2B]]*2)+(NYY_H14[[#This Row],[3B]]*3)+(NYY_H14[[#This Row],[HR]]*4))/NYY_H14[[#This Row],[AB]],0)</f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74">
        <v>0</v>
      </c>
      <c r="BO203" s="28">
        <v>0</v>
      </c>
      <c r="BP203" s="28">
        <v>0</v>
      </c>
      <c r="BQ203" s="74">
        <v>0</v>
      </c>
      <c r="BR203" s="90">
        <f t="shared" si="18"/>
        <v>0</v>
      </c>
      <c r="BS203" s="72">
        <f>IFERROR(NYY_H14[[#This Row],[OBP]]+NYY_H14[[#This Row],[SLG]],0)</f>
        <v>0</v>
      </c>
      <c r="BT203" s="74">
        <v>0</v>
      </c>
      <c r="BU203" s="615">
        <v>13</v>
      </c>
    </row>
    <row r="204" spans="1:73" ht="17" thickBot="1">
      <c r="A204" s="651" t="s">
        <v>226</v>
      </c>
      <c r="B204" s="71" t="s">
        <v>186</v>
      </c>
      <c r="C204" s="71" t="s">
        <v>242</v>
      </c>
      <c r="D204" s="72">
        <f>IFERROR(BOS_H49[[#This Row],[H]]/BOS_H49[[#This Row],[AB]],0)</f>
        <v>0</v>
      </c>
      <c r="E204" s="72">
        <f>IFERROR((BOS_H49[[#This Row],[H]]+BOS_H49[[#This Row],[BB]])/(BOS_H49[[#This Row],[AB]]+BOS_H49[[#This Row],[BB]]),0)</f>
        <v>0</v>
      </c>
      <c r="F204" s="73">
        <f>IFERROR(((BOS_H49[[#This Row],[H]]-BOS_H49[[#This Row],[2B]]-BOS_H49[[#This Row],[3B]]-BOS_H49[[#This Row],[HR]])+(BOS_H49[[#This Row],[2B]]*2)+(BOS_H49[[#This Row],[3B]]*3)+(BOS_H49[[#This Row],[HR]]*4))/BOS_H49[[#This Row],[AB]],0)</f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74">
        <v>0</v>
      </c>
      <c r="Q204" s="28">
        <v>0</v>
      </c>
      <c r="R204" s="28">
        <v>0</v>
      </c>
      <c r="S204" s="74">
        <v>0</v>
      </c>
      <c r="T204" s="28">
        <f>IFERROR((BOS_H49[[#This Row],[H]]-BOS_H49[[#This Row],[2B]]-BOS_H49[[#This Row],[3B]]-BOS_H49[[#This Row],[HR]])+(BOS_H49[[#This Row],[2B]]*2)+(BOS_H49[[#This Row],[3B]]*3)+(BOS_H49[[#This Row],[HR]]*4),0)</f>
        <v>0</v>
      </c>
      <c r="U204" s="72">
        <f>BOS_H49[[#This Row],[OBP]]+BOS_H49[[#This Row],[SLG]]</f>
        <v>0</v>
      </c>
      <c r="V204" s="74">
        <v>0</v>
      </c>
      <c r="W204" s="615">
        <v>14</v>
      </c>
      <c r="Z204" s="651" t="s">
        <v>226</v>
      </c>
      <c r="AA204" s="71" t="s">
        <v>186</v>
      </c>
      <c r="AB204" s="71" t="s">
        <v>242</v>
      </c>
      <c r="AC204" s="72">
        <f>IFERROR(BOS_H21[[#This Row],[H]]/BOS_H21[[#This Row],[AB]],0)</f>
        <v>0</v>
      </c>
      <c r="AD204" s="72">
        <f>IFERROR((BOS_H21[[#This Row],[H]]+BOS_H21[[#This Row],[BB]])/(BOS_H21[[#This Row],[AB]]+BOS_H21[[#This Row],[BB]]),0)</f>
        <v>0</v>
      </c>
      <c r="AE204" s="73">
        <f>IFERROR(((BOS_H21[[#This Row],[H]]-BOS_H21[[#This Row],[2B]]-BOS_H21[[#This Row],[3B]]-BOS_H21[[#This Row],[HR]])+(BOS_H21[[#This Row],[2B]]*2)+(BOS_H21[[#This Row],[3B]]*3)+(BOS_H21[[#This Row],[HR]]*4))/BOS_H21[[#This Row],[AB]],0)</f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74">
        <v>0</v>
      </c>
      <c r="AP204" s="28">
        <v>0</v>
      </c>
      <c r="AQ204" s="28">
        <v>0</v>
      </c>
      <c r="AR204" s="74">
        <v>0</v>
      </c>
      <c r="AS204" s="28">
        <f>IFERROR((BOS_H21[[#This Row],[H]]-BOS_H21[[#This Row],[2B]]-BOS_H21[[#This Row],[3B]]-BOS_H21[[#This Row],[HR]])+(BOS_H21[[#This Row],[2B]]*2)+(BOS_H21[[#This Row],[3B]]*3)+(BOS_H21[[#This Row],[HR]]*4),0)</f>
        <v>0</v>
      </c>
      <c r="AT204" s="72">
        <f>BOS_H21[[#This Row],[OBP]]+BOS_H21[[#This Row],[SLG]]</f>
        <v>0</v>
      </c>
      <c r="AU204" s="74">
        <v>0</v>
      </c>
      <c r="AV204" s="615">
        <v>14</v>
      </c>
      <c r="AY204" s="651" t="s">
        <v>165</v>
      </c>
      <c r="AZ204" s="74" t="s">
        <v>186</v>
      </c>
      <c r="BA204" s="71" t="s">
        <v>183</v>
      </c>
      <c r="BB204" s="72">
        <f>IFERROR(NYY_H14[[#This Row],[H]]/NYY_H14[[#This Row],[AB]],0)</f>
        <v>0</v>
      </c>
      <c r="BC204" s="72">
        <f>IFERROR((NYY_H14[[#This Row],[BB]]+NYY_H14[[#This Row],[H]])/(NYY_H14[[#This Row],[AB]]+NYY_H14[[#This Row],[BB]]),0)</f>
        <v>0</v>
      </c>
      <c r="BD204" s="73">
        <f>IFERROR(((NYY_H14[[#This Row],[H]]-NYY_H14[[#This Row],[2B]]-NYY_H14[[#This Row],[3B]]-NYY_H14[[#This Row],[HR]])+(NYY_H14[[#This Row],[2B]]*2)+(NYY_H14[[#This Row],[3B]]*3)+(NYY_H14[[#This Row],[HR]]*4))/NYY_H14[[#This Row],[AB]],0)</f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74">
        <v>0</v>
      </c>
      <c r="BO204" s="28">
        <v>0</v>
      </c>
      <c r="BP204" s="28">
        <v>0</v>
      </c>
      <c r="BQ204" s="74">
        <v>0</v>
      </c>
      <c r="BR204" s="90">
        <f t="shared" si="18"/>
        <v>0</v>
      </c>
      <c r="BS204" s="72">
        <f>IFERROR(NYY_H14[[#This Row],[OBP]]+NYY_H14[[#This Row],[SLG]],0)</f>
        <v>0</v>
      </c>
      <c r="BT204" s="74">
        <v>0</v>
      </c>
      <c r="BU204" s="615">
        <v>14</v>
      </c>
    </row>
    <row r="205" spans="1:73" ht="17" thickBot="1">
      <c r="A205" s="652"/>
      <c r="B205" s="653"/>
      <c r="C205" s="654" t="s">
        <v>195</v>
      </c>
      <c r="D205" s="656">
        <f>J205/H205</f>
        <v>0.28000000000000003</v>
      </c>
      <c r="E205" s="656">
        <f>(J205+O205)/(O205+H205)</f>
        <v>0.32500000000000001</v>
      </c>
      <c r="F205" s="657">
        <f>((J205-K205-L205-M205)+(K205*2)+(L205*3)+(M205*4))/H205</f>
        <v>0.37333333333333335</v>
      </c>
      <c r="G205" s="658"/>
      <c r="H205" s="658">
        <f>SUBTOTAL(109,BOS_H49[AB])</f>
        <v>75</v>
      </c>
      <c r="I205" s="658">
        <f>SUBTOTAL(109,BOS_H49[R])</f>
        <v>2</v>
      </c>
      <c r="J205" s="658">
        <f>SUBTOTAL(109,BOS_H49[H])</f>
        <v>21</v>
      </c>
      <c r="K205" s="658">
        <f>SUBTOTAL(109,BOS_H49[2B])</f>
        <v>4</v>
      </c>
      <c r="L205" s="658">
        <f>SUBTOTAL(109,BOS_H49[3B])</f>
        <v>0</v>
      </c>
      <c r="M205" s="658">
        <f>SUBTOTAL(109,BOS_H49[HR])</f>
        <v>1</v>
      </c>
      <c r="N205" s="658">
        <f>SUBTOTAL(109,BOS_H49[RBI])</f>
        <v>2</v>
      </c>
      <c r="O205" s="658">
        <f>SUBTOTAL(109,BOS_H49[BB])</f>
        <v>5</v>
      </c>
      <c r="P205" s="660">
        <f>SUBTOTAL(109,BOS_H49[K])</f>
        <v>25</v>
      </c>
      <c r="Q205" s="658">
        <f>SUBTOTAL(109,BOS_H49[SB])</f>
        <v>0</v>
      </c>
      <c r="R205" s="658"/>
      <c r="S205" s="660"/>
      <c r="T205" s="661">
        <f>SUBTOTAL(109,BOS_H49[TB])</f>
        <v>28</v>
      </c>
      <c r="U205" s="656">
        <f>E205+F205</f>
        <v>0.69833333333333336</v>
      </c>
      <c r="V205" s="660">
        <f>SUBTOTAL(109,BOS_H49[*])</f>
        <v>0</v>
      </c>
      <c r="W205" s="662"/>
      <c r="Z205" s="652"/>
      <c r="AA205" s="653"/>
      <c r="AB205" s="654" t="s">
        <v>195</v>
      </c>
      <c r="AC205" s="656">
        <f>AI205/AG205</f>
        <v>0.27959697732997479</v>
      </c>
      <c r="AD205" s="656">
        <f>(AI205+AN205)/(AN205+AG205)</f>
        <v>0.33642691415313225</v>
      </c>
      <c r="AE205" s="657">
        <f>((AI205-AJ205-AK205-AL205)+(AJ205*2)+(AK205*3)+(AL205*4))/AG205</f>
        <v>0.46095717884130982</v>
      </c>
      <c r="AF205" s="658"/>
      <c r="AG205" s="658">
        <f>SUBTOTAL(109,BOS_H21[AB])</f>
        <v>397</v>
      </c>
      <c r="AH205" s="658">
        <f>SUBTOTAL(109,BOS_H21[R])</f>
        <v>51</v>
      </c>
      <c r="AI205" s="658">
        <f>SUBTOTAL(109,BOS_H21[H])</f>
        <v>111</v>
      </c>
      <c r="AJ205" s="658">
        <f>SUBTOTAL(109,BOS_H21[2B])</f>
        <v>27</v>
      </c>
      <c r="AK205" s="658">
        <f>SUBTOTAL(109,BOS_H21[3B])</f>
        <v>0</v>
      </c>
      <c r="AL205" s="658">
        <f>SUBTOTAL(109,BOS_H21[HR])</f>
        <v>15</v>
      </c>
      <c r="AM205" s="658">
        <f>SUBTOTAL(109,BOS_H21[RBI])</f>
        <v>51</v>
      </c>
      <c r="AN205" s="658">
        <f>SUBTOTAL(109,BOS_H21[BB])</f>
        <v>34</v>
      </c>
      <c r="AO205" s="660">
        <f>SUBTOTAL(109,BOS_H21[K])</f>
        <v>89</v>
      </c>
      <c r="AP205" s="658">
        <f>SUBTOTAL(109,BOS_H21[SB])</f>
        <v>0</v>
      </c>
      <c r="AQ205" s="658"/>
      <c r="AR205" s="660"/>
      <c r="AS205" s="661">
        <f>SUBTOTAL(109,BOS_H21[TB])</f>
        <v>183</v>
      </c>
      <c r="AT205" s="656">
        <f>AD205+AE205</f>
        <v>0.79738409299444202</v>
      </c>
      <c r="AU205" s="660">
        <f>SUBTOTAL(109,BOS_H21[*])</f>
        <v>6</v>
      </c>
      <c r="AV205" s="662"/>
      <c r="AY205" s="617"/>
      <c r="AZ205" s="618"/>
      <c r="BA205" s="619" t="s">
        <v>195</v>
      </c>
      <c r="BB205" s="620">
        <f>IFERROR(BH205/BF205,0)</f>
        <v>0.24</v>
      </c>
      <c r="BC205" s="620">
        <f>IFERROR((BH205+BL205)/(BF205+BL205),0)</f>
        <v>0.30909090909090908</v>
      </c>
      <c r="BD205" s="621">
        <f>IFERROR(((BH205-BI205-BJ205-BK205)+(BI205*2)+(BJ205*3)+(BK205*4))/BF205,0)</f>
        <v>0.35</v>
      </c>
      <c r="BE205" s="622"/>
      <c r="BF205" s="623">
        <f t="shared" ref="BF205:BO205" si="19">SUM(BF191:BF204)</f>
        <v>100</v>
      </c>
      <c r="BG205" s="623">
        <f t="shared" si="19"/>
        <v>10</v>
      </c>
      <c r="BH205" s="623">
        <f t="shared" si="19"/>
        <v>24</v>
      </c>
      <c r="BI205" s="623">
        <f t="shared" si="19"/>
        <v>5</v>
      </c>
      <c r="BJ205" s="623">
        <f t="shared" si="19"/>
        <v>0</v>
      </c>
      <c r="BK205" s="623">
        <f t="shared" si="19"/>
        <v>2</v>
      </c>
      <c r="BL205" s="623">
        <f t="shared" si="19"/>
        <v>10</v>
      </c>
      <c r="BM205" s="623">
        <f t="shared" si="19"/>
        <v>11</v>
      </c>
      <c r="BN205" s="624">
        <f t="shared" si="19"/>
        <v>30</v>
      </c>
      <c r="BO205" s="623">
        <f t="shared" si="19"/>
        <v>1</v>
      </c>
      <c r="BP205" s="622"/>
      <c r="BQ205" s="625"/>
      <c r="BR205" s="623">
        <f t="shared" ref="BR205" si="20">IFERROR((BH205-BI205-BJ205-BK205)+(BI205*2)+(BJ205*3)+(BK205*4),0)</f>
        <v>35</v>
      </c>
      <c r="BS205" s="620">
        <f>IFERROR(BC205+BD205,0)</f>
        <v>0.65909090909090906</v>
      </c>
      <c r="BT205" s="625">
        <f>SUBTOTAL(109,NYY_H14[*])</f>
        <v>1</v>
      </c>
      <c r="BU205" s="626"/>
    </row>
    <row r="206" spans="1:73" ht="17" thickBot="1"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</row>
    <row r="207" spans="1:73" s="64" customFormat="1" ht="17" thickBot="1">
      <c r="A207" s="605" t="s">
        <v>143</v>
      </c>
      <c r="B207" s="606" t="s">
        <v>144</v>
      </c>
      <c r="C207" s="606" t="s">
        <v>145</v>
      </c>
      <c r="D207" s="606" t="s">
        <v>196</v>
      </c>
      <c r="E207" s="606" t="s">
        <v>197</v>
      </c>
      <c r="F207" s="606" t="s">
        <v>198</v>
      </c>
      <c r="G207" s="606" t="s">
        <v>149</v>
      </c>
      <c r="H207" s="606" t="s">
        <v>199</v>
      </c>
      <c r="I207" s="606" t="s">
        <v>152</v>
      </c>
      <c r="J207" s="606" t="s">
        <v>151</v>
      </c>
      <c r="K207" s="606" t="s">
        <v>157</v>
      </c>
      <c r="L207" s="606" t="s">
        <v>158</v>
      </c>
      <c r="M207" s="606" t="s">
        <v>200</v>
      </c>
      <c r="N207" s="606" t="s">
        <v>201</v>
      </c>
      <c r="O207" s="606" t="s">
        <v>202</v>
      </c>
      <c r="P207" s="606" t="s">
        <v>203</v>
      </c>
      <c r="Q207" s="606" t="s">
        <v>204</v>
      </c>
      <c r="R207" s="606" t="s">
        <v>205</v>
      </c>
      <c r="S207" s="607" t="s">
        <v>164</v>
      </c>
      <c r="Z207" s="605" t="s">
        <v>143</v>
      </c>
      <c r="AA207" s="606" t="s">
        <v>144</v>
      </c>
      <c r="AB207" s="606" t="s">
        <v>145</v>
      </c>
      <c r="AC207" s="606" t="s">
        <v>196</v>
      </c>
      <c r="AD207" s="606" t="s">
        <v>197</v>
      </c>
      <c r="AE207" s="606" t="s">
        <v>198</v>
      </c>
      <c r="AF207" s="606" t="s">
        <v>149</v>
      </c>
      <c r="AG207" s="606" t="s">
        <v>199</v>
      </c>
      <c r="AH207" s="606" t="s">
        <v>152</v>
      </c>
      <c r="AI207" s="606" t="s">
        <v>151</v>
      </c>
      <c r="AJ207" s="606" t="s">
        <v>157</v>
      </c>
      <c r="AK207" s="606" t="s">
        <v>158</v>
      </c>
      <c r="AL207" s="606" t="s">
        <v>200</v>
      </c>
      <c r="AM207" s="606" t="s">
        <v>201</v>
      </c>
      <c r="AN207" s="606" t="s">
        <v>202</v>
      </c>
      <c r="AO207" s="606" t="s">
        <v>203</v>
      </c>
      <c r="AP207" s="606" t="s">
        <v>204</v>
      </c>
      <c r="AQ207" s="606" t="s">
        <v>205</v>
      </c>
      <c r="AR207" s="607" t="s">
        <v>164</v>
      </c>
      <c r="AS207"/>
      <c r="AT207"/>
      <c r="AU207"/>
      <c r="AV207"/>
      <c r="AY207" s="605" t="s">
        <v>143</v>
      </c>
      <c r="AZ207" s="606" t="s">
        <v>144</v>
      </c>
      <c r="BA207" s="606" t="s">
        <v>145</v>
      </c>
      <c r="BB207" s="606" t="s">
        <v>196</v>
      </c>
      <c r="BC207" s="606" t="s">
        <v>197</v>
      </c>
      <c r="BD207" s="606" t="s">
        <v>198</v>
      </c>
      <c r="BE207" s="606" t="s">
        <v>149</v>
      </c>
      <c r="BF207" s="606" t="s">
        <v>199</v>
      </c>
      <c r="BG207" s="606" t="s">
        <v>152</v>
      </c>
      <c r="BH207" s="606" t="s">
        <v>151</v>
      </c>
      <c r="BI207" s="606" t="s">
        <v>157</v>
      </c>
      <c r="BJ207" s="606" t="s">
        <v>158</v>
      </c>
      <c r="BK207" s="606" t="s">
        <v>200</v>
      </c>
      <c r="BL207" s="606" t="s">
        <v>201</v>
      </c>
      <c r="BM207" s="606" t="s">
        <v>202</v>
      </c>
      <c r="BN207" s="606" t="s">
        <v>203</v>
      </c>
      <c r="BO207" s="606" t="s">
        <v>204</v>
      </c>
      <c r="BP207" s="606" t="s">
        <v>205</v>
      </c>
      <c r="BQ207" s="607" t="s">
        <v>164</v>
      </c>
      <c r="BR207" s="108"/>
      <c r="BS207" s="108"/>
      <c r="BT207" s="108"/>
      <c r="BU207" s="108"/>
    </row>
    <row r="208" spans="1:73">
      <c r="A208" s="650" t="s">
        <v>226</v>
      </c>
      <c r="B208" s="597" t="s">
        <v>206</v>
      </c>
      <c r="C208" s="597" t="s">
        <v>249</v>
      </c>
      <c r="D208" s="663">
        <f>IFERROR(((BOS_P48[[#This Row],[R]]*9)/BOS_P48[[#This Row],[IP]]),0)</f>
        <v>2.5714285714285716</v>
      </c>
      <c r="E208" s="600">
        <v>0</v>
      </c>
      <c r="F208" s="604">
        <v>1</v>
      </c>
      <c r="G208" s="600">
        <v>1</v>
      </c>
      <c r="H208" s="630">
        <v>7</v>
      </c>
      <c r="I208" s="600">
        <v>7</v>
      </c>
      <c r="J208" s="600">
        <v>2</v>
      </c>
      <c r="K208" s="600">
        <v>3</v>
      </c>
      <c r="L208" s="600">
        <v>9</v>
      </c>
      <c r="M208" s="600">
        <v>0</v>
      </c>
      <c r="N208" s="631">
        <f>IFERROR((BOS_P48[[#This Row],[BB]]+BOS_P48[[#This Row],[H]])/BOS_P48[[#This Row],[IP]],0)</f>
        <v>1.4285714285714286</v>
      </c>
      <c r="O208" s="600">
        <v>1</v>
      </c>
      <c r="P208" s="601">
        <v>1</v>
      </c>
      <c r="Q208" s="600">
        <v>0</v>
      </c>
      <c r="R208" s="604">
        <v>0</v>
      </c>
      <c r="S208" s="614">
        <v>1</v>
      </c>
      <c r="Z208" s="650" t="s">
        <v>226</v>
      </c>
      <c r="AA208" s="597" t="s">
        <v>206</v>
      </c>
      <c r="AB208" s="597" t="s">
        <v>249</v>
      </c>
      <c r="AC208" s="663">
        <f>IFERROR(((BOS_P22[[#This Row],[R]]*9)/BOS_P22[[#This Row],[IP]]),0)</f>
        <v>5.0150021431633096</v>
      </c>
      <c r="AD208" s="600">
        <v>2</v>
      </c>
      <c r="AE208" s="604">
        <v>2</v>
      </c>
      <c r="AF208" s="600">
        <v>4</v>
      </c>
      <c r="AG208" s="630">
        <v>23.33</v>
      </c>
      <c r="AH208" s="600">
        <v>25</v>
      </c>
      <c r="AI208" s="600">
        <v>13</v>
      </c>
      <c r="AJ208" s="627">
        <v>15</v>
      </c>
      <c r="AK208" s="627">
        <v>40</v>
      </c>
      <c r="AL208" s="600">
        <v>0</v>
      </c>
      <c r="AM208" s="631">
        <f>IFERROR((BOS_P22[[#This Row],[BB]]+BOS_P22[[#This Row],[H]])/BOS_P22[[#This Row],[IP]],0)</f>
        <v>1.7145306472353194</v>
      </c>
      <c r="AN208" s="600">
        <v>2</v>
      </c>
      <c r="AO208" s="601">
        <v>1</v>
      </c>
      <c r="AP208" s="600">
        <v>0</v>
      </c>
      <c r="AQ208" s="604">
        <v>0</v>
      </c>
      <c r="AR208" s="614">
        <v>1</v>
      </c>
      <c r="AS208"/>
      <c r="AT208"/>
      <c r="AU208"/>
      <c r="AV208"/>
      <c r="AY208" s="711" t="s">
        <v>165</v>
      </c>
      <c r="AZ208" s="600" t="s">
        <v>206</v>
      </c>
      <c r="BA208" s="600" t="s">
        <v>207</v>
      </c>
      <c r="BB208" s="663">
        <f>IFERROR((NYY_P15[[#This Row],[R]]*9)/NYY_P15[[#This Row],[IP]],0)</f>
        <v>3.5202086049543677</v>
      </c>
      <c r="BC208" s="673">
        <v>0</v>
      </c>
      <c r="BD208" s="604">
        <v>0</v>
      </c>
      <c r="BE208" s="600">
        <v>1</v>
      </c>
      <c r="BF208" s="630">
        <v>7.67</v>
      </c>
      <c r="BG208" s="601">
        <v>5</v>
      </c>
      <c r="BH208" s="601">
        <v>3</v>
      </c>
      <c r="BI208" s="601">
        <v>2</v>
      </c>
      <c r="BJ208" s="601">
        <v>12</v>
      </c>
      <c r="BK208" s="600">
        <v>0</v>
      </c>
      <c r="BL208" s="631">
        <f>IFERROR((NYY_P15[[#This Row],[BB]]+NYY_P15[[#This Row],[H]])/NYY_P15[[#This Row],[IP]],0)</f>
        <v>0.91264667535853983</v>
      </c>
      <c r="BM208" s="600">
        <v>1</v>
      </c>
      <c r="BN208" s="601">
        <v>0</v>
      </c>
      <c r="BO208" s="600">
        <v>0</v>
      </c>
      <c r="BP208" s="604">
        <v>0</v>
      </c>
      <c r="BQ208" s="614">
        <v>1</v>
      </c>
      <c r="BR208"/>
      <c r="BS208"/>
      <c r="BT208"/>
      <c r="BU208"/>
    </row>
    <row r="209" spans="1:73">
      <c r="A209" s="651" t="s">
        <v>226</v>
      </c>
      <c r="B209" s="71" t="s">
        <v>206</v>
      </c>
      <c r="C209" s="87" t="s">
        <v>250</v>
      </c>
      <c r="D209" s="88">
        <f>IFERROR(((BOS_P48[[#This Row],[R]]*9)/BOS_P48[[#This Row],[IP]]),0)</f>
        <v>1.125</v>
      </c>
      <c r="E209" s="28">
        <v>0</v>
      </c>
      <c r="F209" s="74">
        <v>0</v>
      </c>
      <c r="G209" s="28">
        <v>1</v>
      </c>
      <c r="H209" s="584">
        <v>8</v>
      </c>
      <c r="I209" s="28">
        <v>4</v>
      </c>
      <c r="J209" s="28">
        <v>1</v>
      </c>
      <c r="K209" s="28">
        <v>2</v>
      </c>
      <c r="L209" s="28">
        <v>5</v>
      </c>
      <c r="M209" s="28">
        <v>0</v>
      </c>
      <c r="N209" s="89">
        <f>IFERROR((BOS_P48[[#This Row],[BB]]+BOS_P48[[#This Row],[H]])/BOS_P48[[#This Row],[IP]],0)</f>
        <v>0.75</v>
      </c>
      <c r="O209" s="28">
        <v>1</v>
      </c>
      <c r="P209" s="90">
        <v>1</v>
      </c>
      <c r="Q209" s="28">
        <v>0</v>
      </c>
      <c r="R209" s="74">
        <v>0</v>
      </c>
      <c r="S209" s="615">
        <v>2</v>
      </c>
      <c r="Z209" s="651" t="s">
        <v>226</v>
      </c>
      <c r="AA209" s="71" t="s">
        <v>206</v>
      </c>
      <c r="AB209" s="87" t="s">
        <v>250</v>
      </c>
      <c r="AC209" s="88">
        <f>IFERROR(((BOS_P22[[#This Row],[R]]*9)/BOS_P22[[#This Row],[IP]]),0)</f>
        <v>6.9545454545454541</v>
      </c>
      <c r="AD209" s="28">
        <v>1</v>
      </c>
      <c r="AE209" s="104">
        <v>3</v>
      </c>
      <c r="AF209" s="28">
        <v>4</v>
      </c>
      <c r="AG209" s="584">
        <v>22</v>
      </c>
      <c r="AH209" s="28">
        <v>29</v>
      </c>
      <c r="AI209" s="76">
        <v>17</v>
      </c>
      <c r="AJ209" s="28">
        <v>4</v>
      </c>
      <c r="AK209" s="28">
        <v>21</v>
      </c>
      <c r="AL209" s="28">
        <v>0</v>
      </c>
      <c r="AM209" s="89">
        <f>IFERROR((BOS_P22[[#This Row],[BB]]+BOS_P22[[#This Row],[H]])/BOS_P22[[#This Row],[IP]],0)</f>
        <v>1.5</v>
      </c>
      <c r="AN209" s="28">
        <v>2</v>
      </c>
      <c r="AO209" s="90">
        <v>0</v>
      </c>
      <c r="AP209" s="28">
        <v>0</v>
      </c>
      <c r="AQ209" s="74">
        <v>0</v>
      </c>
      <c r="AR209" s="615">
        <v>2</v>
      </c>
      <c r="AS209"/>
      <c r="AT209"/>
      <c r="AU209"/>
      <c r="AV209"/>
      <c r="AY209" s="712" t="s">
        <v>165</v>
      </c>
      <c r="AZ209" s="28" t="s">
        <v>206</v>
      </c>
      <c r="BA209" s="28" t="s">
        <v>209</v>
      </c>
      <c r="BB209" s="88">
        <f>IFERROR((NYY_P15[[#This Row],[R]]*9)/NYY_P15[[#This Row],[IP]],0)</f>
        <v>1.5</v>
      </c>
      <c r="BC209" s="77">
        <v>1</v>
      </c>
      <c r="BD209" s="74">
        <v>0</v>
      </c>
      <c r="BE209" s="28">
        <v>1</v>
      </c>
      <c r="BF209" s="584">
        <v>6</v>
      </c>
      <c r="BG209" s="90">
        <v>5</v>
      </c>
      <c r="BH209" s="90">
        <v>1</v>
      </c>
      <c r="BI209" s="90">
        <v>5</v>
      </c>
      <c r="BJ209" s="90">
        <v>3</v>
      </c>
      <c r="BK209" s="28">
        <v>0</v>
      </c>
      <c r="BL209" s="89">
        <f>IFERROR((NYY_P15[[#This Row],[BB]]+NYY_P15[[#This Row],[H]])/NYY_P15[[#This Row],[IP]],0)</f>
        <v>1.6666666666666667</v>
      </c>
      <c r="BM209" s="28">
        <v>1</v>
      </c>
      <c r="BN209" s="90">
        <v>0</v>
      </c>
      <c r="BO209" s="28">
        <v>0</v>
      </c>
      <c r="BP209" s="74">
        <v>0</v>
      </c>
      <c r="BQ209" s="615">
        <v>2</v>
      </c>
      <c r="BR209"/>
      <c r="BS209"/>
      <c r="BT209"/>
      <c r="BU209"/>
    </row>
    <row r="210" spans="1:73">
      <c r="A210" s="651" t="s">
        <v>226</v>
      </c>
      <c r="B210" s="71" t="s">
        <v>206</v>
      </c>
      <c r="C210" s="87" t="s">
        <v>252</v>
      </c>
      <c r="D210" s="88">
        <f>IFERROR(((BOS_P48[[#This Row],[R]]*9)/BOS_P48[[#This Row],[IP]]),0)</f>
        <v>0</v>
      </c>
      <c r="E210" s="28">
        <v>0</v>
      </c>
      <c r="F210" s="74">
        <v>0</v>
      </c>
      <c r="G210" s="28">
        <v>0</v>
      </c>
      <c r="H210" s="584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89">
        <f>IFERROR((BOS_P48[[#This Row],[BB]]+BOS_P48[[#This Row],[H]])/BOS_P48[[#This Row],[IP]],0)</f>
        <v>0</v>
      </c>
      <c r="O210" s="28">
        <v>0</v>
      </c>
      <c r="P210" s="90">
        <v>0</v>
      </c>
      <c r="Q210" s="28">
        <v>0</v>
      </c>
      <c r="R210" s="74">
        <v>0</v>
      </c>
      <c r="S210" s="615">
        <v>3</v>
      </c>
      <c r="Z210" s="651" t="s">
        <v>226</v>
      </c>
      <c r="AA210" s="71" t="s">
        <v>206</v>
      </c>
      <c r="AB210" s="87" t="s">
        <v>252</v>
      </c>
      <c r="AC210" s="88">
        <f>IFERROR(((BOS_P22[[#This Row],[R]]*9)/BOS_P22[[#This Row],[IP]]),0)</f>
        <v>2.6470588235294117</v>
      </c>
      <c r="AD210" s="28">
        <v>1</v>
      </c>
      <c r="AE210" s="74">
        <v>0</v>
      </c>
      <c r="AF210" s="28">
        <v>3</v>
      </c>
      <c r="AG210" s="584">
        <v>17</v>
      </c>
      <c r="AH210" s="28">
        <v>8</v>
      </c>
      <c r="AI210" s="28">
        <v>5</v>
      </c>
      <c r="AJ210" s="28">
        <v>6</v>
      </c>
      <c r="AK210" s="28">
        <v>30</v>
      </c>
      <c r="AL210" s="28">
        <v>0</v>
      </c>
      <c r="AM210" s="89">
        <f>IFERROR((BOS_P22[[#This Row],[BB]]+BOS_P22[[#This Row],[H]])/BOS_P22[[#This Row],[IP]],0)</f>
        <v>0.82352941176470584</v>
      </c>
      <c r="AN210" s="28">
        <v>1</v>
      </c>
      <c r="AO210" s="90">
        <v>1</v>
      </c>
      <c r="AP210" s="28">
        <v>0</v>
      </c>
      <c r="AQ210" s="74">
        <v>0</v>
      </c>
      <c r="AR210" s="615">
        <v>3</v>
      </c>
      <c r="AS210"/>
      <c r="AT210"/>
      <c r="AU210"/>
      <c r="AV210"/>
      <c r="AY210" s="712" t="s">
        <v>165</v>
      </c>
      <c r="AZ210" s="28" t="s">
        <v>206</v>
      </c>
      <c r="BA210" s="28" t="s">
        <v>211</v>
      </c>
      <c r="BB210" s="88">
        <f>IFERROR((NYY_P15[[#This Row],[R]]*9)/NYY_P15[[#This Row],[IP]],0)</f>
        <v>6.7542213883677293</v>
      </c>
      <c r="BC210" s="77">
        <v>0</v>
      </c>
      <c r="BD210" s="74">
        <v>1</v>
      </c>
      <c r="BE210" s="28">
        <v>1</v>
      </c>
      <c r="BF210" s="584">
        <v>5.33</v>
      </c>
      <c r="BG210" s="90">
        <v>6</v>
      </c>
      <c r="BH210" s="90">
        <v>4</v>
      </c>
      <c r="BI210" s="90">
        <v>2</v>
      </c>
      <c r="BJ210" s="90">
        <v>4</v>
      </c>
      <c r="BK210" s="28">
        <v>0</v>
      </c>
      <c r="BL210" s="89">
        <f>IFERROR((NYY_P15[[#This Row],[BB]]+NYY_P15[[#This Row],[H]])/NYY_P15[[#This Row],[IP]],0)</f>
        <v>1.5009380863039399</v>
      </c>
      <c r="BM210" s="28">
        <v>0</v>
      </c>
      <c r="BN210" s="90">
        <v>0</v>
      </c>
      <c r="BO210" s="28">
        <v>0</v>
      </c>
      <c r="BP210" s="74">
        <v>0</v>
      </c>
      <c r="BQ210" s="615">
        <v>3</v>
      </c>
      <c r="BR210"/>
      <c r="BS210"/>
      <c r="BT210"/>
      <c r="BU210"/>
    </row>
    <row r="211" spans="1:73">
      <c r="A211" s="651" t="s">
        <v>226</v>
      </c>
      <c r="B211" s="71" t="s">
        <v>206</v>
      </c>
      <c r="C211" s="87" t="s">
        <v>253</v>
      </c>
      <c r="D211" s="88">
        <f>IFERROR(((BOS_P48[[#This Row],[R]]*9)/BOS_P48[[#This Row],[IP]]),0)</f>
        <v>0</v>
      </c>
      <c r="E211" s="28">
        <v>0</v>
      </c>
      <c r="F211" s="74">
        <v>0</v>
      </c>
      <c r="G211" s="28">
        <v>0</v>
      </c>
      <c r="H211" s="584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89">
        <f>IFERROR((BOS_P48[[#This Row],[BB]]+BOS_P48[[#This Row],[H]])/BOS_P48[[#This Row],[IP]],0)</f>
        <v>0</v>
      </c>
      <c r="O211" s="28">
        <v>0</v>
      </c>
      <c r="P211" s="90">
        <v>0</v>
      </c>
      <c r="Q211" s="28">
        <v>0</v>
      </c>
      <c r="R211" s="74">
        <v>0</v>
      </c>
      <c r="S211" s="615">
        <v>4</v>
      </c>
      <c r="Z211" s="651" t="s">
        <v>226</v>
      </c>
      <c r="AA211" s="71" t="s">
        <v>206</v>
      </c>
      <c r="AB211" s="87" t="s">
        <v>253</v>
      </c>
      <c r="AC211" s="88">
        <f>IFERROR(((BOS_P22[[#This Row],[R]]*9)/BOS_P22[[#This Row],[IP]]),0)</f>
        <v>3.2142857142857144</v>
      </c>
      <c r="AD211" s="28">
        <v>1</v>
      </c>
      <c r="AE211" s="74">
        <v>0</v>
      </c>
      <c r="AF211" s="28">
        <v>4</v>
      </c>
      <c r="AG211" s="584">
        <v>14</v>
      </c>
      <c r="AH211" s="28">
        <v>16</v>
      </c>
      <c r="AI211" s="28">
        <v>5</v>
      </c>
      <c r="AJ211" s="28">
        <v>3</v>
      </c>
      <c r="AK211" s="28">
        <v>15</v>
      </c>
      <c r="AL211" s="28">
        <v>0</v>
      </c>
      <c r="AM211" s="89">
        <f>IFERROR((BOS_P22[[#This Row],[BB]]+BOS_P22[[#This Row],[H]])/BOS_P22[[#This Row],[IP]],0)</f>
        <v>1.3571428571428572</v>
      </c>
      <c r="AN211" s="28">
        <v>1</v>
      </c>
      <c r="AO211" s="90">
        <v>0</v>
      </c>
      <c r="AP211" s="28">
        <v>0</v>
      </c>
      <c r="AQ211" s="74">
        <v>0</v>
      </c>
      <c r="AR211" s="615">
        <v>4</v>
      </c>
      <c r="AS211"/>
      <c r="AT211"/>
      <c r="AU211"/>
      <c r="AV211"/>
      <c r="AY211" s="712" t="s">
        <v>165</v>
      </c>
      <c r="AZ211" s="28" t="s">
        <v>206</v>
      </c>
      <c r="BA211" s="28" t="s">
        <v>210</v>
      </c>
      <c r="BB211" s="88">
        <f>IFERROR((NYY_P15[[#This Row],[R]]*9)/NYY_P15[[#This Row],[IP]],0)</f>
        <v>0</v>
      </c>
      <c r="BC211" s="77">
        <v>0</v>
      </c>
      <c r="BD211" s="74">
        <v>0</v>
      </c>
      <c r="BE211" s="28">
        <v>1</v>
      </c>
      <c r="BF211" s="584">
        <v>1.67</v>
      </c>
      <c r="BG211" s="90">
        <v>1</v>
      </c>
      <c r="BH211" s="90">
        <v>0</v>
      </c>
      <c r="BI211" s="90">
        <v>0</v>
      </c>
      <c r="BJ211" s="90">
        <v>2</v>
      </c>
      <c r="BK211" s="28">
        <v>0</v>
      </c>
      <c r="BL211" s="89">
        <f>IFERROR((NYY_P15[[#This Row],[BB]]+NYY_P15[[#This Row],[H]])/NYY_P15[[#This Row],[IP]],0)</f>
        <v>0.5988023952095809</v>
      </c>
      <c r="BM211" s="28">
        <v>0</v>
      </c>
      <c r="BN211" s="90">
        <v>0</v>
      </c>
      <c r="BO211" s="28">
        <v>0</v>
      </c>
      <c r="BP211" s="74">
        <v>0</v>
      </c>
      <c r="BQ211" s="615">
        <v>4</v>
      </c>
      <c r="BR211"/>
      <c r="BS211"/>
      <c r="BT211"/>
      <c r="BU211"/>
    </row>
    <row r="212" spans="1:73">
      <c r="A212" s="651" t="s">
        <v>226</v>
      </c>
      <c r="B212" s="71" t="s">
        <v>212</v>
      </c>
      <c r="C212" s="87" t="s">
        <v>254</v>
      </c>
      <c r="D212" s="88">
        <f>IFERROR(((BOS_P48[[#This Row],[R]]*9)/BOS_P48[[#This Row],[IP]]),0)</f>
        <v>0</v>
      </c>
      <c r="E212" s="28">
        <v>0</v>
      </c>
      <c r="F212" s="74">
        <v>0</v>
      </c>
      <c r="G212" s="28">
        <v>0</v>
      </c>
      <c r="H212" s="584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89">
        <f>IFERROR((BOS_P48[[#This Row],[BB]]+BOS_P48[[#This Row],[H]])/BOS_P48[[#This Row],[IP]],0)</f>
        <v>0</v>
      </c>
      <c r="O212" s="28">
        <v>0</v>
      </c>
      <c r="P212" s="90">
        <v>0</v>
      </c>
      <c r="Q212" s="28">
        <v>0</v>
      </c>
      <c r="R212" s="74">
        <v>0</v>
      </c>
      <c r="S212" s="615">
        <v>5</v>
      </c>
      <c r="Z212" s="651" t="s">
        <v>226</v>
      </c>
      <c r="AA212" s="71" t="s">
        <v>212</v>
      </c>
      <c r="AB212" s="87" t="s">
        <v>254</v>
      </c>
      <c r="AC212" s="88">
        <f>IFERROR(((BOS_P22[[#This Row],[R]]*9)/BOS_P22[[#This Row],[IP]]),0)</f>
        <v>0</v>
      </c>
      <c r="AD212" s="28">
        <v>0</v>
      </c>
      <c r="AE212" s="74">
        <v>0</v>
      </c>
      <c r="AF212" s="28">
        <v>0</v>
      </c>
      <c r="AG212" s="584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89">
        <f>IFERROR((BOS_P22[[#This Row],[BB]]+BOS_P22[[#This Row],[H]])/BOS_P22[[#This Row],[IP]],0)</f>
        <v>0</v>
      </c>
      <c r="AN212" s="28">
        <v>0</v>
      </c>
      <c r="AO212" s="90">
        <v>0</v>
      </c>
      <c r="AP212" s="28">
        <v>0</v>
      </c>
      <c r="AQ212" s="74">
        <v>0</v>
      </c>
      <c r="AR212" s="615">
        <v>5</v>
      </c>
      <c r="AS212"/>
      <c r="AT212"/>
      <c r="AU212"/>
      <c r="AV212"/>
      <c r="AY212" s="712" t="s">
        <v>165</v>
      </c>
      <c r="AZ212" s="28" t="s">
        <v>212</v>
      </c>
      <c r="BA212" s="28" t="s">
        <v>208</v>
      </c>
      <c r="BB212" s="88">
        <f>IFERROR((NYY_P15[[#This Row],[R]]*9)/NYY_P15[[#This Row],[IP]],0)</f>
        <v>0</v>
      </c>
      <c r="BC212" s="77">
        <v>0</v>
      </c>
      <c r="BD212" s="74">
        <v>0</v>
      </c>
      <c r="BE212" s="28">
        <v>0</v>
      </c>
      <c r="BF212" s="584">
        <v>0</v>
      </c>
      <c r="BG212" s="90">
        <v>0</v>
      </c>
      <c r="BH212" s="90">
        <v>0</v>
      </c>
      <c r="BI212" s="90">
        <v>0</v>
      </c>
      <c r="BJ212" s="90">
        <v>0</v>
      </c>
      <c r="BK212" s="28">
        <v>0</v>
      </c>
      <c r="BL212" s="89">
        <f>IFERROR((NYY_P15[[#This Row],[BB]]+NYY_P15[[#This Row],[H]])/NYY_P15[[#This Row],[IP]],0)</f>
        <v>0</v>
      </c>
      <c r="BM212" s="28">
        <v>0</v>
      </c>
      <c r="BN212" s="90">
        <v>0</v>
      </c>
      <c r="BO212" s="28">
        <v>0</v>
      </c>
      <c r="BP212" s="74">
        <v>0</v>
      </c>
      <c r="BQ212" s="615">
        <v>5</v>
      </c>
      <c r="BR212"/>
      <c r="BS212"/>
      <c r="BT212"/>
      <c r="BU212"/>
    </row>
    <row r="213" spans="1:73">
      <c r="A213" s="651" t="s">
        <v>226</v>
      </c>
      <c r="B213" s="71" t="s">
        <v>215</v>
      </c>
      <c r="C213" s="87" t="s">
        <v>255</v>
      </c>
      <c r="D213" s="88">
        <f>IFERROR(((BOS_P48[[#This Row],[R]]*9)/BOS_P48[[#This Row],[IP]]),0)</f>
        <v>0</v>
      </c>
      <c r="E213" s="28">
        <v>0</v>
      </c>
      <c r="F213" s="74">
        <v>0</v>
      </c>
      <c r="G213" s="28">
        <v>0</v>
      </c>
      <c r="H213" s="584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89">
        <f>IFERROR((BOS_P48[[#This Row],[BB]]+BOS_P48[[#This Row],[H]])/BOS_P48[[#This Row],[IP]],0)</f>
        <v>0</v>
      </c>
      <c r="O213" s="28">
        <v>0</v>
      </c>
      <c r="P213" s="90">
        <v>0</v>
      </c>
      <c r="Q213" s="28">
        <v>0</v>
      </c>
      <c r="R213" s="74">
        <v>0</v>
      </c>
      <c r="S213" s="615">
        <v>6</v>
      </c>
      <c r="Z213" s="651" t="s">
        <v>226</v>
      </c>
      <c r="AA213" s="71" t="s">
        <v>215</v>
      </c>
      <c r="AB213" s="87" t="s">
        <v>256</v>
      </c>
      <c r="AC213" s="88">
        <f>IFERROR(((BOS_P22[[#This Row],[R]]*9)/BOS_P22[[#This Row],[IP]]),0)</f>
        <v>0</v>
      </c>
      <c r="AD213" s="28">
        <v>0</v>
      </c>
      <c r="AE213" s="74">
        <v>0</v>
      </c>
      <c r="AF213" s="28">
        <v>0</v>
      </c>
      <c r="AG213" s="584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89">
        <f>IFERROR((BOS_P22[[#This Row],[BB]]+BOS_P22[[#This Row],[H]])/BOS_P22[[#This Row],[IP]],0)</f>
        <v>0</v>
      </c>
      <c r="AN213" s="28">
        <v>0</v>
      </c>
      <c r="AO213" s="90">
        <v>0</v>
      </c>
      <c r="AP213" s="28">
        <v>0</v>
      </c>
      <c r="AQ213" s="74">
        <v>0</v>
      </c>
      <c r="AR213" s="615">
        <v>6</v>
      </c>
      <c r="AS213"/>
      <c r="AT213"/>
      <c r="AU213"/>
      <c r="AV213"/>
      <c r="AY213" s="712" t="s">
        <v>165</v>
      </c>
      <c r="AZ213" s="28" t="s">
        <v>215</v>
      </c>
      <c r="BA213" s="28" t="s">
        <v>213</v>
      </c>
      <c r="BB213" s="88">
        <f>IFERROR((NYY_P15[[#This Row],[R]]*9)/NYY_P15[[#This Row],[IP]],0)</f>
        <v>0</v>
      </c>
      <c r="BC213" s="77">
        <v>0</v>
      </c>
      <c r="BD213" s="74">
        <v>0</v>
      </c>
      <c r="BE213" s="28">
        <v>0</v>
      </c>
      <c r="BF213" s="584">
        <v>0</v>
      </c>
      <c r="BG213" s="90">
        <v>0</v>
      </c>
      <c r="BH213" s="90">
        <v>0</v>
      </c>
      <c r="BI213" s="90">
        <v>0</v>
      </c>
      <c r="BJ213" s="90">
        <v>0</v>
      </c>
      <c r="BK213" s="28">
        <v>0</v>
      </c>
      <c r="BL213" s="89">
        <f>IFERROR((NYY_P15[[#This Row],[BB]]+NYY_P15[[#This Row],[H]])/NYY_P15[[#This Row],[IP]],0)</f>
        <v>0</v>
      </c>
      <c r="BM213" s="28">
        <v>0</v>
      </c>
      <c r="BN213" s="90">
        <v>0</v>
      </c>
      <c r="BO213" s="28">
        <v>0</v>
      </c>
      <c r="BP213" s="74">
        <v>0</v>
      </c>
      <c r="BQ213" s="615">
        <v>6</v>
      </c>
      <c r="BR213"/>
      <c r="BS213"/>
      <c r="BT213"/>
      <c r="BU213"/>
    </row>
    <row r="214" spans="1:73">
      <c r="A214" s="651" t="s">
        <v>226</v>
      </c>
      <c r="B214" s="71" t="s">
        <v>215</v>
      </c>
      <c r="C214" s="87" t="s">
        <v>258</v>
      </c>
      <c r="D214" s="88">
        <f>IFERROR(((BOS_P48[[#This Row],[R]]*9)/BOS_P48[[#This Row],[IP]]),0)</f>
        <v>0</v>
      </c>
      <c r="E214" s="28">
        <v>0</v>
      </c>
      <c r="F214" s="74">
        <v>0</v>
      </c>
      <c r="G214" s="28">
        <v>0</v>
      </c>
      <c r="H214" s="584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89">
        <f>IFERROR((BOS_P48[[#This Row],[BB]]+BOS_P48[[#This Row],[H]])/BOS_P48[[#This Row],[IP]],0)</f>
        <v>0</v>
      </c>
      <c r="O214" s="28">
        <v>0</v>
      </c>
      <c r="P214" s="90">
        <v>0</v>
      </c>
      <c r="Q214" s="28">
        <v>0</v>
      </c>
      <c r="R214" s="74">
        <v>0</v>
      </c>
      <c r="S214" s="615">
        <v>7</v>
      </c>
      <c r="Z214" s="651" t="s">
        <v>226</v>
      </c>
      <c r="AA214" s="71" t="s">
        <v>212</v>
      </c>
      <c r="AB214" s="87" t="s">
        <v>260</v>
      </c>
      <c r="AC214" s="88">
        <f>IFERROR(((BOS_P22[[#This Row],[R]]*9)/BOS_P22[[#This Row],[IP]]),0)</f>
        <v>3.1746031746031744</v>
      </c>
      <c r="AD214" s="28">
        <v>1</v>
      </c>
      <c r="AE214" s="74">
        <v>0</v>
      </c>
      <c r="AF214" s="28">
        <v>4</v>
      </c>
      <c r="AG214" s="584">
        <v>5.67</v>
      </c>
      <c r="AH214" s="28">
        <v>6</v>
      </c>
      <c r="AI214" s="28">
        <v>2</v>
      </c>
      <c r="AJ214" s="28">
        <v>0</v>
      </c>
      <c r="AK214" s="28">
        <v>6</v>
      </c>
      <c r="AL214" s="28">
        <v>0</v>
      </c>
      <c r="AM214" s="89">
        <f>IFERROR((BOS_P22[[#This Row],[BB]]+BOS_P22[[#This Row],[H]])/BOS_P22[[#This Row],[IP]],0)</f>
        <v>1.0582010582010581</v>
      </c>
      <c r="AN214" s="28">
        <v>0</v>
      </c>
      <c r="AO214" s="90">
        <v>0</v>
      </c>
      <c r="AP214" s="28">
        <v>0</v>
      </c>
      <c r="AQ214" s="74">
        <v>0</v>
      </c>
      <c r="AR214" s="615">
        <v>7</v>
      </c>
      <c r="AS214"/>
      <c r="AT214"/>
      <c r="AU214"/>
      <c r="AV214"/>
      <c r="AY214" s="712" t="s">
        <v>165</v>
      </c>
      <c r="AZ214" s="28" t="s">
        <v>212</v>
      </c>
      <c r="BA214" s="28" t="s">
        <v>218</v>
      </c>
      <c r="BB214" s="88">
        <f>IFERROR((NYY_P15[[#This Row],[R]]*9)/NYY_P15[[#This Row],[IP]],0)</f>
        <v>0</v>
      </c>
      <c r="BC214" s="77">
        <v>0</v>
      </c>
      <c r="BD214" s="74">
        <v>0</v>
      </c>
      <c r="BE214" s="28">
        <v>0</v>
      </c>
      <c r="BF214" s="584">
        <v>0</v>
      </c>
      <c r="BG214" s="90">
        <v>0</v>
      </c>
      <c r="BH214" s="90">
        <v>0</v>
      </c>
      <c r="BI214" s="90">
        <v>0</v>
      </c>
      <c r="BJ214" s="90">
        <v>0</v>
      </c>
      <c r="BK214" s="28">
        <v>0</v>
      </c>
      <c r="BL214" s="89">
        <f>IFERROR((NYY_P15[[#This Row],[BB]]+NYY_P15[[#This Row],[H]])/NYY_P15[[#This Row],[IP]],0)</f>
        <v>0</v>
      </c>
      <c r="BM214" s="28">
        <v>0</v>
      </c>
      <c r="BN214" s="90">
        <v>0</v>
      </c>
      <c r="BO214" s="28">
        <v>0</v>
      </c>
      <c r="BP214" s="74">
        <v>0</v>
      </c>
      <c r="BQ214" s="615">
        <v>7</v>
      </c>
      <c r="BR214"/>
      <c r="BS214"/>
      <c r="BT214"/>
      <c r="BU214"/>
    </row>
    <row r="215" spans="1:73">
      <c r="A215" s="651" t="s">
        <v>226</v>
      </c>
      <c r="B215" s="71" t="s">
        <v>212</v>
      </c>
      <c r="C215" s="87" t="s">
        <v>259</v>
      </c>
      <c r="D215" s="1010" t="s">
        <v>2187</v>
      </c>
      <c r="E215" s="28">
        <v>0</v>
      </c>
      <c r="F215" s="74">
        <v>0</v>
      </c>
      <c r="G215" s="28">
        <v>1</v>
      </c>
      <c r="H215" s="584">
        <v>0</v>
      </c>
      <c r="I215" s="28">
        <v>2</v>
      </c>
      <c r="J215" s="28">
        <v>3</v>
      </c>
      <c r="K215" s="28">
        <v>1</v>
      </c>
      <c r="L215" s="28">
        <v>0</v>
      </c>
      <c r="M215" s="28">
        <v>0</v>
      </c>
      <c r="N215" s="1011" t="s">
        <v>2187</v>
      </c>
      <c r="O215" s="28">
        <v>0</v>
      </c>
      <c r="P215" s="90">
        <v>0</v>
      </c>
      <c r="Q215" s="28">
        <v>0</v>
      </c>
      <c r="R215" s="74">
        <v>0</v>
      </c>
      <c r="S215" s="615">
        <v>8</v>
      </c>
      <c r="Z215" s="651" t="s">
        <v>226</v>
      </c>
      <c r="AA215" s="71" t="s">
        <v>212</v>
      </c>
      <c r="AB215" s="87" t="s">
        <v>259</v>
      </c>
      <c r="AC215" s="88">
        <f>IFERROR(((BOS_P22[[#This Row],[R]]*9)/BOS_P22[[#This Row],[IP]]),0)</f>
        <v>0</v>
      </c>
      <c r="AD215" s="28">
        <v>0</v>
      </c>
      <c r="AE215" s="74">
        <v>0</v>
      </c>
      <c r="AF215" s="28">
        <v>0</v>
      </c>
      <c r="AG215" s="584">
        <v>0</v>
      </c>
      <c r="AH215" s="28">
        <v>0</v>
      </c>
      <c r="AI215" s="28">
        <v>0</v>
      </c>
      <c r="AJ215" s="28">
        <v>0</v>
      </c>
      <c r="AK215" s="28">
        <v>0</v>
      </c>
      <c r="AL215" s="28">
        <v>0</v>
      </c>
      <c r="AM215" s="89">
        <f>IFERROR((BOS_P22[[#This Row],[BB]]+BOS_P22[[#This Row],[H]])/BOS_P22[[#This Row],[IP]],0)</f>
        <v>0</v>
      </c>
      <c r="AN215" s="28">
        <v>0</v>
      </c>
      <c r="AO215" s="90">
        <v>0</v>
      </c>
      <c r="AP215" s="28">
        <v>0</v>
      </c>
      <c r="AQ215" s="74">
        <v>0</v>
      </c>
      <c r="AR215" s="615">
        <v>8</v>
      </c>
      <c r="AS215"/>
      <c r="AT215"/>
      <c r="AU215"/>
      <c r="AV215"/>
      <c r="AY215" s="712" t="s">
        <v>165</v>
      </c>
      <c r="AZ215" s="28" t="s">
        <v>212</v>
      </c>
      <c r="BA215" s="28" t="s">
        <v>219</v>
      </c>
      <c r="BB215" s="88">
        <f>IFERROR((NYY_P15[[#This Row],[R]]*9)/NYY_P15[[#This Row],[IP]],0)</f>
        <v>0</v>
      </c>
      <c r="BC215" s="77">
        <v>0</v>
      </c>
      <c r="BD215" s="74">
        <v>0</v>
      </c>
      <c r="BE215" s="28">
        <v>1</v>
      </c>
      <c r="BF215" s="584">
        <v>1</v>
      </c>
      <c r="BG215" s="90">
        <v>1</v>
      </c>
      <c r="BH215" s="90">
        <v>0</v>
      </c>
      <c r="BI215" s="90">
        <v>0</v>
      </c>
      <c r="BJ215" s="90">
        <v>1</v>
      </c>
      <c r="BK215" s="28">
        <v>0</v>
      </c>
      <c r="BL215" s="89">
        <f>IFERROR((NYY_P15[[#This Row],[BB]]+NYY_P15[[#This Row],[H]])/NYY_P15[[#This Row],[IP]],0)</f>
        <v>1</v>
      </c>
      <c r="BM215" s="28">
        <v>0</v>
      </c>
      <c r="BN215" s="90">
        <v>0</v>
      </c>
      <c r="BO215" s="28">
        <v>0</v>
      </c>
      <c r="BP215" s="74">
        <v>0</v>
      </c>
      <c r="BQ215" s="615">
        <v>8</v>
      </c>
      <c r="BR215"/>
      <c r="BS215"/>
      <c r="BT215"/>
      <c r="BU215"/>
    </row>
    <row r="216" spans="1:73">
      <c r="A216" s="651" t="s">
        <v>226</v>
      </c>
      <c r="B216" s="71" t="s">
        <v>212</v>
      </c>
      <c r="C216" s="87" t="s">
        <v>261</v>
      </c>
      <c r="D216" s="88">
        <f>IFERROR(((BOS_P48[[#This Row],[R]]*9)/BOS_P48[[#This Row],[IP]]),0)</f>
        <v>0</v>
      </c>
      <c r="E216" s="28">
        <v>0</v>
      </c>
      <c r="F216" s="74">
        <v>0</v>
      </c>
      <c r="G216" s="28">
        <v>1</v>
      </c>
      <c r="H216" s="584">
        <v>1</v>
      </c>
      <c r="I216" s="28">
        <v>0</v>
      </c>
      <c r="J216" s="28">
        <v>0</v>
      </c>
      <c r="K216" s="28">
        <v>0</v>
      </c>
      <c r="L216" s="28">
        <v>1</v>
      </c>
      <c r="M216" s="28">
        <v>0</v>
      </c>
      <c r="N216" s="89">
        <f>IFERROR((BOS_P48[[#This Row],[BB]]+BOS_P48[[#This Row],[H]])/BOS_P48[[#This Row],[IP]],0)</f>
        <v>0</v>
      </c>
      <c r="O216" s="28">
        <v>0</v>
      </c>
      <c r="P216" s="90">
        <v>0</v>
      </c>
      <c r="Q216" s="28">
        <v>0</v>
      </c>
      <c r="R216" s="74">
        <v>0</v>
      </c>
      <c r="S216" s="615">
        <v>9</v>
      </c>
      <c r="Z216" s="651" t="s">
        <v>226</v>
      </c>
      <c r="AA216" s="71" t="s">
        <v>212</v>
      </c>
      <c r="AB216" s="87" t="s">
        <v>261</v>
      </c>
      <c r="AC216" s="88">
        <f>IFERROR(((BOS_P22[[#This Row],[R]]*9)/BOS_P22[[#This Row],[IP]]),0)</f>
        <v>0</v>
      </c>
      <c r="AD216" s="28">
        <v>0</v>
      </c>
      <c r="AE216" s="74">
        <v>0</v>
      </c>
      <c r="AF216" s="28">
        <v>4</v>
      </c>
      <c r="AG216" s="584">
        <v>6</v>
      </c>
      <c r="AH216" s="28">
        <v>3</v>
      </c>
      <c r="AI216" s="28">
        <v>0</v>
      </c>
      <c r="AJ216" s="28">
        <v>1</v>
      </c>
      <c r="AK216" s="28">
        <v>10</v>
      </c>
      <c r="AL216" s="28">
        <v>0</v>
      </c>
      <c r="AM216" s="347">
        <f>IFERROR((BOS_P22[[#This Row],[BB]]+BOS_P22[[#This Row],[H]])/BOS_P22[[#This Row],[IP]],0)</f>
        <v>0.66666666666666663</v>
      </c>
      <c r="AN216" s="28">
        <v>0</v>
      </c>
      <c r="AO216" s="90">
        <v>0</v>
      </c>
      <c r="AP216" s="28">
        <v>0</v>
      </c>
      <c r="AQ216" s="74">
        <v>0</v>
      </c>
      <c r="AR216" s="615">
        <v>9</v>
      </c>
      <c r="AS216"/>
      <c r="AT216"/>
      <c r="AU216"/>
      <c r="AV216"/>
      <c r="AY216" s="712" t="s">
        <v>165</v>
      </c>
      <c r="AZ216" s="28" t="s">
        <v>212</v>
      </c>
      <c r="BA216" s="28" t="s">
        <v>221</v>
      </c>
      <c r="BB216" s="88">
        <f>IFERROR((NYY_P15[[#This Row],[R]]*9)/NYY_P15[[#This Row],[IP]],0)</f>
        <v>6.2355658198614314</v>
      </c>
      <c r="BC216" s="77">
        <v>0</v>
      </c>
      <c r="BD216" s="74">
        <v>1</v>
      </c>
      <c r="BE216" s="28">
        <v>3</v>
      </c>
      <c r="BF216" s="584">
        <v>4.33</v>
      </c>
      <c r="BG216" s="90">
        <v>4</v>
      </c>
      <c r="BH216" s="90">
        <v>3</v>
      </c>
      <c r="BI216" s="90">
        <v>2</v>
      </c>
      <c r="BJ216" s="90">
        <v>7</v>
      </c>
      <c r="BK216" s="28">
        <v>0</v>
      </c>
      <c r="BL216" s="89">
        <f>IFERROR((NYY_P15[[#This Row],[BB]]+NYY_P15[[#This Row],[H]])/NYY_P15[[#This Row],[IP]],0)</f>
        <v>1.3856812933025404</v>
      </c>
      <c r="BM216" s="28">
        <v>0</v>
      </c>
      <c r="BN216" s="90">
        <v>0</v>
      </c>
      <c r="BO216" s="28">
        <v>0</v>
      </c>
      <c r="BP216" s="74">
        <v>0</v>
      </c>
      <c r="BQ216" s="615">
        <v>9</v>
      </c>
      <c r="BR216"/>
      <c r="BS216"/>
      <c r="BT216"/>
      <c r="BU216"/>
    </row>
    <row r="217" spans="1:73" ht="17" thickBot="1">
      <c r="A217" s="651" t="s">
        <v>226</v>
      </c>
      <c r="B217" s="71" t="s">
        <v>212</v>
      </c>
      <c r="C217" s="87" t="s">
        <v>262</v>
      </c>
      <c r="D217" s="88">
        <f>IFERROR(((BOS_P48[[#This Row],[R]]*9)/BOS_P48[[#This Row],[IP]]),0)</f>
        <v>10.778443113772456</v>
      </c>
      <c r="E217" s="28">
        <v>0</v>
      </c>
      <c r="F217" s="74">
        <v>1</v>
      </c>
      <c r="G217" s="28">
        <v>1</v>
      </c>
      <c r="H217" s="584">
        <v>1.67</v>
      </c>
      <c r="I217" s="28">
        <v>3</v>
      </c>
      <c r="J217" s="28">
        <v>2</v>
      </c>
      <c r="K217" s="28">
        <v>0</v>
      </c>
      <c r="L217" s="28">
        <v>1</v>
      </c>
      <c r="M217" s="28">
        <v>0</v>
      </c>
      <c r="N217" s="89">
        <f>IFERROR((BOS_P48[[#This Row],[BB]]+BOS_P48[[#This Row],[H]])/BOS_P48[[#This Row],[IP]],0)</f>
        <v>1.7964071856287427</v>
      </c>
      <c r="O217" s="28">
        <v>0</v>
      </c>
      <c r="P217" s="90">
        <v>0</v>
      </c>
      <c r="Q217" s="28">
        <v>0</v>
      </c>
      <c r="R217" s="74">
        <v>0</v>
      </c>
      <c r="S217" s="615">
        <v>10</v>
      </c>
      <c r="Z217" s="651" t="s">
        <v>226</v>
      </c>
      <c r="AA217" s="71" t="s">
        <v>212</v>
      </c>
      <c r="AB217" s="87" t="s">
        <v>262</v>
      </c>
      <c r="AC217" s="88">
        <f>IFERROR(((BOS_P22[[#This Row],[R]]*9)/BOS_P22[[#This Row],[IP]]),0)</f>
        <v>2.7</v>
      </c>
      <c r="AD217" s="28">
        <v>0</v>
      </c>
      <c r="AE217" s="74">
        <v>0</v>
      </c>
      <c r="AF217" s="28">
        <v>8</v>
      </c>
      <c r="AG217" s="584">
        <v>10</v>
      </c>
      <c r="AH217" s="28">
        <v>6</v>
      </c>
      <c r="AI217" s="28">
        <v>3</v>
      </c>
      <c r="AJ217" s="28">
        <v>1</v>
      </c>
      <c r="AK217" s="28">
        <v>13</v>
      </c>
      <c r="AL217" s="28">
        <v>0</v>
      </c>
      <c r="AM217" s="89">
        <f>IFERROR((BOS_P22[[#This Row],[BB]]+BOS_P22[[#This Row],[H]])/BOS_P22[[#This Row],[IP]],0)</f>
        <v>0.7</v>
      </c>
      <c r="AN217" s="28">
        <v>0</v>
      </c>
      <c r="AO217" s="90">
        <v>0</v>
      </c>
      <c r="AP217" s="28">
        <v>0</v>
      </c>
      <c r="AQ217" s="74">
        <v>0</v>
      </c>
      <c r="AR217" s="615">
        <v>10</v>
      </c>
      <c r="AS217"/>
      <c r="AT217"/>
      <c r="AU217"/>
      <c r="AV217"/>
      <c r="AY217" s="712" t="s">
        <v>165</v>
      </c>
      <c r="AZ217" s="28" t="s">
        <v>212</v>
      </c>
      <c r="BA217" s="28" t="s">
        <v>222</v>
      </c>
      <c r="BB217" s="88">
        <f>IFERROR((NYY_P15[[#This Row],[R]]*9)/NYY_P15[[#This Row],[IP]],0)</f>
        <v>0</v>
      </c>
      <c r="BC217" s="77">
        <v>0</v>
      </c>
      <c r="BD217" s="74">
        <v>0</v>
      </c>
      <c r="BE217" s="28">
        <v>1</v>
      </c>
      <c r="BF217" s="584">
        <v>1</v>
      </c>
      <c r="BG217" s="90">
        <v>0</v>
      </c>
      <c r="BH217" s="90">
        <v>0</v>
      </c>
      <c r="BI217" s="90">
        <v>0</v>
      </c>
      <c r="BJ217" s="90">
        <v>1</v>
      </c>
      <c r="BK217" s="28">
        <v>0</v>
      </c>
      <c r="BL217" s="89">
        <f>IFERROR((NYY_P15[[#This Row],[BB]]+NYY_P15[[#This Row],[H]])/NYY_P15[[#This Row],[IP]],0)</f>
        <v>0</v>
      </c>
      <c r="BM217" s="28">
        <v>0</v>
      </c>
      <c r="BN217" s="90">
        <v>0</v>
      </c>
      <c r="BO217" s="28">
        <v>0</v>
      </c>
      <c r="BP217" s="74">
        <v>0</v>
      </c>
      <c r="BQ217" s="615">
        <v>10</v>
      </c>
      <c r="BR217"/>
      <c r="BS217"/>
      <c r="BT217"/>
      <c r="BU217"/>
    </row>
    <row r="218" spans="1:73" ht="17" thickBot="1">
      <c r="A218" s="652"/>
      <c r="B218" s="664"/>
      <c r="C218" s="654" t="s">
        <v>195</v>
      </c>
      <c r="D218" s="665">
        <f>(J218*9)/H218</f>
        <v>4.0747028862478771</v>
      </c>
      <c r="E218" s="658">
        <f>SUBTOTAL(109,BOS_P48[W])</f>
        <v>0</v>
      </c>
      <c r="F218" s="658">
        <f>SUBTOTAL(109,BOS_P48[L])</f>
        <v>2</v>
      </c>
      <c r="G218" s="661"/>
      <c r="H218" s="666">
        <v>17.670000000000002</v>
      </c>
      <c r="I218" s="658">
        <f>SUBTOTAL(109,BOS_P48[H])</f>
        <v>16</v>
      </c>
      <c r="J218" s="658">
        <f>SUBTOTAL(109,BOS_P48[R])</f>
        <v>8</v>
      </c>
      <c r="K218" s="658">
        <f>SUBTOTAL(109,BOS_P48[BB])</f>
        <v>6</v>
      </c>
      <c r="L218" s="658">
        <f>SUBTOTAL(109,BOS_P48[K])</f>
        <v>16</v>
      </c>
      <c r="M218" s="658">
        <f>SUBTOTAL(109,BOS_P48[SV])</f>
        <v>0</v>
      </c>
      <c r="N218" s="667">
        <v>1.25</v>
      </c>
      <c r="O218" s="690">
        <f>SUBTOTAL(109,BOS_P48[QS])</f>
        <v>2</v>
      </c>
      <c r="P218" s="669">
        <f>SUBTOTAL(109,BOS_P48[UQ])</f>
        <v>2</v>
      </c>
      <c r="Q218" s="670">
        <f>SUBTOTAL(109,BOS_P48[CG])</f>
        <v>0</v>
      </c>
      <c r="R218" s="671">
        <f>SUBTOTAL(109,BOS_P48[SH])</f>
        <v>0</v>
      </c>
      <c r="S218" s="662"/>
      <c r="Z218" s="652"/>
      <c r="AA218" s="664"/>
      <c r="AB218" s="654" t="s">
        <v>195</v>
      </c>
      <c r="AC218" s="665">
        <f>(AI218*9)/AG218</f>
        <v>4.1326530612244898</v>
      </c>
      <c r="AD218" s="658">
        <f>SUBTOTAL(109,BOS_P22[W])</f>
        <v>6</v>
      </c>
      <c r="AE218" s="658">
        <f>SUBTOTAL(109,BOS_P22[L])</f>
        <v>5</v>
      </c>
      <c r="AF218" s="661"/>
      <c r="AG218" s="666">
        <f>SUBTOTAL(109,BOS_P22[IP])</f>
        <v>98</v>
      </c>
      <c r="AH218" s="658">
        <f>SUBTOTAL(109,BOS_P22[H])</f>
        <v>93</v>
      </c>
      <c r="AI218" s="658">
        <f>SUBTOTAL(109,BOS_P22[R])</f>
        <v>45</v>
      </c>
      <c r="AJ218" s="658">
        <f>SUBTOTAL(109,BOS_P22[BB])</f>
        <v>30</v>
      </c>
      <c r="AK218" s="658">
        <f>SUBTOTAL(109,BOS_P22[K])</f>
        <v>135</v>
      </c>
      <c r="AL218" s="658">
        <f>SUBTOTAL(109,BOS_P22[SV])</f>
        <v>0</v>
      </c>
      <c r="AM218" s="667">
        <f>(AH218+AJ218)/AG218</f>
        <v>1.2551020408163265</v>
      </c>
      <c r="AN218" s="690">
        <f>SUBTOTAL(109,BOS_P22[QS])</f>
        <v>6</v>
      </c>
      <c r="AO218" s="669">
        <f>SUBTOTAL(109,BOS_P22[UQ])</f>
        <v>2</v>
      </c>
      <c r="AP218" s="670">
        <f>SUBTOTAL(109,BOS_P22[CG])</f>
        <v>0</v>
      </c>
      <c r="AQ218" s="671">
        <f>SUBTOTAL(109,BOS_P22[SH])</f>
        <v>0</v>
      </c>
      <c r="AR218" s="662"/>
      <c r="AS218"/>
      <c r="AT218"/>
      <c r="AU218"/>
      <c r="AV218"/>
      <c r="AY218" s="617"/>
      <c r="AZ218" s="639"/>
      <c r="BA218" s="639" t="s">
        <v>195</v>
      </c>
      <c r="BB218" s="709">
        <f>IFERROR((BH218*9)/BF218,0)</f>
        <v>3.6666666666666665</v>
      </c>
      <c r="BC218" s="641">
        <f>SUM(BC208:BC217)</f>
        <v>1</v>
      </c>
      <c r="BD218" s="625">
        <f>SUM(BD208:BD217)</f>
        <v>2</v>
      </c>
      <c r="BE218" s="622"/>
      <c r="BF218" s="642">
        <f t="shared" ref="BF218:BK218" si="21">SUM(BF208:BF217)</f>
        <v>27</v>
      </c>
      <c r="BG218" s="623">
        <f t="shared" si="21"/>
        <v>22</v>
      </c>
      <c r="BH218" s="623">
        <f t="shared" si="21"/>
        <v>11</v>
      </c>
      <c r="BI218" s="623">
        <f t="shared" si="21"/>
        <v>11</v>
      </c>
      <c r="BJ218" s="623">
        <f t="shared" si="21"/>
        <v>30</v>
      </c>
      <c r="BK218" s="622">
        <f t="shared" si="21"/>
        <v>0</v>
      </c>
      <c r="BL218" s="644">
        <f>IFERROR((BI218+BG218)/BF218,0)</f>
        <v>1.2222222222222223</v>
      </c>
      <c r="BM218" s="645">
        <f>SUM(BM208:BM217)</f>
        <v>2</v>
      </c>
      <c r="BN218" s="646">
        <f>SUM(BN208:BN217)</f>
        <v>0</v>
      </c>
      <c r="BO218" s="647">
        <f>SUM(BO208:BO217)</f>
        <v>0</v>
      </c>
      <c r="BP218" s="648">
        <f>SUM(BP208:BP217)</f>
        <v>0</v>
      </c>
      <c r="BQ218" s="649"/>
      <c r="BR218"/>
      <c r="BS218"/>
      <c r="BT218"/>
      <c r="BU218"/>
    </row>
    <row r="219" spans="1:73" ht="17" thickBo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73" ht="24" thickBot="1">
      <c r="A220" s="1012" t="s">
        <v>384</v>
      </c>
      <c r="B220" s="1013"/>
      <c r="C220" s="1013"/>
      <c r="D220" s="1013"/>
      <c r="E220" s="1013"/>
      <c r="F220" s="1013"/>
      <c r="G220" s="1013"/>
      <c r="H220" s="1013"/>
      <c r="I220" s="1013"/>
      <c r="J220" s="1013"/>
      <c r="K220" s="1013"/>
      <c r="L220" s="1013"/>
      <c r="M220" s="1013"/>
      <c r="N220" s="1013"/>
      <c r="O220" s="1013"/>
      <c r="P220" s="1013"/>
      <c r="Q220" s="1013"/>
      <c r="R220" s="1013"/>
      <c r="S220" s="1013"/>
      <c r="T220" s="1013"/>
      <c r="U220" s="1013"/>
      <c r="V220" s="1013"/>
      <c r="W220" s="1014"/>
      <c r="Z220" s="1012" t="s">
        <v>385</v>
      </c>
      <c r="AA220" s="1013"/>
      <c r="AB220" s="1013"/>
      <c r="AC220" s="1013"/>
      <c r="AD220" s="1013"/>
      <c r="AE220" s="1013"/>
      <c r="AF220" s="1013"/>
      <c r="AG220" s="1013"/>
      <c r="AH220" s="1013"/>
      <c r="AI220" s="1013"/>
      <c r="AJ220" s="1013"/>
      <c r="AK220" s="1013"/>
      <c r="AL220" s="1013"/>
      <c r="AM220" s="1013"/>
      <c r="AN220" s="1013"/>
      <c r="AO220" s="1013"/>
      <c r="AP220" s="1013"/>
      <c r="AQ220" s="1013"/>
      <c r="AR220" s="1013"/>
      <c r="AS220" s="1013"/>
      <c r="AT220" s="1013"/>
      <c r="AU220" s="1013"/>
      <c r="AV220" s="1014"/>
    </row>
    <row r="221" spans="1:73" ht="17" thickBot="1">
      <c r="A221" s="605" t="s">
        <v>143</v>
      </c>
      <c r="B221" s="606" t="s">
        <v>144</v>
      </c>
      <c r="C221" s="606" t="s">
        <v>145</v>
      </c>
      <c r="D221" s="606" t="s">
        <v>146</v>
      </c>
      <c r="E221" s="606" t="s">
        <v>147</v>
      </c>
      <c r="F221" s="606" t="s">
        <v>148</v>
      </c>
      <c r="G221" s="606" t="s">
        <v>149</v>
      </c>
      <c r="H221" s="606" t="s">
        <v>150</v>
      </c>
      <c r="I221" s="606" t="s">
        <v>151</v>
      </c>
      <c r="J221" s="606" t="s">
        <v>152</v>
      </c>
      <c r="K221" s="606" t="s">
        <v>153</v>
      </c>
      <c r="L221" s="606" t="s">
        <v>154</v>
      </c>
      <c r="M221" s="606" t="s">
        <v>155</v>
      </c>
      <c r="N221" s="606" t="s">
        <v>156</v>
      </c>
      <c r="O221" s="606" t="s">
        <v>157</v>
      </c>
      <c r="P221" s="606" t="s">
        <v>158</v>
      </c>
      <c r="Q221" s="606" t="s">
        <v>159</v>
      </c>
      <c r="R221" s="606" t="s">
        <v>160</v>
      </c>
      <c r="S221" s="606" t="s">
        <v>16</v>
      </c>
      <c r="T221" s="606" t="s">
        <v>161</v>
      </c>
      <c r="U221" s="606" t="s">
        <v>162</v>
      </c>
      <c r="V221" s="606" t="s">
        <v>163</v>
      </c>
      <c r="W221" s="607" t="s">
        <v>164</v>
      </c>
      <c r="Z221" s="605" t="s">
        <v>143</v>
      </c>
      <c r="AA221" s="606" t="s">
        <v>144</v>
      </c>
      <c r="AB221" s="606" t="s">
        <v>145</v>
      </c>
      <c r="AC221" s="606" t="s">
        <v>146</v>
      </c>
      <c r="AD221" s="606" t="s">
        <v>147</v>
      </c>
      <c r="AE221" s="606" t="s">
        <v>148</v>
      </c>
      <c r="AF221" s="606" t="s">
        <v>149</v>
      </c>
      <c r="AG221" s="606" t="s">
        <v>150</v>
      </c>
      <c r="AH221" s="606" t="s">
        <v>151</v>
      </c>
      <c r="AI221" s="606" t="s">
        <v>152</v>
      </c>
      <c r="AJ221" s="606" t="s">
        <v>153</v>
      </c>
      <c r="AK221" s="606" t="s">
        <v>154</v>
      </c>
      <c r="AL221" s="606" t="s">
        <v>155</v>
      </c>
      <c r="AM221" s="606" t="s">
        <v>156</v>
      </c>
      <c r="AN221" s="606" t="s">
        <v>157</v>
      </c>
      <c r="AO221" s="606" t="s">
        <v>158</v>
      </c>
      <c r="AP221" s="606" t="s">
        <v>159</v>
      </c>
      <c r="AQ221" s="606" t="s">
        <v>160</v>
      </c>
      <c r="AR221" s="606" t="s">
        <v>16</v>
      </c>
      <c r="AS221" s="606" t="s">
        <v>161</v>
      </c>
      <c r="AT221" s="606" t="s">
        <v>162</v>
      </c>
      <c r="AU221" s="606" t="s">
        <v>163</v>
      </c>
      <c r="AV221" s="607" t="s">
        <v>164</v>
      </c>
    </row>
    <row r="222" spans="1:73">
      <c r="A222" s="650" t="s">
        <v>300</v>
      </c>
      <c r="B222" s="597" t="s">
        <v>179</v>
      </c>
      <c r="C222" s="597" t="s">
        <v>307</v>
      </c>
      <c r="D222" s="598">
        <f>IFERROR((BAL_H63[[#This Row],[H]]/BAL_H63[[#This Row],[AB]]),0)</f>
        <v>0.12</v>
      </c>
      <c r="E222" s="598">
        <f>IFERROR((BAL_H63[[#This Row],[H]]+BAL_H63[[#This Row],[BB]])/(BAL_H63[[#This Row],[BB]]+BAL_H63[[#This Row],[AB]]),0)</f>
        <v>0.21428571428571427</v>
      </c>
      <c r="F222" s="599">
        <f>IFERROR(((BAL_H63[[#This Row],[H]]-BAL_H63[[#This Row],[2B]]-BAL_H63[[#This Row],[3B]]-BAL_H63[[#This Row],[HR]])+(BAL_H63[[#This Row],[2B]]*2)+(BAL_H63[[#This Row],[3B]]*3)+(BAL_H63[[#This Row],[HR]]*4))/BAL_H63[[#This Row],[AB]],0)</f>
        <v>0.16</v>
      </c>
      <c r="G222" s="600">
        <v>7</v>
      </c>
      <c r="H222" s="600">
        <v>25</v>
      </c>
      <c r="I222" s="600">
        <v>0</v>
      </c>
      <c r="J222" s="600">
        <v>3</v>
      </c>
      <c r="K222" s="600">
        <v>1</v>
      </c>
      <c r="L222" s="600">
        <v>0</v>
      </c>
      <c r="M222" s="600">
        <v>0</v>
      </c>
      <c r="N222" s="600">
        <v>1</v>
      </c>
      <c r="O222" s="600">
        <v>3</v>
      </c>
      <c r="P222" s="604">
        <v>7</v>
      </c>
      <c r="Q222" s="600">
        <v>0</v>
      </c>
      <c r="R222" s="600">
        <v>1</v>
      </c>
      <c r="S222" s="604">
        <v>2</v>
      </c>
      <c r="T222" s="600">
        <f>IFERROR((BAL_H63[[#This Row],[H]]-BAL_H63[[#This Row],[2B]]-BAL_H63[[#This Row],[3B]]-BAL_H63[[#This Row],[HR]])+(BAL_H63[[#This Row],[2B]]*2)+(BAL_H63[[#This Row],[3B]]*3)+(BAL_H63[[#This Row],[HR]]*4),0)</f>
        <v>4</v>
      </c>
      <c r="U222" s="598">
        <f>BAL_H63[[#This Row],[OBP]]+BAL_H63[[#This Row],[SLG]]</f>
        <v>0.37428571428571428</v>
      </c>
      <c r="V222" s="604">
        <v>0</v>
      </c>
      <c r="W222" s="614">
        <v>1</v>
      </c>
      <c r="Z222" s="650" t="s">
        <v>300</v>
      </c>
      <c r="AA222" s="597" t="s">
        <v>179</v>
      </c>
      <c r="AB222" s="597" t="s">
        <v>307</v>
      </c>
      <c r="AC222" s="598">
        <f>IFERROR((BAL_H23[[#This Row],[H]]/BAL_H23[[#This Row],[AB]]),0)</f>
        <v>0.3</v>
      </c>
      <c r="AD222" s="598">
        <f>IFERROR((BAL_H23[[#This Row],[H]]+BAL_H23[[#This Row],[BB]])/(BAL_H23[[#This Row],[BB]]+BAL_H23[[#This Row],[AB]]),0)</f>
        <v>0.41666666666666669</v>
      </c>
      <c r="AE222" s="599">
        <f>IFERROR(((BAL_H23[[#This Row],[H]]-BAL_H23[[#This Row],[2B]]-BAL_H23[[#This Row],[3B]]-BAL_H23[[#This Row],[HR]])+(BAL_H23[[#This Row],[2B]]*2)+(BAL_H23[[#This Row],[3B]]*3)+(BAL_H23[[#This Row],[HR]]*4))/BAL_H23[[#This Row],[AB]],0)</f>
        <v>0.6</v>
      </c>
      <c r="AF222" s="600">
        <v>3</v>
      </c>
      <c r="AG222" s="600">
        <v>10</v>
      </c>
      <c r="AH222" s="600">
        <v>1</v>
      </c>
      <c r="AI222" s="600">
        <v>3</v>
      </c>
      <c r="AJ222" s="600">
        <v>0</v>
      </c>
      <c r="AK222" s="600">
        <v>0</v>
      </c>
      <c r="AL222" s="600">
        <v>1</v>
      </c>
      <c r="AM222" s="600">
        <v>1</v>
      </c>
      <c r="AN222" s="600">
        <v>2</v>
      </c>
      <c r="AO222" s="604">
        <v>2</v>
      </c>
      <c r="AP222" s="600">
        <v>0</v>
      </c>
      <c r="AQ222" s="600">
        <v>2</v>
      </c>
      <c r="AR222" s="604">
        <v>2</v>
      </c>
      <c r="AS222" s="600">
        <f>IFERROR((BAL_H23[[#This Row],[H]]-BAL_H23[[#This Row],[2B]]-BAL_H23[[#This Row],[3B]]-BAL_H23[[#This Row],[HR]])+(BAL_H23[[#This Row],[2B]]*2)+(BAL_H23[[#This Row],[3B]]*3)+(BAL_H23[[#This Row],[HR]]*4),0)</f>
        <v>6</v>
      </c>
      <c r="AT222" s="598">
        <f>BAL_H23[[#This Row],[OBP]]+BAL_H23[[#This Row],[SLG]]</f>
        <v>1.0166666666666666</v>
      </c>
      <c r="AU222" s="604">
        <v>0</v>
      </c>
      <c r="AV222" s="614">
        <v>1</v>
      </c>
    </row>
    <row r="223" spans="1:73">
      <c r="A223" s="651" t="s">
        <v>300</v>
      </c>
      <c r="B223" s="77" t="s">
        <v>154</v>
      </c>
      <c r="C223" s="77" t="s">
        <v>309</v>
      </c>
      <c r="D223" s="996">
        <f>IFERROR((BAL_H63[[#This Row],[H]]/BAL_H63[[#This Row],[AB]]),0)</f>
        <v>0.25925925925925924</v>
      </c>
      <c r="E223" s="72">
        <f>IFERROR((BAL_H63[[#This Row],[H]]+BAL_H63[[#This Row],[BB]])/(BAL_H63[[#This Row],[BB]]+BAL_H63[[#This Row],[AB]]),0)</f>
        <v>0.31034482758620691</v>
      </c>
      <c r="F223" s="73">
        <f>IFERROR(((BAL_H63[[#This Row],[H]]-BAL_H63[[#This Row],[2B]]-BAL_H63[[#This Row],[3B]]-BAL_H63[[#This Row],[HR]])+(BAL_H63[[#This Row],[2B]]*2)+(BAL_H63[[#This Row],[3B]]*3)+(BAL_H63[[#This Row],[HR]]*4))/BAL_H63[[#This Row],[AB]],0)</f>
        <v>0.48148148148148145</v>
      </c>
      <c r="G223" s="28">
        <v>7</v>
      </c>
      <c r="H223" s="28">
        <v>27</v>
      </c>
      <c r="I223" s="28">
        <v>3</v>
      </c>
      <c r="J223" s="28">
        <v>7</v>
      </c>
      <c r="K223" s="28">
        <v>3</v>
      </c>
      <c r="L223" s="28">
        <v>0</v>
      </c>
      <c r="M223" s="28">
        <v>1</v>
      </c>
      <c r="N223" s="28">
        <v>4</v>
      </c>
      <c r="O223" s="28">
        <v>2</v>
      </c>
      <c r="P223" s="74">
        <v>3</v>
      </c>
      <c r="Q223" s="28">
        <v>0</v>
      </c>
      <c r="R223" s="28">
        <v>0</v>
      </c>
      <c r="S223" s="74">
        <v>4</v>
      </c>
      <c r="T223" s="28">
        <f>IFERROR((BAL_H63[[#This Row],[H]]-BAL_H63[[#This Row],[2B]]-BAL_H63[[#This Row],[3B]]-BAL_H63[[#This Row],[HR]])+(BAL_H63[[#This Row],[2B]]*2)+(BAL_H63[[#This Row],[3B]]*3)+(BAL_H63[[#This Row],[HR]]*4),0)</f>
        <v>13</v>
      </c>
      <c r="U223" s="72">
        <f>BAL_H63[[#This Row],[OBP]]+BAL_H63[[#This Row],[SLG]]</f>
        <v>0.79182630906768836</v>
      </c>
      <c r="V223" s="74">
        <v>1</v>
      </c>
      <c r="W223" s="615">
        <v>2</v>
      </c>
      <c r="Z223" s="651" t="s">
        <v>300</v>
      </c>
      <c r="AA223" s="77" t="s">
        <v>349</v>
      </c>
      <c r="AB223" s="77" t="s">
        <v>305</v>
      </c>
      <c r="AC223" s="996">
        <f>IFERROR((BAL_H23[[#This Row],[H]]/BAL_H23[[#This Row],[AB]]),0)</f>
        <v>0.33333333333333331</v>
      </c>
      <c r="AD223" s="72">
        <f>IFERROR((BAL_H23[[#This Row],[H]]+BAL_H23[[#This Row],[BB]])/(BAL_H23[[#This Row],[BB]]+BAL_H23[[#This Row],[AB]]),0)</f>
        <v>0.38461538461538464</v>
      </c>
      <c r="AE223" s="73">
        <f>IFERROR(((BAL_H23[[#This Row],[H]]-BAL_H23[[#This Row],[2B]]-BAL_H23[[#This Row],[3B]]-BAL_H23[[#This Row],[HR]])+(BAL_H23[[#This Row],[2B]]*2)+(BAL_H23[[#This Row],[3B]]*3)+(BAL_H23[[#This Row],[HR]]*4))/BAL_H23[[#This Row],[AB]],0)</f>
        <v>0.66666666666666663</v>
      </c>
      <c r="AF223" s="28">
        <v>3</v>
      </c>
      <c r="AG223" s="28">
        <v>12</v>
      </c>
      <c r="AH223" s="28">
        <v>3</v>
      </c>
      <c r="AI223" s="28">
        <v>4</v>
      </c>
      <c r="AJ223" s="28">
        <v>1</v>
      </c>
      <c r="AK223" s="28">
        <v>0</v>
      </c>
      <c r="AL223" s="28">
        <v>1</v>
      </c>
      <c r="AM223" s="28">
        <v>4</v>
      </c>
      <c r="AN223" s="28">
        <v>1</v>
      </c>
      <c r="AO223" s="74">
        <v>4</v>
      </c>
      <c r="AP223" s="28">
        <v>0</v>
      </c>
      <c r="AQ223" s="28">
        <v>1</v>
      </c>
      <c r="AR223" s="74">
        <v>1</v>
      </c>
      <c r="AS223" s="28">
        <f>IFERROR((BAL_H23[[#This Row],[H]]-BAL_H23[[#This Row],[2B]]-BAL_H23[[#This Row],[3B]]-BAL_H23[[#This Row],[HR]])+(BAL_H23[[#This Row],[2B]]*2)+(BAL_H23[[#This Row],[3B]]*3)+(BAL_H23[[#This Row],[HR]]*4),0)</f>
        <v>8</v>
      </c>
      <c r="AT223" s="72">
        <f>BAL_H23[[#This Row],[OBP]]+BAL_H23[[#This Row],[SLG]]</f>
        <v>1.0512820512820513</v>
      </c>
      <c r="AU223" s="74">
        <v>0</v>
      </c>
      <c r="AV223" s="615">
        <v>2</v>
      </c>
    </row>
    <row r="224" spans="1:73">
      <c r="A224" s="651" t="s">
        <v>300</v>
      </c>
      <c r="B224" s="71" t="s">
        <v>172</v>
      </c>
      <c r="C224" s="71" t="s">
        <v>305</v>
      </c>
      <c r="D224" s="72">
        <f>IFERROR((BAL_H63[[#This Row],[H]]/BAL_H63[[#This Row],[AB]]),0)</f>
        <v>0.21428571428571427</v>
      </c>
      <c r="E224" s="72">
        <f>IFERROR((BAL_H63[[#This Row],[H]]+BAL_H63[[#This Row],[BB]])/(BAL_H63[[#This Row],[BB]]+BAL_H63[[#This Row],[AB]]),0)</f>
        <v>0.3125</v>
      </c>
      <c r="F224" s="73">
        <f>IFERROR(((BAL_H63[[#This Row],[H]]-BAL_H63[[#This Row],[2B]]-BAL_H63[[#This Row],[3B]]-BAL_H63[[#This Row],[HR]])+(BAL_H63[[#This Row],[2B]]*2)+(BAL_H63[[#This Row],[3B]]*3)+(BAL_H63[[#This Row],[HR]]*4))/BAL_H63[[#This Row],[AB]],0)</f>
        <v>0.25</v>
      </c>
      <c r="G224" s="28">
        <v>7</v>
      </c>
      <c r="H224" s="28">
        <v>28</v>
      </c>
      <c r="I224" s="28">
        <v>6</v>
      </c>
      <c r="J224" s="28">
        <v>6</v>
      </c>
      <c r="K224" s="28">
        <v>1</v>
      </c>
      <c r="L224" s="28">
        <v>0</v>
      </c>
      <c r="M224" s="28">
        <v>0</v>
      </c>
      <c r="N224" s="28">
        <v>1</v>
      </c>
      <c r="O224" s="28">
        <v>4</v>
      </c>
      <c r="P224" s="74">
        <v>7</v>
      </c>
      <c r="Q224" s="28">
        <v>4</v>
      </c>
      <c r="R224" s="28">
        <v>0</v>
      </c>
      <c r="S224" s="74">
        <v>5</v>
      </c>
      <c r="T224" s="28">
        <f>IFERROR((BAL_H63[[#This Row],[H]]-BAL_H63[[#This Row],[2B]]-BAL_H63[[#This Row],[3B]]-BAL_H63[[#This Row],[HR]])+(BAL_H63[[#This Row],[2B]]*2)+(BAL_H63[[#This Row],[3B]]*3)+(BAL_H63[[#This Row],[HR]]*4),0)</f>
        <v>7</v>
      </c>
      <c r="U224" s="72">
        <f>BAL_H63[[#This Row],[OBP]]+BAL_H63[[#This Row],[SLG]]</f>
        <v>0.5625</v>
      </c>
      <c r="V224" s="74">
        <v>1</v>
      </c>
      <c r="W224" s="615">
        <v>3</v>
      </c>
      <c r="Z224" s="651" t="s">
        <v>300</v>
      </c>
      <c r="AA224" s="71" t="s">
        <v>172</v>
      </c>
      <c r="AB224" s="71" t="s">
        <v>309</v>
      </c>
      <c r="AC224" s="72">
        <f>IFERROR((BAL_H23[[#This Row],[H]]/BAL_H23[[#This Row],[AB]]),0)</f>
        <v>8.3333333333333329E-2</v>
      </c>
      <c r="AD224" s="72">
        <f>IFERROR((BAL_H23[[#This Row],[H]]+BAL_H23[[#This Row],[BB]])/(BAL_H23[[#This Row],[BB]]+BAL_H23[[#This Row],[AB]]),0)</f>
        <v>8.3333333333333329E-2</v>
      </c>
      <c r="AE224" s="73">
        <f>IFERROR(((BAL_H23[[#This Row],[H]]-BAL_H23[[#This Row],[2B]]-BAL_H23[[#This Row],[3B]]-BAL_H23[[#This Row],[HR]])+(BAL_H23[[#This Row],[2B]]*2)+(BAL_H23[[#This Row],[3B]]*3)+(BAL_H23[[#This Row],[HR]]*4))/BAL_H23[[#This Row],[AB]],0)</f>
        <v>8.3333333333333329E-2</v>
      </c>
      <c r="AF224" s="28">
        <v>3</v>
      </c>
      <c r="AG224" s="28">
        <v>12</v>
      </c>
      <c r="AH224" s="28">
        <v>0</v>
      </c>
      <c r="AI224" s="28">
        <v>1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74">
        <v>5</v>
      </c>
      <c r="AP224" s="28">
        <v>0</v>
      </c>
      <c r="AQ224" s="28">
        <v>1</v>
      </c>
      <c r="AR224" s="74">
        <v>1</v>
      </c>
      <c r="AS224" s="28">
        <f>IFERROR((BAL_H23[[#This Row],[H]]-BAL_H23[[#This Row],[2B]]-BAL_H23[[#This Row],[3B]]-BAL_H23[[#This Row],[HR]])+(BAL_H23[[#This Row],[2B]]*2)+(BAL_H23[[#This Row],[3B]]*3)+(BAL_H23[[#This Row],[HR]]*4),0)</f>
        <v>1</v>
      </c>
      <c r="AT224" s="72">
        <f>BAL_H23[[#This Row],[OBP]]+BAL_H23[[#This Row],[SLG]]</f>
        <v>0.16666666666666666</v>
      </c>
      <c r="AU224" s="74">
        <v>0</v>
      </c>
      <c r="AV224" s="615">
        <v>3</v>
      </c>
    </row>
    <row r="225" spans="1:48">
      <c r="A225" s="651" t="s">
        <v>300</v>
      </c>
      <c r="B225" s="71" t="s">
        <v>311</v>
      </c>
      <c r="C225" s="71" t="s">
        <v>312</v>
      </c>
      <c r="D225" s="72">
        <f>IFERROR((BAL_H63[[#This Row],[H]]/BAL_H63[[#This Row],[AB]]),0)</f>
        <v>0</v>
      </c>
      <c r="E225" s="72">
        <f>IFERROR((BAL_H63[[#This Row],[H]]+BAL_H63[[#This Row],[BB]])/(BAL_H63[[#This Row],[BB]]+BAL_H63[[#This Row],[AB]]),0)</f>
        <v>0</v>
      </c>
      <c r="F225" s="73">
        <f>IFERROR(((BAL_H63[[#This Row],[H]]-BAL_H63[[#This Row],[2B]]-BAL_H63[[#This Row],[3B]]-BAL_H63[[#This Row],[HR]])+(BAL_H63[[#This Row],[2B]]*2)+(BAL_H63[[#This Row],[3B]]*3)+(BAL_H63[[#This Row],[HR]]*4))/BAL_H63[[#This Row],[AB]],0)</f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74">
        <v>0</v>
      </c>
      <c r="Q225" s="28">
        <v>0</v>
      </c>
      <c r="R225" s="28">
        <v>0</v>
      </c>
      <c r="S225" s="74">
        <v>0</v>
      </c>
      <c r="T225" s="28">
        <f>IFERROR((BAL_H63[[#This Row],[H]]-BAL_H63[[#This Row],[2B]]-BAL_H63[[#This Row],[3B]]-BAL_H63[[#This Row],[HR]])+(BAL_H63[[#This Row],[2B]]*2)+(BAL_H63[[#This Row],[3B]]*3)+(BAL_H63[[#This Row],[HR]]*4),0)</f>
        <v>0</v>
      </c>
      <c r="U225" s="72">
        <f>BAL_H63[[#This Row],[OBP]]+BAL_H63[[#This Row],[SLG]]</f>
        <v>0</v>
      </c>
      <c r="V225" s="74">
        <v>0</v>
      </c>
      <c r="W225" s="615">
        <v>4</v>
      </c>
      <c r="Z225" s="651" t="s">
        <v>300</v>
      </c>
      <c r="AA225" s="71" t="s">
        <v>2168</v>
      </c>
      <c r="AB225" s="71" t="s">
        <v>315</v>
      </c>
      <c r="AC225" s="72">
        <f>IFERROR((BAL_H23[[#This Row],[H]]/BAL_H23[[#This Row],[AB]]),0)</f>
        <v>0.18181818181818182</v>
      </c>
      <c r="AD225" s="72">
        <f>IFERROR((BAL_H23[[#This Row],[H]]+BAL_H23[[#This Row],[BB]])/(BAL_H23[[#This Row],[BB]]+BAL_H23[[#This Row],[AB]]),0)</f>
        <v>0.25</v>
      </c>
      <c r="AE225" s="73">
        <f>IFERROR(((BAL_H23[[#This Row],[H]]-BAL_H23[[#This Row],[2B]]-BAL_H23[[#This Row],[3B]]-BAL_H23[[#This Row],[HR]])+(BAL_H23[[#This Row],[2B]]*2)+(BAL_H23[[#This Row],[3B]]*3)+(BAL_H23[[#This Row],[HR]]*4))/BAL_H23[[#This Row],[AB]],0)</f>
        <v>0.18181818181818182</v>
      </c>
      <c r="AF225" s="28">
        <v>3</v>
      </c>
      <c r="AG225" s="28">
        <v>11</v>
      </c>
      <c r="AH225" s="28">
        <v>0</v>
      </c>
      <c r="AI225" s="28">
        <v>2</v>
      </c>
      <c r="AJ225" s="28">
        <v>0</v>
      </c>
      <c r="AK225" s="28">
        <v>0</v>
      </c>
      <c r="AL225" s="28">
        <v>0</v>
      </c>
      <c r="AM225" s="28">
        <v>0</v>
      </c>
      <c r="AN225" s="28">
        <v>1</v>
      </c>
      <c r="AO225" s="74">
        <v>4</v>
      </c>
      <c r="AP225" s="28">
        <v>0</v>
      </c>
      <c r="AQ225" s="28">
        <v>0</v>
      </c>
      <c r="AR225" s="74">
        <v>2</v>
      </c>
      <c r="AS225" s="28">
        <f>IFERROR((BAL_H23[[#This Row],[H]]-BAL_H23[[#This Row],[2B]]-BAL_H23[[#This Row],[3B]]-BAL_H23[[#This Row],[HR]])+(BAL_H23[[#This Row],[2B]]*2)+(BAL_H23[[#This Row],[3B]]*3)+(BAL_H23[[#This Row],[HR]]*4),0)</f>
        <v>2</v>
      </c>
      <c r="AT225" s="72">
        <f>BAL_H23[[#This Row],[OBP]]+BAL_H23[[#This Row],[SLG]]</f>
        <v>0.43181818181818182</v>
      </c>
      <c r="AU225" s="74">
        <v>0</v>
      </c>
      <c r="AV225" s="615">
        <v>4</v>
      </c>
    </row>
    <row r="226" spans="1:48">
      <c r="A226" s="651" t="s">
        <v>300</v>
      </c>
      <c r="B226" s="71" t="s">
        <v>177</v>
      </c>
      <c r="C226" s="71" t="s">
        <v>301</v>
      </c>
      <c r="D226" s="72">
        <f>IFERROR((BAL_H63[[#This Row],[H]]/BAL_H63[[#This Row],[AB]]),0)</f>
        <v>0.18518518518518517</v>
      </c>
      <c r="E226" s="72">
        <f>IFERROR((BAL_H63[[#This Row],[H]]+BAL_H63[[#This Row],[BB]])/(BAL_H63[[#This Row],[BB]]+BAL_H63[[#This Row],[AB]]),0)</f>
        <v>0.26666666666666666</v>
      </c>
      <c r="F226" s="73">
        <f>IFERROR(((BAL_H63[[#This Row],[H]]-BAL_H63[[#This Row],[2B]]-BAL_H63[[#This Row],[3B]]-BAL_H63[[#This Row],[HR]])+(BAL_H63[[#This Row],[2B]]*2)+(BAL_H63[[#This Row],[3B]]*3)+(BAL_H63[[#This Row],[HR]]*4))/BAL_H63[[#This Row],[AB]],0)</f>
        <v>0.18518518518518517</v>
      </c>
      <c r="G226" s="28">
        <v>7</v>
      </c>
      <c r="H226" s="28">
        <v>27</v>
      </c>
      <c r="I226" s="28">
        <v>0</v>
      </c>
      <c r="J226" s="28">
        <v>5</v>
      </c>
      <c r="K226" s="28">
        <v>0</v>
      </c>
      <c r="L226" s="28">
        <v>0</v>
      </c>
      <c r="M226" s="28">
        <v>0</v>
      </c>
      <c r="N226" s="28">
        <v>5</v>
      </c>
      <c r="O226" s="28">
        <v>3</v>
      </c>
      <c r="P226" s="74">
        <v>6</v>
      </c>
      <c r="Q226" s="28">
        <v>0</v>
      </c>
      <c r="R226" s="28">
        <v>1</v>
      </c>
      <c r="S226" s="74">
        <v>2</v>
      </c>
      <c r="T226" s="28">
        <f>IFERROR((BAL_H63[[#This Row],[H]]-BAL_H63[[#This Row],[2B]]-BAL_H63[[#This Row],[3B]]-BAL_H63[[#This Row],[HR]])+(BAL_H63[[#This Row],[2B]]*2)+(BAL_H63[[#This Row],[3B]]*3)+(BAL_H63[[#This Row],[HR]]*4),0)</f>
        <v>5</v>
      </c>
      <c r="U226" s="72">
        <f>BAL_H63[[#This Row],[OBP]]+BAL_H63[[#This Row],[SLG]]</f>
        <v>0.45185185185185184</v>
      </c>
      <c r="V226" s="74">
        <v>0</v>
      </c>
      <c r="W226" s="615">
        <v>5</v>
      </c>
      <c r="Z226" s="651" t="s">
        <v>300</v>
      </c>
      <c r="AA226" s="71" t="s">
        <v>177</v>
      </c>
      <c r="AB226" s="71" t="s">
        <v>301</v>
      </c>
      <c r="AC226" s="72">
        <f>IFERROR((BAL_H23[[#This Row],[H]]/BAL_H23[[#This Row],[AB]]),0)</f>
        <v>0.54545454545454541</v>
      </c>
      <c r="AD226" s="72">
        <f>IFERROR((BAL_H23[[#This Row],[H]]+BAL_H23[[#This Row],[BB]])/(BAL_H23[[#This Row],[BB]]+BAL_H23[[#This Row],[AB]]),0)</f>
        <v>0.61538461538461542</v>
      </c>
      <c r="AE226" s="73">
        <f>IFERROR(((BAL_H23[[#This Row],[H]]-BAL_H23[[#This Row],[2B]]-BAL_H23[[#This Row],[3B]]-BAL_H23[[#This Row],[HR]])+(BAL_H23[[#This Row],[2B]]*2)+(BAL_H23[[#This Row],[3B]]*3)+(BAL_H23[[#This Row],[HR]]*4))/BAL_H23[[#This Row],[AB]],0)</f>
        <v>0.90909090909090906</v>
      </c>
      <c r="AF226" s="28">
        <v>3</v>
      </c>
      <c r="AG226" s="28">
        <v>11</v>
      </c>
      <c r="AH226" s="28">
        <v>3</v>
      </c>
      <c r="AI226" s="28">
        <v>6</v>
      </c>
      <c r="AJ226" s="28">
        <v>1</v>
      </c>
      <c r="AK226" s="28">
        <v>0</v>
      </c>
      <c r="AL226" s="28">
        <v>1</v>
      </c>
      <c r="AM226" s="28">
        <v>2</v>
      </c>
      <c r="AN226" s="28">
        <v>2</v>
      </c>
      <c r="AO226" s="74">
        <v>2</v>
      </c>
      <c r="AP226" s="28">
        <v>0</v>
      </c>
      <c r="AQ226" s="28">
        <v>3</v>
      </c>
      <c r="AR226" s="74">
        <v>3</v>
      </c>
      <c r="AS226" s="28">
        <f>IFERROR((BAL_H23[[#This Row],[H]]-BAL_H23[[#This Row],[2B]]-BAL_H23[[#This Row],[3B]]-BAL_H23[[#This Row],[HR]])+(BAL_H23[[#This Row],[2B]]*2)+(BAL_H23[[#This Row],[3B]]*3)+(BAL_H23[[#This Row],[HR]]*4),0)</f>
        <v>10</v>
      </c>
      <c r="AT226" s="72">
        <f>BAL_H23[[#This Row],[OBP]]+BAL_H23[[#This Row],[SLG]]</f>
        <v>1.5244755244755246</v>
      </c>
      <c r="AU226" s="74">
        <v>0</v>
      </c>
      <c r="AV226" s="615">
        <v>5</v>
      </c>
    </row>
    <row r="227" spans="1:48">
      <c r="A227" s="651" t="s">
        <v>300</v>
      </c>
      <c r="B227" s="71" t="s">
        <v>174</v>
      </c>
      <c r="C227" s="71" t="s">
        <v>304</v>
      </c>
      <c r="D227" s="72">
        <f>IFERROR((BAL_H63[[#This Row],[H]]/BAL_H63[[#This Row],[AB]]),0)</f>
        <v>0.34615384615384615</v>
      </c>
      <c r="E227" s="72">
        <f>IFERROR((BAL_H63[[#This Row],[H]]+BAL_H63[[#This Row],[BB]])/(BAL_H63[[#This Row],[BB]]+BAL_H63[[#This Row],[AB]]),0)</f>
        <v>0.45161290322580644</v>
      </c>
      <c r="F227" s="73">
        <f>IFERROR(((BAL_H63[[#This Row],[H]]-BAL_H63[[#This Row],[2B]]-BAL_H63[[#This Row],[3B]]-BAL_H63[[#This Row],[HR]])+(BAL_H63[[#This Row],[2B]]*2)+(BAL_H63[[#This Row],[3B]]*3)+(BAL_H63[[#This Row],[HR]]*4))/BAL_H63[[#This Row],[AB]],0)</f>
        <v>0.5</v>
      </c>
      <c r="G227" s="28">
        <v>7</v>
      </c>
      <c r="H227" s="28">
        <v>26</v>
      </c>
      <c r="I227" s="28">
        <v>3</v>
      </c>
      <c r="J227" s="28">
        <v>9</v>
      </c>
      <c r="K227" s="28">
        <v>4</v>
      </c>
      <c r="L227" s="28">
        <v>0</v>
      </c>
      <c r="M227" s="28">
        <v>0</v>
      </c>
      <c r="N227" s="28">
        <v>3</v>
      </c>
      <c r="O227" s="28">
        <v>5</v>
      </c>
      <c r="P227" s="74">
        <v>7</v>
      </c>
      <c r="Q227" s="28">
        <v>0</v>
      </c>
      <c r="R227" s="28">
        <v>0</v>
      </c>
      <c r="S227" s="74">
        <v>5</v>
      </c>
      <c r="T227" s="28">
        <f>IFERROR((BAL_H63[[#This Row],[H]]-BAL_H63[[#This Row],[2B]]-BAL_H63[[#This Row],[3B]]-BAL_H63[[#This Row],[HR]])+(BAL_H63[[#This Row],[2B]]*2)+(BAL_H63[[#This Row],[3B]]*3)+(BAL_H63[[#This Row],[HR]]*4),0)</f>
        <v>13</v>
      </c>
      <c r="U227" s="72">
        <f>BAL_H63[[#This Row],[OBP]]+BAL_H63[[#This Row],[SLG]]</f>
        <v>0.95161290322580649</v>
      </c>
      <c r="V227" s="74">
        <v>0</v>
      </c>
      <c r="W227" s="615">
        <v>6</v>
      </c>
      <c r="Z227" s="651" t="s">
        <v>300</v>
      </c>
      <c r="AA227" s="71" t="s">
        <v>174</v>
      </c>
      <c r="AB227" s="71" t="s">
        <v>304</v>
      </c>
      <c r="AC227" s="72">
        <f>IFERROR((BAL_H23[[#This Row],[H]]/BAL_H23[[#This Row],[AB]]),0)</f>
        <v>0.2857142857142857</v>
      </c>
      <c r="AD227" s="72">
        <f>IFERROR((BAL_H23[[#This Row],[H]]+BAL_H23[[#This Row],[BB]])/(BAL_H23[[#This Row],[BB]]+BAL_H23[[#This Row],[AB]]),0)</f>
        <v>0.2857142857142857</v>
      </c>
      <c r="AE227" s="73">
        <f>IFERROR(((BAL_H23[[#This Row],[H]]-BAL_H23[[#This Row],[2B]]-BAL_H23[[#This Row],[3B]]-BAL_H23[[#This Row],[HR]])+(BAL_H23[[#This Row],[2B]]*2)+(BAL_H23[[#This Row],[3B]]*3)+(BAL_H23[[#This Row],[HR]]*4))/BAL_H23[[#This Row],[AB]],0)</f>
        <v>0.42857142857142855</v>
      </c>
      <c r="AF227" s="28">
        <v>3</v>
      </c>
      <c r="AG227" s="28">
        <v>14</v>
      </c>
      <c r="AH227" s="28">
        <v>3</v>
      </c>
      <c r="AI227" s="28">
        <v>4</v>
      </c>
      <c r="AJ227" s="28">
        <v>2</v>
      </c>
      <c r="AK227" s="28">
        <v>0</v>
      </c>
      <c r="AL227" s="28">
        <v>0</v>
      </c>
      <c r="AM227" s="28">
        <v>0</v>
      </c>
      <c r="AN227" s="28">
        <v>0</v>
      </c>
      <c r="AO227" s="74">
        <v>5</v>
      </c>
      <c r="AP227" s="28">
        <v>0</v>
      </c>
      <c r="AQ227" s="28">
        <v>1</v>
      </c>
      <c r="AR227" s="74">
        <v>1</v>
      </c>
      <c r="AS227" s="28">
        <f>IFERROR((BAL_H23[[#This Row],[H]]-BAL_H23[[#This Row],[2B]]-BAL_H23[[#This Row],[3B]]-BAL_H23[[#This Row],[HR]])+(BAL_H23[[#This Row],[2B]]*2)+(BAL_H23[[#This Row],[3B]]*3)+(BAL_H23[[#This Row],[HR]]*4),0)</f>
        <v>6</v>
      </c>
      <c r="AT227" s="72">
        <f>BAL_H23[[#This Row],[OBP]]+BAL_H23[[#This Row],[SLG]]</f>
        <v>0.71428571428571419</v>
      </c>
      <c r="AU227" s="74">
        <v>0</v>
      </c>
      <c r="AV227" s="615">
        <v>6</v>
      </c>
    </row>
    <row r="228" spans="1:48">
      <c r="A228" s="651" t="s">
        <v>300</v>
      </c>
      <c r="B228" s="71" t="s">
        <v>181</v>
      </c>
      <c r="C228" s="71" t="s">
        <v>306</v>
      </c>
      <c r="D228" s="72">
        <f>IFERROR((BAL_H63[[#This Row],[H]]/BAL_H63[[#This Row],[AB]]),0)</f>
        <v>0.31818181818181818</v>
      </c>
      <c r="E228" s="72">
        <f>IFERROR((BAL_H63[[#This Row],[H]]+BAL_H63[[#This Row],[BB]])/(BAL_H63[[#This Row],[BB]]+BAL_H63[[#This Row],[AB]]),0)</f>
        <v>0.42307692307692307</v>
      </c>
      <c r="F228" s="73">
        <f>IFERROR(((BAL_H63[[#This Row],[H]]-BAL_H63[[#This Row],[2B]]-BAL_H63[[#This Row],[3B]]-BAL_H63[[#This Row],[HR]])+(BAL_H63[[#This Row],[2B]]*2)+(BAL_H63[[#This Row],[3B]]*3)+(BAL_H63[[#This Row],[HR]]*4))/BAL_H63[[#This Row],[AB]],0)</f>
        <v>0.68181818181818177</v>
      </c>
      <c r="G228" s="28">
        <v>7</v>
      </c>
      <c r="H228" s="28">
        <v>22</v>
      </c>
      <c r="I228" s="28">
        <v>4</v>
      </c>
      <c r="J228" s="28">
        <v>7</v>
      </c>
      <c r="K228" s="28">
        <v>2</v>
      </c>
      <c r="L228" s="28">
        <v>0</v>
      </c>
      <c r="M228" s="28">
        <v>2</v>
      </c>
      <c r="N228" s="28">
        <v>2</v>
      </c>
      <c r="O228" s="28">
        <v>4</v>
      </c>
      <c r="P228" s="74">
        <v>4</v>
      </c>
      <c r="Q228" s="28">
        <v>1</v>
      </c>
      <c r="R228" s="28">
        <v>1</v>
      </c>
      <c r="S228" s="74">
        <v>3</v>
      </c>
      <c r="T228" s="28">
        <f>IFERROR((BAL_H63[[#This Row],[H]]-BAL_H63[[#This Row],[2B]]-BAL_H63[[#This Row],[3B]]-BAL_H63[[#This Row],[HR]])+(BAL_H63[[#This Row],[2B]]*2)+(BAL_H63[[#This Row],[3B]]*3)+(BAL_H63[[#This Row],[HR]]*4),0)</f>
        <v>15</v>
      </c>
      <c r="U228" s="72">
        <f>BAL_H63[[#This Row],[OBP]]+BAL_H63[[#This Row],[SLG]]</f>
        <v>1.1048951048951048</v>
      </c>
      <c r="V228" s="74">
        <v>2</v>
      </c>
      <c r="W228" s="615">
        <v>7</v>
      </c>
      <c r="Z228" s="651" t="s">
        <v>300</v>
      </c>
      <c r="AA228" s="71" t="s">
        <v>181</v>
      </c>
      <c r="AB228" s="71" t="s">
        <v>306</v>
      </c>
      <c r="AC228" s="72">
        <f>IFERROR((BAL_H23[[#This Row],[H]]/BAL_H23[[#This Row],[AB]]),0)</f>
        <v>0.1</v>
      </c>
      <c r="AD228" s="72">
        <f>IFERROR((BAL_H23[[#This Row],[H]]+BAL_H23[[#This Row],[BB]])/(BAL_H23[[#This Row],[BB]]+BAL_H23[[#This Row],[AB]]),0)</f>
        <v>0.18181818181818182</v>
      </c>
      <c r="AE228" s="73">
        <f>IFERROR(((BAL_H23[[#This Row],[H]]-BAL_H23[[#This Row],[2B]]-BAL_H23[[#This Row],[3B]]-BAL_H23[[#This Row],[HR]])+(BAL_H23[[#This Row],[2B]]*2)+(BAL_H23[[#This Row],[3B]]*3)+(BAL_H23[[#This Row],[HR]]*4))/BAL_H23[[#This Row],[AB]],0)</f>
        <v>0.1</v>
      </c>
      <c r="AF228" s="28">
        <v>3</v>
      </c>
      <c r="AG228" s="28">
        <v>10</v>
      </c>
      <c r="AH228" s="28">
        <v>0</v>
      </c>
      <c r="AI228" s="28">
        <v>1</v>
      </c>
      <c r="AJ228" s="28">
        <v>0</v>
      </c>
      <c r="AK228" s="28">
        <v>0</v>
      </c>
      <c r="AL228" s="28">
        <v>0</v>
      </c>
      <c r="AM228" s="28">
        <v>0</v>
      </c>
      <c r="AN228" s="28">
        <v>1</v>
      </c>
      <c r="AO228" s="74">
        <v>4</v>
      </c>
      <c r="AP228" s="28">
        <v>0</v>
      </c>
      <c r="AQ228" s="28">
        <v>0</v>
      </c>
      <c r="AR228" s="74">
        <v>1</v>
      </c>
      <c r="AS228" s="28">
        <f>IFERROR((BAL_H23[[#This Row],[H]]-BAL_H23[[#This Row],[2B]]-BAL_H23[[#This Row],[3B]]-BAL_H23[[#This Row],[HR]])+(BAL_H23[[#This Row],[2B]]*2)+(BAL_H23[[#This Row],[3B]]*3)+(BAL_H23[[#This Row],[HR]]*4),0)</f>
        <v>1</v>
      </c>
      <c r="AT228" s="72">
        <f>BAL_H23[[#This Row],[OBP]]+BAL_H23[[#This Row],[SLG]]</f>
        <v>0.28181818181818186</v>
      </c>
      <c r="AU228" s="74">
        <v>0</v>
      </c>
      <c r="AV228" s="615">
        <v>7</v>
      </c>
    </row>
    <row r="229" spans="1:48">
      <c r="A229" s="651" t="s">
        <v>300</v>
      </c>
      <c r="B229" s="71" t="s">
        <v>166</v>
      </c>
      <c r="C229" s="71" t="s">
        <v>302</v>
      </c>
      <c r="D229" s="72">
        <f>IFERROR((BAL_H63[[#This Row],[H]]/BAL_H63[[#This Row],[AB]]),0)</f>
        <v>0.13793103448275862</v>
      </c>
      <c r="E229" s="72">
        <f>IFERROR((BAL_H63[[#This Row],[H]]+BAL_H63[[#This Row],[BB]])/(BAL_H63[[#This Row],[BB]]+BAL_H63[[#This Row],[AB]]),0)</f>
        <v>0.16666666666666666</v>
      </c>
      <c r="F229" s="73">
        <f>IFERROR(((BAL_H63[[#This Row],[H]]-BAL_H63[[#This Row],[2B]]-BAL_H63[[#This Row],[3B]]-BAL_H63[[#This Row],[HR]])+(BAL_H63[[#This Row],[2B]]*2)+(BAL_H63[[#This Row],[3B]]*3)+(BAL_H63[[#This Row],[HR]]*4))/BAL_H63[[#This Row],[AB]],0)</f>
        <v>0.2413793103448276</v>
      </c>
      <c r="G229" s="28">
        <v>7</v>
      </c>
      <c r="H229" s="28">
        <v>29</v>
      </c>
      <c r="I229" s="28">
        <v>1</v>
      </c>
      <c r="J229" s="28">
        <v>4</v>
      </c>
      <c r="K229" s="28">
        <v>0</v>
      </c>
      <c r="L229" s="28">
        <v>0</v>
      </c>
      <c r="M229" s="28">
        <v>1</v>
      </c>
      <c r="N229" s="28">
        <v>3</v>
      </c>
      <c r="O229" s="28">
        <v>1</v>
      </c>
      <c r="P229" s="74">
        <v>12</v>
      </c>
      <c r="Q229" s="28">
        <v>0</v>
      </c>
      <c r="R229" s="28">
        <v>0</v>
      </c>
      <c r="S229" s="74">
        <v>2</v>
      </c>
      <c r="T229" s="28">
        <f>IFERROR((BAL_H63[[#This Row],[H]]-BAL_H63[[#This Row],[2B]]-BAL_H63[[#This Row],[3B]]-BAL_H63[[#This Row],[HR]])+(BAL_H63[[#This Row],[2B]]*2)+(BAL_H63[[#This Row],[3B]]*3)+(BAL_H63[[#This Row],[HR]]*4),0)</f>
        <v>7</v>
      </c>
      <c r="U229" s="72">
        <f>BAL_H63[[#This Row],[OBP]]+BAL_H63[[#This Row],[SLG]]</f>
        <v>0.40804597701149425</v>
      </c>
      <c r="V229" s="74">
        <v>0</v>
      </c>
      <c r="W229" s="615">
        <v>8</v>
      </c>
      <c r="Z229" s="651" t="s">
        <v>300</v>
      </c>
      <c r="AA229" s="71" t="s">
        <v>166</v>
      </c>
      <c r="AB229" s="71" t="s">
        <v>302</v>
      </c>
      <c r="AC229" s="72">
        <f>IFERROR((BAL_H23[[#This Row],[H]]/BAL_H23[[#This Row],[AB]]),0)</f>
        <v>0.16666666666666666</v>
      </c>
      <c r="AD229" s="72">
        <f>IFERROR((BAL_H23[[#This Row],[H]]+BAL_H23[[#This Row],[BB]])/(BAL_H23[[#This Row],[BB]]+BAL_H23[[#This Row],[AB]]),0)</f>
        <v>0.23076923076923078</v>
      </c>
      <c r="AE229" s="73">
        <f>IFERROR(((BAL_H23[[#This Row],[H]]-BAL_H23[[#This Row],[2B]]-BAL_H23[[#This Row],[3B]]-BAL_H23[[#This Row],[HR]])+(BAL_H23[[#This Row],[2B]]*2)+(BAL_H23[[#This Row],[3B]]*3)+(BAL_H23[[#This Row],[HR]]*4))/BAL_H23[[#This Row],[AB]],0)</f>
        <v>0.25</v>
      </c>
      <c r="AF229" s="28">
        <v>3</v>
      </c>
      <c r="AG229" s="28">
        <v>12</v>
      </c>
      <c r="AH229" s="28">
        <v>0</v>
      </c>
      <c r="AI229" s="28">
        <v>2</v>
      </c>
      <c r="AJ229" s="28">
        <v>1</v>
      </c>
      <c r="AK229" s="28">
        <v>0</v>
      </c>
      <c r="AL229" s="28">
        <v>0</v>
      </c>
      <c r="AM229" s="28">
        <v>1</v>
      </c>
      <c r="AN229" s="28">
        <v>1</v>
      </c>
      <c r="AO229" s="74">
        <v>5</v>
      </c>
      <c r="AP229" s="28">
        <v>0</v>
      </c>
      <c r="AQ229" s="28">
        <v>1</v>
      </c>
      <c r="AR229" s="74">
        <v>1</v>
      </c>
      <c r="AS229" s="28">
        <f>IFERROR((BAL_H23[[#This Row],[H]]-BAL_H23[[#This Row],[2B]]-BAL_H23[[#This Row],[3B]]-BAL_H23[[#This Row],[HR]])+(BAL_H23[[#This Row],[2B]]*2)+(BAL_H23[[#This Row],[3B]]*3)+(BAL_H23[[#This Row],[HR]]*4),0)</f>
        <v>3</v>
      </c>
      <c r="AT229" s="72">
        <f>BAL_H23[[#This Row],[OBP]]+BAL_H23[[#This Row],[SLG]]</f>
        <v>0.48076923076923078</v>
      </c>
      <c r="AU229" s="74">
        <v>0</v>
      </c>
      <c r="AV229" s="615">
        <v>8</v>
      </c>
    </row>
    <row r="230" spans="1:48">
      <c r="A230" s="651" t="s">
        <v>300</v>
      </c>
      <c r="B230" s="71" t="s">
        <v>168</v>
      </c>
      <c r="C230" s="71" t="s">
        <v>313</v>
      </c>
      <c r="D230" s="72">
        <f>IFERROR((BAL_H63[[#This Row],[H]]/BAL_H63[[#This Row],[AB]]),0)</f>
        <v>0.20833333333333334</v>
      </c>
      <c r="E230" s="72">
        <f>IFERROR((BAL_H63[[#This Row],[H]]+BAL_H63[[#This Row],[BB]])/(BAL_H63[[#This Row],[BB]]+BAL_H63[[#This Row],[AB]]),0)</f>
        <v>0.32142857142857145</v>
      </c>
      <c r="F230" s="73">
        <f>IFERROR(((BAL_H63[[#This Row],[H]]-BAL_H63[[#This Row],[2B]]-BAL_H63[[#This Row],[3B]]-BAL_H63[[#This Row],[HR]])+(BAL_H63[[#This Row],[2B]]*2)+(BAL_H63[[#This Row],[3B]]*3)+(BAL_H63[[#This Row],[HR]]*4))/BAL_H63[[#This Row],[AB]],0)</f>
        <v>0.20833333333333334</v>
      </c>
      <c r="G230" s="28">
        <v>7</v>
      </c>
      <c r="H230" s="28">
        <v>24</v>
      </c>
      <c r="I230" s="28">
        <v>0</v>
      </c>
      <c r="J230" s="28">
        <v>5</v>
      </c>
      <c r="K230" s="28">
        <v>0</v>
      </c>
      <c r="L230" s="28">
        <v>0</v>
      </c>
      <c r="M230" s="28">
        <v>0</v>
      </c>
      <c r="N230" s="28">
        <v>0</v>
      </c>
      <c r="O230" s="28">
        <v>4</v>
      </c>
      <c r="P230" s="74">
        <v>7</v>
      </c>
      <c r="Q230" s="28">
        <v>0</v>
      </c>
      <c r="R230" s="28">
        <v>0</v>
      </c>
      <c r="S230" s="74">
        <v>2</v>
      </c>
      <c r="T230" s="28">
        <f>IFERROR((BAL_H63[[#This Row],[H]]-BAL_H63[[#This Row],[2B]]-BAL_H63[[#This Row],[3B]]-BAL_H63[[#This Row],[HR]])+(BAL_H63[[#This Row],[2B]]*2)+(BAL_H63[[#This Row],[3B]]*3)+(BAL_H63[[#This Row],[HR]]*4),0)</f>
        <v>5</v>
      </c>
      <c r="U230" s="72">
        <f>BAL_H63[[#This Row],[OBP]]+BAL_H63[[#This Row],[SLG]]</f>
        <v>0.52976190476190477</v>
      </c>
      <c r="V230" s="74">
        <v>0</v>
      </c>
      <c r="W230" s="615">
        <v>9</v>
      </c>
      <c r="Z230" s="651" t="s">
        <v>300</v>
      </c>
      <c r="AA230" s="71" t="s">
        <v>168</v>
      </c>
      <c r="AB230" s="71" t="s">
        <v>303</v>
      </c>
      <c r="AC230" s="72">
        <f>IFERROR((BAL_H23[[#This Row],[H]]/BAL_H23[[#This Row],[AB]]),0)</f>
        <v>8.3333333333333329E-2</v>
      </c>
      <c r="AD230" s="72">
        <f>IFERROR((BAL_H23[[#This Row],[H]]+BAL_H23[[#This Row],[BB]])/(BAL_H23[[#This Row],[BB]]+BAL_H23[[#This Row],[AB]]),0)</f>
        <v>0.15384615384615385</v>
      </c>
      <c r="AE230" s="73">
        <f>IFERROR(((BAL_H23[[#This Row],[H]]-BAL_H23[[#This Row],[2B]]-BAL_H23[[#This Row],[3B]]-BAL_H23[[#This Row],[HR]])+(BAL_H23[[#This Row],[2B]]*2)+(BAL_H23[[#This Row],[3B]]*3)+(BAL_H23[[#This Row],[HR]]*4))/BAL_H23[[#This Row],[AB]],0)</f>
        <v>0.33333333333333331</v>
      </c>
      <c r="AF230" s="28">
        <v>3</v>
      </c>
      <c r="AG230" s="28">
        <v>12</v>
      </c>
      <c r="AH230" s="28">
        <v>1</v>
      </c>
      <c r="AI230" s="28">
        <v>1</v>
      </c>
      <c r="AJ230" s="28">
        <v>0</v>
      </c>
      <c r="AK230" s="28">
        <v>0</v>
      </c>
      <c r="AL230" s="28">
        <v>1</v>
      </c>
      <c r="AM230" s="28">
        <v>3</v>
      </c>
      <c r="AN230" s="28">
        <v>1</v>
      </c>
      <c r="AO230" s="74">
        <v>6</v>
      </c>
      <c r="AP230" s="28">
        <v>0</v>
      </c>
      <c r="AQ230" s="28">
        <v>0</v>
      </c>
      <c r="AR230" s="74">
        <v>1</v>
      </c>
      <c r="AS230" s="28">
        <f>IFERROR((BAL_H23[[#This Row],[H]]-BAL_H23[[#This Row],[2B]]-BAL_H23[[#This Row],[3B]]-BAL_H23[[#This Row],[HR]])+(BAL_H23[[#This Row],[2B]]*2)+(BAL_H23[[#This Row],[3B]]*3)+(BAL_H23[[#This Row],[HR]]*4),0)</f>
        <v>4</v>
      </c>
      <c r="AT230" s="72">
        <f>BAL_H23[[#This Row],[OBP]]+BAL_H23[[#This Row],[SLG]]</f>
        <v>0.48717948717948717</v>
      </c>
      <c r="AU230" s="74">
        <v>1</v>
      </c>
      <c r="AV230" s="615">
        <v>9</v>
      </c>
    </row>
    <row r="231" spans="1:48">
      <c r="A231" s="651" t="s">
        <v>300</v>
      </c>
      <c r="B231" s="71" t="s">
        <v>308</v>
      </c>
      <c r="C231" s="71" t="s">
        <v>320</v>
      </c>
      <c r="D231" s="72">
        <f>IFERROR((BAL_H63[[#This Row],[H]]/BAL_H63[[#This Row],[AB]]),0)</f>
        <v>0</v>
      </c>
      <c r="E231" s="72">
        <f>IFERROR((BAL_H63[[#This Row],[H]]+BAL_H63[[#This Row],[BB]])/(BAL_H63[[#This Row],[BB]]+BAL_H63[[#This Row],[AB]]),0)</f>
        <v>0</v>
      </c>
      <c r="F231" s="73">
        <f>IFERROR(((BAL_H63[[#This Row],[H]]-BAL_H63[[#This Row],[2B]]-BAL_H63[[#This Row],[3B]]-BAL_H63[[#This Row],[HR]])+(BAL_H63[[#This Row],[2B]]*2)+(BAL_H63[[#This Row],[3B]]*3)+(BAL_H63[[#This Row],[HR]]*4))/BAL_H63[[#This Row],[AB]],0)</f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74">
        <v>0</v>
      </c>
      <c r="Q231" s="28">
        <v>0</v>
      </c>
      <c r="R231" s="28">
        <v>0</v>
      </c>
      <c r="S231" s="74">
        <v>0</v>
      </c>
      <c r="T231" s="28">
        <f>IFERROR((BAL_H63[[#This Row],[H]]-BAL_H63[[#This Row],[2B]]-BAL_H63[[#This Row],[3B]]-BAL_H63[[#This Row],[HR]])+(BAL_H63[[#This Row],[2B]]*2)+(BAL_H63[[#This Row],[3B]]*3)+(BAL_H63[[#This Row],[HR]]*4),0)</f>
        <v>0</v>
      </c>
      <c r="U231" s="72">
        <f>BAL_H63[[#This Row],[OBP]]+BAL_H63[[#This Row],[SLG]]</f>
        <v>0</v>
      </c>
      <c r="V231" s="74">
        <v>0</v>
      </c>
      <c r="W231" s="615">
        <v>10</v>
      </c>
      <c r="Z231" s="651" t="s">
        <v>300</v>
      </c>
      <c r="AA231" s="71" t="s">
        <v>187</v>
      </c>
      <c r="AB231" s="71" t="s">
        <v>314</v>
      </c>
      <c r="AC231" s="72">
        <f>IFERROR((BAL_H23[[#This Row],[H]]/BAL_H23[[#This Row],[AB]]),0)</f>
        <v>0</v>
      </c>
      <c r="AD231" s="72">
        <f>IFERROR((BAL_H23[[#This Row],[H]]+BAL_H23[[#This Row],[BB]])/(BAL_H23[[#This Row],[BB]]+BAL_H23[[#This Row],[AB]]),0)</f>
        <v>0</v>
      </c>
      <c r="AE231" s="73">
        <f>IFERROR(((BAL_H23[[#This Row],[H]]-BAL_H23[[#This Row],[2B]]-BAL_H23[[#This Row],[3B]]-BAL_H23[[#This Row],[HR]])+(BAL_H23[[#This Row],[2B]]*2)+(BAL_H23[[#This Row],[3B]]*3)+(BAL_H23[[#This Row],[HR]]*4))/BAL_H23[[#This Row],[AB]],0)</f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0</v>
      </c>
      <c r="AN231" s="28">
        <v>0</v>
      </c>
      <c r="AO231" s="74">
        <v>0</v>
      </c>
      <c r="AP231" s="28">
        <v>0</v>
      </c>
      <c r="AQ231" s="28">
        <v>0</v>
      </c>
      <c r="AR231" s="74">
        <v>0</v>
      </c>
      <c r="AS231" s="28">
        <f>IFERROR((BAL_H23[[#This Row],[H]]-BAL_H23[[#This Row],[2B]]-BAL_H23[[#This Row],[3B]]-BAL_H23[[#This Row],[HR]])+(BAL_H23[[#This Row],[2B]]*2)+(BAL_H23[[#This Row],[3B]]*3)+(BAL_H23[[#This Row],[HR]]*4),0)</f>
        <v>0</v>
      </c>
      <c r="AT231" s="72">
        <f>BAL_H23[[#This Row],[OBP]]+BAL_H23[[#This Row],[SLG]]</f>
        <v>0</v>
      </c>
      <c r="AU231" s="74">
        <v>0</v>
      </c>
      <c r="AV231" s="615">
        <v>10</v>
      </c>
    </row>
    <row r="232" spans="1:48">
      <c r="A232" s="651" t="s">
        <v>300</v>
      </c>
      <c r="B232" s="71" t="s">
        <v>187</v>
      </c>
      <c r="C232" s="71" t="s">
        <v>315</v>
      </c>
      <c r="D232" s="72">
        <f>IFERROR((BAL_H63[[#This Row],[H]]/BAL_H63[[#This Row],[AB]]),0)</f>
        <v>0.25</v>
      </c>
      <c r="E232" s="72">
        <f>IFERROR((BAL_H63[[#This Row],[H]]+BAL_H63[[#This Row],[BB]])/(BAL_H63[[#This Row],[BB]]+BAL_H63[[#This Row],[AB]]),0)</f>
        <v>0.30769230769230771</v>
      </c>
      <c r="F232" s="73">
        <f>IFERROR(((BAL_H63[[#This Row],[H]]-BAL_H63[[#This Row],[2B]]-BAL_H63[[#This Row],[3B]]-BAL_H63[[#This Row],[HR]])+(BAL_H63[[#This Row],[2B]]*2)+(BAL_H63[[#This Row],[3B]]*3)+(BAL_H63[[#This Row],[HR]]*4))/BAL_H63[[#This Row],[AB]],0)</f>
        <v>0.29166666666666669</v>
      </c>
      <c r="G232" s="28">
        <v>7</v>
      </c>
      <c r="H232" s="28">
        <v>24</v>
      </c>
      <c r="I232" s="28">
        <v>3</v>
      </c>
      <c r="J232" s="28">
        <v>6</v>
      </c>
      <c r="K232" s="28">
        <v>1</v>
      </c>
      <c r="L232" s="28">
        <v>0</v>
      </c>
      <c r="M232" s="28">
        <v>0</v>
      </c>
      <c r="N232" s="28">
        <v>1</v>
      </c>
      <c r="O232" s="28">
        <v>2</v>
      </c>
      <c r="P232" s="74">
        <v>5</v>
      </c>
      <c r="Q232" s="28">
        <v>0</v>
      </c>
      <c r="R232" s="28">
        <v>5</v>
      </c>
      <c r="S232" s="74">
        <v>5</v>
      </c>
      <c r="T232" s="28">
        <f>IFERROR((BAL_H63[[#This Row],[H]]-BAL_H63[[#This Row],[2B]]-BAL_H63[[#This Row],[3B]]-BAL_H63[[#This Row],[HR]])+(BAL_H63[[#This Row],[2B]]*2)+(BAL_H63[[#This Row],[3B]]*3)+(BAL_H63[[#This Row],[HR]]*4),0)</f>
        <v>7</v>
      </c>
      <c r="U232" s="72">
        <f>BAL_H63[[#This Row],[OBP]]+BAL_H63[[#This Row],[SLG]]</f>
        <v>0.59935897435897445</v>
      </c>
      <c r="V232" s="74">
        <v>0</v>
      </c>
      <c r="W232" s="615">
        <v>11</v>
      </c>
      <c r="Z232" s="651" t="s">
        <v>300</v>
      </c>
      <c r="AA232" s="71" t="s">
        <v>187</v>
      </c>
      <c r="AB232" s="71" t="s">
        <v>316</v>
      </c>
      <c r="AC232" s="72">
        <f>IFERROR((BAL_H23[[#This Row],[H]]/BAL_H23[[#This Row],[AB]]),0)</f>
        <v>0</v>
      </c>
      <c r="AD232" s="72">
        <f>IFERROR((BAL_H23[[#This Row],[H]]+BAL_H23[[#This Row],[BB]])/(BAL_H23[[#This Row],[BB]]+BAL_H23[[#This Row],[AB]]),0)</f>
        <v>0</v>
      </c>
      <c r="AE232" s="73">
        <f>IFERROR(((BAL_H23[[#This Row],[H]]-BAL_H23[[#This Row],[2B]]-BAL_H23[[#This Row],[3B]]-BAL_H23[[#This Row],[HR]])+(BAL_H23[[#This Row],[2B]]*2)+(BAL_H23[[#This Row],[3B]]*3)+(BAL_H23[[#This Row],[HR]]*4))/BAL_H23[[#This Row],[AB]],0)</f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74">
        <v>0</v>
      </c>
      <c r="AP232" s="28">
        <v>0</v>
      </c>
      <c r="AQ232" s="28">
        <v>0</v>
      </c>
      <c r="AR232" s="74">
        <v>0</v>
      </c>
      <c r="AS232" s="28">
        <f>IFERROR((BAL_H23[[#This Row],[H]]-BAL_H23[[#This Row],[2B]]-BAL_H23[[#This Row],[3B]]-BAL_H23[[#This Row],[HR]])+(BAL_H23[[#This Row],[2B]]*2)+(BAL_H23[[#This Row],[3B]]*3)+(BAL_H23[[#This Row],[HR]]*4),0)</f>
        <v>0</v>
      </c>
      <c r="AT232" s="72">
        <f>BAL_H23[[#This Row],[OBP]]+BAL_H23[[#This Row],[SLG]]</f>
        <v>0</v>
      </c>
      <c r="AU232" s="74">
        <v>0</v>
      </c>
      <c r="AV232" s="615">
        <v>11</v>
      </c>
    </row>
    <row r="233" spans="1:48">
      <c r="A233" s="651" t="s">
        <v>300</v>
      </c>
      <c r="B233" s="71" t="s">
        <v>192</v>
      </c>
      <c r="C233" s="71" t="s">
        <v>318</v>
      </c>
      <c r="D233" s="72">
        <f>IFERROR((BAL_H63[[#This Row],[H]]/BAL_H63[[#This Row],[AB]]),0)</f>
        <v>0</v>
      </c>
      <c r="E233" s="72">
        <f>IFERROR((BAL_H63[[#This Row],[H]]+BAL_H63[[#This Row],[BB]])/(BAL_H63[[#This Row],[BB]]+BAL_H63[[#This Row],[AB]]),0)</f>
        <v>0</v>
      </c>
      <c r="F233" s="73">
        <f>IFERROR(((BAL_H63[[#This Row],[H]]-BAL_H63[[#This Row],[2B]]-BAL_H63[[#This Row],[3B]]-BAL_H63[[#This Row],[HR]])+(BAL_H63[[#This Row],[2B]]*2)+(BAL_H63[[#This Row],[3B]]*3)+(BAL_H63[[#This Row],[HR]]*4))/BAL_H63[[#This Row],[AB]],0)</f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74">
        <v>0</v>
      </c>
      <c r="Q233" s="28">
        <v>0</v>
      </c>
      <c r="R233" s="28">
        <v>0</v>
      </c>
      <c r="S233" s="74">
        <v>0</v>
      </c>
      <c r="T233" s="28">
        <f>IFERROR((BAL_H63[[#This Row],[H]]-BAL_H63[[#This Row],[2B]]-BAL_H63[[#This Row],[3B]]-BAL_H63[[#This Row],[HR]])+(BAL_H63[[#This Row],[2B]]*2)+(BAL_H63[[#This Row],[3B]]*3)+(BAL_H63[[#This Row],[HR]]*4),0)</f>
        <v>0</v>
      </c>
      <c r="U233" s="72">
        <f>BAL_H63[[#This Row],[OBP]]+BAL_H63[[#This Row],[SLG]]</f>
        <v>0</v>
      </c>
      <c r="V233" s="74">
        <v>0</v>
      </c>
      <c r="W233" s="615">
        <v>12</v>
      </c>
      <c r="Z233" s="651" t="s">
        <v>300</v>
      </c>
      <c r="AA233" s="71" t="s">
        <v>186</v>
      </c>
      <c r="AB233" s="71" t="s">
        <v>310</v>
      </c>
      <c r="AC233" s="72">
        <f>IFERROR((BAL_H23[[#This Row],[H]]/BAL_H23[[#This Row],[AB]]),0)</f>
        <v>0</v>
      </c>
      <c r="AD233" s="72">
        <f>IFERROR((BAL_H23[[#This Row],[H]]+BAL_H23[[#This Row],[BB]])/(BAL_H23[[#This Row],[BB]]+BAL_H23[[#This Row],[AB]]),0)</f>
        <v>0</v>
      </c>
      <c r="AE233" s="73">
        <f>IFERROR(((BAL_H23[[#This Row],[H]]-BAL_H23[[#This Row],[2B]]-BAL_H23[[#This Row],[3B]]-BAL_H23[[#This Row],[HR]])+(BAL_H23[[#This Row],[2B]]*2)+(BAL_H23[[#This Row],[3B]]*3)+(BAL_H23[[#This Row],[HR]]*4))/BAL_H23[[#This Row],[AB]],0)</f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74">
        <v>0</v>
      </c>
      <c r="AP233" s="28">
        <v>0</v>
      </c>
      <c r="AQ233" s="28">
        <v>0</v>
      </c>
      <c r="AR233" s="74">
        <v>0</v>
      </c>
      <c r="AS233" s="28">
        <f>IFERROR((BAL_H23[[#This Row],[H]]-BAL_H23[[#This Row],[2B]]-BAL_H23[[#This Row],[3B]]-BAL_H23[[#This Row],[HR]])+(BAL_H23[[#This Row],[2B]]*2)+(BAL_H23[[#This Row],[3B]]*3)+(BAL_H23[[#This Row],[HR]]*4),0)</f>
        <v>0</v>
      </c>
      <c r="AT233" s="72">
        <f>BAL_H23[[#This Row],[OBP]]+BAL_H23[[#This Row],[SLG]]</f>
        <v>0</v>
      </c>
      <c r="AU233" s="74">
        <v>0</v>
      </c>
      <c r="AV233" s="615">
        <v>12</v>
      </c>
    </row>
    <row r="234" spans="1:48">
      <c r="A234" s="651" t="s">
        <v>300</v>
      </c>
      <c r="B234" s="71" t="s">
        <v>186</v>
      </c>
      <c r="C234" s="71" t="s">
        <v>303</v>
      </c>
      <c r="D234" s="72">
        <f>IFERROR((BAL_H63[[#This Row],[H]]/BAL_H63[[#This Row],[AB]]),0)</f>
        <v>0</v>
      </c>
      <c r="E234" s="72">
        <f>IFERROR((BAL_H63[[#This Row],[H]]+BAL_H63[[#This Row],[BB]])/(BAL_H63[[#This Row],[BB]]+BAL_H63[[#This Row],[AB]]),0)</f>
        <v>0</v>
      </c>
      <c r="F234" s="73">
        <f>IFERROR(((BAL_H63[[#This Row],[H]]-BAL_H63[[#This Row],[2B]]-BAL_H63[[#This Row],[3B]]-BAL_H63[[#This Row],[HR]])+(BAL_H63[[#This Row],[2B]]*2)+(BAL_H63[[#This Row],[3B]]*3)+(BAL_H63[[#This Row],[HR]]*4))/BAL_H63[[#This Row],[AB]],0)</f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74">
        <v>0</v>
      </c>
      <c r="Q234" s="28">
        <v>0</v>
      </c>
      <c r="R234" s="28">
        <v>0</v>
      </c>
      <c r="S234" s="74">
        <v>0</v>
      </c>
      <c r="T234" s="28">
        <f>IFERROR((BAL_H63[[#This Row],[H]]-BAL_H63[[#This Row],[2B]]-BAL_H63[[#This Row],[3B]]-BAL_H63[[#This Row],[HR]])+(BAL_H63[[#This Row],[2B]]*2)+(BAL_H63[[#This Row],[3B]]*3)+(BAL_H63[[#This Row],[HR]]*4),0)</f>
        <v>0</v>
      </c>
      <c r="U234" s="72">
        <f>BAL_H63[[#This Row],[OBP]]+BAL_H63[[#This Row],[SLG]]</f>
        <v>0</v>
      </c>
      <c r="V234" s="74">
        <v>0</v>
      </c>
      <c r="W234" s="615">
        <v>13</v>
      </c>
      <c r="Z234" s="651" t="s">
        <v>300</v>
      </c>
      <c r="AA234" s="71" t="s">
        <v>186</v>
      </c>
      <c r="AB234" s="71" t="s">
        <v>313</v>
      </c>
      <c r="AC234" s="72">
        <f>IFERROR((BAL_H23[[#This Row],[H]]/BAL_H23[[#This Row],[AB]]),0)</f>
        <v>0</v>
      </c>
      <c r="AD234" s="72">
        <f>IFERROR((BAL_H23[[#This Row],[H]]+BAL_H23[[#This Row],[BB]])/(BAL_H23[[#This Row],[BB]]+BAL_H23[[#This Row],[AB]]),0)</f>
        <v>0</v>
      </c>
      <c r="AE234" s="73">
        <f>IFERROR(((BAL_H23[[#This Row],[H]]-BAL_H23[[#This Row],[2B]]-BAL_H23[[#This Row],[3B]]-BAL_H23[[#This Row],[HR]])+(BAL_H23[[#This Row],[2B]]*2)+(BAL_H23[[#This Row],[3B]]*3)+(BAL_H23[[#This Row],[HR]]*4))/BAL_H23[[#This Row],[AB]],0)</f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0</v>
      </c>
      <c r="AO234" s="74">
        <v>0</v>
      </c>
      <c r="AP234" s="28">
        <v>0</v>
      </c>
      <c r="AQ234" s="28">
        <v>0</v>
      </c>
      <c r="AR234" s="74">
        <v>0</v>
      </c>
      <c r="AS234" s="28">
        <f>IFERROR((BAL_H23[[#This Row],[H]]-BAL_H23[[#This Row],[2B]]-BAL_H23[[#This Row],[3B]]-BAL_H23[[#This Row],[HR]])+(BAL_H23[[#This Row],[2B]]*2)+(BAL_H23[[#This Row],[3B]]*3)+(BAL_H23[[#This Row],[HR]]*4),0)</f>
        <v>0</v>
      </c>
      <c r="AT234" s="72">
        <f>BAL_H23[[#This Row],[OBP]]+BAL_H23[[#This Row],[SLG]]</f>
        <v>0</v>
      </c>
      <c r="AU234" s="74">
        <v>0</v>
      </c>
      <c r="AV234" s="615">
        <v>13</v>
      </c>
    </row>
    <row r="235" spans="1:48" ht="17" thickBot="1">
      <c r="A235" s="651" t="s">
        <v>300</v>
      </c>
      <c r="B235" s="71" t="s">
        <v>184</v>
      </c>
      <c r="C235" s="71" t="s">
        <v>317</v>
      </c>
      <c r="D235" s="72">
        <f>IFERROR((BAL_H63[[#This Row],[H]]/BAL_H63[[#This Row],[AB]]),0)</f>
        <v>0</v>
      </c>
      <c r="E235" s="72">
        <f>IFERROR((BAL_H63[[#This Row],[H]]+BAL_H63[[#This Row],[BB]])/(BAL_H63[[#This Row],[BB]]+BAL_H63[[#This Row],[AB]]),0)</f>
        <v>0</v>
      </c>
      <c r="F235" s="73">
        <f>IFERROR(((BAL_H63[[#This Row],[H]]-BAL_H63[[#This Row],[2B]]-BAL_H63[[#This Row],[3B]]-BAL_H63[[#This Row],[HR]])+(BAL_H63[[#This Row],[2B]]*2)+(BAL_H63[[#This Row],[3B]]*3)+(BAL_H63[[#This Row],[HR]]*4))/BAL_H63[[#This Row],[AB]],0)</f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74">
        <v>0</v>
      </c>
      <c r="Q235" s="28">
        <v>0</v>
      </c>
      <c r="R235" s="28">
        <v>0</v>
      </c>
      <c r="S235" s="74">
        <v>0</v>
      </c>
      <c r="T235" s="28">
        <f>IFERROR((BAL_H63[[#This Row],[H]]-BAL_H63[[#This Row],[2B]]-BAL_H63[[#This Row],[3B]]-BAL_H63[[#This Row],[HR]])+(BAL_H63[[#This Row],[2B]]*2)+(BAL_H63[[#This Row],[3B]]*3)+(BAL_H63[[#This Row],[HR]]*4),0)</f>
        <v>0</v>
      </c>
      <c r="U235" s="72">
        <f>BAL_H63[[#This Row],[OBP]]+BAL_H63[[#This Row],[SLG]]</f>
        <v>0</v>
      </c>
      <c r="V235" s="74">
        <v>0</v>
      </c>
      <c r="W235" s="615">
        <v>14</v>
      </c>
      <c r="Z235" s="651" t="s">
        <v>300</v>
      </c>
      <c r="AA235" s="71" t="s">
        <v>186</v>
      </c>
      <c r="AB235" s="71" t="s">
        <v>321</v>
      </c>
      <c r="AC235" s="72">
        <f>IFERROR((BAL_H23[[#This Row],[H]]/BAL_H23[[#This Row],[AB]]),0)</f>
        <v>0</v>
      </c>
      <c r="AD235" s="72">
        <f>IFERROR((BAL_H23[[#This Row],[H]]+BAL_H23[[#This Row],[BB]])/(BAL_H23[[#This Row],[BB]]+BAL_H23[[#This Row],[AB]]),0)</f>
        <v>0</v>
      </c>
      <c r="AE235" s="73">
        <f>IFERROR(((BAL_H23[[#This Row],[H]]-BAL_H23[[#This Row],[2B]]-BAL_H23[[#This Row],[3B]]-BAL_H23[[#This Row],[HR]])+(BAL_H23[[#This Row],[2B]]*2)+(BAL_H23[[#This Row],[3B]]*3)+(BAL_H23[[#This Row],[HR]]*4))/BAL_H23[[#This Row],[AB]],0)</f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74">
        <v>0</v>
      </c>
      <c r="AP235" s="28">
        <v>0</v>
      </c>
      <c r="AQ235" s="28">
        <v>0</v>
      </c>
      <c r="AR235" s="74">
        <v>0</v>
      </c>
      <c r="AS235" s="28">
        <f>IFERROR((BAL_H23[[#This Row],[H]]-BAL_H23[[#This Row],[2B]]-BAL_H23[[#This Row],[3B]]-BAL_H23[[#This Row],[HR]])+(BAL_H23[[#This Row],[2B]]*2)+(BAL_H23[[#This Row],[3B]]*3)+(BAL_H23[[#This Row],[HR]]*4),0)</f>
        <v>0</v>
      </c>
      <c r="AT235" s="72">
        <f>BAL_H23[[#This Row],[OBP]]+BAL_H23[[#This Row],[SLG]]</f>
        <v>0</v>
      </c>
      <c r="AU235" s="74">
        <v>0</v>
      </c>
      <c r="AV235" s="615">
        <v>14</v>
      </c>
    </row>
    <row r="236" spans="1:48" ht="17" thickBot="1">
      <c r="A236" s="652"/>
      <c r="B236" s="653"/>
      <c r="C236" s="654" t="s">
        <v>195</v>
      </c>
      <c r="D236" s="656">
        <f>J236/H236</f>
        <v>0.22413793103448276</v>
      </c>
      <c r="E236" s="656">
        <f>(J236+O236)/(H236+O236)</f>
        <v>0.30769230769230771</v>
      </c>
      <c r="F236" s="657">
        <f>((J236-K236-L236-M236)+(K236*2)+(L236*3)+(M236*4))/H236</f>
        <v>0.32758620689655171</v>
      </c>
      <c r="G236" s="658"/>
      <c r="H236" s="658">
        <f>SUBTOTAL(109,BAL_H63[AB])</f>
        <v>232</v>
      </c>
      <c r="I236" s="658">
        <f>SUBTOTAL(109,BAL_H63[R])</f>
        <v>20</v>
      </c>
      <c r="J236" s="658">
        <f>SUBTOTAL(109,BAL_H63[H])</f>
        <v>52</v>
      </c>
      <c r="K236" s="658">
        <f>SUBTOTAL(109,BAL_H63[2B])</f>
        <v>12</v>
      </c>
      <c r="L236" s="658">
        <f>SUBTOTAL(109,BAL_H63[3B])</f>
        <v>0</v>
      </c>
      <c r="M236" s="658">
        <f>SUBTOTAL(109,BAL_H63[HR])</f>
        <v>4</v>
      </c>
      <c r="N236" s="658">
        <f>SUBTOTAL(109,BAL_H63[RBI])</f>
        <v>20</v>
      </c>
      <c r="O236" s="658">
        <f>SUBTOTAL(109,BAL_H63[BB])</f>
        <v>28</v>
      </c>
      <c r="P236" s="660">
        <f>SUBTOTAL(109,BAL_H63[K])</f>
        <v>58</v>
      </c>
      <c r="Q236" s="658">
        <f>SUBTOTAL(109,BAL_H63[SB])</f>
        <v>5</v>
      </c>
      <c r="R236" s="658"/>
      <c r="S236" s="660"/>
      <c r="T236" s="658">
        <f>SUBTOTAL(109,BAL_H63[TB])</f>
        <v>76</v>
      </c>
      <c r="U236" s="656">
        <f>E236+F236</f>
        <v>0.63527851458885942</v>
      </c>
      <c r="V236" s="660">
        <f>SUBTOTAL(109,BAL_H63[*])</f>
        <v>4</v>
      </c>
      <c r="W236" s="662"/>
      <c r="Z236" s="652"/>
      <c r="AA236" s="653"/>
      <c r="AB236" s="654" t="s">
        <v>195</v>
      </c>
      <c r="AC236" s="656">
        <f>AI236/AG236</f>
        <v>0.23076923076923078</v>
      </c>
      <c r="AD236" s="656">
        <f>(AI236+AN236)/(AG236+AN236)</f>
        <v>0.29203539823008851</v>
      </c>
      <c r="AE236" s="657">
        <f>((AI236-AJ236-AK236-AL236)+(AJ236*2)+(AK236*3)+(AL236*4))/AG236</f>
        <v>0.39423076923076922</v>
      </c>
      <c r="AF236" s="658"/>
      <c r="AG236" s="658">
        <f>SUBTOTAL(109,BAL_H23[AB])</f>
        <v>104</v>
      </c>
      <c r="AH236" s="658">
        <f>SUBTOTAL(109,BAL_H23[R])</f>
        <v>11</v>
      </c>
      <c r="AI236" s="658">
        <f>SUBTOTAL(109,BAL_H23[H])</f>
        <v>24</v>
      </c>
      <c r="AJ236" s="658">
        <f>SUBTOTAL(109,BAL_H23[2B])</f>
        <v>5</v>
      </c>
      <c r="AK236" s="658">
        <f>SUBTOTAL(109,BAL_H23[3B])</f>
        <v>0</v>
      </c>
      <c r="AL236" s="658">
        <f>SUBTOTAL(109,BAL_H23[HR])</f>
        <v>4</v>
      </c>
      <c r="AM236" s="658">
        <f>SUBTOTAL(109,BAL_H23[RBI])</f>
        <v>11</v>
      </c>
      <c r="AN236" s="658">
        <f>SUBTOTAL(109,BAL_H23[BB])</f>
        <v>9</v>
      </c>
      <c r="AO236" s="660">
        <f>SUBTOTAL(109,BAL_H23[K])</f>
        <v>37</v>
      </c>
      <c r="AP236" s="658">
        <f>SUBTOTAL(109,BAL_H23[SB])</f>
        <v>0</v>
      </c>
      <c r="AQ236" s="658"/>
      <c r="AR236" s="660"/>
      <c r="AS236" s="658">
        <f>SUBTOTAL(109,BAL_H23[TB])</f>
        <v>41</v>
      </c>
      <c r="AT236" s="656">
        <f>AD236+AE236</f>
        <v>0.68626616746085767</v>
      </c>
      <c r="AU236" s="660">
        <f>SUBTOTAL(109,BAL_H23[*])</f>
        <v>1</v>
      </c>
      <c r="AV236" s="662"/>
    </row>
    <row r="237" spans="1:48" ht="17" thickBot="1"/>
    <row r="238" spans="1:48" ht="17" thickBot="1">
      <c r="A238" s="605" t="s">
        <v>143</v>
      </c>
      <c r="B238" s="606" t="s">
        <v>144</v>
      </c>
      <c r="C238" s="606" t="s">
        <v>145</v>
      </c>
      <c r="D238" s="606" t="s">
        <v>196</v>
      </c>
      <c r="E238" s="606" t="s">
        <v>197</v>
      </c>
      <c r="F238" s="606" t="s">
        <v>198</v>
      </c>
      <c r="G238" s="606" t="s">
        <v>149</v>
      </c>
      <c r="H238" s="606" t="s">
        <v>199</v>
      </c>
      <c r="I238" s="606" t="s">
        <v>152</v>
      </c>
      <c r="J238" s="606" t="s">
        <v>151</v>
      </c>
      <c r="K238" s="606" t="s">
        <v>157</v>
      </c>
      <c r="L238" s="606" t="s">
        <v>158</v>
      </c>
      <c r="M238" s="606" t="s">
        <v>200</v>
      </c>
      <c r="N238" s="606" t="s">
        <v>201</v>
      </c>
      <c r="O238" s="606" t="s">
        <v>202</v>
      </c>
      <c r="P238" s="606" t="s">
        <v>203</v>
      </c>
      <c r="Q238" s="606" t="s">
        <v>204</v>
      </c>
      <c r="R238" s="606" t="s">
        <v>205</v>
      </c>
      <c r="S238" s="607" t="s">
        <v>164</v>
      </c>
      <c r="T238" s="64"/>
      <c r="U238" s="64"/>
      <c r="V238" s="64"/>
      <c r="W238" s="64"/>
      <c r="Z238" s="605" t="s">
        <v>143</v>
      </c>
      <c r="AA238" s="606" t="s">
        <v>144</v>
      </c>
      <c r="AB238" s="606" t="s">
        <v>145</v>
      </c>
      <c r="AC238" s="606" t="s">
        <v>196</v>
      </c>
      <c r="AD238" s="606" t="s">
        <v>197</v>
      </c>
      <c r="AE238" s="606" t="s">
        <v>198</v>
      </c>
      <c r="AF238" s="606" t="s">
        <v>149</v>
      </c>
      <c r="AG238" s="606" t="s">
        <v>199</v>
      </c>
      <c r="AH238" s="606" t="s">
        <v>152</v>
      </c>
      <c r="AI238" s="606" t="s">
        <v>151</v>
      </c>
      <c r="AJ238" s="606" t="s">
        <v>157</v>
      </c>
      <c r="AK238" s="606" t="s">
        <v>158</v>
      </c>
      <c r="AL238" s="606" t="s">
        <v>200</v>
      </c>
      <c r="AM238" s="606" t="s">
        <v>201</v>
      </c>
      <c r="AN238" s="606" t="s">
        <v>202</v>
      </c>
      <c r="AO238" s="606" t="s">
        <v>203</v>
      </c>
      <c r="AP238" s="606" t="s">
        <v>204</v>
      </c>
      <c r="AQ238" s="606" t="s">
        <v>205</v>
      </c>
      <c r="AR238" s="607" t="s">
        <v>164</v>
      </c>
    </row>
    <row r="239" spans="1:48">
      <c r="A239" s="650" t="s">
        <v>300</v>
      </c>
      <c r="B239" s="597" t="s">
        <v>206</v>
      </c>
      <c r="C239" s="682" t="s">
        <v>322</v>
      </c>
      <c r="D239" s="663">
        <f>IFERROR((BAL_P62[[#This Row],[R]]*9)/BAL_P62[[#This Row],[IP]],0)</f>
        <v>2.1428571428571428</v>
      </c>
      <c r="E239" s="600">
        <v>2</v>
      </c>
      <c r="F239" s="604">
        <v>1</v>
      </c>
      <c r="G239" s="600">
        <v>3</v>
      </c>
      <c r="H239" s="630">
        <v>21</v>
      </c>
      <c r="I239" s="600">
        <v>11</v>
      </c>
      <c r="J239" s="600">
        <v>5</v>
      </c>
      <c r="K239" s="600">
        <v>9</v>
      </c>
      <c r="L239" s="600">
        <v>25</v>
      </c>
      <c r="M239" s="600">
        <v>0</v>
      </c>
      <c r="N239" s="631">
        <f>IFERROR((BAL_P62[[#This Row],[BB]]+BAL_P62[[#This Row],[H]])/BAL_P62[[#This Row],[IP]],0)</f>
        <v>0.95238095238095233</v>
      </c>
      <c r="O239" s="600">
        <v>2</v>
      </c>
      <c r="P239" s="601">
        <v>2</v>
      </c>
      <c r="Q239" s="600">
        <v>0</v>
      </c>
      <c r="R239" s="604">
        <v>0</v>
      </c>
      <c r="S239" s="614">
        <v>1</v>
      </c>
      <c r="Z239" s="650" t="s">
        <v>300</v>
      </c>
      <c r="AA239" s="597" t="s">
        <v>206</v>
      </c>
      <c r="AB239" s="604" t="s">
        <v>323</v>
      </c>
      <c r="AC239" s="663">
        <f>IFERROR((BAL_P24[[#This Row],[R]]*9)/BAL_P24[[#This Row],[IP]],0)</f>
        <v>16.628175519630485</v>
      </c>
      <c r="AD239" s="600">
        <v>0</v>
      </c>
      <c r="AE239" s="604">
        <v>1</v>
      </c>
      <c r="AF239" s="600">
        <v>1</v>
      </c>
      <c r="AG239" s="630">
        <v>4.33</v>
      </c>
      <c r="AH239" s="600">
        <v>10</v>
      </c>
      <c r="AI239" s="600">
        <v>8</v>
      </c>
      <c r="AJ239" s="600">
        <v>2</v>
      </c>
      <c r="AK239" s="600">
        <v>3</v>
      </c>
      <c r="AL239" s="600">
        <v>0</v>
      </c>
      <c r="AM239" s="631">
        <f>IFERROR((BAL_P24[[#This Row],[BB]]+BAL_P24[[#This Row],[H]])/BAL_P24[[#This Row],[IP]],0)</f>
        <v>2.7713625866050808</v>
      </c>
      <c r="AN239" s="600">
        <v>0</v>
      </c>
      <c r="AO239" s="601">
        <v>0</v>
      </c>
      <c r="AP239" s="600">
        <v>0</v>
      </c>
      <c r="AQ239" s="604">
        <v>0</v>
      </c>
      <c r="AR239" s="614">
        <v>1</v>
      </c>
    </row>
    <row r="240" spans="1:48">
      <c r="A240" s="651" t="s">
        <v>300</v>
      </c>
      <c r="B240" s="71" t="s">
        <v>206</v>
      </c>
      <c r="C240" s="74" t="s">
        <v>323</v>
      </c>
      <c r="D240" s="88">
        <f>IFERROR((BAL_P62[[#This Row],[R]]*9)/BAL_P62[[#This Row],[IP]],0)</f>
        <v>2.25</v>
      </c>
      <c r="E240" s="28">
        <v>2</v>
      </c>
      <c r="F240" s="74">
        <v>0</v>
      </c>
      <c r="G240" s="28">
        <v>3</v>
      </c>
      <c r="H240" s="584">
        <v>20</v>
      </c>
      <c r="I240" s="28">
        <v>21</v>
      </c>
      <c r="J240" s="28">
        <v>5</v>
      </c>
      <c r="K240" s="28">
        <v>3</v>
      </c>
      <c r="L240" s="28">
        <v>9</v>
      </c>
      <c r="M240" s="28">
        <v>0</v>
      </c>
      <c r="N240" s="89">
        <f>IFERROR((BAL_P62[[#This Row],[BB]]+BAL_P62[[#This Row],[H]])/BAL_P62[[#This Row],[IP]],0)</f>
        <v>1.2</v>
      </c>
      <c r="O240" s="28">
        <v>3</v>
      </c>
      <c r="P240" s="90">
        <v>2</v>
      </c>
      <c r="Q240" s="28">
        <v>0</v>
      </c>
      <c r="R240" s="74">
        <v>0</v>
      </c>
      <c r="S240" s="615">
        <v>2</v>
      </c>
      <c r="Z240" s="651" t="s">
        <v>300</v>
      </c>
      <c r="AA240" s="71" t="s">
        <v>206</v>
      </c>
      <c r="AB240" s="87" t="s">
        <v>324</v>
      </c>
      <c r="AC240" s="88">
        <f>IFERROR((BAL_P24[[#This Row],[R]]*9)/BAL_P24[[#This Row],[IP]],0)</f>
        <v>1.5873015873015872</v>
      </c>
      <c r="AD240" s="28">
        <v>1</v>
      </c>
      <c r="AE240" s="74">
        <v>0</v>
      </c>
      <c r="AF240" s="28">
        <v>1</v>
      </c>
      <c r="AG240" s="584">
        <v>5.67</v>
      </c>
      <c r="AH240" s="28">
        <v>9</v>
      </c>
      <c r="AI240" s="28">
        <v>1</v>
      </c>
      <c r="AJ240" s="28">
        <v>3</v>
      </c>
      <c r="AK240" s="28">
        <v>8</v>
      </c>
      <c r="AL240" s="28">
        <v>0</v>
      </c>
      <c r="AM240" s="89">
        <f>IFERROR((BAL_P24[[#This Row],[BB]]+BAL_P24[[#This Row],[H]])/BAL_P24[[#This Row],[IP]],0)</f>
        <v>2.1164021164021163</v>
      </c>
      <c r="AN240" s="28">
        <v>0</v>
      </c>
      <c r="AO240" s="90">
        <v>0</v>
      </c>
      <c r="AP240" s="28">
        <v>0</v>
      </c>
      <c r="AQ240" s="74">
        <v>0</v>
      </c>
      <c r="AR240" s="615">
        <v>2</v>
      </c>
    </row>
    <row r="241" spans="1:48">
      <c r="A241" s="651" t="s">
        <v>300</v>
      </c>
      <c r="B241" s="71" t="s">
        <v>206</v>
      </c>
      <c r="C241" s="87" t="s">
        <v>326</v>
      </c>
      <c r="D241" s="88">
        <f>IFERROR((BAL_P62[[#This Row],[R]]*9)/BAL_P62[[#This Row],[IP]],0)</f>
        <v>2.5714285714285716</v>
      </c>
      <c r="E241" s="28">
        <v>0</v>
      </c>
      <c r="F241" s="74">
        <v>1</v>
      </c>
      <c r="G241" s="28">
        <v>1</v>
      </c>
      <c r="H241" s="584">
        <v>7</v>
      </c>
      <c r="I241" s="28">
        <v>6</v>
      </c>
      <c r="J241" s="28">
        <v>2</v>
      </c>
      <c r="K241" s="28">
        <v>0</v>
      </c>
      <c r="L241" s="28">
        <v>8</v>
      </c>
      <c r="M241" s="28">
        <v>0</v>
      </c>
      <c r="N241" s="89">
        <f>IFERROR((BAL_P62[[#This Row],[BB]]+BAL_P62[[#This Row],[H]])/BAL_P62[[#This Row],[IP]],0)</f>
        <v>0.8571428571428571</v>
      </c>
      <c r="O241" s="28">
        <v>1</v>
      </c>
      <c r="P241" s="90">
        <v>1</v>
      </c>
      <c r="Q241" s="28">
        <v>0</v>
      </c>
      <c r="R241" s="74">
        <v>0</v>
      </c>
      <c r="S241" s="615">
        <v>3</v>
      </c>
      <c r="Z241" s="651" t="s">
        <v>300</v>
      </c>
      <c r="AA241" s="71" t="s">
        <v>206</v>
      </c>
      <c r="AB241" s="87" t="s">
        <v>326</v>
      </c>
      <c r="AC241" s="88">
        <f>IFERROR((BAL_P24[[#This Row],[R]]*9)/BAL_P24[[#This Row],[IP]],0)</f>
        <v>2.6986506746626686</v>
      </c>
      <c r="AD241" s="28">
        <v>0</v>
      </c>
      <c r="AE241" s="74">
        <v>0</v>
      </c>
      <c r="AF241" s="28">
        <v>1</v>
      </c>
      <c r="AG241" s="584">
        <v>6.67</v>
      </c>
      <c r="AH241" s="28">
        <v>6</v>
      </c>
      <c r="AI241" s="28">
        <v>2</v>
      </c>
      <c r="AJ241" s="28">
        <v>1</v>
      </c>
      <c r="AK241" s="28">
        <v>7</v>
      </c>
      <c r="AL241" s="28">
        <v>0</v>
      </c>
      <c r="AM241" s="89">
        <f>IFERROR((BAL_P24[[#This Row],[BB]]+BAL_P24[[#This Row],[H]])/BAL_P24[[#This Row],[IP]],0)</f>
        <v>1.0494752623688155</v>
      </c>
      <c r="AN241" s="28">
        <v>1</v>
      </c>
      <c r="AO241" s="90">
        <v>0</v>
      </c>
      <c r="AP241" s="28">
        <v>0</v>
      </c>
      <c r="AQ241" s="74">
        <v>0</v>
      </c>
      <c r="AR241" s="615">
        <v>3</v>
      </c>
    </row>
    <row r="242" spans="1:48">
      <c r="A242" s="651" t="s">
        <v>300</v>
      </c>
      <c r="B242" s="71" t="s">
        <v>206</v>
      </c>
      <c r="C242" s="87" t="s">
        <v>324</v>
      </c>
      <c r="D242" s="88">
        <f>IFERROR((BAL_P62[[#This Row],[R]]*9)/BAL_P62[[#This Row],[IP]],0)</f>
        <v>0</v>
      </c>
      <c r="E242" s="28">
        <v>0</v>
      </c>
      <c r="F242" s="74">
        <v>0</v>
      </c>
      <c r="G242" s="28">
        <v>1</v>
      </c>
      <c r="H242" s="584">
        <v>0.33</v>
      </c>
      <c r="I242" s="28">
        <v>1</v>
      </c>
      <c r="J242" s="28">
        <v>0</v>
      </c>
      <c r="K242" s="28">
        <v>1</v>
      </c>
      <c r="L242" s="28">
        <v>0</v>
      </c>
      <c r="M242" s="28">
        <v>0</v>
      </c>
      <c r="N242" s="89">
        <f>IFERROR((BAL_P62[[#This Row],[BB]]+BAL_P62[[#This Row],[H]])/BAL_P62[[#This Row],[IP]],0)</f>
        <v>6.0606060606060606</v>
      </c>
      <c r="O242" s="28">
        <v>0</v>
      </c>
      <c r="P242" s="90">
        <v>0</v>
      </c>
      <c r="Q242" s="28">
        <v>0</v>
      </c>
      <c r="R242" s="74">
        <v>0</v>
      </c>
      <c r="S242" s="615">
        <v>4</v>
      </c>
      <c r="Z242" s="651" t="s">
        <v>300</v>
      </c>
      <c r="AA242" s="71" t="s">
        <v>206</v>
      </c>
      <c r="AB242" s="87" t="s">
        <v>328</v>
      </c>
      <c r="AC242" s="88">
        <f>IFERROR((BAL_P24[[#This Row],[R]]*9)/BAL_P24[[#This Row],[IP]],0)</f>
        <v>0</v>
      </c>
      <c r="AD242" s="28">
        <v>0</v>
      </c>
      <c r="AE242" s="74">
        <v>0</v>
      </c>
      <c r="AF242" s="28">
        <v>0</v>
      </c>
      <c r="AG242" s="584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89">
        <f>IFERROR((BAL_P24[[#This Row],[BB]]+BAL_P24[[#This Row],[H]])/BAL_P24[[#This Row],[IP]],0)</f>
        <v>0</v>
      </c>
      <c r="AN242" s="28">
        <v>0</v>
      </c>
      <c r="AO242" s="90">
        <v>0</v>
      </c>
      <c r="AP242" s="28">
        <v>0</v>
      </c>
      <c r="AQ242" s="74">
        <v>0</v>
      </c>
      <c r="AR242" s="615">
        <v>4</v>
      </c>
    </row>
    <row r="243" spans="1:48">
      <c r="A243" s="651" t="s">
        <v>300</v>
      </c>
      <c r="B243" s="71" t="s">
        <v>212</v>
      </c>
      <c r="C243" s="87" t="s">
        <v>328</v>
      </c>
      <c r="D243" s="88">
        <f>IFERROR((BAL_P62[[#This Row],[R]]*9)/BAL_P62[[#This Row],[IP]],0)</f>
        <v>0</v>
      </c>
      <c r="E243" s="28">
        <v>0</v>
      </c>
      <c r="F243" s="74">
        <v>0</v>
      </c>
      <c r="G243" s="28">
        <v>0</v>
      </c>
      <c r="H243" s="584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89">
        <f>IFERROR((BAL_P62[[#This Row],[BB]]+BAL_P62[[#This Row],[H]])/BAL_P62[[#This Row],[IP]],0)</f>
        <v>0</v>
      </c>
      <c r="O243" s="28">
        <v>0</v>
      </c>
      <c r="P243" s="90">
        <v>0</v>
      </c>
      <c r="Q243" s="28">
        <v>0</v>
      </c>
      <c r="R243" s="74">
        <v>0</v>
      </c>
      <c r="S243" s="615">
        <v>5</v>
      </c>
      <c r="Z243" s="651" t="s">
        <v>300</v>
      </c>
      <c r="AA243" s="71" t="s">
        <v>215</v>
      </c>
      <c r="AB243" s="87" t="s">
        <v>322</v>
      </c>
      <c r="AC243" s="88">
        <f>IFERROR((BAL_P24[[#This Row],[R]]*9)/BAL_P24[[#This Row],[IP]],0)</f>
        <v>0</v>
      </c>
      <c r="AD243" s="28">
        <v>0</v>
      </c>
      <c r="AE243" s="74">
        <v>0</v>
      </c>
      <c r="AF243" s="28">
        <v>0</v>
      </c>
      <c r="AG243" s="584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89">
        <f>IFERROR((BAL_P24[[#This Row],[BB]]+BAL_P24[[#This Row],[H]])/BAL_P24[[#This Row],[IP]],0)</f>
        <v>0</v>
      </c>
      <c r="AN243" s="28">
        <v>0</v>
      </c>
      <c r="AO243" s="90">
        <v>0</v>
      </c>
      <c r="AP243" s="28">
        <v>0</v>
      </c>
      <c r="AQ243" s="74">
        <v>0</v>
      </c>
      <c r="AR243" s="615">
        <v>5</v>
      </c>
    </row>
    <row r="244" spans="1:48">
      <c r="A244" s="651" t="s">
        <v>300</v>
      </c>
      <c r="B244" s="71" t="s">
        <v>215</v>
      </c>
      <c r="C244" s="87" t="s">
        <v>329</v>
      </c>
      <c r="D244" s="88">
        <f>IFERROR((BAL_P62[[#This Row],[R]]*9)/BAL_P62[[#This Row],[IP]],0)</f>
        <v>0</v>
      </c>
      <c r="E244" s="28">
        <v>0</v>
      </c>
      <c r="F244" s="74">
        <v>0</v>
      </c>
      <c r="G244" s="28">
        <v>0</v>
      </c>
      <c r="H244" s="584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89">
        <f>IFERROR((BAL_P62[[#This Row],[BB]]+BAL_P62[[#This Row],[H]])/BAL_P62[[#This Row],[IP]],0)</f>
        <v>0</v>
      </c>
      <c r="O244" s="28">
        <v>0</v>
      </c>
      <c r="P244" s="90">
        <v>0</v>
      </c>
      <c r="Q244" s="28">
        <v>0</v>
      </c>
      <c r="R244" s="74">
        <v>0</v>
      </c>
      <c r="S244" s="615">
        <v>6</v>
      </c>
      <c r="Z244" s="651" t="s">
        <v>300</v>
      </c>
      <c r="AA244" s="71" t="s">
        <v>212</v>
      </c>
      <c r="AB244" s="87" t="s">
        <v>330</v>
      </c>
      <c r="AC244" s="88">
        <f>IFERROR((BAL_P24[[#This Row],[R]]*9)/BAL_P24[[#This Row],[IP]],0)</f>
        <v>3.3707865168539328</v>
      </c>
      <c r="AD244" s="28">
        <v>0</v>
      </c>
      <c r="AE244" s="74">
        <v>0</v>
      </c>
      <c r="AF244" s="28">
        <v>1</v>
      </c>
      <c r="AG244" s="584">
        <v>2.67</v>
      </c>
      <c r="AH244" s="28">
        <v>2</v>
      </c>
      <c r="AI244" s="28">
        <v>1</v>
      </c>
      <c r="AJ244" s="28">
        <v>1</v>
      </c>
      <c r="AK244" s="28">
        <v>2</v>
      </c>
      <c r="AL244" s="28">
        <v>0</v>
      </c>
      <c r="AM244" s="89">
        <f>IFERROR((BAL_P24[[#This Row],[BB]]+BAL_P24[[#This Row],[H]])/BAL_P24[[#This Row],[IP]],0)</f>
        <v>1.1235955056179776</v>
      </c>
      <c r="AN244" s="28">
        <v>0</v>
      </c>
      <c r="AO244" s="90">
        <v>0</v>
      </c>
      <c r="AP244" s="28">
        <v>0</v>
      </c>
      <c r="AQ244" s="74">
        <v>0</v>
      </c>
      <c r="AR244" s="615">
        <v>6</v>
      </c>
    </row>
    <row r="245" spans="1:48">
      <c r="A245" s="651" t="s">
        <v>300</v>
      </c>
      <c r="B245" s="71" t="s">
        <v>212</v>
      </c>
      <c r="C245" s="87" t="s">
        <v>330</v>
      </c>
      <c r="D245" s="88">
        <f>IFERROR((BAL_P62[[#This Row],[R]]*9)/BAL_P62[[#This Row],[IP]],0)</f>
        <v>0</v>
      </c>
      <c r="E245" s="28">
        <v>0</v>
      </c>
      <c r="F245" s="74">
        <v>0</v>
      </c>
      <c r="G245" s="28">
        <v>0</v>
      </c>
      <c r="H245" s="584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89">
        <f>IFERROR((BAL_P62[[#This Row],[BB]]+BAL_P62[[#This Row],[H]])/BAL_P62[[#This Row],[IP]],0)</f>
        <v>0</v>
      </c>
      <c r="O245" s="28">
        <v>0</v>
      </c>
      <c r="P245" s="90">
        <v>0</v>
      </c>
      <c r="Q245" s="28">
        <v>0</v>
      </c>
      <c r="R245" s="74">
        <v>0</v>
      </c>
      <c r="S245" s="615">
        <v>7</v>
      </c>
      <c r="Z245" s="651" t="s">
        <v>300</v>
      </c>
      <c r="AA245" s="71" t="s">
        <v>212</v>
      </c>
      <c r="AB245" s="87" t="s">
        <v>327</v>
      </c>
      <c r="AC245" s="88">
        <f>IFERROR((BAL_P24[[#This Row],[R]]*9)/BAL_P24[[#This Row],[IP]],0)</f>
        <v>0</v>
      </c>
      <c r="AD245" s="28">
        <v>0</v>
      </c>
      <c r="AE245" s="74">
        <v>0</v>
      </c>
      <c r="AF245" s="28">
        <v>0</v>
      </c>
      <c r="AG245" s="584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89">
        <f>IFERROR((BAL_P24[[#This Row],[BB]]+BAL_P24[[#This Row],[H]])/BAL_P24[[#This Row],[IP]],0)</f>
        <v>0</v>
      </c>
      <c r="AN245" s="28">
        <v>0</v>
      </c>
      <c r="AO245" s="90">
        <v>0</v>
      </c>
      <c r="AP245" s="28">
        <v>0</v>
      </c>
      <c r="AQ245" s="74">
        <v>0</v>
      </c>
      <c r="AR245" s="615">
        <v>7</v>
      </c>
    </row>
    <row r="246" spans="1:48">
      <c r="A246" s="651" t="s">
        <v>300</v>
      </c>
      <c r="B246" s="71" t="s">
        <v>212</v>
      </c>
      <c r="C246" s="87" t="s">
        <v>327</v>
      </c>
      <c r="D246" s="88">
        <f>IFERROR((BAL_P62[[#This Row],[R]]*9)/BAL_P62[[#This Row],[IP]],0)</f>
        <v>0</v>
      </c>
      <c r="E246" s="28">
        <v>0</v>
      </c>
      <c r="F246" s="74">
        <v>0</v>
      </c>
      <c r="G246" s="28">
        <v>1</v>
      </c>
      <c r="H246" s="584">
        <v>1</v>
      </c>
      <c r="I246" s="28">
        <v>1</v>
      </c>
      <c r="J246" s="28">
        <v>0</v>
      </c>
      <c r="K246" s="28">
        <v>0</v>
      </c>
      <c r="L246" s="28">
        <v>0</v>
      </c>
      <c r="M246" s="28">
        <v>0</v>
      </c>
      <c r="N246" s="89">
        <f>IFERROR((BAL_P62[[#This Row],[BB]]+BAL_P62[[#This Row],[H]])/BAL_P62[[#This Row],[IP]],0)</f>
        <v>1</v>
      </c>
      <c r="O246" s="28">
        <v>0</v>
      </c>
      <c r="P246" s="90">
        <v>0</v>
      </c>
      <c r="Q246" s="28">
        <v>0</v>
      </c>
      <c r="R246" s="74">
        <v>0</v>
      </c>
      <c r="S246" s="615">
        <v>8</v>
      </c>
      <c r="Z246" s="651" t="s">
        <v>300</v>
      </c>
      <c r="AA246" s="71" t="s">
        <v>212</v>
      </c>
      <c r="AB246" s="87" t="s">
        <v>331</v>
      </c>
      <c r="AC246" s="88">
        <f>IFERROR((BAL_P24[[#This Row],[R]]*9)/BAL_P24[[#This Row],[IP]],0)</f>
        <v>0</v>
      </c>
      <c r="AD246" s="28">
        <v>0</v>
      </c>
      <c r="AE246" s="74">
        <v>0</v>
      </c>
      <c r="AF246" s="28">
        <v>1</v>
      </c>
      <c r="AG246" s="584">
        <v>1</v>
      </c>
      <c r="AH246" s="28">
        <v>1</v>
      </c>
      <c r="AI246" s="28">
        <v>0</v>
      </c>
      <c r="AJ246" s="28">
        <v>1</v>
      </c>
      <c r="AK246" s="28">
        <v>1</v>
      </c>
      <c r="AL246" s="28">
        <v>0</v>
      </c>
      <c r="AM246" s="89">
        <f>IFERROR((BAL_P24[[#This Row],[BB]]+BAL_P24[[#This Row],[H]])/BAL_P24[[#This Row],[IP]],0)</f>
        <v>2</v>
      </c>
      <c r="AN246" s="28">
        <v>0</v>
      </c>
      <c r="AO246" s="90">
        <v>0</v>
      </c>
      <c r="AP246" s="28">
        <v>0</v>
      </c>
      <c r="AQ246" s="74">
        <v>0</v>
      </c>
      <c r="AR246" s="615">
        <v>8</v>
      </c>
    </row>
    <row r="247" spans="1:48">
      <c r="A247" s="651" t="s">
        <v>300</v>
      </c>
      <c r="B247" s="71" t="s">
        <v>215</v>
      </c>
      <c r="C247" s="87" t="s">
        <v>333</v>
      </c>
      <c r="D247" s="88">
        <f>IFERROR((BAL_P62[[#This Row],[R]]*9)/BAL_P62[[#This Row],[IP]],0)</f>
        <v>1.3493253373313343</v>
      </c>
      <c r="E247" s="28">
        <v>0</v>
      </c>
      <c r="F247" s="74">
        <v>1</v>
      </c>
      <c r="G247" s="28">
        <v>6</v>
      </c>
      <c r="H247" s="584">
        <v>6.67</v>
      </c>
      <c r="I247" s="28">
        <v>2</v>
      </c>
      <c r="J247" s="28">
        <v>1</v>
      </c>
      <c r="K247" s="28">
        <v>2</v>
      </c>
      <c r="L247" s="28">
        <v>12</v>
      </c>
      <c r="M247" s="28">
        <v>0</v>
      </c>
      <c r="N247" s="89">
        <f>IFERROR((BAL_P62[[#This Row],[BB]]+BAL_P62[[#This Row],[H]])/BAL_P62[[#This Row],[IP]],0)</f>
        <v>0.59970014992503751</v>
      </c>
      <c r="O247" s="28">
        <v>0</v>
      </c>
      <c r="P247" s="90">
        <v>0</v>
      </c>
      <c r="Q247" s="28">
        <v>0</v>
      </c>
      <c r="R247" s="74">
        <v>0</v>
      </c>
      <c r="S247" s="615">
        <v>9</v>
      </c>
      <c r="Z247" s="651" t="s">
        <v>300</v>
      </c>
      <c r="AA247" s="71" t="s">
        <v>212</v>
      </c>
      <c r="AB247" s="87" t="s">
        <v>332</v>
      </c>
      <c r="AC247" s="88">
        <f>IFERROR((BAL_P24[[#This Row],[R]]*9)/BAL_P24[[#This Row],[IP]],0)</f>
        <v>0</v>
      </c>
      <c r="AD247" s="28">
        <v>0</v>
      </c>
      <c r="AE247" s="74">
        <v>0</v>
      </c>
      <c r="AF247" s="28">
        <v>3</v>
      </c>
      <c r="AG247" s="584">
        <v>3.67</v>
      </c>
      <c r="AH247" s="28">
        <v>0</v>
      </c>
      <c r="AI247" s="28">
        <v>0</v>
      </c>
      <c r="AJ247" s="28">
        <v>1</v>
      </c>
      <c r="AK247" s="28">
        <v>6</v>
      </c>
      <c r="AL247" s="28">
        <v>0</v>
      </c>
      <c r="AM247" s="89">
        <f>IFERROR((BAL_P24[[#This Row],[BB]]+BAL_P24[[#This Row],[H]])/BAL_P24[[#This Row],[IP]],0)</f>
        <v>0.27247956403269757</v>
      </c>
      <c r="AN247" s="28">
        <v>0</v>
      </c>
      <c r="AO247" s="90">
        <v>0</v>
      </c>
      <c r="AP247" s="28">
        <v>0</v>
      </c>
      <c r="AQ247" s="74">
        <v>0</v>
      </c>
      <c r="AR247" s="615">
        <v>9</v>
      </c>
    </row>
    <row r="248" spans="1:48" ht="17" thickBot="1">
      <c r="A248" s="651" t="s">
        <v>300</v>
      </c>
      <c r="B248" s="71" t="s">
        <v>212</v>
      </c>
      <c r="C248" s="74" t="s">
        <v>335</v>
      </c>
      <c r="D248" s="88">
        <f>IFERROR((BAL_P62[[#This Row],[R]]*9)/BAL_P62[[#This Row],[IP]],0)</f>
        <v>1.5</v>
      </c>
      <c r="E248" s="28">
        <v>0</v>
      </c>
      <c r="F248" s="74">
        <v>0</v>
      </c>
      <c r="G248" s="28">
        <v>6</v>
      </c>
      <c r="H248" s="584">
        <v>6</v>
      </c>
      <c r="I248" s="28">
        <v>6</v>
      </c>
      <c r="J248" s="28">
        <v>1</v>
      </c>
      <c r="K248" s="28">
        <v>0</v>
      </c>
      <c r="L248" s="28">
        <v>5</v>
      </c>
      <c r="M248" s="28">
        <v>4</v>
      </c>
      <c r="N248" s="89">
        <f>IFERROR((BAL_P62[[#This Row],[BB]]+BAL_P62[[#This Row],[H]])/BAL_P62[[#This Row],[IP]],0)</f>
        <v>1</v>
      </c>
      <c r="O248" s="28">
        <v>0</v>
      </c>
      <c r="P248" s="90">
        <v>0</v>
      </c>
      <c r="Q248" s="28">
        <v>0</v>
      </c>
      <c r="R248" s="74">
        <v>0</v>
      </c>
      <c r="S248" s="615">
        <v>10</v>
      </c>
      <c r="Z248" s="651" t="s">
        <v>300</v>
      </c>
      <c r="AA248" s="71" t="s">
        <v>212</v>
      </c>
      <c r="AB248" s="74" t="s">
        <v>335</v>
      </c>
      <c r="AC248" s="88">
        <f>IFERROR((BAL_P24[[#This Row],[R]]*9)/BAL_P24[[#This Row],[IP]],0)</f>
        <v>13.533834586466165</v>
      </c>
      <c r="AD248" s="28">
        <v>0</v>
      </c>
      <c r="AE248" s="74">
        <v>1</v>
      </c>
      <c r="AF248" s="28">
        <v>2</v>
      </c>
      <c r="AG248" s="584">
        <v>1.33</v>
      </c>
      <c r="AH248" s="28">
        <v>4</v>
      </c>
      <c r="AI248" s="28">
        <v>2</v>
      </c>
      <c r="AJ248" s="28">
        <v>1</v>
      </c>
      <c r="AK248" s="28">
        <v>2</v>
      </c>
      <c r="AL248" s="28">
        <v>1</v>
      </c>
      <c r="AM248" s="89">
        <f>IFERROR((BAL_P24[[#This Row],[BB]]+BAL_P24[[#This Row],[H]])/BAL_P24[[#This Row],[IP]],0)</f>
        <v>3.7593984962406015</v>
      </c>
      <c r="AN248" s="28">
        <v>0</v>
      </c>
      <c r="AO248" s="90">
        <v>0</v>
      </c>
      <c r="AP248" s="28">
        <v>0</v>
      </c>
      <c r="AQ248" s="74">
        <v>0</v>
      </c>
      <c r="AR248" s="615">
        <v>10</v>
      </c>
    </row>
    <row r="249" spans="1:48" ht="17" thickBot="1">
      <c r="A249" s="652"/>
      <c r="B249" s="653"/>
      <c r="C249" s="653" t="s">
        <v>195</v>
      </c>
      <c r="D249" s="665">
        <f>(J249*9)/H249</f>
        <v>2.032258064516129</v>
      </c>
      <c r="E249" s="658">
        <f>SUBTOTAL(109,BAL_P62[W])</f>
        <v>4</v>
      </c>
      <c r="F249" s="660">
        <f>SUBTOTAL(109,BAL_P62[L])</f>
        <v>3</v>
      </c>
      <c r="G249" s="658"/>
      <c r="H249" s="666">
        <f>SUBTOTAL(109,BAL_P62[IP])</f>
        <v>62</v>
      </c>
      <c r="I249" s="658">
        <f>SUBTOTAL(109,BAL_P62[H])</f>
        <v>48</v>
      </c>
      <c r="J249" s="658">
        <f>SUBTOTAL(109,BAL_P62[R])</f>
        <v>14</v>
      </c>
      <c r="K249" s="658">
        <f>SUBTOTAL(109,BAL_P62[BB])</f>
        <v>15</v>
      </c>
      <c r="L249" s="658">
        <f>SUBTOTAL(109,BAL_P62[K])</f>
        <v>59</v>
      </c>
      <c r="M249" s="658">
        <f>SUBTOTAL(109,BAL_P62[SV])</f>
        <v>4</v>
      </c>
      <c r="N249" s="689">
        <f>(I249+K249)/H249</f>
        <v>1.0161290322580645</v>
      </c>
      <c r="O249" s="690">
        <f>SUBTOTAL(109,BAL_P62[QS])</f>
        <v>6</v>
      </c>
      <c r="P249" s="669">
        <f>SUBTOTAL(109,BAL_P62[UQ])</f>
        <v>5</v>
      </c>
      <c r="Q249" s="670">
        <f>SUBTOTAL(109,BAL_P62[CG])</f>
        <v>0</v>
      </c>
      <c r="R249" s="671">
        <f>SUBTOTAL(109,BAL_P62[SH])</f>
        <v>0</v>
      </c>
      <c r="S249" s="662"/>
      <c r="Z249" s="652"/>
      <c r="AA249" s="653"/>
      <c r="AB249" s="653" t="s">
        <v>195</v>
      </c>
      <c r="AC249" s="665">
        <f>(AI249*9)/AG249</f>
        <v>4.9723756906077341</v>
      </c>
      <c r="AD249" s="658">
        <f>SUBTOTAL(109,BAL_P24[W])</f>
        <v>1</v>
      </c>
      <c r="AE249" s="660">
        <f>SUBTOTAL(109,BAL_P24[L])</f>
        <v>2</v>
      </c>
      <c r="AF249" s="658"/>
      <c r="AG249" s="666">
        <f>SUBTOTAL(109,BAL_P24[IP])</f>
        <v>25.340000000000003</v>
      </c>
      <c r="AH249" s="658">
        <f>SUBTOTAL(109,BAL_P24[H])</f>
        <v>32</v>
      </c>
      <c r="AI249" s="658">
        <f>SUBTOTAL(109,BAL_P24[R])</f>
        <v>14</v>
      </c>
      <c r="AJ249" s="658">
        <f>SUBTOTAL(109,BAL_P24[BB])</f>
        <v>10</v>
      </c>
      <c r="AK249" s="658">
        <f>SUBTOTAL(109,BAL_P24[K])</f>
        <v>29</v>
      </c>
      <c r="AL249" s="658">
        <f>SUBTOTAL(109,BAL_P24[SV])</f>
        <v>1</v>
      </c>
      <c r="AM249" s="689">
        <f>(AH249+AJ249)/AG249</f>
        <v>1.6574585635359114</v>
      </c>
      <c r="AN249" s="690">
        <f>SUBTOTAL(109,BAL_P24[QS])</f>
        <v>1</v>
      </c>
      <c r="AO249" s="669">
        <f>SUBTOTAL(109,BAL_P24[UQ])</f>
        <v>0</v>
      </c>
      <c r="AP249" s="670">
        <f>SUBTOTAL(109,BAL_P24[CG])</f>
        <v>0</v>
      </c>
      <c r="AQ249" s="671">
        <f>SUBTOTAL(109,BAL_P24[SH])</f>
        <v>0</v>
      </c>
      <c r="AR249" s="662"/>
    </row>
    <row r="250" spans="1:48" ht="17" thickBo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48" ht="24" thickBot="1">
      <c r="A251" s="1039" t="s">
        <v>386</v>
      </c>
      <c r="B251" s="1040"/>
      <c r="C251" s="1040"/>
      <c r="D251" s="1040"/>
      <c r="E251" s="1040"/>
      <c r="F251" s="1040"/>
      <c r="G251" s="1040"/>
      <c r="H251" s="1040"/>
      <c r="I251" s="1040"/>
      <c r="J251" s="1040"/>
      <c r="K251" s="1040"/>
      <c r="L251" s="1040"/>
      <c r="M251" s="1040"/>
      <c r="N251" s="1040"/>
      <c r="O251" s="1040"/>
      <c r="P251" s="1040"/>
      <c r="Q251" s="1040"/>
      <c r="R251" s="1040"/>
      <c r="S251" s="1040"/>
      <c r="T251" s="1040"/>
      <c r="U251" s="1040"/>
      <c r="V251" s="1040"/>
      <c r="W251" s="1041"/>
      <c r="Z251" s="1048" t="s">
        <v>387</v>
      </c>
      <c r="AA251" s="1049"/>
      <c r="AB251" s="1049"/>
      <c r="AC251" s="1049"/>
      <c r="AD251" s="1049"/>
      <c r="AE251" s="1049"/>
      <c r="AF251" s="1049"/>
      <c r="AG251" s="1049"/>
      <c r="AH251" s="1049"/>
      <c r="AI251" s="1049"/>
      <c r="AJ251" s="1049"/>
      <c r="AK251" s="1049"/>
      <c r="AL251" s="1049"/>
      <c r="AM251" s="1049"/>
      <c r="AN251" s="1049"/>
      <c r="AO251" s="1049"/>
      <c r="AP251" s="1049"/>
      <c r="AQ251" s="1049"/>
      <c r="AR251" s="1049"/>
      <c r="AS251" s="1049"/>
      <c r="AT251" s="1049"/>
      <c r="AU251" s="1049"/>
      <c r="AV251" s="1050"/>
    </row>
    <row r="252" spans="1:48" ht="17" thickBot="1">
      <c r="A252" s="605" t="s">
        <v>143</v>
      </c>
      <c r="B252" s="606" t="s">
        <v>144</v>
      </c>
      <c r="C252" s="606" t="s">
        <v>145</v>
      </c>
      <c r="D252" s="606" t="s">
        <v>146</v>
      </c>
      <c r="E252" s="606" t="s">
        <v>147</v>
      </c>
      <c r="F252" s="606" t="s">
        <v>148</v>
      </c>
      <c r="G252" s="606" t="s">
        <v>149</v>
      </c>
      <c r="H252" s="606" t="s">
        <v>150</v>
      </c>
      <c r="I252" s="606" t="s">
        <v>151</v>
      </c>
      <c r="J252" s="606" t="s">
        <v>152</v>
      </c>
      <c r="K252" s="606" t="s">
        <v>153</v>
      </c>
      <c r="L252" s="606" t="s">
        <v>154</v>
      </c>
      <c r="M252" s="606" t="s">
        <v>155</v>
      </c>
      <c r="N252" s="606" t="s">
        <v>156</v>
      </c>
      <c r="O252" s="606" t="s">
        <v>157</v>
      </c>
      <c r="P252" s="606" t="s">
        <v>158</v>
      </c>
      <c r="Q252" s="606" t="s">
        <v>159</v>
      </c>
      <c r="R252" s="606" t="s">
        <v>160</v>
      </c>
      <c r="S252" s="606" t="s">
        <v>16</v>
      </c>
      <c r="T252" s="606" t="s">
        <v>161</v>
      </c>
      <c r="U252" s="606" t="s">
        <v>162</v>
      </c>
      <c r="V252" s="606" t="s">
        <v>163</v>
      </c>
      <c r="W252" s="607" t="s">
        <v>164</v>
      </c>
      <c r="Z252" s="605" t="s">
        <v>143</v>
      </c>
      <c r="AA252" s="606" t="s">
        <v>144</v>
      </c>
      <c r="AB252" s="606" t="s">
        <v>145</v>
      </c>
      <c r="AC252" s="606" t="s">
        <v>146</v>
      </c>
      <c r="AD252" s="606" t="s">
        <v>147</v>
      </c>
      <c r="AE252" s="606" t="s">
        <v>148</v>
      </c>
      <c r="AF252" s="606" t="s">
        <v>149</v>
      </c>
      <c r="AG252" s="606" t="s">
        <v>150</v>
      </c>
      <c r="AH252" s="606" t="s">
        <v>151</v>
      </c>
      <c r="AI252" s="606" t="s">
        <v>152</v>
      </c>
      <c r="AJ252" s="606" t="s">
        <v>153</v>
      </c>
      <c r="AK252" s="606" t="s">
        <v>154</v>
      </c>
      <c r="AL252" s="606" t="s">
        <v>155</v>
      </c>
      <c r="AM252" s="606" t="s">
        <v>156</v>
      </c>
      <c r="AN252" s="606" t="s">
        <v>157</v>
      </c>
      <c r="AO252" s="606" t="s">
        <v>158</v>
      </c>
      <c r="AP252" s="606" t="s">
        <v>159</v>
      </c>
      <c r="AQ252" s="606" t="s">
        <v>160</v>
      </c>
      <c r="AR252" s="606" t="s">
        <v>16</v>
      </c>
      <c r="AS252" s="606" t="s">
        <v>161</v>
      </c>
      <c r="AT252" s="606" t="s">
        <v>162</v>
      </c>
      <c r="AU252" s="606" t="s">
        <v>163</v>
      </c>
      <c r="AV252" s="607" t="s">
        <v>164</v>
      </c>
    </row>
    <row r="253" spans="1:48">
      <c r="A253" s="608" t="s">
        <v>165</v>
      </c>
      <c r="B253" s="597" t="s">
        <v>179</v>
      </c>
      <c r="C253" s="673" t="s">
        <v>180</v>
      </c>
      <c r="D253" s="706">
        <f>IFERROR((NYY_H50277[[#This Row],[H]]/NYY_H50277[[#This Row],[AB]]),0)</f>
        <v>0.25</v>
      </c>
      <c r="E253" s="598">
        <f>IFERROR((NYY_H50277[[#This Row],[H]]+NYY_H50277[[#This Row],[BB]])/(NYY_H50277[[#This Row],[AB]]+NYY_H50277[[#This Row],[BB]]),)</f>
        <v>0.31818181818181818</v>
      </c>
      <c r="F253" s="599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0.25</v>
      </c>
      <c r="G253" s="600">
        <v>6</v>
      </c>
      <c r="H253" s="601">
        <v>20</v>
      </c>
      <c r="I253" s="601">
        <v>2</v>
      </c>
      <c r="J253" s="601">
        <v>5</v>
      </c>
      <c r="K253" s="601">
        <v>0</v>
      </c>
      <c r="L253" s="601">
        <v>0</v>
      </c>
      <c r="M253" s="601">
        <v>0</v>
      </c>
      <c r="N253" s="601">
        <v>0</v>
      </c>
      <c r="O253" s="601">
        <v>2</v>
      </c>
      <c r="P253" s="603">
        <v>7</v>
      </c>
      <c r="Q253" s="601">
        <v>0</v>
      </c>
      <c r="R253" s="601">
        <v>0</v>
      </c>
      <c r="S253" s="603">
        <v>1</v>
      </c>
      <c r="T253" s="601">
        <f>IFERROR((NYY_H50277[[#This Row],[H]]-NYY_H50277[[#This Row],[2B]]-NYY_H50277[[#This Row],[3B]]-NYY_H50277[[#This Row],[HR]])+(NYY_H50277[[#This Row],[2B]]*2)+(NYY_H50277[[#This Row],[3B]]*3)+(NYY_H50277[[#This Row],[HR]]*4),0)</f>
        <v>5</v>
      </c>
      <c r="U253" s="598">
        <f>NYY_H50277[[#This Row],[OBP]]+NYY_H50277[[#This Row],[SLG]]</f>
        <v>0.56818181818181812</v>
      </c>
      <c r="V253" s="604">
        <v>0</v>
      </c>
      <c r="W253" s="614">
        <v>1</v>
      </c>
      <c r="Z253" s="719" t="s">
        <v>266</v>
      </c>
      <c r="AA253" s="597" t="s">
        <v>179</v>
      </c>
      <c r="AB253" s="597" t="s">
        <v>278</v>
      </c>
      <c r="AC253" s="598">
        <f>IFERROR(TOR_H5196[[#This Row],[H]]/TOR_H5196[[#This Row],[AB]],0)</f>
        <v>0.22222222222222221</v>
      </c>
      <c r="AD253" s="598">
        <f>IFERROR((TOR_H5196[[#This Row],[H]]+TOR_H5196[[#This Row],[BB]])/(TOR_H5196[[#This Row],[AB]]+TOR_H5196[[#This Row],[BB]]),0)</f>
        <v>0.26315789473684209</v>
      </c>
      <c r="AE253" s="599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0.22222222222222221</v>
      </c>
      <c r="AF253" s="600">
        <v>5</v>
      </c>
      <c r="AG253" s="600">
        <v>18</v>
      </c>
      <c r="AH253" s="600">
        <v>0</v>
      </c>
      <c r="AI253" s="600">
        <v>4</v>
      </c>
      <c r="AJ253" s="600">
        <v>0</v>
      </c>
      <c r="AK253" s="600">
        <v>0</v>
      </c>
      <c r="AL253" s="600">
        <v>0</v>
      </c>
      <c r="AM253" s="600">
        <v>1</v>
      </c>
      <c r="AN253" s="600">
        <v>1</v>
      </c>
      <c r="AO253" s="604">
        <v>4</v>
      </c>
      <c r="AP253" s="673">
        <v>0</v>
      </c>
      <c r="AQ253" s="600">
        <v>0</v>
      </c>
      <c r="AR253" s="604">
        <v>3</v>
      </c>
      <c r="AS253" s="673">
        <f>IFERROR((TOR_H5196[[#This Row],[H]]-TOR_H5196[[#This Row],[2B]]-TOR_H5196[[#This Row],[3B]]-TOR_H5196[[#This Row],[HR]])+(TOR_H5196[[#This Row],[2B]]*2)+(TOR_H5196[[#This Row],[3B]]*3)+(TOR_H5196[[#This Row],[HR]]*4),0)</f>
        <v>4</v>
      </c>
      <c r="AT253" s="598">
        <f>TOR_H5196[[#This Row],[OBP]]+TOR_H5196[[#This Row],[SLG]]</f>
        <v>0.4853801169590643</v>
      </c>
      <c r="AU253" s="604">
        <v>0</v>
      </c>
      <c r="AV253" s="614">
        <v>1</v>
      </c>
    </row>
    <row r="254" spans="1:48">
      <c r="A254" s="609" t="s">
        <v>165</v>
      </c>
      <c r="B254" s="71" t="s">
        <v>154</v>
      </c>
      <c r="C254" s="77" t="s">
        <v>175</v>
      </c>
      <c r="D254" s="130">
        <f>IFERROR((NYY_H50277[[#This Row],[H]]/NYY_H50277[[#This Row],[AB]]),0)</f>
        <v>0.30434782608695654</v>
      </c>
      <c r="E254" s="72">
        <f>IFERROR((NYY_H50277[[#This Row],[H]]+NYY_H50277[[#This Row],[BB]])/(NYY_H50277[[#This Row],[AB]]+NYY_H50277[[#This Row],[BB]]),)</f>
        <v>0.33333333333333331</v>
      </c>
      <c r="F254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0.39130434782608697</v>
      </c>
      <c r="G254" s="28">
        <v>6</v>
      </c>
      <c r="H254" s="90">
        <v>23</v>
      </c>
      <c r="I254" s="90">
        <v>2</v>
      </c>
      <c r="J254" s="90">
        <v>7</v>
      </c>
      <c r="K254" s="90">
        <v>2</v>
      </c>
      <c r="L254" s="90">
        <v>0</v>
      </c>
      <c r="M254" s="90">
        <v>0</v>
      </c>
      <c r="N254" s="90">
        <v>1</v>
      </c>
      <c r="O254" s="90">
        <v>1</v>
      </c>
      <c r="P254" s="95">
        <v>4</v>
      </c>
      <c r="Q254" s="90">
        <v>0</v>
      </c>
      <c r="R254" s="90">
        <v>0</v>
      </c>
      <c r="S254" s="95">
        <v>3</v>
      </c>
      <c r="T254" s="90">
        <f>IFERROR((NYY_H50277[[#This Row],[H]]-NYY_H50277[[#This Row],[2B]]-NYY_H50277[[#This Row],[3B]]-NYY_H50277[[#This Row],[HR]])+(NYY_H50277[[#This Row],[2B]]*2)+(NYY_H50277[[#This Row],[3B]]*3)+(NYY_H50277[[#This Row],[HR]]*4),0)</f>
        <v>9</v>
      </c>
      <c r="U254" s="72">
        <f>NYY_H50277[[#This Row],[OBP]]+NYY_H50277[[#This Row],[SLG]]</f>
        <v>0.72463768115942029</v>
      </c>
      <c r="V254" s="74">
        <v>1</v>
      </c>
      <c r="W254" s="615">
        <v>2</v>
      </c>
      <c r="Z254" s="720" t="s">
        <v>266</v>
      </c>
      <c r="AA254" s="71" t="s">
        <v>154</v>
      </c>
      <c r="AB254" s="71" t="s">
        <v>277</v>
      </c>
      <c r="AC254" s="72">
        <f>IFERROR(TOR_H5196[[#This Row],[H]]/TOR_H5196[[#This Row],[AB]],0)</f>
        <v>0.27777777777777779</v>
      </c>
      <c r="AD254" s="72">
        <f>IFERROR((TOR_H5196[[#This Row],[H]]+TOR_H5196[[#This Row],[BB]])/(TOR_H5196[[#This Row],[AB]]+TOR_H5196[[#This Row],[BB]]),0)</f>
        <v>0.31578947368421051</v>
      </c>
      <c r="AE254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0.5</v>
      </c>
      <c r="AF254" s="28">
        <v>5</v>
      </c>
      <c r="AG254" s="28">
        <v>18</v>
      </c>
      <c r="AH254" s="28">
        <v>1</v>
      </c>
      <c r="AI254" s="28">
        <v>5</v>
      </c>
      <c r="AJ254" s="28">
        <v>1</v>
      </c>
      <c r="AK254" s="28">
        <v>0</v>
      </c>
      <c r="AL254" s="28">
        <v>1</v>
      </c>
      <c r="AM254" s="28">
        <v>2</v>
      </c>
      <c r="AN254" s="28">
        <v>1</v>
      </c>
      <c r="AO254" s="74">
        <v>9</v>
      </c>
      <c r="AP254" s="77">
        <v>0</v>
      </c>
      <c r="AQ254" s="28">
        <v>0</v>
      </c>
      <c r="AR254" s="74">
        <v>1</v>
      </c>
      <c r="AS254" s="77">
        <f>IFERROR((TOR_H5196[[#This Row],[H]]-TOR_H5196[[#This Row],[2B]]-TOR_H5196[[#This Row],[3B]]-TOR_H5196[[#This Row],[HR]])+(TOR_H5196[[#This Row],[2B]]*2)+(TOR_H5196[[#This Row],[3B]]*3)+(TOR_H5196[[#This Row],[HR]]*4),0)</f>
        <v>9</v>
      </c>
      <c r="AT254" s="72">
        <f>TOR_H5196[[#This Row],[OBP]]+TOR_H5196[[#This Row],[SLG]]</f>
        <v>0.81578947368421051</v>
      </c>
      <c r="AU254" s="74">
        <v>1</v>
      </c>
      <c r="AV254" s="615">
        <v>2</v>
      </c>
    </row>
    <row r="255" spans="1:48">
      <c r="A255" s="609" t="s">
        <v>165</v>
      </c>
      <c r="B255" s="71" t="s">
        <v>172</v>
      </c>
      <c r="C255" s="77" t="s">
        <v>173</v>
      </c>
      <c r="D255" s="130">
        <f>IFERROR((NYY_H50277[[#This Row],[H]]/NYY_H50277[[#This Row],[AB]]),0)</f>
        <v>0.29629629629629628</v>
      </c>
      <c r="E255" s="72">
        <f>IFERROR((NYY_H50277[[#This Row],[H]]+NYY_H50277[[#This Row],[BB]])/(NYY_H50277[[#This Row],[AB]]+NYY_H50277[[#This Row],[BB]]),)</f>
        <v>0.29629629629629628</v>
      </c>
      <c r="F255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0.48148148148148145</v>
      </c>
      <c r="G255" s="28">
        <v>6</v>
      </c>
      <c r="H255" s="90">
        <v>27</v>
      </c>
      <c r="I255" s="90">
        <v>2</v>
      </c>
      <c r="J255" s="90">
        <v>8</v>
      </c>
      <c r="K255" s="90">
        <v>0</v>
      </c>
      <c r="L255" s="90">
        <v>1</v>
      </c>
      <c r="M255" s="90">
        <v>1</v>
      </c>
      <c r="N255" s="90">
        <v>5</v>
      </c>
      <c r="O255" s="90">
        <v>0</v>
      </c>
      <c r="P255" s="95">
        <v>6</v>
      </c>
      <c r="Q255" s="90">
        <v>0</v>
      </c>
      <c r="R255" s="90">
        <v>1</v>
      </c>
      <c r="S255" s="95">
        <v>4</v>
      </c>
      <c r="T255" s="90">
        <f>IFERROR((NYY_H50277[[#This Row],[H]]-NYY_H50277[[#This Row],[2B]]-NYY_H50277[[#This Row],[3B]]-NYY_H50277[[#This Row],[HR]])+(NYY_H50277[[#This Row],[2B]]*2)+(NYY_H50277[[#This Row],[3B]]*3)+(NYY_H50277[[#This Row],[HR]]*4),0)</f>
        <v>13</v>
      </c>
      <c r="U255" s="72">
        <f>NYY_H50277[[#This Row],[OBP]]+NYY_H50277[[#This Row],[SLG]]</f>
        <v>0.77777777777777768</v>
      </c>
      <c r="V255" s="74">
        <v>1</v>
      </c>
      <c r="W255" s="615">
        <v>3</v>
      </c>
      <c r="Z255" s="720" t="s">
        <v>266</v>
      </c>
      <c r="AA255" s="345" t="s">
        <v>172</v>
      </c>
      <c r="AB255" s="345" t="s">
        <v>268</v>
      </c>
      <c r="AC255" s="72">
        <f>IFERROR(TOR_H5196[[#This Row],[H]]/TOR_H5196[[#This Row],[AB]],0)</f>
        <v>0.45</v>
      </c>
      <c r="AD255" s="72">
        <f>IFERROR((TOR_H5196[[#This Row],[H]]+TOR_H5196[[#This Row],[BB]])/(TOR_H5196[[#This Row],[AB]]+TOR_H5196[[#This Row],[BB]]),0)</f>
        <v>0.47619047619047616</v>
      </c>
      <c r="AE255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0.6</v>
      </c>
      <c r="AF255" s="28">
        <v>5</v>
      </c>
      <c r="AG255" s="28">
        <v>20</v>
      </c>
      <c r="AH255" s="28">
        <v>3</v>
      </c>
      <c r="AI255" s="28">
        <v>9</v>
      </c>
      <c r="AJ255" s="28">
        <v>3</v>
      </c>
      <c r="AK255" s="28">
        <v>0</v>
      </c>
      <c r="AL255" s="28">
        <v>0</v>
      </c>
      <c r="AM255" s="28">
        <v>1</v>
      </c>
      <c r="AN255" s="28">
        <v>1</v>
      </c>
      <c r="AO255" s="74">
        <v>3</v>
      </c>
      <c r="AP255" s="77">
        <v>0</v>
      </c>
      <c r="AQ255" s="28">
        <v>0</v>
      </c>
      <c r="AR255" s="74">
        <v>4</v>
      </c>
      <c r="AS255" s="77">
        <f>IFERROR((TOR_H5196[[#This Row],[H]]-TOR_H5196[[#This Row],[2B]]-TOR_H5196[[#This Row],[3B]]-TOR_H5196[[#This Row],[HR]])+(TOR_H5196[[#This Row],[2B]]*2)+(TOR_H5196[[#This Row],[3B]]*3)+(TOR_H5196[[#This Row],[HR]]*4),0)</f>
        <v>12</v>
      </c>
      <c r="AT255" s="72">
        <f>TOR_H5196[[#This Row],[OBP]]+TOR_H5196[[#This Row],[SLG]]</f>
        <v>1.0761904761904761</v>
      </c>
      <c r="AU255" s="74">
        <v>1</v>
      </c>
      <c r="AV255" s="615">
        <v>3</v>
      </c>
    </row>
    <row r="256" spans="1:48">
      <c r="A256" s="609" t="s">
        <v>165</v>
      </c>
      <c r="B256" s="71" t="s">
        <v>153</v>
      </c>
      <c r="C256" s="77" t="s">
        <v>171</v>
      </c>
      <c r="D256" s="130">
        <f>IFERROR((NYY_H50277[[#This Row],[H]]/NYY_H50277[[#This Row],[AB]]),0)</f>
        <v>9.0909090909090912E-2</v>
      </c>
      <c r="E256" s="72">
        <f>IFERROR((NYY_H50277[[#This Row],[H]]+NYY_H50277[[#This Row],[BB]])/(NYY_H50277[[#This Row],[AB]]+NYY_H50277[[#This Row],[BB]]),)</f>
        <v>9.0909090909090912E-2</v>
      </c>
      <c r="F256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9.0909090909090912E-2</v>
      </c>
      <c r="G256" s="28">
        <v>6</v>
      </c>
      <c r="H256" s="90">
        <v>22</v>
      </c>
      <c r="I256" s="90">
        <v>1</v>
      </c>
      <c r="J256" s="90">
        <v>2</v>
      </c>
      <c r="K256" s="90">
        <v>0</v>
      </c>
      <c r="L256" s="90">
        <v>0</v>
      </c>
      <c r="M256" s="90">
        <v>0</v>
      </c>
      <c r="N256" s="90">
        <v>0</v>
      </c>
      <c r="O256" s="90">
        <v>0</v>
      </c>
      <c r="P256" s="95">
        <v>6</v>
      </c>
      <c r="Q256" s="90">
        <v>0</v>
      </c>
      <c r="R256" s="90">
        <v>1</v>
      </c>
      <c r="S256" s="95">
        <v>1</v>
      </c>
      <c r="T256" s="90">
        <f>IFERROR((NYY_H50277[[#This Row],[H]]-NYY_H50277[[#This Row],[2B]]-NYY_H50277[[#This Row],[3B]]-NYY_H50277[[#This Row],[HR]])+(NYY_H50277[[#This Row],[2B]]*2)+(NYY_H50277[[#This Row],[3B]]*3)+(NYY_H50277[[#This Row],[HR]]*4),0)</f>
        <v>2</v>
      </c>
      <c r="U256" s="72">
        <f>NYY_H50277[[#This Row],[OBP]]+NYY_H50277[[#This Row],[SLG]]</f>
        <v>0.18181818181818182</v>
      </c>
      <c r="V256" s="74">
        <v>0</v>
      </c>
      <c r="W256" s="615">
        <v>4</v>
      </c>
      <c r="Z256" s="720" t="s">
        <v>266</v>
      </c>
      <c r="AA256" s="345" t="s">
        <v>153</v>
      </c>
      <c r="AB256" s="71" t="s">
        <v>267</v>
      </c>
      <c r="AC256" s="72">
        <f>IFERROR(TOR_H5196[[#This Row],[H]]/TOR_H5196[[#This Row],[AB]],0)</f>
        <v>0.36363636363636365</v>
      </c>
      <c r="AD256" s="72">
        <f>IFERROR((TOR_H5196[[#This Row],[H]]+TOR_H5196[[#This Row],[BB]])/(TOR_H5196[[#This Row],[AB]]+TOR_H5196[[#This Row],[BB]]),0)</f>
        <v>0.36363636363636365</v>
      </c>
      <c r="AE256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0.40909090909090912</v>
      </c>
      <c r="AF256" s="28">
        <v>5</v>
      </c>
      <c r="AG256" s="28">
        <v>22</v>
      </c>
      <c r="AH256" s="28">
        <v>2</v>
      </c>
      <c r="AI256" s="28">
        <v>8</v>
      </c>
      <c r="AJ256" s="28">
        <v>1</v>
      </c>
      <c r="AK256" s="28">
        <v>0</v>
      </c>
      <c r="AL256" s="28">
        <v>0</v>
      </c>
      <c r="AM256" s="28">
        <v>1</v>
      </c>
      <c r="AN256" s="28">
        <v>0</v>
      </c>
      <c r="AO256" s="74">
        <v>1</v>
      </c>
      <c r="AP256" s="77">
        <v>0</v>
      </c>
      <c r="AQ256" s="28">
        <v>3</v>
      </c>
      <c r="AR256" s="74">
        <v>3</v>
      </c>
      <c r="AS256" s="77">
        <f>IFERROR((TOR_H5196[[#This Row],[H]]-TOR_H5196[[#This Row],[2B]]-TOR_H5196[[#This Row],[3B]]-TOR_H5196[[#This Row],[HR]])+(TOR_H5196[[#This Row],[2B]]*2)+(TOR_H5196[[#This Row],[3B]]*3)+(TOR_H5196[[#This Row],[HR]]*4),0)</f>
        <v>9</v>
      </c>
      <c r="AT256" s="72">
        <f>TOR_H5196[[#This Row],[OBP]]+TOR_H5196[[#This Row],[SLG]]</f>
        <v>0.77272727272727271</v>
      </c>
      <c r="AU256" s="74">
        <v>0</v>
      </c>
      <c r="AV256" s="615">
        <v>4</v>
      </c>
    </row>
    <row r="257" spans="1:48">
      <c r="A257" s="609" t="s">
        <v>165</v>
      </c>
      <c r="B257" s="71" t="s">
        <v>177</v>
      </c>
      <c r="C257" s="77" t="s">
        <v>178</v>
      </c>
      <c r="D257" s="130">
        <f>IFERROR((NYY_H50277[[#This Row],[H]]/NYY_H50277[[#This Row],[AB]]),0)</f>
        <v>0.19230769230769232</v>
      </c>
      <c r="E257" s="72">
        <f>IFERROR((NYY_H50277[[#This Row],[H]]+NYY_H50277[[#This Row],[BB]])/(NYY_H50277[[#This Row],[AB]]+NYY_H50277[[#This Row],[BB]]),)</f>
        <v>0.22222222222222221</v>
      </c>
      <c r="F257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0.30769230769230771</v>
      </c>
      <c r="G257" s="28">
        <v>6</v>
      </c>
      <c r="H257" s="90">
        <v>26</v>
      </c>
      <c r="I257" s="90">
        <v>1</v>
      </c>
      <c r="J257" s="90">
        <v>5</v>
      </c>
      <c r="K257" s="90">
        <v>0</v>
      </c>
      <c r="L257" s="90">
        <v>0</v>
      </c>
      <c r="M257" s="90">
        <v>1</v>
      </c>
      <c r="N257" s="90">
        <v>3</v>
      </c>
      <c r="O257" s="90">
        <v>1</v>
      </c>
      <c r="P257" s="95">
        <v>4</v>
      </c>
      <c r="Q257" s="90">
        <v>0</v>
      </c>
      <c r="R257" s="90">
        <v>0</v>
      </c>
      <c r="S257" s="95">
        <v>2</v>
      </c>
      <c r="T257" s="90">
        <f>IFERROR((NYY_H50277[[#This Row],[H]]-NYY_H50277[[#This Row],[2B]]-NYY_H50277[[#This Row],[3B]]-NYY_H50277[[#This Row],[HR]])+(NYY_H50277[[#This Row],[2B]]*2)+(NYY_H50277[[#This Row],[3B]]*3)+(NYY_H50277[[#This Row],[HR]]*4),0)</f>
        <v>8</v>
      </c>
      <c r="U257" s="72">
        <f>NYY_H50277[[#This Row],[OBP]]+NYY_H50277[[#This Row],[SLG]]</f>
        <v>0.52991452991452992</v>
      </c>
      <c r="V257" s="74">
        <v>0</v>
      </c>
      <c r="W257" s="615">
        <v>5</v>
      </c>
      <c r="Z257" s="720" t="s">
        <v>266</v>
      </c>
      <c r="AA257" s="71" t="s">
        <v>177</v>
      </c>
      <c r="AB257" s="71" t="s">
        <v>270</v>
      </c>
      <c r="AC257" s="72">
        <f>IFERROR(TOR_H5196[[#This Row],[H]]/TOR_H5196[[#This Row],[AB]],0)</f>
        <v>0.10526315789473684</v>
      </c>
      <c r="AD257" s="72">
        <f>IFERROR((TOR_H5196[[#This Row],[H]]+TOR_H5196[[#This Row],[BB]])/(TOR_H5196[[#This Row],[AB]]+TOR_H5196[[#This Row],[BB]]),0)</f>
        <v>0.19047619047619047</v>
      </c>
      <c r="AE257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0.10526315789473684</v>
      </c>
      <c r="AF257" s="28">
        <v>5</v>
      </c>
      <c r="AG257" s="28">
        <v>19</v>
      </c>
      <c r="AH257" s="28">
        <v>2</v>
      </c>
      <c r="AI257" s="28">
        <v>2</v>
      </c>
      <c r="AJ257" s="28">
        <v>0</v>
      </c>
      <c r="AK257" s="28">
        <v>0</v>
      </c>
      <c r="AL257" s="28">
        <v>0</v>
      </c>
      <c r="AM257" s="28">
        <v>0</v>
      </c>
      <c r="AN257" s="28">
        <v>2</v>
      </c>
      <c r="AO257" s="74">
        <v>8</v>
      </c>
      <c r="AP257" s="77">
        <v>0</v>
      </c>
      <c r="AQ257" s="28">
        <v>0</v>
      </c>
      <c r="AR257" s="74">
        <v>2</v>
      </c>
      <c r="AS257" s="77">
        <f>IFERROR((TOR_H5196[[#This Row],[H]]-TOR_H5196[[#This Row],[2B]]-TOR_H5196[[#This Row],[3B]]-TOR_H5196[[#This Row],[HR]])+(TOR_H5196[[#This Row],[2B]]*2)+(TOR_H5196[[#This Row],[3B]]*3)+(TOR_H5196[[#This Row],[HR]]*4),0)</f>
        <v>2</v>
      </c>
      <c r="AT257" s="72">
        <f>TOR_H5196[[#This Row],[OBP]]+TOR_H5196[[#This Row],[SLG]]</f>
        <v>0.2957393483709273</v>
      </c>
      <c r="AU257" s="74">
        <v>0</v>
      </c>
      <c r="AV257" s="615">
        <v>5</v>
      </c>
    </row>
    <row r="258" spans="1:48">
      <c r="A258" s="609" t="s">
        <v>165</v>
      </c>
      <c r="B258" s="71" t="s">
        <v>174</v>
      </c>
      <c r="C258" s="77" t="s">
        <v>169</v>
      </c>
      <c r="D258" s="130">
        <f>IFERROR((NYY_H50277[[#This Row],[H]]/NYY_H50277[[#This Row],[AB]]),0)</f>
        <v>0.21739130434782608</v>
      </c>
      <c r="E258" s="72">
        <f>IFERROR((NYY_H50277[[#This Row],[H]]+NYY_H50277[[#This Row],[BB]])/(NYY_H50277[[#This Row],[AB]]+NYY_H50277[[#This Row],[BB]]),)</f>
        <v>0.30769230769230771</v>
      </c>
      <c r="F258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0.39130434782608697</v>
      </c>
      <c r="G258" s="28">
        <v>6</v>
      </c>
      <c r="H258" s="90">
        <v>23</v>
      </c>
      <c r="I258" s="90">
        <v>2</v>
      </c>
      <c r="J258" s="90">
        <v>5</v>
      </c>
      <c r="K258" s="90">
        <v>1</v>
      </c>
      <c r="L258" s="90">
        <v>0</v>
      </c>
      <c r="M258" s="90">
        <v>1</v>
      </c>
      <c r="N258" s="90">
        <v>2</v>
      </c>
      <c r="O258" s="90">
        <v>3</v>
      </c>
      <c r="P258" s="95">
        <v>11</v>
      </c>
      <c r="Q258" s="90">
        <v>0</v>
      </c>
      <c r="R258" s="90">
        <v>1</v>
      </c>
      <c r="S258" s="95">
        <v>2</v>
      </c>
      <c r="T258" s="90">
        <f>IFERROR((NYY_H50277[[#This Row],[H]]-NYY_H50277[[#This Row],[2B]]-NYY_H50277[[#This Row],[3B]]-NYY_H50277[[#This Row],[HR]])+(NYY_H50277[[#This Row],[2B]]*2)+(NYY_H50277[[#This Row],[3B]]*3)+(NYY_H50277[[#This Row],[HR]]*4),0)</f>
        <v>9</v>
      </c>
      <c r="U258" s="72">
        <f>NYY_H50277[[#This Row],[OBP]]+NYY_H50277[[#This Row],[SLG]]</f>
        <v>0.69899665551839463</v>
      </c>
      <c r="V258" s="74">
        <v>0</v>
      </c>
      <c r="W258" s="615">
        <v>6</v>
      </c>
      <c r="Z258" s="720" t="s">
        <v>266</v>
      </c>
      <c r="AA258" s="71" t="s">
        <v>174</v>
      </c>
      <c r="AB258" s="71" t="s">
        <v>276</v>
      </c>
      <c r="AC258" s="72">
        <f>IFERROR(TOR_H5196[[#This Row],[H]]/TOR_H5196[[#This Row],[AB]],0)</f>
        <v>0</v>
      </c>
      <c r="AD258" s="72">
        <f>IFERROR((TOR_H5196[[#This Row],[H]]+TOR_H5196[[#This Row],[BB]])/(TOR_H5196[[#This Row],[AB]]+TOR_H5196[[#This Row],[BB]]),0)</f>
        <v>0.125</v>
      </c>
      <c r="AE258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</v>
      </c>
      <c r="AF258" s="28">
        <v>3</v>
      </c>
      <c r="AG258" s="28">
        <v>7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1</v>
      </c>
      <c r="AO258" s="74">
        <v>1</v>
      </c>
      <c r="AP258" s="77">
        <v>0</v>
      </c>
      <c r="AQ258" s="28">
        <v>0</v>
      </c>
      <c r="AR258" s="74">
        <v>0</v>
      </c>
      <c r="AS258" s="77">
        <f>IFERROR((TOR_H5196[[#This Row],[H]]-TOR_H5196[[#This Row],[2B]]-TOR_H5196[[#This Row],[3B]]-TOR_H5196[[#This Row],[HR]])+(TOR_H5196[[#This Row],[2B]]*2)+(TOR_H5196[[#This Row],[3B]]*3)+(TOR_H5196[[#This Row],[HR]]*4),0)</f>
        <v>0</v>
      </c>
      <c r="AT258" s="72">
        <f>TOR_H5196[[#This Row],[OBP]]+TOR_H5196[[#This Row],[SLG]]</f>
        <v>0.125</v>
      </c>
      <c r="AU258" s="74">
        <v>0</v>
      </c>
      <c r="AV258" s="615">
        <v>6</v>
      </c>
    </row>
    <row r="259" spans="1:48">
      <c r="A259" s="609" t="s">
        <v>165</v>
      </c>
      <c r="B259" s="71" t="s">
        <v>181</v>
      </c>
      <c r="C259" s="77" t="s">
        <v>183</v>
      </c>
      <c r="D259" s="130">
        <f>IFERROR((NYY_H50277[[#This Row],[H]]/NYY_H50277[[#This Row],[AB]]),0)</f>
        <v>0.13333333333333333</v>
      </c>
      <c r="E259" s="72">
        <f>IFERROR((NYY_H50277[[#This Row],[H]]+NYY_H50277[[#This Row],[BB]])/(NYY_H50277[[#This Row],[AB]]+NYY_H50277[[#This Row],[BB]]),)</f>
        <v>0.38095238095238093</v>
      </c>
      <c r="F259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0.13333333333333333</v>
      </c>
      <c r="G259" s="28">
        <v>6</v>
      </c>
      <c r="H259" s="90">
        <v>15</v>
      </c>
      <c r="I259" s="90">
        <v>2</v>
      </c>
      <c r="J259" s="90">
        <v>2</v>
      </c>
      <c r="K259" s="90">
        <v>0</v>
      </c>
      <c r="L259" s="90">
        <v>0</v>
      </c>
      <c r="M259" s="90">
        <v>0</v>
      </c>
      <c r="N259" s="90">
        <v>2</v>
      </c>
      <c r="O259" s="90">
        <v>6</v>
      </c>
      <c r="P259" s="95">
        <v>3</v>
      </c>
      <c r="Q259" s="90">
        <v>0</v>
      </c>
      <c r="R259" s="90">
        <v>1</v>
      </c>
      <c r="S259" s="95">
        <v>1</v>
      </c>
      <c r="T259" s="90">
        <f>IFERROR((NYY_H50277[[#This Row],[H]]-NYY_H50277[[#This Row],[2B]]-NYY_H50277[[#This Row],[3B]]-NYY_H50277[[#This Row],[HR]])+(NYY_H50277[[#This Row],[2B]]*2)+(NYY_H50277[[#This Row],[3B]]*3)+(NYY_H50277[[#This Row],[HR]]*4),0)</f>
        <v>2</v>
      </c>
      <c r="U259" s="72">
        <f>NYY_H50277[[#This Row],[OBP]]+NYY_H50277[[#This Row],[SLG]]</f>
        <v>0.51428571428571423</v>
      </c>
      <c r="V259" s="74">
        <v>0</v>
      </c>
      <c r="W259" s="615">
        <v>7</v>
      </c>
      <c r="Z259" s="720" t="s">
        <v>266</v>
      </c>
      <c r="AA259" s="345" t="s">
        <v>181</v>
      </c>
      <c r="AB259" s="71" t="s">
        <v>269</v>
      </c>
      <c r="AC259" s="72">
        <f>IFERROR(TOR_H5196[[#This Row],[H]]/TOR_H5196[[#This Row],[AB]],0)</f>
        <v>6.6666666666666666E-2</v>
      </c>
      <c r="AD259" s="72">
        <f>IFERROR((TOR_H5196[[#This Row],[H]]+TOR_H5196[[#This Row],[BB]])/(TOR_H5196[[#This Row],[AB]]+TOR_H5196[[#This Row],[BB]]),0)</f>
        <v>0.36363636363636365</v>
      </c>
      <c r="AE259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0.26666666666666666</v>
      </c>
      <c r="AF259" s="28">
        <v>5</v>
      </c>
      <c r="AG259" s="28">
        <v>15</v>
      </c>
      <c r="AH259" s="28">
        <v>2</v>
      </c>
      <c r="AI259" s="28">
        <v>1</v>
      </c>
      <c r="AJ259" s="28">
        <v>0</v>
      </c>
      <c r="AK259" s="28">
        <v>0</v>
      </c>
      <c r="AL259" s="28">
        <v>1</v>
      </c>
      <c r="AM259" s="28">
        <v>2</v>
      </c>
      <c r="AN259" s="28">
        <v>7</v>
      </c>
      <c r="AO259" s="74">
        <v>6</v>
      </c>
      <c r="AP259" s="77">
        <v>0</v>
      </c>
      <c r="AQ259" s="28">
        <v>1</v>
      </c>
      <c r="AR259" s="74">
        <v>1</v>
      </c>
      <c r="AS259" s="77">
        <f>IFERROR((TOR_H5196[[#This Row],[H]]-TOR_H5196[[#This Row],[2B]]-TOR_H5196[[#This Row],[3B]]-TOR_H5196[[#This Row],[HR]])+(TOR_H5196[[#This Row],[2B]]*2)+(TOR_H5196[[#This Row],[3B]]*3)+(TOR_H5196[[#This Row],[HR]]*4),0)</f>
        <v>4</v>
      </c>
      <c r="AT259" s="72">
        <f>TOR_H5196[[#This Row],[OBP]]+TOR_H5196[[#This Row],[SLG]]</f>
        <v>0.63030303030303036</v>
      </c>
      <c r="AU259" s="74">
        <v>1</v>
      </c>
      <c r="AV259" s="615">
        <v>7</v>
      </c>
    </row>
    <row r="260" spans="1:48">
      <c r="A260" s="609" t="s">
        <v>165</v>
      </c>
      <c r="B260" s="71" t="s">
        <v>166</v>
      </c>
      <c r="C260" s="77" t="s">
        <v>167</v>
      </c>
      <c r="D260" s="130">
        <f>IFERROR((NYY_H50277[[#This Row],[H]]/NYY_H50277[[#This Row],[AB]]),0)</f>
        <v>0.33333333333333331</v>
      </c>
      <c r="E260" s="72">
        <f>IFERROR((NYY_H50277[[#This Row],[H]]+NYY_H50277[[#This Row],[BB]])/(NYY_H50277[[#This Row],[AB]]+NYY_H50277[[#This Row],[BB]]),)</f>
        <v>0.40740740740740738</v>
      </c>
      <c r="F260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0.375</v>
      </c>
      <c r="G260" s="28">
        <v>6</v>
      </c>
      <c r="H260" s="90">
        <v>24</v>
      </c>
      <c r="I260" s="90">
        <v>1</v>
      </c>
      <c r="J260" s="90">
        <v>8</v>
      </c>
      <c r="K260" s="90">
        <v>1</v>
      </c>
      <c r="L260" s="90">
        <v>0</v>
      </c>
      <c r="M260" s="90">
        <v>0</v>
      </c>
      <c r="N260" s="90">
        <v>1</v>
      </c>
      <c r="O260" s="90">
        <v>3</v>
      </c>
      <c r="P260" s="95">
        <v>9</v>
      </c>
      <c r="Q260" s="90">
        <v>0</v>
      </c>
      <c r="R260" s="90">
        <v>6</v>
      </c>
      <c r="S260" s="95">
        <v>6</v>
      </c>
      <c r="T260" s="90">
        <f>IFERROR((NYY_H50277[[#This Row],[H]]-NYY_H50277[[#This Row],[2B]]-NYY_H50277[[#This Row],[3B]]-NYY_H50277[[#This Row],[HR]])+(NYY_H50277[[#This Row],[2B]]*2)+(NYY_H50277[[#This Row],[3B]]*3)+(NYY_H50277[[#This Row],[HR]]*4),0)</f>
        <v>9</v>
      </c>
      <c r="U260" s="72">
        <f>NYY_H50277[[#This Row],[OBP]]+NYY_H50277[[#This Row],[SLG]]</f>
        <v>0.78240740740740744</v>
      </c>
      <c r="V260" s="74">
        <v>0</v>
      </c>
      <c r="W260" s="615">
        <v>8</v>
      </c>
      <c r="Z260" s="720" t="s">
        <v>266</v>
      </c>
      <c r="AA260" s="345" t="s">
        <v>166</v>
      </c>
      <c r="AB260" s="71" t="s">
        <v>273</v>
      </c>
      <c r="AC260" s="72">
        <f>IFERROR(TOR_H5196[[#This Row],[H]]/TOR_H5196[[#This Row],[AB]],0)</f>
        <v>0.23529411764705882</v>
      </c>
      <c r="AD260" s="72">
        <f>IFERROR((TOR_H5196[[#This Row],[H]]+TOR_H5196[[#This Row],[BB]])/(TOR_H5196[[#This Row],[AB]]+TOR_H5196[[#This Row],[BB]]),0)</f>
        <v>0.35</v>
      </c>
      <c r="AE260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0.6470588235294118</v>
      </c>
      <c r="AF260" s="28">
        <v>5</v>
      </c>
      <c r="AG260" s="28">
        <v>17</v>
      </c>
      <c r="AH260" s="28">
        <v>3</v>
      </c>
      <c r="AI260" s="28">
        <v>4</v>
      </c>
      <c r="AJ260" s="28">
        <v>1</v>
      </c>
      <c r="AK260" s="28">
        <v>0</v>
      </c>
      <c r="AL260" s="28">
        <v>2</v>
      </c>
      <c r="AM260" s="28">
        <v>2</v>
      </c>
      <c r="AN260" s="28">
        <v>3</v>
      </c>
      <c r="AO260" s="74">
        <v>3</v>
      </c>
      <c r="AP260" s="77">
        <v>0</v>
      </c>
      <c r="AQ260" s="28">
        <v>0</v>
      </c>
      <c r="AR260" s="74">
        <v>4</v>
      </c>
      <c r="AS260" s="77">
        <f>IFERROR((TOR_H5196[[#This Row],[H]]-TOR_H5196[[#This Row],[2B]]-TOR_H5196[[#This Row],[3B]]-TOR_H5196[[#This Row],[HR]])+(TOR_H5196[[#This Row],[2B]]*2)+(TOR_H5196[[#This Row],[3B]]*3)+(TOR_H5196[[#This Row],[HR]]*4),0)</f>
        <v>11</v>
      </c>
      <c r="AT260" s="72">
        <f>TOR_H5196[[#This Row],[OBP]]+TOR_H5196[[#This Row],[SLG]]</f>
        <v>0.99705882352941178</v>
      </c>
      <c r="AU260" s="74">
        <v>1</v>
      </c>
      <c r="AV260" s="615">
        <v>8</v>
      </c>
    </row>
    <row r="261" spans="1:48">
      <c r="A261" s="609" t="s">
        <v>165</v>
      </c>
      <c r="B261" s="71" t="s">
        <v>168</v>
      </c>
      <c r="C261" s="77" t="s">
        <v>170</v>
      </c>
      <c r="D261" s="130">
        <f>IFERROR((NYY_H50277[[#This Row],[H]]/NYY_H50277[[#This Row],[AB]]),0)</f>
        <v>9.5238095238095233E-2</v>
      </c>
      <c r="E261" s="72">
        <f>IFERROR((NYY_H50277[[#This Row],[H]]+NYY_H50277[[#This Row],[BB]])/(NYY_H50277[[#This Row],[AB]]+NYY_H50277[[#This Row],[BB]]),)</f>
        <v>0.24</v>
      </c>
      <c r="F261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9.5238095238095233E-2</v>
      </c>
      <c r="G261" s="28">
        <v>6</v>
      </c>
      <c r="H261" s="90">
        <v>21</v>
      </c>
      <c r="I261" s="90">
        <v>1</v>
      </c>
      <c r="J261" s="90">
        <v>2</v>
      </c>
      <c r="K261" s="90">
        <v>0</v>
      </c>
      <c r="L261" s="90">
        <v>0</v>
      </c>
      <c r="M261" s="90">
        <v>0</v>
      </c>
      <c r="N261" s="90">
        <v>0</v>
      </c>
      <c r="O261" s="90">
        <v>4</v>
      </c>
      <c r="P261" s="95">
        <v>10</v>
      </c>
      <c r="Q261" s="90">
        <v>0</v>
      </c>
      <c r="R261" s="90">
        <v>0</v>
      </c>
      <c r="S261" s="95">
        <v>2</v>
      </c>
      <c r="T261" s="90">
        <f>IFERROR((NYY_H50277[[#This Row],[H]]-NYY_H50277[[#This Row],[2B]]-NYY_H50277[[#This Row],[3B]]-NYY_H50277[[#This Row],[HR]])+(NYY_H50277[[#This Row],[2B]]*2)+(NYY_H50277[[#This Row],[3B]]*3)+(NYY_H50277[[#This Row],[HR]]*4),0)</f>
        <v>2</v>
      </c>
      <c r="U261" s="72">
        <f>NYY_H50277[[#This Row],[OBP]]+NYY_H50277[[#This Row],[SLG]]</f>
        <v>0.33523809523809522</v>
      </c>
      <c r="V261" s="74">
        <v>0</v>
      </c>
      <c r="W261" s="615">
        <v>9</v>
      </c>
      <c r="Z261" s="720" t="s">
        <v>266</v>
      </c>
      <c r="AA261" s="345" t="s">
        <v>168</v>
      </c>
      <c r="AB261" s="71" t="s">
        <v>272</v>
      </c>
      <c r="AC261" s="72">
        <f>IFERROR(TOR_H5196[[#This Row],[H]]/TOR_H5196[[#This Row],[AB]],0)</f>
        <v>0.1111111111111111</v>
      </c>
      <c r="AD261" s="72">
        <f>IFERROR((TOR_H5196[[#This Row],[H]]+TOR_H5196[[#This Row],[BB]])/(TOR_H5196[[#This Row],[AB]]+TOR_H5196[[#This Row],[BB]]),0)</f>
        <v>0.23809523809523808</v>
      </c>
      <c r="AE261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0.16666666666666666</v>
      </c>
      <c r="AF261" s="28">
        <v>5</v>
      </c>
      <c r="AG261" s="28">
        <v>18</v>
      </c>
      <c r="AH261" s="28">
        <v>1</v>
      </c>
      <c r="AI261" s="28">
        <v>2</v>
      </c>
      <c r="AJ261" s="28">
        <v>1</v>
      </c>
      <c r="AK261" s="28">
        <v>0</v>
      </c>
      <c r="AL261" s="28">
        <v>0</v>
      </c>
      <c r="AM261" s="28">
        <v>2</v>
      </c>
      <c r="AN261" s="28">
        <v>3</v>
      </c>
      <c r="AO261" s="74">
        <v>2</v>
      </c>
      <c r="AP261" s="77">
        <v>0</v>
      </c>
      <c r="AQ261" s="28">
        <v>0</v>
      </c>
      <c r="AR261" s="74">
        <v>1</v>
      </c>
      <c r="AS261" s="77">
        <f>IFERROR((TOR_H5196[[#This Row],[H]]-TOR_H5196[[#This Row],[2B]]-TOR_H5196[[#This Row],[3B]]-TOR_H5196[[#This Row],[HR]])+(TOR_H5196[[#This Row],[2B]]*2)+(TOR_H5196[[#This Row],[3B]]*3)+(TOR_H5196[[#This Row],[HR]]*4),0)</f>
        <v>3</v>
      </c>
      <c r="AT261" s="72">
        <f>TOR_H5196[[#This Row],[OBP]]+TOR_H5196[[#This Row],[SLG]]</f>
        <v>0.40476190476190477</v>
      </c>
      <c r="AU261" s="74">
        <v>0</v>
      </c>
      <c r="AV261" s="615">
        <v>9</v>
      </c>
    </row>
    <row r="262" spans="1:48">
      <c r="A262" s="609" t="s">
        <v>165</v>
      </c>
      <c r="B262" s="71" t="s">
        <v>179</v>
      </c>
      <c r="C262" s="77" t="s">
        <v>190</v>
      </c>
      <c r="D262" s="130">
        <f>IFERROR((NYY_H50277[[#This Row],[H]]/NYY_H50277[[#This Row],[AB]]),0)</f>
        <v>0</v>
      </c>
      <c r="E262" s="72">
        <f>IFERROR((NYY_H50277[[#This Row],[H]]+NYY_H50277[[#This Row],[BB]])/(NYY_H50277[[#This Row],[AB]]+NYY_H50277[[#This Row],[BB]]),)</f>
        <v>0</v>
      </c>
      <c r="F262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</v>
      </c>
      <c r="G262" s="28">
        <v>0</v>
      </c>
      <c r="H262" s="90">
        <v>0</v>
      </c>
      <c r="I262" s="90">
        <v>0</v>
      </c>
      <c r="J262" s="90">
        <v>0</v>
      </c>
      <c r="K262" s="90">
        <v>0</v>
      </c>
      <c r="L262" s="90">
        <v>0</v>
      </c>
      <c r="M262" s="90">
        <v>0</v>
      </c>
      <c r="N262" s="90">
        <v>0</v>
      </c>
      <c r="O262" s="90">
        <v>0</v>
      </c>
      <c r="P262" s="95">
        <v>0</v>
      </c>
      <c r="Q262" s="90">
        <v>0</v>
      </c>
      <c r="R262" s="90">
        <v>0</v>
      </c>
      <c r="S262" s="95">
        <v>0</v>
      </c>
      <c r="T262" s="90">
        <f>IFERROR((NYY_H50277[[#This Row],[H]]-NYY_H50277[[#This Row],[2B]]-NYY_H50277[[#This Row],[3B]]-NYY_H50277[[#This Row],[HR]])+(NYY_H50277[[#This Row],[2B]]*2)+(NYY_H50277[[#This Row],[3B]]*3)+(NYY_H50277[[#This Row],[HR]]*4),0)</f>
        <v>0</v>
      </c>
      <c r="U262" s="72">
        <f>NYY_H50277[[#This Row],[OBP]]+NYY_H50277[[#This Row],[SLG]]</f>
        <v>0</v>
      </c>
      <c r="V262" s="74">
        <v>0</v>
      </c>
      <c r="W262" s="615">
        <v>10</v>
      </c>
      <c r="Z262" s="720" t="s">
        <v>266</v>
      </c>
      <c r="AA262" s="71" t="s">
        <v>179</v>
      </c>
      <c r="AB262" s="71" t="s">
        <v>275</v>
      </c>
      <c r="AC262" s="72">
        <f>IFERROR(TOR_H5196[[#This Row],[H]]/TOR_H5196[[#This Row],[AB]],0)</f>
        <v>0</v>
      </c>
      <c r="AD262" s="72">
        <f>IFERROR((TOR_H5196[[#This Row],[H]]+TOR_H5196[[#This Row],[BB]])/(TOR_H5196[[#This Row],[AB]]+TOR_H5196[[#This Row],[BB]]),0)</f>
        <v>0</v>
      </c>
      <c r="AE262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74">
        <v>0</v>
      </c>
      <c r="AP262" s="77">
        <v>0</v>
      </c>
      <c r="AQ262" s="28">
        <v>0</v>
      </c>
      <c r="AR262" s="74">
        <v>0</v>
      </c>
      <c r="AS262" s="77">
        <f>IFERROR((TOR_H5196[[#This Row],[H]]-TOR_H5196[[#This Row],[2B]]-TOR_H5196[[#This Row],[3B]]-TOR_H5196[[#This Row],[HR]])+(TOR_H5196[[#This Row],[2B]]*2)+(TOR_H5196[[#This Row],[3B]]*3)+(TOR_H5196[[#This Row],[HR]]*4),0)</f>
        <v>0</v>
      </c>
      <c r="AT262" s="72">
        <f>TOR_H5196[[#This Row],[OBP]]+TOR_H5196[[#This Row],[SLG]]</f>
        <v>0</v>
      </c>
      <c r="AU262" s="74">
        <v>0</v>
      </c>
      <c r="AV262" s="615">
        <v>10</v>
      </c>
    </row>
    <row r="263" spans="1:48">
      <c r="A263" s="609" t="s">
        <v>165</v>
      </c>
      <c r="B263" s="71" t="s">
        <v>187</v>
      </c>
      <c r="C263" s="77" t="s">
        <v>188</v>
      </c>
      <c r="D263" s="130">
        <f>IFERROR((NYY_H50277[[#This Row],[H]]/NYY_H50277[[#This Row],[AB]]),0)</f>
        <v>0</v>
      </c>
      <c r="E263" s="72">
        <f>IFERROR((NYY_H50277[[#This Row],[H]]+NYY_H50277[[#This Row],[BB]])/(NYY_H50277[[#This Row],[AB]]+NYY_H50277[[#This Row],[BB]]),)</f>
        <v>0</v>
      </c>
      <c r="F263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</v>
      </c>
      <c r="G263" s="28">
        <v>0</v>
      </c>
      <c r="H263" s="90">
        <v>0</v>
      </c>
      <c r="I263" s="90">
        <v>0</v>
      </c>
      <c r="J263" s="90">
        <v>0</v>
      </c>
      <c r="K263" s="90">
        <v>0</v>
      </c>
      <c r="L263" s="90">
        <v>0</v>
      </c>
      <c r="M263" s="90">
        <v>0</v>
      </c>
      <c r="N263" s="90">
        <v>0</v>
      </c>
      <c r="O263" s="90">
        <v>0</v>
      </c>
      <c r="P263" s="95">
        <v>0</v>
      </c>
      <c r="Q263" s="90">
        <v>0</v>
      </c>
      <c r="R263" s="90">
        <v>0</v>
      </c>
      <c r="S263" s="95">
        <v>0</v>
      </c>
      <c r="T263" s="90">
        <f>IFERROR((NYY_H50277[[#This Row],[H]]-NYY_H50277[[#This Row],[2B]]-NYY_H50277[[#This Row],[3B]]-NYY_H50277[[#This Row],[HR]])+(NYY_H50277[[#This Row],[2B]]*2)+(NYY_H50277[[#This Row],[3B]]*3)+(NYY_H50277[[#This Row],[HR]]*4),0)</f>
        <v>0</v>
      </c>
      <c r="U263" s="72">
        <f>NYY_H50277[[#This Row],[OBP]]+NYY_H50277[[#This Row],[SLG]]</f>
        <v>0</v>
      </c>
      <c r="V263" s="74">
        <v>0</v>
      </c>
      <c r="W263" s="615">
        <v>11</v>
      </c>
      <c r="Z263" s="720" t="s">
        <v>266</v>
      </c>
      <c r="AA263" s="71" t="s">
        <v>187</v>
      </c>
      <c r="AB263" s="77" t="s">
        <v>280</v>
      </c>
      <c r="AC263" s="130">
        <f>IFERROR(TOR_H5196[[#This Row],[H]]/TOR_H5196[[#This Row],[AB]],0)</f>
        <v>0</v>
      </c>
      <c r="AD263" s="72">
        <f>IFERROR((TOR_H5196[[#This Row],[H]]+TOR_H5196[[#This Row],[BB]])/(TOR_H5196[[#This Row],[AB]]+TOR_H5196[[#This Row],[BB]]),0)</f>
        <v>0</v>
      </c>
      <c r="AE263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74">
        <v>0</v>
      </c>
      <c r="AP263" s="77">
        <v>0</v>
      </c>
      <c r="AQ263" s="28">
        <v>0</v>
      </c>
      <c r="AR263" s="74">
        <v>0</v>
      </c>
      <c r="AS263" s="77">
        <f>IFERROR((TOR_H5196[[#This Row],[H]]-TOR_H5196[[#This Row],[2B]]-TOR_H5196[[#This Row],[3B]]-TOR_H5196[[#This Row],[HR]])+(TOR_H5196[[#This Row],[2B]]*2)+(TOR_H5196[[#This Row],[3B]]*3)+(TOR_H5196[[#This Row],[HR]]*4),0)</f>
        <v>0</v>
      </c>
      <c r="AT263" s="72">
        <f>TOR_H5196[[#This Row],[OBP]]+TOR_H5196[[#This Row],[SLG]]</f>
        <v>0</v>
      </c>
      <c r="AU263" s="74">
        <v>0</v>
      </c>
      <c r="AV263" s="615">
        <v>11</v>
      </c>
    </row>
    <row r="264" spans="1:48">
      <c r="A264" s="609" t="s">
        <v>165</v>
      </c>
      <c r="B264" s="71" t="s">
        <v>187</v>
      </c>
      <c r="C264" s="77" t="s">
        <v>193</v>
      </c>
      <c r="D264" s="130">
        <f>IFERROR((NYY_H50277[[#This Row],[H]]/NYY_H50277[[#This Row],[AB]]),0)</f>
        <v>0</v>
      </c>
      <c r="E264" s="72">
        <f>IFERROR((NYY_H50277[[#This Row],[H]]+NYY_H50277[[#This Row],[BB]])/(NYY_H50277[[#This Row],[AB]]+NYY_H50277[[#This Row],[BB]]),)</f>
        <v>0</v>
      </c>
      <c r="F264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</v>
      </c>
      <c r="G264" s="28">
        <v>0</v>
      </c>
      <c r="H264" s="90">
        <v>0</v>
      </c>
      <c r="I264" s="90">
        <v>0</v>
      </c>
      <c r="J264" s="90">
        <v>0</v>
      </c>
      <c r="K264" s="90">
        <v>0</v>
      </c>
      <c r="L264" s="90">
        <v>0</v>
      </c>
      <c r="M264" s="90">
        <v>0</v>
      </c>
      <c r="N264" s="90">
        <v>0</v>
      </c>
      <c r="O264" s="90">
        <v>0</v>
      </c>
      <c r="P264" s="95">
        <v>0</v>
      </c>
      <c r="Q264" s="90">
        <v>0</v>
      </c>
      <c r="R264" s="90">
        <v>0</v>
      </c>
      <c r="S264" s="95">
        <v>0</v>
      </c>
      <c r="T264" s="90">
        <f>IFERROR((NYY_H50277[[#This Row],[H]]-NYY_H50277[[#This Row],[2B]]-NYY_H50277[[#This Row],[3B]]-NYY_H50277[[#This Row],[HR]])+(NYY_H50277[[#This Row],[2B]]*2)+(NYY_H50277[[#This Row],[3B]]*3)+(NYY_H50277[[#This Row],[HR]]*4),0)</f>
        <v>0</v>
      </c>
      <c r="U264" s="72">
        <f>NYY_H50277[[#This Row],[OBP]]+NYY_H50277[[#This Row],[SLG]]</f>
        <v>0</v>
      </c>
      <c r="V264" s="74">
        <v>0</v>
      </c>
      <c r="W264" s="615">
        <v>12</v>
      </c>
      <c r="Z264" s="720" t="s">
        <v>266</v>
      </c>
      <c r="AA264" s="71" t="s">
        <v>187</v>
      </c>
      <c r="AB264" s="71" t="s">
        <v>282</v>
      </c>
      <c r="AC264" s="72">
        <f>IFERROR(TOR_H5196[[#This Row],[H]]/TOR_H5196[[#This Row],[AB]],0)</f>
        <v>0</v>
      </c>
      <c r="AD264" s="72">
        <f>IFERROR((TOR_H5196[[#This Row],[H]]+TOR_H5196[[#This Row],[BB]])/(TOR_H5196[[#This Row],[AB]]+TOR_H5196[[#This Row],[BB]]),0)</f>
        <v>0</v>
      </c>
      <c r="AE264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74">
        <v>0</v>
      </c>
      <c r="AP264" s="77">
        <v>0</v>
      </c>
      <c r="AQ264" s="28">
        <v>0</v>
      </c>
      <c r="AR264" s="74">
        <v>0</v>
      </c>
      <c r="AS264" s="77">
        <f>IFERROR((TOR_H5196[[#This Row],[H]]-TOR_H5196[[#This Row],[2B]]-TOR_H5196[[#This Row],[3B]]-TOR_H5196[[#This Row],[HR]])+(TOR_H5196[[#This Row],[2B]]*2)+(TOR_H5196[[#This Row],[3B]]*3)+(TOR_H5196[[#This Row],[HR]]*4),0)</f>
        <v>0</v>
      </c>
      <c r="AT264" s="72">
        <f>TOR_H5196[[#This Row],[OBP]]+TOR_H5196[[#This Row],[SLG]]</f>
        <v>0</v>
      </c>
      <c r="AU264" s="74">
        <v>0</v>
      </c>
      <c r="AV264" s="615">
        <v>12</v>
      </c>
    </row>
    <row r="265" spans="1:48">
      <c r="A265" s="609" t="s">
        <v>165</v>
      </c>
      <c r="B265" s="71" t="s">
        <v>184</v>
      </c>
      <c r="C265" s="77" t="s">
        <v>185</v>
      </c>
      <c r="D265" s="130">
        <f>IFERROR((NYY_H50277[[#This Row],[H]]/NYY_H50277[[#This Row],[AB]]),0)</f>
        <v>0</v>
      </c>
      <c r="E265" s="72">
        <f>IFERROR((NYY_H50277[[#This Row],[H]]+NYY_H50277[[#This Row],[BB]])/(NYY_H50277[[#This Row],[AB]]+NYY_H50277[[#This Row],[BB]]),)</f>
        <v>0</v>
      </c>
      <c r="F265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</v>
      </c>
      <c r="G265" s="28">
        <v>0</v>
      </c>
      <c r="H265" s="90">
        <v>0</v>
      </c>
      <c r="I265" s="90">
        <v>0</v>
      </c>
      <c r="J265" s="90">
        <v>0</v>
      </c>
      <c r="K265" s="90">
        <v>0</v>
      </c>
      <c r="L265" s="90">
        <v>0</v>
      </c>
      <c r="M265" s="90">
        <v>0</v>
      </c>
      <c r="N265" s="90">
        <v>0</v>
      </c>
      <c r="O265" s="90">
        <v>0</v>
      </c>
      <c r="P265" s="95">
        <v>0</v>
      </c>
      <c r="Q265" s="90">
        <v>0</v>
      </c>
      <c r="R265" s="90">
        <v>0</v>
      </c>
      <c r="S265" s="95">
        <v>0</v>
      </c>
      <c r="T265" s="90">
        <f>IFERROR((NYY_H50277[[#This Row],[H]]-NYY_H50277[[#This Row],[2B]]-NYY_H50277[[#This Row],[3B]]-NYY_H50277[[#This Row],[HR]])+(NYY_H50277[[#This Row],[2B]]*2)+(NYY_H50277[[#This Row],[3B]]*3)+(NYY_H50277[[#This Row],[HR]]*4),0)</f>
        <v>0</v>
      </c>
      <c r="U265" s="72">
        <f>NYY_H50277[[#This Row],[OBP]]+NYY_H50277[[#This Row],[SLG]]</f>
        <v>0</v>
      </c>
      <c r="V265" s="74">
        <v>0</v>
      </c>
      <c r="W265" s="615">
        <v>13</v>
      </c>
      <c r="Z265" s="720" t="s">
        <v>266</v>
      </c>
      <c r="AA265" s="71" t="s">
        <v>186</v>
      </c>
      <c r="AB265" s="71" t="s">
        <v>279</v>
      </c>
      <c r="AC265" s="72">
        <f>IFERROR(TOR_H5196[[#This Row],[H]]/TOR_H5196[[#This Row],[AB]],0)</f>
        <v>0.33333333333333331</v>
      </c>
      <c r="AD265" s="72">
        <f>IFERROR((TOR_H5196[[#This Row],[H]]+TOR_H5196[[#This Row],[BB]])/(TOR_H5196[[#This Row],[AB]]+TOR_H5196[[#This Row],[BB]]),0)</f>
        <v>0.45454545454545453</v>
      </c>
      <c r="AE265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0.66666666666666663</v>
      </c>
      <c r="AF265" s="28">
        <v>3</v>
      </c>
      <c r="AG265" s="28">
        <v>9</v>
      </c>
      <c r="AH265" s="28">
        <v>1</v>
      </c>
      <c r="AI265" s="28">
        <v>3</v>
      </c>
      <c r="AJ265" s="28">
        <v>0</v>
      </c>
      <c r="AK265" s="28">
        <v>0</v>
      </c>
      <c r="AL265" s="28">
        <v>1</v>
      </c>
      <c r="AM265" s="28">
        <v>4</v>
      </c>
      <c r="AN265" s="28">
        <v>2</v>
      </c>
      <c r="AO265" s="74">
        <v>5</v>
      </c>
      <c r="AP265" s="77">
        <v>0</v>
      </c>
      <c r="AQ265" s="28">
        <v>2</v>
      </c>
      <c r="AR265" s="74">
        <v>2</v>
      </c>
      <c r="AS265" s="77">
        <f>IFERROR((TOR_H5196[[#This Row],[H]]-TOR_H5196[[#This Row],[2B]]-TOR_H5196[[#This Row],[3B]]-TOR_H5196[[#This Row],[HR]])+(TOR_H5196[[#This Row],[2B]]*2)+(TOR_H5196[[#This Row],[3B]]*3)+(TOR_H5196[[#This Row],[HR]]*4),0)</f>
        <v>6</v>
      </c>
      <c r="AT265" s="72">
        <f>TOR_H5196[[#This Row],[OBP]]+TOR_H5196[[#This Row],[SLG]]</f>
        <v>1.1212121212121211</v>
      </c>
      <c r="AU265" s="74">
        <v>0</v>
      </c>
      <c r="AV265" s="615">
        <v>13</v>
      </c>
    </row>
    <row r="266" spans="1:48" ht="17" thickBot="1">
      <c r="A266" s="609" t="s">
        <v>165</v>
      </c>
      <c r="B266" s="71" t="s">
        <v>186</v>
      </c>
      <c r="C266" s="77" t="s">
        <v>182</v>
      </c>
      <c r="D266" s="130">
        <f>IFERROR((NYY_H50277[[#This Row],[H]]/NYY_H50277[[#This Row],[AB]]),0)</f>
        <v>0</v>
      </c>
      <c r="E266" s="72">
        <f>IFERROR((NYY_H50277[[#This Row],[H]]+NYY_H50277[[#This Row],[BB]])/(NYY_H50277[[#This Row],[AB]]+NYY_H50277[[#This Row],[BB]]),)</f>
        <v>0</v>
      </c>
      <c r="F266" s="73">
        <f>IFERROR(((NYY_H50277[[#This Row],[H]]-NYY_H50277[[#This Row],[2B]]-NYY_H50277[[#This Row],[3B]]-NYY_H50277[[#This Row],[HR]])+(NYY_H50277[[#This Row],[2B]]*2)+(NYY_H50277[[#This Row],[3B]]*3)+(NYY_H50277[[#This Row],[HR]]*4))/NYY_H50277[[#This Row],[AB]],0)</f>
        <v>0</v>
      </c>
      <c r="G266" s="28">
        <v>0</v>
      </c>
      <c r="H266" s="90">
        <v>0</v>
      </c>
      <c r="I266" s="90">
        <v>0</v>
      </c>
      <c r="J266" s="90">
        <v>0</v>
      </c>
      <c r="K266" s="90">
        <v>0</v>
      </c>
      <c r="L266" s="90">
        <v>0</v>
      </c>
      <c r="M266" s="90">
        <v>0</v>
      </c>
      <c r="N266" s="90">
        <v>0</v>
      </c>
      <c r="O266" s="90">
        <v>0</v>
      </c>
      <c r="P266" s="95">
        <v>0</v>
      </c>
      <c r="Q266" s="90">
        <v>0</v>
      </c>
      <c r="R266" s="90">
        <v>0</v>
      </c>
      <c r="S266" s="95">
        <v>0</v>
      </c>
      <c r="T266" s="90">
        <f>IFERROR((NYY_H50277[[#This Row],[H]]-NYY_H50277[[#This Row],[2B]]-NYY_H50277[[#This Row],[3B]]-NYY_H50277[[#This Row],[HR]])+(NYY_H50277[[#This Row],[2B]]*2)+(NYY_H50277[[#This Row],[3B]]*3)+(NYY_H50277[[#This Row],[HR]]*4),0)</f>
        <v>0</v>
      </c>
      <c r="U266" s="72">
        <f>NYY_H50277[[#This Row],[OBP]]+NYY_H50277[[#This Row],[SLG]]</f>
        <v>0</v>
      </c>
      <c r="V266" s="74">
        <v>0</v>
      </c>
      <c r="W266" s="615">
        <v>14</v>
      </c>
      <c r="Z266" s="720" t="s">
        <v>266</v>
      </c>
      <c r="AA266" s="71" t="s">
        <v>186</v>
      </c>
      <c r="AB266" s="71" t="s">
        <v>281</v>
      </c>
      <c r="AC266" s="72">
        <f>IFERROR(TOR_H5196[[#This Row],[H]]/TOR_H5196[[#This Row],[AB]],0)</f>
        <v>0</v>
      </c>
      <c r="AD266" s="72">
        <f>IFERROR((TOR_H5196[[#This Row],[H]]+TOR_H5196[[#This Row],[BB]])/(TOR_H5196[[#This Row],[AB]]+TOR_H5196[[#This Row],[BB]]),0)</f>
        <v>0</v>
      </c>
      <c r="AE266" s="73">
        <f>IFERROR(((TOR_H5196[[#This Row],[H]]-TOR_H5196[[#This Row],[2B]]-TOR_H5196[[#This Row],[3B]]-TOR_H5196[[#This Row],[HR]])+(TOR_H5196[[#This Row],[2B]]*2)+(TOR_H5196[[#This Row],[3B]]*3)+(TOR_H5196[[#This Row],[HR]]*4))/TOR_H5196[[#This Row],[AB]],0)</f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74">
        <v>0</v>
      </c>
      <c r="AP266" s="77">
        <v>0</v>
      </c>
      <c r="AQ266" s="28">
        <v>0</v>
      </c>
      <c r="AR266" s="74">
        <v>0</v>
      </c>
      <c r="AS266" s="77">
        <f>IFERROR((TOR_H5196[[#This Row],[H]]-TOR_H5196[[#This Row],[2B]]-TOR_H5196[[#This Row],[3B]]-TOR_H5196[[#This Row],[HR]])+(TOR_H5196[[#This Row],[2B]]*2)+(TOR_H5196[[#This Row],[3B]]*3)+(TOR_H5196[[#This Row],[HR]]*4),0)</f>
        <v>0</v>
      </c>
      <c r="AT266" s="72">
        <f>TOR_H5196[[#This Row],[OBP]]+TOR_H5196[[#This Row],[SLG]]</f>
        <v>0</v>
      </c>
      <c r="AU266" s="74">
        <v>0</v>
      </c>
      <c r="AV266" s="615">
        <v>14</v>
      </c>
    </row>
    <row r="267" spans="1:48" ht="17" thickBot="1">
      <c r="A267" s="617"/>
      <c r="B267" s="618"/>
      <c r="C267" s="619" t="s">
        <v>195</v>
      </c>
      <c r="D267" s="620">
        <f>J267/H267</f>
        <v>0.21890547263681592</v>
      </c>
      <c r="E267" s="620">
        <f>(J267+O267)/(O267+H267)</f>
        <v>0.2895927601809955</v>
      </c>
      <c r="F267" s="621">
        <f>((J267-K267-L267-M267)+(K267*2)+(L267*3)+(M267*4))/H267</f>
        <v>0.29353233830845771</v>
      </c>
      <c r="G267" s="622"/>
      <c r="H267" s="623">
        <f>SUBTOTAL(109,NYY_H50277[AB])</f>
        <v>201</v>
      </c>
      <c r="I267" s="623">
        <f>SUBTOTAL(109,NYY_H50277[R])</f>
        <v>14</v>
      </c>
      <c r="J267" s="623">
        <f>SUBTOTAL(109,NYY_H50277[H])</f>
        <v>44</v>
      </c>
      <c r="K267" s="623">
        <f>SUBTOTAL(109,NYY_H50277[2B])</f>
        <v>4</v>
      </c>
      <c r="L267" s="623">
        <f>SUBTOTAL(109,NYY_H50277[3B])</f>
        <v>1</v>
      </c>
      <c r="M267" s="623">
        <f>SUBTOTAL(109,NYY_H50277[HR])</f>
        <v>3</v>
      </c>
      <c r="N267" s="623">
        <f>SUBTOTAL(109,NYY_H50277[RBI])</f>
        <v>14</v>
      </c>
      <c r="O267" s="623">
        <f>SUBTOTAL(109,NYY_H50277[BB])</f>
        <v>20</v>
      </c>
      <c r="P267" s="624">
        <f>SUBTOTAL(109,NYY_H50277[K])</f>
        <v>60</v>
      </c>
      <c r="Q267" s="623">
        <f>SUBTOTAL(109,NYY_H50277[SB])</f>
        <v>0</v>
      </c>
      <c r="R267" s="622"/>
      <c r="S267" s="625"/>
      <c r="T267" s="623">
        <f>SUBTOTAL(109,NYY_H50277[TB])</f>
        <v>59</v>
      </c>
      <c r="U267" s="620">
        <f>E267+F267</f>
        <v>0.58312509848945315</v>
      </c>
      <c r="V267" s="625">
        <f>SUBTOTAL(109,NYY_H50277[*])</f>
        <v>2</v>
      </c>
      <c r="W267" s="626"/>
      <c r="Z267" s="674"/>
      <c r="AA267" s="675"/>
      <c r="AB267" s="676" t="s">
        <v>195</v>
      </c>
      <c r="AC267" s="677">
        <f>AI267/AG267</f>
        <v>0.23312883435582821</v>
      </c>
      <c r="AD267" s="677">
        <f>(AI267+AN267)/(AN267+AG267)</f>
        <v>0.32065217391304346</v>
      </c>
      <c r="AE267" s="677">
        <f>((AI267-AJ267-AK267-AL267)+(AJ267*2)+(AK267*3)+(AL267*4))/AG267</f>
        <v>0.36809815950920244</v>
      </c>
      <c r="AF267" s="678"/>
      <c r="AG267" s="679">
        <f>SUBTOTAL(109,TOR_H5196[AB])</f>
        <v>163</v>
      </c>
      <c r="AH267" s="679">
        <f>SUBTOTAL(109,TOR_H5196[R])</f>
        <v>15</v>
      </c>
      <c r="AI267" s="679">
        <f>SUBTOTAL(109,TOR_H5196[H])</f>
        <v>38</v>
      </c>
      <c r="AJ267" s="679">
        <f>SUBTOTAL(109,TOR_H5196[2B])</f>
        <v>7</v>
      </c>
      <c r="AK267" s="679">
        <f>SUBTOTAL(109,TOR_H5196[3B])</f>
        <v>0</v>
      </c>
      <c r="AL267" s="679">
        <f>SUBTOTAL(109,TOR_H5196[HR])</f>
        <v>5</v>
      </c>
      <c r="AM267" s="679">
        <f>SUBTOTAL(109,TOR_H5196[RBI])</f>
        <v>15</v>
      </c>
      <c r="AN267" s="679">
        <f>SUBTOTAL(109,TOR_H5196[BB])</f>
        <v>21</v>
      </c>
      <c r="AO267" s="680">
        <f>SUBTOTAL(109,TOR_H5196[K])</f>
        <v>42</v>
      </c>
      <c r="AP267" s="678">
        <f>SUBTOTAL(109,TOR_H5196[SB])</f>
        <v>0</v>
      </c>
      <c r="AQ267" s="679"/>
      <c r="AR267" s="679"/>
      <c r="AS267" s="678">
        <f>SUBTOTAL(109,TOR_H5196[TB])</f>
        <v>60</v>
      </c>
      <c r="AT267" s="677">
        <f>AD267+AE267</f>
        <v>0.6887503334222459</v>
      </c>
      <c r="AU267" s="680">
        <f>SUBTOTAL(109,TOR_H5196[*])</f>
        <v>4</v>
      </c>
      <c r="AV267" s="681"/>
    </row>
    <row r="268" spans="1:48" ht="17" thickBot="1"/>
    <row r="269" spans="1:48" ht="17" thickBot="1">
      <c r="A269" s="605" t="s">
        <v>143</v>
      </c>
      <c r="B269" s="606" t="s">
        <v>144</v>
      </c>
      <c r="C269" s="606" t="s">
        <v>145</v>
      </c>
      <c r="D269" s="606" t="s">
        <v>196</v>
      </c>
      <c r="E269" s="606" t="s">
        <v>197</v>
      </c>
      <c r="F269" s="606" t="s">
        <v>198</v>
      </c>
      <c r="G269" s="606" t="s">
        <v>149</v>
      </c>
      <c r="H269" s="606" t="s">
        <v>199</v>
      </c>
      <c r="I269" s="606" t="s">
        <v>152</v>
      </c>
      <c r="J269" s="606" t="s">
        <v>151</v>
      </c>
      <c r="K269" s="606" t="s">
        <v>157</v>
      </c>
      <c r="L269" s="606" t="s">
        <v>158</v>
      </c>
      <c r="M269" s="606" t="s">
        <v>200</v>
      </c>
      <c r="N269" s="606" t="s">
        <v>201</v>
      </c>
      <c r="O269" s="606" t="s">
        <v>202</v>
      </c>
      <c r="P269" s="606" t="s">
        <v>203</v>
      </c>
      <c r="Q269" s="606" t="s">
        <v>204</v>
      </c>
      <c r="R269" s="606" t="s">
        <v>205</v>
      </c>
      <c r="S269" s="607" t="s">
        <v>164</v>
      </c>
      <c r="T269" s="64"/>
      <c r="U269" s="64"/>
      <c r="V269" s="64"/>
      <c r="W269" s="64"/>
      <c r="Z269" s="605" t="s">
        <v>143</v>
      </c>
      <c r="AA269" s="606" t="s">
        <v>144</v>
      </c>
      <c r="AB269" s="606" t="s">
        <v>145</v>
      </c>
      <c r="AC269" s="606" t="s">
        <v>196</v>
      </c>
      <c r="AD269" s="606" t="s">
        <v>197</v>
      </c>
      <c r="AE269" s="606" t="s">
        <v>198</v>
      </c>
      <c r="AF269" s="606" t="s">
        <v>149</v>
      </c>
      <c r="AG269" s="606" t="s">
        <v>199</v>
      </c>
      <c r="AH269" s="606" t="s">
        <v>152</v>
      </c>
      <c r="AI269" s="606" t="s">
        <v>151</v>
      </c>
      <c r="AJ269" s="606" t="s">
        <v>157</v>
      </c>
      <c r="AK269" s="606" t="s">
        <v>158</v>
      </c>
      <c r="AL269" s="606" t="s">
        <v>200</v>
      </c>
      <c r="AM269" s="606" t="s">
        <v>201</v>
      </c>
      <c r="AN269" s="606" t="s">
        <v>202</v>
      </c>
      <c r="AO269" s="606" t="s">
        <v>203</v>
      </c>
      <c r="AP269" s="606" t="s">
        <v>204</v>
      </c>
      <c r="AQ269" s="606" t="s">
        <v>205</v>
      </c>
      <c r="AR269" s="607" t="s">
        <v>164</v>
      </c>
    </row>
    <row r="270" spans="1:48">
      <c r="A270" s="634" t="s">
        <v>165</v>
      </c>
      <c r="B270" s="597" t="s">
        <v>206</v>
      </c>
      <c r="C270" s="600" t="s">
        <v>207</v>
      </c>
      <c r="D270" s="663">
        <f>IFERROR((NYY_P51278[[#This Row],[R]]*9)/NYY_P51278[[#This Row],[IP]],0)</f>
        <v>1.884159106769016</v>
      </c>
      <c r="E270" s="673">
        <v>1</v>
      </c>
      <c r="F270" s="604">
        <v>1</v>
      </c>
      <c r="G270" s="600">
        <v>2</v>
      </c>
      <c r="H270" s="630">
        <v>14.33</v>
      </c>
      <c r="I270" s="601">
        <v>8</v>
      </c>
      <c r="J270" s="601">
        <v>3</v>
      </c>
      <c r="K270" s="601">
        <v>5</v>
      </c>
      <c r="L270" s="601">
        <v>23</v>
      </c>
      <c r="M270" s="600">
        <v>0</v>
      </c>
      <c r="N270" s="631">
        <f>IFERROR((NYY_P51278[[#This Row],[BB]]+NYY_P51278[[#This Row],[H]])/NYY_P51278[[#This Row],[IP]],)</f>
        <v>0.90718771807397069</v>
      </c>
      <c r="O270" s="600">
        <v>2</v>
      </c>
      <c r="P270" s="601">
        <v>2</v>
      </c>
      <c r="Q270" s="600">
        <v>0</v>
      </c>
      <c r="R270" s="604">
        <v>0</v>
      </c>
      <c r="S270" s="614">
        <v>1</v>
      </c>
      <c r="Z270" s="719" t="s">
        <v>266</v>
      </c>
      <c r="AA270" s="597" t="s">
        <v>206</v>
      </c>
      <c r="AB270" s="682" t="s">
        <v>284</v>
      </c>
      <c r="AC270" s="663">
        <f>IFERROR((TOR_P5297[[#This Row],[R]]*9)/TOR_P5297[[#This Row],[IP]],0)</f>
        <v>1.2857142857142858</v>
      </c>
      <c r="AD270" s="600">
        <v>1</v>
      </c>
      <c r="AE270" s="604">
        <v>0</v>
      </c>
      <c r="AF270" s="600">
        <v>1</v>
      </c>
      <c r="AG270" s="630">
        <v>7</v>
      </c>
      <c r="AH270" s="600">
        <v>2</v>
      </c>
      <c r="AI270" s="600">
        <v>1</v>
      </c>
      <c r="AJ270" s="600">
        <v>6</v>
      </c>
      <c r="AK270" s="600">
        <v>10</v>
      </c>
      <c r="AL270" s="600">
        <v>0</v>
      </c>
      <c r="AM270" s="631">
        <f>IFERROR((TOR_P5297[[#This Row],[BB]]+TOR_P5297[[#This Row],[H]])/TOR_P5297[[#This Row],[IP]],0)</f>
        <v>1.1428571428571428</v>
      </c>
      <c r="AN270" s="600">
        <v>1</v>
      </c>
      <c r="AO270" s="601">
        <v>1</v>
      </c>
      <c r="AP270" s="600">
        <v>0</v>
      </c>
      <c r="AQ270" s="604">
        <v>0</v>
      </c>
      <c r="AR270" s="614">
        <v>1</v>
      </c>
    </row>
    <row r="271" spans="1:48">
      <c r="A271" s="635" t="s">
        <v>165</v>
      </c>
      <c r="B271" s="71" t="s">
        <v>206</v>
      </c>
      <c r="C271" s="633" t="s">
        <v>208</v>
      </c>
      <c r="D271" s="88">
        <f>IFERROR((NYY_P51278[[#This Row],[R]]*9)/NYY_P51278[[#This Row],[IP]],0)</f>
        <v>6.3930544593528023</v>
      </c>
      <c r="E271" s="77">
        <v>0</v>
      </c>
      <c r="F271" s="74">
        <v>2</v>
      </c>
      <c r="G271" s="28">
        <v>2</v>
      </c>
      <c r="H271" s="584">
        <v>12.67</v>
      </c>
      <c r="I271" s="90">
        <v>11</v>
      </c>
      <c r="J271" s="90">
        <v>9</v>
      </c>
      <c r="K271" s="90">
        <v>8</v>
      </c>
      <c r="L271" s="90">
        <v>13</v>
      </c>
      <c r="M271" s="28">
        <v>0</v>
      </c>
      <c r="N271" s="89">
        <f>IFERROR((NYY_P51278[[#This Row],[BB]]+NYY_P51278[[#This Row],[H]])/NYY_P51278[[#This Row],[IP]],)</f>
        <v>1.499605367008682</v>
      </c>
      <c r="O271" s="28">
        <v>1</v>
      </c>
      <c r="P271" s="90">
        <v>1</v>
      </c>
      <c r="Q271" s="28">
        <v>0</v>
      </c>
      <c r="R271" s="74">
        <v>0</v>
      </c>
      <c r="S271" s="615">
        <v>2</v>
      </c>
      <c r="Z271" s="720" t="s">
        <v>266</v>
      </c>
      <c r="AA271" s="71" t="s">
        <v>206</v>
      </c>
      <c r="AB271" s="87" t="s">
        <v>286</v>
      </c>
      <c r="AC271" s="88">
        <f>IFERROR((TOR_P5297[[#This Row],[R]]*9)/TOR_P5297[[#This Row],[IP]],0)</f>
        <v>3.6496350364963503</v>
      </c>
      <c r="AD271" s="28">
        <v>0</v>
      </c>
      <c r="AE271" s="74">
        <v>0</v>
      </c>
      <c r="AF271" s="28">
        <v>2</v>
      </c>
      <c r="AG271" s="584">
        <v>12.33</v>
      </c>
      <c r="AH271" s="28">
        <v>10</v>
      </c>
      <c r="AI271" s="28">
        <v>5</v>
      </c>
      <c r="AJ271" s="28">
        <v>5</v>
      </c>
      <c r="AK271" s="28">
        <v>13</v>
      </c>
      <c r="AL271" s="28">
        <v>0</v>
      </c>
      <c r="AM271" s="89">
        <f>IFERROR((TOR_P5297[[#This Row],[BB]]+TOR_P5297[[#This Row],[H]])/TOR_P5297[[#This Row],[IP]],0)</f>
        <v>1.2165450121654502</v>
      </c>
      <c r="AN271" s="28">
        <v>1</v>
      </c>
      <c r="AO271" s="90">
        <v>1</v>
      </c>
      <c r="AP271" s="28">
        <v>0</v>
      </c>
      <c r="AQ271" s="74">
        <v>0</v>
      </c>
      <c r="AR271" s="615">
        <v>2</v>
      </c>
    </row>
    <row r="272" spans="1:48">
      <c r="A272" s="635" t="s">
        <v>165</v>
      </c>
      <c r="B272" s="71" t="s">
        <v>206</v>
      </c>
      <c r="C272" s="74" t="s">
        <v>209</v>
      </c>
      <c r="D272" s="88">
        <f>IFERROR((NYY_P51278[[#This Row],[R]]*9)/NYY_P51278[[#This Row],[IP]],0)</f>
        <v>5.5384615384615383</v>
      </c>
      <c r="E272" s="77">
        <v>0</v>
      </c>
      <c r="F272" s="74">
        <v>1</v>
      </c>
      <c r="G272" s="28">
        <v>2</v>
      </c>
      <c r="H272" s="584">
        <v>13</v>
      </c>
      <c r="I272" s="90">
        <v>14</v>
      </c>
      <c r="J272" s="90">
        <v>8</v>
      </c>
      <c r="K272" s="90">
        <v>4</v>
      </c>
      <c r="L272" s="90">
        <v>16</v>
      </c>
      <c r="M272" s="28">
        <v>0</v>
      </c>
      <c r="N272" s="89">
        <f>IFERROR((NYY_P51278[[#This Row],[BB]]+NYY_P51278[[#This Row],[H]])/NYY_P51278[[#This Row],[IP]],)</f>
        <v>1.3846153846153846</v>
      </c>
      <c r="O272" s="28">
        <v>1</v>
      </c>
      <c r="P272" s="90">
        <v>1</v>
      </c>
      <c r="Q272" s="28">
        <v>0</v>
      </c>
      <c r="R272" s="74">
        <v>0</v>
      </c>
      <c r="S272" s="615">
        <v>3</v>
      </c>
      <c r="Z272" s="720" t="s">
        <v>266</v>
      </c>
      <c r="AA272" s="71" t="s">
        <v>206</v>
      </c>
      <c r="AB272" s="87" t="s">
        <v>285</v>
      </c>
      <c r="AC272" s="88">
        <f>IFERROR((TOR_P5297[[#This Row],[R]]*9)/TOR_P5297[[#This Row],[IP]],0)</f>
        <v>6</v>
      </c>
      <c r="AD272" s="28">
        <v>1</v>
      </c>
      <c r="AE272" s="74">
        <v>1</v>
      </c>
      <c r="AF272" s="28">
        <v>2</v>
      </c>
      <c r="AG272" s="584">
        <v>12</v>
      </c>
      <c r="AH272" s="28">
        <v>13</v>
      </c>
      <c r="AI272" s="28">
        <v>8</v>
      </c>
      <c r="AJ272" s="28">
        <v>3</v>
      </c>
      <c r="AK272" s="28">
        <v>9</v>
      </c>
      <c r="AL272" s="28">
        <v>0</v>
      </c>
      <c r="AM272" s="89">
        <f>IFERROR((TOR_P5297[[#This Row],[BB]]+TOR_P5297[[#This Row],[H]])/TOR_P5297[[#This Row],[IP]],0)</f>
        <v>1.3333333333333333</v>
      </c>
      <c r="AN272" s="28">
        <v>1</v>
      </c>
      <c r="AO272" s="90">
        <v>1</v>
      </c>
      <c r="AP272" s="28">
        <v>0</v>
      </c>
      <c r="AQ272" s="74">
        <v>0</v>
      </c>
      <c r="AR272" s="615">
        <v>3</v>
      </c>
    </row>
    <row r="273" spans="1:44">
      <c r="A273" s="635" t="s">
        <v>165</v>
      </c>
      <c r="B273" s="71" t="s">
        <v>206</v>
      </c>
      <c r="C273" s="87" t="s">
        <v>211</v>
      </c>
      <c r="D273" s="88">
        <f>IFERROR((NYY_P51278[[#This Row],[R]]*9)/NYY_P51278[[#This Row],[IP]],0)</f>
        <v>6</v>
      </c>
      <c r="E273" s="77">
        <v>0</v>
      </c>
      <c r="F273" s="74">
        <v>0</v>
      </c>
      <c r="G273" s="28">
        <v>2</v>
      </c>
      <c r="H273" s="584">
        <v>3</v>
      </c>
      <c r="I273" s="90">
        <v>2</v>
      </c>
      <c r="J273" s="90">
        <v>2</v>
      </c>
      <c r="K273" s="90">
        <v>1</v>
      </c>
      <c r="L273" s="90">
        <v>4</v>
      </c>
      <c r="M273" s="28">
        <v>0</v>
      </c>
      <c r="N273" s="89">
        <f>IFERROR((NYY_P51278[[#This Row],[BB]]+NYY_P51278[[#This Row],[H]])/NYY_P51278[[#This Row],[IP]],)</f>
        <v>1</v>
      </c>
      <c r="O273" s="28">
        <v>0</v>
      </c>
      <c r="P273" s="90">
        <v>0</v>
      </c>
      <c r="Q273" s="28">
        <v>0</v>
      </c>
      <c r="R273" s="74">
        <v>0</v>
      </c>
      <c r="S273" s="615">
        <v>4</v>
      </c>
      <c r="Z273" s="720" t="s">
        <v>266</v>
      </c>
      <c r="AA273" s="71" t="s">
        <v>206</v>
      </c>
      <c r="AB273" s="87" t="s">
        <v>289</v>
      </c>
      <c r="AC273" s="88">
        <f>IFERROR((TOR_P5297[[#This Row],[R]]*9)/TOR_P5297[[#This Row],[IP]],0)</f>
        <v>1.2857142857142858</v>
      </c>
      <c r="AD273" s="28">
        <v>1</v>
      </c>
      <c r="AE273" s="74">
        <v>0</v>
      </c>
      <c r="AF273" s="28">
        <v>2</v>
      </c>
      <c r="AG273" s="584">
        <v>7</v>
      </c>
      <c r="AH273" s="28">
        <v>6</v>
      </c>
      <c r="AI273" s="28">
        <v>1</v>
      </c>
      <c r="AJ273" s="28">
        <v>2</v>
      </c>
      <c r="AK273" s="28">
        <v>3</v>
      </c>
      <c r="AL273" s="28">
        <v>0</v>
      </c>
      <c r="AM273" s="89">
        <f>IFERROR((TOR_P5297[[#This Row],[BB]]+TOR_P5297[[#This Row],[H]])/TOR_P5297[[#This Row],[IP]],0)</f>
        <v>1.1428571428571428</v>
      </c>
      <c r="AN273" s="28">
        <v>0</v>
      </c>
      <c r="AO273" s="90">
        <v>0</v>
      </c>
      <c r="AP273" s="28">
        <v>0</v>
      </c>
      <c r="AQ273" s="74">
        <v>0</v>
      </c>
      <c r="AR273" s="615">
        <v>4</v>
      </c>
    </row>
    <row r="274" spans="1:44">
      <c r="A274" s="635" t="s">
        <v>165</v>
      </c>
      <c r="B274" s="71" t="s">
        <v>215</v>
      </c>
      <c r="C274" s="87" t="s">
        <v>216</v>
      </c>
      <c r="D274" s="88">
        <f>IFERROR((NYY_P51278[[#This Row],[R]]*9)/NYY_P51278[[#This Row],[IP]],0)</f>
        <v>0</v>
      </c>
      <c r="E274" s="77">
        <v>0</v>
      </c>
      <c r="F274" s="74">
        <v>0</v>
      </c>
      <c r="G274" s="28">
        <v>0</v>
      </c>
      <c r="H274" s="584">
        <v>0</v>
      </c>
      <c r="I274" s="90">
        <v>0</v>
      </c>
      <c r="J274" s="90">
        <v>0</v>
      </c>
      <c r="K274" s="90">
        <v>0</v>
      </c>
      <c r="L274" s="90">
        <v>0</v>
      </c>
      <c r="M274" s="28">
        <v>0</v>
      </c>
      <c r="N274" s="89">
        <f>IFERROR((NYY_P51278[[#This Row],[BB]]+NYY_P51278[[#This Row],[H]])/NYY_P51278[[#This Row],[IP]],)</f>
        <v>0</v>
      </c>
      <c r="O274" s="28">
        <v>0</v>
      </c>
      <c r="P274" s="90">
        <v>0</v>
      </c>
      <c r="Q274" s="28">
        <v>0</v>
      </c>
      <c r="R274" s="74">
        <v>0</v>
      </c>
      <c r="S274" s="615">
        <v>5</v>
      </c>
      <c r="Z274" s="720" t="s">
        <v>266</v>
      </c>
      <c r="AA274" s="71" t="s">
        <v>212</v>
      </c>
      <c r="AB274" s="87" t="s">
        <v>291</v>
      </c>
      <c r="AC274" s="88">
        <f>IFERROR((TOR_P5297[[#This Row],[R]]*9)/TOR_P5297[[#This Row],[IP]],0)</f>
        <v>0</v>
      </c>
      <c r="AD274" s="28">
        <v>0</v>
      </c>
      <c r="AE274" s="74">
        <v>0</v>
      </c>
      <c r="AF274" s="28">
        <v>0</v>
      </c>
      <c r="AG274" s="584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89">
        <f>IFERROR((TOR_P5297[[#This Row],[BB]]+TOR_P5297[[#This Row],[H]])/TOR_P5297[[#This Row],[IP]],0)</f>
        <v>0</v>
      </c>
      <c r="AN274" s="28">
        <v>0</v>
      </c>
      <c r="AO274" s="90">
        <v>0</v>
      </c>
      <c r="AP274" s="28">
        <v>0</v>
      </c>
      <c r="AQ274" s="74">
        <v>0</v>
      </c>
      <c r="AR274" s="615">
        <v>5</v>
      </c>
    </row>
    <row r="275" spans="1:44">
      <c r="A275" s="635" t="s">
        <v>165</v>
      </c>
      <c r="B275" s="71" t="s">
        <v>212</v>
      </c>
      <c r="C275" s="633" t="s">
        <v>213</v>
      </c>
      <c r="D275" s="88">
        <f>IFERROR((NYY_P51278[[#This Row],[R]]*9)/NYY_P51278[[#This Row],[IP]],0)</f>
        <v>11.587982832618025</v>
      </c>
      <c r="E275" s="77">
        <v>0</v>
      </c>
      <c r="F275" s="74">
        <v>0</v>
      </c>
      <c r="G275" s="28">
        <v>1</v>
      </c>
      <c r="H275" s="584">
        <v>2.33</v>
      </c>
      <c r="I275" s="90">
        <v>6</v>
      </c>
      <c r="J275" s="90">
        <v>3</v>
      </c>
      <c r="K275" s="90">
        <v>2</v>
      </c>
      <c r="L275" s="90">
        <v>0</v>
      </c>
      <c r="M275" s="28">
        <v>0</v>
      </c>
      <c r="N275" s="89">
        <f>IFERROR((NYY_P51278[[#This Row],[BB]]+NYY_P51278[[#This Row],[H]])/NYY_P51278[[#This Row],[IP]],)</f>
        <v>3.4334763948497855</v>
      </c>
      <c r="O275" s="28">
        <v>0</v>
      </c>
      <c r="P275" s="90">
        <v>0</v>
      </c>
      <c r="Q275" s="28">
        <v>0</v>
      </c>
      <c r="R275" s="74">
        <v>0</v>
      </c>
      <c r="S275" s="615">
        <v>6</v>
      </c>
      <c r="Z275" s="720" t="s">
        <v>266</v>
      </c>
      <c r="AA275" s="71" t="s">
        <v>212</v>
      </c>
      <c r="AB275" s="87" t="s">
        <v>293</v>
      </c>
      <c r="AC275" s="88">
        <f>IFERROR((TOR_P5297[[#This Row],[R]]*9)/TOR_P5297[[#This Row],[IP]],0)</f>
        <v>0</v>
      </c>
      <c r="AD275" s="28">
        <v>0</v>
      </c>
      <c r="AE275" s="74">
        <v>0</v>
      </c>
      <c r="AF275" s="28">
        <v>0</v>
      </c>
      <c r="AG275" s="584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89">
        <f>IFERROR((TOR_P5297[[#This Row],[BB]]+TOR_P5297[[#This Row],[H]])/TOR_P5297[[#This Row],[IP]],0)</f>
        <v>0</v>
      </c>
      <c r="AN275" s="28">
        <v>0</v>
      </c>
      <c r="AO275" s="90">
        <v>0</v>
      </c>
      <c r="AP275" s="28">
        <v>0</v>
      </c>
      <c r="AQ275" s="74">
        <v>0</v>
      </c>
      <c r="AR275" s="615">
        <v>6</v>
      </c>
    </row>
    <row r="276" spans="1:44">
      <c r="A276" s="635" t="s">
        <v>165</v>
      </c>
      <c r="B276" s="71" t="s">
        <v>215</v>
      </c>
      <c r="C276" s="87" t="s">
        <v>217</v>
      </c>
      <c r="D276" s="88">
        <f>IFERROR((NYY_P51278[[#This Row],[R]]*9)/NYY_P51278[[#This Row],[IP]],0)</f>
        <v>0</v>
      </c>
      <c r="E276" s="77">
        <v>0</v>
      </c>
      <c r="F276" s="74">
        <v>0</v>
      </c>
      <c r="G276" s="28">
        <v>0</v>
      </c>
      <c r="H276" s="584">
        <v>0</v>
      </c>
      <c r="I276" s="90">
        <v>0</v>
      </c>
      <c r="J276" s="90">
        <v>0</v>
      </c>
      <c r="K276" s="90">
        <v>0</v>
      </c>
      <c r="L276" s="90">
        <v>0</v>
      </c>
      <c r="M276" s="28">
        <v>0</v>
      </c>
      <c r="N276" s="89">
        <f>IFERROR((NYY_P51278[[#This Row],[BB]]+NYY_P51278[[#This Row],[H]])/NYY_P51278[[#This Row],[IP]],)</f>
        <v>0</v>
      </c>
      <c r="O276" s="28">
        <v>0</v>
      </c>
      <c r="P276" s="90">
        <v>0</v>
      </c>
      <c r="Q276" s="28">
        <v>0</v>
      </c>
      <c r="R276" s="74">
        <v>0</v>
      </c>
      <c r="S276" s="615">
        <v>7</v>
      </c>
      <c r="Z276" s="720" t="s">
        <v>266</v>
      </c>
      <c r="AA276" s="71" t="s">
        <v>212</v>
      </c>
      <c r="AB276" s="87" t="s">
        <v>292</v>
      </c>
      <c r="AC276" s="88">
        <f>IFERROR((TOR_P5297[[#This Row],[R]]*9)/TOR_P5297[[#This Row],[IP]],0)</f>
        <v>0</v>
      </c>
      <c r="AD276" s="28">
        <v>0</v>
      </c>
      <c r="AE276" s="74">
        <v>0</v>
      </c>
      <c r="AF276" s="28">
        <v>0</v>
      </c>
      <c r="AG276" s="584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89">
        <f>IFERROR((TOR_P5297[[#This Row],[BB]]+TOR_P5297[[#This Row],[H]])/TOR_P5297[[#This Row],[IP]],0)</f>
        <v>0</v>
      </c>
      <c r="AN276" s="28">
        <v>0</v>
      </c>
      <c r="AO276" s="90">
        <v>0</v>
      </c>
      <c r="AP276" s="28">
        <v>0</v>
      </c>
      <c r="AQ276" s="74">
        <v>0</v>
      </c>
      <c r="AR276" s="615">
        <v>7</v>
      </c>
    </row>
    <row r="277" spans="1:44">
      <c r="A277" s="635" t="s">
        <v>165</v>
      </c>
      <c r="B277" s="71" t="s">
        <v>212</v>
      </c>
      <c r="C277" s="87" t="s">
        <v>219</v>
      </c>
      <c r="D277" s="88">
        <f>IFERROR((NYY_P51278[[#This Row],[R]]*9)/NYY_P51278[[#This Row],[IP]],0)</f>
        <v>9</v>
      </c>
      <c r="E277" s="77">
        <v>0</v>
      </c>
      <c r="F277" s="74">
        <v>0</v>
      </c>
      <c r="G277" s="28">
        <v>2</v>
      </c>
      <c r="H277" s="584">
        <v>2</v>
      </c>
      <c r="I277" s="90">
        <v>1</v>
      </c>
      <c r="J277" s="90">
        <v>2</v>
      </c>
      <c r="K277" s="90">
        <v>3</v>
      </c>
      <c r="L277" s="90">
        <v>4</v>
      </c>
      <c r="M277" s="28">
        <v>0</v>
      </c>
      <c r="N277" s="89">
        <f>IFERROR((NYY_P51278[[#This Row],[BB]]+NYY_P51278[[#This Row],[H]])/NYY_P51278[[#This Row],[IP]],)</f>
        <v>2</v>
      </c>
      <c r="O277" s="28">
        <v>0</v>
      </c>
      <c r="P277" s="90">
        <v>0</v>
      </c>
      <c r="Q277" s="28">
        <v>0</v>
      </c>
      <c r="R277" s="74">
        <v>0</v>
      </c>
      <c r="S277" s="615">
        <v>8</v>
      </c>
      <c r="Z277" s="720" t="s">
        <v>266</v>
      </c>
      <c r="AA277" s="71" t="s">
        <v>212</v>
      </c>
      <c r="AB277" s="87" t="s">
        <v>294</v>
      </c>
      <c r="AC277" s="88">
        <f>IFERROR((TOR_P5297[[#This Row],[R]]*9)/TOR_P5297[[#This Row],[IP]],0)</f>
        <v>0</v>
      </c>
      <c r="AD277" s="28">
        <v>0</v>
      </c>
      <c r="AE277" s="74">
        <v>0</v>
      </c>
      <c r="AF277" s="28">
        <v>1</v>
      </c>
      <c r="AG277" s="584">
        <v>1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89">
        <f>IFERROR((TOR_P5297[[#This Row],[BB]]+TOR_P5297[[#This Row],[H]])/TOR_P5297[[#This Row],[IP]],0)</f>
        <v>0</v>
      </c>
      <c r="AN277" s="28">
        <v>0</v>
      </c>
      <c r="AO277" s="90">
        <v>0</v>
      </c>
      <c r="AP277" s="28">
        <v>0</v>
      </c>
      <c r="AQ277" s="74">
        <v>0</v>
      </c>
      <c r="AR277" s="615">
        <v>8</v>
      </c>
    </row>
    <row r="278" spans="1:44">
      <c r="A278" s="635" t="s">
        <v>165</v>
      </c>
      <c r="B278" s="71" t="s">
        <v>212</v>
      </c>
      <c r="C278" s="87" t="s">
        <v>220</v>
      </c>
      <c r="D278" s="88">
        <f>IFERROR((NYY_P51278[[#This Row],[R]]*9)/NYY_P51278[[#This Row],[IP]],0)</f>
        <v>0</v>
      </c>
      <c r="E278" s="77">
        <v>0</v>
      </c>
      <c r="F278" s="74">
        <v>0</v>
      </c>
      <c r="G278" s="28">
        <v>0</v>
      </c>
      <c r="H278" s="584">
        <v>0</v>
      </c>
      <c r="I278" s="90">
        <v>0</v>
      </c>
      <c r="J278" s="90">
        <v>0</v>
      </c>
      <c r="K278" s="90">
        <v>0</v>
      </c>
      <c r="L278" s="90">
        <v>0</v>
      </c>
      <c r="M278" s="28">
        <v>0</v>
      </c>
      <c r="N278" s="89">
        <f>IFERROR((NYY_P51278[[#This Row],[BB]]+NYY_P51278[[#This Row],[H]])/NYY_P51278[[#This Row],[IP]],)</f>
        <v>0</v>
      </c>
      <c r="O278" s="28">
        <v>0</v>
      </c>
      <c r="P278" s="90">
        <v>0</v>
      </c>
      <c r="Q278" s="28">
        <v>0</v>
      </c>
      <c r="R278" s="74">
        <v>0</v>
      </c>
      <c r="S278" s="615">
        <v>9</v>
      </c>
      <c r="Z278" s="720" t="s">
        <v>266</v>
      </c>
      <c r="AA278" s="71" t="s">
        <v>212</v>
      </c>
      <c r="AB278" s="87" t="s">
        <v>295</v>
      </c>
      <c r="AC278" s="88">
        <f>IFERROR((TOR_P5297[[#This Row],[R]]*9)/TOR_P5297[[#This Row],[IP]],0)</f>
        <v>0</v>
      </c>
      <c r="AD278" s="28">
        <v>0</v>
      </c>
      <c r="AE278" s="74">
        <v>0</v>
      </c>
      <c r="AF278" s="28">
        <v>2</v>
      </c>
      <c r="AG278" s="584">
        <v>2</v>
      </c>
      <c r="AH278" s="28">
        <v>1</v>
      </c>
      <c r="AI278" s="28">
        <v>0</v>
      </c>
      <c r="AJ278" s="28">
        <v>1</v>
      </c>
      <c r="AK278" s="28">
        <v>5</v>
      </c>
      <c r="AL278" s="28">
        <v>0</v>
      </c>
      <c r="AM278" s="89">
        <f>IFERROR((TOR_P5297[[#This Row],[BB]]+TOR_P5297[[#This Row],[H]])/TOR_P5297[[#This Row],[IP]],0)</f>
        <v>1</v>
      </c>
      <c r="AN278" s="28">
        <v>0</v>
      </c>
      <c r="AO278" s="90">
        <v>0</v>
      </c>
      <c r="AP278" s="28">
        <v>0</v>
      </c>
      <c r="AQ278" s="74">
        <v>0</v>
      </c>
      <c r="AR278" s="615">
        <v>9</v>
      </c>
    </row>
    <row r="279" spans="1:44" ht="17" thickBot="1">
      <c r="A279" s="635" t="s">
        <v>165</v>
      </c>
      <c r="B279" s="71" t="s">
        <v>212</v>
      </c>
      <c r="C279" s="28" t="s">
        <v>222</v>
      </c>
      <c r="D279" s="88">
        <f>IFERROR((NYY_P51278[[#This Row],[R]]*9)/NYY_P51278[[#This Row],[IP]],0)</f>
        <v>11.563169164882227</v>
      </c>
      <c r="E279" s="77">
        <v>1</v>
      </c>
      <c r="F279" s="74">
        <v>0</v>
      </c>
      <c r="G279" s="28">
        <v>4</v>
      </c>
      <c r="H279" s="584">
        <v>4.67</v>
      </c>
      <c r="I279" s="90">
        <v>10</v>
      </c>
      <c r="J279" s="90">
        <v>6</v>
      </c>
      <c r="K279" s="90">
        <v>3</v>
      </c>
      <c r="L279" s="90">
        <v>6</v>
      </c>
      <c r="M279" s="28">
        <v>0</v>
      </c>
      <c r="N279" s="89">
        <f>IFERROR((NYY_P51278[[#This Row],[BB]]+NYY_P51278[[#This Row],[H]])/NYY_P51278[[#This Row],[IP]],)</f>
        <v>2.78372591006424</v>
      </c>
      <c r="O279" s="28">
        <v>0</v>
      </c>
      <c r="P279" s="90">
        <v>0</v>
      </c>
      <c r="Q279" s="28">
        <v>0</v>
      </c>
      <c r="R279" s="74">
        <v>0</v>
      </c>
      <c r="S279" s="615">
        <v>10</v>
      </c>
      <c r="Z279" s="720" t="s">
        <v>266</v>
      </c>
      <c r="AA279" s="345" t="s">
        <v>212</v>
      </c>
      <c r="AB279" s="104" t="s">
        <v>296</v>
      </c>
      <c r="AC279" s="88">
        <f>IFERROR((TOR_P5297[[#This Row],[R]]*9)/TOR_P5297[[#This Row],[IP]],0)</f>
        <v>0</v>
      </c>
      <c r="AD279" s="28">
        <v>1</v>
      </c>
      <c r="AE279" s="74">
        <v>0</v>
      </c>
      <c r="AF279" s="28">
        <v>3</v>
      </c>
      <c r="AG279" s="584">
        <v>3.67</v>
      </c>
      <c r="AH279" s="28">
        <v>3</v>
      </c>
      <c r="AI279" s="28">
        <v>0</v>
      </c>
      <c r="AJ279" s="28">
        <v>0</v>
      </c>
      <c r="AK279" s="28">
        <v>1</v>
      </c>
      <c r="AL279" s="28">
        <v>2</v>
      </c>
      <c r="AM279" s="89">
        <f>IFERROR((TOR_P5297[[#This Row],[BB]]+TOR_P5297[[#This Row],[H]])/TOR_P5297[[#This Row],[IP]],0)</f>
        <v>0.81743869209809261</v>
      </c>
      <c r="AN279" s="28">
        <v>0</v>
      </c>
      <c r="AO279" s="90">
        <v>0</v>
      </c>
      <c r="AP279" s="28">
        <v>0</v>
      </c>
      <c r="AQ279" s="74">
        <v>0</v>
      </c>
      <c r="AR279" s="615">
        <v>10</v>
      </c>
    </row>
    <row r="280" spans="1:44" ht="17" thickBot="1">
      <c r="A280" s="617"/>
      <c r="B280" s="639"/>
      <c r="C280" s="619" t="s">
        <v>195</v>
      </c>
      <c r="D280" s="709">
        <f>(J280*9)/H280</f>
        <v>5.7115384615384617</v>
      </c>
      <c r="E280" s="641">
        <f>SUBTOTAL(109,NYY_P51278[W])</f>
        <v>2</v>
      </c>
      <c r="F280" s="625">
        <f>SUBTOTAL(109,NYY_P51278[L])</f>
        <v>4</v>
      </c>
      <c r="G280" s="622"/>
      <c r="H280" s="642">
        <f>SUBTOTAL(109,NYY_P51278[IP])</f>
        <v>52</v>
      </c>
      <c r="I280" s="623">
        <f>SUBTOTAL(109,NYY_P51278[H])</f>
        <v>52</v>
      </c>
      <c r="J280" s="623">
        <f>SUBTOTAL(109,NYY_P51278[R])</f>
        <v>33</v>
      </c>
      <c r="K280" s="623">
        <f>SUBTOTAL(109,NYY_P51278[BB])</f>
        <v>26</v>
      </c>
      <c r="L280" s="623">
        <f>SUBTOTAL(109,NYY_P51278[K])</f>
        <v>66</v>
      </c>
      <c r="M280" s="622">
        <f>SUBTOTAL(109,NYY_P51278[SV])</f>
        <v>0</v>
      </c>
      <c r="N280" s="644">
        <f>(K280+I280)/H280</f>
        <v>1.5</v>
      </c>
      <c r="O280" s="645">
        <f>SUBTOTAL(109,NYY_P51278[QS])</f>
        <v>4</v>
      </c>
      <c r="P280" s="646">
        <f>SUBTOTAL(109,NYY_P51278[UQ])</f>
        <v>4</v>
      </c>
      <c r="Q280" s="647">
        <f>SUBTOTAL(109,NYY_P51278[CG])</f>
        <v>0</v>
      </c>
      <c r="R280" s="648">
        <f>SUBTOTAL(109,NYY_P51278[SH])</f>
        <v>0</v>
      </c>
      <c r="S280" s="649"/>
      <c r="Z280" s="674"/>
      <c r="AA280" s="675"/>
      <c r="AB280" s="676" t="s">
        <v>195</v>
      </c>
      <c r="AC280" s="683">
        <f>(AI280*9)/AG280</f>
        <v>3</v>
      </c>
      <c r="AD280" s="679">
        <f>SUBTOTAL(109,TOR_P5297[W])</f>
        <v>4</v>
      </c>
      <c r="AE280" s="679">
        <f>SUBTOTAL(109,TOR_P5297[L])</f>
        <v>1</v>
      </c>
      <c r="AF280" s="678"/>
      <c r="AG280" s="684">
        <f>SUBTOTAL(109,TOR_P5297[IP])</f>
        <v>45</v>
      </c>
      <c r="AH280" s="679">
        <f>SUBTOTAL(109,TOR_P5297[H])</f>
        <v>35</v>
      </c>
      <c r="AI280" s="679">
        <f>SUBTOTAL(109,TOR_P5297[R])</f>
        <v>15</v>
      </c>
      <c r="AJ280" s="679">
        <f>SUBTOTAL(109,TOR_P5297[BB])</f>
        <v>17</v>
      </c>
      <c r="AK280" s="679">
        <f>SUBTOTAL(109,TOR_P5297[K])</f>
        <v>41</v>
      </c>
      <c r="AL280" s="679">
        <f>SUBTOTAL(109,TOR_P5297[SV])</f>
        <v>2</v>
      </c>
      <c r="AM280" s="685">
        <f>(AH280+AJ280)/AG280</f>
        <v>1.1555555555555554</v>
      </c>
      <c r="AN280" s="686">
        <f>SUBTOTAL(109,TOR_P5297[QS])</f>
        <v>3</v>
      </c>
      <c r="AO280" s="687">
        <f>SUBTOTAL(109,TOR_P5297[UQ])</f>
        <v>3</v>
      </c>
      <c r="AP280" s="686">
        <f>SUBTOTAL(109,TOR_P5297[CG])</f>
        <v>0</v>
      </c>
      <c r="AQ280" s="688">
        <f>SUBTOTAL(109,TOR_P5297[SH])</f>
        <v>0</v>
      </c>
      <c r="AR280" s="681"/>
    </row>
  </sheetData>
  <sortState xmlns:xlrd2="http://schemas.microsoft.com/office/spreadsheetml/2017/richdata2" ref="AY191:BU204">
    <sortCondition ref="BU191:BU204"/>
  </sortState>
  <mergeCells count="31">
    <mergeCell ref="Z220:AV220"/>
    <mergeCell ref="Z251:AV251"/>
    <mergeCell ref="Z157:AV157"/>
    <mergeCell ref="AY157:BU157"/>
    <mergeCell ref="Z158:AV158"/>
    <mergeCell ref="AY158:BU158"/>
    <mergeCell ref="Z189:AV189"/>
    <mergeCell ref="AY189:BU189"/>
    <mergeCell ref="Z64:AV64"/>
    <mergeCell ref="AY64:BU64"/>
    <mergeCell ref="Z126:AV126"/>
    <mergeCell ref="AY126:BU126"/>
    <mergeCell ref="Z95:AV95"/>
    <mergeCell ref="AY95:BU95"/>
    <mergeCell ref="Z1:AV1"/>
    <mergeCell ref="Z33:AV33"/>
    <mergeCell ref="AY1:BU1"/>
    <mergeCell ref="AY33:BU33"/>
    <mergeCell ref="Z2:AV2"/>
    <mergeCell ref="AY2:BU2"/>
    <mergeCell ref="A1:W1"/>
    <mergeCell ref="A33:W33"/>
    <mergeCell ref="A2:W2"/>
    <mergeCell ref="A64:W64"/>
    <mergeCell ref="A126:W126"/>
    <mergeCell ref="A95:W95"/>
    <mergeCell ref="A251:W251"/>
    <mergeCell ref="A158:W158"/>
    <mergeCell ref="A189:W189"/>
    <mergeCell ref="A220:W220"/>
    <mergeCell ref="A157:W157"/>
  </mergeCells>
  <pageMargins left="0.7" right="0.7" top="0.75" bottom="0.75" header="0.3" footer="0.3"/>
  <tableParts count="5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V218"/>
  <sheetViews>
    <sheetView zoomScale="110" zoomScaleNormal="11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AA216" sqref="AA216"/>
    </sheetView>
  </sheetViews>
  <sheetFormatPr baseColWidth="10" defaultRowHeight="16"/>
  <cols>
    <col min="1" max="1" width="6.33203125" style="28" customWidth="1"/>
    <col min="2" max="2" width="5.1640625" style="28" customWidth="1"/>
    <col min="3" max="3" width="13.33203125" style="28" customWidth="1"/>
    <col min="4" max="6" width="7.1640625" style="28" customWidth="1"/>
    <col min="7" max="7" width="5" style="28" customWidth="1"/>
    <col min="8" max="8" width="6" style="28" customWidth="1"/>
    <col min="9" max="10" width="5" style="28" customWidth="1"/>
    <col min="11" max="11" width="6" style="28" customWidth="1"/>
    <col min="12" max="12" width="5.6640625" style="28" customWidth="1"/>
    <col min="13" max="13" width="6.1640625" style="28" customWidth="1"/>
    <col min="14" max="14" width="6.6640625" style="28" customWidth="1"/>
    <col min="15" max="15" width="6" style="28" customWidth="1"/>
    <col min="16" max="17" width="6.1640625" style="28" customWidth="1"/>
    <col min="18" max="18" width="6" style="28" customWidth="1"/>
    <col min="19" max="19" width="6.1640625" style="28" customWidth="1"/>
    <col min="20" max="20" width="6" style="28" customWidth="1"/>
    <col min="21" max="21" width="7" style="28" customWidth="1"/>
    <col min="22" max="22" width="4.5" style="28" customWidth="1"/>
    <col min="23" max="23" width="6.1640625" style="28" customWidth="1"/>
    <col min="24" max="24" width="2.83203125" style="28" customWidth="1"/>
    <col min="25" max="25" width="4.1640625" style="28" customWidth="1"/>
    <col min="26" max="26" width="6.33203125" style="28" customWidth="1"/>
    <col min="27" max="27" width="5.83203125" style="28" customWidth="1"/>
    <col min="28" max="28" width="13.33203125" style="28" customWidth="1"/>
    <col min="29" max="31" width="7.1640625" style="28" customWidth="1"/>
    <col min="32" max="32" width="5" style="28" customWidth="1"/>
    <col min="33" max="33" width="6" style="28" customWidth="1"/>
    <col min="34" max="35" width="5" style="28" customWidth="1"/>
    <col min="36" max="36" width="6" style="28" customWidth="1"/>
    <col min="37" max="37" width="5.6640625" style="28" customWidth="1"/>
    <col min="38" max="38" width="6.1640625" style="28" customWidth="1"/>
    <col min="39" max="39" width="6.6640625" style="28" customWidth="1"/>
    <col min="40" max="40" width="6" style="28" customWidth="1"/>
    <col min="41" max="42" width="6.1640625" style="28" customWidth="1"/>
    <col min="43" max="43" width="6" style="28" customWidth="1"/>
    <col min="44" max="44" width="6.1640625" style="28" customWidth="1"/>
    <col min="45" max="45" width="6" style="28" customWidth="1"/>
    <col min="46" max="46" width="7" style="28" customWidth="1"/>
    <col min="47" max="47" width="4.5" style="28" customWidth="1"/>
    <col min="48" max="48" width="6.1640625" style="28" customWidth="1"/>
    <col min="49" max="49" width="4.5" style="28" customWidth="1"/>
    <col min="50" max="50" width="4.33203125" style="28" customWidth="1"/>
    <col min="51" max="51" width="6.33203125" style="28" customWidth="1"/>
    <col min="52" max="52" width="5.83203125" style="28" bestFit="1" customWidth="1"/>
    <col min="53" max="53" width="13.33203125" style="28" customWidth="1"/>
    <col min="54" max="56" width="7.1640625" style="28" customWidth="1"/>
    <col min="57" max="57" width="5" style="28" customWidth="1"/>
    <col min="58" max="58" width="6" style="28" customWidth="1"/>
    <col min="59" max="60" width="5" style="28" customWidth="1"/>
    <col min="61" max="61" width="6" style="28" customWidth="1"/>
    <col min="62" max="62" width="5.6640625" style="28" customWidth="1"/>
    <col min="63" max="63" width="6.1640625" style="28" customWidth="1"/>
    <col min="64" max="64" width="6.6640625" style="28" customWidth="1"/>
    <col min="65" max="65" width="6" style="28" customWidth="1"/>
    <col min="66" max="67" width="6.1640625" style="28" customWidth="1"/>
    <col min="68" max="68" width="6" style="28" customWidth="1"/>
    <col min="69" max="69" width="6.1640625" style="28" customWidth="1"/>
    <col min="70" max="70" width="6" style="28" customWidth="1"/>
    <col min="71" max="71" width="7" style="28" customWidth="1"/>
    <col min="72" max="72" width="4.5" style="28" customWidth="1"/>
    <col min="73" max="73" width="6.1640625" style="28" customWidth="1"/>
    <col min="74" max="74" width="2.83203125" style="28" customWidth="1"/>
  </cols>
  <sheetData>
    <row r="1" spans="1:73" ht="29" thickBot="1">
      <c r="A1" s="1051" t="s">
        <v>388</v>
      </c>
      <c r="B1" s="1052"/>
      <c r="C1" s="1052"/>
      <c r="D1" s="1052"/>
      <c r="E1" s="1052"/>
      <c r="F1" s="1052"/>
      <c r="G1" s="1052"/>
      <c r="H1" s="1052"/>
      <c r="I1" s="1052"/>
      <c r="J1" s="1052"/>
      <c r="K1" s="1052"/>
      <c r="L1" s="1052"/>
      <c r="M1" s="1052"/>
      <c r="N1" s="1052"/>
      <c r="O1" s="1052"/>
      <c r="P1" s="1052"/>
      <c r="Q1" s="1052"/>
      <c r="R1" s="1052"/>
      <c r="S1" s="1052"/>
      <c r="T1" s="1052"/>
      <c r="U1" s="1052"/>
      <c r="V1" s="1052"/>
      <c r="W1" s="1053"/>
      <c r="Z1" s="1054" t="s">
        <v>389</v>
      </c>
      <c r="AA1" s="1055"/>
      <c r="AB1" s="1055"/>
      <c r="AC1" s="1055"/>
      <c r="AD1" s="1055"/>
      <c r="AE1" s="1055"/>
      <c r="AF1" s="1055"/>
      <c r="AG1" s="1055"/>
      <c r="AH1" s="1055"/>
      <c r="AI1" s="1055"/>
      <c r="AJ1" s="1055"/>
      <c r="AK1" s="1055"/>
      <c r="AL1" s="1055"/>
      <c r="AM1" s="1055"/>
      <c r="AN1" s="1055"/>
      <c r="AO1" s="1055"/>
      <c r="AP1" s="1055"/>
      <c r="AQ1" s="1055"/>
      <c r="AR1" s="1055"/>
      <c r="AS1" s="1055"/>
      <c r="AT1" s="1055"/>
      <c r="AU1" s="1055"/>
      <c r="AV1" s="1056"/>
      <c r="AY1" s="1054" t="s">
        <v>390</v>
      </c>
      <c r="AZ1" s="1055"/>
      <c r="BA1" s="1055"/>
      <c r="BB1" s="1055"/>
      <c r="BC1" s="1055"/>
      <c r="BD1" s="1055"/>
      <c r="BE1" s="1055"/>
      <c r="BF1" s="1055"/>
      <c r="BG1" s="1055"/>
      <c r="BH1" s="1055"/>
      <c r="BI1" s="1055"/>
      <c r="BJ1" s="1055"/>
      <c r="BK1" s="1055"/>
      <c r="BL1" s="1055"/>
      <c r="BM1" s="1055"/>
      <c r="BN1" s="1055"/>
      <c r="BO1" s="1055"/>
      <c r="BP1" s="1055"/>
      <c r="BQ1" s="1055"/>
      <c r="BR1" s="1055"/>
      <c r="BS1" s="1055"/>
      <c r="BT1" s="1055"/>
      <c r="BU1" s="1056"/>
    </row>
    <row r="2" spans="1:73" ht="24" thickBot="1">
      <c r="A2" s="1012" t="s">
        <v>391</v>
      </c>
      <c r="B2" s="1013"/>
      <c r="C2" s="1013"/>
      <c r="D2" s="1013"/>
      <c r="E2" s="1013"/>
      <c r="F2" s="1013"/>
      <c r="G2" s="1013"/>
      <c r="H2" s="1013"/>
      <c r="I2" s="1013"/>
      <c r="J2" s="1013"/>
      <c r="K2" s="1013"/>
      <c r="L2" s="1013"/>
      <c r="M2" s="1013"/>
      <c r="N2" s="1013"/>
      <c r="O2" s="1013"/>
      <c r="P2" s="1013"/>
      <c r="Q2" s="1013"/>
      <c r="R2" s="1013"/>
      <c r="S2" s="1013"/>
      <c r="T2" s="1013"/>
      <c r="U2" s="1013"/>
      <c r="V2" s="1013"/>
      <c r="W2" s="1014"/>
      <c r="Z2" s="1012" t="s">
        <v>392</v>
      </c>
      <c r="AA2" s="1013"/>
      <c r="AB2" s="1013"/>
      <c r="AC2" s="1013"/>
      <c r="AD2" s="1013"/>
      <c r="AE2" s="1013"/>
      <c r="AF2" s="1013"/>
      <c r="AG2" s="1013"/>
      <c r="AH2" s="1013"/>
      <c r="AI2" s="1013"/>
      <c r="AJ2" s="1013"/>
      <c r="AK2" s="1013"/>
      <c r="AL2" s="1013"/>
      <c r="AM2" s="1013"/>
      <c r="AN2" s="1013"/>
      <c r="AO2" s="1013"/>
      <c r="AP2" s="1013"/>
      <c r="AQ2" s="1013"/>
      <c r="AR2" s="1013"/>
      <c r="AS2" s="1013"/>
      <c r="AT2" s="1013"/>
      <c r="AU2" s="1013"/>
      <c r="AV2" s="1014"/>
      <c r="AY2" s="1012" t="s">
        <v>393</v>
      </c>
      <c r="AZ2" s="1013"/>
      <c r="BA2" s="1013"/>
      <c r="BB2" s="1013"/>
      <c r="BC2" s="1013"/>
      <c r="BD2" s="1013"/>
      <c r="BE2" s="1013"/>
      <c r="BF2" s="1013"/>
      <c r="BG2" s="1013"/>
      <c r="BH2" s="1013"/>
      <c r="BI2" s="1013"/>
      <c r="BJ2" s="1013"/>
      <c r="BK2" s="1013"/>
      <c r="BL2" s="1013"/>
      <c r="BM2" s="1013"/>
      <c r="BN2" s="1013"/>
      <c r="BO2" s="1013"/>
      <c r="BP2" s="1013"/>
      <c r="BQ2" s="1013"/>
      <c r="BR2" s="1013"/>
      <c r="BS2" s="1013"/>
      <c r="BT2" s="1013"/>
      <c r="BU2" s="1014"/>
    </row>
    <row r="3" spans="1:73" s="355" customFormat="1" ht="14" thickBot="1">
      <c r="A3" s="731" t="s">
        <v>143</v>
      </c>
      <c r="B3" s="732" t="s">
        <v>144</v>
      </c>
      <c r="C3" s="732" t="s">
        <v>145</v>
      </c>
      <c r="D3" s="732" t="s">
        <v>146</v>
      </c>
      <c r="E3" s="732" t="s">
        <v>147</v>
      </c>
      <c r="F3" s="732" t="s">
        <v>148</v>
      </c>
      <c r="G3" s="732" t="s">
        <v>149</v>
      </c>
      <c r="H3" s="732" t="s">
        <v>150</v>
      </c>
      <c r="I3" s="732" t="s">
        <v>151</v>
      </c>
      <c r="J3" s="732" t="s">
        <v>152</v>
      </c>
      <c r="K3" s="732" t="s">
        <v>153</v>
      </c>
      <c r="L3" s="732" t="s">
        <v>154</v>
      </c>
      <c r="M3" s="732" t="s">
        <v>155</v>
      </c>
      <c r="N3" s="732" t="s">
        <v>156</v>
      </c>
      <c r="O3" s="732" t="s">
        <v>157</v>
      </c>
      <c r="P3" s="732" t="s">
        <v>158</v>
      </c>
      <c r="Q3" s="732" t="s">
        <v>159</v>
      </c>
      <c r="R3" s="732" t="s">
        <v>160</v>
      </c>
      <c r="S3" s="732" t="s">
        <v>16</v>
      </c>
      <c r="T3" s="732" t="s">
        <v>161</v>
      </c>
      <c r="U3" s="732" t="s">
        <v>162</v>
      </c>
      <c r="V3" s="732" t="s">
        <v>163</v>
      </c>
      <c r="W3" s="733" t="s">
        <v>164</v>
      </c>
      <c r="Z3" s="731" t="s">
        <v>143</v>
      </c>
      <c r="AA3" s="732" t="s">
        <v>144</v>
      </c>
      <c r="AB3" s="732" t="s">
        <v>145</v>
      </c>
      <c r="AC3" s="732" t="s">
        <v>146</v>
      </c>
      <c r="AD3" s="732" t="s">
        <v>147</v>
      </c>
      <c r="AE3" s="732" t="s">
        <v>148</v>
      </c>
      <c r="AF3" s="732" t="s">
        <v>149</v>
      </c>
      <c r="AG3" s="732" t="s">
        <v>150</v>
      </c>
      <c r="AH3" s="732" t="s">
        <v>151</v>
      </c>
      <c r="AI3" s="732" t="s">
        <v>152</v>
      </c>
      <c r="AJ3" s="732" t="s">
        <v>153</v>
      </c>
      <c r="AK3" s="732" t="s">
        <v>154</v>
      </c>
      <c r="AL3" s="732" t="s">
        <v>155</v>
      </c>
      <c r="AM3" s="732" t="s">
        <v>156</v>
      </c>
      <c r="AN3" s="732" t="s">
        <v>157</v>
      </c>
      <c r="AO3" s="732" t="s">
        <v>158</v>
      </c>
      <c r="AP3" s="732" t="s">
        <v>159</v>
      </c>
      <c r="AQ3" s="732" t="s">
        <v>160</v>
      </c>
      <c r="AR3" s="732" t="s">
        <v>16</v>
      </c>
      <c r="AS3" s="732" t="s">
        <v>161</v>
      </c>
      <c r="AT3" s="732" t="s">
        <v>162</v>
      </c>
      <c r="AU3" s="732" t="s">
        <v>163</v>
      </c>
      <c r="AV3" s="733" t="s">
        <v>164</v>
      </c>
      <c r="AY3" s="731" t="s">
        <v>143</v>
      </c>
      <c r="AZ3" s="732" t="s">
        <v>144</v>
      </c>
      <c r="BA3" s="732" t="s">
        <v>145</v>
      </c>
      <c r="BB3" s="732" t="s">
        <v>146</v>
      </c>
      <c r="BC3" s="732" t="s">
        <v>147</v>
      </c>
      <c r="BD3" s="732" t="s">
        <v>148</v>
      </c>
      <c r="BE3" s="732" t="s">
        <v>149</v>
      </c>
      <c r="BF3" s="732" t="s">
        <v>150</v>
      </c>
      <c r="BG3" s="732" t="s">
        <v>151</v>
      </c>
      <c r="BH3" s="732" t="s">
        <v>152</v>
      </c>
      <c r="BI3" s="732" t="s">
        <v>153</v>
      </c>
      <c r="BJ3" s="732" t="s">
        <v>154</v>
      </c>
      <c r="BK3" s="732" t="s">
        <v>155</v>
      </c>
      <c r="BL3" s="732" t="s">
        <v>156</v>
      </c>
      <c r="BM3" s="732" t="s">
        <v>157</v>
      </c>
      <c r="BN3" s="732" t="s">
        <v>158</v>
      </c>
      <c r="BO3" s="732" t="s">
        <v>159</v>
      </c>
      <c r="BP3" s="732" t="s">
        <v>160</v>
      </c>
      <c r="BQ3" s="732" t="s">
        <v>16</v>
      </c>
      <c r="BR3" s="732" t="s">
        <v>161</v>
      </c>
      <c r="BS3" s="732" t="s">
        <v>162</v>
      </c>
      <c r="BT3" s="732" t="s">
        <v>163</v>
      </c>
      <c r="BU3" s="733" t="s">
        <v>164</v>
      </c>
    </row>
    <row r="4" spans="1:73">
      <c r="A4" s="650" t="s">
        <v>394</v>
      </c>
      <c r="B4" s="597" t="s">
        <v>179</v>
      </c>
      <c r="C4" s="597" t="s">
        <v>404</v>
      </c>
      <c r="D4" s="598">
        <f>IFERROR((CLE_H[[#This Row],[H]]/CLE_H[[#This Row],[AB]]),0)</f>
        <v>0.18803418803418803</v>
      </c>
      <c r="E4" s="598">
        <f>IFERROR((CLE_H[[#This Row],[H]]+CLE_H[[#This Row],[BB]])/(CLE_H[[#This Row],[BB]]+CLE_H[[#This Row],[AB]]),0)</f>
        <v>0.2578125</v>
      </c>
      <c r="F4" s="599">
        <f>IFERROR(((CLE_H[[#This Row],[H]]-CLE_H[[#This Row],[2B]]-CLE_H[[#This Row],[3B]]-CLE_H[[#This Row],[HR]])+(CLE_H[[#This Row],[2B]]*2)+(CLE_H[[#This Row],[3B]]*3)+(CLE_H[[#This Row],[HR]]*4))/CLE_H[[#This Row],[AB]],0)</f>
        <v>0.34188034188034189</v>
      </c>
      <c r="G4" s="600">
        <v>32</v>
      </c>
      <c r="H4" s="600">
        <v>117</v>
      </c>
      <c r="I4" s="600">
        <v>13</v>
      </c>
      <c r="J4" s="600">
        <v>22</v>
      </c>
      <c r="K4" s="600">
        <v>6</v>
      </c>
      <c r="L4" s="600">
        <v>0</v>
      </c>
      <c r="M4" s="600">
        <v>4</v>
      </c>
      <c r="N4" s="600">
        <v>11</v>
      </c>
      <c r="O4" s="600">
        <v>11</v>
      </c>
      <c r="P4" s="604">
        <v>31</v>
      </c>
      <c r="Q4" s="600">
        <v>0</v>
      </c>
      <c r="R4" s="600">
        <v>0</v>
      </c>
      <c r="S4" s="604">
        <v>5</v>
      </c>
      <c r="T4" s="600">
        <f>IFERROR((CLE_H[[#This Row],[H]]-CLE_H[[#This Row],[2B]]-CLE_H[[#This Row],[3B]]-CLE_H[[#This Row],[HR]])+(CLE_H[[#This Row],[2B]]*2)+(CLE_H[[#This Row],[3B]]*3)+(CLE_H[[#This Row],[HR]]*4),0)</f>
        <v>40</v>
      </c>
      <c r="U4" s="598">
        <f>CLE_H[[#This Row],[OBP]]+CLE_H[[#This Row],[SLG]]</f>
        <v>0.59969284188034189</v>
      </c>
      <c r="V4" s="604">
        <v>2</v>
      </c>
      <c r="W4" s="614">
        <v>1</v>
      </c>
      <c r="Z4" s="757" t="s">
        <v>394</v>
      </c>
      <c r="AA4" s="752" t="s">
        <v>179</v>
      </c>
      <c r="AB4" s="752" t="s">
        <v>404</v>
      </c>
      <c r="AC4" s="753">
        <f>IFERROR((CLE_H225[[#This Row],[H]]/CLE_H225[[#This Row],[AB]]),0)</f>
        <v>0.25</v>
      </c>
      <c r="AD4" s="753">
        <f>IFERROR((CLE_H225[[#This Row],[H]]+CLE_H225[[#This Row],[BB]])/(CLE_H225[[#This Row],[BB]]+CLE_H225[[#This Row],[AB]]),0)</f>
        <v>0.32450331125827814</v>
      </c>
      <c r="AE4" s="754">
        <f>IFERROR(((CLE_H225[[#This Row],[H]]-CLE_H225[[#This Row],[2B]]-CLE_H225[[#This Row],[3B]]-CLE_H225[[#This Row],[HR]])+(CLE_H225[[#This Row],[2B]]*2)+(CLE_H225[[#This Row],[3B]]*3)+(CLE_H225[[#This Row],[HR]]*4))/CLE_H225[[#This Row],[AB]],0)</f>
        <v>0.44117647058823528</v>
      </c>
      <c r="AF4" s="755">
        <v>36</v>
      </c>
      <c r="AG4" s="755">
        <v>136</v>
      </c>
      <c r="AH4" s="755">
        <v>17</v>
      </c>
      <c r="AI4" s="755">
        <v>34</v>
      </c>
      <c r="AJ4" s="755">
        <v>8</v>
      </c>
      <c r="AK4" s="755">
        <v>0</v>
      </c>
      <c r="AL4" s="755">
        <v>6</v>
      </c>
      <c r="AM4" s="755">
        <v>16</v>
      </c>
      <c r="AN4" s="755">
        <v>15</v>
      </c>
      <c r="AO4" s="756">
        <v>40</v>
      </c>
      <c r="AP4" s="755">
        <v>0</v>
      </c>
      <c r="AQ4" s="755">
        <v>0</v>
      </c>
      <c r="AR4" s="756">
        <v>9</v>
      </c>
      <c r="AS4" s="755">
        <f>IFERROR((CLE_H225[[#This Row],[H]]-CLE_H225[[#This Row],[2B]]-CLE_H225[[#This Row],[3B]]-CLE_H225[[#This Row],[HR]])+(CLE_H225[[#This Row],[2B]]*2)+(CLE_H225[[#This Row],[3B]]*3)+(CLE_H225[[#This Row],[HR]]*4),0)</f>
        <v>60</v>
      </c>
      <c r="AT4" s="753">
        <f>CLE_H225[[#This Row],[OBP]]+CLE_H225[[#This Row],[SLG]]</f>
        <v>0.76567978184651342</v>
      </c>
      <c r="AU4" s="756">
        <v>2</v>
      </c>
      <c r="AV4" s="759">
        <v>1</v>
      </c>
      <c r="AY4" s="650" t="s">
        <v>394</v>
      </c>
      <c r="AZ4" s="604" t="s">
        <v>179</v>
      </c>
      <c r="BA4" s="597" t="s">
        <v>404</v>
      </c>
      <c r="BB4" s="598">
        <f>IFERROR(CLE_H199[[#This Row],[H]]/CLE_H199[[#This Row],[AB]],0)</f>
        <v>0.25</v>
      </c>
      <c r="BC4" s="598">
        <f>IFERROR((CLE_H199[[#This Row],[H]]+CLE_H199[[#This Row],[BB]])/(CLE_H199[[#This Row],[BB]]+CLE_H199[[#This Row],[AB]]),0)</f>
        <v>0.29411764705882354</v>
      </c>
      <c r="BD4" s="599">
        <f>IFERROR(((CLE_H199[[#This Row],[H]]-CLE_H199[[#This Row],[2B]]-CLE_H199[[#This Row],[3B]]-CLE_H199[[#This Row],[HR]])+(CLE_H199[[#This Row],[2B]]*2)+(CLE_H199[[#This Row],[3B]]*3)+(CLE_H199[[#This Row],[HR]]*4))/CLE_H199[[#This Row],[AB]],0)</f>
        <v>0.4296875</v>
      </c>
      <c r="BE4" s="600">
        <v>35</v>
      </c>
      <c r="BF4" s="600">
        <v>128</v>
      </c>
      <c r="BG4" s="600">
        <v>15</v>
      </c>
      <c r="BH4" s="600">
        <v>32</v>
      </c>
      <c r="BI4" s="600">
        <v>8</v>
      </c>
      <c r="BJ4" s="600">
        <v>0</v>
      </c>
      <c r="BK4" s="600">
        <v>5</v>
      </c>
      <c r="BL4" s="600">
        <v>20</v>
      </c>
      <c r="BM4" s="600">
        <v>8</v>
      </c>
      <c r="BN4" s="604">
        <v>37</v>
      </c>
      <c r="BO4" s="600">
        <v>0</v>
      </c>
      <c r="BP4" s="600">
        <v>2</v>
      </c>
      <c r="BQ4" s="604">
        <v>5</v>
      </c>
      <c r="BR4" s="600">
        <f t="shared" ref="BR4:BR17" si="0">IFERROR((BH4-BI4-BJ4-BK4)+(BI4*2)+(BJ4*3)+(BK4*4),0)</f>
        <v>55</v>
      </c>
      <c r="BS4" s="598">
        <f>IFERROR(CLE_H199[[#This Row],[OBP]]+CLE_H199[[#This Row],[SLG]],0)</f>
        <v>0.72380514705882359</v>
      </c>
      <c r="BT4" s="604">
        <v>1</v>
      </c>
      <c r="BU4" s="614">
        <v>1</v>
      </c>
    </row>
    <row r="5" spans="1:73">
      <c r="A5" s="651" t="s">
        <v>394</v>
      </c>
      <c r="B5" s="71" t="s">
        <v>154</v>
      </c>
      <c r="C5" s="71" t="s">
        <v>399</v>
      </c>
      <c r="D5" s="72">
        <f>IFERROR((CLE_H[[#This Row],[H]]/CLE_H[[#This Row],[AB]]),0)</f>
        <v>0.28125</v>
      </c>
      <c r="E5" s="72">
        <f>IFERROR((CLE_H[[#This Row],[H]]+CLE_H[[#This Row],[BB]])/(CLE_H[[#This Row],[BB]]+CLE_H[[#This Row],[AB]]),0)</f>
        <v>0.38172043010752688</v>
      </c>
      <c r="F5" s="73">
        <f>IFERROR(((CLE_H[[#This Row],[H]]-CLE_H[[#This Row],[2B]]-CLE_H[[#This Row],[3B]]-CLE_H[[#This Row],[HR]])+(CLE_H[[#This Row],[2B]]*2)+(CLE_H[[#This Row],[3B]]*3)+(CLE_H[[#This Row],[HR]]*4))/CLE_H[[#This Row],[AB]],0)</f>
        <v>0.45624999999999999</v>
      </c>
      <c r="G5" s="28">
        <v>40</v>
      </c>
      <c r="H5" s="28">
        <v>160</v>
      </c>
      <c r="I5" s="28">
        <v>27</v>
      </c>
      <c r="J5" s="28">
        <v>45</v>
      </c>
      <c r="K5" s="28">
        <v>10</v>
      </c>
      <c r="L5" s="28">
        <v>0</v>
      </c>
      <c r="M5" s="28">
        <v>6</v>
      </c>
      <c r="N5" s="28">
        <v>18</v>
      </c>
      <c r="O5" s="28">
        <v>26</v>
      </c>
      <c r="P5" s="74">
        <v>18</v>
      </c>
      <c r="Q5" s="28">
        <v>13</v>
      </c>
      <c r="R5" s="28">
        <v>5</v>
      </c>
      <c r="S5" s="74">
        <v>5</v>
      </c>
      <c r="T5" s="28">
        <f>IFERROR((CLE_H[[#This Row],[H]]-CLE_H[[#This Row],[2B]]-CLE_H[[#This Row],[3B]]-CLE_H[[#This Row],[HR]])+(CLE_H[[#This Row],[2B]]*2)+(CLE_H[[#This Row],[3B]]*3)+(CLE_H[[#This Row],[HR]]*4),0)</f>
        <v>73</v>
      </c>
      <c r="U5" s="72">
        <f>CLE_H[[#This Row],[OBP]]+CLE_H[[#This Row],[SLG]]</f>
        <v>0.83797043010752681</v>
      </c>
      <c r="V5" s="74">
        <v>4</v>
      </c>
      <c r="W5" s="615">
        <v>2</v>
      </c>
      <c r="Z5" s="758" t="s">
        <v>394</v>
      </c>
      <c r="AA5" s="116" t="s">
        <v>154</v>
      </c>
      <c r="AB5" s="116" t="s">
        <v>399</v>
      </c>
      <c r="AC5" s="751">
        <f>IFERROR((CLE_H225[[#This Row],[H]]/CLE_H225[[#This Row],[AB]]),0)</f>
        <v>0.23170731707317074</v>
      </c>
      <c r="AD5" s="751">
        <f>IFERROR((CLE_H225[[#This Row],[H]]+CLE_H225[[#This Row],[BB]])/(CLE_H225[[#This Row],[BB]]+CLE_H225[[#This Row],[AB]]),0)</f>
        <v>0.31521739130434784</v>
      </c>
      <c r="AE5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0.46341463414634149</v>
      </c>
      <c r="AF5" s="588">
        <v>40</v>
      </c>
      <c r="AG5" s="588">
        <v>164</v>
      </c>
      <c r="AH5" s="588">
        <v>24</v>
      </c>
      <c r="AI5" s="588">
        <v>38</v>
      </c>
      <c r="AJ5" s="588">
        <v>9</v>
      </c>
      <c r="AK5" s="588">
        <v>1</v>
      </c>
      <c r="AL5" s="588">
        <v>9</v>
      </c>
      <c r="AM5" s="588">
        <v>31</v>
      </c>
      <c r="AN5" s="588">
        <v>20</v>
      </c>
      <c r="AO5" s="354">
        <v>32</v>
      </c>
      <c r="AP5" s="588">
        <v>3</v>
      </c>
      <c r="AQ5" s="588">
        <v>5</v>
      </c>
      <c r="AR5" s="354">
        <v>6</v>
      </c>
      <c r="AS5" s="588">
        <f>IFERROR((CLE_H225[[#This Row],[H]]-CLE_H225[[#This Row],[2B]]-CLE_H225[[#This Row],[3B]]-CLE_H225[[#This Row],[HR]])+(CLE_H225[[#This Row],[2B]]*2)+(CLE_H225[[#This Row],[3B]]*3)+(CLE_H225[[#This Row],[HR]]*4),0)</f>
        <v>76</v>
      </c>
      <c r="AT5" s="751">
        <f>CLE_H225[[#This Row],[OBP]]+CLE_H225[[#This Row],[SLG]]</f>
        <v>0.77863202545068932</v>
      </c>
      <c r="AU5" s="354">
        <v>4</v>
      </c>
      <c r="AV5" s="760">
        <v>2</v>
      </c>
      <c r="AY5" s="651" t="s">
        <v>394</v>
      </c>
      <c r="AZ5" s="74" t="s">
        <v>154</v>
      </c>
      <c r="BA5" s="71" t="s">
        <v>399</v>
      </c>
      <c r="BB5" s="72">
        <f>IFERROR(CLE_H199[[#This Row],[H]]/CLE_H199[[#This Row],[AB]],0)</f>
        <v>0.2752808988764045</v>
      </c>
      <c r="BC5" s="72">
        <f>IFERROR((CLE_H199[[#This Row],[H]]+CLE_H199[[#This Row],[BB]])/(CLE_H199[[#This Row],[BB]]+CLE_H199[[#This Row],[AB]]),0)</f>
        <v>0.30270270270270272</v>
      </c>
      <c r="BD5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0.4943820224719101</v>
      </c>
      <c r="BE5" s="28">
        <v>40</v>
      </c>
      <c r="BF5" s="28">
        <v>178</v>
      </c>
      <c r="BG5" s="28">
        <v>27</v>
      </c>
      <c r="BH5" s="28">
        <v>49</v>
      </c>
      <c r="BI5" s="28">
        <v>16</v>
      </c>
      <c r="BJ5" s="28">
        <v>1</v>
      </c>
      <c r="BK5" s="28">
        <v>7</v>
      </c>
      <c r="BL5" s="28">
        <v>25</v>
      </c>
      <c r="BM5" s="28">
        <v>7</v>
      </c>
      <c r="BN5" s="74">
        <v>46</v>
      </c>
      <c r="BO5" s="28">
        <v>5</v>
      </c>
      <c r="BP5" s="28">
        <v>7</v>
      </c>
      <c r="BQ5" s="74">
        <v>7</v>
      </c>
      <c r="BR5" s="28">
        <f t="shared" si="0"/>
        <v>88</v>
      </c>
      <c r="BS5" s="72">
        <f>IFERROR(CLE_H199[[#This Row],[OBP]]+CLE_H199[[#This Row],[SLG]],0)</f>
        <v>0.79708472517461282</v>
      </c>
      <c r="BT5" s="74">
        <v>4</v>
      </c>
      <c r="BU5" s="615">
        <v>2</v>
      </c>
    </row>
    <row r="6" spans="1:73">
      <c r="A6" s="651" t="s">
        <v>394</v>
      </c>
      <c r="B6" s="71" t="s">
        <v>235</v>
      </c>
      <c r="C6" s="71" t="s">
        <v>407</v>
      </c>
      <c r="D6" s="72">
        <f>IFERROR((CLE_H[[#This Row],[H]]/CLE_H[[#This Row],[AB]]),0)</f>
        <v>0.18367346938775511</v>
      </c>
      <c r="E6" s="72">
        <f>IFERROR((CLE_H[[#This Row],[H]]+CLE_H[[#This Row],[BB]])/(CLE_H[[#This Row],[BB]]+CLE_H[[#This Row],[AB]]),0)</f>
        <v>0.24528301886792453</v>
      </c>
      <c r="F6" s="73">
        <f>IFERROR(((CLE_H[[#This Row],[H]]-CLE_H[[#This Row],[2B]]-CLE_H[[#This Row],[3B]]-CLE_H[[#This Row],[HR]])+(CLE_H[[#This Row],[2B]]*2)+(CLE_H[[#This Row],[3B]]*3)+(CLE_H[[#This Row],[HR]]*4))/CLE_H[[#This Row],[AB]],0)</f>
        <v>0.32653061224489793</v>
      </c>
      <c r="G6" s="28">
        <v>27</v>
      </c>
      <c r="H6" s="28">
        <v>98</v>
      </c>
      <c r="I6" s="28">
        <v>10</v>
      </c>
      <c r="J6" s="28">
        <v>18</v>
      </c>
      <c r="K6" s="28">
        <v>5</v>
      </c>
      <c r="L6" s="28">
        <v>0</v>
      </c>
      <c r="M6" s="28">
        <v>3</v>
      </c>
      <c r="N6" s="28">
        <v>10</v>
      </c>
      <c r="O6" s="28">
        <v>8</v>
      </c>
      <c r="P6" s="74">
        <v>42</v>
      </c>
      <c r="Q6" s="28">
        <v>0</v>
      </c>
      <c r="R6" s="28">
        <v>0</v>
      </c>
      <c r="S6" s="74">
        <v>4</v>
      </c>
      <c r="T6" s="28">
        <f>IFERROR((CLE_H[[#This Row],[H]]-CLE_H[[#This Row],[2B]]-CLE_H[[#This Row],[3B]]-CLE_H[[#This Row],[HR]])+(CLE_H[[#This Row],[2B]]*2)+(CLE_H[[#This Row],[3B]]*3)+(CLE_H[[#This Row],[HR]]*4),0)</f>
        <v>32</v>
      </c>
      <c r="U6" s="72">
        <f>CLE_H[[#This Row],[OBP]]+CLE_H[[#This Row],[SLG]]</f>
        <v>0.57181363111282246</v>
      </c>
      <c r="V6" s="74">
        <v>1</v>
      </c>
      <c r="W6" s="615">
        <v>3</v>
      </c>
      <c r="Z6" s="758" t="s">
        <v>394</v>
      </c>
      <c r="AA6" s="116" t="s">
        <v>172</v>
      </c>
      <c r="AB6" s="116" t="s">
        <v>406</v>
      </c>
      <c r="AC6" s="751">
        <f>IFERROR((CLE_H225[[#This Row],[H]]/CLE_H225[[#This Row],[AB]]),0)</f>
        <v>0.27205882352941174</v>
      </c>
      <c r="AD6" s="751">
        <f>IFERROR((CLE_H225[[#This Row],[H]]+CLE_H225[[#This Row],[BB]])/(CLE_H225[[#This Row],[BB]]+CLE_H225[[#This Row],[AB]]),0)</f>
        <v>0.30769230769230771</v>
      </c>
      <c r="AE6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0.30882352941176472</v>
      </c>
      <c r="AF6" s="588">
        <v>36</v>
      </c>
      <c r="AG6" s="588">
        <v>136</v>
      </c>
      <c r="AH6" s="588">
        <v>17</v>
      </c>
      <c r="AI6" s="588">
        <v>37</v>
      </c>
      <c r="AJ6" s="588">
        <v>5</v>
      </c>
      <c r="AK6" s="588">
        <v>0</v>
      </c>
      <c r="AL6" s="588">
        <v>0</v>
      </c>
      <c r="AM6" s="588">
        <v>14</v>
      </c>
      <c r="AN6" s="588">
        <v>7</v>
      </c>
      <c r="AO6" s="354">
        <v>22</v>
      </c>
      <c r="AP6" s="588">
        <v>3</v>
      </c>
      <c r="AQ6" s="588">
        <v>0</v>
      </c>
      <c r="AR6" s="354">
        <v>7</v>
      </c>
      <c r="AS6" s="588">
        <f>IFERROR((CLE_H225[[#This Row],[H]]-CLE_H225[[#This Row],[2B]]-CLE_H225[[#This Row],[3B]]-CLE_H225[[#This Row],[HR]])+(CLE_H225[[#This Row],[2B]]*2)+(CLE_H225[[#This Row],[3B]]*3)+(CLE_H225[[#This Row],[HR]]*4),0)</f>
        <v>42</v>
      </c>
      <c r="AT6" s="751">
        <f>CLE_H225[[#This Row],[OBP]]+CLE_H225[[#This Row],[SLG]]</f>
        <v>0.61651583710407243</v>
      </c>
      <c r="AU6" s="354">
        <v>1</v>
      </c>
      <c r="AV6" s="760">
        <v>3</v>
      </c>
      <c r="AY6" s="651" t="s">
        <v>394</v>
      </c>
      <c r="AZ6" s="74" t="s">
        <v>172</v>
      </c>
      <c r="BA6" s="71" t="s">
        <v>406</v>
      </c>
      <c r="BB6" s="72">
        <f>IFERROR(CLE_H199[[#This Row],[H]]/CLE_H199[[#This Row],[AB]],0)</f>
        <v>0.28695652173913044</v>
      </c>
      <c r="BC6" s="72">
        <f>IFERROR((CLE_H199[[#This Row],[H]]+CLE_H199[[#This Row],[BB]])/(CLE_H199[[#This Row],[BB]]+CLE_H199[[#This Row],[AB]]),0)</f>
        <v>0.359375</v>
      </c>
      <c r="BD6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0.34782608695652173</v>
      </c>
      <c r="BE6" s="28">
        <v>35</v>
      </c>
      <c r="BF6" s="28">
        <v>115</v>
      </c>
      <c r="BG6" s="28">
        <v>16</v>
      </c>
      <c r="BH6" s="28">
        <v>33</v>
      </c>
      <c r="BI6" s="28">
        <v>4</v>
      </c>
      <c r="BJ6" s="28">
        <v>0</v>
      </c>
      <c r="BK6" s="28">
        <v>1</v>
      </c>
      <c r="BL6" s="28">
        <v>11</v>
      </c>
      <c r="BM6" s="28">
        <v>13</v>
      </c>
      <c r="BN6" s="74">
        <v>17</v>
      </c>
      <c r="BO6" s="28">
        <v>1</v>
      </c>
      <c r="BP6" s="28">
        <v>0</v>
      </c>
      <c r="BQ6" s="74">
        <v>3</v>
      </c>
      <c r="BR6" s="28">
        <f t="shared" si="0"/>
        <v>40</v>
      </c>
      <c r="BS6" s="72">
        <f>IFERROR(CLE_H199[[#This Row],[OBP]]+CLE_H199[[#This Row],[SLG]],0)</f>
        <v>0.70720108695652173</v>
      </c>
      <c r="BT6" s="74">
        <v>1</v>
      </c>
      <c r="BU6" s="615">
        <v>3</v>
      </c>
    </row>
    <row r="7" spans="1:73">
      <c r="A7" s="651" t="s">
        <v>394</v>
      </c>
      <c r="B7" s="71" t="s">
        <v>153</v>
      </c>
      <c r="C7" s="71" t="s">
        <v>402</v>
      </c>
      <c r="D7" s="72">
        <f>IFERROR((CLE_H[[#This Row],[H]]/CLE_H[[#This Row],[AB]]),0)</f>
        <v>0.24305555555555555</v>
      </c>
      <c r="E7" s="72">
        <f>IFERROR((CLE_H[[#This Row],[H]]+CLE_H[[#This Row],[BB]])/(CLE_H[[#This Row],[BB]]+CLE_H[[#This Row],[AB]]),0)</f>
        <v>0.29220779220779219</v>
      </c>
      <c r="F7" s="73">
        <f>IFERROR(((CLE_H[[#This Row],[H]]-CLE_H[[#This Row],[2B]]-CLE_H[[#This Row],[3B]]-CLE_H[[#This Row],[HR]])+(CLE_H[[#This Row],[2B]]*2)+(CLE_H[[#This Row],[3B]]*3)+(CLE_H[[#This Row],[HR]]*4))/CLE_H[[#This Row],[AB]],0)</f>
        <v>0.41666666666666669</v>
      </c>
      <c r="G7" s="28">
        <v>40</v>
      </c>
      <c r="H7" s="28">
        <v>144</v>
      </c>
      <c r="I7" s="28">
        <v>16</v>
      </c>
      <c r="J7" s="28">
        <v>35</v>
      </c>
      <c r="K7" s="28">
        <v>6</v>
      </c>
      <c r="L7" s="28">
        <v>2</v>
      </c>
      <c r="M7" s="28">
        <v>5</v>
      </c>
      <c r="N7" s="28">
        <v>17</v>
      </c>
      <c r="O7" s="28">
        <v>10</v>
      </c>
      <c r="P7" s="74">
        <v>46</v>
      </c>
      <c r="Q7" s="28">
        <v>5</v>
      </c>
      <c r="R7" s="28">
        <v>8</v>
      </c>
      <c r="S7" s="74">
        <v>8</v>
      </c>
      <c r="T7" s="28">
        <f>IFERROR((CLE_H[[#This Row],[H]]-CLE_H[[#This Row],[2B]]-CLE_H[[#This Row],[3B]]-CLE_H[[#This Row],[HR]])+(CLE_H[[#This Row],[2B]]*2)+(CLE_H[[#This Row],[3B]]*3)+(CLE_H[[#This Row],[HR]]*4),0)</f>
        <v>60</v>
      </c>
      <c r="U7" s="72">
        <f>CLE_H[[#This Row],[OBP]]+CLE_H[[#This Row],[SLG]]</f>
        <v>0.70887445887445888</v>
      </c>
      <c r="V7" s="74">
        <v>0</v>
      </c>
      <c r="W7" s="615">
        <v>4</v>
      </c>
      <c r="Z7" s="758" t="s">
        <v>394</v>
      </c>
      <c r="AA7" s="116" t="s">
        <v>153</v>
      </c>
      <c r="AB7" s="116" t="s">
        <v>402</v>
      </c>
      <c r="AC7" s="751">
        <f>IFERROR((CLE_H225[[#This Row],[H]]/CLE_H225[[#This Row],[AB]]),0)</f>
        <v>0.2805755395683453</v>
      </c>
      <c r="AD7" s="751">
        <f>IFERROR((CLE_H225[[#This Row],[H]]+CLE_H225[[#This Row],[BB]])/(CLE_H225[[#This Row],[BB]]+CLE_H225[[#This Row],[AB]]),0)</f>
        <v>0.32432432432432434</v>
      </c>
      <c r="AE7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0.43884892086330934</v>
      </c>
      <c r="AF7" s="588">
        <v>36</v>
      </c>
      <c r="AG7" s="588">
        <v>139</v>
      </c>
      <c r="AH7" s="588">
        <v>19</v>
      </c>
      <c r="AI7" s="588">
        <v>39</v>
      </c>
      <c r="AJ7" s="588">
        <v>8</v>
      </c>
      <c r="AK7" s="588">
        <v>1</v>
      </c>
      <c r="AL7" s="588">
        <v>4</v>
      </c>
      <c r="AM7" s="588">
        <v>17</v>
      </c>
      <c r="AN7" s="588">
        <v>9</v>
      </c>
      <c r="AO7" s="354">
        <v>38</v>
      </c>
      <c r="AP7" s="588">
        <v>2</v>
      </c>
      <c r="AQ7" s="588">
        <v>4</v>
      </c>
      <c r="AR7" s="354">
        <v>6</v>
      </c>
      <c r="AS7" s="588">
        <f>IFERROR((CLE_H225[[#This Row],[H]]-CLE_H225[[#This Row],[2B]]-CLE_H225[[#This Row],[3B]]-CLE_H225[[#This Row],[HR]])+(CLE_H225[[#This Row],[2B]]*2)+(CLE_H225[[#This Row],[3B]]*3)+(CLE_H225[[#This Row],[HR]]*4),0)</f>
        <v>61</v>
      </c>
      <c r="AT7" s="751">
        <f>CLE_H225[[#This Row],[OBP]]+CLE_H225[[#This Row],[SLG]]</f>
        <v>0.76317324518763363</v>
      </c>
      <c r="AU7" s="354">
        <v>0</v>
      </c>
      <c r="AV7" s="760">
        <v>4</v>
      </c>
      <c r="AY7" s="651" t="s">
        <v>394</v>
      </c>
      <c r="AZ7" s="74" t="s">
        <v>153</v>
      </c>
      <c r="BA7" s="71" t="s">
        <v>405</v>
      </c>
      <c r="BB7" s="72">
        <f>IFERROR(CLE_H199[[#This Row],[H]]/CLE_H199[[#This Row],[AB]],0)</f>
        <v>0.27407407407407408</v>
      </c>
      <c r="BC7" s="72">
        <f>IFERROR((CLE_H199[[#This Row],[H]]+CLE_H199[[#This Row],[BB]])/(CLE_H199[[#This Row],[BB]]+CLE_H199[[#This Row],[AB]]),0)</f>
        <v>0.36774193548387096</v>
      </c>
      <c r="BD7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0.42222222222222222</v>
      </c>
      <c r="BE7" s="28">
        <v>34</v>
      </c>
      <c r="BF7" s="28">
        <v>135</v>
      </c>
      <c r="BG7" s="28">
        <v>26</v>
      </c>
      <c r="BH7" s="28">
        <v>37</v>
      </c>
      <c r="BI7" s="28">
        <v>6</v>
      </c>
      <c r="BJ7" s="28">
        <v>1</v>
      </c>
      <c r="BK7" s="28">
        <v>4</v>
      </c>
      <c r="BL7" s="28">
        <v>16</v>
      </c>
      <c r="BM7" s="28">
        <v>20</v>
      </c>
      <c r="BN7" s="74">
        <v>35</v>
      </c>
      <c r="BO7" s="28">
        <v>0</v>
      </c>
      <c r="BP7" s="28">
        <v>0</v>
      </c>
      <c r="BQ7" s="74">
        <v>8</v>
      </c>
      <c r="BR7" s="28">
        <f t="shared" si="0"/>
        <v>57</v>
      </c>
      <c r="BS7" s="72">
        <f>IFERROR(CLE_H199[[#This Row],[OBP]]+CLE_H199[[#This Row],[SLG]],0)</f>
        <v>0.78996415770609318</v>
      </c>
      <c r="BT7" s="74">
        <v>1</v>
      </c>
      <c r="BU7" s="615">
        <v>4</v>
      </c>
    </row>
    <row r="8" spans="1:73">
      <c r="A8" s="651" t="s">
        <v>394</v>
      </c>
      <c r="B8" s="71" t="s">
        <v>177</v>
      </c>
      <c r="C8" s="71" t="s">
        <v>401</v>
      </c>
      <c r="D8" s="72">
        <f>IFERROR((CLE_H[[#This Row],[H]]/CLE_H[[#This Row],[AB]]),0)</f>
        <v>0.26219512195121952</v>
      </c>
      <c r="E8" s="72">
        <f>IFERROR((CLE_H[[#This Row],[H]]+CLE_H[[#This Row],[BB]])/(CLE_H[[#This Row],[BB]]+CLE_H[[#This Row],[AB]]),0)</f>
        <v>0.33879781420765026</v>
      </c>
      <c r="F8" s="73">
        <f>IFERROR(((CLE_H[[#This Row],[H]]-CLE_H[[#This Row],[2B]]-CLE_H[[#This Row],[3B]]-CLE_H[[#This Row],[HR]])+(CLE_H[[#This Row],[2B]]*2)+(CLE_H[[#This Row],[3B]]*3)+(CLE_H[[#This Row],[HR]]*4))/CLE_H[[#This Row],[AB]],0)</f>
        <v>0.39634146341463417</v>
      </c>
      <c r="G8" s="28">
        <v>40</v>
      </c>
      <c r="H8" s="28">
        <v>164</v>
      </c>
      <c r="I8" s="28">
        <v>25</v>
      </c>
      <c r="J8" s="28">
        <v>43</v>
      </c>
      <c r="K8" s="28">
        <v>7</v>
      </c>
      <c r="L8" s="28">
        <v>0</v>
      </c>
      <c r="M8" s="28">
        <v>5</v>
      </c>
      <c r="N8" s="28">
        <v>19</v>
      </c>
      <c r="O8" s="28">
        <v>19</v>
      </c>
      <c r="P8" s="74">
        <v>31</v>
      </c>
      <c r="Q8" s="28">
        <v>0</v>
      </c>
      <c r="R8" s="28">
        <v>3</v>
      </c>
      <c r="S8" s="74">
        <v>6</v>
      </c>
      <c r="T8" s="28">
        <f>IFERROR((CLE_H[[#This Row],[H]]-CLE_H[[#This Row],[2B]]-CLE_H[[#This Row],[3B]]-CLE_H[[#This Row],[HR]])+(CLE_H[[#This Row],[2B]]*2)+(CLE_H[[#This Row],[3B]]*3)+(CLE_H[[#This Row],[HR]]*4),0)</f>
        <v>65</v>
      </c>
      <c r="U8" s="72">
        <f>CLE_H[[#This Row],[OBP]]+CLE_H[[#This Row],[SLG]]</f>
        <v>0.73513927762228448</v>
      </c>
      <c r="V8" s="74">
        <v>2</v>
      </c>
      <c r="W8" s="615">
        <v>5</v>
      </c>
      <c r="Z8" s="758" t="s">
        <v>394</v>
      </c>
      <c r="AA8" s="116" t="s">
        <v>177</v>
      </c>
      <c r="AB8" s="116" t="s">
        <v>401</v>
      </c>
      <c r="AC8" s="751">
        <f>IFERROR((CLE_H225[[#This Row],[H]]/CLE_H225[[#This Row],[AB]]),0)</f>
        <v>0.26845637583892618</v>
      </c>
      <c r="AD8" s="751">
        <f>IFERROR((CLE_H225[[#This Row],[H]]+CLE_H225[[#This Row],[BB]])/(CLE_H225[[#This Row],[BB]]+CLE_H225[[#This Row],[AB]]),0)</f>
        <v>0.36994219653179189</v>
      </c>
      <c r="AE8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0.43624161073825501</v>
      </c>
      <c r="AF8" s="588">
        <v>38</v>
      </c>
      <c r="AG8" s="588">
        <v>149</v>
      </c>
      <c r="AH8" s="588">
        <v>25</v>
      </c>
      <c r="AI8" s="588">
        <v>40</v>
      </c>
      <c r="AJ8" s="588">
        <v>10</v>
      </c>
      <c r="AK8" s="588">
        <v>0</v>
      </c>
      <c r="AL8" s="588">
        <v>5</v>
      </c>
      <c r="AM8" s="588">
        <v>17</v>
      </c>
      <c r="AN8" s="588">
        <v>24</v>
      </c>
      <c r="AO8" s="354">
        <v>41</v>
      </c>
      <c r="AP8" s="588">
        <v>0</v>
      </c>
      <c r="AQ8" s="588">
        <v>0</v>
      </c>
      <c r="AR8" s="354">
        <v>9</v>
      </c>
      <c r="AS8" s="588">
        <f>IFERROR((CLE_H225[[#This Row],[H]]-CLE_H225[[#This Row],[2B]]-CLE_H225[[#This Row],[3B]]-CLE_H225[[#This Row],[HR]])+(CLE_H225[[#This Row],[2B]]*2)+(CLE_H225[[#This Row],[3B]]*3)+(CLE_H225[[#This Row],[HR]]*4),0)</f>
        <v>65</v>
      </c>
      <c r="AT8" s="751">
        <f>CLE_H225[[#This Row],[OBP]]+CLE_H225[[#This Row],[SLG]]</f>
        <v>0.8061838072700469</v>
      </c>
      <c r="AU8" s="354">
        <v>1</v>
      </c>
      <c r="AV8" s="760">
        <v>5</v>
      </c>
      <c r="AY8" s="651" t="s">
        <v>394</v>
      </c>
      <c r="AZ8" s="74" t="s">
        <v>177</v>
      </c>
      <c r="BA8" s="71" t="s">
        <v>401</v>
      </c>
      <c r="BB8" s="72">
        <f>IFERROR(CLE_H199[[#This Row],[H]]/CLE_H199[[#This Row],[AB]],0)</f>
        <v>0.25308641975308643</v>
      </c>
      <c r="BC8" s="72">
        <f>IFERROR((CLE_H199[[#This Row],[H]]+CLE_H199[[#This Row],[BB]])/(CLE_H199[[#This Row],[BB]]+CLE_H199[[#This Row],[AB]]),0)</f>
        <v>0.33149171270718231</v>
      </c>
      <c r="BD8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0.43209876543209874</v>
      </c>
      <c r="BE8" s="28">
        <v>40</v>
      </c>
      <c r="BF8" s="28">
        <v>162</v>
      </c>
      <c r="BG8" s="28">
        <v>18</v>
      </c>
      <c r="BH8" s="28">
        <v>41</v>
      </c>
      <c r="BI8" s="28">
        <v>8</v>
      </c>
      <c r="BJ8" s="28">
        <v>0</v>
      </c>
      <c r="BK8" s="28">
        <v>7</v>
      </c>
      <c r="BL8" s="28">
        <v>28</v>
      </c>
      <c r="BM8" s="28">
        <v>19</v>
      </c>
      <c r="BN8" s="74">
        <v>22</v>
      </c>
      <c r="BO8" s="28">
        <v>0</v>
      </c>
      <c r="BP8" s="28">
        <v>0</v>
      </c>
      <c r="BQ8" s="74">
        <v>9</v>
      </c>
      <c r="BR8" s="28">
        <f t="shared" si="0"/>
        <v>70</v>
      </c>
      <c r="BS8" s="72">
        <f>IFERROR(CLE_H199[[#This Row],[OBP]]+CLE_H199[[#This Row],[SLG]],0)</f>
        <v>0.76359047813928105</v>
      </c>
      <c r="BT8" s="74">
        <v>1</v>
      </c>
      <c r="BU8" s="615">
        <v>5</v>
      </c>
    </row>
    <row r="9" spans="1:73">
      <c r="A9" s="651" t="s">
        <v>394</v>
      </c>
      <c r="B9" s="71" t="s">
        <v>174</v>
      </c>
      <c r="C9" s="71" t="s">
        <v>398</v>
      </c>
      <c r="D9" s="72">
        <f>IFERROR((CLE_H[[#This Row],[H]]/CLE_H[[#This Row],[AB]]),0)</f>
        <v>0.32214765100671139</v>
      </c>
      <c r="E9" s="72">
        <f>IFERROR((CLE_H[[#This Row],[H]]+CLE_H[[#This Row],[BB]])/(CLE_H[[#This Row],[BB]]+CLE_H[[#This Row],[AB]]),0)</f>
        <v>0.35668789808917195</v>
      </c>
      <c r="F9" s="73">
        <f>IFERROR(((CLE_H[[#This Row],[H]]-CLE_H[[#This Row],[2B]]-CLE_H[[#This Row],[3B]]-CLE_H[[#This Row],[HR]])+(CLE_H[[#This Row],[2B]]*2)+(CLE_H[[#This Row],[3B]]*3)+(CLE_H[[#This Row],[HR]]*4))/CLE_H[[#This Row],[AB]],0)</f>
        <v>0.49664429530201343</v>
      </c>
      <c r="G9" s="28">
        <v>38</v>
      </c>
      <c r="H9" s="28">
        <v>149</v>
      </c>
      <c r="I9" s="28">
        <v>12</v>
      </c>
      <c r="J9" s="28">
        <v>48</v>
      </c>
      <c r="K9" s="28">
        <v>8</v>
      </c>
      <c r="L9" s="28">
        <v>0</v>
      </c>
      <c r="M9" s="28">
        <v>6</v>
      </c>
      <c r="N9" s="28">
        <v>26</v>
      </c>
      <c r="O9" s="28">
        <v>8</v>
      </c>
      <c r="P9" s="74">
        <v>21</v>
      </c>
      <c r="Q9" s="28">
        <v>0</v>
      </c>
      <c r="R9" s="28">
        <v>0</v>
      </c>
      <c r="S9" s="74">
        <v>8</v>
      </c>
      <c r="T9" s="28">
        <f>IFERROR((CLE_H[[#This Row],[H]]-CLE_H[[#This Row],[2B]]-CLE_H[[#This Row],[3B]]-CLE_H[[#This Row],[HR]])+(CLE_H[[#This Row],[2B]]*2)+(CLE_H[[#This Row],[3B]]*3)+(CLE_H[[#This Row],[HR]]*4),0)</f>
        <v>74</v>
      </c>
      <c r="U9" s="72">
        <f>CLE_H[[#This Row],[OBP]]+CLE_H[[#This Row],[SLG]]</f>
        <v>0.85333219339118538</v>
      </c>
      <c r="V9" s="74">
        <v>4</v>
      </c>
      <c r="W9" s="615">
        <v>6</v>
      </c>
      <c r="Z9" s="758" t="s">
        <v>394</v>
      </c>
      <c r="AA9" s="116" t="s">
        <v>234</v>
      </c>
      <c r="AB9" s="116" t="s">
        <v>397</v>
      </c>
      <c r="AC9" s="751">
        <f>IFERROR((CLE_H225[[#This Row],[H]]/CLE_H225[[#This Row],[AB]]),0)</f>
        <v>0.26744186046511625</v>
      </c>
      <c r="AD9" s="751">
        <f>IFERROR((CLE_H225[[#This Row],[H]]+CLE_H225[[#This Row],[BB]])/(CLE_H225[[#This Row],[BB]]+CLE_H225[[#This Row],[AB]]),0)</f>
        <v>0.32978723404255317</v>
      </c>
      <c r="AE9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0.41860465116279072</v>
      </c>
      <c r="AF9" s="588">
        <v>39</v>
      </c>
      <c r="AG9" s="588">
        <v>172</v>
      </c>
      <c r="AH9" s="588">
        <v>25</v>
      </c>
      <c r="AI9" s="588">
        <v>46</v>
      </c>
      <c r="AJ9" s="588">
        <v>8</v>
      </c>
      <c r="AK9" s="593">
        <v>6</v>
      </c>
      <c r="AL9" s="588">
        <v>2</v>
      </c>
      <c r="AM9" s="588">
        <v>21</v>
      </c>
      <c r="AN9" s="588">
        <v>16</v>
      </c>
      <c r="AO9" s="354">
        <v>26</v>
      </c>
      <c r="AP9" s="588">
        <v>2</v>
      </c>
      <c r="AQ9" s="588">
        <v>2</v>
      </c>
      <c r="AR9" s="354">
        <v>8</v>
      </c>
      <c r="AS9" s="588">
        <f>IFERROR((CLE_H225[[#This Row],[H]]-CLE_H225[[#This Row],[2B]]-CLE_H225[[#This Row],[3B]]-CLE_H225[[#This Row],[HR]])+(CLE_H225[[#This Row],[2B]]*2)+(CLE_H225[[#This Row],[3B]]*3)+(CLE_H225[[#This Row],[HR]]*4),0)</f>
        <v>72</v>
      </c>
      <c r="AT9" s="751">
        <f>CLE_H225[[#This Row],[OBP]]+CLE_H225[[#This Row],[SLG]]</f>
        <v>0.74839188520534394</v>
      </c>
      <c r="AU9" s="354">
        <v>2</v>
      </c>
      <c r="AV9" s="760">
        <v>6</v>
      </c>
      <c r="AY9" s="651" t="s">
        <v>394</v>
      </c>
      <c r="AZ9" s="74" t="s">
        <v>174</v>
      </c>
      <c r="BA9" s="71" t="s">
        <v>403</v>
      </c>
      <c r="BB9" s="72">
        <f>IFERROR(CLE_H199[[#This Row],[H]]/CLE_H199[[#This Row],[AB]],0)</f>
        <v>0.29927007299270075</v>
      </c>
      <c r="BC9" s="72">
        <f>IFERROR((CLE_H199[[#This Row],[H]]+CLE_H199[[#This Row],[BB]])/(CLE_H199[[#This Row],[BB]]+CLE_H199[[#This Row],[AB]]),0)</f>
        <v>0.36</v>
      </c>
      <c r="BD9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0.43795620437956206</v>
      </c>
      <c r="BE9" s="28">
        <v>37</v>
      </c>
      <c r="BF9" s="28">
        <v>137</v>
      </c>
      <c r="BG9" s="28">
        <v>24</v>
      </c>
      <c r="BH9" s="28">
        <v>41</v>
      </c>
      <c r="BI9" s="28">
        <v>7</v>
      </c>
      <c r="BJ9" s="28">
        <v>0</v>
      </c>
      <c r="BK9" s="28">
        <v>4</v>
      </c>
      <c r="BL9" s="28">
        <v>17</v>
      </c>
      <c r="BM9" s="28">
        <v>13</v>
      </c>
      <c r="BN9" s="74">
        <v>37</v>
      </c>
      <c r="BO9" s="28">
        <v>0</v>
      </c>
      <c r="BP9" s="28">
        <v>7</v>
      </c>
      <c r="BQ9" s="74">
        <v>7</v>
      </c>
      <c r="BR9" s="28">
        <f t="shared" si="0"/>
        <v>60</v>
      </c>
      <c r="BS9" s="72">
        <f>IFERROR(CLE_H199[[#This Row],[OBP]]+CLE_H199[[#This Row],[SLG]],0)</f>
        <v>0.79795620437956205</v>
      </c>
      <c r="BT9" s="74">
        <v>3</v>
      </c>
      <c r="BU9" s="615">
        <v>6</v>
      </c>
    </row>
    <row r="10" spans="1:73">
      <c r="A10" s="651" t="s">
        <v>394</v>
      </c>
      <c r="B10" s="71" t="s">
        <v>181</v>
      </c>
      <c r="C10" s="71" t="s">
        <v>397</v>
      </c>
      <c r="D10" s="72">
        <f>IFERROR((CLE_H[[#This Row],[H]]/CLE_H[[#This Row],[AB]]),0)</f>
        <v>0.31395348837209303</v>
      </c>
      <c r="E10" s="72">
        <f>IFERROR((CLE_H[[#This Row],[H]]+CLE_H[[#This Row],[BB]])/(CLE_H[[#This Row],[BB]]+CLE_H[[#This Row],[AB]]),0)</f>
        <v>0.36898395721925131</v>
      </c>
      <c r="F10" s="73">
        <f>IFERROR(((CLE_H[[#This Row],[H]]-CLE_H[[#This Row],[2B]]-CLE_H[[#This Row],[3B]]-CLE_H[[#This Row],[HR]])+(CLE_H[[#This Row],[2B]]*2)+(CLE_H[[#This Row],[3B]]*3)+(CLE_H[[#This Row],[HR]]*4))/CLE_H[[#This Row],[AB]],0)</f>
        <v>0.43023255813953487</v>
      </c>
      <c r="G10" s="28">
        <v>39</v>
      </c>
      <c r="H10" s="28">
        <v>172</v>
      </c>
      <c r="I10" s="28">
        <v>22</v>
      </c>
      <c r="J10" s="28">
        <v>54</v>
      </c>
      <c r="K10" s="28">
        <v>9</v>
      </c>
      <c r="L10" s="28">
        <v>1</v>
      </c>
      <c r="M10" s="28">
        <v>3</v>
      </c>
      <c r="N10" s="28">
        <v>14</v>
      </c>
      <c r="O10" s="28">
        <v>15</v>
      </c>
      <c r="P10" s="74">
        <v>22</v>
      </c>
      <c r="Q10" s="28">
        <v>14</v>
      </c>
      <c r="R10" s="28">
        <v>12</v>
      </c>
      <c r="S10" s="74">
        <v>12</v>
      </c>
      <c r="T10" s="28">
        <f>IFERROR((CLE_H[[#This Row],[H]]-CLE_H[[#This Row],[2B]]-CLE_H[[#This Row],[3B]]-CLE_H[[#This Row],[HR]])+(CLE_H[[#This Row],[2B]]*2)+(CLE_H[[#This Row],[3B]]*3)+(CLE_H[[#This Row],[HR]]*4),0)</f>
        <v>74</v>
      </c>
      <c r="U10" s="72">
        <f>CLE_H[[#This Row],[OBP]]+CLE_H[[#This Row],[SLG]]</f>
        <v>0.79921651535878624</v>
      </c>
      <c r="V10" s="74">
        <v>2</v>
      </c>
      <c r="W10" s="615">
        <v>7</v>
      </c>
      <c r="Z10" s="758" t="s">
        <v>394</v>
      </c>
      <c r="AA10" s="116" t="s">
        <v>181</v>
      </c>
      <c r="AB10" s="116" t="s">
        <v>400</v>
      </c>
      <c r="AC10" s="751">
        <f>IFERROR((CLE_H225[[#This Row],[H]]/CLE_H225[[#This Row],[AB]]),0)</f>
        <v>0.27692307692307694</v>
      </c>
      <c r="AD10" s="751">
        <f>IFERROR((CLE_H225[[#This Row],[H]]+CLE_H225[[#This Row],[BB]])/(CLE_H225[[#This Row],[BB]]+CLE_H225[[#This Row],[AB]]),0)</f>
        <v>0.3188405797101449</v>
      </c>
      <c r="AE10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0.53846153846153844</v>
      </c>
      <c r="AF10" s="588">
        <v>16</v>
      </c>
      <c r="AG10" s="588">
        <v>65</v>
      </c>
      <c r="AH10" s="588">
        <v>11</v>
      </c>
      <c r="AI10" s="588">
        <v>18</v>
      </c>
      <c r="AJ10" s="588">
        <v>5</v>
      </c>
      <c r="AK10" s="588">
        <v>0</v>
      </c>
      <c r="AL10" s="588">
        <v>4</v>
      </c>
      <c r="AM10" s="588">
        <v>15</v>
      </c>
      <c r="AN10" s="588">
        <v>4</v>
      </c>
      <c r="AO10" s="354">
        <v>20</v>
      </c>
      <c r="AP10" s="588">
        <v>0</v>
      </c>
      <c r="AQ10" s="588">
        <v>0</v>
      </c>
      <c r="AR10" s="354">
        <v>7</v>
      </c>
      <c r="AS10" s="588">
        <f>IFERROR((CLE_H225[[#This Row],[H]]-CLE_H225[[#This Row],[2B]]-CLE_H225[[#This Row],[3B]]-CLE_H225[[#This Row],[HR]])+(CLE_H225[[#This Row],[2B]]*2)+(CLE_H225[[#This Row],[3B]]*3)+(CLE_H225[[#This Row],[HR]]*4),0)</f>
        <v>35</v>
      </c>
      <c r="AT10" s="751">
        <f>CLE_H225[[#This Row],[OBP]]+CLE_H225[[#This Row],[SLG]]</f>
        <v>0.85730211817168334</v>
      </c>
      <c r="AU10" s="354">
        <v>3</v>
      </c>
      <c r="AV10" s="760">
        <v>7</v>
      </c>
      <c r="AY10" s="651" t="s">
        <v>394</v>
      </c>
      <c r="AZ10" s="74" t="s">
        <v>181</v>
      </c>
      <c r="BA10" s="71" t="s">
        <v>400</v>
      </c>
      <c r="BB10" s="72">
        <f>IFERROR(CLE_H199[[#This Row],[H]]/CLE_H199[[#This Row],[AB]],0)</f>
        <v>0.32679738562091504</v>
      </c>
      <c r="BC10" s="72">
        <f>IFERROR((CLE_H199[[#This Row],[H]]+CLE_H199[[#This Row],[BB]])/(CLE_H199[[#This Row],[BB]]+CLE_H199[[#This Row],[AB]]),0)</f>
        <v>0.37575757575757573</v>
      </c>
      <c r="BD10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0.57516339869281041</v>
      </c>
      <c r="BE10" s="28">
        <v>39</v>
      </c>
      <c r="BF10" s="28">
        <v>153</v>
      </c>
      <c r="BG10" s="28">
        <v>30</v>
      </c>
      <c r="BH10" s="28">
        <v>50</v>
      </c>
      <c r="BI10" s="28">
        <v>7</v>
      </c>
      <c r="BJ10" s="28">
        <v>2</v>
      </c>
      <c r="BK10" s="28">
        <v>9</v>
      </c>
      <c r="BL10" s="28">
        <v>18</v>
      </c>
      <c r="BM10" s="28">
        <v>12</v>
      </c>
      <c r="BN10" s="74">
        <v>36</v>
      </c>
      <c r="BO10" s="28">
        <v>0</v>
      </c>
      <c r="BP10" s="28">
        <v>9</v>
      </c>
      <c r="BQ10" s="74">
        <v>9</v>
      </c>
      <c r="BR10" s="28">
        <f t="shared" si="0"/>
        <v>88</v>
      </c>
      <c r="BS10" s="72">
        <f>IFERROR(CLE_H199[[#This Row],[OBP]]+CLE_H199[[#This Row],[SLG]],0)</f>
        <v>0.95092097445038615</v>
      </c>
      <c r="BT10" s="74">
        <v>0</v>
      </c>
      <c r="BU10" s="615">
        <v>7</v>
      </c>
    </row>
    <row r="11" spans="1:73">
      <c r="A11" s="651" t="s">
        <v>394</v>
      </c>
      <c r="B11" s="71" t="s">
        <v>166</v>
      </c>
      <c r="C11" s="71" t="s">
        <v>403</v>
      </c>
      <c r="D11" s="72">
        <f>IFERROR((CLE_H[[#This Row],[H]]/CLE_H[[#This Row],[AB]]),0)</f>
        <v>0.2608695652173913</v>
      </c>
      <c r="E11" s="72">
        <f>IFERROR((CLE_H[[#This Row],[H]]+CLE_H[[#This Row],[BB]])/(CLE_H[[#This Row],[BB]]+CLE_H[[#This Row],[AB]]),0)</f>
        <v>0.33980582524271846</v>
      </c>
      <c r="F11" s="73">
        <f>IFERROR(((CLE_H[[#This Row],[H]]-CLE_H[[#This Row],[2B]]-CLE_H[[#This Row],[3B]]-CLE_H[[#This Row],[HR]])+(CLE_H[[#This Row],[2B]]*2)+(CLE_H[[#This Row],[3B]]*3)+(CLE_H[[#This Row],[HR]]*4))/CLE_H[[#This Row],[AB]],0)</f>
        <v>0.38043478260869568</v>
      </c>
      <c r="G11" s="28">
        <v>25</v>
      </c>
      <c r="H11" s="28">
        <v>92</v>
      </c>
      <c r="I11" s="28">
        <v>11</v>
      </c>
      <c r="J11" s="28">
        <v>24</v>
      </c>
      <c r="K11" s="28">
        <v>5</v>
      </c>
      <c r="L11" s="28">
        <v>0</v>
      </c>
      <c r="M11" s="28">
        <v>2</v>
      </c>
      <c r="N11" s="28">
        <v>14</v>
      </c>
      <c r="O11" s="28">
        <v>11</v>
      </c>
      <c r="P11" s="74">
        <v>24</v>
      </c>
      <c r="Q11" s="28">
        <v>0</v>
      </c>
      <c r="R11" s="28">
        <v>3</v>
      </c>
      <c r="S11" s="74">
        <v>5</v>
      </c>
      <c r="T11" s="28">
        <f>IFERROR((CLE_H[[#This Row],[H]]-CLE_H[[#This Row],[2B]]-CLE_H[[#This Row],[3B]]-CLE_H[[#This Row],[HR]])+(CLE_H[[#This Row],[2B]]*2)+(CLE_H[[#This Row],[3B]]*3)+(CLE_H[[#This Row],[HR]]*4),0)</f>
        <v>35</v>
      </c>
      <c r="U11" s="72">
        <f>CLE_H[[#This Row],[OBP]]+CLE_H[[#This Row],[SLG]]</f>
        <v>0.72024060785141408</v>
      </c>
      <c r="V11" s="74">
        <v>3</v>
      </c>
      <c r="W11" s="615">
        <v>8</v>
      </c>
      <c r="Z11" s="758" t="s">
        <v>394</v>
      </c>
      <c r="AA11" s="116" t="s">
        <v>166</v>
      </c>
      <c r="AB11" s="116" t="s">
        <v>396</v>
      </c>
      <c r="AC11" s="751">
        <f>IFERROR((CLE_H225[[#This Row],[H]]/CLE_H225[[#This Row],[AB]]),0)</f>
        <v>0.29487179487179488</v>
      </c>
      <c r="AD11" s="751">
        <f>IFERROR((CLE_H225[[#This Row],[H]]+CLE_H225[[#This Row],[BB]])/(CLE_H225[[#This Row],[BB]]+CLE_H225[[#This Row],[AB]]),0)</f>
        <v>0.36416184971098264</v>
      </c>
      <c r="AE11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0.51282051282051277</v>
      </c>
      <c r="AF11" s="588">
        <v>40</v>
      </c>
      <c r="AG11" s="588">
        <v>156</v>
      </c>
      <c r="AH11" s="588">
        <v>26</v>
      </c>
      <c r="AI11" s="588">
        <v>46</v>
      </c>
      <c r="AJ11" s="588">
        <v>4</v>
      </c>
      <c r="AK11" s="588">
        <v>0</v>
      </c>
      <c r="AL11" s="588">
        <v>10</v>
      </c>
      <c r="AM11" s="588">
        <v>22</v>
      </c>
      <c r="AN11" s="588">
        <v>17</v>
      </c>
      <c r="AO11" s="354">
        <v>50</v>
      </c>
      <c r="AP11" s="588">
        <v>0</v>
      </c>
      <c r="AQ11" s="588">
        <v>2</v>
      </c>
      <c r="AR11" s="354">
        <v>9</v>
      </c>
      <c r="AS11" s="588">
        <f>IFERROR((CLE_H225[[#This Row],[H]]-CLE_H225[[#This Row],[2B]]-CLE_H225[[#This Row],[3B]]-CLE_H225[[#This Row],[HR]])+(CLE_H225[[#This Row],[2B]]*2)+(CLE_H225[[#This Row],[3B]]*3)+(CLE_H225[[#This Row],[HR]]*4),0)</f>
        <v>80</v>
      </c>
      <c r="AT11" s="751">
        <f>CLE_H225[[#This Row],[OBP]]+CLE_H225[[#This Row],[SLG]]</f>
        <v>0.87698236253149542</v>
      </c>
      <c r="AU11" s="354">
        <v>3</v>
      </c>
      <c r="AV11" s="760">
        <v>8</v>
      </c>
      <c r="AY11" s="651" t="s">
        <v>394</v>
      </c>
      <c r="AZ11" s="74" t="s">
        <v>166</v>
      </c>
      <c r="BA11" s="71" t="s">
        <v>396</v>
      </c>
      <c r="BB11" s="72">
        <f>IFERROR(CLE_H199[[#This Row],[H]]/CLE_H199[[#This Row],[AB]],0)</f>
        <v>0.26060606060606062</v>
      </c>
      <c r="BC11" s="72">
        <f>IFERROR((CLE_H199[[#This Row],[H]]+CLE_H199[[#This Row],[BB]])/(CLE_H199[[#This Row],[BB]]+CLE_H199[[#This Row],[AB]]),0)</f>
        <v>0.30681818181818182</v>
      </c>
      <c r="BD11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0.5696969696969697</v>
      </c>
      <c r="BE11" s="28">
        <v>40</v>
      </c>
      <c r="BF11" s="28">
        <v>165</v>
      </c>
      <c r="BG11" s="28">
        <v>27</v>
      </c>
      <c r="BH11" s="28">
        <v>43</v>
      </c>
      <c r="BI11" s="28">
        <v>6</v>
      </c>
      <c r="BJ11" s="28">
        <v>0</v>
      </c>
      <c r="BK11" s="28">
        <v>15</v>
      </c>
      <c r="BL11" s="28">
        <v>35</v>
      </c>
      <c r="BM11" s="28">
        <v>11</v>
      </c>
      <c r="BN11" s="74">
        <v>66</v>
      </c>
      <c r="BO11" s="28">
        <v>0</v>
      </c>
      <c r="BP11" s="28">
        <v>1</v>
      </c>
      <c r="BQ11" s="74">
        <v>8</v>
      </c>
      <c r="BR11" s="28">
        <f t="shared" si="0"/>
        <v>94</v>
      </c>
      <c r="BS11" s="72">
        <f>IFERROR(CLE_H199[[#This Row],[OBP]]+CLE_H199[[#This Row],[SLG]],0)</f>
        <v>0.87651515151515147</v>
      </c>
      <c r="BT11" s="74">
        <v>6</v>
      </c>
      <c r="BU11" s="615">
        <v>8</v>
      </c>
    </row>
    <row r="12" spans="1:73">
      <c r="A12" s="651" t="s">
        <v>394</v>
      </c>
      <c r="B12" s="71" t="s">
        <v>168</v>
      </c>
      <c r="C12" s="71" t="s">
        <v>395</v>
      </c>
      <c r="D12" s="72">
        <f>IFERROR((CLE_H[[#This Row],[H]]/CLE_H[[#This Row],[AB]]),0)</f>
        <v>0.27536231884057971</v>
      </c>
      <c r="E12" s="72">
        <f>IFERROR((CLE_H[[#This Row],[H]]+CLE_H[[#This Row],[BB]])/(CLE_H[[#This Row],[BB]]+CLE_H[[#This Row],[AB]]),0)</f>
        <v>0.41860465116279072</v>
      </c>
      <c r="F12" s="73">
        <f>IFERROR(((CLE_H[[#This Row],[H]]-CLE_H[[#This Row],[2B]]-CLE_H[[#This Row],[3B]]-CLE_H[[#This Row],[HR]])+(CLE_H[[#This Row],[2B]]*2)+(CLE_H[[#This Row],[3B]]*3)+(CLE_H[[#This Row],[HR]]*4))/CLE_H[[#This Row],[AB]],0)</f>
        <v>0.57971014492753625</v>
      </c>
      <c r="G12" s="28">
        <v>40</v>
      </c>
      <c r="H12" s="28">
        <v>138</v>
      </c>
      <c r="I12" s="28">
        <v>25</v>
      </c>
      <c r="J12" s="28">
        <v>38</v>
      </c>
      <c r="K12" s="28">
        <v>6</v>
      </c>
      <c r="L12" s="28">
        <v>0</v>
      </c>
      <c r="M12" s="28">
        <v>12</v>
      </c>
      <c r="N12" s="28">
        <v>32</v>
      </c>
      <c r="O12" s="28">
        <v>34</v>
      </c>
      <c r="P12" s="74">
        <v>55</v>
      </c>
      <c r="Q12" s="28">
        <v>0</v>
      </c>
      <c r="R12" s="28">
        <v>8</v>
      </c>
      <c r="S12" s="74">
        <v>8</v>
      </c>
      <c r="T12" s="28">
        <f>IFERROR((CLE_H[[#This Row],[H]]-CLE_H[[#This Row],[2B]]-CLE_H[[#This Row],[3B]]-CLE_H[[#This Row],[HR]])+(CLE_H[[#This Row],[2B]]*2)+(CLE_H[[#This Row],[3B]]*3)+(CLE_H[[#This Row],[HR]]*4),0)</f>
        <v>80</v>
      </c>
      <c r="U12" s="72">
        <f>CLE_H[[#This Row],[OBP]]+CLE_H[[#This Row],[SLG]]</f>
        <v>0.99831479609032692</v>
      </c>
      <c r="V12" s="74">
        <v>5</v>
      </c>
      <c r="W12" s="615">
        <v>9</v>
      </c>
      <c r="Z12" s="758" t="s">
        <v>394</v>
      </c>
      <c r="AA12" s="116" t="s">
        <v>168</v>
      </c>
      <c r="AB12" s="116" t="s">
        <v>395</v>
      </c>
      <c r="AC12" s="751">
        <f>IFERROR((CLE_H225[[#This Row],[H]]/CLE_H225[[#This Row],[AB]]),0)</f>
        <v>0.26282051282051283</v>
      </c>
      <c r="AD12" s="751">
        <f>IFERROR((CLE_H225[[#This Row],[H]]+CLE_H225[[#This Row],[BB]])/(CLE_H225[[#This Row],[BB]]+CLE_H225[[#This Row],[AB]]),0)</f>
        <v>0.36813186813186816</v>
      </c>
      <c r="AE12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0.55128205128205132</v>
      </c>
      <c r="AF12" s="588">
        <v>40</v>
      </c>
      <c r="AG12" s="588">
        <v>156</v>
      </c>
      <c r="AH12" s="588">
        <v>29</v>
      </c>
      <c r="AI12" s="588">
        <v>41</v>
      </c>
      <c r="AJ12" s="588">
        <v>12</v>
      </c>
      <c r="AK12" s="588">
        <v>0</v>
      </c>
      <c r="AL12" s="588">
        <v>11</v>
      </c>
      <c r="AM12" s="588">
        <v>33</v>
      </c>
      <c r="AN12" s="588">
        <v>26</v>
      </c>
      <c r="AO12" s="354">
        <v>58</v>
      </c>
      <c r="AP12" s="588">
        <v>0</v>
      </c>
      <c r="AQ12" s="588">
        <v>2</v>
      </c>
      <c r="AR12" s="354">
        <v>7</v>
      </c>
      <c r="AS12" s="588">
        <f>IFERROR((CLE_H225[[#This Row],[H]]-CLE_H225[[#This Row],[2B]]-CLE_H225[[#This Row],[3B]]-CLE_H225[[#This Row],[HR]])+(CLE_H225[[#This Row],[2B]]*2)+(CLE_H225[[#This Row],[3B]]*3)+(CLE_H225[[#This Row],[HR]]*4),0)</f>
        <v>86</v>
      </c>
      <c r="AT12" s="751">
        <f>CLE_H225[[#This Row],[OBP]]+CLE_H225[[#This Row],[SLG]]</f>
        <v>0.91941391941391948</v>
      </c>
      <c r="AU12" s="354">
        <v>6</v>
      </c>
      <c r="AV12" s="760">
        <v>9</v>
      </c>
      <c r="AY12" s="651" t="s">
        <v>394</v>
      </c>
      <c r="AZ12" s="74" t="s">
        <v>168</v>
      </c>
      <c r="BA12" s="71" t="s">
        <v>395</v>
      </c>
      <c r="BB12" s="72">
        <f>IFERROR(CLE_H199[[#This Row],[H]]/CLE_H199[[#This Row],[AB]],0)</f>
        <v>0.27272727272727271</v>
      </c>
      <c r="BC12" s="72">
        <f>IFERROR((CLE_H199[[#This Row],[H]]+CLE_H199[[#This Row],[BB]])/(CLE_H199[[#This Row],[BB]]+CLE_H199[[#This Row],[AB]]),0)</f>
        <v>0.3672316384180791</v>
      </c>
      <c r="BD12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0.57792207792207795</v>
      </c>
      <c r="BE12" s="28">
        <v>40</v>
      </c>
      <c r="BF12" s="28">
        <v>154</v>
      </c>
      <c r="BG12" s="28">
        <v>24</v>
      </c>
      <c r="BH12" s="28">
        <v>42</v>
      </c>
      <c r="BI12" s="28">
        <v>8</v>
      </c>
      <c r="BJ12" s="28">
        <v>0</v>
      </c>
      <c r="BK12" s="28">
        <v>13</v>
      </c>
      <c r="BL12" s="28">
        <v>26</v>
      </c>
      <c r="BM12" s="28">
        <v>23</v>
      </c>
      <c r="BN12" s="74">
        <v>46</v>
      </c>
      <c r="BO12" s="28">
        <v>0</v>
      </c>
      <c r="BP12" s="28">
        <v>5</v>
      </c>
      <c r="BQ12" s="74">
        <v>12</v>
      </c>
      <c r="BR12" s="28">
        <f t="shared" si="0"/>
        <v>89</v>
      </c>
      <c r="BS12" s="72">
        <f>IFERROR(CLE_H199[[#This Row],[OBP]]+CLE_H199[[#This Row],[SLG]],0)</f>
        <v>0.9451537163401571</v>
      </c>
      <c r="BT12" s="74">
        <v>4</v>
      </c>
      <c r="BU12" s="615">
        <v>9</v>
      </c>
    </row>
    <row r="13" spans="1:73">
      <c r="A13" s="651" t="s">
        <v>394</v>
      </c>
      <c r="B13" s="71" t="s">
        <v>179</v>
      </c>
      <c r="C13" s="71" t="s">
        <v>411</v>
      </c>
      <c r="D13" s="72">
        <f>IFERROR((CLE_H[[#This Row],[H]]/CLE_H[[#This Row],[AB]]),0)</f>
        <v>0.125</v>
      </c>
      <c r="E13" s="72">
        <f>IFERROR((CLE_H[[#This Row],[H]]+CLE_H[[#This Row],[BB]])/(CLE_H[[#This Row],[BB]]+CLE_H[[#This Row],[AB]]),0)</f>
        <v>0.3</v>
      </c>
      <c r="F13" s="73">
        <f>IFERROR(((CLE_H[[#This Row],[H]]-CLE_H[[#This Row],[2B]]-CLE_H[[#This Row],[3B]]-CLE_H[[#This Row],[HR]])+(CLE_H[[#This Row],[2B]]*2)+(CLE_H[[#This Row],[3B]]*3)+(CLE_H[[#This Row],[HR]]*4))/CLE_H[[#This Row],[AB]],0)</f>
        <v>0.125</v>
      </c>
      <c r="G13" s="28">
        <v>9</v>
      </c>
      <c r="H13" s="28">
        <v>24</v>
      </c>
      <c r="I13" s="28">
        <v>0</v>
      </c>
      <c r="J13" s="28">
        <v>3</v>
      </c>
      <c r="K13" s="28">
        <v>0</v>
      </c>
      <c r="L13" s="28">
        <v>0</v>
      </c>
      <c r="M13" s="28">
        <v>0</v>
      </c>
      <c r="N13" s="28">
        <v>0</v>
      </c>
      <c r="O13" s="28">
        <v>6</v>
      </c>
      <c r="P13" s="74">
        <v>5</v>
      </c>
      <c r="Q13" s="28">
        <v>0</v>
      </c>
      <c r="R13" s="28">
        <v>1</v>
      </c>
      <c r="S13" s="74">
        <v>1</v>
      </c>
      <c r="T13" s="28">
        <f>IFERROR((CLE_H[[#This Row],[H]]-CLE_H[[#This Row],[2B]]-CLE_H[[#This Row],[3B]]-CLE_H[[#This Row],[HR]])+(CLE_H[[#This Row],[2B]]*2)+(CLE_H[[#This Row],[3B]]*3)+(CLE_H[[#This Row],[HR]]*4),0)</f>
        <v>3</v>
      </c>
      <c r="U13" s="72">
        <f>CLE_H[[#This Row],[OBP]]+CLE_H[[#This Row],[SLG]]</f>
        <v>0.42499999999999999</v>
      </c>
      <c r="V13" s="74">
        <v>0</v>
      </c>
      <c r="W13" s="615">
        <v>10</v>
      </c>
      <c r="Z13" s="758" t="s">
        <v>394</v>
      </c>
      <c r="AA13" s="116" t="s">
        <v>308</v>
      </c>
      <c r="AB13" s="116" t="s">
        <v>411</v>
      </c>
      <c r="AC13" s="751">
        <f>IFERROR((CLE_H225[[#This Row],[H]]/CLE_H225[[#This Row],[AB]]),0)</f>
        <v>0.18181818181818182</v>
      </c>
      <c r="AD13" s="751">
        <f>IFERROR((CLE_H225[[#This Row],[H]]+CLE_H225[[#This Row],[BB]])/(CLE_H225[[#This Row],[BB]]+CLE_H225[[#This Row],[AB]]),0)</f>
        <v>0.4375</v>
      </c>
      <c r="AE13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0.27272727272727271</v>
      </c>
      <c r="AF13" s="588">
        <v>4</v>
      </c>
      <c r="AG13" s="588">
        <v>11</v>
      </c>
      <c r="AH13" s="588">
        <v>2</v>
      </c>
      <c r="AI13" s="588">
        <v>2</v>
      </c>
      <c r="AJ13" s="588">
        <v>1</v>
      </c>
      <c r="AK13" s="588">
        <v>0</v>
      </c>
      <c r="AL13" s="588">
        <v>0</v>
      </c>
      <c r="AM13" s="588">
        <v>1</v>
      </c>
      <c r="AN13" s="588">
        <v>5</v>
      </c>
      <c r="AO13" s="354">
        <v>5</v>
      </c>
      <c r="AP13" s="588">
        <v>0</v>
      </c>
      <c r="AQ13" s="588">
        <v>0</v>
      </c>
      <c r="AR13" s="354">
        <v>1</v>
      </c>
      <c r="AS13" s="588">
        <f>IFERROR((CLE_H225[[#This Row],[H]]-CLE_H225[[#This Row],[2B]]-CLE_H225[[#This Row],[3B]]-CLE_H225[[#This Row],[HR]])+(CLE_H225[[#This Row],[2B]]*2)+(CLE_H225[[#This Row],[3B]]*3)+(CLE_H225[[#This Row],[HR]]*4),0)</f>
        <v>3</v>
      </c>
      <c r="AT13" s="751">
        <f>CLE_H225[[#This Row],[OBP]]+CLE_H225[[#This Row],[SLG]]</f>
        <v>0.71022727272727271</v>
      </c>
      <c r="AU13" s="354">
        <v>0</v>
      </c>
      <c r="AV13" s="760">
        <v>10</v>
      </c>
      <c r="AY13" s="651" t="s">
        <v>394</v>
      </c>
      <c r="AZ13" s="74" t="s">
        <v>179</v>
      </c>
      <c r="BA13" s="74" t="s">
        <v>410</v>
      </c>
      <c r="BB13" s="72">
        <f>IFERROR(CLE_H199[[#This Row],[H]]/CLE_H199[[#This Row],[AB]],0)</f>
        <v>0.22222222222222221</v>
      </c>
      <c r="BC13" s="72">
        <f>IFERROR((CLE_H199[[#This Row],[H]]+CLE_H199[[#This Row],[BB]])/(CLE_H199[[#This Row],[BB]]+CLE_H199[[#This Row],[AB]]),0)</f>
        <v>0.3</v>
      </c>
      <c r="BD13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0.3888888888888889</v>
      </c>
      <c r="BE13" s="28">
        <v>8</v>
      </c>
      <c r="BF13" s="28">
        <v>18</v>
      </c>
      <c r="BG13" s="28">
        <v>1</v>
      </c>
      <c r="BH13" s="28">
        <v>4</v>
      </c>
      <c r="BI13" s="28">
        <v>0</v>
      </c>
      <c r="BJ13" s="28">
        <v>0</v>
      </c>
      <c r="BK13" s="28">
        <v>1</v>
      </c>
      <c r="BL13" s="28">
        <v>4</v>
      </c>
      <c r="BM13" s="28">
        <v>2</v>
      </c>
      <c r="BN13" s="74">
        <v>8</v>
      </c>
      <c r="BO13" s="28">
        <v>0</v>
      </c>
      <c r="BP13" s="28">
        <v>2</v>
      </c>
      <c r="BQ13" s="74">
        <v>2</v>
      </c>
      <c r="BR13" s="28">
        <f t="shared" si="0"/>
        <v>7</v>
      </c>
      <c r="BS13" s="72">
        <f>IFERROR(CLE_H199[[#This Row],[OBP]]+CLE_H199[[#This Row],[SLG]],0)</f>
        <v>0.68888888888888888</v>
      </c>
      <c r="BT13" s="74">
        <v>0</v>
      </c>
      <c r="BU13" s="615">
        <v>10</v>
      </c>
    </row>
    <row r="14" spans="1:73">
      <c r="A14" s="651" t="s">
        <v>394</v>
      </c>
      <c r="B14" s="71" t="s">
        <v>192</v>
      </c>
      <c r="C14" s="71" t="s">
        <v>412</v>
      </c>
      <c r="D14" s="72">
        <f>IFERROR((CLE_H[[#This Row],[H]]/CLE_H[[#This Row],[AB]]),0)</f>
        <v>0</v>
      </c>
      <c r="E14" s="72">
        <f>IFERROR((CLE_H[[#This Row],[H]]+CLE_H[[#This Row],[BB]])/(CLE_H[[#This Row],[BB]]+CLE_H[[#This Row],[AB]]),0)</f>
        <v>0</v>
      </c>
      <c r="F14" s="73">
        <f>IFERROR(((CLE_H[[#This Row],[H]]-CLE_H[[#This Row],[2B]]-CLE_H[[#This Row],[3B]]-CLE_H[[#This Row],[HR]])+(CLE_H[[#This Row],[2B]]*2)+(CLE_H[[#This Row],[3B]]*3)+(CLE_H[[#This Row],[HR]]*4))/CLE_H[[#This Row],[AB]],0)</f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74">
        <v>0</v>
      </c>
      <c r="Q14" s="28">
        <v>0</v>
      </c>
      <c r="R14" s="28">
        <v>0</v>
      </c>
      <c r="S14" s="74">
        <v>0</v>
      </c>
      <c r="T14" s="28">
        <f>IFERROR((CLE_H[[#This Row],[H]]-CLE_H[[#This Row],[2B]]-CLE_H[[#This Row],[3B]]-CLE_H[[#This Row],[HR]])+(CLE_H[[#This Row],[2B]]*2)+(CLE_H[[#This Row],[3B]]*3)+(CLE_H[[#This Row],[HR]]*4),0)</f>
        <v>0</v>
      </c>
      <c r="U14" s="72">
        <f>CLE_H[[#This Row],[OBP]]+CLE_H[[#This Row],[SLG]]</f>
        <v>0</v>
      </c>
      <c r="V14" s="74">
        <v>0</v>
      </c>
      <c r="W14" s="615">
        <v>11</v>
      </c>
      <c r="Z14" s="758" t="s">
        <v>394</v>
      </c>
      <c r="AA14" s="116" t="s">
        <v>187</v>
      </c>
      <c r="AB14" s="116" t="s">
        <v>405</v>
      </c>
      <c r="AC14" s="751">
        <f>IFERROR((CLE_H225[[#This Row],[H]]/CLE_H225[[#This Row],[AB]]),0)</f>
        <v>0.375</v>
      </c>
      <c r="AD14" s="751">
        <f>IFERROR((CLE_H225[[#This Row],[H]]+CLE_H225[[#This Row],[BB]])/(CLE_H225[[#This Row],[BB]]+CLE_H225[[#This Row],[AB]]),0)</f>
        <v>0.41176470588235292</v>
      </c>
      <c r="AE14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0.5625</v>
      </c>
      <c r="AF14" s="588">
        <v>4</v>
      </c>
      <c r="AG14" s="588">
        <v>16</v>
      </c>
      <c r="AH14" s="588">
        <v>2</v>
      </c>
      <c r="AI14" s="588">
        <v>6</v>
      </c>
      <c r="AJ14" s="588">
        <v>3</v>
      </c>
      <c r="AK14" s="588">
        <v>0</v>
      </c>
      <c r="AL14" s="588">
        <v>0</v>
      </c>
      <c r="AM14" s="588">
        <v>3</v>
      </c>
      <c r="AN14" s="588">
        <v>1</v>
      </c>
      <c r="AO14" s="354">
        <v>3</v>
      </c>
      <c r="AP14" s="588">
        <v>0</v>
      </c>
      <c r="AQ14" s="588">
        <v>4</v>
      </c>
      <c r="AR14" s="354">
        <v>4</v>
      </c>
      <c r="AS14" s="588">
        <f>IFERROR((CLE_H225[[#This Row],[H]]-CLE_H225[[#This Row],[2B]]-CLE_H225[[#This Row],[3B]]-CLE_H225[[#This Row],[HR]])+(CLE_H225[[#This Row],[2B]]*2)+(CLE_H225[[#This Row],[3B]]*3)+(CLE_H225[[#This Row],[HR]]*4),0)</f>
        <v>9</v>
      </c>
      <c r="AT14" s="751">
        <f>CLE_H225[[#This Row],[OBP]]+CLE_H225[[#This Row],[SLG]]</f>
        <v>0.97426470588235292</v>
      </c>
      <c r="AU14" s="354">
        <v>0</v>
      </c>
      <c r="AV14" s="760">
        <v>11</v>
      </c>
      <c r="AY14" s="651" t="s">
        <v>394</v>
      </c>
      <c r="AZ14" s="74" t="s">
        <v>192</v>
      </c>
      <c r="BA14" s="71" t="s">
        <v>402</v>
      </c>
      <c r="BB14" s="72">
        <f>IFERROR(CLE_H199[[#This Row],[H]]/CLE_H199[[#This Row],[AB]],0)</f>
        <v>0.29729729729729731</v>
      </c>
      <c r="BC14" s="72">
        <f>IFERROR((CLE_H199[[#This Row],[H]]+CLE_H199[[#This Row],[BB]])/(CLE_H199[[#This Row],[BB]]+CLE_H199[[#This Row],[AB]]),0)</f>
        <v>0.29729729729729731</v>
      </c>
      <c r="BD14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0.51351351351351349</v>
      </c>
      <c r="BE14" s="28">
        <v>13</v>
      </c>
      <c r="BF14" s="28">
        <v>37</v>
      </c>
      <c r="BG14" s="28">
        <v>6</v>
      </c>
      <c r="BH14" s="28">
        <v>11</v>
      </c>
      <c r="BI14" s="28">
        <v>3</v>
      </c>
      <c r="BJ14" s="28">
        <v>1</v>
      </c>
      <c r="BK14" s="28">
        <v>1</v>
      </c>
      <c r="BL14" s="28">
        <v>9</v>
      </c>
      <c r="BM14" s="28">
        <v>0</v>
      </c>
      <c r="BN14" s="74">
        <v>4</v>
      </c>
      <c r="BO14" s="28">
        <v>1</v>
      </c>
      <c r="BP14" s="28">
        <v>0</v>
      </c>
      <c r="BQ14" s="74">
        <v>5</v>
      </c>
      <c r="BR14" s="28">
        <f t="shared" si="0"/>
        <v>19</v>
      </c>
      <c r="BS14" s="72">
        <f>IFERROR(CLE_H199[[#This Row],[OBP]]+CLE_H199[[#This Row],[SLG]],0)</f>
        <v>0.81081081081081074</v>
      </c>
      <c r="BT14" s="74">
        <v>1</v>
      </c>
      <c r="BU14" s="615">
        <v>11</v>
      </c>
    </row>
    <row r="15" spans="1:73">
      <c r="A15" s="651" t="s">
        <v>394</v>
      </c>
      <c r="B15" s="71" t="s">
        <v>187</v>
      </c>
      <c r="C15" s="71" t="s">
        <v>409</v>
      </c>
      <c r="D15" s="72">
        <f>IFERROR((CLE_H[[#This Row],[H]]/CLE_H[[#This Row],[AB]]),0)</f>
        <v>9.8039215686274508E-2</v>
      </c>
      <c r="E15" s="72">
        <f>IFERROR((CLE_H[[#This Row],[H]]+CLE_H[[#This Row],[BB]])/(CLE_H[[#This Row],[BB]]+CLE_H[[#This Row],[AB]]),0)</f>
        <v>0.14814814814814814</v>
      </c>
      <c r="F15" s="73">
        <f>IFERROR(((CLE_H[[#This Row],[H]]-CLE_H[[#This Row],[2B]]-CLE_H[[#This Row],[3B]]-CLE_H[[#This Row],[HR]])+(CLE_H[[#This Row],[2B]]*2)+(CLE_H[[#This Row],[3B]]*3)+(CLE_H[[#This Row],[HR]]*4))/CLE_H[[#This Row],[AB]],0)</f>
        <v>0.13725490196078433</v>
      </c>
      <c r="G15" s="28">
        <v>15</v>
      </c>
      <c r="H15" s="28">
        <v>51</v>
      </c>
      <c r="I15" s="28">
        <v>2</v>
      </c>
      <c r="J15" s="28">
        <v>5</v>
      </c>
      <c r="K15" s="28">
        <v>2</v>
      </c>
      <c r="L15" s="28">
        <v>0</v>
      </c>
      <c r="M15" s="28">
        <v>0</v>
      </c>
      <c r="N15" s="28">
        <v>1</v>
      </c>
      <c r="O15" s="28">
        <v>3</v>
      </c>
      <c r="P15" s="74">
        <v>10</v>
      </c>
      <c r="Q15" s="28">
        <v>1</v>
      </c>
      <c r="R15" s="28">
        <v>0</v>
      </c>
      <c r="S15" s="74">
        <v>2</v>
      </c>
      <c r="T15" s="28">
        <f>IFERROR((CLE_H[[#This Row],[H]]-CLE_H[[#This Row],[2B]]-CLE_H[[#This Row],[3B]]-CLE_H[[#This Row],[HR]])+(CLE_H[[#This Row],[2B]]*2)+(CLE_H[[#This Row],[3B]]*3)+(CLE_H[[#This Row],[HR]]*4),0)</f>
        <v>7</v>
      </c>
      <c r="U15" s="72">
        <f>CLE_H[[#This Row],[OBP]]+CLE_H[[#This Row],[SLG]]</f>
        <v>0.28540305010893247</v>
      </c>
      <c r="V15" s="74">
        <v>0</v>
      </c>
      <c r="W15" s="615">
        <v>12</v>
      </c>
      <c r="Z15" s="758" t="s">
        <v>394</v>
      </c>
      <c r="AA15" s="116" t="s">
        <v>187</v>
      </c>
      <c r="AB15" s="116" t="s">
        <v>409</v>
      </c>
      <c r="AC15" s="751">
        <f>IFERROR((CLE_H225[[#This Row],[H]]/CLE_H225[[#This Row],[AB]]),0)</f>
        <v>0.3125</v>
      </c>
      <c r="AD15" s="751">
        <f>IFERROR((CLE_H225[[#This Row],[H]]+CLE_H225[[#This Row],[BB]])/(CLE_H225[[#This Row],[BB]]+CLE_H225[[#This Row],[AB]]),0)</f>
        <v>0.35294117647058826</v>
      </c>
      <c r="AE15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0.3125</v>
      </c>
      <c r="AF15" s="588">
        <v>5</v>
      </c>
      <c r="AG15" s="588">
        <v>16</v>
      </c>
      <c r="AH15" s="588">
        <v>0</v>
      </c>
      <c r="AI15" s="588">
        <v>5</v>
      </c>
      <c r="AJ15" s="588">
        <v>0</v>
      </c>
      <c r="AK15" s="588">
        <v>0</v>
      </c>
      <c r="AL15" s="588">
        <v>0</v>
      </c>
      <c r="AM15" s="588">
        <v>2</v>
      </c>
      <c r="AN15" s="588">
        <v>1</v>
      </c>
      <c r="AO15" s="354">
        <v>5</v>
      </c>
      <c r="AP15" s="588">
        <v>0</v>
      </c>
      <c r="AQ15" s="588">
        <v>1</v>
      </c>
      <c r="AR15" s="354">
        <v>2</v>
      </c>
      <c r="AS15" s="588">
        <f>IFERROR((CLE_H225[[#This Row],[H]]-CLE_H225[[#This Row],[2B]]-CLE_H225[[#This Row],[3B]]-CLE_H225[[#This Row],[HR]])+(CLE_H225[[#This Row],[2B]]*2)+(CLE_H225[[#This Row],[3B]]*3)+(CLE_H225[[#This Row],[HR]]*4),0)</f>
        <v>5</v>
      </c>
      <c r="AT15" s="751">
        <f>CLE_H225[[#This Row],[OBP]]+CLE_H225[[#This Row],[SLG]]</f>
        <v>0.66544117647058831</v>
      </c>
      <c r="AU15" s="354">
        <v>0</v>
      </c>
      <c r="AV15" s="760">
        <v>12</v>
      </c>
      <c r="AY15" s="651" t="s">
        <v>394</v>
      </c>
      <c r="AZ15" s="74" t="s">
        <v>192</v>
      </c>
      <c r="BA15" s="71" t="s">
        <v>409</v>
      </c>
      <c r="BB15" s="72">
        <f>IFERROR(CLE_H199[[#This Row],[H]]/CLE_H199[[#This Row],[AB]],0)</f>
        <v>9.5238095238095233E-2</v>
      </c>
      <c r="BC15" s="72">
        <f>IFERROR((CLE_H199[[#This Row],[H]]+CLE_H199[[#This Row],[BB]])/(CLE_H199[[#This Row],[BB]]+CLE_H199[[#This Row],[AB]]),0)</f>
        <v>0.20833333333333334</v>
      </c>
      <c r="BD15" s="73">
        <f>IFERROR(((CLE_H199[[#This Row],[H]]-CLE_H199[[#This Row],[2B]]-CLE_H199[[#This Row],[3B]]-CLE_H199[[#This Row],[HR]])+(CLE_H199[[#This Row],[2B]]*2)+(CLE_H199[[#This Row],[3B]]*3)+(CLE_H199[[#This Row],[HR]]*4))/CLE_H199[[#This Row],[AB]],0)</f>
        <v>9.5238095238095233E-2</v>
      </c>
      <c r="BE15" s="28">
        <v>9</v>
      </c>
      <c r="BF15" s="28">
        <v>21</v>
      </c>
      <c r="BG15" s="28">
        <v>0</v>
      </c>
      <c r="BH15" s="28">
        <v>2</v>
      </c>
      <c r="BI15" s="28">
        <v>0</v>
      </c>
      <c r="BJ15" s="28">
        <v>0</v>
      </c>
      <c r="BK15" s="28">
        <v>0</v>
      </c>
      <c r="BL15" s="28">
        <v>0</v>
      </c>
      <c r="BM15" s="28">
        <v>3</v>
      </c>
      <c r="BN15" s="74">
        <v>4</v>
      </c>
      <c r="BO15" s="28">
        <v>0</v>
      </c>
      <c r="BP15" s="28">
        <v>0</v>
      </c>
      <c r="BQ15" s="74">
        <v>1</v>
      </c>
      <c r="BR15" s="28">
        <f t="shared" si="0"/>
        <v>2</v>
      </c>
      <c r="BS15" s="72">
        <f>IFERROR(CLE_H199[[#This Row],[OBP]]+CLE_H199[[#This Row],[SLG]],0)</f>
        <v>0.3035714285714286</v>
      </c>
      <c r="BT15" s="74">
        <v>0</v>
      </c>
      <c r="BU15" s="615">
        <v>12</v>
      </c>
    </row>
    <row r="16" spans="1:73">
      <c r="A16" s="651" t="s">
        <v>394</v>
      </c>
      <c r="B16" s="71" t="s">
        <v>186</v>
      </c>
      <c r="C16" s="71" t="s">
        <v>396</v>
      </c>
      <c r="D16" s="72">
        <f>IFERROR((CLE_H[[#This Row],[H]]/CLE_H[[#This Row],[AB]]),0)</f>
        <v>0.17647058823529413</v>
      </c>
      <c r="E16" s="72">
        <f>IFERROR((CLE_H[[#This Row],[H]]+CLE_H[[#This Row],[BB]])/(CLE_H[[#This Row],[BB]]+CLE_H[[#This Row],[AB]]),0)</f>
        <v>0.27586206896551724</v>
      </c>
      <c r="F16" s="73">
        <f>IFERROR(((CLE_H[[#This Row],[H]]-CLE_H[[#This Row],[2B]]-CLE_H[[#This Row],[3B]]-CLE_H[[#This Row],[HR]])+(CLE_H[[#This Row],[2B]]*2)+(CLE_H[[#This Row],[3B]]*3)+(CLE_H[[#This Row],[HR]]*4))/CLE_H[[#This Row],[AB]],0)</f>
        <v>0.19607843137254902</v>
      </c>
      <c r="G16" s="28">
        <v>14</v>
      </c>
      <c r="H16" s="28">
        <v>51</v>
      </c>
      <c r="I16" s="28">
        <v>3</v>
      </c>
      <c r="J16" s="28">
        <v>9</v>
      </c>
      <c r="K16" s="28">
        <v>1</v>
      </c>
      <c r="L16" s="28">
        <v>0</v>
      </c>
      <c r="M16" s="28">
        <v>0</v>
      </c>
      <c r="N16" s="28">
        <v>1</v>
      </c>
      <c r="O16" s="28">
        <v>7</v>
      </c>
      <c r="P16" s="74">
        <v>17</v>
      </c>
      <c r="Q16" s="28">
        <v>0</v>
      </c>
      <c r="R16" s="28">
        <v>3</v>
      </c>
      <c r="S16" s="74">
        <v>3</v>
      </c>
      <c r="T16" s="28">
        <f>IFERROR((CLE_H[[#This Row],[H]]-CLE_H[[#This Row],[2B]]-CLE_H[[#This Row],[3B]]-CLE_H[[#This Row],[HR]])+(CLE_H[[#This Row],[2B]]*2)+(CLE_H[[#This Row],[3B]]*3)+(CLE_H[[#This Row],[HR]]*4),0)</f>
        <v>10</v>
      </c>
      <c r="U16" s="72">
        <f>CLE_H[[#This Row],[OBP]]+CLE_H[[#This Row],[SLG]]</f>
        <v>0.47194050033806623</v>
      </c>
      <c r="V16" s="74">
        <v>0</v>
      </c>
      <c r="W16" s="615">
        <v>13</v>
      </c>
      <c r="Z16" s="758" t="s">
        <v>394</v>
      </c>
      <c r="AA16" s="116" t="s">
        <v>186</v>
      </c>
      <c r="AB16" s="116" t="s">
        <v>403</v>
      </c>
      <c r="AC16" s="751">
        <f>IFERROR((CLE_H225[[#This Row],[H]]/CLE_H225[[#This Row],[AB]]),0)</f>
        <v>0.19672131147540983</v>
      </c>
      <c r="AD16" s="751">
        <f>IFERROR((CLE_H225[[#This Row],[H]]+CLE_H225[[#This Row],[BB]])/(CLE_H225[[#This Row],[BB]]+CLE_H225[[#This Row],[AB]]),0)</f>
        <v>0.26865671641791045</v>
      </c>
      <c r="AE16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0.29508196721311475</v>
      </c>
      <c r="AF16" s="588">
        <v>16</v>
      </c>
      <c r="AG16" s="588">
        <v>61</v>
      </c>
      <c r="AH16" s="588">
        <v>3</v>
      </c>
      <c r="AI16" s="588">
        <v>12</v>
      </c>
      <c r="AJ16" s="588">
        <v>3</v>
      </c>
      <c r="AK16" s="588">
        <v>0</v>
      </c>
      <c r="AL16" s="588">
        <v>1</v>
      </c>
      <c r="AM16" s="588">
        <v>7</v>
      </c>
      <c r="AN16" s="588">
        <v>6</v>
      </c>
      <c r="AO16" s="354">
        <v>17</v>
      </c>
      <c r="AP16" s="588">
        <v>0</v>
      </c>
      <c r="AQ16" s="588">
        <v>1</v>
      </c>
      <c r="AR16" s="354">
        <v>2</v>
      </c>
      <c r="AS16" s="588">
        <f>IFERROR((CLE_H225[[#This Row],[H]]-CLE_H225[[#This Row],[2B]]-CLE_H225[[#This Row],[3B]]-CLE_H225[[#This Row],[HR]])+(CLE_H225[[#This Row],[2B]]*2)+(CLE_H225[[#This Row],[3B]]*3)+(CLE_H225[[#This Row],[HR]]*4),0)</f>
        <v>18</v>
      </c>
      <c r="AT16" s="751">
        <f>CLE_H225[[#This Row],[OBP]]+CLE_H225[[#This Row],[SLG]]</f>
        <v>0.56373868363102519</v>
      </c>
      <c r="AU16" s="354">
        <v>1</v>
      </c>
      <c r="AV16" s="760">
        <v>13</v>
      </c>
      <c r="AY16" s="651" t="s">
        <v>394</v>
      </c>
      <c r="AZ16" s="74" t="s">
        <v>184</v>
      </c>
      <c r="BA16" s="71" t="s">
        <v>413</v>
      </c>
      <c r="BB16" s="72">
        <f>IFERROR(CLE_H199[[#This Row],[H]]/CLE_H199[[#This Row],[AB]],0)</f>
        <v>0.25</v>
      </c>
      <c r="BC16" s="72">
        <f>IFERROR((CLE_H199[[#This Row],[H]]+CLE_H199[[#This Row],[BB]])/(CLE_H199[[#This Row],[BB]]+CLE_H199[[#This Row],[AB]]),0)</f>
        <v>0.4</v>
      </c>
      <c r="BD16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0.25</v>
      </c>
      <c r="BE16" s="28">
        <v>2</v>
      </c>
      <c r="BF16" s="28">
        <v>4</v>
      </c>
      <c r="BG16" s="28">
        <v>0</v>
      </c>
      <c r="BH16" s="28">
        <v>1</v>
      </c>
      <c r="BI16" s="28">
        <v>0</v>
      </c>
      <c r="BJ16" s="28">
        <v>0</v>
      </c>
      <c r="BK16" s="28">
        <v>0</v>
      </c>
      <c r="BL16" s="28">
        <v>0</v>
      </c>
      <c r="BM16" s="28">
        <v>1</v>
      </c>
      <c r="BN16" s="74">
        <v>1</v>
      </c>
      <c r="BO16" s="28">
        <v>0</v>
      </c>
      <c r="BP16" s="28">
        <v>1</v>
      </c>
      <c r="BQ16" s="74">
        <v>1</v>
      </c>
      <c r="BR16" s="28">
        <f t="shared" si="0"/>
        <v>1</v>
      </c>
      <c r="BS16" s="72">
        <f>IFERROR(CLE_H199[[#This Row],[OBP]]+CLE_H199[[#This Row],[SLG]],0)</f>
        <v>0.65</v>
      </c>
      <c r="BT16" s="74">
        <v>0</v>
      </c>
      <c r="BU16" s="615">
        <v>13</v>
      </c>
    </row>
    <row r="17" spans="1:73" ht="17" thickBot="1">
      <c r="A17" s="651" t="s">
        <v>394</v>
      </c>
      <c r="B17" s="71" t="s">
        <v>186</v>
      </c>
      <c r="C17" s="71" t="s">
        <v>400</v>
      </c>
      <c r="D17" s="72">
        <f>IFERROR((CLE_H[[#This Row],[H]]/CLE_H[[#This Row],[AB]]),0)</f>
        <v>0.13043478260869565</v>
      </c>
      <c r="E17" s="72">
        <f>IFERROR((CLE_H[[#This Row],[H]]+CLE_H[[#This Row],[BB]])/(CLE_H[[#This Row],[BB]]+CLE_H[[#This Row],[AB]]),0)</f>
        <v>0.2</v>
      </c>
      <c r="F17" s="73">
        <f>IFERROR(((CLE_H[[#This Row],[H]]-CLE_H[[#This Row],[2B]]-CLE_H[[#This Row],[3B]]-CLE_H[[#This Row],[HR]])+(CLE_H[[#This Row],[2B]]*2)+(CLE_H[[#This Row],[3B]]*3)+(CLE_H[[#This Row],[HR]]*4))/CLE_H[[#This Row],[AB]],0)</f>
        <v>0.21739130434782608</v>
      </c>
      <c r="G17" s="28">
        <v>8</v>
      </c>
      <c r="H17" s="28">
        <v>23</v>
      </c>
      <c r="I17" s="28">
        <v>2</v>
      </c>
      <c r="J17" s="28">
        <v>3</v>
      </c>
      <c r="K17" s="28">
        <v>2</v>
      </c>
      <c r="L17" s="28">
        <v>0</v>
      </c>
      <c r="M17" s="28">
        <v>0</v>
      </c>
      <c r="N17" s="28">
        <v>2</v>
      </c>
      <c r="O17" s="28">
        <v>2</v>
      </c>
      <c r="P17" s="612">
        <v>10</v>
      </c>
      <c r="Q17" s="998">
        <v>0</v>
      </c>
      <c r="R17" s="28">
        <v>1</v>
      </c>
      <c r="S17" s="74">
        <v>1</v>
      </c>
      <c r="T17" s="28">
        <f>IFERROR((CLE_H[[#This Row],[H]]-CLE_H[[#This Row],[2B]]-CLE_H[[#This Row],[3B]]-CLE_H[[#This Row],[HR]])+(CLE_H[[#This Row],[2B]]*2)+(CLE_H[[#This Row],[3B]]*3)+(CLE_H[[#This Row],[HR]]*4),0)</f>
        <v>5</v>
      </c>
      <c r="U17" s="72">
        <f>CLE_H[[#This Row],[OBP]]+CLE_H[[#This Row],[SLG]]</f>
        <v>0.41739130434782612</v>
      </c>
      <c r="V17" s="74">
        <v>1</v>
      </c>
      <c r="W17" s="615">
        <v>14</v>
      </c>
      <c r="Z17" s="758" t="s">
        <v>394</v>
      </c>
      <c r="AA17" s="116" t="s">
        <v>186</v>
      </c>
      <c r="AB17" s="132" t="s">
        <v>408</v>
      </c>
      <c r="AC17" s="761">
        <f>IFERROR((CLE_H225[[#This Row],[H]]/CLE_H225[[#This Row],[AB]]),0)</f>
        <v>0.27586206896551724</v>
      </c>
      <c r="AD17" s="751">
        <f>IFERROR((CLE_H225[[#This Row],[H]]+CLE_H225[[#This Row],[BB]])/(CLE_H225[[#This Row],[BB]]+CLE_H225[[#This Row],[AB]]),0)</f>
        <v>0.28813559322033899</v>
      </c>
      <c r="AE17" s="353">
        <f>IFERROR(((CLE_H225[[#This Row],[H]]-CLE_H225[[#This Row],[2B]]-CLE_H225[[#This Row],[3B]]-CLE_H225[[#This Row],[HR]])+(CLE_H225[[#This Row],[2B]]*2)+(CLE_H225[[#This Row],[3B]]*3)+(CLE_H225[[#This Row],[HR]]*4))/CLE_H225[[#This Row],[AB]],0)</f>
        <v>0.37931034482758619</v>
      </c>
      <c r="AF17" s="588">
        <v>17</v>
      </c>
      <c r="AG17" s="588">
        <v>58</v>
      </c>
      <c r="AH17" s="588">
        <v>5</v>
      </c>
      <c r="AI17" s="588">
        <v>16</v>
      </c>
      <c r="AJ17" s="588">
        <v>3</v>
      </c>
      <c r="AK17" s="588">
        <v>0</v>
      </c>
      <c r="AL17" s="588">
        <v>1</v>
      </c>
      <c r="AM17" s="588">
        <v>4</v>
      </c>
      <c r="AN17" s="588">
        <v>1</v>
      </c>
      <c r="AO17" s="1002">
        <v>15</v>
      </c>
      <c r="AP17" s="1001">
        <v>0</v>
      </c>
      <c r="AQ17" s="588">
        <v>0</v>
      </c>
      <c r="AR17" s="354">
        <v>5</v>
      </c>
      <c r="AS17" s="588">
        <f>IFERROR((CLE_H225[[#This Row],[H]]-CLE_H225[[#This Row],[2B]]-CLE_H225[[#This Row],[3B]]-CLE_H225[[#This Row],[HR]])+(CLE_H225[[#This Row],[2B]]*2)+(CLE_H225[[#This Row],[3B]]*3)+(CLE_H225[[#This Row],[HR]]*4),0)</f>
        <v>22</v>
      </c>
      <c r="AT17" s="751">
        <f>CLE_H225[[#This Row],[OBP]]+CLE_H225[[#This Row],[SLG]]</f>
        <v>0.66744593804792518</v>
      </c>
      <c r="AU17" s="354">
        <v>0</v>
      </c>
      <c r="AV17" s="760">
        <v>14</v>
      </c>
      <c r="AY17" s="651" t="s">
        <v>394</v>
      </c>
      <c r="AZ17" s="74" t="s">
        <v>184</v>
      </c>
      <c r="BA17" s="71" t="s">
        <v>408</v>
      </c>
      <c r="BB17" s="72">
        <f>IFERROR(CLE_H199[[#This Row],[H]]/CLE_H199[[#This Row],[AB]],0)</f>
        <v>0.1</v>
      </c>
      <c r="BC17" s="72">
        <f>IFERROR((CLE_H199[[#This Row],[H]]+CLE_H199[[#This Row],[BB]])/(CLE_H199[[#This Row],[BB]]+CLE_H199[[#This Row],[AB]]),0)</f>
        <v>0.25</v>
      </c>
      <c r="BD17" s="73">
        <f>IFERROR(((CLE_H199[[#This Row],[H]]-CLE_H199[[#This Row],[2B]]-CLE_H199[[#This Row],[3B]]-CLE_H199[[#This Row],[HR]])+(CLE_H199[[#This Row],[2B]]*2)+(CLE_H199[[#This Row],[3B]]*3)+(CLE_H199[[#This Row],[HR]]*4))/CLE_H199[[#This Row],[AB]],0)</f>
        <v>0.4</v>
      </c>
      <c r="BE17" s="28">
        <v>4</v>
      </c>
      <c r="BF17" s="28">
        <v>10</v>
      </c>
      <c r="BG17" s="28">
        <v>1</v>
      </c>
      <c r="BH17" s="28">
        <v>1</v>
      </c>
      <c r="BI17" s="28">
        <v>0</v>
      </c>
      <c r="BJ17" s="28">
        <v>0</v>
      </c>
      <c r="BK17" s="28">
        <v>1</v>
      </c>
      <c r="BL17" s="28">
        <v>2</v>
      </c>
      <c r="BM17" s="28">
        <v>2</v>
      </c>
      <c r="BN17" s="612">
        <v>4</v>
      </c>
      <c r="BO17" s="998">
        <v>0</v>
      </c>
      <c r="BP17" s="28">
        <v>0</v>
      </c>
      <c r="BQ17" s="74">
        <v>1</v>
      </c>
      <c r="BR17" s="28">
        <f t="shared" si="0"/>
        <v>4</v>
      </c>
      <c r="BS17" s="72">
        <f>IFERROR(CLE_H199[[#This Row],[OBP]]+CLE_H199[[#This Row],[SLG]],0)</f>
        <v>0.65</v>
      </c>
      <c r="BT17" s="74">
        <v>0</v>
      </c>
      <c r="BU17" s="615">
        <v>14</v>
      </c>
    </row>
    <row r="18" spans="1:73" ht="17" thickBot="1">
      <c r="A18" s="652"/>
      <c r="B18" s="653"/>
      <c r="C18" s="654" t="s">
        <v>195</v>
      </c>
      <c r="D18" s="656">
        <f>J18/H18</f>
        <v>0.25090383224873464</v>
      </c>
      <c r="E18" s="656">
        <f>(J18+O18)/(H18+O18)</f>
        <v>0.3285806869734284</v>
      </c>
      <c r="F18" s="657">
        <f>((J18-K18-L18-M18)+(K18*2)+(3*L18)+(M18*4))/H18</f>
        <v>0.40347071583514099</v>
      </c>
      <c r="G18" s="658"/>
      <c r="H18" s="658">
        <f>SUBTOTAL(109,CLE_H[AB])</f>
        <v>1383</v>
      </c>
      <c r="I18" s="658">
        <f>SUBTOTAL(109,CLE_H[R])</f>
        <v>168</v>
      </c>
      <c r="J18" s="658">
        <f>SUBTOTAL(109,CLE_H[H])</f>
        <v>347</v>
      </c>
      <c r="K18" s="658">
        <f>SUBTOTAL(109,CLE_H[2B])</f>
        <v>67</v>
      </c>
      <c r="L18" s="658">
        <f>SUBTOTAL(109,CLE_H[3B])</f>
        <v>3</v>
      </c>
      <c r="M18" s="658">
        <f>SUBTOTAL(109,CLE_H[HR])</f>
        <v>46</v>
      </c>
      <c r="N18" s="658">
        <f>SUBTOTAL(109,CLE_H[RBI])</f>
        <v>165</v>
      </c>
      <c r="O18" s="659">
        <f>SUBTOTAL(109,CLE_H[BB])</f>
        <v>160</v>
      </c>
      <c r="P18" s="997">
        <f>SUBTOTAL(109,CLE_H[K])</f>
        <v>332</v>
      </c>
      <c r="Q18" s="1004">
        <f>SUBTOTAL(109,CLE_H[SB])</f>
        <v>33</v>
      </c>
      <c r="R18" s="658"/>
      <c r="S18" s="660"/>
      <c r="T18" s="658">
        <f>SUBTOTAL(109,CLE_H[TB])</f>
        <v>558</v>
      </c>
      <c r="U18" s="656">
        <f>E18+F18</f>
        <v>0.7320514028085694</v>
      </c>
      <c r="V18" s="660">
        <f>SUBTOTAL(109,CLE_H[*])</f>
        <v>24</v>
      </c>
      <c r="W18" s="734"/>
      <c r="Z18" s="762"/>
      <c r="AA18" s="763"/>
      <c r="AB18" s="764" t="s">
        <v>195</v>
      </c>
      <c r="AC18" s="765">
        <f>AI18/AG18</f>
        <v>0.26480836236933797</v>
      </c>
      <c r="AD18" s="765">
        <f>(AI18+AN18)/(AG18+AN18)</f>
        <v>0.3352236925015753</v>
      </c>
      <c r="AE18" s="766">
        <f>((AI18-AJ18-AK18-AL18)+(AJ18*2)+(3*AK18)+(AL18*4))/AG18</f>
        <v>0.44181184668989548</v>
      </c>
      <c r="AF18" s="767"/>
      <c r="AG18" s="767">
        <f>SUBTOTAL(109,CLE_H225[AB])</f>
        <v>1435</v>
      </c>
      <c r="AH18" s="767">
        <f>SUBTOTAL(109,CLE_H225[R])</f>
        <v>205</v>
      </c>
      <c r="AI18" s="767">
        <f>SUBTOTAL(109,CLE_H225[H])</f>
        <v>380</v>
      </c>
      <c r="AJ18" s="767">
        <f>SUBTOTAL(109,CLE_H225[2B])</f>
        <v>79</v>
      </c>
      <c r="AK18" s="767">
        <f>SUBTOTAL(109,CLE_H225[3B])</f>
        <v>8</v>
      </c>
      <c r="AL18" s="767">
        <f>SUBTOTAL(109,CLE_H225[HR])</f>
        <v>53</v>
      </c>
      <c r="AM18" s="767">
        <f>SUBTOTAL(109,CLE_H225[RBI])</f>
        <v>203</v>
      </c>
      <c r="AN18" s="767">
        <f>SUBTOTAL(109,CLE_H225[BB])</f>
        <v>152</v>
      </c>
      <c r="AO18" s="1000">
        <f>SUBTOTAL(109,CLE_H225[K])</f>
        <v>372</v>
      </c>
      <c r="AP18" s="1003">
        <f>SUBTOTAL(109,CLE_H225[SB])</f>
        <v>10</v>
      </c>
      <c r="AQ18" s="767"/>
      <c r="AR18" s="768"/>
      <c r="AS18" s="767">
        <f>SUBTOTAL(109,CLE_H225[TB])</f>
        <v>634</v>
      </c>
      <c r="AT18" s="765">
        <f>AD18+AE18</f>
        <v>0.77703553919147073</v>
      </c>
      <c r="AU18" s="768">
        <f>SUBTOTAL(109,CLE_H225[*])</f>
        <v>23</v>
      </c>
      <c r="AV18" s="769"/>
      <c r="AY18" s="652"/>
      <c r="AZ18" s="653"/>
      <c r="BA18" s="654" t="s">
        <v>195</v>
      </c>
      <c r="BB18" s="656">
        <f>IFERROR(BH18/BF18,0)</f>
        <v>0.27311220889202542</v>
      </c>
      <c r="BC18" s="656">
        <f>IFERROR((BH18+BM18)/(BF18+BM18),0)</f>
        <v>0.33591231463571891</v>
      </c>
      <c r="BD18" s="657">
        <f>IFERROR(((BH18-BI18-BJ18-BK18)+(BI18*2)+(BJ18*3)+(BK18*4))/BF18,0)</f>
        <v>0.47565278757939311</v>
      </c>
      <c r="BE18" s="658"/>
      <c r="BF18" s="658">
        <f t="shared" ref="BF18:BO18" si="1">SUM(BF4:BF17)</f>
        <v>1417</v>
      </c>
      <c r="BG18" s="658">
        <f t="shared" si="1"/>
        <v>215</v>
      </c>
      <c r="BH18" s="658">
        <f t="shared" si="1"/>
        <v>387</v>
      </c>
      <c r="BI18" s="658">
        <f t="shared" si="1"/>
        <v>73</v>
      </c>
      <c r="BJ18" s="658">
        <f t="shared" si="1"/>
        <v>5</v>
      </c>
      <c r="BK18" s="658">
        <f t="shared" si="1"/>
        <v>68</v>
      </c>
      <c r="BL18" s="658">
        <f t="shared" si="1"/>
        <v>211</v>
      </c>
      <c r="BM18" s="658">
        <f t="shared" si="1"/>
        <v>134</v>
      </c>
      <c r="BN18" s="997">
        <f t="shared" si="1"/>
        <v>363</v>
      </c>
      <c r="BO18" s="999">
        <f t="shared" si="1"/>
        <v>7</v>
      </c>
      <c r="BP18" s="658"/>
      <c r="BQ18" s="660"/>
      <c r="BR18" s="658">
        <f t="shared" ref="BR18" si="2">IFERROR((BH18-BI18-BJ18-BK18)+(BI18*2)+(BJ18*3)+(BK18*4),0)</f>
        <v>674</v>
      </c>
      <c r="BS18" s="656">
        <f>IFERROR(BC18+BD18,0)</f>
        <v>0.81156510221511202</v>
      </c>
      <c r="BT18" s="660">
        <f>SUBTOTAL(109,CLE_H199[*])</f>
        <v>22</v>
      </c>
      <c r="BU18" s="734"/>
    </row>
    <row r="19" spans="1:73" ht="17" thickBot="1"/>
    <row r="20" spans="1:73" s="64" customFormat="1" ht="14" thickBot="1">
      <c r="A20" s="605" t="s">
        <v>143</v>
      </c>
      <c r="B20" s="606" t="s">
        <v>144</v>
      </c>
      <c r="C20" s="606" t="s">
        <v>145</v>
      </c>
      <c r="D20" s="606" t="s">
        <v>196</v>
      </c>
      <c r="E20" s="606" t="s">
        <v>197</v>
      </c>
      <c r="F20" s="606" t="s">
        <v>198</v>
      </c>
      <c r="G20" s="606" t="s">
        <v>149</v>
      </c>
      <c r="H20" s="606" t="s">
        <v>199</v>
      </c>
      <c r="I20" s="606" t="s">
        <v>152</v>
      </c>
      <c r="J20" s="606" t="s">
        <v>151</v>
      </c>
      <c r="K20" s="606" t="s">
        <v>157</v>
      </c>
      <c r="L20" s="606" t="s">
        <v>158</v>
      </c>
      <c r="M20" s="606" t="s">
        <v>200</v>
      </c>
      <c r="N20" s="606" t="s">
        <v>201</v>
      </c>
      <c r="O20" s="606" t="s">
        <v>202</v>
      </c>
      <c r="P20" s="606" t="s">
        <v>203</v>
      </c>
      <c r="Q20" s="606" t="s">
        <v>204</v>
      </c>
      <c r="R20" s="606" t="s">
        <v>205</v>
      </c>
      <c r="S20" s="607" t="s">
        <v>164</v>
      </c>
      <c r="Z20" s="605" t="s">
        <v>143</v>
      </c>
      <c r="AA20" s="606" t="s">
        <v>144</v>
      </c>
      <c r="AB20" s="606" t="s">
        <v>145</v>
      </c>
      <c r="AC20" s="606" t="s">
        <v>196</v>
      </c>
      <c r="AD20" s="606" t="s">
        <v>197</v>
      </c>
      <c r="AE20" s="606" t="s">
        <v>198</v>
      </c>
      <c r="AF20" s="606" t="s">
        <v>149</v>
      </c>
      <c r="AG20" s="606" t="s">
        <v>199</v>
      </c>
      <c r="AH20" s="606" t="s">
        <v>152</v>
      </c>
      <c r="AI20" s="606" t="s">
        <v>151</v>
      </c>
      <c r="AJ20" s="606" t="s">
        <v>157</v>
      </c>
      <c r="AK20" s="606" t="s">
        <v>158</v>
      </c>
      <c r="AL20" s="606" t="s">
        <v>200</v>
      </c>
      <c r="AM20" s="606" t="s">
        <v>201</v>
      </c>
      <c r="AN20" s="606" t="s">
        <v>202</v>
      </c>
      <c r="AO20" s="606" t="s">
        <v>203</v>
      </c>
      <c r="AP20" s="606" t="s">
        <v>204</v>
      </c>
      <c r="AQ20" s="606" t="s">
        <v>205</v>
      </c>
      <c r="AR20" s="607" t="s">
        <v>164</v>
      </c>
      <c r="AY20" s="605" t="s">
        <v>143</v>
      </c>
      <c r="AZ20" s="606" t="s">
        <v>144</v>
      </c>
      <c r="BA20" s="606" t="s">
        <v>145</v>
      </c>
      <c r="BB20" s="606" t="s">
        <v>196</v>
      </c>
      <c r="BC20" s="606" t="s">
        <v>197</v>
      </c>
      <c r="BD20" s="606" t="s">
        <v>198</v>
      </c>
      <c r="BE20" s="606" t="s">
        <v>149</v>
      </c>
      <c r="BF20" s="606" t="s">
        <v>199</v>
      </c>
      <c r="BG20" s="606" t="s">
        <v>152</v>
      </c>
      <c r="BH20" s="606" t="s">
        <v>151</v>
      </c>
      <c r="BI20" s="606" t="s">
        <v>157</v>
      </c>
      <c r="BJ20" s="606" t="s">
        <v>158</v>
      </c>
      <c r="BK20" s="606" t="s">
        <v>200</v>
      </c>
      <c r="BL20" s="606" t="s">
        <v>201</v>
      </c>
      <c r="BM20" s="606" t="s">
        <v>202</v>
      </c>
      <c r="BN20" s="606" t="s">
        <v>203</v>
      </c>
      <c r="BO20" s="606" t="s">
        <v>204</v>
      </c>
      <c r="BP20" s="606" t="s">
        <v>205</v>
      </c>
      <c r="BQ20" s="607" t="s">
        <v>164</v>
      </c>
    </row>
    <row r="21" spans="1:73">
      <c r="A21" s="650" t="s">
        <v>394</v>
      </c>
      <c r="B21" s="597" t="s">
        <v>206</v>
      </c>
      <c r="C21" s="604" t="s">
        <v>414</v>
      </c>
      <c r="D21" s="663">
        <f>IFERROR((CLE_P[[#This Row],[R]]*9)/CLE_P[[#This Row],[IP]],0)</f>
        <v>3.694931312174325</v>
      </c>
      <c r="E21" s="600">
        <v>5</v>
      </c>
      <c r="F21" s="604">
        <v>5</v>
      </c>
      <c r="G21" s="600">
        <v>10</v>
      </c>
      <c r="H21" s="630">
        <v>63.33</v>
      </c>
      <c r="I21" s="600">
        <v>62</v>
      </c>
      <c r="J21" s="600">
        <v>26</v>
      </c>
      <c r="K21" s="600">
        <v>18</v>
      </c>
      <c r="L21" s="600">
        <v>78</v>
      </c>
      <c r="M21" s="600">
        <v>0</v>
      </c>
      <c r="N21" s="631">
        <f>IFERROR((CLE_P[[#This Row],[BB]]+CLE_P[[#This Row],[H]])/CLE_P[[#This Row],[IP]],0)</f>
        <v>1.2632243802305385</v>
      </c>
      <c r="O21" s="600">
        <v>6</v>
      </c>
      <c r="P21" s="601">
        <v>5</v>
      </c>
      <c r="Q21" s="600">
        <v>0</v>
      </c>
      <c r="R21" s="604">
        <v>0</v>
      </c>
      <c r="S21" s="614">
        <v>1</v>
      </c>
      <c r="Z21" s="650" t="s">
        <v>394</v>
      </c>
      <c r="AA21" s="597" t="s">
        <v>206</v>
      </c>
      <c r="AB21" s="604" t="s">
        <v>414</v>
      </c>
      <c r="AC21" s="663">
        <f>IFERROR((CLE_P226[[#This Row],[R]]*9)/CLE_P226[[#This Row],[IP]],0)</f>
        <v>2.7758306462918827</v>
      </c>
      <c r="AD21" s="600">
        <v>2</v>
      </c>
      <c r="AE21" s="604">
        <v>2</v>
      </c>
      <c r="AF21" s="600">
        <v>10</v>
      </c>
      <c r="AG21" s="630">
        <v>71.33</v>
      </c>
      <c r="AH21" s="600">
        <v>64</v>
      </c>
      <c r="AI21" s="600">
        <v>22</v>
      </c>
      <c r="AJ21" s="600">
        <v>13</v>
      </c>
      <c r="AK21" s="600">
        <v>69</v>
      </c>
      <c r="AL21" s="600">
        <v>0</v>
      </c>
      <c r="AM21" s="631">
        <f>IFERROR((CLE_P226[[#This Row],[BB]]+CLE_P226[[#This Row],[H]])/CLE_P226[[#This Row],[IP]],0)</f>
        <v>1.0794896957801767</v>
      </c>
      <c r="AN21" s="600">
        <v>6</v>
      </c>
      <c r="AO21" s="601">
        <v>5</v>
      </c>
      <c r="AP21" s="600">
        <v>2</v>
      </c>
      <c r="AQ21" s="632">
        <v>2</v>
      </c>
      <c r="AR21" s="614">
        <v>1</v>
      </c>
      <c r="AY21" s="650" t="s">
        <v>394</v>
      </c>
      <c r="AZ21" s="597" t="s">
        <v>206</v>
      </c>
      <c r="BA21" s="604" t="s">
        <v>415</v>
      </c>
      <c r="BB21" s="663">
        <f>IFERROR((CLE_P200[[#This Row],[R]]*9)/CLE_P200[[#This Row],[IP]],0)</f>
        <v>2.9432674534338119</v>
      </c>
      <c r="BC21" s="600">
        <v>4</v>
      </c>
      <c r="BD21" s="604">
        <v>4</v>
      </c>
      <c r="BE21" s="600">
        <v>10</v>
      </c>
      <c r="BF21" s="630">
        <v>70.33</v>
      </c>
      <c r="BG21" s="600">
        <v>48</v>
      </c>
      <c r="BH21" s="600">
        <v>23</v>
      </c>
      <c r="BI21" s="600">
        <v>29</v>
      </c>
      <c r="BJ21" s="600">
        <v>78</v>
      </c>
      <c r="BK21" s="600">
        <v>0</v>
      </c>
      <c r="BL21" s="631">
        <f>IFERROR((CLE_P200[[#This Row],[BB]]+CLE_P200[[#This Row],[H]])/CLE_P200[[#This Row],[IP]],0)</f>
        <v>1.0948386179439784</v>
      </c>
      <c r="BM21" s="600">
        <v>8</v>
      </c>
      <c r="BN21" s="601">
        <v>6</v>
      </c>
      <c r="BO21" s="600">
        <v>0</v>
      </c>
      <c r="BP21" s="604">
        <v>0</v>
      </c>
      <c r="BQ21" s="614">
        <v>1</v>
      </c>
    </row>
    <row r="22" spans="1:73">
      <c r="A22" s="651" t="s">
        <v>394</v>
      </c>
      <c r="B22" s="71" t="s">
        <v>206</v>
      </c>
      <c r="C22" s="74" t="s">
        <v>415</v>
      </c>
      <c r="D22" s="88">
        <f>IFERROR((CLE_P[[#This Row],[R]]*9)/CLE_P[[#This Row],[IP]],0)</f>
        <v>2.8559065339679792</v>
      </c>
      <c r="E22" s="28">
        <v>5</v>
      </c>
      <c r="F22" s="74">
        <v>3</v>
      </c>
      <c r="G22" s="28">
        <v>10</v>
      </c>
      <c r="H22" s="584">
        <v>69.33</v>
      </c>
      <c r="I22" s="28">
        <v>62</v>
      </c>
      <c r="J22" s="28">
        <v>22</v>
      </c>
      <c r="K22" s="28">
        <v>19</v>
      </c>
      <c r="L22" s="28">
        <v>82</v>
      </c>
      <c r="M22" s="28">
        <v>0</v>
      </c>
      <c r="N22" s="89">
        <f>IFERROR((CLE_P[[#This Row],[BB]]+CLE_P[[#This Row],[H]])/CLE_P[[#This Row],[IP]],0)</f>
        <v>1.1683254002596279</v>
      </c>
      <c r="O22" s="28">
        <v>8</v>
      </c>
      <c r="P22" s="90">
        <v>6</v>
      </c>
      <c r="Q22" s="28">
        <v>0</v>
      </c>
      <c r="R22" s="74">
        <v>0</v>
      </c>
      <c r="S22" s="615">
        <v>2</v>
      </c>
      <c r="Z22" s="651" t="s">
        <v>394</v>
      </c>
      <c r="AA22" s="71" t="s">
        <v>206</v>
      </c>
      <c r="AB22" s="74" t="s">
        <v>415</v>
      </c>
      <c r="AC22" s="88">
        <f>IFERROR((CLE_P226[[#This Row],[R]]*9)/CLE_P226[[#This Row],[IP]],0)</f>
        <v>2.9571428571428573</v>
      </c>
      <c r="AD22" s="586">
        <v>8</v>
      </c>
      <c r="AE22" s="74">
        <v>2</v>
      </c>
      <c r="AF22" s="28">
        <v>10</v>
      </c>
      <c r="AG22" s="584">
        <v>70</v>
      </c>
      <c r="AH22" s="28">
        <v>51</v>
      </c>
      <c r="AI22" s="28">
        <v>23</v>
      </c>
      <c r="AJ22" s="28">
        <v>21</v>
      </c>
      <c r="AK22" s="28">
        <v>91</v>
      </c>
      <c r="AL22" s="28">
        <v>0</v>
      </c>
      <c r="AM22" s="89">
        <f>IFERROR((CLE_P226[[#This Row],[BB]]+CLE_P226[[#This Row],[H]])/CLE_P226[[#This Row],[IP]],0)</f>
        <v>1.0285714285714285</v>
      </c>
      <c r="AN22" s="28">
        <v>7</v>
      </c>
      <c r="AO22" s="90">
        <v>7</v>
      </c>
      <c r="AP22" s="28">
        <v>1</v>
      </c>
      <c r="AQ22" s="74">
        <v>1</v>
      </c>
      <c r="AR22" s="615">
        <v>2</v>
      </c>
      <c r="AY22" s="651" t="s">
        <v>394</v>
      </c>
      <c r="AZ22" s="71" t="s">
        <v>206</v>
      </c>
      <c r="BA22" s="74" t="s">
        <v>414</v>
      </c>
      <c r="BB22" s="88">
        <f>IFERROR((CLE_P200[[#This Row],[R]]*9)/CLE_P200[[#This Row],[IP]],0)</f>
        <v>4.8966267682263327</v>
      </c>
      <c r="BC22" s="28">
        <v>4</v>
      </c>
      <c r="BD22" s="74">
        <v>1</v>
      </c>
      <c r="BE22" s="28">
        <v>10</v>
      </c>
      <c r="BF22" s="584">
        <v>64.33</v>
      </c>
      <c r="BG22" s="28">
        <v>66</v>
      </c>
      <c r="BH22" s="28">
        <v>35</v>
      </c>
      <c r="BI22" s="28">
        <v>18</v>
      </c>
      <c r="BJ22" s="28">
        <v>89</v>
      </c>
      <c r="BK22" s="28">
        <v>0</v>
      </c>
      <c r="BL22" s="89">
        <f>IFERROR((CLE_P200[[#This Row],[BB]]+CLE_P200[[#This Row],[H]])/CLE_P200[[#This Row],[IP]],0)</f>
        <v>1.3057671381936888</v>
      </c>
      <c r="BM22" s="28">
        <v>6</v>
      </c>
      <c r="BN22" s="90">
        <v>2</v>
      </c>
      <c r="BO22" s="28">
        <v>1</v>
      </c>
      <c r="BP22" s="74">
        <v>1</v>
      </c>
      <c r="BQ22" s="615">
        <v>2</v>
      </c>
    </row>
    <row r="23" spans="1:73">
      <c r="A23" s="651" t="s">
        <v>394</v>
      </c>
      <c r="B23" s="71" t="s">
        <v>206</v>
      </c>
      <c r="C23" s="87" t="s">
        <v>416</v>
      </c>
      <c r="D23" s="88">
        <f>IFERROR((CLE_P[[#This Row],[R]]*9)/CLE_P[[#This Row],[IP]],0)</f>
        <v>5.9464285714285712</v>
      </c>
      <c r="E23" s="28">
        <v>3</v>
      </c>
      <c r="F23" s="74">
        <v>2</v>
      </c>
      <c r="G23" s="28">
        <v>10</v>
      </c>
      <c r="H23" s="584">
        <v>56</v>
      </c>
      <c r="I23" s="28">
        <v>54</v>
      </c>
      <c r="J23" s="28">
        <v>37</v>
      </c>
      <c r="K23" s="28">
        <v>26</v>
      </c>
      <c r="L23" s="28">
        <v>60</v>
      </c>
      <c r="M23" s="28">
        <v>0</v>
      </c>
      <c r="N23" s="89">
        <f>IFERROR((CLE_P[[#This Row],[BB]]+CLE_P[[#This Row],[H]])/CLE_P[[#This Row],[IP]],0)</f>
        <v>1.4285714285714286</v>
      </c>
      <c r="O23" s="28">
        <v>3</v>
      </c>
      <c r="P23" s="90">
        <v>1</v>
      </c>
      <c r="Q23" s="28">
        <v>0</v>
      </c>
      <c r="R23" s="74">
        <v>0</v>
      </c>
      <c r="S23" s="615">
        <v>3</v>
      </c>
      <c r="Z23" s="651" t="s">
        <v>394</v>
      </c>
      <c r="AA23" s="71" t="s">
        <v>206</v>
      </c>
      <c r="AB23" s="87" t="s">
        <v>416</v>
      </c>
      <c r="AC23" s="88">
        <f>IFERROR((CLE_P226[[#This Row],[R]]*9)/CLE_P226[[#This Row],[IP]],0)</f>
        <v>6.6641351813176382</v>
      </c>
      <c r="AD23" s="28">
        <v>3</v>
      </c>
      <c r="AE23" s="74">
        <v>5</v>
      </c>
      <c r="AF23" s="28">
        <v>10</v>
      </c>
      <c r="AG23" s="584">
        <v>52.67</v>
      </c>
      <c r="AH23" s="28">
        <v>54</v>
      </c>
      <c r="AI23" s="28">
        <v>39</v>
      </c>
      <c r="AJ23" s="28">
        <v>27</v>
      </c>
      <c r="AK23" s="28">
        <v>47</v>
      </c>
      <c r="AL23" s="28">
        <v>0</v>
      </c>
      <c r="AM23" s="89">
        <f>IFERROR((CLE_P226[[#This Row],[BB]]+CLE_P226[[#This Row],[H]])/CLE_P226[[#This Row],[IP]],0)</f>
        <v>1.5378773495348395</v>
      </c>
      <c r="AN23" s="28">
        <v>5</v>
      </c>
      <c r="AO23" s="90">
        <v>0</v>
      </c>
      <c r="AP23" s="28">
        <v>0</v>
      </c>
      <c r="AQ23" s="74">
        <v>0</v>
      </c>
      <c r="AR23" s="615">
        <v>3</v>
      </c>
      <c r="AY23" s="651" t="s">
        <v>394</v>
      </c>
      <c r="AZ23" s="71" t="s">
        <v>206</v>
      </c>
      <c r="BA23" s="74" t="s">
        <v>417</v>
      </c>
      <c r="BB23" s="88">
        <f>IFERROR((CLE_P200[[#This Row],[R]]*9)/CLE_P200[[#This Row],[IP]],0)</f>
        <v>4.9773755656108598</v>
      </c>
      <c r="BC23" s="28">
        <v>1</v>
      </c>
      <c r="BD23" s="74">
        <v>5</v>
      </c>
      <c r="BE23" s="28">
        <v>10</v>
      </c>
      <c r="BF23" s="584">
        <v>59.67</v>
      </c>
      <c r="BG23" s="28">
        <v>76</v>
      </c>
      <c r="BH23" s="28">
        <v>33</v>
      </c>
      <c r="BI23" s="28">
        <v>12</v>
      </c>
      <c r="BJ23" s="28">
        <v>67</v>
      </c>
      <c r="BK23" s="28">
        <v>0</v>
      </c>
      <c r="BL23" s="89">
        <f>IFERROR((CLE_P200[[#This Row],[BB]]+CLE_P200[[#This Row],[H]])/CLE_P200[[#This Row],[IP]],0)</f>
        <v>1.4747779453661807</v>
      </c>
      <c r="BM23" s="28">
        <v>5</v>
      </c>
      <c r="BN23" s="90">
        <v>1</v>
      </c>
      <c r="BO23" s="28">
        <v>0</v>
      </c>
      <c r="BP23" s="74">
        <v>0</v>
      </c>
      <c r="BQ23" s="615">
        <v>3</v>
      </c>
    </row>
    <row r="24" spans="1:73">
      <c r="A24" s="651" t="s">
        <v>394</v>
      </c>
      <c r="B24" s="71" t="s">
        <v>206</v>
      </c>
      <c r="C24" s="87" t="s">
        <v>417</v>
      </c>
      <c r="D24" s="88">
        <f>IFERROR((CLE_P[[#This Row],[R]]*9)/CLE_P[[#This Row],[IP]],0)</f>
        <v>3.856930937860557</v>
      </c>
      <c r="E24" s="28">
        <v>6</v>
      </c>
      <c r="F24" s="74">
        <v>0</v>
      </c>
      <c r="G24" s="28">
        <v>10</v>
      </c>
      <c r="H24" s="584">
        <v>60.67</v>
      </c>
      <c r="I24" s="28">
        <v>60</v>
      </c>
      <c r="J24" s="28">
        <v>26</v>
      </c>
      <c r="K24" s="28">
        <v>13</v>
      </c>
      <c r="L24" s="28">
        <v>62</v>
      </c>
      <c r="M24" s="28">
        <v>0</v>
      </c>
      <c r="N24" s="89">
        <f>IFERROR((CLE_P[[#This Row],[BB]]+CLE_P[[#This Row],[H]])/CLE_P[[#This Row],[IP]],0)</f>
        <v>1.2032305917257293</v>
      </c>
      <c r="O24" s="28">
        <v>7</v>
      </c>
      <c r="P24" s="90">
        <v>3</v>
      </c>
      <c r="Q24" s="28">
        <v>0</v>
      </c>
      <c r="R24" s="74">
        <v>0</v>
      </c>
      <c r="S24" s="615">
        <v>4</v>
      </c>
      <c r="Z24" s="651" t="s">
        <v>394</v>
      </c>
      <c r="AA24" s="71" t="s">
        <v>206</v>
      </c>
      <c r="AB24" s="87" t="s">
        <v>417</v>
      </c>
      <c r="AC24" s="88">
        <f>IFERROR((CLE_P226[[#This Row],[R]]*9)/CLE_P226[[#This Row],[IP]],0)</f>
        <v>3.4975905487330952</v>
      </c>
      <c r="AD24" s="28">
        <v>3</v>
      </c>
      <c r="AE24" s="74">
        <v>2</v>
      </c>
      <c r="AF24" s="28">
        <v>10</v>
      </c>
      <c r="AG24" s="584">
        <v>64.33</v>
      </c>
      <c r="AH24" s="28">
        <v>67</v>
      </c>
      <c r="AI24" s="28">
        <v>25</v>
      </c>
      <c r="AJ24" s="28">
        <v>13</v>
      </c>
      <c r="AK24" s="28">
        <v>69</v>
      </c>
      <c r="AL24" s="28">
        <v>0</v>
      </c>
      <c r="AM24" s="89">
        <f>IFERROR((CLE_P226[[#This Row],[BB]]+CLE_P226[[#This Row],[H]])/CLE_P226[[#This Row],[IP]],0)</f>
        <v>1.2435877506606561</v>
      </c>
      <c r="AN24" s="28">
        <v>5</v>
      </c>
      <c r="AO24" s="90">
        <v>3</v>
      </c>
      <c r="AP24" s="28">
        <v>1</v>
      </c>
      <c r="AQ24" s="74">
        <v>1</v>
      </c>
      <c r="AR24" s="615">
        <v>4</v>
      </c>
      <c r="AY24" s="651" t="s">
        <v>394</v>
      </c>
      <c r="AZ24" s="71" t="s">
        <v>206</v>
      </c>
      <c r="BA24" s="74" t="s">
        <v>418</v>
      </c>
      <c r="BB24" s="88">
        <f>IFERROR((CLE_P200[[#This Row],[R]]*9)/CLE_P200[[#This Row],[IP]],0)</f>
        <v>7.3636363636363633</v>
      </c>
      <c r="BC24" s="28">
        <v>4</v>
      </c>
      <c r="BD24" s="74">
        <v>1</v>
      </c>
      <c r="BE24" s="28">
        <v>10</v>
      </c>
      <c r="BF24" s="584">
        <v>55</v>
      </c>
      <c r="BG24" s="28">
        <v>63</v>
      </c>
      <c r="BH24" s="28">
        <v>45</v>
      </c>
      <c r="BI24" s="28">
        <v>22</v>
      </c>
      <c r="BJ24" s="28">
        <v>39</v>
      </c>
      <c r="BK24" s="28">
        <v>0</v>
      </c>
      <c r="BL24" s="89">
        <f>IFERROR((CLE_P200[[#This Row],[BB]]+CLE_P200[[#This Row],[H]])/CLE_P200[[#This Row],[IP]],0)</f>
        <v>1.5454545454545454</v>
      </c>
      <c r="BM24" s="28">
        <v>1</v>
      </c>
      <c r="BN24" s="90">
        <v>0</v>
      </c>
      <c r="BO24" s="28">
        <v>0</v>
      </c>
      <c r="BP24" s="74">
        <v>0</v>
      </c>
      <c r="BQ24" s="615">
        <v>4</v>
      </c>
    </row>
    <row r="25" spans="1:73">
      <c r="A25" s="651" t="s">
        <v>394</v>
      </c>
      <c r="B25" s="71" t="s">
        <v>215</v>
      </c>
      <c r="C25" s="87" t="s">
        <v>419</v>
      </c>
      <c r="D25" s="88">
        <f>IFERROR((CLE_P[[#This Row],[R]]*9)/CLE_P[[#This Row],[IP]],0)</f>
        <v>5.85</v>
      </c>
      <c r="E25" s="28">
        <v>0</v>
      </c>
      <c r="F25" s="74">
        <v>1</v>
      </c>
      <c r="G25" s="28">
        <v>8</v>
      </c>
      <c r="H25" s="584">
        <v>20</v>
      </c>
      <c r="I25" s="28">
        <v>19</v>
      </c>
      <c r="J25" s="28">
        <v>13</v>
      </c>
      <c r="K25" s="28">
        <v>11</v>
      </c>
      <c r="L25" s="28">
        <v>22</v>
      </c>
      <c r="M25" s="28">
        <v>0</v>
      </c>
      <c r="N25" s="89">
        <f>IFERROR((CLE_P[[#This Row],[BB]]+CLE_P[[#This Row],[H]])/CLE_P[[#This Row],[IP]],0)</f>
        <v>1.5</v>
      </c>
      <c r="O25" s="28">
        <v>0</v>
      </c>
      <c r="P25" s="90">
        <v>0</v>
      </c>
      <c r="Q25" s="28">
        <v>0</v>
      </c>
      <c r="R25" s="74">
        <v>0</v>
      </c>
      <c r="S25" s="615">
        <v>5</v>
      </c>
      <c r="Z25" s="651" t="s">
        <v>394</v>
      </c>
      <c r="AA25" s="71" t="s">
        <v>212</v>
      </c>
      <c r="AB25" s="87" t="s">
        <v>420</v>
      </c>
      <c r="AC25" s="88">
        <f>IFERROR((CLE_P226[[#This Row],[R]]*9)/CLE_P226[[#This Row],[IP]],0)</f>
        <v>2.5714285714285716</v>
      </c>
      <c r="AD25" s="28">
        <v>2</v>
      </c>
      <c r="AE25" s="74">
        <v>2</v>
      </c>
      <c r="AF25" s="28">
        <v>15</v>
      </c>
      <c r="AG25" s="584">
        <v>35</v>
      </c>
      <c r="AH25" s="28">
        <v>30</v>
      </c>
      <c r="AI25" s="28">
        <v>10</v>
      </c>
      <c r="AJ25" s="28">
        <v>6</v>
      </c>
      <c r="AK25" s="28">
        <v>19</v>
      </c>
      <c r="AL25" s="28">
        <v>0</v>
      </c>
      <c r="AM25" s="89">
        <f>IFERROR((CLE_P226[[#This Row],[BB]]+CLE_P226[[#This Row],[H]])/CLE_P226[[#This Row],[IP]],0)</f>
        <v>1.0285714285714285</v>
      </c>
      <c r="AN25" s="28">
        <v>0</v>
      </c>
      <c r="AO25" s="90">
        <v>0</v>
      </c>
      <c r="AP25" s="28">
        <v>0</v>
      </c>
      <c r="AQ25" s="74">
        <v>0</v>
      </c>
      <c r="AR25" s="615">
        <v>5</v>
      </c>
      <c r="AY25" s="651" t="s">
        <v>394</v>
      </c>
      <c r="AZ25" s="71" t="s">
        <v>212</v>
      </c>
      <c r="BA25" s="74" t="s">
        <v>416</v>
      </c>
      <c r="BB25" s="88">
        <f>IFERROR((CLE_P200[[#This Row],[R]]*9)/CLE_P200[[#This Row],[IP]],0)</f>
        <v>7.855973813420623</v>
      </c>
      <c r="BC25" s="28">
        <v>1</v>
      </c>
      <c r="BD25" s="74">
        <v>2</v>
      </c>
      <c r="BE25" s="28">
        <v>16</v>
      </c>
      <c r="BF25" s="584">
        <v>18.329999999999998</v>
      </c>
      <c r="BG25" s="28">
        <v>21</v>
      </c>
      <c r="BH25" s="28">
        <v>16</v>
      </c>
      <c r="BI25" s="28">
        <v>15</v>
      </c>
      <c r="BJ25" s="28">
        <v>27</v>
      </c>
      <c r="BK25" s="28">
        <v>0</v>
      </c>
      <c r="BL25" s="89">
        <f>IFERROR((CLE_P200[[#This Row],[BB]]+CLE_P200[[#This Row],[H]])/CLE_P200[[#This Row],[IP]],0)</f>
        <v>1.9639934533551557</v>
      </c>
      <c r="BM25" s="28">
        <v>0</v>
      </c>
      <c r="BN25" s="90">
        <v>0</v>
      </c>
      <c r="BO25" s="28">
        <v>0</v>
      </c>
      <c r="BP25" s="74">
        <v>0</v>
      </c>
      <c r="BQ25" s="615">
        <v>5</v>
      </c>
    </row>
    <row r="26" spans="1:73">
      <c r="A26" s="651" t="s">
        <v>394</v>
      </c>
      <c r="B26" s="71" t="s">
        <v>215</v>
      </c>
      <c r="C26" s="87" t="s">
        <v>421</v>
      </c>
      <c r="D26" s="88">
        <f>IFERROR((CLE_P[[#This Row],[R]]*9)/CLE_P[[#This Row],[IP]],0)</f>
        <v>1.741654571843251</v>
      </c>
      <c r="E26" s="28">
        <v>1</v>
      </c>
      <c r="F26" s="74">
        <v>1</v>
      </c>
      <c r="G26" s="28">
        <v>10</v>
      </c>
      <c r="H26" s="584">
        <v>20.67</v>
      </c>
      <c r="I26" s="28">
        <v>13</v>
      </c>
      <c r="J26" s="28">
        <v>4</v>
      </c>
      <c r="K26" s="28">
        <v>7</v>
      </c>
      <c r="L26" s="28">
        <v>27</v>
      </c>
      <c r="M26" s="28">
        <v>0</v>
      </c>
      <c r="N26" s="89">
        <f>IFERROR((CLE_P[[#This Row],[BB]]+CLE_P[[#This Row],[H]])/CLE_P[[#This Row],[IP]],0)</f>
        <v>0.96758587324625056</v>
      </c>
      <c r="O26" s="28">
        <v>0</v>
      </c>
      <c r="P26" s="90">
        <v>0</v>
      </c>
      <c r="Q26" s="28">
        <v>0</v>
      </c>
      <c r="R26" s="74">
        <v>0</v>
      </c>
      <c r="S26" s="615">
        <v>6</v>
      </c>
      <c r="Z26" s="651" t="s">
        <v>394</v>
      </c>
      <c r="AA26" s="71" t="s">
        <v>212</v>
      </c>
      <c r="AB26" s="87" t="s">
        <v>422</v>
      </c>
      <c r="AC26" s="88">
        <f>IFERROR((CLE_P226[[#This Row],[R]]*9)/CLE_P226[[#This Row],[IP]],0)</f>
        <v>7.2</v>
      </c>
      <c r="AD26" s="28">
        <v>0</v>
      </c>
      <c r="AE26" s="74">
        <v>1</v>
      </c>
      <c r="AF26" s="28">
        <v>9</v>
      </c>
      <c r="AG26" s="584">
        <v>15</v>
      </c>
      <c r="AH26" s="28">
        <v>16</v>
      </c>
      <c r="AI26" s="28">
        <v>12</v>
      </c>
      <c r="AJ26" s="28">
        <v>4</v>
      </c>
      <c r="AK26" s="28">
        <v>10</v>
      </c>
      <c r="AL26" s="28">
        <v>0</v>
      </c>
      <c r="AM26" s="89">
        <f>IFERROR((CLE_P226[[#This Row],[BB]]+CLE_P226[[#This Row],[H]])/CLE_P226[[#This Row],[IP]],0)</f>
        <v>1.3333333333333333</v>
      </c>
      <c r="AN26" s="28">
        <v>0</v>
      </c>
      <c r="AO26" s="90">
        <v>0</v>
      </c>
      <c r="AP26" s="28">
        <v>0</v>
      </c>
      <c r="AQ26" s="74">
        <v>0</v>
      </c>
      <c r="AR26" s="615">
        <v>6</v>
      </c>
      <c r="AY26" s="651" t="s">
        <v>394</v>
      </c>
      <c r="AZ26" s="71" t="s">
        <v>212</v>
      </c>
      <c r="BA26" s="74" t="s">
        <v>422</v>
      </c>
      <c r="BB26" s="88">
        <f>IFERROR((CLE_P200[[#This Row],[R]]*9)/CLE_P200[[#This Row],[IP]],0)</f>
        <v>1.6869728209934396</v>
      </c>
      <c r="BC26" s="28">
        <v>1</v>
      </c>
      <c r="BD26" s="74">
        <v>0</v>
      </c>
      <c r="BE26" s="28">
        <v>8</v>
      </c>
      <c r="BF26" s="584">
        <v>10.67</v>
      </c>
      <c r="BG26" s="28">
        <v>6</v>
      </c>
      <c r="BH26" s="28">
        <v>2</v>
      </c>
      <c r="BI26" s="28">
        <v>2</v>
      </c>
      <c r="BJ26" s="28">
        <v>9</v>
      </c>
      <c r="BK26" s="28">
        <v>0</v>
      </c>
      <c r="BL26" s="89">
        <f>IFERROR((CLE_P200[[#This Row],[BB]]+CLE_P200[[#This Row],[H]])/CLE_P200[[#This Row],[IP]],0)</f>
        <v>0.7497656982193065</v>
      </c>
      <c r="BM26" s="28">
        <v>0</v>
      </c>
      <c r="BN26" s="90">
        <v>0</v>
      </c>
      <c r="BO26" s="28">
        <v>0</v>
      </c>
      <c r="BP26" s="74">
        <v>0</v>
      </c>
      <c r="BQ26" s="615">
        <v>6</v>
      </c>
    </row>
    <row r="27" spans="1:73">
      <c r="A27" s="651" t="s">
        <v>394</v>
      </c>
      <c r="B27" s="71" t="s">
        <v>212</v>
      </c>
      <c r="C27" s="87" t="s">
        <v>418</v>
      </c>
      <c r="D27" s="88">
        <f>IFERROR((CLE_P[[#This Row],[R]]*9)/CLE_P[[#This Row],[IP]],0)</f>
        <v>3.6</v>
      </c>
      <c r="E27" s="28">
        <v>0</v>
      </c>
      <c r="F27" s="74">
        <v>1</v>
      </c>
      <c r="G27" s="28">
        <v>6</v>
      </c>
      <c r="H27" s="584">
        <v>10</v>
      </c>
      <c r="I27" s="28">
        <v>9</v>
      </c>
      <c r="J27" s="28">
        <v>4</v>
      </c>
      <c r="K27" s="28">
        <v>3</v>
      </c>
      <c r="L27" s="28">
        <v>9</v>
      </c>
      <c r="M27" s="28">
        <v>1</v>
      </c>
      <c r="N27" s="89">
        <f>IFERROR((CLE_P[[#This Row],[BB]]+CLE_P[[#This Row],[H]])/CLE_P[[#This Row],[IP]],0)</f>
        <v>1.2</v>
      </c>
      <c r="O27" s="28">
        <v>0</v>
      </c>
      <c r="P27" s="90">
        <v>0</v>
      </c>
      <c r="Q27" s="28">
        <v>0</v>
      </c>
      <c r="R27" s="74">
        <v>0</v>
      </c>
      <c r="S27" s="615">
        <v>7</v>
      </c>
      <c r="Z27" s="651" t="s">
        <v>394</v>
      </c>
      <c r="AA27" s="71" t="s">
        <v>212</v>
      </c>
      <c r="AB27" s="87" t="s">
        <v>418</v>
      </c>
      <c r="AC27" s="88">
        <f>IFERROR((CLE_P226[[#This Row],[R]]*9)/CLE_P226[[#This Row],[IP]],0)</f>
        <v>3.8571428571428572</v>
      </c>
      <c r="AD27" s="28">
        <v>0</v>
      </c>
      <c r="AE27" s="74">
        <v>0</v>
      </c>
      <c r="AF27" s="28">
        <v>3</v>
      </c>
      <c r="AG27" s="584">
        <v>7</v>
      </c>
      <c r="AH27" s="28">
        <v>3</v>
      </c>
      <c r="AI27" s="28">
        <v>3</v>
      </c>
      <c r="AJ27" s="28">
        <v>2</v>
      </c>
      <c r="AK27" s="28">
        <v>3</v>
      </c>
      <c r="AL27" s="28">
        <v>0</v>
      </c>
      <c r="AM27" s="89">
        <f>IFERROR((CLE_P226[[#This Row],[BB]]+CLE_P226[[#This Row],[H]])/CLE_P226[[#This Row],[IP]],0)</f>
        <v>0.7142857142857143</v>
      </c>
      <c r="AN27" s="28">
        <v>0</v>
      </c>
      <c r="AO27" s="90">
        <v>0</v>
      </c>
      <c r="AP27" s="28">
        <v>0</v>
      </c>
      <c r="AQ27" s="74">
        <v>0</v>
      </c>
      <c r="AR27" s="615">
        <v>7</v>
      </c>
      <c r="AY27" s="651" t="s">
        <v>394</v>
      </c>
      <c r="AZ27" s="71" t="s">
        <v>212</v>
      </c>
      <c r="BA27" s="74" t="s">
        <v>420</v>
      </c>
      <c r="BB27" s="88">
        <f>IFERROR((CLE_P200[[#This Row],[R]]*9)/CLE_P200[[#This Row],[IP]],0)</f>
        <v>5.7434588385449903</v>
      </c>
      <c r="BC27" s="28">
        <v>0</v>
      </c>
      <c r="BD27" s="74">
        <v>0</v>
      </c>
      <c r="BE27" s="28">
        <v>11</v>
      </c>
      <c r="BF27" s="584">
        <v>15.67</v>
      </c>
      <c r="BG27" s="28">
        <v>20</v>
      </c>
      <c r="BH27" s="28">
        <v>10</v>
      </c>
      <c r="BI27" s="28">
        <v>5</v>
      </c>
      <c r="BJ27" s="28">
        <v>11</v>
      </c>
      <c r="BK27" s="28">
        <v>0</v>
      </c>
      <c r="BL27" s="89">
        <f>IFERROR((CLE_P200[[#This Row],[BB]]+CLE_P200[[#This Row],[H]])/CLE_P200[[#This Row],[IP]],0)</f>
        <v>1.5954052329291639</v>
      </c>
      <c r="BM27" s="28">
        <v>0</v>
      </c>
      <c r="BN27" s="90">
        <v>0</v>
      </c>
      <c r="BO27" s="28">
        <v>0</v>
      </c>
      <c r="BP27" s="74">
        <v>0</v>
      </c>
      <c r="BQ27" s="615">
        <v>7</v>
      </c>
    </row>
    <row r="28" spans="1:73">
      <c r="A28" s="651" t="s">
        <v>394</v>
      </c>
      <c r="B28" s="71" t="s">
        <v>212</v>
      </c>
      <c r="C28" s="87" t="s">
        <v>423</v>
      </c>
      <c r="D28" s="88">
        <f>IFERROR((CLE_P[[#This Row],[R]]*9)/CLE_P[[#This Row],[IP]],0)</f>
        <v>8</v>
      </c>
      <c r="E28" s="28">
        <v>0</v>
      </c>
      <c r="F28" s="74">
        <v>2</v>
      </c>
      <c r="G28" s="28">
        <v>8</v>
      </c>
      <c r="H28" s="584">
        <v>9</v>
      </c>
      <c r="I28" s="28">
        <v>13</v>
      </c>
      <c r="J28" s="28">
        <v>8</v>
      </c>
      <c r="K28" s="28">
        <v>5</v>
      </c>
      <c r="L28" s="28">
        <v>11</v>
      </c>
      <c r="M28" s="28">
        <v>0</v>
      </c>
      <c r="N28" s="89">
        <f>IFERROR((CLE_P[[#This Row],[BB]]+CLE_P[[#This Row],[H]])/CLE_P[[#This Row],[IP]],0)</f>
        <v>2</v>
      </c>
      <c r="O28" s="28">
        <v>0</v>
      </c>
      <c r="P28" s="90">
        <v>0</v>
      </c>
      <c r="Q28" s="28">
        <v>0</v>
      </c>
      <c r="R28" s="74">
        <v>0</v>
      </c>
      <c r="S28" s="615">
        <v>8</v>
      </c>
      <c r="Z28" s="651" t="s">
        <v>394</v>
      </c>
      <c r="AA28" s="71" t="s">
        <v>212</v>
      </c>
      <c r="AB28" s="87" t="s">
        <v>423</v>
      </c>
      <c r="AC28" s="88">
        <f>IFERROR((CLE_P226[[#This Row],[R]]*9)/CLE_P226[[#This Row],[IP]],0)</f>
        <v>3.8543897216274092</v>
      </c>
      <c r="AD28" s="28">
        <v>0</v>
      </c>
      <c r="AE28" s="74">
        <v>1</v>
      </c>
      <c r="AF28" s="28">
        <v>7</v>
      </c>
      <c r="AG28" s="584">
        <v>4.67</v>
      </c>
      <c r="AH28" s="28">
        <v>2</v>
      </c>
      <c r="AI28" s="28">
        <v>2</v>
      </c>
      <c r="AJ28" s="28">
        <v>3</v>
      </c>
      <c r="AK28" s="28">
        <v>5</v>
      </c>
      <c r="AL28" s="28">
        <v>0</v>
      </c>
      <c r="AM28" s="89">
        <f>IFERROR((CLE_P226[[#This Row],[BB]]+CLE_P226[[#This Row],[H]])/CLE_P226[[#This Row],[IP]],0)</f>
        <v>1.0706638115631693</v>
      </c>
      <c r="AN28" s="28">
        <v>0</v>
      </c>
      <c r="AO28" s="90">
        <v>0</v>
      </c>
      <c r="AP28" s="28">
        <v>0</v>
      </c>
      <c r="AQ28" s="74">
        <v>0</v>
      </c>
      <c r="AR28" s="615">
        <v>8</v>
      </c>
      <c r="AY28" s="651" t="s">
        <v>394</v>
      </c>
      <c r="AZ28" s="71" t="s">
        <v>215</v>
      </c>
      <c r="BA28" s="87" t="s">
        <v>423</v>
      </c>
      <c r="BB28" s="88">
        <f>IFERROR((CLE_P200[[#This Row],[R]]*9)/CLE_P200[[#This Row],[IP]],0)</f>
        <v>3.3739456419868792</v>
      </c>
      <c r="BC28" s="28">
        <v>1</v>
      </c>
      <c r="BD28" s="74">
        <v>1</v>
      </c>
      <c r="BE28" s="28">
        <v>12</v>
      </c>
      <c r="BF28" s="584">
        <v>10.67</v>
      </c>
      <c r="BG28" s="28">
        <v>12</v>
      </c>
      <c r="BH28" s="28">
        <v>4</v>
      </c>
      <c r="BI28" s="28">
        <v>6</v>
      </c>
      <c r="BJ28" s="28">
        <v>11</v>
      </c>
      <c r="BK28" s="28">
        <v>0</v>
      </c>
      <c r="BL28" s="89">
        <f>IFERROR((CLE_P200[[#This Row],[BB]]+CLE_P200[[#This Row],[H]])/CLE_P200[[#This Row],[IP]],0)</f>
        <v>1.6869728209934396</v>
      </c>
      <c r="BM28" s="28">
        <v>0</v>
      </c>
      <c r="BN28" s="90">
        <v>0</v>
      </c>
      <c r="BO28" s="28">
        <v>0</v>
      </c>
      <c r="BP28" s="74">
        <v>0</v>
      </c>
      <c r="BQ28" s="615">
        <v>8</v>
      </c>
    </row>
    <row r="29" spans="1:73">
      <c r="A29" s="651" t="s">
        <v>394</v>
      </c>
      <c r="B29" s="71" t="s">
        <v>212</v>
      </c>
      <c r="C29" s="74" t="s">
        <v>424</v>
      </c>
      <c r="D29" s="88">
        <f>IFERROR((CLE_P[[#This Row],[R]]*9)/CLE_P[[#This Row],[IP]],0)</f>
        <v>1.741654571843251</v>
      </c>
      <c r="E29" s="28">
        <v>1</v>
      </c>
      <c r="F29" s="74">
        <v>1</v>
      </c>
      <c r="G29" s="28">
        <v>20</v>
      </c>
      <c r="H29" s="584">
        <v>20.67</v>
      </c>
      <c r="I29" s="28">
        <v>11</v>
      </c>
      <c r="J29" s="28">
        <v>4</v>
      </c>
      <c r="K29" s="28">
        <v>11</v>
      </c>
      <c r="L29" s="28">
        <v>30</v>
      </c>
      <c r="M29" s="28">
        <v>1</v>
      </c>
      <c r="N29" s="89">
        <f>IFERROR((CLE_P[[#This Row],[BB]]+CLE_P[[#This Row],[H]])/CLE_P[[#This Row],[IP]],0)</f>
        <v>1.0643444605708756</v>
      </c>
      <c r="O29" s="28">
        <v>0</v>
      </c>
      <c r="P29" s="90">
        <v>0</v>
      </c>
      <c r="Q29" s="28">
        <v>0</v>
      </c>
      <c r="R29" s="74">
        <v>0</v>
      </c>
      <c r="S29" s="615">
        <v>9</v>
      </c>
      <c r="Z29" s="651" t="s">
        <v>394</v>
      </c>
      <c r="AA29" s="71" t="s">
        <v>212</v>
      </c>
      <c r="AB29" s="74" t="s">
        <v>424</v>
      </c>
      <c r="AC29" s="88">
        <f>IFERROR((CLE_P226[[#This Row],[R]]*9)/CLE_P226[[#This Row],[IP]],0)</f>
        <v>3.1760035288928097</v>
      </c>
      <c r="AD29" s="28">
        <v>3</v>
      </c>
      <c r="AE29" s="74">
        <v>1</v>
      </c>
      <c r="AF29" s="28">
        <v>9</v>
      </c>
      <c r="AG29" s="584">
        <v>22.67</v>
      </c>
      <c r="AH29" s="28">
        <v>16</v>
      </c>
      <c r="AI29" s="28">
        <v>8</v>
      </c>
      <c r="AJ29" s="28">
        <v>14</v>
      </c>
      <c r="AK29" s="28">
        <v>29</v>
      </c>
      <c r="AL29" s="28">
        <v>0</v>
      </c>
      <c r="AM29" s="89">
        <f>IFERROR((CLE_P226[[#This Row],[BB]]+CLE_P226[[#This Row],[H]])/CLE_P226[[#This Row],[IP]],0)</f>
        <v>1.3233348037053374</v>
      </c>
      <c r="AN29" s="28">
        <v>0</v>
      </c>
      <c r="AO29" s="90">
        <v>0</v>
      </c>
      <c r="AP29" s="28">
        <v>0</v>
      </c>
      <c r="AQ29" s="74">
        <v>0</v>
      </c>
      <c r="AR29" s="615">
        <v>9</v>
      </c>
      <c r="AY29" s="651" t="s">
        <v>394</v>
      </c>
      <c r="AZ29" s="71" t="s">
        <v>212</v>
      </c>
      <c r="BA29" s="74" t="s">
        <v>424</v>
      </c>
      <c r="BB29" s="88">
        <f>IFERROR((CLE_P200[[#This Row],[R]]*9)/CLE_P200[[#This Row],[IP]],0)</f>
        <v>4.426955238563699</v>
      </c>
      <c r="BC29" s="28">
        <v>2</v>
      </c>
      <c r="BD29" s="74">
        <v>4</v>
      </c>
      <c r="BE29" s="28">
        <v>21</v>
      </c>
      <c r="BF29" s="584">
        <v>20.329999999999998</v>
      </c>
      <c r="BG29" s="28">
        <v>18</v>
      </c>
      <c r="BH29" s="28">
        <v>10</v>
      </c>
      <c r="BI29" s="28">
        <v>9</v>
      </c>
      <c r="BJ29" s="28">
        <v>33</v>
      </c>
      <c r="BK29" s="28">
        <v>1</v>
      </c>
      <c r="BL29" s="89">
        <f>IFERROR((CLE_P200[[#This Row],[BB]]+CLE_P200[[#This Row],[H]])/CLE_P200[[#This Row],[IP]],0)</f>
        <v>1.3280865715691097</v>
      </c>
      <c r="BM29" s="28">
        <v>0</v>
      </c>
      <c r="BN29" s="90">
        <v>0</v>
      </c>
      <c r="BO29" s="28">
        <v>0</v>
      </c>
      <c r="BP29" s="74">
        <v>0</v>
      </c>
      <c r="BQ29" s="615">
        <v>9</v>
      </c>
    </row>
    <row r="30" spans="1:73" ht="17" thickBot="1">
      <c r="A30" s="651" t="s">
        <v>394</v>
      </c>
      <c r="B30" s="71" t="s">
        <v>212</v>
      </c>
      <c r="C30" s="74" t="s">
        <v>425</v>
      </c>
      <c r="D30" s="88">
        <f>IFERROR((CLE_P[[#This Row],[R]]*9)/CLE_P[[#This Row],[IP]],0)</f>
        <v>1.5166835187057632</v>
      </c>
      <c r="E30" s="28">
        <v>3</v>
      </c>
      <c r="F30" s="74">
        <v>0</v>
      </c>
      <c r="G30" s="76">
        <v>26</v>
      </c>
      <c r="H30" s="584">
        <v>29.67</v>
      </c>
      <c r="I30" s="28">
        <v>27</v>
      </c>
      <c r="J30" s="28">
        <v>5</v>
      </c>
      <c r="K30" s="28">
        <v>4</v>
      </c>
      <c r="L30" s="28">
        <v>33</v>
      </c>
      <c r="M30" s="76">
        <v>11</v>
      </c>
      <c r="N30" s="89">
        <f>IFERROR((CLE_P[[#This Row],[BB]]+CLE_P[[#This Row],[H]])/CLE_P[[#This Row],[IP]],0)</f>
        <v>1.0448264239973035</v>
      </c>
      <c r="O30" s="28">
        <v>0</v>
      </c>
      <c r="P30" s="90">
        <v>0</v>
      </c>
      <c r="Q30" s="28">
        <v>0</v>
      </c>
      <c r="R30" s="74">
        <v>0</v>
      </c>
      <c r="S30" s="615">
        <v>10</v>
      </c>
      <c r="Z30" s="651" t="s">
        <v>394</v>
      </c>
      <c r="AA30" s="345" t="s">
        <v>212</v>
      </c>
      <c r="AB30" s="104" t="s">
        <v>425</v>
      </c>
      <c r="AC30" s="88">
        <f>IFERROR((CLE_P226[[#This Row],[R]]*9)/CLE_P226[[#This Row],[IP]],0)</f>
        <v>0.83064143977849558</v>
      </c>
      <c r="AD30" s="28">
        <v>2</v>
      </c>
      <c r="AE30" s="74">
        <v>1</v>
      </c>
      <c r="AF30" s="28">
        <v>19</v>
      </c>
      <c r="AG30" s="584">
        <v>21.67</v>
      </c>
      <c r="AH30" s="28">
        <v>9</v>
      </c>
      <c r="AI30" s="28">
        <v>2</v>
      </c>
      <c r="AJ30" s="28">
        <v>6</v>
      </c>
      <c r="AK30" s="28">
        <v>17</v>
      </c>
      <c r="AL30" s="28">
        <v>6</v>
      </c>
      <c r="AM30" s="89">
        <f>IFERROR((CLE_P226[[#This Row],[BB]]+CLE_P226[[#This Row],[H]])/CLE_P226[[#This Row],[IP]],0)</f>
        <v>0.69220119981541295</v>
      </c>
      <c r="AN30" s="28">
        <v>0</v>
      </c>
      <c r="AO30" s="90">
        <v>0</v>
      </c>
      <c r="AP30" s="28">
        <v>0</v>
      </c>
      <c r="AQ30" s="74">
        <v>0</v>
      </c>
      <c r="AR30" s="615">
        <v>10</v>
      </c>
      <c r="AY30" s="651" t="s">
        <v>394</v>
      </c>
      <c r="AZ30" s="345" t="s">
        <v>212</v>
      </c>
      <c r="BA30" s="104" t="s">
        <v>425</v>
      </c>
      <c r="BB30" s="529">
        <f>IFERROR((CLE_P200[[#This Row],[R]]*9)/CLE_P200[[#This Row],[IP]],0)</f>
        <v>0.33333333333333331</v>
      </c>
      <c r="BC30" s="28">
        <v>4</v>
      </c>
      <c r="BD30" s="74">
        <v>0</v>
      </c>
      <c r="BE30" s="28">
        <v>24</v>
      </c>
      <c r="BF30" s="584">
        <v>27</v>
      </c>
      <c r="BG30" s="28">
        <v>21</v>
      </c>
      <c r="BH30" s="28">
        <v>1</v>
      </c>
      <c r="BI30" s="28">
        <v>7</v>
      </c>
      <c r="BJ30" s="28">
        <v>28</v>
      </c>
      <c r="BK30" s="28">
        <v>8</v>
      </c>
      <c r="BL30" s="89">
        <f>IFERROR((CLE_P200[[#This Row],[BB]]+CLE_P200[[#This Row],[H]])/CLE_P200[[#This Row],[IP]],0)</f>
        <v>1.037037037037037</v>
      </c>
      <c r="BM30" s="28">
        <v>0</v>
      </c>
      <c r="BN30" s="90">
        <v>0</v>
      </c>
      <c r="BO30" s="28">
        <v>0</v>
      </c>
      <c r="BP30" s="74">
        <v>0</v>
      </c>
      <c r="BQ30" s="615">
        <v>10</v>
      </c>
    </row>
    <row r="31" spans="1:73" ht="17" thickBot="1">
      <c r="A31" s="735"/>
      <c r="B31" s="660"/>
      <c r="C31" s="653" t="s">
        <v>195</v>
      </c>
      <c r="D31" s="665">
        <f>(J31*9)/H31</f>
        <v>3.7318417098013019</v>
      </c>
      <c r="E31" s="658">
        <f>SUBTOTAL(109,CLE_P[W])</f>
        <v>24</v>
      </c>
      <c r="F31" s="660">
        <f>SUBTOTAL(109,CLE_P[L])</f>
        <v>16</v>
      </c>
      <c r="G31" s="658"/>
      <c r="H31" s="666">
        <f>SUBTOTAL(109,CLE_P[IP])</f>
        <v>359.34000000000003</v>
      </c>
      <c r="I31" s="658">
        <f>SUBTOTAL(109,CLE_P[H])</f>
        <v>330</v>
      </c>
      <c r="J31" s="658">
        <f>SUBTOTAL(109,CLE_P[R])</f>
        <v>149</v>
      </c>
      <c r="K31" s="658">
        <f>SUBTOTAL(109,CLE_P[BB])</f>
        <v>117</v>
      </c>
      <c r="L31" s="659">
        <f>SUBTOTAL(109,CLE_P[K])</f>
        <v>414</v>
      </c>
      <c r="M31" s="659">
        <f>SUBTOTAL(109,CLE_P[SV])</f>
        <v>13</v>
      </c>
      <c r="N31" s="736">
        <f>(I31+K31)/H31</f>
        <v>1.243947236600434</v>
      </c>
      <c r="O31" s="661">
        <f>SUBTOTAL(109,CLE_P[QS])</f>
        <v>24</v>
      </c>
      <c r="P31" s="737">
        <f>SUBTOTAL(109,CLE_P[UQ])</f>
        <v>15</v>
      </c>
      <c r="Q31" s="658">
        <f>SUBTOTAL(109,CLE_P[CG])</f>
        <v>0</v>
      </c>
      <c r="R31" s="660">
        <f>SUBTOTAL(109,CLE_P[SH])</f>
        <v>0</v>
      </c>
      <c r="S31" s="738"/>
      <c r="Z31" s="735"/>
      <c r="AA31" s="660"/>
      <c r="AB31" s="653" t="s">
        <v>195</v>
      </c>
      <c r="AC31" s="665">
        <f>(AI31*9)/AG31</f>
        <v>3.6065213811275179</v>
      </c>
      <c r="AD31" s="658">
        <f>SUBTOTAL(109,CLE_P226[W])</f>
        <v>23</v>
      </c>
      <c r="AE31" s="660">
        <f>SUBTOTAL(109,CLE_P226[L])</f>
        <v>17</v>
      </c>
      <c r="AF31" s="658"/>
      <c r="AG31" s="666">
        <f>SUBTOTAL(109,CLE_P226[IP])</f>
        <v>364.34000000000003</v>
      </c>
      <c r="AH31" s="659">
        <f>SUBTOTAL(109,CLE_P226[H])</f>
        <v>312</v>
      </c>
      <c r="AI31" s="658">
        <f>SUBTOTAL(109,CLE_P226[R])</f>
        <v>146</v>
      </c>
      <c r="AJ31" s="658">
        <f>SUBTOTAL(109,CLE_P226[BB])</f>
        <v>109</v>
      </c>
      <c r="AK31" s="658">
        <f>SUBTOTAL(109,CLE_P226[K])</f>
        <v>359</v>
      </c>
      <c r="AL31" s="658">
        <f>SUBTOTAL(109,CLE_P226[SV])</f>
        <v>6</v>
      </c>
      <c r="AM31" s="736">
        <f>(AH31+AJ31)/AG31</f>
        <v>1.155514080254707</v>
      </c>
      <c r="AN31" s="661">
        <f>SUBTOTAL(109,CLE_P226[QS])</f>
        <v>23</v>
      </c>
      <c r="AO31" s="750">
        <f>SUBTOTAL(109,CLE_P226[UQ])</f>
        <v>15</v>
      </c>
      <c r="AP31" s="658">
        <f>SUBTOTAL(109,CLE_P226[CG])</f>
        <v>4</v>
      </c>
      <c r="AQ31" s="743">
        <f>SUBTOTAL(109,CLE_P226[SH])</f>
        <v>4</v>
      </c>
      <c r="AR31" s="738"/>
      <c r="AY31" s="735"/>
      <c r="AZ31" s="660"/>
      <c r="BA31" s="660" t="s">
        <v>195</v>
      </c>
      <c r="BB31" s="665">
        <f>IFERROR((BH31*9)/BF31,0)</f>
        <v>4.5767045454545459</v>
      </c>
      <c r="BC31" s="658">
        <f>SUM(BC21:BC30)</f>
        <v>22</v>
      </c>
      <c r="BD31" s="660">
        <f>SUM(BD21:BD30)</f>
        <v>18</v>
      </c>
      <c r="BE31" s="658"/>
      <c r="BF31" s="666">
        <f t="shared" ref="BF31:BK31" si="3">SUM(BF21:BF30)</f>
        <v>352</v>
      </c>
      <c r="BG31" s="658">
        <f t="shared" si="3"/>
        <v>351</v>
      </c>
      <c r="BH31" s="658">
        <f t="shared" si="3"/>
        <v>179</v>
      </c>
      <c r="BI31" s="658">
        <f t="shared" si="3"/>
        <v>125</v>
      </c>
      <c r="BJ31" s="658">
        <f t="shared" si="3"/>
        <v>392</v>
      </c>
      <c r="BK31" s="658">
        <f t="shared" si="3"/>
        <v>9</v>
      </c>
      <c r="BL31" s="667">
        <f>(BI31+BG31)/BF31</f>
        <v>1.3522727272727273</v>
      </c>
      <c r="BM31" s="661">
        <f>SUBTOTAL(109,CLE_P200[QS])</f>
        <v>20</v>
      </c>
      <c r="BN31" s="750">
        <f>SUBTOTAL(109,CLE_P200[UQ])</f>
        <v>9</v>
      </c>
      <c r="BO31" s="658">
        <f>SUM(BO21:BO30)</f>
        <v>1</v>
      </c>
      <c r="BP31" s="660">
        <f>SUM(BP21:BP30)</f>
        <v>1</v>
      </c>
      <c r="BQ31" s="738"/>
    </row>
    <row r="32" spans="1:73" ht="17" thickBot="1"/>
    <row r="33" spans="1:73" ht="24" thickBot="1">
      <c r="A33" s="1024" t="s">
        <v>426</v>
      </c>
      <c r="B33" s="1025"/>
      <c r="C33" s="1025"/>
      <c r="D33" s="1025"/>
      <c r="E33" s="1025"/>
      <c r="F33" s="1025"/>
      <c r="G33" s="1025"/>
      <c r="H33" s="1025"/>
      <c r="I33" s="1025"/>
      <c r="J33" s="1025"/>
      <c r="K33" s="1025"/>
      <c r="L33" s="1025"/>
      <c r="M33" s="1025"/>
      <c r="N33" s="1025"/>
      <c r="O33" s="1025"/>
      <c r="P33" s="1025"/>
      <c r="Q33" s="1025"/>
      <c r="R33" s="1025"/>
      <c r="S33" s="1025"/>
      <c r="T33" s="1025"/>
      <c r="U33" s="1025"/>
      <c r="V33" s="1025"/>
      <c r="W33" s="1026"/>
      <c r="Z33" s="1024" t="s">
        <v>427</v>
      </c>
      <c r="AA33" s="1025"/>
      <c r="AB33" s="1025"/>
      <c r="AC33" s="1025"/>
      <c r="AD33" s="1025"/>
      <c r="AE33" s="1025"/>
      <c r="AF33" s="1025"/>
      <c r="AG33" s="1025"/>
      <c r="AH33" s="1025"/>
      <c r="AI33" s="1025"/>
      <c r="AJ33" s="1025"/>
      <c r="AK33" s="1025"/>
      <c r="AL33" s="1025"/>
      <c r="AM33" s="1025"/>
      <c r="AN33" s="1025"/>
      <c r="AO33" s="1025"/>
      <c r="AP33" s="1025"/>
      <c r="AQ33" s="1025"/>
      <c r="AR33" s="1025"/>
      <c r="AS33" s="1025"/>
      <c r="AT33" s="1025"/>
      <c r="AU33" s="1025"/>
      <c r="AV33" s="1026"/>
      <c r="AY33" s="1024" t="s">
        <v>428</v>
      </c>
      <c r="AZ33" s="1025"/>
      <c r="BA33" s="1025"/>
      <c r="BB33" s="1025"/>
      <c r="BC33" s="1025"/>
      <c r="BD33" s="1025"/>
      <c r="BE33" s="1025"/>
      <c r="BF33" s="1025"/>
      <c r="BG33" s="1025"/>
      <c r="BH33" s="1025"/>
      <c r="BI33" s="1025"/>
      <c r="BJ33" s="1025"/>
      <c r="BK33" s="1025"/>
      <c r="BL33" s="1025"/>
      <c r="BM33" s="1025"/>
      <c r="BN33" s="1025"/>
      <c r="BO33" s="1025"/>
      <c r="BP33" s="1025"/>
      <c r="BQ33" s="1025"/>
      <c r="BR33" s="1025"/>
      <c r="BS33" s="1025"/>
      <c r="BT33" s="1025"/>
      <c r="BU33" s="1026"/>
    </row>
    <row r="34" spans="1:73" s="64" customFormat="1" ht="14" thickBot="1">
      <c r="A34" s="605" t="s">
        <v>143</v>
      </c>
      <c r="B34" s="606" t="s">
        <v>144</v>
      </c>
      <c r="C34" s="606" t="s">
        <v>145</v>
      </c>
      <c r="D34" s="606" t="s">
        <v>146</v>
      </c>
      <c r="E34" s="606" t="s">
        <v>147</v>
      </c>
      <c r="F34" s="606" t="s">
        <v>148</v>
      </c>
      <c r="G34" s="606" t="s">
        <v>149</v>
      </c>
      <c r="H34" s="606" t="s">
        <v>150</v>
      </c>
      <c r="I34" s="606" t="s">
        <v>151</v>
      </c>
      <c r="J34" s="606" t="s">
        <v>152</v>
      </c>
      <c r="K34" s="606" t="s">
        <v>153</v>
      </c>
      <c r="L34" s="606" t="s">
        <v>154</v>
      </c>
      <c r="M34" s="606" t="s">
        <v>155</v>
      </c>
      <c r="N34" s="606" t="s">
        <v>156</v>
      </c>
      <c r="O34" s="606" t="s">
        <v>157</v>
      </c>
      <c r="P34" s="606" t="s">
        <v>158</v>
      </c>
      <c r="Q34" s="606" t="s">
        <v>159</v>
      </c>
      <c r="R34" s="606" t="s">
        <v>160</v>
      </c>
      <c r="S34" s="606" t="s">
        <v>16</v>
      </c>
      <c r="T34" s="606" t="s">
        <v>161</v>
      </c>
      <c r="U34" s="606" t="s">
        <v>162</v>
      </c>
      <c r="V34" s="606" t="s">
        <v>163</v>
      </c>
      <c r="W34" s="607" t="s">
        <v>164</v>
      </c>
      <c r="Z34" s="605" t="s">
        <v>143</v>
      </c>
      <c r="AA34" s="606" t="s">
        <v>144</v>
      </c>
      <c r="AB34" s="606" t="s">
        <v>145</v>
      </c>
      <c r="AC34" s="606" t="s">
        <v>146</v>
      </c>
      <c r="AD34" s="606" t="s">
        <v>147</v>
      </c>
      <c r="AE34" s="606" t="s">
        <v>148</v>
      </c>
      <c r="AF34" s="606" t="s">
        <v>149</v>
      </c>
      <c r="AG34" s="606" t="s">
        <v>150</v>
      </c>
      <c r="AH34" s="606" t="s">
        <v>151</v>
      </c>
      <c r="AI34" s="606" t="s">
        <v>152</v>
      </c>
      <c r="AJ34" s="606" t="s">
        <v>153</v>
      </c>
      <c r="AK34" s="606" t="s">
        <v>154</v>
      </c>
      <c r="AL34" s="606" t="s">
        <v>155</v>
      </c>
      <c r="AM34" s="606" t="s">
        <v>156</v>
      </c>
      <c r="AN34" s="606" t="s">
        <v>157</v>
      </c>
      <c r="AO34" s="606" t="s">
        <v>158</v>
      </c>
      <c r="AP34" s="606" t="s">
        <v>159</v>
      </c>
      <c r="AQ34" s="606" t="s">
        <v>160</v>
      </c>
      <c r="AR34" s="606" t="s">
        <v>16</v>
      </c>
      <c r="AS34" s="606" t="s">
        <v>161</v>
      </c>
      <c r="AT34" s="606" t="s">
        <v>162</v>
      </c>
      <c r="AU34" s="606" t="s">
        <v>163</v>
      </c>
      <c r="AV34" s="607" t="s">
        <v>164</v>
      </c>
      <c r="AY34" s="605" t="s">
        <v>143</v>
      </c>
      <c r="AZ34" s="606" t="s">
        <v>144</v>
      </c>
      <c r="BA34" s="606" t="s">
        <v>145</v>
      </c>
      <c r="BB34" s="606" t="s">
        <v>146</v>
      </c>
      <c r="BC34" s="606" t="s">
        <v>147</v>
      </c>
      <c r="BD34" s="606" t="s">
        <v>148</v>
      </c>
      <c r="BE34" s="606" t="s">
        <v>149</v>
      </c>
      <c r="BF34" s="606" t="s">
        <v>150</v>
      </c>
      <c r="BG34" s="606" t="s">
        <v>151</v>
      </c>
      <c r="BH34" s="606" t="s">
        <v>152</v>
      </c>
      <c r="BI34" s="606" t="s">
        <v>153</v>
      </c>
      <c r="BJ34" s="606" t="s">
        <v>154</v>
      </c>
      <c r="BK34" s="606" t="s">
        <v>155</v>
      </c>
      <c r="BL34" s="606" t="s">
        <v>156</v>
      </c>
      <c r="BM34" s="606" t="s">
        <v>157</v>
      </c>
      <c r="BN34" s="606" t="s">
        <v>158</v>
      </c>
      <c r="BO34" s="606" t="s">
        <v>159</v>
      </c>
      <c r="BP34" s="606" t="s">
        <v>160</v>
      </c>
      <c r="BQ34" s="606" t="s">
        <v>16</v>
      </c>
      <c r="BR34" s="606" t="s">
        <v>161</v>
      </c>
      <c r="BS34" s="606" t="s">
        <v>162</v>
      </c>
      <c r="BT34" s="606" t="s">
        <v>163</v>
      </c>
      <c r="BU34" s="607" t="s">
        <v>164</v>
      </c>
    </row>
    <row r="35" spans="1:73">
      <c r="A35" s="650" t="s">
        <v>429</v>
      </c>
      <c r="B35" s="597" t="s">
        <v>179</v>
      </c>
      <c r="C35" s="673" t="s">
        <v>436</v>
      </c>
      <c r="D35" s="706">
        <f>IFERROR(MIN_H[[#This Row],[H]]/MIN_H[[#This Row],[AB]],0)</f>
        <v>0.2792207792207792</v>
      </c>
      <c r="E35" s="598">
        <f>IFERROR((MIN_H[[#This Row],[H]]+MIN_H[[#This Row],[BB]])/(MIN_H[[#This Row],[BB]]+MIN_H[[#This Row],[AB]]),0)</f>
        <v>0.36206896551724138</v>
      </c>
      <c r="F35" s="599">
        <f>IFERROR(((MIN_H[[#This Row],[H]]-MIN_H[[#This Row],[2B]]-MIN_H[[#This Row],[3B]]-MIN_H[[#This Row],[HR]])+(MIN_H[[#This Row],[2B]]*2)+(MIN_H[[#This Row],[3B]]*3)+(MIN_H[[#This Row],[HR]]*4))/MIN_H[[#This Row],[AB]],0)</f>
        <v>0.43506493506493504</v>
      </c>
      <c r="G35" s="600">
        <v>39</v>
      </c>
      <c r="H35" s="600">
        <v>154</v>
      </c>
      <c r="I35" s="600">
        <v>23</v>
      </c>
      <c r="J35" s="600">
        <v>43</v>
      </c>
      <c r="K35" s="600">
        <v>8</v>
      </c>
      <c r="L35" s="600">
        <v>2</v>
      </c>
      <c r="M35" s="600">
        <v>4</v>
      </c>
      <c r="N35" s="600">
        <v>18</v>
      </c>
      <c r="O35" s="600">
        <v>20</v>
      </c>
      <c r="P35" s="604">
        <v>34</v>
      </c>
      <c r="Q35" s="600">
        <v>0</v>
      </c>
      <c r="R35" s="600">
        <v>3</v>
      </c>
      <c r="S35" s="604">
        <v>5</v>
      </c>
      <c r="T35" s="600">
        <f>IFERROR((MIN_H[[#This Row],[H]]-MIN_H[[#This Row],[2B]]-MIN_H[[#This Row],[3B]]-MIN_H[[#This Row],[HR]])+(MIN_H[[#This Row],[2B]]*2)+(MIN_H[[#This Row],[3B]]*3)+(MIN_H[[#This Row],[HR]]*4),0)</f>
        <v>67</v>
      </c>
      <c r="U35" s="598">
        <f>MIN_H[[#This Row],[OBP]]+MIN_H[[#This Row],[SLG]]</f>
        <v>0.79713390058217648</v>
      </c>
      <c r="V35" s="604">
        <v>1</v>
      </c>
      <c r="W35" s="614">
        <v>1</v>
      </c>
      <c r="Z35" s="650" t="s">
        <v>429</v>
      </c>
      <c r="AA35" s="597" t="s">
        <v>179</v>
      </c>
      <c r="AB35" s="597" t="s">
        <v>436</v>
      </c>
      <c r="AC35" s="598">
        <f>IFERROR(MIN_H220[[#This Row],[H]]/MIN_H220[[#This Row],[AB]],0)</f>
        <v>0.3032258064516129</v>
      </c>
      <c r="AD35" s="598">
        <f>IFERROR((MIN_H220[[#This Row],[H]]+MIN_H220[[#This Row],[BB]])/(MIN_H220[[#This Row],[BB]]+MIN_H220[[#This Row],[AB]]),0)</f>
        <v>0.40331491712707185</v>
      </c>
      <c r="AE35" s="599">
        <f>IFERROR(((MIN_H220[[#This Row],[H]]-MIN_H220[[#This Row],[2B]]-MIN_H220[[#This Row],[3B]]-MIN_H220[[#This Row],[HR]])+(MIN_H220[[#This Row],[2B]]*2)+(MIN_H220[[#This Row],[3B]]*3)+(MIN_H220[[#This Row],[HR]]*4))/MIN_H220[[#This Row],[AB]],0)</f>
        <v>0.38064516129032255</v>
      </c>
      <c r="AF35" s="600">
        <v>38</v>
      </c>
      <c r="AG35" s="600">
        <v>155</v>
      </c>
      <c r="AH35" s="600">
        <v>14</v>
      </c>
      <c r="AI35" s="600">
        <v>47</v>
      </c>
      <c r="AJ35" s="600">
        <v>10</v>
      </c>
      <c r="AK35" s="600">
        <v>1</v>
      </c>
      <c r="AL35" s="600">
        <v>0</v>
      </c>
      <c r="AM35" s="600">
        <v>10</v>
      </c>
      <c r="AN35" s="600">
        <v>26</v>
      </c>
      <c r="AO35" s="604">
        <v>23</v>
      </c>
      <c r="AP35" s="600">
        <v>0</v>
      </c>
      <c r="AQ35" s="600">
        <v>9</v>
      </c>
      <c r="AR35" s="604">
        <v>9</v>
      </c>
      <c r="AS35" s="600">
        <f>IFERROR((MIN_H220[[#This Row],[H]]-MIN_H220[[#This Row],[2B]]-MIN_H220[[#This Row],[3B]]-MIN_H220[[#This Row],[HR]])+(MIN_H220[[#This Row],[2B]]*2)+(MIN_H220[[#This Row],[3B]]*3)+(MIN_H220[[#This Row],[HR]]*4),0)</f>
        <v>59</v>
      </c>
      <c r="AT35" s="598">
        <f>MIN_H220[[#This Row],[OBP]]+MIN_H220[[#This Row],[SLG]]</f>
        <v>0.78396007841739435</v>
      </c>
      <c r="AU35" s="604">
        <v>0</v>
      </c>
      <c r="AV35" s="614">
        <v>1</v>
      </c>
      <c r="AY35" s="650" t="s">
        <v>429</v>
      </c>
      <c r="AZ35" s="596" t="s">
        <v>179</v>
      </c>
      <c r="BA35" s="597" t="s">
        <v>436</v>
      </c>
      <c r="BB35" s="598">
        <f>IFERROR(MIN_H194[[#This Row],[H]]/MIN_H194[[#This Row],[AB]],0)</f>
        <v>0.38970588235294118</v>
      </c>
      <c r="BC35" s="878">
        <f>IFERROR((MIN_H194[[#This Row],[H]]+MIN_H194[[#This Row],[BB]])/(MIN_H194[[#This Row],[BB]]+MIN_H194[[#This Row],[AB]]),0)</f>
        <v>0.4713375796178344</v>
      </c>
      <c r="BD35" s="599">
        <f>IFERROR(((MIN_H194[[#This Row],[H]]-MIN_H194[[#This Row],[2B]]-MIN_H194[[#This Row],[3B]]-MIN_H194[[#This Row],[HR]])+(MIN_H194[[#This Row],[2B]]*2)+(MIN_H194[[#This Row],[3B]]*3)+(MIN_H194[[#This Row],[HR]]*4))/MIN_H194[[#This Row],[AB]],0)</f>
        <v>0.63970588235294112</v>
      </c>
      <c r="BE35" s="600">
        <v>38</v>
      </c>
      <c r="BF35" s="600">
        <v>136</v>
      </c>
      <c r="BG35" s="600">
        <v>22</v>
      </c>
      <c r="BH35" s="600">
        <v>53</v>
      </c>
      <c r="BI35" s="600">
        <v>9</v>
      </c>
      <c r="BJ35" s="600">
        <v>2</v>
      </c>
      <c r="BK35" s="600">
        <v>7</v>
      </c>
      <c r="BL35" s="600">
        <v>24</v>
      </c>
      <c r="BM35" s="600">
        <v>21</v>
      </c>
      <c r="BN35" s="604">
        <v>22</v>
      </c>
      <c r="BO35" s="600">
        <v>0</v>
      </c>
      <c r="BP35" s="600">
        <v>9</v>
      </c>
      <c r="BQ35" s="604">
        <v>9</v>
      </c>
      <c r="BR35" s="600">
        <f t="shared" ref="BR35:BR48" si="4">IFERROR((BH35-BI35-BJ35-BK35)+(BI35*2)+(BJ35*3)+(BK35*4),0)</f>
        <v>87</v>
      </c>
      <c r="BS35" s="672">
        <f>IFERROR(MIN_H194[[#This Row],[OBP]]+MIN_H194[[#This Row],[SLG]],0)</f>
        <v>1.1110434619707754</v>
      </c>
      <c r="BT35" s="604">
        <v>1</v>
      </c>
      <c r="BU35" s="614">
        <v>1</v>
      </c>
    </row>
    <row r="36" spans="1:73">
      <c r="A36" s="651" t="s">
        <v>429</v>
      </c>
      <c r="B36" s="71" t="s">
        <v>154</v>
      </c>
      <c r="C36" s="77" t="s">
        <v>434</v>
      </c>
      <c r="D36" s="130">
        <f>IFERROR(MIN_H[[#This Row],[H]]/MIN_H[[#This Row],[AB]],0)</f>
        <v>0.17073170731707318</v>
      </c>
      <c r="E36" s="72">
        <f>IFERROR((MIN_H[[#This Row],[H]]+MIN_H[[#This Row],[BB]])/(MIN_H[[#This Row],[BB]]+MIN_H[[#This Row],[AB]]),0)</f>
        <v>0.27659574468085107</v>
      </c>
      <c r="F36" s="73">
        <f>IFERROR(((MIN_H[[#This Row],[H]]-MIN_H[[#This Row],[2B]]-MIN_H[[#This Row],[3B]]-MIN_H[[#This Row],[HR]])+(MIN_H[[#This Row],[2B]]*2)+(MIN_H[[#This Row],[3B]]*3)+(MIN_H[[#This Row],[HR]]*4))/MIN_H[[#This Row],[AB]],0)</f>
        <v>0.31707317073170732</v>
      </c>
      <c r="G36" s="28">
        <v>33</v>
      </c>
      <c r="H36" s="28">
        <v>123</v>
      </c>
      <c r="I36" s="28">
        <v>18</v>
      </c>
      <c r="J36" s="28">
        <v>21</v>
      </c>
      <c r="K36" s="28">
        <v>9</v>
      </c>
      <c r="L36" s="28">
        <v>0</v>
      </c>
      <c r="M36" s="28">
        <v>3</v>
      </c>
      <c r="N36" s="28">
        <v>6</v>
      </c>
      <c r="O36" s="28">
        <v>18</v>
      </c>
      <c r="P36" s="74">
        <v>33</v>
      </c>
      <c r="Q36" s="28">
        <v>0</v>
      </c>
      <c r="R36" s="28">
        <v>0</v>
      </c>
      <c r="S36" s="74">
        <v>7</v>
      </c>
      <c r="T36" s="28">
        <f>IFERROR((MIN_H[[#This Row],[H]]-MIN_H[[#This Row],[2B]]-MIN_H[[#This Row],[3B]]-MIN_H[[#This Row],[HR]])+(MIN_H[[#This Row],[2B]]*2)+(MIN_H[[#This Row],[3B]]*3)+(MIN_H[[#This Row],[HR]]*4),0)</f>
        <v>39</v>
      </c>
      <c r="U36" s="72">
        <f>MIN_H[[#This Row],[OBP]]+MIN_H[[#This Row],[SLG]]</f>
        <v>0.5936689154125584</v>
      </c>
      <c r="V36" s="74">
        <v>0</v>
      </c>
      <c r="W36" s="615">
        <v>2</v>
      </c>
      <c r="Z36" s="651" t="s">
        <v>429</v>
      </c>
      <c r="AA36" s="71" t="s">
        <v>154</v>
      </c>
      <c r="AB36" s="71" t="s">
        <v>434</v>
      </c>
      <c r="AC36" s="72">
        <f>IFERROR(MIN_H220[[#This Row],[H]]/MIN_H220[[#This Row],[AB]],0)</f>
        <v>0.20408163265306123</v>
      </c>
      <c r="AD36" s="72">
        <f>IFERROR((MIN_H220[[#This Row],[H]]+MIN_H220[[#This Row],[BB]])/(MIN_H220[[#This Row],[BB]]+MIN_H220[[#This Row],[AB]]),0)</f>
        <v>0.2822085889570552</v>
      </c>
      <c r="AE36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0.31292517006802723</v>
      </c>
      <c r="AF36" s="28">
        <v>39</v>
      </c>
      <c r="AG36" s="28">
        <v>147</v>
      </c>
      <c r="AH36" s="28">
        <v>15</v>
      </c>
      <c r="AI36" s="28">
        <v>30</v>
      </c>
      <c r="AJ36" s="28">
        <v>7</v>
      </c>
      <c r="AK36" s="28">
        <v>0</v>
      </c>
      <c r="AL36" s="28">
        <v>3</v>
      </c>
      <c r="AM36" s="28">
        <v>16</v>
      </c>
      <c r="AN36" s="28">
        <v>16</v>
      </c>
      <c r="AO36" s="74">
        <v>38</v>
      </c>
      <c r="AP36" s="28">
        <v>0</v>
      </c>
      <c r="AQ36" s="28">
        <v>0</v>
      </c>
      <c r="AR36" s="74">
        <v>9</v>
      </c>
      <c r="AS36" s="28">
        <f>IFERROR((MIN_H220[[#This Row],[H]]-MIN_H220[[#This Row],[2B]]-MIN_H220[[#This Row],[3B]]-MIN_H220[[#This Row],[HR]])+(MIN_H220[[#This Row],[2B]]*2)+(MIN_H220[[#This Row],[3B]]*3)+(MIN_H220[[#This Row],[HR]]*4),0)</f>
        <v>46</v>
      </c>
      <c r="AT36" s="72">
        <f>MIN_H220[[#This Row],[OBP]]+MIN_H220[[#This Row],[SLG]]</f>
        <v>0.59513375902508248</v>
      </c>
      <c r="AU36" s="74">
        <v>0</v>
      </c>
      <c r="AV36" s="615">
        <v>2</v>
      </c>
      <c r="AY36" s="651" t="s">
        <v>429</v>
      </c>
      <c r="AZ36" s="345" t="s">
        <v>154</v>
      </c>
      <c r="BA36" s="71" t="s">
        <v>434</v>
      </c>
      <c r="BB36" s="72">
        <f>IFERROR(MIN_H194[[#This Row],[H]]/MIN_H194[[#This Row],[AB]],0)</f>
        <v>0.33974358974358976</v>
      </c>
      <c r="BC36" s="72">
        <f>IFERROR((MIN_H194[[#This Row],[H]]+MIN_H194[[#This Row],[BB]])/(MIN_H194[[#This Row],[BB]]+MIN_H194[[#This Row],[AB]]),0)</f>
        <v>0.41142857142857142</v>
      </c>
      <c r="BD36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0.6858974358974359</v>
      </c>
      <c r="BE36" s="28">
        <v>40</v>
      </c>
      <c r="BF36" s="28">
        <v>156</v>
      </c>
      <c r="BG36" s="28">
        <v>26</v>
      </c>
      <c r="BH36" s="28">
        <v>53</v>
      </c>
      <c r="BI36" s="28">
        <v>9</v>
      </c>
      <c r="BJ36" s="28">
        <v>0</v>
      </c>
      <c r="BK36" s="28">
        <v>15</v>
      </c>
      <c r="BL36" s="28">
        <v>29</v>
      </c>
      <c r="BM36" s="28">
        <v>19</v>
      </c>
      <c r="BN36" s="74">
        <v>38</v>
      </c>
      <c r="BO36" s="28">
        <v>0</v>
      </c>
      <c r="BP36" s="28">
        <v>7</v>
      </c>
      <c r="BQ36" s="74">
        <v>9</v>
      </c>
      <c r="BR36" s="28">
        <f t="shared" si="4"/>
        <v>107</v>
      </c>
      <c r="BS36" s="72">
        <f>IFERROR(MIN_H194[[#This Row],[OBP]]+MIN_H194[[#This Row],[SLG]],0)</f>
        <v>1.0973260073260074</v>
      </c>
      <c r="BT36" s="74">
        <v>3</v>
      </c>
      <c r="BU36" s="615">
        <v>2</v>
      </c>
    </row>
    <row r="37" spans="1:73">
      <c r="A37" s="651" t="s">
        <v>429</v>
      </c>
      <c r="B37" s="71" t="s">
        <v>172</v>
      </c>
      <c r="C37" s="77" t="s">
        <v>432</v>
      </c>
      <c r="D37" s="130">
        <f>IFERROR(MIN_H[[#This Row],[H]]/MIN_H[[#This Row],[AB]],0)</f>
        <v>0.24516129032258063</v>
      </c>
      <c r="E37" s="72">
        <f>IFERROR((MIN_H[[#This Row],[H]]+MIN_H[[#This Row],[BB]])/(MIN_H[[#This Row],[BB]]+MIN_H[[#This Row],[AB]]),0)</f>
        <v>0.31578947368421051</v>
      </c>
      <c r="F37" s="73">
        <f>IFERROR(((MIN_H[[#This Row],[H]]-MIN_H[[#This Row],[2B]]-MIN_H[[#This Row],[3B]]-MIN_H[[#This Row],[HR]])+(MIN_H[[#This Row],[2B]]*2)+(MIN_H[[#This Row],[3B]]*3)+(MIN_H[[#This Row],[HR]]*4))/MIN_H[[#This Row],[AB]],0)</f>
        <v>0.44516129032258067</v>
      </c>
      <c r="G37" s="28">
        <v>40</v>
      </c>
      <c r="H37" s="28">
        <v>155</v>
      </c>
      <c r="I37" s="28">
        <v>24</v>
      </c>
      <c r="J37" s="28">
        <v>38</v>
      </c>
      <c r="K37" s="28">
        <v>7</v>
      </c>
      <c r="L37" s="28">
        <v>0</v>
      </c>
      <c r="M37" s="28">
        <v>8</v>
      </c>
      <c r="N37" s="28">
        <v>25</v>
      </c>
      <c r="O37" s="28">
        <v>16</v>
      </c>
      <c r="P37" s="74">
        <v>44</v>
      </c>
      <c r="Q37" s="28">
        <v>0</v>
      </c>
      <c r="R37" s="28">
        <v>0</v>
      </c>
      <c r="S37" s="74">
        <v>9</v>
      </c>
      <c r="T37" s="28">
        <f>IFERROR((MIN_H[[#This Row],[H]]-MIN_H[[#This Row],[2B]]-MIN_H[[#This Row],[3B]]-MIN_H[[#This Row],[HR]])+(MIN_H[[#This Row],[2B]]*2)+(MIN_H[[#This Row],[3B]]*3)+(MIN_H[[#This Row],[HR]]*4),0)</f>
        <v>69</v>
      </c>
      <c r="U37" s="72">
        <f>MIN_H[[#This Row],[OBP]]+MIN_H[[#This Row],[SLG]]</f>
        <v>0.76095076400679118</v>
      </c>
      <c r="V37" s="74">
        <v>5</v>
      </c>
      <c r="W37" s="615">
        <v>3</v>
      </c>
      <c r="Z37" s="651" t="s">
        <v>429</v>
      </c>
      <c r="AA37" s="71" t="s">
        <v>172</v>
      </c>
      <c r="AB37" s="71" t="s">
        <v>432</v>
      </c>
      <c r="AC37" s="72">
        <f>IFERROR(MIN_H220[[#This Row],[H]]/MIN_H220[[#This Row],[AB]],0)</f>
        <v>0.26712328767123289</v>
      </c>
      <c r="AD37" s="72">
        <f>IFERROR((MIN_H220[[#This Row],[H]]+MIN_H220[[#This Row],[BB]])/(MIN_H220[[#This Row],[BB]]+MIN_H220[[#This Row],[AB]]),0)</f>
        <v>0.35542168674698793</v>
      </c>
      <c r="AE37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0.46575342465753422</v>
      </c>
      <c r="AF37" s="28">
        <v>39</v>
      </c>
      <c r="AG37" s="28">
        <v>146</v>
      </c>
      <c r="AH37" s="28">
        <v>20</v>
      </c>
      <c r="AI37" s="28">
        <v>39</v>
      </c>
      <c r="AJ37" s="28">
        <v>6</v>
      </c>
      <c r="AK37" s="28">
        <v>1</v>
      </c>
      <c r="AL37" s="28">
        <v>7</v>
      </c>
      <c r="AM37" s="28">
        <v>14</v>
      </c>
      <c r="AN37" s="28">
        <v>20</v>
      </c>
      <c r="AO37" s="74">
        <v>36</v>
      </c>
      <c r="AP37" s="28">
        <v>0</v>
      </c>
      <c r="AQ37" s="28">
        <v>1</v>
      </c>
      <c r="AR37" s="74">
        <v>9</v>
      </c>
      <c r="AS37" s="28">
        <f>IFERROR((MIN_H220[[#This Row],[H]]-MIN_H220[[#This Row],[2B]]-MIN_H220[[#This Row],[3B]]-MIN_H220[[#This Row],[HR]])+(MIN_H220[[#This Row],[2B]]*2)+(MIN_H220[[#This Row],[3B]]*3)+(MIN_H220[[#This Row],[HR]]*4),0)</f>
        <v>68</v>
      </c>
      <c r="AT37" s="72">
        <f>MIN_H220[[#This Row],[OBP]]+MIN_H220[[#This Row],[SLG]]</f>
        <v>0.82117511140452215</v>
      </c>
      <c r="AU37" s="74">
        <v>2</v>
      </c>
      <c r="AV37" s="615">
        <v>3</v>
      </c>
      <c r="AY37" s="651" t="s">
        <v>429</v>
      </c>
      <c r="AZ37" s="345" t="s">
        <v>172</v>
      </c>
      <c r="BA37" s="71" t="s">
        <v>435</v>
      </c>
      <c r="BB37" s="72">
        <f>IFERROR(MIN_H194[[#This Row],[H]]/MIN_H194[[#This Row],[AB]],0)</f>
        <v>0.38124999999999998</v>
      </c>
      <c r="BC37" s="72">
        <f>IFERROR((MIN_H194[[#This Row],[H]]+MIN_H194[[#This Row],[BB]])/(MIN_H194[[#This Row],[BB]]+MIN_H194[[#This Row],[AB]]),0)</f>
        <v>0.41764705882352943</v>
      </c>
      <c r="BD37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0.63749999999999996</v>
      </c>
      <c r="BE37" s="28">
        <v>40</v>
      </c>
      <c r="BF37" s="28">
        <v>160</v>
      </c>
      <c r="BG37" s="28">
        <v>26</v>
      </c>
      <c r="BH37" s="28">
        <v>61</v>
      </c>
      <c r="BI37" s="28">
        <v>7</v>
      </c>
      <c r="BJ37" s="28">
        <v>2</v>
      </c>
      <c r="BK37" s="28">
        <v>10</v>
      </c>
      <c r="BL37" s="28">
        <v>29</v>
      </c>
      <c r="BM37" s="28">
        <v>10</v>
      </c>
      <c r="BN37" s="74">
        <v>32</v>
      </c>
      <c r="BO37" s="28">
        <v>0</v>
      </c>
      <c r="BP37" s="28">
        <v>0</v>
      </c>
      <c r="BQ37" s="74">
        <v>11</v>
      </c>
      <c r="BR37" s="28">
        <f t="shared" si="4"/>
        <v>102</v>
      </c>
      <c r="BS37" s="72">
        <f>IFERROR(MIN_H194[[#This Row],[OBP]]+MIN_H194[[#This Row],[SLG]],0)</f>
        <v>1.0551470588235294</v>
      </c>
      <c r="BT37" s="74">
        <v>4</v>
      </c>
      <c r="BU37" s="615">
        <v>3</v>
      </c>
    </row>
    <row r="38" spans="1:73">
      <c r="A38" s="651" t="s">
        <v>429</v>
      </c>
      <c r="B38" s="71" t="s">
        <v>153</v>
      </c>
      <c r="C38" s="77" t="s">
        <v>435</v>
      </c>
      <c r="D38" s="130">
        <f>IFERROR(MIN_H[[#This Row],[H]]/MIN_H[[#This Row],[AB]],0)</f>
        <v>0.2</v>
      </c>
      <c r="E38" s="72">
        <f>IFERROR((MIN_H[[#This Row],[H]]+MIN_H[[#This Row],[BB]])/(MIN_H[[#This Row],[BB]]+MIN_H[[#This Row],[AB]]),0)</f>
        <v>0.29411764705882354</v>
      </c>
      <c r="F38" s="73">
        <f>IFERROR(((MIN_H[[#This Row],[H]]-MIN_H[[#This Row],[2B]]-MIN_H[[#This Row],[3B]]-MIN_H[[#This Row],[HR]])+(MIN_H[[#This Row],[2B]]*2)+(MIN_H[[#This Row],[3B]]*3)+(MIN_H[[#This Row],[HR]]*4))/MIN_H[[#This Row],[AB]],0)</f>
        <v>0.25714285714285712</v>
      </c>
      <c r="G38" s="28">
        <v>32</v>
      </c>
      <c r="H38" s="28">
        <v>105</v>
      </c>
      <c r="I38" s="28">
        <v>9</v>
      </c>
      <c r="J38" s="28">
        <v>21</v>
      </c>
      <c r="K38" s="28">
        <v>3</v>
      </c>
      <c r="L38" s="28">
        <v>0</v>
      </c>
      <c r="M38" s="28">
        <v>1</v>
      </c>
      <c r="N38" s="28">
        <v>7</v>
      </c>
      <c r="O38" s="28">
        <v>14</v>
      </c>
      <c r="P38" s="74">
        <v>29</v>
      </c>
      <c r="Q38" s="28">
        <v>0</v>
      </c>
      <c r="R38" s="28">
        <v>0</v>
      </c>
      <c r="S38" s="74">
        <v>6</v>
      </c>
      <c r="T38" s="28">
        <f>IFERROR((MIN_H[[#This Row],[H]]-MIN_H[[#This Row],[2B]]-MIN_H[[#This Row],[3B]]-MIN_H[[#This Row],[HR]])+(MIN_H[[#This Row],[2B]]*2)+(MIN_H[[#This Row],[3B]]*3)+(MIN_H[[#This Row],[HR]]*4),0)</f>
        <v>27</v>
      </c>
      <c r="U38" s="72">
        <f>MIN_H[[#This Row],[OBP]]+MIN_H[[#This Row],[SLG]]</f>
        <v>0.55126050420168071</v>
      </c>
      <c r="V38" s="74">
        <v>1</v>
      </c>
      <c r="W38" s="615">
        <v>4</v>
      </c>
      <c r="Z38" s="651" t="s">
        <v>429</v>
      </c>
      <c r="AA38" s="71" t="s">
        <v>153</v>
      </c>
      <c r="AB38" s="71" t="s">
        <v>435</v>
      </c>
      <c r="AC38" s="72">
        <f>IFERROR(MIN_H220[[#This Row],[H]]/MIN_H220[[#This Row],[AB]],0)</f>
        <v>0.22480620155038761</v>
      </c>
      <c r="AD38" s="72">
        <f>IFERROR((MIN_H220[[#This Row],[H]]+MIN_H220[[#This Row],[BB]])/(MIN_H220[[#This Row],[BB]]+MIN_H220[[#This Row],[AB]]),0)</f>
        <v>0.29577464788732394</v>
      </c>
      <c r="AE38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0.41860465116279072</v>
      </c>
      <c r="AF38" s="28">
        <v>34</v>
      </c>
      <c r="AG38" s="28">
        <v>129</v>
      </c>
      <c r="AH38" s="28">
        <v>15</v>
      </c>
      <c r="AI38" s="28">
        <v>29</v>
      </c>
      <c r="AJ38" s="28">
        <v>6</v>
      </c>
      <c r="AK38" s="28">
        <v>2</v>
      </c>
      <c r="AL38" s="28">
        <v>5</v>
      </c>
      <c r="AM38" s="28">
        <v>16</v>
      </c>
      <c r="AN38" s="28">
        <v>13</v>
      </c>
      <c r="AO38" s="74">
        <v>30</v>
      </c>
      <c r="AP38" s="28">
        <v>0</v>
      </c>
      <c r="AQ38" s="28">
        <v>2</v>
      </c>
      <c r="AR38" s="74">
        <v>4</v>
      </c>
      <c r="AS38" s="28">
        <f>IFERROR((MIN_H220[[#This Row],[H]]-MIN_H220[[#This Row],[2B]]-MIN_H220[[#This Row],[3B]]-MIN_H220[[#This Row],[HR]])+(MIN_H220[[#This Row],[2B]]*2)+(MIN_H220[[#This Row],[3B]]*3)+(MIN_H220[[#This Row],[HR]]*4),0)</f>
        <v>54</v>
      </c>
      <c r="AT38" s="72">
        <f>MIN_H220[[#This Row],[OBP]]+MIN_H220[[#This Row],[SLG]]</f>
        <v>0.71437929905011466</v>
      </c>
      <c r="AU38" s="74">
        <v>3</v>
      </c>
      <c r="AV38" s="615">
        <v>4</v>
      </c>
      <c r="AY38" s="651" t="s">
        <v>429</v>
      </c>
      <c r="AZ38" s="71" t="s">
        <v>153</v>
      </c>
      <c r="BA38" s="71" t="s">
        <v>438</v>
      </c>
      <c r="BB38" s="72">
        <f>IFERROR(MIN_H194[[#This Row],[H]]/MIN_H194[[#This Row],[AB]],0)</f>
        <v>0.28000000000000003</v>
      </c>
      <c r="BC38" s="72">
        <f>IFERROR((MIN_H194[[#This Row],[H]]+MIN_H194[[#This Row],[BB]])/(MIN_H194[[#This Row],[BB]]+MIN_H194[[#This Row],[AB]]),0)</f>
        <v>0.34306569343065696</v>
      </c>
      <c r="BD38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0.33600000000000002</v>
      </c>
      <c r="BE38" s="28">
        <v>37</v>
      </c>
      <c r="BF38" s="28">
        <v>125</v>
      </c>
      <c r="BG38" s="28">
        <v>16</v>
      </c>
      <c r="BH38" s="28">
        <v>35</v>
      </c>
      <c r="BI38" s="28">
        <v>7</v>
      </c>
      <c r="BJ38" s="28">
        <v>0</v>
      </c>
      <c r="BK38" s="28">
        <v>0</v>
      </c>
      <c r="BL38" s="28">
        <v>13</v>
      </c>
      <c r="BM38" s="28">
        <v>12</v>
      </c>
      <c r="BN38" s="74">
        <v>21</v>
      </c>
      <c r="BO38" s="28">
        <v>0</v>
      </c>
      <c r="BP38" s="28">
        <v>2</v>
      </c>
      <c r="BQ38" s="74">
        <v>6</v>
      </c>
      <c r="BR38" s="28">
        <f t="shared" si="4"/>
        <v>42</v>
      </c>
      <c r="BS38" s="72">
        <f>IFERROR(MIN_H194[[#This Row],[OBP]]+MIN_H194[[#This Row],[SLG]],0)</f>
        <v>0.67906569343065692</v>
      </c>
      <c r="BT38" s="74">
        <v>0</v>
      </c>
      <c r="BU38" s="615">
        <v>4</v>
      </c>
    </row>
    <row r="39" spans="1:73">
      <c r="A39" s="651" t="s">
        <v>429</v>
      </c>
      <c r="B39" s="71" t="s">
        <v>177</v>
      </c>
      <c r="C39" s="77" t="s">
        <v>439</v>
      </c>
      <c r="D39" s="130">
        <f>IFERROR(MIN_H[[#This Row],[H]]/MIN_H[[#This Row],[AB]],0)</f>
        <v>0.18518518518518517</v>
      </c>
      <c r="E39" s="72">
        <f>IFERROR((MIN_H[[#This Row],[H]]+MIN_H[[#This Row],[BB]])/(MIN_H[[#This Row],[BB]]+MIN_H[[#This Row],[AB]]),0)</f>
        <v>0.2413793103448276</v>
      </c>
      <c r="F39" s="73">
        <f>IFERROR(((MIN_H[[#This Row],[H]]-MIN_H[[#This Row],[2B]]-MIN_H[[#This Row],[3B]]-MIN_H[[#This Row],[HR]])+(MIN_H[[#This Row],[2B]]*2)+(MIN_H[[#This Row],[3B]]*3)+(MIN_H[[#This Row],[HR]]*4))/MIN_H[[#This Row],[AB]],0)</f>
        <v>0.37037037037037035</v>
      </c>
      <c r="G39" s="28">
        <v>23</v>
      </c>
      <c r="H39" s="28">
        <v>81</v>
      </c>
      <c r="I39" s="28">
        <v>6</v>
      </c>
      <c r="J39" s="28">
        <v>15</v>
      </c>
      <c r="K39" s="28">
        <v>3</v>
      </c>
      <c r="L39" s="28">
        <v>0</v>
      </c>
      <c r="M39" s="28">
        <v>4</v>
      </c>
      <c r="N39" s="28">
        <v>13</v>
      </c>
      <c r="O39" s="28">
        <v>6</v>
      </c>
      <c r="P39" s="74">
        <v>35</v>
      </c>
      <c r="Q39" s="28">
        <v>0</v>
      </c>
      <c r="R39" s="28">
        <v>0</v>
      </c>
      <c r="S39" s="74">
        <v>6</v>
      </c>
      <c r="T39" s="28">
        <f>IFERROR((MIN_H[[#This Row],[H]]-MIN_H[[#This Row],[2B]]-MIN_H[[#This Row],[3B]]-MIN_H[[#This Row],[HR]])+(MIN_H[[#This Row],[2B]]*2)+(MIN_H[[#This Row],[3B]]*3)+(MIN_H[[#This Row],[HR]]*4),0)</f>
        <v>30</v>
      </c>
      <c r="U39" s="72">
        <f>MIN_H[[#This Row],[OBP]]+MIN_H[[#This Row],[SLG]]</f>
        <v>0.61174968071519797</v>
      </c>
      <c r="V39" s="74">
        <v>1</v>
      </c>
      <c r="W39" s="615">
        <v>5</v>
      </c>
      <c r="Z39" s="651" t="s">
        <v>429</v>
      </c>
      <c r="AA39" s="71" t="s">
        <v>177</v>
      </c>
      <c r="AB39" s="71" t="s">
        <v>439</v>
      </c>
      <c r="AC39" s="72">
        <f>IFERROR(MIN_H220[[#This Row],[H]]/MIN_H220[[#This Row],[AB]],0)</f>
        <v>0.1891891891891892</v>
      </c>
      <c r="AD39" s="72">
        <f>IFERROR((MIN_H220[[#This Row],[H]]+MIN_H220[[#This Row],[BB]])/(MIN_H220[[#This Row],[BB]]+MIN_H220[[#This Row],[AB]]),0)</f>
        <v>0.27710843373493976</v>
      </c>
      <c r="AE39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0.47297297297297297</v>
      </c>
      <c r="AF39" s="28">
        <v>21</v>
      </c>
      <c r="AG39" s="28">
        <v>74</v>
      </c>
      <c r="AH39" s="28">
        <v>13</v>
      </c>
      <c r="AI39" s="28">
        <v>14</v>
      </c>
      <c r="AJ39" s="28">
        <v>0</v>
      </c>
      <c r="AK39" s="28">
        <v>0</v>
      </c>
      <c r="AL39" s="28">
        <v>7</v>
      </c>
      <c r="AM39" s="28">
        <v>14</v>
      </c>
      <c r="AN39" s="28">
        <v>9</v>
      </c>
      <c r="AO39" s="74">
        <v>22</v>
      </c>
      <c r="AP39" s="28">
        <v>0</v>
      </c>
      <c r="AQ39" s="28">
        <v>1</v>
      </c>
      <c r="AR39" s="74">
        <v>3</v>
      </c>
      <c r="AS39" s="28">
        <f>IFERROR((MIN_H220[[#This Row],[H]]-MIN_H220[[#This Row],[2B]]-MIN_H220[[#This Row],[3B]]-MIN_H220[[#This Row],[HR]])+(MIN_H220[[#This Row],[2B]]*2)+(MIN_H220[[#This Row],[3B]]*3)+(MIN_H220[[#This Row],[HR]]*4),0)</f>
        <v>35</v>
      </c>
      <c r="AT39" s="72">
        <f>MIN_H220[[#This Row],[OBP]]+MIN_H220[[#This Row],[SLG]]</f>
        <v>0.75008140670791268</v>
      </c>
      <c r="AU39" s="74">
        <v>1</v>
      </c>
      <c r="AV39" s="615">
        <v>5</v>
      </c>
      <c r="AY39" s="651" t="s">
        <v>429</v>
      </c>
      <c r="AZ39" s="71" t="s">
        <v>177</v>
      </c>
      <c r="BA39" s="71" t="s">
        <v>439</v>
      </c>
      <c r="BB39" s="72">
        <f>IFERROR(MIN_H194[[#This Row],[H]]/MIN_H194[[#This Row],[AB]],0)</f>
        <v>0.1728395061728395</v>
      </c>
      <c r="BC39" s="72">
        <f>IFERROR((MIN_H194[[#This Row],[H]]+MIN_H194[[#This Row],[BB]])/(MIN_H194[[#This Row],[BB]]+MIN_H194[[#This Row],[AB]]),0)</f>
        <v>0.23863636363636365</v>
      </c>
      <c r="BD39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0.40740740740740738</v>
      </c>
      <c r="BE39" s="28">
        <v>25</v>
      </c>
      <c r="BF39" s="28">
        <v>81</v>
      </c>
      <c r="BG39" s="28">
        <v>14</v>
      </c>
      <c r="BH39" s="28">
        <v>14</v>
      </c>
      <c r="BI39" s="28">
        <v>4</v>
      </c>
      <c r="BJ39" s="28">
        <v>0</v>
      </c>
      <c r="BK39" s="28">
        <v>5</v>
      </c>
      <c r="BL39" s="28">
        <v>10</v>
      </c>
      <c r="BM39" s="28">
        <v>7</v>
      </c>
      <c r="BN39" s="74">
        <v>33</v>
      </c>
      <c r="BO39" s="28">
        <v>0</v>
      </c>
      <c r="BP39" s="28">
        <v>0</v>
      </c>
      <c r="BQ39" s="74">
        <v>3</v>
      </c>
      <c r="BR39" s="28">
        <f t="shared" si="4"/>
        <v>33</v>
      </c>
      <c r="BS39" s="72">
        <f>IFERROR(MIN_H194[[#This Row],[OBP]]+MIN_H194[[#This Row],[SLG]],0)</f>
        <v>0.64604377104377098</v>
      </c>
      <c r="BT39" s="74">
        <v>1</v>
      </c>
      <c r="BU39" s="615">
        <v>5</v>
      </c>
    </row>
    <row r="40" spans="1:73">
      <c r="A40" s="651" t="s">
        <v>429</v>
      </c>
      <c r="B40" s="71" t="s">
        <v>174</v>
      </c>
      <c r="C40" s="77" t="s">
        <v>433</v>
      </c>
      <c r="D40" s="130">
        <f>IFERROR(MIN_H[[#This Row],[H]]/MIN_H[[#This Row],[AB]],0)</f>
        <v>0.27544910179640719</v>
      </c>
      <c r="E40" s="72">
        <f>IFERROR((MIN_H[[#This Row],[H]]+MIN_H[[#This Row],[BB]])/(MIN_H[[#This Row],[BB]]+MIN_H[[#This Row],[AB]]),0)</f>
        <v>0.30857142857142855</v>
      </c>
      <c r="F40" s="73">
        <f>IFERROR(((MIN_H[[#This Row],[H]]-MIN_H[[#This Row],[2B]]-MIN_H[[#This Row],[3B]]-MIN_H[[#This Row],[HR]])+(MIN_H[[#This Row],[2B]]*2)+(MIN_H[[#This Row],[3B]]*3)+(MIN_H[[#This Row],[HR]]*4))/MIN_H[[#This Row],[AB]],0)</f>
        <v>0.40718562874251496</v>
      </c>
      <c r="G40" s="28">
        <v>40</v>
      </c>
      <c r="H40" s="28">
        <v>167</v>
      </c>
      <c r="I40" s="28">
        <v>15</v>
      </c>
      <c r="J40" s="28">
        <v>46</v>
      </c>
      <c r="K40" s="28">
        <v>8</v>
      </c>
      <c r="L40" s="28">
        <v>1</v>
      </c>
      <c r="M40" s="28">
        <v>4</v>
      </c>
      <c r="N40" s="28">
        <v>14</v>
      </c>
      <c r="O40" s="28">
        <v>8</v>
      </c>
      <c r="P40" s="74">
        <v>37</v>
      </c>
      <c r="Q40" s="28">
        <v>0</v>
      </c>
      <c r="R40" s="28">
        <v>2</v>
      </c>
      <c r="S40" s="74">
        <v>8</v>
      </c>
      <c r="T40" s="28">
        <f>IFERROR((MIN_H[[#This Row],[H]]-MIN_H[[#This Row],[2B]]-MIN_H[[#This Row],[3B]]-MIN_H[[#This Row],[HR]])+(MIN_H[[#This Row],[2B]]*2)+(MIN_H[[#This Row],[3B]]*3)+(MIN_H[[#This Row],[HR]]*4),0)</f>
        <v>68</v>
      </c>
      <c r="U40" s="72">
        <f>MIN_H[[#This Row],[OBP]]+MIN_H[[#This Row],[SLG]]</f>
        <v>0.71575705731394357</v>
      </c>
      <c r="V40" s="74">
        <v>0</v>
      </c>
      <c r="W40" s="615">
        <v>6</v>
      </c>
      <c r="Z40" s="651" t="s">
        <v>429</v>
      </c>
      <c r="AA40" s="71" t="s">
        <v>174</v>
      </c>
      <c r="AB40" s="71" t="s">
        <v>433</v>
      </c>
      <c r="AC40" s="72">
        <f>IFERROR(MIN_H220[[#This Row],[H]]/MIN_H220[[#This Row],[AB]],0)</f>
        <v>0.2982456140350877</v>
      </c>
      <c r="AD40" s="72">
        <f>IFERROR((MIN_H220[[#This Row],[H]]+MIN_H220[[#This Row],[BB]])/(MIN_H220[[#This Row],[BB]]+MIN_H220[[#This Row],[AB]]),0)</f>
        <v>0.34782608695652173</v>
      </c>
      <c r="AE40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0.51461988304093564</v>
      </c>
      <c r="AF40" s="28">
        <v>40</v>
      </c>
      <c r="AG40" s="28">
        <v>171</v>
      </c>
      <c r="AH40" s="28">
        <v>17</v>
      </c>
      <c r="AI40" s="28">
        <v>51</v>
      </c>
      <c r="AJ40" s="28">
        <v>12</v>
      </c>
      <c r="AK40" s="28">
        <v>2</v>
      </c>
      <c r="AL40" s="28">
        <v>7</v>
      </c>
      <c r="AM40" s="28">
        <v>29</v>
      </c>
      <c r="AN40" s="28">
        <v>13</v>
      </c>
      <c r="AO40" s="74">
        <v>27</v>
      </c>
      <c r="AP40" s="28">
        <v>0</v>
      </c>
      <c r="AQ40" s="28">
        <v>3</v>
      </c>
      <c r="AR40" s="74">
        <v>7</v>
      </c>
      <c r="AS40" s="28">
        <f>IFERROR((MIN_H220[[#This Row],[H]]-MIN_H220[[#This Row],[2B]]-MIN_H220[[#This Row],[3B]]-MIN_H220[[#This Row],[HR]])+(MIN_H220[[#This Row],[2B]]*2)+(MIN_H220[[#This Row],[3B]]*3)+(MIN_H220[[#This Row],[HR]]*4),0)</f>
        <v>88</v>
      </c>
      <c r="AT40" s="72">
        <f>MIN_H220[[#This Row],[OBP]]+MIN_H220[[#This Row],[SLG]]</f>
        <v>0.86244596999745737</v>
      </c>
      <c r="AU40" s="74">
        <v>6</v>
      </c>
      <c r="AV40" s="615">
        <v>6</v>
      </c>
      <c r="AY40" s="651" t="s">
        <v>429</v>
      </c>
      <c r="AZ40" s="71" t="s">
        <v>174</v>
      </c>
      <c r="BA40" s="71" t="s">
        <v>446</v>
      </c>
      <c r="BB40" s="72">
        <f>IFERROR(MIN_H194[[#This Row],[H]]/MIN_H194[[#This Row],[AB]],0)</f>
        <v>0.2</v>
      </c>
      <c r="BC40" s="72">
        <f>IFERROR((MIN_H194[[#This Row],[H]]+MIN_H194[[#This Row],[BB]])/(MIN_H194[[#This Row],[BB]]+MIN_H194[[#This Row],[AB]]),0)</f>
        <v>0.23404255319148937</v>
      </c>
      <c r="BD40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0.26666666666666666</v>
      </c>
      <c r="BE40" s="28">
        <v>16</v>
      </c>
      <c r="BF40" s="28">
        <v>45</v>
      </c>
      <c r="BG40" s="28">
        <v>4</v>
      </c>
      <c r="BH40" s="28">
        <v>9</v>
      </c>
      <c r="BI40" s="28">
        <v>1</v>
      </c>
      <c r="BJ40" s="28">
        <v>1</v>
      </c>
      <c r="BK40" s="28">
        <v>0</v>
      </c>
      <c r="BL40" s="28">
        <v>3</v>
      </c>
      <c r="BM40" s="28">
        <v>2</v>
      </c>
      <c r="BN40" s="74">
        <v>11</v>
      </c>
      <c r="BO40" s="28">
        <v>0</v>
      </c>
      <c r="BP40" s="28">
        <v>0</v>
      </c>
      <c r="BQ40" s="74">
        <v>3</v>
      </c>
      <c r="BR40" s="28">
        <f t="shared" si="4"/>
        <v>12</v>
      </c>
      <c r="BS40" s="72">
        <f>IFERROR(MIN_H194[[#This Row],[OBP]]+MIN_H194[[#This Row],[SLG]],0)</f>
        <v>0.50070921985815597</v>
      </c>
      <c r="BT40" s="74">
        <v>1</v>
      </c>
      <c r="BU40" s="615">
        <v>6</v>
      </c>
    </row>
    <row r="41" spans="1:73">
      <c r="A41" s="651" t="s">
        <v>429</v>
      </c>
      <c r="B41" s="71" t="s">
        <v>181</v>
      </c>
      <c r="C41" s="77" t="s">
        <v>430</v>
      </c>
      <c r="D41" s="130">
        <f>IFERROR(MIN_H[[#This Row],[H]]/MIN_H[[#This Row],[AB]],0)</f>
        <v>0.31818181818181818</v>
      </c>
      <c r="E41" s="72">
        <f>IFERROR((MIN_H[[#This Row],[H]]+MIN_H[[#This Row],[BB]])/(MIN_H[[#This Row],[BB]]+MIN_H[[#This Row],[AB]]),0)</f>
        <v>0.34782608695652173</v>
      </c>
      <c r="F41" s="73">
        <f>IFERROR(((MIN_H[[#This Row],[H]]-MIN_H[[#This Row],[2B]]-MIN_H[[#This Row],[3B]]-MIN_H[[#This Row],[HR]])+(MIN_H[[#This Row],[2B]]*2)+(MIN_H[[#This Row],[3B]]*3)+(MIN_H[[#This Row],[HR]]*4))/MIN_H[[#This Row],[AB]],0)</f>
        <v>0.57792207792207795</v>
      </c>
      <c r="G41" s="28">
        <v>40</v>
      </c>
      <c r="H41" s="28">
        <v>154</v>
      </c>
      <c r="I41" s="28">
        <v>21</v>
      </c>
      <c r="J41" s="28">
        <v>49</v>
      </c>
      <c r="K41" s="28">
        <v>3</v>
      </c>
      <c r="L41" s="28">
        <v>2</v>
      </c>
      <c r="M41" s="28">
        <v>11</v>
      </c>
      <c r="N41" s="28">
        <v>29</v>
      </c>
      <c r="O41" s="28">
        <v>7</v>
      </c>
      <c r="P41" s="74">
        <v>30</v>
      </c>
      <c r="Q41" s="28">
        <v>0</v>
      </c>
      <c r="R41" s="28">
        <v>1</v>
      </c>
      <c r="S41" s="74">
        <v>11</v>
      </c>
      <c r="T41" s="28">
        <f>IFERROR((MIN_H[[#This Row],[H]]-MIN_H[[#This Row],[2B]]-MIN_H[[#This Row],[3B]]-MIN_H[[#This Row],[HR]])+(MIN_H[[#This Row],[2B]]*2)+(MIN_H[[#This Row],[3B]]*3)+(MIN_H[[#This Row],[HR]]*4),0)</f>
        <v>89</v>
      </c>
      <c r="U41" s="72">
        <f>MIN_H[[#This Row],[OBP]]+MIN_H[[#This Row],[SLG]]</f>
        <v>0.92574816487859968</v>
      </c>
      <c r="V41" s="74">
        <v>5</v>
      </c>
      <c r="W41" s="615">
        <v>7</v>
      </c>
      <c r="Z41" s="651" t="s">
        <v>429</v>
      </c>
      <c r="AA41" s="71" t="s">
        <v>181</v>
      </c>
      <c r="AB41" s="77" t="s">
        <v>430</v>
      </c>
      <c r="AC41" s="130">
        <f>IFERROR(MIN_H220[[#This Row],[H]]/MIN_H220[[#This Row],[AB]],0)</f>
        <v>0.25517241379310346</v>
      </c>
      <c r="AD41" s="72">
        <f>IFERROR((MIN_H220[[#This Row],[H]]+MIN_H220[[#This Row],[BB]])/(MIN_H220[[#This Row],[BB]]+MIN_H220[[#This Row],[AB]]),0)</f>
        <v>0.32919254658385094</v>
      </c>
      <c r="AE41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0.56551724137931036</v>
      </c>
      <c r="AF41" s="28">
        <v>39</v>
      </c>
      <c r="AG41" s="28">
        <v>145</v>
      </c>
      <c r="AH41" s="28">
        <v>23</v>
      </c>
      <c r="AI41" s="28">
        <v>37</v>
      </c>
      <c r="AJ41" s="28">
        <v>8</v>
      </c>
      <c r="AK41" s="28">
        <v>2</v>
      </c>
      <c r="AL41" s="28">
        <v>11</v>
      </c>
      <c r="AM41" s="28">
        <v>24</v>
      </c>
      <c r="AN41" s="28">
        <v>16</v>
      </c>
      <c r="AO41" s="74">
        <v>30</v>
      </c>
      <c r="AP41" s="28">
        <v>0</v>
      </c>
      <c r="AQ41" s="28">
        <v>0</v>
      </c>
      <c r="AR41" s="74">
        <v>4</v>
      </c>
      <c r="AS41" s="28">
        <f>IFERROR((MIN_H220[[#This Row],[H]]-MIN_H220[[#This Row],[2B]]-MIN_H220[[#This Row],[3B]]-MIN_H220[[#This Row],[HR]])+(MIN_H220[[#This Row],[2B]]*2)+(MIN_H220[[#This Row],[3B]]*3)+(MIN_H220[[#This Row],[HR]]*4),0)</f>
        <v>82</v>
      </c>
      <c r="AT41" s="72">
        <f>MIN_H220[[#This Row],[OBP]]+MIN_H220[[#This Row],[SLG]]</f>
        <v>0.89470978796316136</v>
      </c>
      <c r="AU41" s="74">
        <v>0</v>
      </c>
      <c r="AV41" s="615">
        <v>7</v>
      </c>
      <c r="AY41" s="651" t="s">
        <v>429</v>
      </c>
      <c r="AZ41" s="71" t="s">
        <v>181</v>
      </c>
      <c r="BA41" s="71" t="s">
        <v>433</v>
      </c>
      <c r="BB41" s="72">
        <f>IFERROR(MIN_H194[[#This Row],[H]]/MIN_H194[[#This Row],[AB]],0)</f>
        <v>0.29069767441860467</v>
      </c>
      <c r="BC41" s="72">
        <f>IFERROR((MIN_H194[[#This Row],[H]]+MIN_H194[[#This Row],[BB]])/(MIN_H194[[#This Row],[BB]]+MIN_H194[[#This Row],[AB]]),0)</f>
        <v>0.33695652173913043</v>
      </c>
      <c r="BD41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0.45930232558139533</v>
      </c>
      <c r="BE41" s="28">
        <v>40</v>
      </c>
      <c r="BF41" s="28">
        <v>172</v>
      </c>
      <c r="BG41" s="28">
        <v>25</v>
      </c>
      <c r="BH41" s="28">
        <v>50</v>
      </c>
      <c r="BI41" s="28">
        <v>12</v>
      </c>
      <c r="BJ41" s="28">
        <v>1</v>
      </c>
      <c r="BK41" s="28">
        <v>5</v>
      </c>
      <c r="BL41" s="28">
        <v>23</v>
      </c>
      <c r="BM41" s="28">
        <v>12</v>
      </c>
      <c r="BN41" s="74">
        <v>29</v>
      </c>
      <c r="BO41" s="28">
        <v>1</v>
      </c>
      <c r="BP41" s="28">
        <v>2</v>
      </c>
      <c r="BQ41" s="74">
        <v>8</v>
      </c>
      <c r="BR41" s="28">
        <f t="shared" si="4"/>
        <v>79</v>
      </c>
      <c r="BS41" s="72">
        <f>IFERROR(MIN_H194[[#This Row],[OBP]]+MIN_H194[[#This Row],[SLG]],0)</f>
        <v>0.79625884732052576</v>
      </c>
      <c r="BT41" s="74">
        <v>2</v>
      </c>
      <c r="BU41" s="615">
        <v>7</v>
      </c>
    </row>
    <row r="42" spans="1:73">
      <c r="A42" s="651" t="s">
        <v>429</v>
      </c>
      <c r="B42" s="71" t="s">
        <v>166</v>
      </c>
      <c r="C42" s="77" t="s">
        <v>431</v>
      </c>
      <c r="D42" s="130">
        <f>IFERROR(MIN_H[[#This Row],[H]]/MIN_H[[#This Row],[AB]],0)</f>
        <v>0.17751479289940827</v>
      </c>
      <c r="E42" s="72">
        <f>IFERROR((MIN_H[[#This Row],[H]]+MIN_H[[#This Row],[BB]])/(MIN_H[[#This Row],[BB]]+MIN_H[[#This Row],[AB]]),0)</f>
        <v>0.25268817204301075</v>
      </c>
      <c r="F42" s="73">
        <f>IFERROR(((MIN_H[[#This Row],[H]]-MIN_H[[#This Row],[2B]]-MIN_H[[#This Row],[3B]]-MIN_H[[#This Row],[HR]])+(MIN_H[[#This Row],[2B]]*2)+(MIN_H[[#This Row],[3B]]*3)+(MIN_H[[#This Row],[HR]]*4))/MIN_H[[#This Row],[AB]],0)</f>
        <v>0.36094674556213019</v>
      </c>
      <c r="G42" s="28">
        <v>40</v>
      </c>
      <c r="H42" s="28">
        <v>169</v>
      </c>
      <c r="I42" s="28">
        <v>19</v>
      </c>
      <c r="J42" s="28">
        <v>30</v>
      </c>
      <c r="K42" s="28">
        <v>7</v>
      </c>
      <c r="L42" s="28">
        <v>0</v>
      </c>
      <c r="M42" s="28">
        <v>8</v>
      </c>
      <c r="N42" s="28">
        <v>14</v>
      </c>
      <c r="O42" s="28">
        <v>17</v>
      </c>
      <c r="P42" s="74">
        <v>63</v>
      </c>
      <c r="Q42" s="28">
        <v>13</v>
      </c>
      <c r="R42" s="28">
        <v>0</v>
      </c>
      <c r="S42" s="74">
        <v>7</v>
      </c>
      <c r="T42" s="28">
        <f>IFERROR((MIN_H[[#This Row],[H]]-MIN_H[[#This Row],[2B]]-MIN_H[[#This Row],[3B]]-MIN_H[[#This Row],[HR]])+(MIN_H[[#This Row],[2B]]*2)+(MIN_H[[#This Row],[3B]]*3)+(MIN_H[[#This Row],[HR]]*4),0)</f>
        <v>61</v>
      </c>
      <c r="U42" s="72">
        <f>MIN_H[[#This Row],[OBP]]+MIN_H[[#This Row],[SLG]]</f>
        <v>0.61363491760514099</v>
      </c>
      <c r="V42" s="74">
        <v>1</v>
      </c>
      <c r="W42" s="615">
        <v>8</v>
      </c>
      <c r="Z42" s="651" t="s">
        <v>429</v>
      </c>
      <c r="AA42" s="345" t="s">
        <v>166</v>
      </c>
      <c r="AB42" s="352" t="s">
        <v>431</v>
      </c>
      <c r="AC42" s="130">
        <f>IFERROR(MIN_H220[[#This Row],[H]]/MIN_H220[[#This Row],[AB]],0)</f>
        <v>0.29281767955801102</v>
      </c>
      <c r="AD42" s="72">
        <f>IFERROR((MIN_H220[[#This Row],[H]]+MIN_H220[[#This Row],[BB]])/(MIN_H220[[#This Row],[BB]]+MIN_H220[[#This Row],[AB]]),0)</f>
        <v>0.33678756476683935</v>
      </c>
      <c r="AE42" s="770">
        <f>IFERROR(((MIN_H220[[#This Row],[H]]-MIN_H220[[#This Row],[2B]]-MIN_H220[[#This Row],[3B]]-MIN_H220[[#This Row],[HR]])+(MIN_H220[[#This Row],[2B]]*2)+(MIN_H220[[#This Row],[3B]]*3)+(MIN_H220[[#This Row],[HR]]*4))/MIN_H220[[#This Row],[AB]],0)</f>
        <v>0.70718232044198892</v>
      </c>
      <c r="AF42" s="28">
        <v>40</v>
      </c>
      <c r="AG42" s="586">
        <v>181</v>
      </c>
      <c r="AH42" s="586">
        <v>43</v>
      </c>
      <c r="AI42" s="28">
        <v>53</v>
      </c>
      <c r="AJ42" s="28">
        <v>13</v>
      </c>
      <c r="AK42" s="28">
        <v>1</v>
      </c>
      <c r="AL42" s="586">
        <v>20</v>
      </c>
      <c r="AM42" s="28">
        <v>39</v>
      </c>
      <c r="AN42" s="28">
        <v>12</v>
      </c>
      <c r="AO42" s="74">
        <v>54</v>
      </c>
      <c r="AP42" s="28">
        <v>9</v>
      </c>
      <c r="AQ42" s="28">
        <v>14</v>
      </c>
      <c r="AR42" s="74">
        <v>14</v>
      </c>
      <c r="AS42" s="586">
        <f>IFERROR((MIN_H220[[#This Row],[H]]-MIN_H220[[#This Row],[2B]]-MIN_H220[[#This Row],[3B]]-MIN_H220[[#This Row],[HR]])+(MIN_H220[[#This Row],[2B]]*2)+(MIN_H220[[#This Row],[3B]]*3)+(MIN_H220[[#This Row],[HR]]*4),0)</f>
        <v>128</v>
      </c>
      <c r="AT42" s="594">
        <f>MIN_H220[[#This Row],[OBP]]+MIN_H220[[#This Row],[SLG]]</f>
        <v>1.0439698852088282</v>
      </c>
      <c r="AU42" s="74">
        <v>6</v>
      </c>
      <c r="AV42" s="615">
        <v>8</v>
      </c>
      <c r="AY42" s="651" t="s">
        <v>429</v>
      </c>
      <c r="AZ42" s="345" t="s">
        <v>166</v>
      </c>
      <c r="BA42" s="71" t="s">
        <v>431</v>
      </c>
      <c r="BB42" s="72">
        <f>IFERROR(MIN_H194[[#This Row],[H]]/MIN_H194[[#This Row],[AB]],0)</f>
        <v>0.27932960893854747</v>
      </c>
      <c r="BC42" s="72">
        <f>IFERROR((MIN_H194[[#This Row],[H]]+MIN_H194[[#This Row],[BB]])/(MIN_H194[[#This Row],[BB]]+MIN_H194[[#This Row],[AB]]),0)</f>
        <v>0.32105263157894737</v>
      </c>
      <c r="BD42" s="346">
        <f>IFERROR(((MIN_H194[[#This Row],[H]]-MIN_H194[[#This Row],[2B]]-MIN_H194[[#This Row],[3B]]-MIN_H194[[#This Row],[HR]])+(MIN_H194[[#This Row],[2B]]*2)+(MIN_H194[[#This Row],[3B]]*3)+(MIN_H194[[#This Row],[HR]]*4))/MIN_H194[[#This Row],[AB]],0)</f>
        <v>0.69273743016759781</v>
      </c>
      <c r="BE42" s="28">
        <v>40</v>
      </c>
      <c r="BF42" s="76">
        <v>179</v>
      </c>
      <c r="BG42" s="28">
        <v>35</v>
      </c>
      <c r="BH42" s="28">
        <v>50</v>
      </c>
      <c r="BI42" s="28">
        <v>14</v>
      </c>
      <c r="BJ42" s="28">
        <v>3</v>
      </c>
      <c r="BK42" s="76">
        <v>18</v>
      </c>
      <c r="BL42" s="28">
        <v>36</v>
      </c>
      <c r="BM42" s="28">
        <v>11</v>
      </c>
      <c r="BN42" s="74">
        <v>56</v>
      </c>
      <c r="BO42" s="28">
        <v>9</v>
      </c>
      <c r="BP42" s="28">
        <v>17</v>
      </c>
      <c r="BQ42" s="74">
        <v>17</v>
      </c>
      <c r="BR42" s="76">
        <f t="shared" si="4"/>
        <v>124</v>
      </c>
      <c r="BS42" s="72">
        <f>IFERROR(MIN_H194[[#This Row],[OBP]]+MIN_H194[[#This Row],[SLG]],0)</f>
        <v>1.0137900617465452</v>
      </c>
      <c r="BT42" s="74">
        <v>4</v>
      </c>
      <c r="BU42" s="615">
        <v>8</v>
      </c>
    </row>
    <row r="43" spans="1:73">
      <c r="A43" s="651" t="s">
        <v>429</v>
      </c>
      <c r="B43" s="71" t="s">
        <v>168</v>
      </c>
      <c r="C43" s="77" t="s">
        <v>437</v>
      </c>
      <c r="D43" s="130">
        <f>IFERROR(MIN_H[[#This Row],[H]]/MIN_H[[#This Row],[AB]],0)</f>
        <v>0.20930232558139536</v>
      </c>
      <c r="E43" s="72">
        <f>IFERROR((MIN_H[[#This Row],[H]]+MIN_H[[#This Row],[BB]])/(MIN_H[[#This Row],[BB]]+MIN_H[[#This Row],[AB]]),0)</f>
        <v>0.28671328671328672</v>
      </c>
      <c r="F43" s="73">
        <f>IFERROR(((MIN_H[[#This Row],[H]]-MIN_H[[#This Row],[2B]]-MIN_H[[#This Row],[3B]]-MIN_H[[#This Row],[HR]])+(MIN_H[[#This Row],[2B]]*2)+(MIN_H[[#This Row],[3B]]*3)+(MIN_H[[#This Row],[HR]]*4))/MIN_H[[#This Row],[AB]],0)</f>
        <v>0.46511627906976744</v>
      </c>
      <c r="G43" s="28">
        <v>33</v>
      </c>
      <c r="H43" s="28">
        <v>129</v>
      </c>
      <c r="I43" s="28">
        <v>19</v>
      </c>
      <c r="J43" s="28">
        <v>27</v>
      </c>
      <c r="K43" s="28">
        <v>6</v>
      </c>
      <c r="L43" s="28">
        <v>0</v>
      </c>
      <c r="M43" s="28">
        <v>9</v>
      </c>
      <c r="N43" s="28">
        <v>22</v>
      </c>
      <c r="O43" s="28">
        <v>14</v>
      </c>
      <c r="P43" s="74">
        <v>36</v>
      </c>
      <c r="Q43" s="28">
        <v>0</v>
      </c>
      <c r="R43" s="28">
        <v>0</v>
      </c>
      <c r="S43" s="74">
        <v>4</v>
      </c>
      <c r="T43" s="28">
        <f>IFERROR((MIN_H[[#This Row],[H]]-MIN_H[[#This Row],[2B]]-MIN_H[[#This Row],[3B]]-MIN_H[[#This Row],[HR]])+(MIN_H[[#This Row],[2B]]*2)+(MIN_H[[#This Row],[3B]]*3)+(MIN_H[[#This Row],[HR]]*4),0)</f>
        <v>60</v>
      </c>
      <c r="U43" s="72">
        <f>MIN_H[[#This Row],[OBP]]+MIN_H[[#This Row],[SLG]]</f>
        <v>0.75182956578305415</v>
      </c>
      <c r="V43" s="74">
        <v>2</v>
      </c>
      <c r="W43" s="615">
        <v>9</v>
      </c>
      <c r="Z43" s="651" t="s">
        <v>429</v>
      </c>
      <c r="AA43" s="71" t="s">
        <v>168</v>
      </c>
      <c r="AB43" s="77" t="s">
        <v>437</v>
      </c>
      <c r="AC43" s="130">
        <f>IFERROR(MIN_H220[[#This Row],[H]]/MIN_H220[[#This Row],[AB]],0)</f>
        <v>0.24840764331210191</v>
      </c>
      <c r="AD43" s="72">
        <f>IFERROR((MIN_H220[[#This Row],[H]]+MIN_H220[[#This Row],[BB]])/(MIN_H220[[#This Row],[BB]]+MIN_H220[[#This Row],[AB]]),0)</f>
        <v>0.32571428571428573</v>
      </c>
      <c r="AE43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0.47770700636942676</v>
      </c>
      <c r="AF43" s="28">
        <v>39</v>
      </c>
      <c r="AG43" s="28">
        <v>157</v>
      </c>
      <c r="AH43" s="28">
        <v>18</v>
      </c>
      <c r="AI43" s="28">
        <v>39</v>
      </c>
      <c r="AJ43" s="28">
        <v>9</v>
      </c>
      <c r="AK43" s="28">
        <v>0</v>
      </c>
      <c r="AL43" s="28">
        <v>9</v>
      </c>
      <c r="AM43" s="28">
        <v>24</v>
      </c>
      <c r="AN43" s="28">
        <v>18</v>
      </c>
      <c r="AO43" s="74">
        <v>55</v>
      </c>
      <c r="AP43" s="28">
        <v>0</v>
      </c>
      <c r="AQ43" s="28">
        <v>0</v>
      </c>
      <c r="AR43" s="74">
        <v>5</v>
      </c>
      <c r="AS43" s="28">
        <f>IFERROR((MIN_H220[[#This Row],[H]]-MIN_H220[[#This Row],[2B]]-MIN_H220[[#This Row],[3B]]-MIN_H220[[#This Row],[HR]])+(MIN_H220[[#This Row],[2B]]*2)+(MIN_H220[[#This Row],[3B]]*3)+(MIN_H220[[#This Row],[HR]]*4),0)</f>
        <v>75</v>
      </c>
      <c r="AT43" s="72">
        <f>MIN_H220[[#This Row],[OBP]]+MIN_H220[[#This Row],[SLG]]</f>
        <v>0.80342129208371249</v>
      </c>
      <c r="AU43" s="74">
        <v>3</v>
      </c>
      <c r="AV43" s="615">
        <v>9</v>
      </c>
      <c r="AY43" s="651" t="s">
        <v>429</v>
      </c>
      <c r="AZ43" s="71" t="s">
        <v>168</v>
      </c>
      <c r="BA43" s="71" t="s">
        <v>437</v>
      </c>
      <c r="BB43" s="72">
        <f>IFERROR(MIN_H194[[#This Row],[H]]/MIN_H194[[#This Row],[AB]],0)</f>
        <v>0.25308641975308643</v>
      </c>
      <c r="BC43" s="72">
        <f>IFERROR((MIN_H194[[#This Row],[H]]+MIN_H194[[#This Row],[BB]])/(MIN_H194[[#This Row],[BB]]+MIN_H194[[#This Row],[AB]]),0)</f>
        <v>0.30857142857142855</v>
      </c>
      <c r="BD43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0.52469135802469136</v>
      </c>
      <c r="BE43" s="28">
        <v>40</v>
      </c>
      <c r="BF43" s="28">
        <v>162</v>
      </c>
      <c r="BG43" s="28">
        <v>24</v>
      </c>
      <c r="BH43" s="28">
        <v>41</v>
      </c>
      <c r="BI43" s="28">
        <v>8</v>
      </c>
      <c r="BJ43" s="28">
        <v>0</v>
      </c>
      <c r="BK43" s="28">
        <v>12</v>
      </c>
      <c r="BL43" s="28">
        <v>33</v>
      </c>
      <c r="BM43" s="28">
        <v>13</v>
      </c>
      <c r="BN43" s="74">
        <v>51</v>
      </c>
      <c r="BO43" s="28">
        <v>0</v>
      </c>
      <c r="BP43" s="28">
        <v>0</v>
      </c>
      <c r="BQ43" s="74">
        <v>9</v>
      </c>
      <c r="BR43" s="28">
        <f t="shared" si="4"/>
        <v>85</v>
      </c>
      <c r="BS43" s="72">
        <f>IFERROR(MIN_H194[[#This Row],[OBP]]+MIN_H194[[#This Row],[SLG]],0)</f>
        <v>0.83326278659611996</v>
      </c>
      <c r="BT43" s="74">
        <v>4</v>
      </c>
      <c r="BU43" s="615">
        <v>9</v>
      </c>
    </row>
    <row r="44" spans="1:73">
      <c r="A44" s="651" t="s">
        <v>429</v>
      </c>
      <c r="B44" s="71" t="s">
        <v>179</v>
      </c>
      <c r="C44" s="77" t="s">
        <v>442</v>
      </c>
      <c r="D44" s="130">
        <f>IFERROR(MIN_H[[#This Row],[H]]/MIN_H[[#This Row],[AB]],0)</f>
        <v>0.20689655172413793</v>
      </c>
      <c r="E44" s="72">
        <f>IFERROR((MIN_H[[#This Row],[H]]+MIN_H[[#This Row],[BB]])/(MIN_H[[#This Row],[BB]]+MIN_H[[#This Row],[AB]]),0)</f>
        <v>0.28125</v>
      </c>
      <c r="F44" s="73">
        <f>IFERROR(((MIN_H[[#This Row],[H]]-MIN_H[[#This Row],[2B]]-MIN_H[[#This Row],[3B]]-MIN_H[[#This Row],[HR]])+(MIN_H[[#This Row],[2B]]*2)+(MIN_H[[#This Row],[3B]]*3)+(MIN_H[[#This Row],[HR]]*4))/MIN_H[[#This Row],[AB]],0)</f>
        <v>0.41379310344827586</v>
      </c>
      <c r="G44" s="28">
        <v>8</v>
      </c>
      <c r="H44" s="28">
        <v>29</v>
      </c>
      <c r="I44" s="28">
        <v>4</v>
      </c>
      <c r="J44" s="28">
        <v>6</v>
      </c>
      <c r="K44" s="28">
        <v>1</v>
      </c>
      <c r="L44" s="28">
        <v>1</v>
      </c>
      <c r="M44" s="28">
        <v>1</v>
      </c>
      <c r="N44" s="28">
        <v>3</v>
      </c>
      <c r="O44" s="28">
        <v>3</v>
      </c>
      <c r="P44" s="74">
        <v>7</v>
      </c>
      <c r="Q44" s="28">
        <v>0</v>
      </c>
      <c r="R44" s="28">
        <v>2</v>
      </c>
      <c r="S44" s="74">
        <v>2</v>
      </c>
      <c r="T44" s="28">
        <f>IFERROR((MIN_H[[#This Row],[H]]-MIN_H[[#This Row],[2B]]-MIN_H[[#This Row],[3B]]-MIN_H[[#This Row],[HR]])+(MIN_H[[#This Row],[2B]]*2)+(MIN_H[[#This Row],[3B]]*3)+(MIN_H[[#This Row],[HR]]*4),0)</f>
        <v>12</v>
      </c>
      <c r="U44" s="72">
        <f>MIN_H[[#This Row],[OBP]]+MIN_H[[#This Row],[SLG]]</f>
        <v>0.6950431034482758</v>
      </c>
      <c r="V44" s="74">
        <v>1</v>
      </c>
      <c r="W44" s="615">
        <v>10</v>
      </c>
      <c r="Z44" s="651" t="s">
        <v>429</v>
      </c>
      <c r="AA44" s="71" t="s">
        <v>179</v>
      </c>
      <c r="AB44" s="77" t="s">
        <v>442</v>
      </c>
      <c r="AC44" s="130">
        <f>IFERROR(MIN_H220[[#This Row],[H]]/MIN_H220[[#This Row],[AB]],0)</f>
        <v>0.18</v>
      </c>
      <c r="AD44" s="72">
        <f>IFERROR((MIN_H220[[#This Row],[H]]+MIN_H220[[#This Row],[BB]])/(MIN_H220[[#This Row],[BB]]+MIN_H220[[#This Row],[AB]]),0)</f>
        <v>0.2807017543859649</v>
      </c>
      <c r="AE44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0.3</v>
      </c>
      <c r="AF44" s="28">
        <v>14</v>
      </c>
      <c r="AG44" s="28">
        <v>50</v>
      </c>
      <c r="AH44" s="28">
        <v>7</v>
      </c>
      <c r="AI44" s="28">
        <v>9</v>
      </c>
      <c r="AJ44" s="28">
        <v>3</v>
      </c>
      <c r="AK44" s="28">
        <v>0</v>
      </c>
      <c r="AL44" s="28">
        <v>1</v>
      </c>
      <c r="AM44" s="28">
        <v>4</v>
      </c>
      <c r="AN44" s="28">
        <v>7</v>
      </c>
      <c r="AO44" s="74">
        <v>15</v>
      </c>
      <c r="AP44" s="28">
        <v>0</v>
      </c>
      <c r="AQ44" s="28">
        <v>1</v>
      </c>
      <c r="AR44" s="74">
        <v>2</v>
      </c>
      <c r="AS44" s="28">
        <f>IFERROR((MIN_H220[[#This Row],[H]]-MIN_H220[[#This Row],[2B]]-MIN_H220[[#This Row],[3B]]-MIN_H220[[#This Row],[HR]])+(MIN_H220[[#This Row],[2B]]*2)+(MIN_H220[[#This Row],[3B]]*3)+(MIN_H220[[#This Row],[HR]]*4),0)</f>
        <v>15</v>
      </c>
      <c r="AT44" s="72">
        <f>MIN_H220[[#This Row],[OBP]]+MIN_H220[[#This Row],[SLG]]</f>
        <v>0.58070175438596494</v>
      </c>
      <c r="AU44" s="74">
        <v>0</v>
      </c>
      <c r="AV44" s="615">
        <v>10</v>
      </c>
      <c r="AY44" s="651" t="s">
        <v>429</v>
      </c>
      <c r="AZ44" s="71" t="s">
        <v>179</v>
      </c>
      <c r="BA44" s="71" t="s">
        <v>442</v>
      </c>
      <c r="BB44" s="72">
        <f>IFERROR(MIN_H194[[#This Row],[H]]/MIN_H194[[#This Row],[AB]],0)</f>
        <v>0.21428571428571427</v>
      </c>
      <c r="BC44" s="72">
        <f>IFERROR((MIN_H194[[#This Row],[H]]+MIN_H194[[#This Row],[BB]])/(MIN_H194[[#This Row],[BB]]+MIN_H194[[#This Row],[AB]]),0)</f>
        <v>0.32307692307692309</v>
      </c>
      <c r="BD44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0.39285714285714285</v>
      </c>
      <c r="BE44" s="28">
        <v>18</v>
      </c>
      <c r="BF44" s="28">
        <v>56</v>
      </c>
      <c r="BG44" s="28">
        <v>8</v>
      </c>
      <c r="BH44" s="28">
        <v>12</v>
      </c>
      <c r="BI44" s="28">
        <v>1</v>
      </c>
      <c r="BJ44" s="28">
        <v>0</v>
      </c>
      <c r="BK44" s="28">
        <v>3</v>
      </c>
      <c r="BL44" s="28">
        <v>6</v>
      </c>
      <c r="BM44" s="28">
        <v>9</v>
      </c>
      <c r="BN44" s="74">
        <v>10</v>
      </c>
      <c r="BO44" s="28">
        <v>0</v>
      </c>
      <c r="BP44" s="28">
        <v>0</v>
      </c>
      <c r="BQ44" s="74">
        <v>6</v>
      </c>
      <c r="BR44" s="28">
        <f t="shared" si="4"/>
        <v>22</v>
      </c>
      <c r="BS44" s="72">
        <f>IFERROR(MIN_H194[[#This Row],[OBP]]+MIN_H194[[#This Row],[SLG]],0)</f>
        <v>0.71593406593406594</v>
      </c>
      <c r="BT44" s="74">
        <v>0</v>
      </c>
      <c r="BU44" s="615">
        <v>10</v>
      </c>
    </row>
    <row r="45" spans="1:73">
      <c r="A45" s="651" t="s">
        <v>429</v>
      </c>
      <c r="B45" s="71" t="s">
        <v>187</v>
      </c>
      <c r="C45" s="71" t="s">
        <v>443</v>
      </c>
      <c r="D45" s="130">
        <f>IFERROR(MIN_H[[#This Row],[H]]/MIN_H[[#This Row],[AB]],0)</f>
        <v>0.17391304347826086</v>
      </c>
      <c r="E45" s="72">
        <f>IFERROR((MIN_H[[#This Row],[H]]+MIN_H[[#This Row],[BB]])/(MIN_H[[#This Row],[BB]]+MIN_H[[#This Row],[AB]]),0)</f>
        <v>0.20833333333333334</v>
      </c>
      <c r="F45" s="73">
        <f>IFERROR(((MIN_H[[#This Row],[H]]-MIN_H[[#This Row],[2B]]-MIN_H[[#This Row],[3B]]-MIN_H[[#This Row],[HR]])+(MIN_H[[#This Row],[2B]]*2)+(MIN_H[[#This Row],[3B]]*3)+(MIN_H[[#This Row],[HR]]*4))/MIN_H[[#This Row],[AB]],0)</f>
        <v>0.28985507246376813</v>
      </c>
      <c r="G45" s="28">
        <v>18</v>
      </c>
      <c r="H45" s="28">
        <v>69</v>
      </c>
      <c r="I45" s="28">
        <v>6</v>
      </c>
      <c r="J45" s="28">
        <v>12</v>
      </c>
      <c r="K45" s="28">
        <v>5</v>
      </c>
      <c r="L45" s="28">
        <v>0</v>
      </c>
      <c r="M45" s="28">
        <v>1</v>
      </c>
      <c r="N45" s="28">
        <v>9</v>
      </c>
      <c r="O45" s="28">
        <v>3</v>
      </c>
      <c r="P45" s="74">
        <v>17</v>
      </c>
      <c r="Q45" s="28">
        <v>0</v>
      </c>
      <c r="R45" s="28">
        <v>1</v>
      </c>
      <c r="S45" s="74">
        <v>2</v>
      </c>
      <c r="T45" s="28">
        <f>IFERROR((MIN_H[[#This Row],[H]]-MIN_H[[#This Row],[2B]]-MIN_H[[#This Row],[3B]]-MIN_H[[#This Row],[HR]])+(MIN_H[[#This Row],[2B]]*2)+(MIN_H[[#This Row],[3B]]*3)+(MIN_H[[#This Row],[HR]]*4),0)</f>
        <v>20</v>
      </c>
      <c r="U45" s="72">
        <f>MIN_H[[#This Row],[OBP]]+MIN_H[[#This Row],[SLG]]</f>
        <v>0.49818840579710144</v>
      </c>
      <c r="V45" s="74">
        <v>0</v>
      </c>
      <c r="W45" s="615">
        <v>11</v>
      </c>
      <c r="Z45" s="651" t="s">
        <v>429</v>
      </c>
      <c r="AA45" s="71" t="s">
        <v>187</v>
      </c>
      <c r="AB45" s="77" t="s">
        <v>444</v>
      </c>
      <c r="AC45" s="130">
        <f>IFERROR(MIN_H220[[#This Row],[H]]/MIN_H220[[#This Row],[AB]],0)</f>
        <v>0.28000000000000003</v>
      </c>
      <c r="AD45" s="72">
        <f>IFERROR((MIN_H220[[#This Row],[H]]+MIN_H220[[#This Row],[BB]])/(MIN_H220[[#This Row],[BB]]+MIN_H220[[#This Row],[AB]]),0)</f>
        <v>0.28000000000000003</v>
      </c>
      <c r="AE45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0.56000000000000005</v>
      </c>
      <c r="AF45" s="28">
        <v>8</v>
      </c>
      <c r="AG45" s="28">
        <v>25</v>
      </c>
      <c r="AH45" s="28">
        <v>6</v>
      </c>
      <c r="AI45" s="28">
        <v>7</v>
      </c>
      <c r="AJ45" s="28">
        <v>2</v>
      </c>
      <c r="AK45" s="28">
        <v>1</v>
      </c>
      <c r="AL45" s="28">
        <v>1</v>
      </c>
      <c r="AM45" s="28">
        <v>1</v>
      </c>
      <c r="AN45" s="28">
        <v>0</v>
      </c>
      <c r="AO45" s="74">
        <v>9</v>
      </c>
      <c r="AP45" s="28">
        <v>0</v>
      </c>
      <c r="AQ45" s="28">
        <v>0</v>
      </c>
      <c r="AR45" s="74">
        <v>4</v>
      </c>
      <c r="AS45" s="28">
        <f>IFERROR((MIN_H220[[#This Row],[H]]-MIN_H220[[#This Row],[2B]]-MIN_H220[[#This Row],[3B]]-MIN_H220[[#This Row],[HR]])+(MIN_H220[[#This Row],[2B]]*2)+(MIN_H220[[#This Row],[3B]]*3)+(MIN_H220[[#This Row],[HR]]*4),0)</f>
        <v>14</v>
      </c>
      <c r="AT45" s="72">
        <f>MIN_H220[[#This Row],[OBP]]+MIN_H220[[#This Row],[SLG]]</f>
        <v>0.84000000000000008</v>
      </c>
      <c r="AU45" s="74">
        <v>0</v>
      </c>
      <c r="AV45" s="615">
        <v>11</v>
      </c>
      <c r="AY45" s="651" t="s">
        <v>429</v>
      </c>
      <c r="AZ45" s="71" t="s">
        <v>187</v>
      </c>
      <c r="BA45" s="71" t="s">
        <v>444</v>
      </c>
      <c r="BB45" s="72">
        <f>IFERROR(MIN_H194[[#This Row],[H]]/MIN_H194[[#This Row],[AB]],0)</f>
        <v>0.31818181818181818</v>
      </c>
      <c r="BC45" s="72">
        <f>IFERROR((MIN_H194[[#This Row],[H]]+MIN_H194[[#This Row],[BB]])/(MIN_H194[[#This Row],[BB]]+MIN_H194[[#This Row],[AB]]),0)</f>
        <v>0.375</v>
      </c>
      <c r="BD45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0.36363636363636365</v>
      </c>
      <c r="BE45" s="28">
        <v>13</v>
      </c>
      <c r="BF45" s="28">
        <v>22</v>
      </c>
      <c r="BG45" s="28">
        <v>3</v>
      </c>
      <c r="BH45" s="28">
        <v>7</v>
      </c>
      <c r="BI45" s="28">
        <v>1</v>
      </c>
      <c r="BJ45" s="28">
        <v>0</v>
      </c>
      <c r="BK45" s="28">
        <v>0</v>
      </c>
      <c r="BL45" s="28">
        <v>2</v>
      </c>
      <c r="BM45" s="28">
        <v>2</v>
      </c>
      <c r="BN45" s="74">
        <v>2</v>
      </c>
      <c r="BO45" s="28">
        <v>0</v>
      </c>
      <c r="BP45" s="28">
        <v>1</v>
      </c>
      <c r="BQ45" s="74">
        <v>6</v>
      </c>
      <c r="BR45" s="28">
        <f t="shared" si="4"/>
        <v>8</v>
      </c>
      <c r="BS45" s="72">
        <f>IFERROR(MIN_H194[[#This Row],[OBP]]+MIN_H194[[#This Row],[SLG]],0)</f>
        <v>0.73863636363636365</v>
      </c>
      <c r="BT45" s="74">
        <v>0</v>
      </c>
      <c r="BU45" s="615">
        <v>11</v>
      </c>
    </row>
    <row r="46" spans="1:73">
      <c r="A46" s="651" t="s">
        <v>429</v>
      </c>
      <c r="B46" s="71" t="s">
        <v>192</v>
      </c>
      <c r="C46" s="77" t="s">
        <v>447</v>
      </c>
      <c r="D46" s="130">
        <f>IFERROR(MIN_H[[#This Row],[H]]/MIN_H[[#This Row],[AB]],0)</f>
        <v>0.29032258064516131</v>
      </c>
      <c r="E46" s="72">
        <f>IFERROR((MIN_H[[#This Row],[H]]+MIN_H[[#This Row],[BB]])/(MIN_H[[#This Row],[BB]]+MIN_H[[#This Row],[AB]]),0)</f>
        <v>0.3125</v>
      </c>
      <c r="F46" s="73">
        <f>IFERROR(((MIN_H[[#This Row],[H]]-MIN_H[[#This Row],[2B]]-MIN_H[[#This Row],[3B]]-MIN_H[[#This Row],[HR]])+(MIN_H[[#This Row],[2B]]*2)+(MIN_H[[#This Row],[3B]]*3)+(MIN_H[[#This Row],[HR]]*4))/MIN_H[[#This Row],[AB]],0)</f>
        <v>0.35483870967741937</v>
      </c>
      <c r="G46" s="28">
        <v>9</v>
      </c>
      <c r="H46" s="28">
        <v>31</v>
      </c>
      <c r="I46" s="28">
        <v>2</v>
      </c>
      <c r="J46" s="28">
        <v>9</v>
      </c>
      <c r="K46" s="28">
        <v>2</v>
      </c>
      <c r="L46" s="28">
        <v>0</v>
      </c>
      <c r="M46" s="28">
        <v>0</v>
      </c>
      <c r="N46" s="28">
        <v>4</v>
      </c>
      <c r="O46" s="28">
        <v>1</v>
      </c>
      <c r="P46" s="74">
        <v>3</v>
      </c>
      <c r="Q46" s="28">
        <v>0</v>
      </c>
      <c r="R46" s="28">
        <v>7</v>
      </c>
      <c r="S46" s="74">
        <v>7</v>
      </c>
      <c r="T46" s="28">
        <f>IFERROR((MIN_H[[#This Row],[H]]-MIN_H[[#This Row],[2B]]-MIN_H[[#This Row],[3B]]-MIN_H[[#This Row],[HR]])+(MIN_H[[#This Row],[2B]]*2)+(MIN_H[[#This Row],[3B]]*3)+(MIN_H[[#This Row],[HR]]*4),0)</f>
        <v>11</v>
      </c>
      <c r="U46" s="72">
        <f>MIN_H[[#This Row],[OBP]]+MIN_H[[#This Row],[SLG]]</f>
        <v>0.66733870967741937</v>
      </c>
      <c r="V46" s="74">
        <v>1</v>
      </c>
      <c r="W46" s="615">
        <v>12</v>
      </c>
      <c r="Z46" s="651" t="s">
        <v>429</v>
      </c>
      <c r="AA46" s="71" t="s">
        <v>187</v>
      </c>
      <c r="AB46" s="71" t="s">
        <v>443</v>
      </c>
      <c r="AC46" s="72">
        <f>IFERROR(MIN_H220[[#This Row],[H]]/MIN_H220[[#This Row],[AB]],0)</f>
        <v>0.25</v>
      </c>
      <c r="AD46" s="72">
        <f>IFERROR((MIN_H220[[#This Row],[H]]+MIN_H220[[#This Row],[BB]])/(MIN_H220[[#This Row],[BB]]+MIN_H220[[#This Row],[AB]]),0)</f>
        <v>0.25</v>
      </c>
      <c r="AE46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0.25</v>
      </c>
      <c r="AF46" s="28">
        <v>1</v>
      </c>
      <c r="AG46" s="28">
        <v>4</v>
      </c>
      <c r="AH46" s="28">
        <v>0</v>
      </c>
      <c r="AI46" s="28">
        <v>1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74">
        <v>1</v>
      </c>
      <c r="AP46" s="28">
        <v>0</v>
      </c>
      <c r="AQ46" s="28">
        <v>1</v>
      </c>
      <c r="AR46" s="74">
        <v>1</v>
      </c>
      <c r="AS46" s="28">
        <f>IFERROR((MIN_H220[[#This Row],[H]]-MIN_H220[[#This Row],[2B]]-MIN_H220[[#This Row],[3B]]-MIN_H220[[#This Row],[HR]])+(MIN_H220[[#This Row],[2B]]*2)+(MIN_H220[[#This Row],[3B]]*3)+(MIN_H220[[#This Row],[HR]]*4),0)</f>
        <v>1</v>
      </c>
      <c r="AT46" s="72">
        <f>MIN_H220[[#This Row],[OBP]]+MIN_H220[[#This Row],[SLG]]</f>
        <v>0.5</v>
      </c>
      <c r="AU46" s="74">
        <v>0</v>
      </c>
      <c r="AV46" s="615">
        <v>12</v>
      </c>
      <c r="AY46" s="651" t="s">
        <v>429</v>
      </c>
      <c r="AZ46" s="71" t="s">
        <v>192</v>
      </c>
      <c r="BA46" s="71" t="s">
        <v>443</v>
      </c>
      <c r="BB46" s="72">
        <f>IFERROR(MIN_H194[[#This Row],[H]]/MIN_H194[[#This Row],[AB]],0)</f>
        <v>0.1875</v>
      </c>
      <c r="BC46" s="72">
        <f>IFERROR((MIN_H194[[#This Row],[H]]+MIN_H194[[#This Row],[BB]])/(MIN_H194[[#This Row],[BB]]+MIN_H194[[#This Row],[AB]]),0)</f>
        <v>0.23529411764705882</v>
      </c>
      <c r="BD46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0.25</v>
      </c>
      <c r="BE46" s="28">
        <v>9</v>
      </c>
      <c r="BF46" s="28">
        <v>16</v>
      </c>
      <c r="BG46" s="28">
        <v>1</v>
      </c>
      <c r="BH46" s="28">
        <v>3</v>
      </c>
      <c r="BI46" s="28">
        <v>1</v>
      </c>
      <c r="BJ46" s="28">
        <v>0</v>
      </c>
      <c r="BK46" s="28">
        <v>0</v>
      </c>
      <c r="BL46" s="28">
        <v>0</v>
      </c>
      <c r="BM46" s="28">
        <v>1</v>
      </c>
      <c r="BN46" s="74">
        <v>6</v>
      </c>
      <c r="BO46" s="28">
        <v>0</v>
      </c>
      <c r="BP46" s="28">
        <v>0</v>
      </c>
      <c r="BQ46" s="74">
        <v>1</v>
      </c>
      <c r="BR46" s="28">
        <f t="shared" si="4"/>
        <v>4</v>
      </c>
      <c r="BS46" s="72">
        <f>IFERROR(MIN_H194[[#This Row],[OBP]]+MIN_H194[[#This Row],[SLG]],0)</f>
        <v>0.48529411764705882</v>
      </c>
      <c r="BT46" s="74">
        <v>0</v>
      </c>
      <c r="BU46" s="615">
        <v>12</v>
      </c>
    </row>
    <row r="47" spans="1:73">
      <c r="A47" s="651" t="s">
        <v>429</v>
      </c>
      <c r="B47" s="71" t="s">
        <v>184</v>
      </c>
      <c r="C47" s="77" t="s">
        <v>441</v>
      </c>
      <c r="D47" s="130">
        <f>IFERROR(MIN_H[[#This Row],[H]]/MIN_H[[#This Row],[AB]],0)</f>
        <v>0.5</v>
      </c>
      <c r="E47" s="72">
        <f>IFERROR((MIN_H[[#This Row],[H]]+MIN_H[[#This Row],[BB]])/(MIN_H[[#This Row],[BB]]+MIN_H[[#This Row],[AB]]),0)</f>
        <v>0.5625</v>
      </c>
      <c r="F47" s="73">
        <f>IFERROR(((MIN_H[[#This Row],[H]]-MIN_H[[#This Row],[2B]]-MIN_H[[#This Row],[3B]]-MIN_H[[#This Row],[HR]])+(MIN_H[[#This Row],[2B]]*2)+(MIN_H[[#This Row],[3B]]*3)+(MIN_H[[#This Row],[HR]]*4))/MIN_H[[#This Row],[AB]],0)</f>
        <v>0.8571428571428571</v>
      </c>
      <c r="G47" s="77">
        <v>10</v>
      </c>
      <c r="H47" s="28">
        <v>28</v>
      </c>
      <c r="I47" s="28">
        <v>6</v>
      </c>
      <c r="J47" s="28">
        <v>14</v>
      </c>
      <c r="K47" s="28">
        <v>1</v>
      </c>
      <c r="L47" s="28">
        <v>0</v>
      </c>
      <c r="M47" s="28">
        <v>3</v>
      </c>
      <c r="N47" s="28">
        <v>7</v>
      </c>
      <c r="O47" s="28">
        <v>4</v>
      </c>
      <c r="P47" s="74">
        <v>6</v>
      </c>
      <c r="Q47" s="28">
        <v>0</v>
      </c>
      <c r="R47" s="28">
        <v>6</v>
      </c>
      <c r="S47" s="74">
        <v>6</v>
      </c>
      <c r="T47" s="28">
        <f>IFERROR((MIN_H[[#This Row],[H]]-MIN_H[[#This Row],[2B]]-MIN_H[[#This Row],[3B]]-MIN_H[[#This Row],[HR]])+(MIN_H[[#This Row],[2B]]*2)+(MIN_H[[#This Row],[3B]]*3)+(MIN_H[[#This Row],[HR]]*4),0)</f>
        <v>24</v>
      </c>
      <c r="U47" s="72">
        <f>MIN_H[[#This Row],[OBP]]+MIN_H[[#This Row],[SLG]]</f>
        <v>1.4196428571428572</v>
      </c>
      <c r="V47" s="74">
        <v>0</v>
      </c>
      <c r="W47" s="615">
        <v>13</v>
      </c>
      <c r="Z47" s="651" t="s">
        <v>429</v>
      </c>
      <c r="AA47" s="71" t="s">
        <v>186</v>
      </c>
      <c r="AB47" s="71" t="s">
        <v>445</v>
      </c>
      <c r="AC47" s="72">
        <f>IFERROR(MIN_H220[[#This Row],[H]]/MIN_H220[[#This Row],[AB]],0)</f>
        <v>0.21875</v>
      </c>
      <c r="AD47" s="72">
        <f>IFERROR((MIN_H220[[#This Row],[H]]+MIN_H220[[#This Row],[BB]])/(MIN_H220[[#This Row],[BB]]+MIN_H220[[#This Row],[AB]]),0)</f>
        <v>0.2857142857142857</v>
      </c>
      <c r="AE47" s="73">
        <f>IFERROR(((MIN_H220[[#This Row],[H]]-MIN_H220[[#This Row],[2B]]-MIN_H220[[#This Row],[3B]]-MIN_H220[[#This Row],[HR]])+(MIN_H220[[#This Row],[2B]]*2)+(MIN_H220[[#This Row],[3B]]*3)+(MIN_H220[[#This Row],[HR]]*4))/MIN_H220[[#This Row],[AB]],0)</f>
        <v>0.375</v>
      </c>
      <c r="AF47" s="77">
        <v>8</v>
      </c>
      <c r="AG47" s="28">
        <v>32</v>
      </c>
      <c r="AH47" s="28">
        <v>2</v>
      </c>
      <c r="AI47" s="28">
        <v>7</v>
      </c>
      <c r="AJ47" s="28">
        <v>2</v>
      </c>
      <c r="AK47" s="28">
        <v>0</v>
      </c>
      <c r="AL47" s="28">
        <v>1</v>
      </c>
      <c r="AM47" s="28">
        <v>1</v>
      </c>
      <c r="AN47" s="28">
        <v>3</v>
      </c>
      <c r="AO47" s="74">
        <v>5</v>
      </c>
      <c r="AP47" s="28">
        <v>0</v>
      </c>
      <c r="AQ47" s="28">
        <v>3</v>
      </c>
      <c r="AR47" s="74">
        <v>3</v>
      </c>
      <c r="AS47" s="28">
        <f>IFERROR((MIN_H220[[#This Row],[H]]-MIN_H220[[#This Row],[2B]]-MIN_H220[[#This Row],[3B]]-MIN_H220[[#This Row],[HR]])+(MIN_H220[[#This Row],[2B]]*2)+(MIN_H220[[#This Row],[3B]]*3)+(MIN_H220[[#This Row],[HR]]*4),0)</f>
        <v>12</v>
      </c>
      <c r="AT47" s="72">
        <f>MIN_H220[[#This Row],[OBP]]+MIN_H220[[#This Row],[SLG]]</f>
        <v>0.6607142857142857</v>
      </c>
      <c r="AU47" s="74">
        <v>0</v>
      </c>
      <c r="AV47" s="615">
        <v>13</v>
      </c>
      <c r="AY47" s="651" t="s">
        <v>429</v>
      </c>
      <c r="AZ47" s="71" t="s">
        <v>186</v>
      </c>
      <c r="BA47" s="71" t="s">
        <v>440</v>
      </c>
      <c r="BB47" s="72">
        <f>IFERROR(MIN_H194[[#This Row],[H]]/MIN_H194[[#This Row],[AB]],0)</f>
        <v>0.23711340206185566</v>
      </c>
      <c r="BC47" s="72">
        <f>IFERROR((MIN_H194[[#This Row],[H]]+MIN_H194[[#This Row],[BB]])/(MIN_H194[[#This Row],[BB]]+MIN_H194[[#This Row],[AB]]),0)</f>
        <v>0.32110091743119268</v>
      </c>
      <c r="BD47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0.40206185567010311</v>
      </c>
      <c r="BE47" s="77">
        <v>28</v>
      </c>
      <c r="BF47" s="28">
        <v>97</v>
      </c>
      <c r="BG47" s="28">
        <v>11</v>
      </c>
      <c r="BH47" s="28">
        <v>23</v>
      </c>
      <c r="BI47" s="28">
        <v>8</v>
      </c>
      <c r="BJ47" s="28">
        <v>1</v>
      </c>
      <c r="BK47" s="28">
        <v>2</v>
      </c>
      <c r="BL47" s="28">
        <v>6</v>
      </c>
      <c r="BM47" s="28">
        <v>12</v>
      </c>
      <c r="BN47" s="74">
        <v>26</v>
      </c>
      <c r="BO47" s="28">
        <v>0</v>
      </c>
      <c r="BP47" s="28">
        <v>6</v>
      </c>
      <c r="BQ47" s="74">
        <v>6</v>
      </c>
      <c r="BR47" s="28">
        <f t="shared" si="4"/>
        <v>39</v>
      </c>
      <c r="BS47" s="72">
        <f>IFERROR(MIN_H194[[#This Row],[OBP]]+MIN_H194[[#This Row],[SLG]],0)</f>
        <v>0.72316277310129573</v>
      </c>
      <c r="BT47" s="74">
        <v>1</v>
      </c>
      <c r="BU47" s="615">
        <v>13</v>
      </c>
    </row>
    <row r="48" spans="1:73" ht="17" thickBot="1">
      <c r="A48" s="651" t="s">
        <v>429</v>
      </c>
      <c r="B48" s="71" t="s">
        <v>186</v>
      </c>
      <c r="C48" s="77" t="s">
        <v>440</v>
      </c>
      <c r="D48" s="130">
        <f>IFERROR(MIN_H[[#This Row],[H]]/MIN_H[[#This Row],[AB]],0)</f>
        <v>0</v>
      </c>
      <c r="E48" s="72">
        <f>IFERROR((MIN_H[[#This Row],[H]]+MIN_H[[#This Row],[BB]])/(MIN_H[[#This Row],[BB]]+MIN_H[[#This Row],[AB]]),0)</f>
        <v>0</v>
      </c>
      <c r="F48" s="73">
        <f>IFERROR(((MIN_H[[#This Row],[H]]-MIN_H[[#This Row],[2B]]-MIN_H[[#This Row],[3B]]-MIN_H[[#This Row],[HR]])+(MIN_H[[#This Row],[2B]]*2)+(MIN_H[[#This Row],[3B]]*3)+(MIN_H[[#This Row],[HR]]*4))/MIN_H[[#This Row],[AB]],0)</f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74">
        <v>0</v>
      </c>
      <c r="Q48" s="28">
        <v>0</v>
      </c>
      <c r="R48" s="28">
        <v>0</v>
      </c>
      <c r="S48" s="74">
        <v>0</v>
      </c>
      <c r="T48" s="28">
        <f>IFERROR((MIN_H[[#This Row],[H]]-MIN_H[[#This Row],[2B]]-MIN_H[[#This Row],[3B]]-MIN_H[[#This Row],[HR]])+(MIN_H[[#This Row],[2B]]*2)+(MIN_H[[#This Row],[3B]]*3)+(MIN_H[[#This Row],[HR]]*4),0)</f>
        <v>0</v>
      </c>
      <c r="U48" s="72">
        <f>MIN_H[[#This Row],[OBP]]+MIN_H[[#This Row],[SLG]]</f>
        <v>0</v>
      </c>
      <c r="V48" s="74">
        <v>0</v>
      </c>
      <c r="W48" s="615">
        <v>14</v>
      </c>
      <c r="Z48" s="651" t="s">
        <v>429</v>
      </c>
      <c r="AA48" s="71" t="s">
        <v>186</v>
      </c>
      <c r="AB48" s="71" t="s">
        <v>440</v>
      </c>
      <c r="AC48" s="72">
        <f>IFERROR(MIN_H220[[#This Row],[H]]/MIN_H220[[#This Row],[AB]],0)</f>
        <v>0</v>
      </c>
      <c r="AD48" s="72">
        <f>IFERROR((MIN_H220[[#This Row],[H]]+MIN_H220[[#This Row],[BB]])/(MIN_H220[[#This Row],[BB]]+MIN_H220[[#This Row],[AB]]),0)</f>
        <v>0.1</v>
      </c>
      <c r="AE48" s="73">
        <f>IFERROR(((MIN_H220[[#This Row],[H]]-MIN_H220[[#This Row],[2B]]-MIN_H220[[#This Row],[3B]]-MIN_H220[[#This Row],[HR]])+(MIN_H220[[#This Row],[2B]]*2)+(MIN_H220[[#This Row],[3B]]*3)+(MIN_H220[[#This Row],[HR]]*4))/MIN_H220[[#This Row],[AB]],0)</f>
        <v>0</v>
      </c>
      <c r="AF48" s="28">
        <v>2</v>
      </c>
      <c r="AG48" s="28">
        <v>9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1</v>
      </c>
      <c r="AO48" s="74">
        <v>1</v>
      </c>
      <c r="AP48" s="28">
        <v>0</v>
      </c>
      <c r="AQ48" s="28">
        <v>0</v>
      </c>
      <c r="AR48" s="74">
        <v>0</v>
      </c>
      <c r="AS48" s="28">
        <f>IFERROR((MIN_H220[[#This Row],[H]]-MIN_H220[[#This Row],[2B]]-MIN_H220[[#This Row],[3B]]-MIN_H220[[#This Row],[HR]])+(MIN_H220[[#This Row],[2B]]*2)+(MIN_H220[[#This Row],[3B]]*3)+(MIN_H220[[#This Row],[HR]]*4),0)</f>
        <v>0</v>
      </c>
      <c r="AT48" s="72">
        <f>MIN_H220[[#This Row],[OBP]]+MIN_H220[[#This Row],[SLG]]</f>
        <v>0.1</v>
      </c>
      <c r="AU48" s="74">
        <v>0</v>
      </c>
      <c r="AV48" s="615">
        <v>14</v>
      </c>
      <c r="AY48" s="651" t="s">
        <v>429</v>
      </c>
      <c r="AZ48" s="71" t="s">
        <v>186</v>
      </c>
      <c r="BA48" s="71" t="s">
        <v>445</v>
      </c>
      <c r="BB48" s="72">
        <f>IFERROR(MIN_H194[[#This Row],[H]]/MIN_H194[[#This Row],[AB]],0)</f>
        <v>0.24</v>
      </c>
      <c r="BC48" s="72">
        <f>IFERROR((MIN_H194[[#This Row],[H]]+MIN_H194[[#This Row],[BB]])/(MIN_H194[[#This Row],[BB]]+MIN_H194[[#This Row],[AB]]),0)</f>
        <v>0.29629629629629628</v>
      </c>
      <c r="BD48" s="73">
        <f>IFERROR(((MIN_H194[[#This Row],[H]]-MIN_H194[[#This Row],[2B]]-MIN_H194[[#This Row],[3B]]-MIN_H194[[#This Row],[HR]])+(MIN_H194[[#This Row],[2B]]*2)+(MIN_H194[[#This Row],[3B]]*3)+(MIN_H194[[#This Row],[HR]]*4))/MIN_H194[[#This Row],[AB]],0)</f>
        <v>0.34</v>
      </c>
      <c r="BE48" s="28">
        <v>20</v>
      </c>
      <c r="BF48" s="28">
        <v>50</v>
      </c>
      <c r="BG48" s="28">
        <v>8</v>
      </c>
      <c r="BH48" s="28">
        <v>12</v>
      </c>
      <c r="BI48" s="28">
        <v>2</v>
      </c>
      <c r="BJ48" s="28">
        <v>0</v>
      </c>
      <c r="BK48" s="28">
        <v>1</v>
      </c>
      <c r="BL48" s="28">
        <v>6</v>
      </c>
      <c r="BM48" s="28">
        <v>4</v>
      </c>
      <c r="BN48" s="74">
        <v>14</v>
      </c>
      <c r="BO48" s="28">
        <v>0</v>
      </c>
      <c r="BP48" s="28">
        <v>4</v>
      </c>
      <c r="BQ48" s="74">
        <v>4</v>
      </c>
      <c r="BR48" s="28">
        <f t="shared" si="4"/>
        <v>17</v>
      </c>
      <c r="BS48" s="72">
        <f>IFERROR(MIN_H194[[#This Row],[OBP]]+MIN_H194[[#This Row],[SLG]],0)</f>
        <v>0.63629629629629636</v>
      </c>
      <c r="BT48" s="74">
        <v>0</v>
      </c>
      <c r="BU48" s="615">
        <v>14</v>
      </c>
    </row>
    <row r="49" spans="1:73" ht="17" thickBot="1">
      <c r="A49" s="674"/>
      <c r="B49" s="675"/>
      <c r="C49" s="676" t="s">
        <v>195</v>
      </c>
      <c r="D49" s="677">
        <f>J49/H49</f>
        <v>0.23744619799139169</v>
      </c>
      <c r="E49" s="677">
        <f>(J49+O49)/(H49+O49)</f>
        <v>0.30295081967213117</v>
      </c>
      <c r="F49" s="739">
        <f>((J49-K49-L49-M49)+(K49*2)+(L49*3)+(M49*4))/H49</f>
        <v>0.41391678622668582</v>
      </c>
      <c r="G49" s="679"/>
      <c r="H49" s="679">
        <f>SUBTOTAL(109,MIN_H[AB])</f>
        <v>1394</v>
      </c>
      <c r="I49" s="679">
        <f>SUBTOTAL(109,MIN_H[R])</f>
        <v>172</v>
      </c>
      <c r="J49" s="679">
        <f>SUBTOTAL(109,MIN_H[H])</f>
        <v>331</v>
      </c>
      <c r="K49" s="679">
        <f>SUBTOTAL(109,MIN_H[2B])</f>
        <v>63</v>
      </c>
      <c r="L49" s="679">
        <f>SUBTOTAL(109,MIN_H[3B])</f>
        <v>6</v>
      </c>
      <c r="M49" s="679">
        <f>SUBTOTAL(109,MIN_H[HR])</f>
        <v>57</v>
      </c>
      <c r="N49" s="679">
        <f>SUBTOTAL(109,MIN_H[RBI])</f>
        <v>171</v>
      </c>
      <c r="O49" s="679">
        <f>SUBTOTAL(109,MIN_H[BB])</f>
        <v>131</v>
      </c>
      <c r="P49" s="680">
        <f>SUBTOTAL(109,MIN_H[K])</f>
        <v>374</v>
      </c>
      <c r="Q49" s="679">
        <f>SUBTOTAL(109,MIN_H[SB])</f>
        <v>13</v>
      </c>
      <c r="R49" s="679"/>
      <c r="S49" s="680"/>
      <c r="T49" s="679">
        <f>SUBTOTAL(109,MIN_H[TB])</f>
        <v>577</v>
      </c>
      <c r="U49" s="677">
        <f>E49+F49</f>
        <v>0.71686760589881704</v>
      </c>
      <c r="V49" s="680">
        <f>SUBTOTAL(109,MIN_H[*])</f>
        <v>18</v>
      </c>
      <c r="W49" s="681"/>
      <c r="Z49" s="674"/>
      <c r="AA49" s="675"/>
      <c r="AB49" s="676" t="s">
        <v>195</v>
      </c>
      <c r="AC49" s="677">
        <f>AI49/AG49</f>
        <v>0.25473684210526315</v>
      </c>
      <c r="AD49" s="677">
        <f>(AI49+AN49)/(AG49+AN49)</f>
        <v>0.32742241925269155</v>
      </c>
      <c r="AE49" s="771">
        <f>((AI49-AJ49-AK49-AL49)+(AJ49*2)+(AK49*3)+(AL49*4))/AG49</f>
        <v>0.47508771929824561</v>
      </c>
      <c r="AF49" s="679"/>
      <c r="AG49" s="679">
        <f>SUBTOTAL(109,MIN_H220[AB])</f>
        <v>1425</v>
      </c>
      <c r="AH49" s="679">
        <f>SUBTOTAL(109,MIN_H220[R])</f>
        <v>193</v>
      </c>
      <c r="AI49" s="679">
        <f>SUBTOTAL(109,MIN_H220[H])</f>
        <v>363</v>
      </c>
      <c r="AJ49" s="679">
        <f>SUBTOTAL(109,MIN_H220[2B])</f>
        <v>78</v>
      </c>
      <c r="AK49" s="679">
        <f>SUBTOTAL(109,MIN_H220[3B])</f>
        <v>10</v>
      </c>
      <c r="AL49" s="772">
        <f>SUBTOTAL(109,MIN_H220[HR])</f>
        <v>72</v>
      </c>
      <c r="AM49" s="679">
        <f>SUBTOTAL(109,MIN_H220[RBI])</f>
        <v>192</v>
      </c>
      <c r="AN49" s="679">
        <f>SUBTOTAL(109,MIN_H220[BB])</f>
        <v>154</v>
      </c>
      <c r="AO49" s="680">
        <f>SUBTOTAL(109,MIN_H220[K])</f>
        <v>346</v>
      </c>
      <c r="AP49" s="679">
        <f>SUBTOTAL(109,MIN_H220[SB])</f>
        <v>9</v>
      </c>
      <c r="AQ49" s="679"/>
      <c r="AR49" s="680"/>
      <c r="AS49" s="679">
        <f>SUBTOTAL(109,MIN_H220[TB])</f>
        <v>677</v>
      </c>
      <c r="AT49" s="677">
        <f>AD49+AE49</f>
        <v>0.80251013855093722</v>
      </c>
      <c r="AU49" s="680">
        <f>SUBTOTAL(109,MIN_H220[*])</f>
        <v>21</v>
      </c>
      <c r="AV49" s="681"/>
      <c r="AY49" s="674"/>
      <c r="AZ49" s="675"/>
      <c r="BA49" s="676" t="s">
        <v>195</v>
      </c>
      <c r="BB49" s="677">
        <f>IFERROR(BH49/BF49,0)</f>
        <v>0.29032258064516131</v>
      </c>
      <c r="BC49" s="677">
        <f>IFERROR((BH49+BM49)/(BF49+BM49),0)</f>
        <v>0.35050251256281406</v>
      </c>
      <c r="BD49" s="777">
        <f>IFERROR(((BH49-BI49-BJ49-BK49)+(BI49*2)+(BJ49*3)+(BK49*4))/BF49,0)</f>
        <v>0.52230610844200409</v>
      </c>
      <c r="BE49" s="679"/>
      <c r="BF49" s="679">
        <f t="shared" ref="BF49:BO49" si="5">SUM(BF35:BF48)</f>
        <v>1457</v>
      </c>
      <c r="BG49" s="679">
        <f t="shared" si="5"/>
        <v>223</v>
      </c>
      <c r="BH49" s="679">
        <f t="shared" si="5"/>
        <v>423</v>
      </c>
      <c r="BI49" s="679">
        <f t="shared" si="5"/>
        <v>84</v>
      </c>
      <c r="BJ49" s="679">
        <f t="shared" si="5"/>
        <v>10</v>
      </c>
      <c r="BK49" s="722">
        <f t="shared" si="5"/>
        <v>78</v>
      </c>
      <c r="BL49" s="679">
        <f t="shared" si="5"/>
        <v>220</v>
      </c>
      <c r="BM49" s="679">
        <f t="shared" si="5"/>
        <v>135</v>
      </c>
      <c r="BN49" s="680">
        <f t="shared" si="5"/>
        <v>351</v>
      </c>
      <c r="BO49" s="679">
        <f t="shared" si="5"/>
        <v>10</v>
      </c>
      <c r="BP49" s="679"/>
      <c r="BQ49" s="680"/>
      <c r="BR49" s="722">
        <f>SUM(BR35:BR48)</f>
        <v>761</v>
      </c>
      <c r="BS49" s="778">
        <f>BC49+BD49</f>
        <v>0.87280862100481815</v>
      </c>
      <c r="BT49" s="680">
        <f>SUBTOTAL(109,MIN_H194[*])</f>
        <v>21</v>
      </c>
      <c r="BU49" s="681"/>
    </row>
    <row r="50" spans="1:73" ht="17" thickBot="1"/>
    <row r="51" spans="1:73" s="64" customFormat="1" ht="14" thickBot="1">
      <c r="A51" s="605" t="s">
        <v>143</v>
      </c>
      <c r="B51" s="606" t="s">
        <v>144</v>
      </c>
      <c r="C51" s="606" t="s">
        <v>145</v>
      </c>
      <c r="D51" s="606" t="s">
        <v>196</v>
      </c>
      <c r="E51" s="606" t="s">
        <v>197</v>
      </c>
      <c r="F51" s="606" t="s">
        <v>198</v>
      </c>
      <c r="G51" s="606" t="s">
        <v>149</v>
      </c>
      <c r="H51" s="606" t="s">
        <v>199</v>
      </c>
      <c r="I51" s="606" t="s">
        <v>152</v>
      </c>
      <c r="J51" s="606" t="s">
        <v>151</v>
      </c>
      <c r="K51" s="606" t="s">
        <v>157</v>
      </c>
      <c r="L51" s="606" t="s">
        <v>158</v>
      </c>
      <c r="M51" s="606" t="s">
        <v>200</v>
      </c>
      <c r="N51" s="606" t="s">
        <v>201</v>
      </c>
      <c r="O51" s="606" t="s">
        <v>202</v>
      </c>
      <c r="P51" s="606" t="s">
        <v>203</v>
      </c>
      <c r="Q51" s="606" t="s">
        <v>204</v>
      </c>
      <c r="R51" s="606" t="s">
        <v>205</v>
      </c>
      <c r="S51" s="607" t="s">
        <v>164</v>
      </c>
      <c r="Z51" s="605" t="s">
        <v>143</v>
      </c>
      <c r="AA51" s="606" t="s">
        <v>144</v>
      </c>
      <c r="AB51" s="606" t="s">
        <v>145</v>
      </c>
      <c r="AC51" s="606" t="s">
        <v>196</v>
      </c>
      <c r="AD51" s="606" t="s">
        <v>197</v>
      </c>
      <c r="AE51" s="606" t="s">
        <v>198</v>
      </c>
      <c r="AF51" s="606" t="s">
        <v>149</v>
      </c>
      <c r="AG51" s="606" t="s">
        <v>199</v>
      </c>
      <c r="AH51" s="606" t="s">
        <v>152</v>
      </c>
      <c r="AI51" s="606" t="s">
        <v>151</v>
      </c>
      <c r="AJ51" s="606" t="s">
        <v>157</v>
      </c>
      <c r="AK51" s="606" t="s">
        <v>158</v>
      </c>
      <c r="AL51" s="606" t="s">
        <v>200</v>
      </c>
      <c r="AM51" s="606" t="s">
        <v>201</v>
      </c>
      <c r="AN51" s="606" t="s">
        <v>202</v>
      </c>
      <c r="AO51" s="606" t="s">
        <v>203</v>
      </c>
      <c r="AP51" s="606" t="s">
        <v>204</v>
      </c>
      <c r="AQ51" s="606" t="s">
        <v>205</v>
      </c>
      <c r="AR51" s="607" t="s">
        <v>164</v>
      </c>
      <c r="AY51" s="605" t="s">
        <v>143</v>
      </c>
      <c r="AZ51" s="606" t="s">
        <v>144</v>
      </c>
      <c r="BA51" s="606" t="s">
        <v>145</v>
      </c>
      <c r="BB51" s="606" t="s">
        <v>196</v>
      </c>
      <c r="BC51" s="606" t="s">
        <v>197</v>
      </c>
      <c r="BD51" s="606" t="s">
        <v>198</v>
      </c>
      <c r="BE51" s="606" t="s">
        <v>149</v>
      </c>
      <c r="BF51" s="606" t="s">
        <v>199</v>
      </c>
      <c r="BG51" s="606" t="s">
        <v>152</v>
      </c>
      <c r="BH51" s="606" t="s">
        <v>151</v>
      </c>
      <c r="BI51" s="606" t="s">
        <v>157</v>
      </c>
      <c r="BJ51" s="606" t="s">
        <v>158</v>
      </c>
      <c r="BK51" s="606" t="s">
        <v>200</v>
      </c>
      <c r="BL51" s="606" t="s">
        <v>201</v>
      </c>
      <c r="BM51" s="606" t="s">
        <v>202</v>
      </c>
      <c r="BN51" s="606" t="s">
        <v>203</v>
      </c>
      <c r="BO51" s="606" t="s">
        <v>204</v>
      </c>
      <c r="BP51" s="606" t="s">
        <v>205</v>
      </c>
      <c r="BQ51" s="607" t="s">
        <v>164</v>
      </c>
    </row>
    <row r="52" spans="1:73">
      <c r="A52" s="650" t="s">
        <v>429</v>
      </c>
      <c r="B52" s="597" t="s">
        <v>206</v>
      </c>
      <c r="C52" s="682" t="s">
        <v>448</v>
      </c>
      <c r="D52" s="663">
        <f>IFERROR((MIN_P[[#This Row],[R]]*9)/MIN_P[[#This Row],[IP]],0)</f>
        <v>8.3728877919119036</v>
      </c>
      <c r="E52" s="600">
        <v>2</v>
      </c>
      <c r="F52" s="632">
        <v>7</v>
      </c>
      <c r="G52" s="600">
        <v>10</v>
      </c>
      <c r="H52" s="630">
        <v>52.67</v>
      </c>
      <c r="I52" s="600">
        <v>60</v>
      </c>
      <c r="J52" s="627">
        <v>49</v>
      </c>
      <c r="K52" s="600">
        <v>28</v>
      </c>
      <c r="L52" s="600">
        <v>43</v>
      </c>
      <c r="M52" s="600">
        <v>0</v>
      </c>
      <c r="N52" s="631">
        <f>IFERROR((MIN_P[[#This Row],[BB]]+MIN_P[[#This Row],[H]])/MIN_P[[#This Row],[IP]],0)</f>
        <v>1.670780330358838</v>
      </c>
      <c r="O52" s="600">
        <v>3</v>
      </c>
      <c r="P52" s="601">
        <v>2</v>
      </c>
      <c r="Q52" s="600">
        <v>0</v>
      </c>
      <c r="R52" s="604">
        <v>0</v>
      </c>
      <c r="S52" s="614">
        <v>1</v>
      </c>
      <c r="Z52" s="650" t="s">
        <v>429</v>
      </c>
      <c r="AA52" s="597" t="s">
        <v>206</v>
      </c>
      <c r="AB52" s="682" t="s">
        <v>448</v>
      </c>
      <c r="AC52" s="663">
        <f>IFERROR((MIN_P221[[#This Row],[R]]*9)/MIN_P221[[#This Row],[IP]],0)</f>
        <v>6.4203402231571243</v>
      </c>
      <c r="AD52" s="600">
        <v>3</v>
      </c>
      <c r="AE52" s="604">
        <v>5</v>
      </c>
      <c r="AF52" s="600">
        <v>10</v>
      </c>
      <c r="AG52" s="630">
        <v>54.67</v>
      </c>
      <c r="AH52" s="600">
        <v>65</v>
      </c>
      <c r="AI52" s="600">
        <v>39</v>
      </c>
      <c r="AJ52" s="600">
        <v>28</v>
      </c>
      <c r="AK52" s="600">
        <v>45</v>
      </c>
      <c r="AL52" s="600">
        <v>0</v>
      </c>
      <c r="AM52" s="631">
        <f>IFERROR((MIN_P221[[#This Row],[BB]]+MIN_P221[[#This Row],[H]])/MIN_P221[[#This Row],[IP]],0)</f>
        <v>1.7011157856228278</v>
      </c>
      <c r="AN52" s="600">
        <v>5</v>
      </c>
      <c r="AO52" s="601">
        <v>0</v>
      </c>
      <c r="AP52" s="600">
        <v>0</v>
      </c>
      <c r="AQ52" s="604">
        <v>0</v>
      </c>
      <c r="AR52" s="614">
        <v>1</v>
      </c>
      <c r="AY52" s="650" t="s">
        <v>429</v>
      </c>
      <c r="AZ52" s="597" t="s">
        <v>206</v>
      </c>
      <c r="BA52" s="604" t="s">
        <v>289</v>
      </c>
      <c r="BB52" s="663">
        <f>IFERROR((MIN_P195[[#This Row],[R]]*9)/MIN_P195[[#This Row],[IP]],0)</f>
        <v>3.3921302578018997</v>
      </c>
      <c r="BC52" s="708">
        <v>8</v>
      </c>
      <c r="BD52" s="604">
        <v>1</v>
      </c>
      <c r="BE52" s="600">
        <v>10</v>
      </c>
      <c r="BF52" s="630">
        <v>66.33</v>
      </c>
      <c r="BG52" s="600">
        <v>57</v>
      </c>
      <c r="BH52" s="600">
        <v>25</v>
      </c>
      <c r="BI52" s="600">
        <v>20</v>
      </c>
      <c r="BJ52" s="600">
        <v>70</v>
      </c>
      <c r="BK52" s="600">
        <v>0</v>
      </c>
      <c r="BL52" s="631">
        <f>IFERROR((MIN_P195[[#This Row],[H]]+MIN_P195[[#This Row],[BB]])/MIN_P195[[#This Row],[IP]],0)</f>
        <v>1.1608623548922057</v>
      </c>
      <c r="BM52" s="600">
        <v>8</v>
      </c>
      <c r="BN52" s="601">
        <v>3</v>
      </c>
      <c r="BO52" s="600">
        <v>1</v>
      </c>
      <c r="BP52" s="604">
        <v>1</v>
      </c>
      <c r="BQ52" s="614">
        <v>1</v>
      </c>
    </row>
    <row r="53" spans="1:73">
      <c r="A53" s="651" t="s">
        <v>429</v>
      </c>
      <c r="B53" s="71" t="s">
        <v>206</v>
      </c>
      <c r="C53" s="87" t="s">
        <v>449</v>
      </c>
      <c r="D53" s="88">
        <f>IFERROR((MIN_P[[#This Row],[R]]*9)/MIN_P[[#This Row],[IP]],0)</f>
        <v>5.2758620689655169</v>
      </c>
      <c r="E53" s="28">
        <v>4</v>
      </c>
      <c r="F53" s="74">
        <v>4</v>
      </c>
      <c r="G53" s="28">
        <v>10</v>
      </c>
      <c r="H53" s="584">
        <v>58</v>
      </c>
      <c r="I53" s="28">
        <v>63</v>
      </c>
      <c r="J53" s="28">
        <v>34</v>
      </c>
      <c r="K53" s="28">
        <v>23</v>
      </c>
      <c r="L53" s="28">
        <v>47</v>
      </c>
      <c r="M53" s="28">
        <v>0</v>
      </c>
      <c r="N53" s="89">
        <f>IFERROR((MIN_P[[#This Row],[BB]]+MIN_P[[#This Row],[H]])/MIN_P[[#This Row],[IP]],0)</f>
        <v>1.4827586206896552</v>
      </c>
      <c r="O53" s="28">
        <v>4</v>
      </c>
      <c r="P53" s="90">
        <v>2</v>
      </c>
      <c r="Q53" s="28">
        <v>0</v>
      </c>
      <c r="R53" s="74">
        <v>0</v>
      </c>
      <c r="S53" s="615">
        <v>2</v>
      </c>
      <c r="Z53" s="651" t="s">
        <v>429</v>
      </c>
      <c r="AA53" s="71" t="s">
        <v>206</v>
      </c>
      <c r="AB53" s="87" t="s">
        <v>449</v>
      </c>
      <c r="AC53" s="88">
        <f>IFERROR((MIN_P221[[#This Row],[R]]*9)/MIN_P221[[#This Row],[IP]],0)</f>
        <v>4.5240797794713794</v>
      </c>
      <c r="AD53" s="28">
        <v>3</v>
      </c>
      <c r="AE53" s="74">
        <v>3</v>
      </c>
      <c r="AF53" s="28">
        <v>10</v>
      </c>
      <c r="AG53" s="584">
        <v>61.67</v>
      </c>
      <c r="AH53" s="28">
        <v>65</v>
      </c>
      <c r="AI53" s="28">
        <v>31</v>
      </c>
      <c r="AJ53" s="28">
        <v>11</v>
      </c>
      <c r="AK53" s="28">
        <v>58</v>
      </c>
      <c r="AL53" s="28">
        <v>0</v>
      </c>
      <c r="AM53" s="89">
        <f>IFERROR((MIN_P221[[#This Row],[BB]]+MIN_P221[[#This Row],[H]])/MIN_P221[[#This Row],[IP]],0)</f>
        <v>1.2323658180638883</v>
      </c>
      <c r="AN53" s="28">
        <v>4</v>
      </c>
      <c r="AO53" s="90">
        <v>2</v>
      </c>
      <c r="AP53" s="28">
        <v>0</v>
      </c>
      <c r="AQ53" s="74">
        <v>0</v>
      </c>
      <c r="AR53" s="615">
        <v>2</v>
      </c>
      <c r="AY53" s="651" t="s">
        <v>429</v>
      </c>
      <c r="AZ53" s="71" t="s">
        <v>206</v>
      </c>
      <c r="BA53" s="74" t="s">
        <v>450</v>
      </c>
      <c r="BB53" s="88">
        <f>IFERROR((MIN_P195[[#This Row],[R]]*9)/MIN_P195[[#This Row],[IP]],0)</f>
        <v>4.1328639216286547</v>
      </c>
      <c r="BC53" s="28">
        <v>4</v>
      </c>
      <c r="BD53" s="74">
        <v>3</v>
      </c>
      <c r="BE53" s="28">
        <v>10</v>
      </c>
      <c r="BF53" s="584">
        <v>65.33</v>
      </c>
      <c r="BG53" s="28">
        <v>64</v>
      </c>
      <c r="BH53" s="28">
        <v>30</v>
      </c>
      <c r="BI53" s="28">
        <v>25</v>
      </c>
      <c r="BJ53" s="28">
        <v>75</v>
      </c>
      <c r="BK53" s="28">
        <v>0</v>
      </c>
      <c r="BL53" s="89">
        <f>IFERROR((MIN_P195[[#This Row],[H]]+MIN_P195[[#This Row],[BB]])/MIN_P195[[#This Row],[IP]],0)</f>
        <v>1.3623144037961121</v>
      </c>
      <c r="BM53" s="28">
        <v>7</v>
      </c>
      <c r="BN53" s="90">
        <v>5</v>
      </c>
      <c r="BO53" s="28">
        <v>0</v>
      </c>
      <c r="BP53" s="74">
        <v>0</v>
      </c>
      <c r="BQ53" s="615">
        <v>2</v>
      </c>
    </row>
    <row r="54" spans="1:73">
      <c r="A54" s="651" t="s">
        <v>429</v>
      </c>
      <c r="B54" s="71" t="s">
        <v>206</v>
      </c>
      <c r="C54" s="87" t="s">
        <v>451</v>
      </c>
      <c r="D54" s="88">
        <f>IFERROR((MIN_P[[#This Row],[R]]*9)/MIN_P[[#This Row],[IP]],0)</f>
        <v>3.2080796079013814</v>
      </c>
      <c r="E54" s="28">
        <v>6</v>
      </c>
      <c r="F54" s="74">
        <v>1</v>
      </c>
      <c r="G54" s="28">
        <v>10</v>
      </c>
      <c r="H54" s="584">
        <v>67.33</v>
      </c>
      <c r="I54" s="28">
        <v>57</v>
      </c>
      <c r="J54" s="28">
        <v>24</v>
      </c>
      <c r="K54" s="28">
        <v>18</v>
      </c>
      <c r="L54" s="28">
        <v>74</v>
      </c>
      <c r="M54" s="28">
        <v>0</v>
      </c>
      <c r="N54" s="89">
        <f>IFERROR((MIN_P[[#This Row],[BB]]+MIN_P[[#This Row],[H]])/MIN_P[[#This Row],[IP]],0)</f>
        <v>1.113916530521313</v>
      </c>
      <c r="O54" s="28">
        <v>8</v>
      </c>
      <c r="P54" s="90">
        <v>6</v>
      </c>
      <c r="Q54" s="28">
        <v>0</v>
      </c>
      <c r="R54" s="74">
        <v>0</v>
      </c>
      <c r="S54" s="615">
        <v>3</v>
      </c>
      <c r="Z54" s="651" t="s">
        <v>429</v>
      </c>
      <c r="AA54" s="71" t="s">
        <v>206</v>
      </c>
      <c r="AB54" s="87" t="s">
        <v>451</v>
      </c>
      <c r="AC54" s="88">
        <f>IFERROR((MIN_P221[[#This Row],[R]]*9)/MIN_P221[[#This Row],[IP]],0)</f>
        <v>3.774193548387097</v>
      </c>
      <c r="AD54" s="28">
        <v>5</v>
      </c>
      <c r="AE54" s="74">
        <v>2</v>
      </c>
      <c r="AF54" s="28">
        <v>10</v>
      </c>
      <c r="AG54" s="584">
        <v>62</v>
      </c>
      <c r="AH54" s="28">
        <v>53</v>
      </c>
      <c r="AI54" s="28">
        <v>26</v>
      </c>
      <c r="AJ54" s="28">
        <v>21</v>
      </c>
      <c r="AK54" s="28">
        <v>58</v>
      </c>
      <c r="AL54" s="28">
        <v>0</v>
      </c>
      <c r="AM54" s="89">
        <f>IFERROR((MIN_P221[[#This Row],[BB]]+MIN_P221[[#This Row],[H]])/MIN_P221[[#This Row],[IP]],0)</f>
        <v>1.1935483870967742</v>
      </c>
      <c r="AN54" s="28">
        <v>7</v>
      </c>
      <c r="AO54" s="90">
        <v>4</v>
      </c>
      <c r="AP54" s="28">
        <v>0</v>
      </c>
      <c r="AQ54" s="74">
        <v>0</v>
      </c>
      <c r="AR54" s="615">
        <v>3</v>
      </c>
      <c r="AY54" s="651" t="s">
        <v>429</v>
      </c>
      <c r="AZ54" s="71" t="s">
        <v>365</v>
      </c>
      <c r="BA54" s="74" t="s">
        <v>451</v>
      </c>
      <c r="BB54" s="88">
        <f>IFERROR((MIN_P195[[#This Row],[R]]*9)/MIN_P195[[#This Row],[IP]],0)</f>
        <v>4.8688524590163933</v>
      </c>
      <c r="BC54" s="28">
        <v>5</v>
      </c>
      <c r="BD54" s="74">
        <v>2</v>
      </c>
      <c r="BE54" s="28">
        <v>10</v>
      </c>
      <c r="BF54" s="584">
        <v>61</v>
      </c>
      <c r="BG54" s="28">
        <v>73</v>
      </c>
      <c r="BH54" s="28">
        <v>33</v>
      </c>
      <c r="BI54" s="28">
        <v>13</v>
      </c>
      <c r="BJ54" s="28">
        <v>49</v>
      </c>
      <c r="BK54" s="28">
        <v>0</v>
      </c>
      <c r="BL54" s="89">
        <f>IFERROR((MIN_P195[[#This Row],[H]]+MIN_P195[[#This Row],[BB]])/MIN_P195[[#This Row],[IP]],0)</f>
        <v>1.4098360655737705</v>
      </c>
      <c r="BM54" s="28">
        <v>4</v>
      </c>
      <c r="BN54" s="90">
        <v>3</v>
      </c>
      <c r="BO54" s="28">
        <v>0</v>
      </c>
      <c r="BP54" s="74">
        <v>0</v>
      </c>
      <c r="BQ54" s="615">
        <v>3</v>
      </c>
    </row>
    <row r="55" spans="1:73">
      <c r="A55" s="651" t="s">
        <v>429</v>
      </c>
      <c r="B55" s="71" t="s">
        <v>206</v>
      </c>
      <c r="C55" s="87" t="s">
        <v>452</v>
      </c>
      <c r="D55" s="88">
        <f>IFERROR((MIN_P[[#This Row],[R]]*9)/MIN_P[[#This Row],[IP]],0)</f>
        <v>4.95</v>
      </c>
      <c r="E55" s="28">
        <v>3</v>
      </c>
      <c r="F55" s="74">
        <v>5</v>
      </c>
      <c r="G55" s="28">
        <v>10</v>
      </c>
      <c r="H55" s="584">
        <v>60</v>
      </c>
      <c r="I55" s="28">
        <v>69</v>
      </c>
      <c r="J55" s="28">
        <v>33</v>
      </c>
      <c r="K55" s="28">
        <v>21</v>
      </c>
      <c r="L55" s="28">
        <v>52</v>
      </c>
      <c r="M55" s="28">
        <v>0</v>
      </c>
      <c r="N55" s="89">
        <f>IFERROR((MIN_P[[#This Row],[BB]]+MIN_P[[#This Row],[H]])/MIN_P[[#This Row],[IP]],0)</f>
        <v>1.5</v>
      </c>
      <c r="O55" s="28">
        <v>4</v>
      </c>
      <c r="P55" s="90">
        <v>2</v>
      </c>
      <c r="Q55" s="28">
        <v>0</v>
      </c>
      <c r="R55" s="74">
        <v>0</v>
      </c>
      <c r="S55" s="615">
        <v>4</v>
      </c>
      <c r="Z55" s="651" t="s">
        <v>429</v>
      </c>
      <c r="AA55" s="71" t="s">
        <v>206</v>
      </c>
      <c r="AB55" s="87" t="s">
        <v>450</v>
      </c>
      <c r="AC55" s="88">
        <f>IFERROR((MIN_P221[[#This Row],[R]]*9)/MIN_P221[[#This Row],[IP]],0)</f>
        <v>3.3751834338822762</v>
      </c>
      <c r="AD55" s="28">
        <v>5</v>
      </c>
      <c r="AE55" s="74">
        <v>0</v>
      </c>
      <c r="AF55" s="28">
        <v>10</v>
      </c>
      <c r="AG55" s="584">
        <v>61.33</v>
      </c>
      <c r="AH55" s="28">
        <v>61</v>
      </c>
      <c r="AI55" s="28">
        <v>23</v>
      </c>
      <c r="AJ55" s="28">
        <v>18</v>
      </c>
      <c r="AK55" s="28">
        <v>59</v>
      </c>
      <c r="AL55" s="28">
        <v>0</v>
      </c>
      <c r="AM55" s="89">
        <f>IFERROR((MIN_P221[[#This Row],[BB]]+MIN_P221[[#This Row],[H]])/MIN_P221[[#This Row],[IP]],0)</f>
        <v>1.2881134844285016</v>
      </c>
      <c r="AN55" s="28">
        <v>8</v>
      </c>
      <c r="AO55" s="90">
        <v>3</v>
      </c>
      <c r="AP55" s="28">
        <v>0</v>
      </c>
      <c r="AQ55" s="74">
        <v>0</v>
      </c>
      <c r="AR55" s="615">
        <v>4</v>
      </c>
      <c r="AY55" s="651" t="s">
        <v>429</v>
      </c>
      <c r="AZ55" s="71" t="s">
        <v>206</v>
      </c>
      <c r="BA55" s="74" t="s">
        <v>453</v>
      </c>
      <c r="BB55" s="88">
        <f>IFERROR((MIN_P195[[#This Row],[R]]*9)/MIN_P195[[#This Row],[IP]],0)</f>
        <v>6.5849643314432047</v>
      </c>
      <c r="BC55" s="28">
        <v>2</v>
      </c>
      <c r="BD55" s="74">
        <v>5</v>
      </c>
      <c r="BE55" s="28">
        <v>10</v>
      </c>
      <c r="BF55" s="584">
        <v>54.67</v>
      </c>
      <c r="BG55" s="28">
        <v>63</v>
      </c>
      <c r="BH55" s="28">
        <v>40</v>
      </c>
      <c r="BI55" s="28">
        <v>27</v>
      </c>
      <c r="BJ55" s="28">
        <v>45</v>
      </c>
      <c r="BK55" s="28">
        <v>0</v>
      </c>
      <c r="BL55" s="89">
        <f>IFERROR((MIN_P195[[#This Row],[H]]+MIN_P195[[#This Row],[BB]])/MIN_P195[[#This Row],[IP]],0)</f>
        <v>1.6462410828608012</v>
      </c>
      <c r="BM55" s="28">
        <v>2</v>
      </c>
      <c r="BN55" s="90">
        <v>1</v>
      </c>
      <c r="BO55" s="28">
        <v>0</v>
      </c>
      <c r="BP55" s="74">
        <v>0</v>
      </c>
      <c r="BQ55" s="615">
        <v>4</v>
      </c>
    </row>
    <row r="56" spans="1:73">
      <c r="A56" s="651" t="s">
        <v>429</v>
      </c>
      <c r="B56" s="71" t="s">
        <v>212</v>
      </c>
      <c r="C56" s="87" t="s">
        <v>454</v>
      </c>
      <c r="D56" s="88">
        <f>IFERROR((MIN_P[[#This Row],[R]]*9)/MIN_P[[#This Row],[IP]],0)</f>
        <v>6.2307692307692308</v>
      </c>
      <c r="E56" s="28">
        <v>0</v>
      </c>
      <c r="F56" s="74">
        <v>1</v>
      </c>
      <c r="G56" s="28">
        <v>9</v>
      </c>
      <c r="H56" s="584">
        <v>13</v>
      </c>
      <c r="I56" s="28">
        <v>20</v>
      </c>
      <c r="J56" s="28">
        <v>9</v>
      </c>
      <c r="K56" s="28">
        <v>7</v>
      </c>
      <c r="L56" s="28">
        <v>17</v>
      </c>
      <c r="M56" s="28">
        <v>0</v>
      </c>
      <c r="N56" s="89">
        <f>IFERROR((MIN_P[[#This Row],[BB]]+MIN_P[[#This Row],[H]])/MIN_P[[#This Row],[IP]],0)</f>
        <v>2.0769230769230771</v>
      </c>
      <c r="O56" s="28">
        <v>0</v>
      </c>
      <c r="P56" s="90">
        <v>0</v>
      </c>
      <c r="Q56" s="28">
        <v>0</v>
      </c>
      <c r="R56" s="74">
        <v>0</v>
      </c>
      <c r="S56" s="615">
        <v>5</v>
      </c>
      <c r="Z56" s="651" t="s">
        <v>429</v>
      </c>
      <c r="AA56" s="71" t="s">
        <v>212</v>
      </c>
      <c r="AB56" s="87" t="s">
        <v>453</v>
      </c>
      <c r="AC56" s="88">
        <f>IFERROR((MIN_P221[[#This Row],[R]]*9)/MIN_P221[[#This Row],[IP]],0)</f>
        <v>4.95</v>
      </c>
      <c r="AD56" s="28">
        <v>0</v>
      </c>
      <c r="AE56" s="74">
        <v>2</v>
      </c>
      <c r="AF56" s="28">
        <v>9</v>
      </c>
      <c r="AG56" s="584">
        <v>20</v>
      </c>
      <c r="AH56" s="28">
        <v>22</v>
      </c>
      <c r="AI56" s="28">
        <v>11</v>
      </c>
      <c r="AJ56" s="28">
        <v>6</v>
      </c>
      <c r="AK56" s="28">
        <v>16</v>
      </c>
      <c r="AL56" s="28">
        <v>0</v>
      </c>
      <c r="AM56" s="89">
        <f>IFERROR((MIN_P221[[#This Row],[BB]]+MIN_P221[[#This Row],[H]])/MIN_P221[[#This Row],[IP]],0)</f>
        <v>1.4</v>
      </c>
      <c r="AN56" s="28">
        <v>0</v>
      </c>
      <c r="AO56" s="90">
        <v>0</v>
      </c>
      <c r="AP56" s="28">
        <v>0</v>
      </c>
      <c r="AQ56" s="74">
        <v>0</v>
      </c>
      <c r="AR56" s="615">
        <v>5</v>
      </c>
      <c r="AY56" s="651" t="s">
        <v>429</v>
      </c>
      <c r="AZ56" s="71" t="s">
        <v>215</v>
      </c>
      <c r="BA56" s="74" t="s">
        <v>454</v>
      </c>
      <c r="BB56" s="88">
        <f>IFERROR((MIN_P195[[#This Row],[R]]*9)/MIN_P195[[#This Row],[IP]],0)</f>
        <v>0</v>
      </c>
      <c r="BC56" s="28">
        <v>0</v>
      </c>
      <c r="BD56" s="74">
        <v>0</v>
      </c>
      <c r="BE56" s="28">
        <v>7</v>
      </c>
      <c r="BF56" s="584">
        <v>9</v>
      </c>
      <c r="BG56" s="28">
        <v>4</v>
      </c>
      <c r="BH56" s="28">
        <v>0</v>
      </c>
      <c r="BI56" s="28">
        <v>4</v>
      </c>
      <c r="BJ56" s="28">
        <v>6</v>
      </c>
      <c r="BK56" s="28">
        <v>0</v>
      </c>
      <c r="BL56" s="89">
        <f>IFERROR((MIN_P195[[#This Row],[H]]+MIN_P195[[#This Row],[BB]])/MIN_P195[[#This Row],[IP]],0)</f>
        <v>0.88888888888888884</v>
      </c>
      <c r="BM56" s="28">
        <v>0</v>
      </c>
      <c r="BN56" s="90">
        <v>0</v>
      </c>
      <c r="BO56" s="28">
        <v>0</v>
      </c>
      <c r="BP56" s="74">
        <v>0</v>
      </c>
      <c r="BQ56" s="615">
        <v>5</v>
      </c>
    </row>
    <row r="57" spans="1:73">
      <c r="A57" s="651" t="s">
        <v>429</v>
      </c>
      <c r="B57" s="71" t="s">
        <v>212</v>
      </c>
      <c r="C57" s="87" t="s">
        <v>455</v>
      </c>
      <c r="D57" s="88">
        <f>IFERROR((MIN_P[[#This Row],[R]]*9)/MIN_P[[#This Row],[IP]],0)</f>
        <v>4.3670048522276135</v>
      </c>
      <c r="E57" s="28">
        <v>0</v>
      </c>
      <c r="F57" s="74">
        <v>0</v>
      </c>
      <c r="G57" s="28">
        <v>11</v>
      </c>
      <c r="H57" s="584">
        <v>22.67</v>
      </c>
      <c r="I57" s="28">
        <v>25</v>
      </c>
      <c r="J57" s="28">
        <v>11</v>
      </c>
      <c r="K57" s="28">
        <v>9</v>
      </c>
      <c r="L57" s="28">
        <v>21</v>
      </c>
      <c r="M57" s="28">
        <v>0</v>
      </c>
      <c r="N57" s="89">
        <f>IFERROR((MIN_P[[#This Row],[BB]]+MIN_P[[#This Row],[H]])/MIN_P[[#This Row],[IP]],0)</f>
        <v>1.4997794441993824</v>
      </c>
      <c r="O57" s="28">
        <v>0</v>
      </c>
      <c r="P57" s="90">
        <v>0</v>
      </c>
      <c r="Q57" s="28">
        <v>0</v>
      </c>
      <c r="R57" s="74">
        <v>0</v>
      </c>
      <c r="S57" s="615">
        <v>6</v>
      </c>
      <c r="Z57" s="651" t="s">
        <v>429</v>
      </c>
      <c r="AA57" s="71" t="s">
        <v>212</v>
      </c>
      <c r="AB57" s="87" t="s">
        <v>455</v>
      </c>
      <c r="AC57" s="88">
        <f>IFERROR((MIN_P221[[#This Row],[R]]*9)/MIN_P221[[#This Row],[IP]],0)</f>
        <v>4.5</v>
      </c>
      <c r="AD57" s="28">
        <v>0</v>
      </c>
      <c r="AE57" s="74">
        <v>0</v>
      </c>
      <c r="AF57" s="28">
        <v>4</v>
      </c>
      <c r="AG57" s="584">
        <v>6</v>
      </c>
      <c r="AH57" s="28">
        <v>6</v>
      </c>
      <c r="AI57" s="28">
        <v>3</v>
      </c>
      <c r="AJ57" s="28">
        <v>2</v>
      </c>
      <c r="AK57" s="28">
        <v>9</v>
      </c>
      <c r="AL57" s="28">
        <v>0</v>
      </c>
      <c r="AM57" s="89">
        <f>IFERROR((MIN_P221[[#This Row],[BB]]+MIN_P221[[#This Row],[H]])/MIN_P221[[#This Row],[IP]],0)</f>
        <v>1.3333333333333333</v>
      </c>
      <c r="AN57" s="28">
        <v>0</v>
      </c>
      <c r="AO57" s="90">
        <v>0</v>
      </c>
      <c r="AP57" s="28">
        <v>0</v>
      </c>
      <c r="AQ57" s="74">
        <v>0</v>
      </c>
      <c r="AR57" s="615">
        <v>6</v>
      </c>
      <c r="AY57" s="651" t="s">
        <v>429</v>
      </c>
      <c r="AZ57" s="71" t="s">
        <v>212</v>
      </c>
      <c r="BA57" s="74" t="s">
        <v>455</v>
      </c>
      <c r="BB57" s="88">
        <f>IFERROR((MIN_P195[[#This Row],[R]]*9)/MIN_P195[[#This Row],[IP]],0)</f>
        <v>4.9429657794676807</v>
      </c>
      <c r="BC57" s="28">
        <v>1</v>
      </c>
      <c r="BD57" s="74">
        <v>1</v>
      </c>
      <c r="BE57" s="28">
        <v>13</v>
      </c>
      <c r="BF57" s="584">
        <v>23.67</v>
      </c>
      <c r="BG57" s="28">
        <v>21</v>
      </c>
      <c r="BH57" s="28">
        <v>13</v>
      </c>
      <c r="BI57" s="28">
        <v>14</v>
      </c>
      <c r="BJ57" s="28">
        <v>10</v>
      </c>
      <c r="BK57" s="28">
        <v>0</v>
      </c>
      <c r="BL57" s="89">
        <f>IFERROR((MIN_P195[[#This Row],[H]]+MIN_P195[[#This Row],[BB]])/MIN_P195[[#This Row],[IP]],0)</f>
        <v>1.478664976763836</v>
      </c>
      <c r="BM57" s="28">
        <v>0</v>
      </c>
      <c r="BN57" s="90">
        <v>0</v>
      </c>
      <c r="BO57" s="28">
        <v>0</v>
      </c>
      <c r="BP57" s="74">
        <v>0</v>
      </c>
      <c r="BQ57" s="615">
        <v>6</v>
      </c>
    </row>
    <row r="58" spans="1:73">
      <c r="A58" s="651" t="s">
        <v>429</v>
      </c>
      <c r="B58" s="71" t="s">
        <v>212</v>
      </c>
      <c r="C58" s="87" t="s">
        <v>457</v>
      </c>
      <c r="D58" s="88">
        <f>IFERROR((MIN_P[[#This Row],[R]]*9)/MIN_P[[#This Row],[IP]],0)</f>
        <v>3.3067973055725663</v>
      </c>
      <c r="E58" s="28">
        <v>2</v>
      </c>
      <c r="F58" s="74">
        <v>1</v>
      </c>
      <c r="G58" s="28">
        <v>14</v>
      </c>
      <c r="H58" s="584">
        <v>16.329999999999998</v>
      </c>
      <c r="I58" s="28">
        <v>17</v>
      </c>
      <c r="J58" s="28">
        <v>6</v>
      </c>
      <c r="K58" s="28">
        <v>8</v>
      </c>
      <c r="L58" s="28">
        <v>19</v>
      </c>
      <c r="M58" s="28">
        <v>0</v>
      </c>
      <c r="N58" s="89">
        <f>IFERROR((MIN_P[[#This Row],[BB]]+MIN_P[[#This Row],[H]])/MIN_P[[#This Row],[IP]],0)</f>
        <v>1.5309246785058177</v>
      </c>
      <c r="O58" s="28">
        <v>0</v>
      </c>
      <c r="P58" s="90">
        <v>0</v>
      </c>
      <c r="Q58" s="28">
        <v>0</v>
      </c>
      <c r="R58" s="74">
        <v>0</v>
      </c>
      <c r="S58" s="615">
        <v>7</v>
      </c>
      <c r="Z58" s="651" t="s">
        <v>429</v>
      </c>
      <c r="AA58" s="71" t="s">
        <v>212</v>
      </c>
      <c r="AB58" s="87" t="s">
        <v>457</v>
      </c>
      <c r="AC58" s="88">
        <f>IFERROR((MIN_P221[[#This Row],[R]]*9)/MIN_P221[[#This Row],[IP]],0)</f>
        <v>3.3758439609902475</v>
      </c>
      <c r="AD58" s="28">
        <v>1</v>
      </c>
      <c r="AE58" s="74">
        <v>0</v>
      </c>
      <c r="AF58" s="28">
        <v>13</v>
      </c>
      <c r="AG58" s="584">
        <v>13.33</v>
      </c>
      <c r="AH58" s="28">
        <v>12</v>
      </c>
      <c r="AI58" s="28">
        <v>5</v>
      </c>
      <c r="AJ58" s="28">
        <v>4</v>
      </c>
      <c r="AK58" s="28">
        <v>10</v>
      </c>
      <c r="AL58" s="28">
        <v>0</v>
      </c>
      <c r="AM58" s="89">
        <f>IFERROR((MIN_P221[[#This Row],[BB]]+MIN_P221[[#This Row],[H]])/MIN_P221[[#This Row],[IP]],0)</f>
        <v>1.2003000750187547</v>
      </c>
      <c r="AN58" s="28">
        <v>0</v>
      </c>
      <c r="AO58" s="90">
        <v>0</v>
      </c>
      <c r="AP58" s="28">
        <v>0</v>
      </c>
      <c r="AQ58" s="74">
        <v>0</v>
      </c>
      <c r="AR58" s="615">
        <v>7</v>
      </c>
      <c r="AY58" s="651" t="s">
        <v>429</v>
      </c>
      <c r="AZ58" s="71" t="s">
        <v>212</v>
      </c>
      <c r="BA58" s="74" t="s">
        <v>457</v>
      </c>
      <c r="BB58" s="88">
        <f>IFERROR((MIN_P195[[#This Row],[R]]*9)/MIN_P195[[#This Row],[IP]],0)</f>
        <v>4.0909090909090908</v>
      </c>
      <c r="BC58" s="28">
        <v>0</v>
      </c>
      <c r="BD58" s="74">
        <v>1</v>
      </c>
      <c r="BE58" s="28">
        <v>19</v>
      </c>
      <c r="BF58" s="584">
        <v>22</v>
      </c>
      <c r="BG58" s="28">
        <v>19</v>
      </c>
      <c r="BH58" s="28">
        <v>10</v>
      </c>
      <c r="BI58" s="28">
        <v>9</v>
      </c>
      <c r="BJ58" s="28">
        <v>20</v>
      </c>
      <c r="BK58" s="28">
        <v>1</v>
      </c>
      <c r="BL58" s="89">
        <f>IFERROR((MIN_P195[[#This Row],[H]]+MIN_P195[[#This Row],[BB]])/MIN_P195[[#This Row],[IP]],0)</f>
        <v>1.2727272727272727</v>
      </c>
      <c r="BM58" s="28">
        <v>0</v>
      </c>
      <c r="BN58" s="90">
        <v>0</v>
      </c>
      <c r="BO58" s="28">
        <v>0</v>
      </c>
      <c r="BP58" s="74">
        <v>0</v>
      </c>
      <c r="BQ58" s="615">
        <v>7</v>
      </c>
    </row>
    <row r="59" spans="1:73">
      <c r="A59" s="651" t="s">
        <v>429</v>
      </c>
      <c r="B59" s="71" t="s">
        <v>212</v>
      </c>
      <c r="C59" s="87" t="s">
        <v>456</v>
      </c>
      <c r="D59" s="88">
        <f>IFERROR((MIN_P[[#This Row],[R]]*9)/MIN_P[[#This Row],[IP]],0)</f>
        <v>8.8779284833538838</v>
      </c>
      <c r="E59" s="28">
        <v>1</v>
      </c>
      <c r="F59" s="74">
        <v>1</v>
      </c>
      <c r="G59" s="28">
        <v>19</v>
      </c>
      <c r="H59" s="584">
        <v>24.33</v>
      </c>
      <c r="I59" s="28">
        <v>33</v>
      </c>
      <c r="J59" s="28">
        <v>24</v>
      </c>
      <c r="K59" s="28">
        <v>5</v>
      </c>
      <c r="L59" s="28">
        <v>30</v>
      </c>
      <c r="M59" s="28">
        <v>0</v>
      </c>
      <c r="N59" s="89">
        <f>IFERROR((MIN_P[[#This Row],[BB]]+MIN_P[[#This Row],[H]])/MIN_P[[#This Row],[IP]],0)</f>
        <v>1.5618577887381835</v>
      </c>
      <c r="O59" s="28">
        <v>0</v>
      </c>
      <c r="P59" s="90">
        <v>0</v>
      </c>
      <c r="Q59" s="28">
        <v>0</v>
      </c>
      <c r="R59" s="74">
        <v>0</v>
      </c>
      <c r="S59" s="615">
        <v>8</v>
      </c>
      <c r="Z59" s="651" t="s">
        <v>429</v>
      </c>
      <c r="AA59" s="71" t="s">
        <v>212</v>
      </c>
      <c r="AB59" s="87" t="s">
        <v>456</v>
      </c>
      <c r="AC59" s="88">
        <f>IFERROR((MIN_P221[[#This Row],[R]]*9)/MIN_P221[[#This Row],[IP]],0)</f>
        <v>3.9517014270032935</v>
      </c>
      <c r="AD59" s="28">
        <v>1</v>
      </c>
      <c r="AE59" s="74">
        <v>2</v>
      </c>
      <c r="AF59" s="28">
        <v>18</v>
      </c>
      <c r="AG59" s="584">
        <v>27.33</v>
      </c>
      <c r="AH59" s="28">
        <v>25</v>
      </c>
      <c r="AI59" s="28">
        <v>12</v>
      </c>
      <c r="AJ59" s="28">
        <v>7</v>
      </c>
      <c r="AK59" s="28">
        <v>18</v>
      </c>
      <c r="AL59" s="28">
        <v>0</v>
      </c>
      <c r="AM59" s="89">
        <f>IFERROR((MIN_P221[[#This Row],[BB]]+MIN_P221[[#This Row],[H]])/MIN_P221[[#This Row],[IP]],0)</f>
        <v>1.1708744968898648</v>
      </c>
      <c r="AN59" s="28">
        <v>0</v>
      </c>
      <c r="AO59" s="90">
        <v>0</v>
      </c>
      <c r="AP59" s="28">
        <v>0</v>
      </c>
      <c r="AQ59" s="74">
        <v>0</v>
      </c>
      <c r="AR59" s="615">
        <v>8</v>
      </c>
      <c r="AY59" s="651" t="s">
        <v>429</v>
      </c>
      <c r="AZ59" s="71" t="s">
        <v>215</v>
      </c>
      <c r="BA59" s="74" t="s">
        <v>456</v>
      </c>
      <c r="BB59" s="88">
        <f>IFERROR((MIN_P195[[#This Row],[R]]*9)/MIN_P195[[#This Row],[IP]],0)</f>
        <v>3.6</v>
      </c>
      <c r="BC59" s="28">
        <v>0</v>
      </c>
      <c r="BD59" s="74">
        <v>0</v>
      </c>
      <c r="BE59" s="28">
        <v>6</v>
      </c>
      <c r="BF59" s="584">
        <v>10</v>
      </c>
      <c r="BG59" s="28">
        <v>9</v>
      </c>
      <c r="BH59" s="28">
        <v>4</v>
      </c>
      <c r="BI59" s="28">
        <v>5</v>
      </c>
      <c r="BJ59" s="28">
        <v>6</v>
      </c>
      <c r="BK59" s="28">
        <v>0</v>
      </c>
      <c r="BL59" s="89">
        <f>IFERROR((MIN_P195[[#This Row],[H]]+MIN_P195[[#This Row],[BB]])/MIN_P195[[#This Row],[IP]],0)</f>
        <v>1.4</v>
      </c>
      <c r="BM59" s="28">
        <v>0</v>
      </c>
      <c r="BN59" s="90">
        <v>0</v>
      </c>
      <c r="BO59" s="28">
        <v>0</v>
      </c>
      <c r="BP59" s="74">
        <v>0</v>
      </c>
      <c r="BQ59" s="615">
        <v>8</v>
      </c>
    </row>
    <row r="60" spans="1:73">
      <c r="A60" s="651" t="s">
        <v>429</v>
      </c>
      <c r="B60" s="71" t="s">
        <v>212</v>
      </c>
      <c r="C60" s="87" t="s">
        <v>458</v>
      </c>
      <c r="D60" s="88">
        <f>IFERROR((MIN_P[[#This Row],[R]]*9)/MIN_P[[#This Row],[IP]],0)</f>
        <v>2.7790030877812084</v>
      </c>
      <c r="E60" s="28">
        <v>0</v>
      </c>
      <c r="F60" s="74">
        <v>0</v>
      </c>
      <c r="G60" s="28">
        <v>20</v>
      </c>
      <c r="H60" s="584">
        <v>22.67</v>
      </c>
      <c r="I60" s="28">
        <v>19</v>
      </c>
      <c r="J60" s="28">
        <v>7</v>
      </c>
      <c r="K60" s="28">
        <v>6</v>
      </c>
      <c r="L60" s="28">
        <v>24</v>
      </c>
      <c r="M60" s="28">
        <v>0</v>
      </c>
      <c r="N60" s="89">
        <f>IFERROR((MIN_P[[#This Row],[BB]]+MIN_P[[#This Row],[H]])/MIN_P[[#This Row],[IP]],0)</f>
        <v>1.1027790030877811</v>
      </c>
      <c r="O60" s="28">
        <v>0</v>
      </c>
      <c r="P60" s="90">
        <v>0</v>
      </c>
      <c r="Q60" s="28">
        <v>0</v>
      </c>
      <c r="R60" s="74">
        <v>0</v>
      </c>
      <c r="S60" s="615">
        <v>9</v>
      </c>
      <c r="Z60" s="651" t="s">
        <v>429</v>
      </c>
      <c r="AA60" s="71" t="s">
        <v>212</v>
      </c>
      <c r="AB60" s="87" t="s">
        <v>458</v>
      </c>
      <c r="AC60" s="88">
        <f>IFERROR((MIN_P221[[#This Row],[R]]*9)/MIN_P221[[#This Row],[IP]],0)</f>
        <v>5.9644227415416813</v>
      </c>
      <c r="AD60" s="28">
        <v>1</v>
      </c>
      <c r="AE60" s="74">
        <v>2</v>
      </c>
      <c r="AF60" s="28">
        <v>24</v>
      </c>
      <c r="AG60" s="584">
        <v>28.67</v>
      </c>
      <c r="AH60" s="28">
        <v>39</v>
      </c>
      <c r="AI60" s="28">
        <v>19</v>
      </c>
      <c r="AJ60" s="28">
        <v>9</v>
      </c>
      <c r="AK60" s="28">
        <v>33</v>
      </c>
      <c r="AL60" s="28">
        <v>0</v>
      </c>
      <c r="AM60" s="89">
        <f>IFERROR((MIN_P221[[#This Row],[BB]]+MIN_P221[[#This Row],[H]])/MIN_P221[[#This Row],[IP]],0)</f>
        <v>1.6742239274502964</v>
      </c>
      <c r="AN60" s="28">
        <v>0</v>
      </c>
      <c r="AO60" s="90">
        <v>0</v>
      </c>
      <c r="AP60" s="28">
        <v>0</v>
      </c>
      <c r="AQ60" s="74">
        <v>0</v>
      </c>
      <c r="AR60" s="615">
        <v>9</v>
      </c>
      <c r="AY60" s="651" t="s">
        <v>429</v>
      </c>
      <c r="AZ60" s="71" t="s">
        <v>212</v>
      </c>
      <c r="BA60" s="74" t="s">
        <v>458</v>
      </c>
      <c r="BB60" s="88">
        <f>IFERROR((MIN_P195[[#This Row],[R]]*9)/MIN_P195[[#This Row],[IP]],0)</f>
        <v>5.4722334819618963</v>
      </c>
      <c r="BC60" s="28">
        <v>0</v>
      </c>
      <c r="BD60" s="74">
        <v>3</v>
      </c>
      <c r="BE60" s="28">
        <v>22</v>
      </c>
      <c r="BF60" s="584">
        <v>24.67</v>
      </c>
      <c r="BG60" s="28">
        <v>35</v>
      </c>
      <c r="BH60" s="28">
        <v>15</v>
      </c>
      <c r="BI60" s="28">
        <v>5</v>
      </c>
      <c r="BJ60" s="28">
        <v>29</v>
      </c>
      <c r="BK60" s="28">
        <v>0</v>
      </c>
      <c r="BL60" s="89">
        <f>IFERROR((MIN_P195[[#This Row],[H]]+MIN_P195[[#This Row],[BB]])/MIN_P195[[#This Row],[IP]],0)</f>
        <v>1.6214025131738954</v>
      </c>
      <c r="BM60" s="28">
        <v>0</v>
      </c>
      <c r="BN60" s="90">
        <v>0</v>
      </c>
      <c r="BO60" s="28">
        <v>0</v>
      </c>
      <c r="BP60" s="74">
        <v>0</v>
      </c>
      <c r="BQ60" s="615">
        <v>9</v>
      </c>
    </row>
    <row r="61" spans="1:73" ht="17" thickBot="1">
      <c r="A61" s="651" t="s">
        <v>429</v>
      </c>
      <c r="B61" s="71" t="s">
        <v>212</v>
      </c>
      <c r="C61" s="87" t="s">
        <v>227</v>
      </c>
      <c r="D61" s="88">
        <f>IFERROR((MIN_P[[#This Row],[R]]*9)/MIN_P[[#This Row],[IP]],0)</f>
        <v>3.9084090011843666</v>
      </c>
      <c r="E61" s="28">
        <v>0</v>
      </c>
      <c r="F61" s="74">
        <v>2</v>
      </c>
      <c r="G61" s="28">
        <v>23</v>
      </c>
      <c r="H61" s="584">
        <v>25.33</v>
      </c>
      <c r="I61" s="28">
        <v>23</v>
      </c>
      <c r="J61" s="28">
        <v>11</v>
      </c>
      <c r="K61" s="28">
        <v>7</v>
      </c>
      <c r="L61" s="28">
        <v>36</v>
      </c>
      <c r="M61" s="76">
        <v>11</v>
      </c>
      <c r="N61" s="89">
        <f>IFERROR((MIN_P[[#This Row],[BB]]+MIN_P[[#This Row],[H]])/MIN_P[[#This Row],[IP]],0)</f>
        <v>1.1843663639952626</v>
      </c>
      <c r="O61" s="28">
        <v>0</v>
      </c>
      <c r="P61" s="90">
        <v>0</v>
      </c>
      <c r="Q61" s="28">
        <v>0</v>
      </c>
      <c r="R61" s="74">
        <v>0</v>
      </c>
      <c r="S61" s="615">
        <v>10</v>
      </c>
      <c r="Z61" s="651" t="s">
        <v>429</v>
      </c>
      <c r="AA61" s="71" t="s">
        <v>215</v>
      </c>
      <c r="AB61" s="87" t="s">
        <v>227</v>
      </c>
      <c r="AC61" s="88">
        <f>IFERROR((MIN_P221[[#This Row],[R]]*9)/MIN_P221[[#This Row],[IP]],0)</f>
        <v>2.7</v>
      </c>
      <c r="AD61" s="28">
        <v>2</v>
      </c>
      <c r="AE61" s="74">
        <v>3</v>
      </c>
      <c r="AF61" s="28">
        <v>28</v>
      </c>
      <c r="AG61" s="584">
        <v>30</v>
      </c>
      <c r="AH61" s="28">
        <v>22</v>
      </c>
      <c r="AI61" s="28">
        <v>9</v>
      </c>
      <c r="AJ61" s="28">
        <v>6</v>
      </c>
      <c r="AK61" s="28">
        <v>33</v>
      </c>
      <c r="AL61" s="28">
        <v>12</v>
      </c>
      <c r="AM61" s="89">
        <f>IFERROR((MIN_P221[[#This Row],[BB]]+MIN_P221[[#This Row],[H]])/MIN_P221[[#This Row],[IP]],0)</f>
        <v>0.93333333333333335</v>
      </c>
      <c r="AN61" s="28">
        <v>0</v>
      </c>
      <c r="AO61" s="90">
        <v>0</v>
      </c>
      <c r="AP61" s="28">
        <v>0</v>
      </c>
      <c r="AQ61" s="74">
        <v>0</v>
      </c>
      <c r="AR61" s="615">
        <v>10</v>
      </c>
      <c r="AY61" s="651" t="s">
        <v>429</v>
      </c>
      <c r="AZ61" s="71" t="s">
        <v>212</v>
      </c>
      <c r="BA61" s="74" t="s">
        <v>459</v>
      </c>
      <c r="BB61" s="88">
        <f>IFERROR((MIN_P195[[#This Row],[R]]*9)/MIN_P195[[#This Row],[IP]],0)</f>
        <v>3.6603965429588201</v>
      </c>
      <c r="BC61" s="28">
        <v>1</v>
      </c>
      <c r="BD61" s="74">
        <v>3</v>
      </c>
      <c r="BE61" s="28">
        <v>21</v>
      </c>
      <c r="BF61" s="584">
        <v>19.670000000000002</v>
      </c>
      <c r="BG61" s="28">
        <v>15</v>
      </c>
      <c r="BH61" s="28">
        <v>8</v>
      </c>
      <c r="BI61" s="28">
        <v>4</v>
      </c>
      <c r="BJ61" s="28">
        <v>15</v>
      </c>
      <c r="BK61" s="28">
        <v>6</v>
      </c>
      <c r="BL61" s="89">
        <f>IFERROR((MIN_P195[[#This Row],[H]]+MIN_P195[[#This Row],[BB]])/MIN_P195[[#This Row],[IP]],0)</f>
        <v>0.96593797661413316</v>
      </c>
      <c r="BM61" s="28">
        <v>0</v>
      </c>
      <c r="BN61" s="90">
        <v>0</v>
      </c>
      <c r="BO61" s="28">
        <v>0</v>
      </c>
      <c r="BP61" s="74">
        <v>0</v>
      </c>
      <c r="BQ61" s="615">
        <v>10</v>
      </c>
    </row>
    <row r="62" spans="1:73" ht="17" thickBot="1">
      <c r="A62" s="674"/>
      <c r="B62" s="675"/>
      <c r="C62" s="740" t="s">
        <v>195</v>
      </c>
      <c r="D62" s="683">
        <f>(J62*9)/H62</f>
        <v>5.1665608699252061</v>
      </c>
      <c r="E62" s="679">
        <f>SUBTOTAL(109,MIN_P[W])</f>
        <v>18</v>
      </c>
      <c r="F62" s="680">
        <f>SUBTOTAL(109,MIN_P[L])</f>
        <v>22</v>
      </c>
      <c r="G62" s="679"/>
      <c r="H62" s="684">
        <f>SUBTOTAL(109,MIN_P[IP])</f>
        <v>362.33</v>
      </c>
      <c r="I62" s="679">
        <f>SUBTOTAL(109,MIN_P[H])</f>
        <v>386</v>
      </c>
      <c r="J62" s="679">
        <f>SUBTOTAL(109,MIN_P[R])</f>
        <v>208</v>
      </c>
      <c r="K62" s="679">
        <f>SUBTOTAL(109,MIN_P[BB])</f>
        <v>132</v>
      </c>
      <c r="L62" s="679">
        <f>SUBTOTAL(109,MIN_P[K])</f>
        <v>363</v>
      </c>
      <c r="M62" s="679">
        <f>SUBTOTAL(109,MIN_P[SV])</f>
        <v>11</v>
      </c>
      <c r="N62" s="741">
        <f>(K62+I62)/H62</f>
        <v>1.4296359672122099</v>
      </c>
      <c r="O62" s="742">
        <f>SUBTOTAL(109,MIN_P[QS])</f>
        <v>19</v>
      </c>
      <c r="P62" s="687">
        <f>SUBTOTAL(109,MIN_P[UQ])</f>
        <v>12</v>
      </c>
      <c r="Q62" s="686">
        <f>SUBTOTAL(109,MIN_P[CG])</f>
        <v>0</v>
      </c>
      <c r="R62" s="688">
        <f>SUBTOTAL(109,MIN_P[SH])</f>
        <v>0</v>
      </c>
      <c r="S62" s="681"/>
      <c r="Z62" s="691"/>
      <c r="AA62" s="773"/>
      <c r="AB62" s="692" t="s">
        <v>195</v>
      </c>
      <c r="AC62" s="745">
        <f>(AI62*9)/AG62</f>
        <v>4.3890410958904109</v>
      </c>
      <c r="AD62" s="696">
        <f>SUBTOTAL(109,MIN_P221[W])</f>
        <v>21</v>
      </c>
      <c r="AE62" s="697">
        <f>SUBTOTAL(109,MIN_P221[L])</f>
        <v>19</v>
      </c>
      <c r="AF62" s="696"/>
      <c r="AG62" s="700">
        <f>SUBTOTAL(109,MIN_P221[IP])</f>
        <v>365</v>
      </c>
      <c r="AH62" s="696">
        <f>SUBTOTAL(109,MIN_P221[H])</f>
        <v>370</v>
      </c>
      <c r="AI62" s="696">
        <f>SUBTOTAL(109,MIN_P221[R])</f>
        <v>178</v>
      </c>
      <c r="AJ62" s="696">
        <f>SUBTOTAL(109,MIN_P221[BB])</f>
        <v>112</v>
      </c>
      <c r="AK62" s="696">
        <f>SUBTOTAL(109,MIN_P221[K])</f>
        <v>339</v>
      </c>
      <c r="AL62" s="696">
        <f>SUBTOTAL(109,MIN_P221[SV])</f>
        <v>12</v>
      </c>
      <c r="AM62" s="746">
        <f>(AJ62+AH62)/AG62</f>
        <v>1.3205479452054794</v>
      </c>
      <c r="AN62" s="701">
        <f>SUBTOTAL(109,MIN_P221[QS])</f>
        <v>24</v>
      </c>
      <c r="AO62" s="702">
        <f>SUBTOTAL(109,MIN_P221[UQ])</f>
        <v>9</v>
      </c>
      <c r="AP62" s="703">
        <f>SUBTOTAL(109,MIN_P221[CG])</f>
        <v>0</v>
      </c>
      <c r="AQ62" s="704">
        <f>SUBTOTAL(109,MIN_P221[SH])</f>
        <v>0</v>
      </c>
      <c r="AR62" s="698"/>
      <c r="AY62" s="691"/>
      <c r="AZ62" s="773"/>
      <c r="BA62" s="692" t="s">
        <v>195</v>
      </c>
      <c r="BB62" s="745">
        <f>IFERROR((BH62*9)/BF62,0)</f>
        <v>4.4957063478700112</v>
      </c>
      <c r="BC62" s="696">
        <f t="shared" ref="BC62:BK62" si="6">SUBTOTAL(109,BC52:BC61)</f>
        <v>21</v>
      </c>
      <c r="BD62" s="697">
        <f t="shared" si="6"/>
        <v>19</v>
      </c>
      <c r="BE62" s="696"/>
      <c r="BF62" s="700">
        <f t="shared" si="6"/>
        <v>356.34000000000003</v>
      </c>
      <c r="BG62" s="696">
        <f t="shared" si="6"/>
        <v>360</v>
      </c>
      <c r="BH62" s="696">
        <f t="shared" si="6"/>
        <v>178</v>
      </c>
      <c r="BI62" s="696">
        <f t="shared" si="6"/>
        <v>126</v>
      </c>
      <c r="BJ62" s="696">
        <f t="shared" si="6"/>
        <v>325</v>
      </c>
      <c r="BK62" s="696">
        <f t="shared" si="6"/>
        <v>7</v>
      </c>
      <c r="BL62" s="746">
        <f>(BI62+BG62)/BF62</f>
        <v>1.3638659707021383</v>
      </c>
      <c r="BM62" s="701">
        <f>SUM(BM52:BM61)</f>
        <v>21</v>
      </c>
      <c r="BN62" s="702">
        <f>SUM(BN52:BN61)</f>
        <v>12</v>
      </c>
      <c r="BO62" s="703">
        <f>SUM(BO52:BO61)</f>
        <v>1</v>
      </c>
      <c r="BP62" s="704">
        <f>SUM(BP52:BP61)</f>
        <v>1</v>
      </c>
      <c r="BQ62" s="698"/>
    </row>
    <row r="63" spans="1:73" ht="17" thickBot="1"/>
    <row r="64" spans="1:73" ht="24" thickBot="1">
      <c r="A64" s="1012" t="s">
        <v>460</v>
      </c>
      <c r="B64" s="1013"/>
      <c r="C64" s="1013"/>
      <c r="D64" s="1013"/>
      <c r="E64" s="1013"/>
      <c r="F64" s="1013"/>
      <c r="G64" s="1013"/>
      <c r="H64" s="1013"/>
      <c r="I64" s="1013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4"/>
      <c r="Z64" s="1012" t="s">
        <v>461</v>
      </c>
      <c r="AA64" s="1013"/>
      <c r="AB64" s="1013"/>
      <c r="AC64" s="1013"/>
      <c r="AD64" s="1013"/>
      <c r="AE64" s="1013"/>
      <c r="AF64" s="1013"/>
      <c r="AG64" s="1013"/>
      <c r="AH64" s="1013"/>
      <c r="AI64" s="1013"/>
      <c r="AJ64" s="1013"/>
      <c r="AK64" s="1013"/>
      <c r="AL64" s="1013"/>
      <c r="AM64" s="1013"/>
      <c r="AN64" s="1013"/>
      <c r="AO64" s="1013"/>
      <c r="AP64" s="1013"/>
      <c r="AQ64" s="1013"/>
      <c r="AR64" s="1013"/>
      <c r="AS64" s="1013"/>
      <c r="AT64" s="1013"/>
      <c r="AU64" s="1013"/>
      <c r="AV64" s="1014"/>
      <c r="AY64" s="1012" t="s">
        <v>462</v>
      </c>
      <c r="AZ64" s="1013"/>
      <c r="BA64" s="1013"/>
      <c r="BB64" s="1013"/>
      <c r="BC64" s="1013"/>
      <c r="BD64" s="1013"/>
      <c r="BE64" s="1013"/>
      <c r="BF64" s="1013"/>
      <c r="BG64" s="1013"/>
      <c r="BH64" s="1013"/>
      <c r="BI64" s="1013"/>
      <c r="BJ64" s="1013"/>
      <c r="BK64" s="1013"/>
      <c r="BL64" s="1013"/>
      <c r="BM64" s="1013"/>
      <c r="BN64" s="1013"/>
      <c r="BO64" s="1013"/>
      <c r="BP64" s="1013"/>
      <c r="BQ64" s="1013"/>
      <c r="BR64" s="1013"/>
      <c r="BS64" s="1013"/>
      <c r="BT64" s="1013"/>
      <c r="BU64" s="1014"/>
    </row>
    <row r="65" spans="1:73" s="64" customFormat="1" ht="14" thickBot="1">
      <c r="A65" s="605" t="s">
        <v>143</v>
      </c>
      <c r="B65" s="606" t="s">
        <v>144</v>
      </c>
      <c r="C65" s="606" t="s">
        <v>145</v>
      </c>
      <c r="D65" s="606" t="s">
        <v>146</v>
      </c>
      <c r="E65" s="606" t="s">
        <v>147</v>
      </c>
      <c r="F65" s="606" t="s">
        <v>148</v>
      </c>
      <c r="G65" s="606" t="s">
        <v>149</v>
      </c>
      <c r="H65" s="606" t="s">
        <v>150</v>
      </c>
      <c r="I65" s="606" t="s">
        <v>151</v>
      </c>
      <c r="J65" s="606" t="s">
        <v>152</v>
      </c>
      <c r="K65" s="606" t="s">
        <v>153</v>
      </c>
      <c r="L65" s="606" t="s">
        <v>154</v>
      </c>
      <c r="M65" s="606" t="s">
        <v>155</v>
      </c>
      <c r="N65" s="606" t="s">
        <v>156</v>
      </c>
      <c r="O65" s="606" t="s">
        <v>157</v>
      </c>
      <c r="P65" s="606" t="s">
        <v>158</v>
      </c>
      <c r="Q65" s="606" t="s">
        <v>159</v>
      </c>
      <c r="R65" s="606" t="s">
        <v>160</v>
      </c>
      <c r="S65" s="606" t="s">
        <v>16</v>
      </c>
      <c r="T65" s="606" t="s">
        <v>161</v>
      </c>
      <c r="U65" s="606" t="s">
        <v>162</v>
      </c>
      <c r="V65" s="606" t="s">
        <v>163</v>
      </c>
      <c r="W65" s="607" t="s">
        <v>164</v>
      </c>
      <c r="Z65" s="605" t="s">
        <v>143</v>
      </c>
      <c r="AA65" s="606" t="s">
        <v>144</v>
      </c>
      <c r="AB65" s="606" t="s">
        <v>145</v>
      </c>
      <c r="AC65" s="606" t="s">
        <v>146</v>
      </c>
      <c r="AD65" s="606" t="s">
        <v>147</v>
      </c>
      <c r="AE65" s="606" t="s">
        <v>148</v>
      </c>
      <c r="AF65" s="606" t="s">
        <v>149</v>
      </c>
      <c r="AG65" s="606" t="s">
        <v>150</v>
      </c>
      <c r="AH65" s="606" t="s">
        <v>151</v>
      </c>
      <c r="AI65" s="606" t="s">
        <v>152</v>
      </c>
      <c r="AJ65" s="606" t="s">
        <v>153</v>
      </c>
      <c r="AK65" s="606" t="s">
        <v>154</v>
      </c>
      <c r="AL65" s="606" t="s">
        <v>155</v>
      </c>
      <c r="AM65" s="606" t="s">
        <v>156</v>
      </c>
      <c r="AN65" s="606" t="s">
        <v>157</v>
      </c>
      <c r="AO65" s="606" t="s">
        <v>158</v>
      </c>
      <c r="AP65" s="606" t="s">
        <v>159</v>
      </c>
      <c r="AQ65" s="606" t="s">
        <v>160</v>
      </c>
      <c r="AR65" s="606" t="s">
        <v>16</v>
      </c>
      <c r="AS65" s="606" t="s">
        <v>161</v>
      </c>
      <c r="AT65" s="606" t="s">
        <v>162</v>
      </c>
      <c r="AU65" s="606" t="s">
        <v>163</v>
      </c>
      <c r="AV65" s="607" t="s">
        <v>164</v>
      </c>
      <c r="AY65" s="605" t="s">
        <v>143</v>
      </c>
      <c r="AZ65" s="606" t="s">
        <v>144</v>
      </c>
      <c r="BA65" s="606" t="s">
        <v>145</v>
      </c>
      <c r="BB65" s="606" t="s">
        <v>146</v>
      </c>
      <c r="BC65" s="606" t="s">
        <v>147</v>
      </c>
      <c r="BD65" s="606" t="s">
        <v>148</v>
      </c>
      <c r="BE65" s="606" t="s">
        <v>149</v>
      </c>
      <c r="BF65" s="606" t="s">
        <v>150</v>
      </c>
      <c r="BG65" s="606" t="s">
        <v>151</v>
      </c>
      <c r="BH65" s="606" t="s">
        <v>152</v>
      </c>
      <c r="BI65" s="606" t="s">
        <v>153</v>
      </c>
      <c r="BJ65" s="606" t="s">
        <v>154</v>
      </c>
      <c r="BK65" s="606" t="s">
        <v>155</v>
      </c>
      <c r="BL65" s="606" t="s">
        <v>156</v>
      </c>
      <c r="BM65" s="606" t="s">
        <v>157</v>
      </c>
      <c r="BN65" s="606" t="s">
        <v>158</v>
      </c>
      <c r="BO65" s="606" t="s">
        <v>159</v>
      </c>
      <c r="BP65" s="606" t="s">
        <v>160</v>
      </c>
      <c r="BQ65" s="606" t="s">
        <v>16</v>
      </c>
      <c r="BR65" s="606" t="s">
        <v>161</v>
      </c>
      <c r="BS65" s="606" t="s">
        <v>162</v>
      </c>
      <c r="BT65" s="606" t="s">
        <v>163</v>
      </c>
      <c r="BU65" s="607" t="s">
        <v>164</v>
      </c>
    </row>
    <row r="66" spans="1:73">
      <c r="A66" s="650" t="s">
        <v>463</v>
      </c>
      <c r="B66" s="597" t="s">
        <v>179</v>
      </c>
      <c r="C66" s="597" t="s">
        <v>472</v>
      </c>
      <c r="D66" s="598">
        <f>IFERROR(DET_H99[[#This Row],[H]]/DET_H99[[#This Row],[AB]],0)</f>
        <v>0.33548387096774196</v>
      </c>
      <c r="E66" s="598">
        <f>IFERROR((DET_H99[[#This Row],[H]]+DET_H99[[#This Row],[BB]])/(DET_H99[[#This Row],[BB]]+DET_H99[[#This Row],[AB]]),0)</f>
        <v>0.41142857142857142</v>
      </c>
      <c r="F66" s="599">
        <f>IFERROR(((DET_H99[[#This Row],[H]]-DET_H99[[#This Row],[2B]]-DET_H99[[#This Row],[3B]]-DET_H99[[#This Row],[HR]])+(DET_H99[[#This Row],[2B]]*2)+(DET_H99[[#This Row],[3B]]*3)+(DET_H99[[#This Row],[HR]]*4))/DET_H99[[#This Row],[AB]],0)</f>
        <v>0.47096774193548385</v>
      </c>
      <c r="G66" s="600">
        <v>39</v>
      </c>
      <c r="H66" s="600">
        <v>155</v>
      </c>
      <c r="I66" s="600">
        <v>20</v>
      </c>
      <c r="J66" s="600">
        <v>52</v>
      </c>
      <c r="K66" s="600">
        <v>9</v>
      </c>
      <c r="L66" s="600">
        <v>0</v>
      </c>
      <c r="M66" s="600">
        <v>4</v>
      </c>
      <c r="N66" s="600">
        <v>20</v>
      </c>
      <c r="O66" s="600">
        <v>20</v>
      </c>
      <c r="P66" s="604">
        <v>31</v>
      </c>
      <c r="Q66" s="600">
        <v>0</v>
      </c>
      <c r="R66" s="600">
        <v>0</v>
      </c>
      <c r="S66" s="604">
        <v>6</v>
      </c>
      <c r="T66" s="600">
        <f>IFERROR((DET_H99[[#This Row],[H]]-DET_H99[[#This Row],[2B]]-DET_H99[[#This Row],[3B]]-DET_H99[[#This Row],[HR]])+(DET_H99[[#This Row],[2B]]*2)+(DET_H99[[#This Row],[3B]]*3)+(DET_H99[[#This Row],[HR]]*4),0)</f>
        <v>73</v>
      </c>
      <c r="U66" s="598">
        <f>DET_H99[[#This Row],[OBP]]+DET_H99[[#This Row],[SLG]]</f>
        <v>0.88239631336405533</v>
      </c>
      <c r="V66" s="604">
        <v>2</v>
      </c>
      <c r="W66" s="614">
        <v>1</v>
      </c>
      <c r="Z66" s="650" t="s">
        <v>463</v>
      </c>
      <c r="AA66" s="597" t="s">
        <v>179</v>
      </c>
      <c r="AB66" s="597" t="s">
        <v>472</v>
      </c>
      <c r="AC66" s="598">
        <f>IFERROR(DET_H99229[[#This Row],[H]]/DET_H99229[[#This Row],[AB]],0)</f>
        <v>0.29192546583850931</v>
      </c>
      <c r="AD66" s="598">
        <f>IFERROR((DET_H99229[[#This Row],[H]]+DET_H99229[[#This Row],[BB]])/(DET_H99229[[#This Row],[BB]]+DET_H99229[[#This Row],[AB]]),0)</f>
        <v>0.32941176470588235</v>
      </c>
      <c r="AE66" s="599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0.39130434782608697</v>
      </c>
      <c r="AF66" s="600">
        <v>39</v>
      </c>
      <c r="AG66" s="600">
        <v>161</v>
      </c>
      <c r="AH66" s="600">
        <v>17</v>
      </c>
      <c r="AI66" s="600">
        <v>47</v>
      </c>
      <c r="AJ66" s="600">
        <v>7</v>
      </c>
      <c r="AK66" s="600">
        <v>0</v>
      </c>
      <c r="AL66" s="600">
        <v>3</v>
      </c>
      <c r="AM66" s="600">
        <v>14</v>
      </c>
      <c r="AN66" s="600">
        <v>9</v>
      </c>
      <c r="AO66" s="604">
        <v>24</v>
      </c>
      <c r="AP66" s="600">
        <v>0</v>
      </c>
      <c r="AQ66" s="600">
        <v>7</v>
      </c>
      <c r="AR66" s="604">
        <v>10</v>
      </c>
      <c r="AS66" s="600">
        <f>IFERROR((DET_H99229[[#This Row],[H]]-DET_H99229[[#This Row],[2B]]-DET_H99229[[#This Row],[3B]]-DET_H99229[[#This Row],[HR]])+(DET_H99229[[#This Row],[2B]]*2)+(DET_H99229[[#This Row],[3B]]*3)+(DET_H99229[[#This Row],[HR]]*4),0)</f>
        <v>63</v>
      </c>
      <c r="AT66" s="598">
        <f>DET_H99229[[#This Row],[OBP]]+DET_H99229[[#This Row],[SLG]]</f>
        <v>0.72071611253196932</v>
      </c>
      <c r="AU66" s="604">
        <v>2</v>
      </c>
      <c r="AV66" s="614">
        <v>1</v>
      </c>
      <c r="AY66" s="650" t="s">
        <v>463</v>
      </c>
      <c r="AZ66" s="597" t="s">
        <v>179</v>
      </c>
      <c r="BA66" s="604" t="s">
        <v>472</v>
      </c>
      <c r="BB66" s="598">
        <f>IFERROR(DET_H99207[[#This Row],[H]]/DET_H99207[[#This Row],[AB]],0)</f>
        <v>0.25850340136054423</v>
      </c>
      <c r="BC66" s="598">
        <f>IFERROR((DET_H99207[[#This Row],[BB]]+DET_H99207[[#This Row],[H]])/(DET_H99207[[#This Row],[AB]]+DET_H99207[[#This Row],[BB]]),0)</f>
        <v>0.31446540880503143</v>
      </c>
      <c r="BD66" s="599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0.35374149659863946</v>
      </c>
      <c r="BE66" s="600">
        <v>38</v>
      </c>
      <c r="BF66" s="600">
        <v>147</v>
      </c>
      <c r="BG66" s="600">
        <v>20</v>
      </c>
      <c r="BH66" s="600">
        <v>38</v>
      </c>
      <c r="BI66" s="600">
        <v>5</v>
      </c>
      <c r="BJ66" s="600">
        <v>0</v>
      </c>
      <c r="BK66" s="600">
        <v>3</v>
      </c>
      <c r="BL66" s="600">
        <v>19</v>
      </c>
      <c r="BM66" s="600">
        <v>12</v>
      </c>
      <c r="BN66" s="604">
        <v>19</v>
      </c>
      <c r="BO66" s="600">
        <v>0</v>
      </c>
      <c r="BP66" s="600">
        <v>0</v>
      </c>
      <c r="BQ66" s="604">
        <v>7</v>
      </c>
      <c r="BR66" s="600">
        <f t="shared" ref="BR66:BR80" si="7">IFERROR(((BH66-BI66-BJ66-BK66)+(BI66*2)+(BJ66*3)+(BK66*4)),0)</f>
        <v>52</v>
      </c>
      <c r="BS66" s="598">
        <f>IFERROR(DET_H99207[[#This Row],[OBP]]+DET_H99207[[#This Row],[SLG]],0)</f>
        <v>0.66820690540367089</v>
      </c>
      <c r="BT66" s="604">
        <v>1</v>
      </c>
      <c r="BU66" s="614">
        <v>1</v>
      </c>
    </row>
    <row r="67" spans="1:73">
      <c r="A67" s="651" t="s">
        <v>463</v>
      </c>
      <c r="B67" s="71" t="s">
        <v>154</v>
      </c>
      <c r="C67" s="77" t="s">
        <v>478</v>
      </c>
      <c r="D67" s="130">
        <f>IFERROR(DET_H99[[#This Row],[H]]/DET_H99[[#This Row],[AB]],0)</f>
        <v>0.25</v>
      </c>
      <c r="E67" s="72">
        <f>IFERROR((DET_H99[[#This Row],[H]]+DET_H99[[#This Row],[BB]])/(DET_H99[[#This Row],[BB]]+DET_H99[[#This Row],[AB]]),0)</f>
        <v>0.32500000000000001</v>
      </c>
      <c r="F67" s="73">
        <f>IFERROR(((DET_H99[[#This Row],[H]]-DET_H99[[#This Row],[2B]]-DET_H99[[#This Row],[3B]]-DET_H99[[#This Row],[HR]])+(DET_H99[[#This Row],[2B]]*2)+(DET_H99[[#This Row],[3B]]*3)+(DET_H99[[#This Row],[HR]]*4))/DET_H99[[#This Row],[AB]],0)</f>
        <v>0.40277777777777779</v>
      </c>
      <c r="G67" s="28">
        <v>38</v>
      </c>
      <c r="H67" s="28">
        <v>144</v>
      </c>
      <c r="I67" s="28">
        <v>22</v>
      </c>
      <c r="J67" s="28">
        <v>36</v>
      </c>
      <c r="K67" s="28">
        <v>7</v>
      </c>
      <c r="L67" s="28">
        <v>0</v>
      </c>
      <c r="M67" s="28">
        <v>5</v>
      </c>
      <c r="N67" s="28">
        <v>12</v>
      </c>
      <c r="O67" s="28">
        <v>16</v>
      </c>
      <c r="P67" s="74">
        <v>32</v>
      </c>
      <c r="Q67" s="28">
        <v>0</v>
      </c>
      <c r="R67" s="28">
        <v>0</v>
      </c>
      <c r="S67" s="74">
        <v>6</v>
      </c>
      <c r="T67" s="28">
        <f>IFERROR((DET_H99[[#This Row],[H]]-DET_H99[[#This Row],[2B]]-DET_H99[[#This Row],[3B]]-DET_H99[[#This Row],[HR]])+(DET_H99[[#This Row],[2B]]*2)+(DET_H99[[#This Row],[3B]]*3)+(DET_H99[[#This Row],[HR]]*4),0)</f>
        <v>58</v>
      </c>
      <c r="U67" s="72">
        <f>DET_H99[[#This Row],[OBP]]+DET_H99[[#This Row],[SLG]]</f>
        <v>0.72777777777777786</v>
      </c>
      <c r="V67" s="74">
        <v>1</v>
      </c>
      <c r="W67" s="615">
        <v>2</v>
      </c>
      <c r="Z67" s="651" t="s">
        <v>463</v>
      </c>
      <c r="AA67" s="71" t="s">
        <v>154</v>
      </c>
      <c r="AB67" s="71" t="s">
        <v>477</v>
      </c>
      <c r="AC67" s="72">
        <f>IFERROR(DET_H99229[[#This Row],[H]]/DET_H99229[[#This Row],[AB]],0)</f>
        <v>0.26213592233009708</v>
      </c>
      <c r="AD67" s="72">
        <f>IFERROR((DET_H99229[[#This Row],[H]]+DET_H99229[[#This Row],[BB]])/(DET_H99229[[#This Row],[BB]]+DET_H99229[[#This Row],[AB]]),0)</f>
        <v>0.29629629629629628</v>
      </c>
      <c r="AE67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0.5145631067961165</v>
      </c>
      <c r="AF67" s="28">
        <v>26</v>
      </c>
      <c r="AG67" s="28">
        <v>103</v>
      </c>
      <c r="AH67" s="28">
        <v>11</v>
      </c>
      <c r="AI67" s="28">
        <v>27</v>
      </c>
      <c r="AJ67" s="28">
        <v>8</v>
      </c>
      <c r="AK67" s="28">
        <v>0</v>
      </c>
      <c r="AL67" s="28">
        <v>6</v>
      </c>
      <c r="AM67" s="28">
        <v>12</v>
      </c>
      <c r="AN67" s="28">
        <v>5</v>
      </c>
      <c r="AO67" s="74">
        <v>29</v>
      </c>
      <c r="AP67" s="28">
        <v>0</v>
      </c>
      <c r="AQ67" s="28">
        <v>1</v>
      </c>
      <c r="AR67" s="74">
        <v>4</v>
      </c>
      <c r="AS67" s="28">
        <f>IFERROR((DET_H99229[[#This Row],[H]]-DET_H99229[[#This Row],[2B]]-DET_H99229[[#This Row],[3B]]-DET_H99229[[#This Row],[HR]])+(DET_H99229[[#This Row],[2B]]*2)+(DET_H99229[[#This Row],[3B]]*3)+(DET_H99229[[#This Row],[HR]]*4),0)</f>
        <v>53</v>
      </c>
      <c r="AT67" s="72">
        <f>DET_H99229[[#This Row],[OBP]]+DET_H99229[[#This Row],[SLG]]</f>
        <v>0.81085940309241278</v>
      </c>
      <c r="AU67" s="74">
        <v>2</v>
      </c>
      <c r="AV67" s="615">
        <v>2</v>
      </c>
      <c r="AY67" s="651" t="s">
        <v>463</v>
      </c>
      <c r="AZ67" s="71" t="s">
        <v>154</v>
      </c>
      <c r="BA67" s="74" t="s">
        <v>470</v>
      </c>
      <c r="BB67" s="72">
        <f>IFERROR(DET_H99207[[#This Row],[H]]/DET_H99207[[#This Row],[AB]],0)</f>
        <v>0.2661290322580645</v>
      </c>
      <c r="BC67" s="72">
        <f>IFERROR((DET_H99207[[#This Row],[BB]]+DET_H99207[[#This Row],[H]])/(DET_H99207[[#This Row],[AB]]+DET_H99207[[#This Row],[BB]]),0)</f>
        <v>0.34057971014492755</v>
      </c>
      <c r="BD67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0.44354838709677419</v>
      </c>
      <c r="BE67" s="28">
        <v>33</v>
      </c>
      <c r="BF67" s="28">
        <v>124</v>
      </c>
      <c r="BG67" s="28">
        <v>15</v>
      </c>
      <c r="BH67" s="28">
        <v>33</v>
      </c>
      <c r="BI67" s="28">
        <v>6</v>
      </c>
      <c r="BJ67" s="28">
        <v>2</v>
      </c>
      <c r="BK67" s="28">
        <v>4</v>
      </c>
      <c r="BL67" s="28">
        <v>17</v>
      </c>
      <c r="BM67" s="28">
        <v>14</v>
      </c>
      <c r="BN67" s="74">
        <v>34</v>
      </c>
      <c r="BO67" s="28">
        <v>0</v>
      </c>
      <c r="BP67" s="28">
        <v>5</v>
      </c>
      <c r="BQ67" s="74">
        <v>7</v>
      </c>
      <c r="BR67" s="28">
        <f t="shared" si="7"/>
        <v>55</v>
      </c>
      <c r="BS67" s="72">
        <f>IFERROR(DET_H99207[[#This Row],[OBP]]+DET_H99207[[#This Row],[SLG]],0)</f>
        <v>0.78412809724170174</v>
      </c>
      <c r="BT67" s="74">
        <v>2</v>
      </c>
      <c r="BU67" s="615">
        <v>2</v>
      </c>
    </row>
    <row r="68" spans="1:73">
      <c r="A68" s="651" t="s">
        <v>463</v>
      </c>
      <c r="B68" s="71" t="s">
        <v>172</v>
      </c>
      <c r="C68" s="77" t="s">
        <v>469</v>
      </c>
      <c r="D68" s="130">
        <f>IFERROR(DET_H99[[#This Row],[H]]/DET_H99[[#This Row],[AB]],0)</f>
        <v>0.20779220779220781</v>
      </c>
      <c r="E68" s="72">
        <f>IFERROR((DET_H99[[#This Row],[H]]+DET_H99[[#This Row],[BB]])/(DET_H99[[#This Row],[BB]]+DET_H99[[#This Row],[AB]]),0)</f>
        <v>0.24691358024691357</v>
      </c>
      <c r="F68" s="73">
        <f>IFERROR(((DET_H99[[#This Row],[H]]-DET_H99[[#This Row],[2B]]-DET_H99[[#This Row],[3B]]-DET_H99[[#This Row],[HR]])+(DET_H99[[#This Row],[2B]]*2)+(DET_H99[[#This Row],[3B]]*3)+(DET_H99[[#This Row],[HR]]*4))/DET_H99[[#This Row],[AB]],0)</f>
        <v>0.33766233766233766</v>
      </c>
      <c r="G68" s="28">
        <v>40</v>
      </c>
      <c r="H68" s="28">
        <v>154</v>
      </c>
      <c r="I68" s="28">
        <v>14</v>
      </c>
      <c r="J68" s="28">
        <v>32</v>
      </c>
      <c r="K68" s="28">
        <v>7</v>
      </c>
      <c r="L68" s="28">
        <v>2</v>
      </c>
      <c r="M68" s="28">
        <v>3</v>
      </c>
      <c r="N68" s="28">
        <v>13</v>
      </c>
      <c r="O68" s="28">
        <v>8</v>
      </c>
      <c r="P68" s="74">
        <v>57</v>
      </c>
      <c r="Q68" s="28">
        <v>1</v>
      </c>
      <c r="R68" s="28">
        <v>0</v>
      </c>
      <c r="S68" s="74">
        <v>7</v>
      </c>
      <c r="T68" s="28">
        <f>IFERROR((DET_H99[[#This Row],[H]]-DET_H99[[#This Row],[2B]]-DET_H99[[#This Row],[3B]]-DET_H99[[#This Row],[HR]])+(DET_H99[[#This Row],[2B]]*2)+(DET_H99[[#This Row],[3B]]*3)+(DET_H99[[#This Row],[HR]]*4),0)</f>
        <v>52</v>
      </c>
      <c r="U68" s="72">
        <f>DET_H99[[#This Row],[OBP]]+DET_H99[[#This Row],[SLG]]</f>
        <v>0.58457591790925123</v>
      </c>
      <c r="V68" s="74">
        <v>1</v>
      </c>
      <c r="W68" s="615">
        <v>3</v>
      </c>
      <c r="Z68" s="651" t="s">
        <v>463</v>
      </c>
      <c r="AA68" s="71" t="s">
        <v>172</v>
      </c>
      <c r="AB68" s="71" t="s">
        <v>469</v>
      </c>
      <c r="AC68" s="72">
        <f>IFERROR(DET_H99229[[#This Row],[H]]/DET_H99229[[#This Row],[AB]],0)</f>
        <v>0.24183006535947713</v>
      </c>
      <c r="AD68" s="72">
        <f>IFERROR((DET_H99229[[#This Row],[H]]+DET_H99229[[#This Row],[BB]])/(DET_H99229[[#This Row],[BB]]+DET_H99229[[#This Row],[AB]]),0)</f>
        <v>0.28834355828220859</v>
      </c>
      <c r="AE68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0.43137254901960786</v>
      </c>
      <c r="AF68" s="28">
        <v>40</v>
      </c>
      <c r="AG68" s="28">
        <v>153</v>
      </c>
      <c r="AH68" s="28">
        <v>15</v>
      </c>
      <c r="AI68" s="28">
        <v>37</v>
      </c>
      <c r="AJ68" s="28">
        <v>11</v>
      </c>
      <c r="AK68" s="28">
        <v>3</v>
      </c>
      <c r="AL68" s="28">
        <v>4</v>
      </c>
      <c r="AM68" s="28">
        <v>14</v>
      </c>
      <c r="AN68" s="28">
        <v>10</v>
      </c>
      <c r="AO68" s="74">
        <v>48</v>
      </c>
      <c r="AP68" s="28">
        <v>0</v>
      </c>
      <c r="AQ68" s="28">
        <v>4</v>
      </c>
      <c r="AR68" s="74">
        <v>4</v>
      </c>
      <c r="AS68" s="28">
        <f>IFERROR((DET_H99229[[#This Row],[H]]-DET_H99229[[#This Row],[2B]]-DET_H99229[[#This Row],[3B]]-DET_H99229[[#This Row],[HR]])+(DET_H99229[[#This Row],[2B]]*2)+(DET_H99229[[#This Row],[3B]]*3)+(DET_H99229[[#This Row],[HR]]*4),0)</f>
        <v>66</v>
      </c>
      <c r="AT68" s="72">
        <f>DET_H99229[[#This Row],[OBP]]+DET_H99229[[#This Row],[SLG]]</f>
        <v>0.71971610730181645</v>
      </c>
      <c r="AU68" s="74">
        <v>3</v>
      </c>
      <c r="AV68" s="615">
        <v>3</v>
      </c>
      <c r="AY68" s="651" t="s">
        <v>463</v>
      </c>
      <c r="AZ68" s="71" t="s">
        <v>172</v>
      </c>
      <c r="BA68" s="74" t="s">
        <v>480</v>
      </c>
      <c r="BB68" s="72">
        <f>IFERROR(DET_H99207[[#This Row],[H]]/DET_H99207[[#This Row],[AB]],0)</f>
        <v>0.1728395061728395</v>
      </c>
      <c r="BC68" s="72">
        <f>IFERROR((DET_H99207[[#This Row],[BB]]+DET_H99207[[#This Row],[H]])/(DET_H99207[[#This Row],[AB]]+DET_H99207[[#This Row],[BB]]),0)</f>
        <v>0.22988505747126436</v>
      </c>
      <c r="BD68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0.25925925925925924</v>
      </c>
      <c r="BE68" s="28">
        <v>23</v>
      </c>
      <c r="BF68" s="28">
        <v>81</v>
      </c>
      <c r="BG68" s="28">
        <v>6</v>
      </c>
      <c r="BH68" s="28">
        <v>14</v>
      </c>
      <c r="BI68" s="28">
        <v>1</v>
      </c>
      <c r="BJ68" s="28">
        <v>0</v>
      </c>
      <c r="BK68" s="28">
        <v>2</v>
      </c>
      <c r="BL68" s="28">
        <v>9</v>
      </c>
      <c r="BM68" s="28">
        <v>6</v>
      </c>
      <c r="BN68" s="74">
        <v>25</v>
      </c>
      <c r="BO68" s="28">
        <v>0</v>
      </c>
      <c r="BP68" s="28">
        <v>0</v>
      </c>
      <c r="BQ68" s="74">
        <v>3</v>
      </c>
      <c r="BR68" s="28">
        <f t="shared" si="7"/>
        <v>21</v>
      </c>
      <c r="BS68" s="72">
        <f>IFERROR(DET_H99207[[#This Row],[OBP]]+DET_H99207[[#This Row],[SLG]],0)</f>
        <v>0.48914431673052361</v>
      </c>
      <c r="BT68" s="74">
        <v>0</v>
      </c>
      <c r="BU68" s="615">
        <v>3</v>
      </c>
    </row>
    <row r="69" spans="1:73">
      <c r="A69" s="651" t="s">
        <v>463</v>
      </c>
      <c r="B69" s="71" t="s">
        <v>153</v>
      </c>
      <c r="C69" s="77" t="s">
        <v>471</v>
      </c>
      <c r="D69" s="130">
        <f>IFERROR(DET_H99[[#This Row],[H]]/DET_H99[[#This Row],[AB]],0)</f>
        <v>0.32666666666666666</v>
      </c>
      <c r="E69" s="72">
        <f>IFERROR((DET_H99[[#This Row],[H]]+DET_H99[[#This Row],[BB]])/(DET_H99[[#This Row],[BB]]+DET_H99[[#This Row],[AB]]),0)</f>
        <v>0.37267080745341613</v>
      </c>
      <c r="F69" s="73">
        <f>IFERROR(((DET_H99[[#This Row],[H]]-DET_H99[[#This Row],[2B]]-DET_H99[[#This Row],[3B]]-DET_H99[[#This Row],[HR]])+(DET_H99[[#This Row],[2B]]*2)+(DET_H99[[#This Row],[3B]]*3)+(DET_H99[[#This Row],[HR]]*4))/DET_H99[[#This Row],[AB]],0)</f>
        <v>0.52</v>
      </c>
      <c r="G69" s="28">
        <v>39</v>
      </c>
      <c r="H69" s="28">
        <v>150</v>
      </c>
      <c r="I69" s="28">
        <v>15</v>
      </c>
      <c r="J69" s="28">
        <v>49</v>
      </c>
      <c r="K69" s="28">
        <v>9</v>
      </c>
      <c r="L69" s="28">
        <v>1</v>
      </c>
      <c r="M69" s="28">
        <v>6</v>
      </c>
      <c r="N69" s="28">
        <v>26</v>
      </c>
      <c r="O69" s="28">
        <v>11</v>
      </c>
      <c r="P69" s="74">
        <v>24</v>
      </c>
      <c r="Q69" s="28">
        <v>0</v>
      </c>
      <c r="R69" s="28">
        <v>1</v>
      </c>
      <c r="S69" s="74">
        <v>6</v>
      </c>
      <c r="T69" s="28">
        <f>IFERROR((DET_H99[[#This Row],[H]]-DET_H99[[#This Row],[2B]]-DET_H99[[#This Row],[3B]]-DET_H99[[#This Row],[HR]])+(DET_H99[[#This Row],[2B]]*2)+(DET_H99[[#This Row],[3B]]*3)+(DET_H99[[#This Row],[HR]]*4),0)</f>
        <v>78</v>
      </c>
      <c r="U69" s="72">
        <f>DET_H99[[#This Row],[OBP]]+DET_H99[[#This Row],[SLG]]</f>
        <v>0.8926708074534162</v>
      </c>
      <c r="V69" s="74">
        <v>3</v>
      </c>
      <c r="W69" s="615">
        <v>4</v>
      </c>
      <c r="Z69" s="651" t="s">
        <v>463</v>
      </c>
      <c r="AA69" s="71" t="s">
        <v>153</v>
      </c>
      <c r="AB69" s="71" t="s">
        <v>471</v>
      </c>
      <c r="AC69" s="72">
        <f>IFERROR(DET_H99229[[#This Row],[H]]/DET_H99229[[#This Row],[AB]],0)</f>
        <v>0.23741007194244604</v>
      </c>
      <c r="AD69" s="72">
        <f>IFERROR((DET_H99229[[#This Row],[H]]+DET_H99229[[#This Row],[BB]])/(DET_H99229[[#This Row],[BB]]+DET_H99229[[#This Row],[AB]]),0)</f>
        <v>0.26896551724137929</v>
      </c>
      <c r="AE69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0.41007194244604317</v>
      </c>
      <c r="AF69" s="28">
        <v>35</v>
      </c>
      <c r="AG69" s="28">
        <v>139</v>
      </c>
      <c r="AH69" s="28">
        <v>11</v>
      </c>
      <c r="AI69" s="28">
        <v>33</v>
      </c>
      <c r="AJ69" s="28">
        <v>7</v>
      </c>
      <c r="AK69" s="28">
        <v>1</v>
      </c>
      <c r="AL69" s="28">
        <v>5</v>
      </c>
      <c r="AM69" s="28">
        <v>15</v>
      </c>
      <c r="AN69" s="28">
        <v>6</v>
      </c>
      <c r="AO69" s="74">
        <v>27</v>
      </c>
      <c r="AP69" s="28">
        <v>0</v>
      </c>
      <c r="AQ69" s="28">
        <v>0</v>
      </c>
      <c r="AR69" s="74">
        <v>7</v>
      </c>
      <c r="AS69" s="28">
        <f>IFERROR((DET_H99229[[#This Row],[H]]-DET_H99229[[#This Row],[2B]]-DET_H99229[[#This Row],[3B]]-DET_H99229[[#This Row],[HR]])+(DET_H99229[[#This Row],[2B]]*2)+(DET_H99229[[#This Row],[3B]]*3)+(DET_H99229[[#This Row],[HR]]*4),0)</f>
        <v>57</v>
      </c>
      <c r="AT69" s="72">
        <f>DET_H99229[[#This Row],[OBP]]+DET_H99229[[#This Row],[SLG]]</f>
        <v>0.67903745968742246</v>
      </c>
      <c r="AU69" s="74">
        <v>0</v>
      </c>
      <c r="AV69" s="615">
        <v>4</v>
      </c>
      <c r="AY69" s="651" t="s">
        <v>463</v>
      </c>
      <c r="AZ69" s="71" t="s">
        <v>153</v>
      </c>
      <c r="BA69" s="74" t="s">
        <v>471</v>
      </c>
      <c r="BB69" s="72">
        <f>IFERROR(DET_H99207[[#This Row],[H]]/DET_H99207[[#This Row],[AB]],0)</f>
        <v>0.17557251908396945</v>
      </c>
      <c r="BC69" s="72">
        <f>IFERROR((DET_H99207[[#This Row],[BB]]+DET_H99207[[#This Row],[H]])/(DET_H99207[[#This Row],[AB]]+DET_H99207[[#This Row],[BB]]),0)</f>
        <v>0.26530612244897961</v>
      </c>
      <c r="BD69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0.25190839694656486</v>
      </c>
      <c r="BE69" s="28">
        <v>36</v>
      </c>
      <c r="BF69" s="28">
        <v>131</v>
      </c>
      <c r="BG69" s="28">
        <v>16</v>
      </c>
      <c r="BH69" s="28">
        <v>23</v>
      </c>
      <c r="BI69" s="28">
        <v>5</v>
      </c>
      <c r="BJ69" s="28">
        <v>1</v>
      </c>
      <c r="BK69" s="28">
        <v>1</v>
      </c>
      <c r="BL69" s="28">
        <v>10</v>
      </c>
      <c r="BM69" s="28">
        <v>16</v>
      </c>
      <c r="BN69" s="74">
        <v>20</v>
      </c>
      <c r="BO69" s="28">
        <v>0</v>
      </c>
      <c r="BP69" s="28">
        <v>0</v>
      </c>
      <c r="BQ69" s="74">
        <v>7</v>
      </c>
      <c r="BR69" s="28">
        <f t="shared" si="7"/>
        <v>33</v>
      </c>
      <c r="BS69" s="72">
        <f>IFERROR(DET_H99207[[#This Row],[OBP]]+DET_H99207[[#This Row],[SLG]],0)</f>
        <v>0.51721451939554441</v>
      </c>
      <c r="BT69" s="74">
        <v>1</v>
      </c>
      <c r="BU69" s="615">
        <v>4</v>
      </c>
    </row>
    <row r="70" spans="1:73">
      <c r="A70" s="651" t="s">
        <v>463</v>
      </c>
      <c r="B70" s="71" t="s">
        <v>177</v>
      </c>
      <c r="C70" s="77" t="s">
        <v>465</v>
      </c>
      <c r="D70" s="130">
        <f>IFERROR(DET_H99[[#This Row],[H]]/DET_H99[[#This Row],[AB]],0)</f>
        <v>0.30120481927710846</v>
      </c>
      <c r="E70" s="72">
        <f>IFERROR((DET_H99[[#This Row],[H]]+DET_H99[[#This Row],[BB]])/(DET_H99[[#This Row],[BB]]+DET_H99[[#This Row],[AB]]),0)</f>
        <v>0.36263736263736263</v>
      </c>
      <c r="F70" s="73">
        <f>IFERROR(((DET_H99[[#This Row],[H]]-DET_H99[[#This Row],[2B]]-DET_H99[[#This Row],[3B]]-DET_H99[[#This Row],[HR]])+(DET_H99[[#This Row],[2B]]*2)+(DET_H99[[#This Row],[3B]]*3)+(DET_H99[[#This Row],[HR]]*4))/DET_H99[[#This Row],[AB]],0)</f>
        <v>0.52409638554216864</v>
      </c>
      <c r="G70" s="28">
        <v>39</v>
      </c>
      <c r="H70" s="28">
        <v>166</v>
      </c>
      <c r="I70" s="28">
        <v>20</v>
      </c>
      <c r="J70" s="28">
        <v>50</v>
      </c>
      <c r="K70" s="28">
        <v>13</v>
      </c>
      <c r="L70" s="28">
        <v>0</v>
      </c>
      <c r="M70" s="28">
        <v>8</v>
      </c>
      <c r="N70" s="28">
        <v>30</v>
      </c>
      <c r="O70" s="28">
        <v>16</v>
      </c>
      <c r="P70" s="74">
        <v>33</v>
      </c>
      <c r="Q70" s="28">
        <v>0</v>
      </c>
      <c r="R70" s="28">
        <v>2</v>
      </c>
      <c r="S70" s="74">
        <v>6</v>
      </c>
      <c r="T70" s="28">
        <f>IFERROR((DET_H99[[#This Row],[H]]-DET_H99[[#This Row],[2B]]-DET_H99[[#This Row],[3B]]-DET_H99[[#This Row],[HR]])+(DET_H99[[#This Row],[2B]]*2)+(DET_H99[[#This Row],[3B]]*3)+(DET_H99[[#This Row],[HR]]*4),0)</f>
        <v>87</v>
      </c>
      <c r="U70" s="72">
        <f>DET_H99[[#This Row],[OBP]]+DET_H99[[#This Row],[SLG]]</f>
        <v>0.88673374817953121</v>
      </c>
      <c r="V70" s="74">
        <v>3</v>
      </c>
      <c r="W70" s="615">
        <v>5</v>
      </c>
      <c r="Z70" s="651" t="s">
        <v>463</v>
      </c>
      <c r="AA70" s="71" t="s">
        <v>177</v>
      </c>
      <c r="AB70" s="71" t="s">
        <v>468</v>
      </c>
      <c r="AC70" s="72">
        <f>IFERROR(DET_H99229[[#This Row],[H]]/DET_H99229[[#This Row],[AB]],0)</f>
        <v>0.17857142857142858</v>
      </c>
      <c r="AD70" s="72">
        <f>IFERROR((DET_H99229[[#This Row],[H]]+DET_H99229[[#This Row],[BB]])/(DET_H99229[[#This Row],[BB]]+DET_H99229[[#This Row],[AB]]),0)</f>
        <v>0.25324675324675322</v>
      </c>
      <c r="AE70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0.36428571428571427</v>
      </c>
      <c r="AF70" s="28">
        <v>36</v>
      </c>
      <c r="AG70" s="28">
        <v>140</v>
      </c>
      <c r="AH70" s="28">
        <v>12</v>
      </c>
      <c r="AI70" s="28">
        <v>25</v>
      </c>
      <c r="AJ70" s="28">
        <v>5</v>
      </c>
      <c r="AK70" s="28">
        <v>0</v>
      </c>
      <c r="AL70" s="28">
        <v>7</v>
      </c>
      <c r="AM70" s="28">
        <v>16</v>
      </c>
      <c r="AN70" s="28">
        <v>14</v>
      </c>
      <c r="AO70" s="74">
        <v>38</v>
      </c>
      <c r="AP70" s="28">
        <v>0</v>
      </c>
      <c r="AQ70" s="28">
        <v>0</v>
      </c>
      <c r="AR70" s="74">
        <v>7</v>
      </c>
      <c r="AS70" s="28">
        <f>IFERROR((DET_H99229[[#This Row],[H]]-DET_H99229[[#This Row],[2B]]-DET_H99229[[#This Row],[3B]]-DET_H99229[[#This Row],[HR]])+(DET_H99229[[#This Row],[2B]]*2)+(DET_H99229[[#This Row],[3B]]*3)+(DET_H99229[[#This Row],[HR]]*4),0)</f>
        <v>51</v>
      </c>
      <c r="AT70" s="72">
        <f>DET_H99229[[#This Row],[OBP]]+DET_H99229[[#This Row],[SLG]]</f>
        <v>0.61753246753246749</v>
      </c>
      <c r="AU70" s="74">
        <v>2</v>
      </c>
      <c r="AV70" s="615">
        <v>5</v>
      </c>
      <c r="AY70" s="651" t="s">
        <v>463</v>
      </c>
      <c r="AZ70" s="71" t="s">
        <v>476</v>
      </c>
      <c r="BA70" s="74" t="s">
        <v>477</v>
      </c>
      <c r="BB70" s="72">
        <f>IFERROR(DET_H99207[[#This Row],[H]]/DET_H99207[[#This Row],[AB]],0)</f>
        <v>0.21311475409836064</v>
      </c>
      <c r="BC70" s="72">
        <f>IFERROR((DET_H99207[[#This Row],[BB]]+DET_H99207[[#This Row],[H]])/(DET_H99207[[#This Row],[AB]]+DET_H99207[[#This Row],[BB]]),0)</f>
        <v>0.26153846153846155</v>
      </c>
      <c r="BD70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0.33606557377049179</v>
      </c>
      <c r="BE70" s="28">
        <v>33</v>
      </c>
      <c r="BF70" s="28">
        <v>122</v>
      </c>
      <c r="BG70" s="28">
        <v>15</v>
      </c>
      <c r="BH70" s="28">
        <v>26</v>
      </c>
      <c r="BI70" s="28">
        <v>9</v>
      </c>
      <c r="BJ70" s="28">
        <v>0</v>
      </c>
      <c r="BK70" s="28">
        <v>2</v>
      </c>
      <c r="BL70" s="28">
        <v>15</v>
      </c>
      <c r="BM70" s="28">
        <v>8</v>
      </c>
      <c r="BN70" s="74">
        <v>43</v>
      </c>
      <c r="BO70" s="28">
        <v>0</v>
      </c>
      <c r="BP70" s="28">
        <v>2</v>
      </c>
      <c r="BQ70" s="74">
        <v>10</v>
      </c>
      <c r="BR70" s="28">
        <f t="shared" si="7"/>
        <v>41</v>
      </c>
      <c r="BS70" s="72">
        <f>IFERROR(DET_H99207[[#This Row],[OBP]]+DET_H99207[[#This Row],[SLG]],0)</f>
        <v>0.59760403530895334</v>
      </c>
      <c r="BT70" s="74">
        <v>1</v>
      </c>
      <c r="BU70" s="615">
        <v>5</v>
      </c>
    </row>
    <row r="71" spans="1:73">
      <c r="A71" s="651" t="s">
        <v>463</v>
      </c>
      <c r="B71" s="71" t="s">
        <v>174</v>
      </c>
      <c r="C71" s="77" t="s">
        <v>464</v>
      </c>
      <c r="D71" s="130">
        <f>IFERROR(DET_H99[[#This Row],[H]]/DET_H99[[#This Row],[AB]],0)</f>
        <v>0.27439024390243905</v>
      </c>
      <c r="E71" s="72">
        <f>IFERROR((DET_H99[[#This Row],[H]]+DET_H99[[#This Row],[BB]])/(DET_H99[[#This Row],[BB]]+DET_H99[[#This Row],[AB]]),0)</f>
        <v>0.29585798816568049</v>
      </c>
      <c r="F71" s="73">
        <f>IFERROR(((DET_H99[[#This Row],[H]]-DET_H99[[#This Row],[2B]]-DET_H99[[#This Row],[3B]]-DET_H99[[#This Row],[HR]])+(DET_H99[[#This Row],[2B]]*2)+(DET_H99[[#This Row],[3B]]*3)+(DET_H99[[#This Row],[HR]]*4))/DET_H99[[#This Row],[AB]],0)</f>
        <v>0.57317073170731703</v>
      </c>
      <c r="G71" s="28">
        <v>39</v>
      </c>
      <c r="H71" s="28">
        <v>164</v>
      </c>
      <c r="I71" s="28">
        <v>23</v>
      </c>
      <c r="J71" s="28">
        <v>45</v>
      </c>
      <c r="K71" s="28">
        <v>9</v>
      </c>
      <c r="L71" s="28">
        <v>2</v>
      </c>
      <c r="M71" s="28">
        <v>12</v>
      </c>
      <c r="N71" s="28">
        <v>31</v>
      </c>
      <c r="O71" s="28">
        <v>5</v>
      </c>
      <c r="P71" s="74">
        <v>60</v>
      </c>
      <c r="Q71" s="28">
        <v>0</v>
      </c>
      <c r="R71" s="28">
        <v>2</v>
      </c>
      <c r="S71" s="74">
        <v>12</v>
      </c>
      <c r="T71" s="28">
        <f>IFERROR((DET_H99[[#This Row],[H]]-DET_H99[[#This Row],[2B]]-DET_H99[[#This Row],[3B]]-DET_H99[[#This Row],[HR]])+(DET_H99[[#This Row],[2B]]*2)+(DET_H99[[#This Row],[3B]]*3)+(DET_H99[[#This Row],[HR]]*4),0)</f>
        <v>94</v>
      </c>
      <c r="U71" s="72">
        <f>DET_H99[[#This Row],[OBP]]+DET_H99[[#This Row],[SLG]]</f>
        <v>0.86902871987299757</v>
      </c>
      <c r="V71" s="74">
        <v>3</v>
      </c>
      <c r="W71" s="615">
        <v>6</v>
      </c>
      <c r="Z71" s="651" t="s">
        <v>463</v>
      </c>
      <c r="AA71" s="71" t="s">
        <v>174</v>
      </c>
      <c r="AB71" s="71" t="s">
        <v>473</v>
      </c>
      <c r="AC71" s="72">
        <f>IFERROR(DET_H99229[[#This Row],[H]]/DET_H99229[[#This Row],[AB]],0)</f>
        <v>0.24647887323943662</v>
      </c>
      <c r="AD71" s="72">
        <f>IFERROR((DET_H99229[[#This Row],[H]]+DET_H99229[[#This Row],[BB]])/(DET_H99229[[#This Row],[BB]]+DET_H99229[[#This Row],[AB]]),0)</f>
        <v>0.31847133757961782</v>
      </c>
      <c r="AE71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0.43661971830985913</v>
      </c>
      <c r="AF71" s="28">
        <v>35</v>
      </c>
      <c r="AG71" s="28">
        <v>142</v>
      </c>
      <c r="AH71" s="28">
        <v>22</v>
      </c>
      <c r="AI71" s="28">
        <v>35</v>
      </c>
      <c r="AJ71" s="28">
        <v>5</v>
      </c>
      <c r="AK71" s="28">
        <v>2</v>
      </c>
      <c r="AL71" s="28">
        <v>6</v>
      </c>
      <c r="AM71" s="28">
        <v>12</v>
      </c>
      <c r="AN71" s="28">
        <v>15</v>
      </c>
      <c r="AO71" s="74">
        <v>36</v>
      </c>
      <c r="AP71" s="28">
        <v>2</v>
      </c>
      <c r="AQ71" s="28">
        <v>2</v>
      </c>
      <c r="AR71" s="74">
        <v>6</v>
      </c>
      <c r="AS71" s="28">
        <f>IFERROR((DET_H99229[[#This Row],[H]]-DET_H99229[[#This Row],[2B]]-DET_H99229[[#This Row],[3B]]-DET_H99229[[#This Row],[HR]])+(DET_H99229[[#This Row],[2B]]*2)+(DET_H99229[[#This Row],[3B]]*3)+(DET_H99229[[#This Row],[HR]]*4),0)</f>
        <v>62</v>
      </c>
      <c r="AT71" s="72">
        <f>DET_H99229[[#This Row],[OBP]]+DET_H99229[[#This Row],[SLG]]</f>
        <v>0.755091055889477</v>
      </c>
      <c r="AU71" s="74">
        <v>3</v>
      </c>
      <c r="AV71" s="615">
        <v>6</v>
      </c>
      <c r="AY71" s="651" t="s">
        <v>463</v>
      </c>
      <c r="AZ71" s="71" t="s">
        <v>174</v>
      </c>
      <c r="BA71" s="74" t="s">
        <v>474</v>
      </c>
      <c r="BB71" s="72">
        <f>IFERROR(DET_H99207[[#This Row],[H]]/DET_H99207[[#This Row],[AB]],0)</f>
        <v>0.23387096774193547</v>
      </c>
      <c r="BC71" s="72">
        <f>IFERROR((DET_H99207[[#This Row],[BB]]+DET_H99207[[#This Row],[H]])/(DET_H99207[[#This Row],[AB]]+DET_H99207[[#This Row],[BB]]),0)</f>
        <v>0.35374149659863946</v>
      </c>
      <c r="BD71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0.33870967741935482</v>
      </c>
      <c r="BE71" s="28">
        <v>35</v>
      </c>
      <c r="BF71" s="28">
        <v>124</v>
      </c>
      <c r="BG71" s="28">
        <v>20</v>
      </c>
      <c r="BH71" s="28">
        <v>29</v>
      </c>
      <c r="BI71" s="28">
        <v>4</v>
      </c>
      <c r="BJ71" s="28">
        <v>0</v>
      </c>
      <c r="BK71" s="28">
        <v>3</v>
      </c>
      <c r="BL71" s="28">
        <v>7</v>
      </c>
      <c r="BM71" s="28">
        <v>23</v>
      </c>
      <c r="BN71" s="74">
        <v>37</v>
      </c>
      <c r="BO71" s="28">
        <v>0</v>
      </c>
      <c r="BP71" s="28">
        <v>1</v>
      </c>
      <c r="BQ71" s="74">
        <v>5</v>
      </c>
      <c r="BR71" s="28">
        <f t="shared" si="7"/>
        <v>42</v>
      </c>
      <c r="BS71" s="72">
        <f>IFERROR(DET_H99207[[#This Row],[OBP]]+DET_H99207[[#This Row],[SLG]],0)</f>
        <v>0.69245117401799428</v>
      </c>
      <c r="BT71" s="74">
        <v>1</v>
      </c>
      <c r="BU71" s="615">
        <v>6</v>
      </c>
    </row>
    <row r="72" spans="1:73">
      <c r="A72" s="651" t="s">
        <v>463</v>
      </c>
      <c r="B72" s="71" t="s">
        <v>181</v>
      </c>
      <c r="C72" s="77" t="s">
        <v>475</v>
      </c>
      <c r="D72" s="130">
        <f>IFERROR(DET_H99[[#This Row],[H]]/DET_H99[[#This Row],[AB]],0)</f>
        <v>0.28901734104046245</v>
      </c>
      <c r="E72" s="72">
        <f>IFERROR((DET_H99[[#This Row],[H]]+DET_H99[[#This Row],[BB]])/(DET_H99[[#This Row],[BB]]+DET_H99[[#This Row],[AB]]),0)</f>
        <v>0.35602094240837695</v>
      </c>
      <c r="F72" s="73">
        <f>IFERROR(((DET_H99[[#This Row],[H]]-DET_H99[[#This Row],[2B]]-DET_H99[[#This Row],[3B]]-DET_H99[[#This Row],[HR]])+(DET_H99[[#This Row],[2B]]*2)+(DET_H99[[#This Row],[3B]]*3)+(DET_H99[[#This Row],[HR]]*4))/DET_H99[[#This Row],[AB]],0)</f>
        <v>0.41618497109826591</v>
      </c>
      <c r="G72" s="28">
        <v>39</v>
      </c>
      <c r="H72" s="28">
        <v>173</v>
      </c>
      <c r="I72" s="28">
        <v>21</v>
      </c>
      <c r="J72" s="28">
        <v>50</v>
      </c>
      <c r="K72" s="28">
        <v>11</v>
      </c>
      <c r="L72" s="28">
        <v>1</v>
      </c>
      <c r="M72" s="28">
        <v>3</v>
      </c>
      <c r="N72" s="28">
        <v>17</v>
      </c>
      <c r="O72" s="28">
        <v>18</v>
      </c>
      <c r="P72" s="104">
        <v>64</v>
      </c>
      <c r="Q72" s="28">
        <v>0</v>
      </c>
      <c r="R72" s="28">
        <v>0</v>
      </c>
      <c r="S72" s="74">
        <v>9</v>
      </c>
      <c r="T72" s="28">
        <f>IFERROR((DET_H99[[#This Row],[H]]-DET_H99[[#This Row],[2B]]-DET_H99[[#This Row],[3B]]-DET_H99[[#This Row],[HR]])+(DET_H99[[#This Row],[2B]]*2)+(DET_H99[[#This Row],[3B]]*3)+(DET_H99[[#This Row],[HR]]*4),0)</f>
        <v>72</v>
      </c>
      <c r="U72" s="72">
        <f>DET_H99[[#This Row],[OBP]]+DET_H99[[#This Row],[SLG]]</f>
        <v>0.7722059135066428</v>
      </c>
      <c r="V72" s="74">
        <v>3</v>
      </c>
      <c r="W72" s="615">
        <v>7</v>
      </c>
      <c r="Z72" s="651" t="s">
        <v>463</v>
      </c>
      <c r="AA72" s="71" t="s">
        <v>181</v>
      </c>
      <c r="AB72" s="71" t="s">
        <v>475</v>
      </c>
      <c r="AC72" s="72">
        <f>IFERROR(DET_H99229[[#This Row],[H]]/DET_H99229[[#This Row],[AB]],0)</f>
        <v>0.22</v>
      </c>
      <c r="AD72" s="72">
        <f>IFERROR((DET_H99229[[#This Row],[H]]+DET_H99229[[#This Row],[BB]])/(DET_H99229[[#This Row],[BB]]+DET_H99229[[#This Row],[AB]]),0)</f>
        <v>0.29090909090909089</v>
      </c>
      <c r="AE72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0.37</v>
      </c>
      <c r="AF72" s="28">
        <v>28</v>
      </c>
      <c r="AG72" s="28">
        <v>100</v>
      </c>
      <c r="AH72" s="28">
        <v>7</v>
      </c>
      <c r="AI72" s="28">
        <v>22</v>
      </c>
      <c r="AJ72" s="28">
        <v>6</v>
      </c>
      <c r="AK72" s="28">
        <v>0</v>
      </c>
      <c r="AL72" s="28">
        <v>3</v>
      </c>
      <c r="AM72" s="28">
        <v>8</v>
      </c>
      <c r="AN72" s="28">
        <v>10</v>
      </c>
      <c r="AO72" s="74">
        <v>23</v>
      </c>
      <c r="AP72" s="28">
        <v>0</v>
      </c>
      <c r="AQ72" s="28">
        <v>0</v>
      </c>
      <c r="AR72" s="74">
        <v>4</v>
      </c>
      <c r="AS72" s="28">
        <f>IFERROR((DET_H99229[[#This Row],[H]]-DET_H99229[[#This Row],[2B]]-DET_H99229[[#This Row],[3B]]-DET_H99229[[#This Row],[HR]])+(DET_H99229[[#This Row],[2B]]*2)+(DET_H99229[[#This Row],[3B]]*3)+(DET_H99229[[#This Row],[HR]]*4),0)</f>
        <v>37</v>
      </c>
      <c r="AT72" s="72">
        <f>DET_H99229[[#This Row],[OBP]]+DET_H99229[[#This Row],[SLG]]</f>
        <v>0.66090909090909089</v>
      </c>
      <c r="AU72" s="74">
        <v>0</v>
      </c>
      <c r="AV72" s="615">
        <v>7</v>
      </c>
      <c r="AY72" s="651" t="s">
        <v>463</v>
      </c>
      <c r="AZ72" s="71" t="s">
        <v>383</v>
      </c>
      <c r="BA72" s="74" t="s">
        <v>475</v>
      </c>
      <c r="BB72" s="72">
        <f>IFERROR(DET_H99207[[#This Row],[H]]/DET_H99207[[#This Row],[AB]],0)</f>
        <v>0.21621621621621623</v>
      </c>
      <c r="BC72" s="72">
        <f>IFERROR((DET_H99207[[#This Row],[BB]]+DET_H99207[[#This Row],[H]])/(DET_H99207[[#This Row],[AB]]+DET_H99207[[#This Row],[BB]]),0)</f>
        <v>0.30120481927710846</v>
      </c>
      <c r="BD72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0.3783783783783784</v>
      </c>
      <c r="BE72" s="28">
        <v>23</v>
      </c>
      <c r="BF72" s="28">
        <v>74</v>
      </c>
      <c r="BG72" s="28">
        <v>9</v>
      </c>
      <c r="BH72" s="28">
        <v>16</v>
      </c>
      <c r="BI72" s="28">
        <v>0</v>
      </c>
      <c r="BJ72" s="28">
        <v>0</v>
      </c>
      <c r="BK72" s="28">
        <v>4</v>
      </c>
      <c r="BL72" s="28">
        <v>8</v>
      </c>
      <c r="BM72" s="28">
        <v>9</v>
      </c>
      <c r="BN72" s="74">
        <v>23</v>
      </c>
      <c r="BO72" s="28">
        <v>0</v>
      </c>
      <c r="BP72" s="28">
        <v>0</v>
      </c>
      <c r="BQ72" s="74">
        <v>5</v>
      </c>
      <c r="BR72" s="28">
        <f t="shared" si="7"/>
        <v>28</v>
      </c>
      <c r="BS72" s="72">
        <f>IFERROR(DET_H99207[[#This Row],[OBP]]+DET_H99207[[#This Row],[SLG]],0)</f>
        <v>0.67958319765548691</v>
      </c>
      <c r="BT72" s="74">
        <v>0</v>
      </c>
      <c r="BU72" s="615">
        <v>7</v>
      </c>
    </row>
    <row r="73" spans="1:73">
      <c r="A73" s="651" t="s">
        <v>463</v>
      </c>
      <c r="B73" s="71" t="s">
        <v>166</v>
      </c>
      <c r="C73" s="77" t="s">
        <v>466</v>
      </c>
      <c r="D73" s="130">
        <f>IFERROR(DET_H99[[#This Row],[H]]/DET_H99[[#This Row],[AB]],0)</f>
        <v>0.28368794326241137</v>
      </c>
      <c r="E73" s="72">
        <f>IFERROR((DET_H99[[#This Row],[H]]+DET_H99[[#This Row],[BB]])/(DET_H99[[#This Row],[BB]]+DET_H99[[#This Row],[AB]]),0)</f>
        <v>0.44198895027624308</v>
      </c>
      <c r="F73" s="73">
        <f>IFERROR(((DET_H99[[#This Row],[H]]-DET_H99[[#This Row],[2B]]-DET_H99[[#This Row],[3B]]-DET_H99[[#This Row],[HR]])+(DET_H99[[#This Row],[2B]]*2)+(DET_H99[[#This Row],[3B]]*3)+(DET_H99[[#This Row],[HR]]*4))/DET_H99[[#This Row],[AB]],0)</f>
        <v>0.47517730496453903</v>
      </c>
      <c r="G73" s="28">
        <v>39</v>
      </c>
      <c r="H73" s="28">
        <v>141</v>
      </c>
      <c r="I73" s="28">
        <v>26</v>
      </c>
      <c r="J73" s="28">
        <v>40</v>
      </c>
      <c r="K73" s="28">
        <v>10</v>
      </c>
      <c r="L73" s="28">
        <v>1</v>
      </c>
      <c r="M73" s="28">
        <v>5</v>
      </c>
      <c r="N73" s="28">
        <v>14</v>
      </c>
      <c r="O73" s="586">
        <v>40</v>
      </c>
      <c r="P73" s="74">
        <v>46</v>
      </c>
      <c r="Q73" s="28">
        <v>0</v>
      </c>
      <c r="R73" s="28">
        <v>2</v>
      </c>
      <c r="S73" s="74">
        <v>7</v>
      </c>
      <c r="T73" s="28">
        <f>IFERROR((DET_H99[[#This Row],[H]]-DET_H99[[#This Row],[2B]]-DET_H99[[#This Row],[3B]]-DET_H99[[#This Row],[HR]])+(DET_H99[[#This Row],[2B]]*2)+(DET_H99[[#This Row],[3B]]*3)+(DET_H99[[#This Row],[HR]]*4),0)</f>
        <v>67</v>
      </c>
      <c r="U73" s="72">
        <f>DET_H99[[#This Row],[OBP]]+DET_H99[[#This Row],[SLG]]</f>
        <v>0.9171662552407821</v>
      </c>
      <c r="V73" s="74">
        <v>2</v>
      </c>
      <c r="W73" s="615">
        <v>8</v>
      </c>
      <c r="Z73" s="651" t="s">
        <v>463</v>
      </c>
      <c r="AA73" s="71" t="s">
        <v>166</v>
      </c>
      <c r="AB73" s="71" t="s">
        <v>466</v>
      </c>
      <c r="AC73" s="72">
        <f>IFERROR(DET_H99229[[#This Row],[H]]/DET_H99229[[#This Row],[AB]],0)</f>
        <v>0.23841059602649006</v>
      </c>
      <c r="AD73" s="72">
        <f>IFERROR((DET_H99229[[#This Row],[H]]+DET_H99229[[#This Row],[BB]])/(DET_H99229[[#This Row],[BB]]+DET_H99229[[#This Row],[AB]]),0)</f>
        <v>0.3611111111111111</v>
      </c>
      <c r="AE73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0.49006622516556292</v>
      </c>
      <c r="AF73" s="28">
        <v>40</v>
      </c>
      <c r="AG73" s="28">
        <v>151</v>
      </c>
      <c r="AH73" s="28">
        <v>23</v>
      </c>
      <c r="AI73" s="28">
        <v>36</v>
      </c>
      <c r="AJ73" s="28">
        <v>6</v>
      </c>
      <c r="AK73" s="28">
        <v>1</v>
      </c>
      <c r="AL73" s="28">
        <v>10</v>
      </c>
      <c r="AM73" s="28">
        <v>21</v>
      </c>
      <c r="AN73" s="28">
        <v>29</v>
      </c>
      <c r="AO73" s="74">
        <v>52</v>
      </c>
      <c r="AP73" s="28">
        <v>0</v>
      </c>
      <c r="AQ73" s="28">
        <v>0</v>
      </c>
      <c r="AR73" s="74">
        <v>6</v>
      </c>
      <c r="AS73" s="28">
        <f>IFERROR((DET_H99229[[#This Row],[H]]-DET_H99229[[#This Row],[2B]]-DET_H99229[[#This Row],[3B]]-DET_H99229[[#This Row],[HR]])+(DET_H99229[[#This Row],[2B]]*2)+(DET_H99229[[#This Row],[3B]]*3)+(DET_H99229[[#This Row],[HR]]*4),0)</f>
        <v>74</v>
      </c>
      <c r="AT73" s="72">
        <f>DET_H99229[[#This Row],[OBP]]+DET_H99229[[#This Row],[SLG]]</f>
        <v>0.85117733627667402</v>
      </c>
      <c r="AU73" s="74">
        <v>1</v>
      </c>
      <c r="AV73" s="615">
        <v>8</v>
      </c>
      <c r="AY73" s="651" t="s">
        <v>463</v>
      </c>
      <c r="AZ73" s="71" t="s">
        <v>166</v>
      </c>
      <c r="BA73" s="74" t="s">
        <v>467</v>
      </c>
      <c r="BB73" s="72">
        <f>IFERROR(DET_H99207[[#This Row],[H]]/DET_H99207[[#This Row],[AB]],0)</f>
        <v>0.29220779220779219</v>
      </c>
      <c r="BC73" s="72">
        <f>IFERROR((DET_H99207[[#This Row],[BB]]+DET_H99207[[#This Row],[H]])/(DET_H99207[[#This Row],[AB]]+DET_H99207[[#This Row],[BB]]),0)</f>
        <v>0.32298136645962733</v>
      </c>
      <c r="BD73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0.39610389610389612</v>
      </c>
      <c r="BE73" s="28">
        <v>38</v>
      </c>
      <c r="BF73" s="28">
        <v>154</v>
      </c>
      <c r="BG73" s="28">
        <v>15</v>
      </c>
      <c r="BH73" s="28">
        <v>45</v>
      </c>
      <c r="BI73" s="28">
        <v>8</v>
      </c>
      <c r="BJ73" s="76">
        <v>4</v>
      </c>
      <c r="BK73" s="28">
        <v>0</v>
      </c>
      <c r="BL73" s="28">
        <v>22</v>
      </c>
      <c r="BM73" s="28">
        <v>7</v>
      </c>
      <c r="BN73" s="74">
        <v>35</v>
      </c>
      <c r="BO73" s="28">
        <v>8</v>
      </c>
      <c r="BP73" s="28">
        <v>1</v>
      </c>
      <c r="BQ73" s="74">
        <v>7</v>
      </c>
      <c r="BR73" s="28">
        <f t="shared" si="7"/>
        <v>61</v>
      </c>
      <c r="BS73" s="72">
        <f>IFERROR(DET_H99207[[#This Row],[OBP]]+DET_H99207[[#This Row],[SLG]],0)</f>
        <v>0.71908526256352345</v>
      </c>
      <c r="BT73" s="74">
        <v>0</v>
      </c>
      <c r="BU73" s="615">
        <v>8</v>
      </c>
    </row>
    <row r="74" spans="1:73">
      <c r="A74" s="651" t="s">
        <v>463</v>
      </c>
      <c r="B74" s="71" t="s">
        <v>168</v>
      </c>
      <c r="C74" s="77" t="s">
        <v>468</v>
      </c>
      <c r="D74" s="130">
        <f>IFERROR(DET_H99[[#This Row],[H]]/DET_H99[[#This Row],[AB]],0)</f>
        <v>0.26</v>
      </c>
      <c r="E74" s="72">
        <f>IFERROR((DET_H99[[#This Row],[H]]+DET_H99[[#This Row],[BB]])/(DET_H99[[#This Row],[BB]]+DET_H99[[#This Row],[AB]]),0)</f>
        <v>0.31481481481481483</v>
      </c>
      <c r="F74" s="73">
        <f>IFERROR(((DET_H99[[#This Row],[H]]-DET_H99[[#This Row],[2B]]-DET_H99[[#This Row],[3B]]-DET_H99[[#This Row],[HR]])+(DET_H99[[#This Row],[2B]]*2)+(DET_H99[[#This Row],[3B]]*3)+(DET_H99[[#This Row],[HR]]*4))/DET_H99[[#This Row],[AB]],0)</f>
        <v>0.52</v>
      </c>
      <c r="G74" s="28">
        <v>38</v>
      </c>
      <c r="H74" s="28">
        <v>150</v>
      </c>
      <c r="I74" s="28">
        <v>23</v>
      </c>
      <c r="J74" s="28">
        <v>39</v>
      </c>
      <c r="K74" s="28">
        <v>6</v>
      </c>
      <c r="L74" s="28">
        <v>0</v>
      </c>
      <c r="M74" s="28">
        <v>11</v>
      </c>
      <c r="N74" s="28">
        <v>24</v>
      </c>
      <c r="O74" s="28">
        <v>12</v>
      </c>
      <c r="P74" s="74">
        <v>40</v>
      </c>
      <c r="Q74" s="28">
        <v>0</v>
      </c>
      <c r="R74" s="28">
        <v>1</v>
      </c>
      <c r="S74" s="74">
        <v>7</v>
      </c>
      <c r="T74" s="28">
        <f>IFERROR((DET_H99[[#This Row],[H]]-DET_H99[[#This Row],[2B]]-DET_H99[[#This Row],[3B]]-DET_H99[[#This Row],[HR]])+(DET_H99[[#This Row],[2B]]*2)+(DET_H99[[#This Row],[3B]]*3)+(DET_H99[[#This Row],[HR]]*4),0)</f>
        <v>78</v>
      </c>
      <c r="U74" s="72">
        <f>DET_H99[[#This Row],[OBP]]+DET_H99[[#This Row],[SLG]]</f>
        <v>0.8348148148148149</v>
      </c>
      <c r="V74" s="74">
        <v>3</v>
      </c>
      <c r="W74" s="615">
        <v>9</v>
      </c>
      <c r="Z74" s="651" t="s">
        <v>463</v>
      </c>
      <c r="AA74" s="71" t="s">
        <v>168</v>
      </c>
      <c r="AB74" s="71" t="s">
        <v>465</v>
      </c>
      <c r="AC74" s="72">
        <f>IFERROR(DET_H99229[[#This Row],[H]]/DET_H99229[[#This Row],[AB]],0)</f>
        <v>0.33774834437086093</v>
      </c>
      <c r="AD74" s="72">
        <f>IFERROR((DET_H99229[[#This Row],[H]]+DET_H99229[[#This Row],[BB]])/(DET_H99229[[#This Row],[BB]]+DET_H99229[[#This Row],[AB]]),0)</f>
        <v>0.40119760479041916</v>
      </c>
      <c r="AE74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0.54304635761589404</v>
      </c>
      <c r="AF74" s="28">
        <v>38</v>
      </c>
      <c r="AG74" s="28">
        <v>151</v>
      </c>
      <c r="AH74" s="28">
        <v>19</v>
      </c>
      <c r="AI74" s="28">
        <v>51</v>
      </c>
      <c r="AJ74" s="28">
        <v>10</v>
      </c>
      <c r="AK74" s="28">
        <v>0</v>
      </c>
      <c r="AL74" s="28">
        <v>7</v>
      </c>
      <c r="AM74" s="28">
        <v>23</v>
      </c>
      <c r="AN74" s="28">
        <v>16</v>
      </c>
      <c r="AO74" s="74">
        <v>34</v>
      </c>
      <c r="AP74" s="28">
        <v>0</v>
      </c>
      <c r="AQ74" s="28">
        <v>5</v>
      </c>
      <c r="AR74" s="74">
        <v>11</v>
      </c>
      <c r="AS74" s="28">
        <f>IFERROR((DET_H99229[[#This Row],[H]]-DET_H99229[[#This Row],[2B]]-DET_H99229[[#This Row],[3B]]-DET_H99229[[#This Row],[HR]])+(DET_H99229[[#This Row],[2B]]*2)+(DET_H99229[[#This Row],[3B]]*3)+(DET_H99229[[#This Row],[HR]]*4),0)</f>
        <v>82</v>
      </c>
      <c r="AT74" s="72">
        <f>DET_H99229[[#This Row],[OBP]]+DET_H99229[[#This Row],[SLG]]</f>
        <v>0.94424396240631325</v>
      </c>
      <c r="AU74" s="74">
        <v>1</v>
      </c>
      <c r="AV74" s="615">
        <v>9</v>
      </c>
      <c r="AY74" s="651" t="s">
        <v>463</v>
      </c>
      <c r="AZ74" s="71" t="s">
        <v>168</v>
      </c>
      <c r="BA74" s="74" t="s">
        <v>465</v>
      </c>
      <c r="BB74" s="72">
        <f>IFERROR(DET_H99207[[#This Row],[H]]/DET_H99207[[#This Row],[AB]],0)</f>
        <v>0.25157232704402516</v>
      </c>
      <c r="BC74" s="72">
        <f>IFERROR((DET_H99207[[#This Row],[BB]]+DET_H99207[[#This Row],[H]])/(DET_H99207[[#This Row],[AB]]+DET_H99207[[#This Row],[BB]]),0)</f>
        <v>0.30409356725146197</v>
      </c>
      <c r="BD74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0.45283018867924529</v>
      </c>
      <c r="BE74" s="28">
        <v>40</v>
      </c>
      <c r="BF74" s="28">
        <v>159</v>
      </c>
      <c r="BG74" s="28">
        <v>20</v>
      </c>
      <c r="BH74" s="28">
        <v>40</v>
      </c>
      <c r="BI74" s="28">
        <v>11</v>
      </c>
      <c r="BJ74" s="28">
        <v>0</v>
      </c>
      <c r="BK74" s="28">
        <v>7</v>
      </c>
      <c r="BL74" s="28">
        <v>23</v>
      </c>
      <c r="BM74" s="28">
        <v>12</v>
      </c>
      <c r="BN74" s="74">
        <v>31</v>
      </c>
      <c r="BO74" s="28">
        <v>0</v>
      </c>
      <c r="BP74" s="28">
        <v>2</v>
      </c>
      <c r="BQ74" s="74">
        <v>4</v>
      </c>
      <c r="BR74" s="28">
        <f t="shared" si="7"/>
        <v>72</v>
      </c>
      <c r="BS74" s="72">
        <f>IFERROR(DET_H99207[[#This Row],[OBP]]+DET_H99207[[#This Row],[SLG]],0)</f>
        <v>0.75692375593070726</v>
      </c>
      <c r="BT74" s="74">
        <v>3</v>
      </c>
      <c r="BU74" s="615">
        <v>9</v>
      </c>
    </row>
    <row r="75" spans="1:73">
      <c r="A75" s="651" t="s">
        <v>463</v>
      </c>
      <c r="B75" s="71" t="s">
        <v>187</v>
      </c>
      <c r="C75" s="77" t="s">
        <v>477</v>
      </c>
      <c r="D75" s="130">
        <f>IFERROR(DET_H99[[#This Row],[H]]/DET_H99[[#This Row],[AB]],0)</f>
        <v>0.25</v>
      </c>
      <c r="E75" s="72">
        <f>IFERROR((DET_H99[[#This Row],[H]]+DET_H99[[#This Row],[BB]])/(DET_H99[[#This Row],[BB]]+DET_H99[[#This Row],[AB]]),0)</f>
        <v>0.29411764705882354</v>
      </c>
      <c r="F75" s="73">
        <f>IFERROR(((DET_H99[[#This Row],[H]]-DET_H99[[#This Row],[2B]]-DET_H99[[#This Row],[3B]]-DET_H99[[#This Row],[HR]])+(DET_H99[[#This Row],[2B]]*2)+(DET_H99[[#This Row],[3B]]*3)+(DET_H99[[#This Row],[HR]]*4))/DET_H99[[#This Row],[AB]],0)</f>
        <v>0.4375</v>
      </c>
      <c r="G75" s="28">
        <v>4</v>
      </c>
      <c r="H75" s="28">
        <v>16</v>
      </c>
      <c r="I75" s="28">
        <v>3</v>
      </c>
      <c r="J75" s="28">
        <v>4</v>
      </c>
      <c r="K75" s="28">
        <v>0</v>
      </c>
      <c r="L75" s="28">
        <v>0</v>
      </c>
      <c r="M75" s="28">
        <v>1</v>
      </c>
      <c r="N75" s="28">
        <v>2</v>
      </c>
      <c r="O75" s="28">
        <v>1</v>
      </c>
      <c r="P75" s="74">
        <v>7</v>
      </c>
      <c r="Q75" s="28">
        <v>0</v>
      </c>
      <c r="R75" s="28">
        <v>2</v>
      </c>
      <c r="S75" s="74">
        <v>2</v>
      </c>
      <c r="T75" s="28">
        <f>IFERROR((DET_H99[[#This Row],[H]]-DET_H99[[#This Row],[2B]]-DET_H99[[#This Row],[3B]]-DET_H99[[#This Row],[HR]])+(DET_H99[[#This Row],[2B]]*2)+(DET_H99[[#This Row],[3B]]*3)+(DET_H99[[#This Row],[HR]]*4),0)</f>
        <v>7</v>
      </c>
      <c r="U75" s="72">
        <f>DET_H99[[#This Row],[OBP]]+DET_H99[[#This Row],[SLG]]</f>
        <v>0.73161764705882359</v>
      </c>
      <c r="V75" s="74">
        <v>0</v>
      </c>
      <c r="W75" s="615">
        <v>10</v>
      </c>
      <c r="Z75" s="651" t="s">
        <v>463</v>
      </c>
      <c r="AA75" s="71" t="s">
        <v>187</v>
      </c>
      <c r="AB75" s="71" t="s">
        <v>478</v>
      </c>
      <c r="AC75" s="72">
        <f>IFERROR(DET_H99229[[#This Row],[H]]/DET_H99229[[#This Row],[AB]],0)</f>
        <v>0.19047619047619047</v>
      </c>
      <c r="AD75" s="72">
        <f>IFERROR((DET_H99229[[#This Row],[H]]+DET_H99229[[#This Row],[BB]])/(DET_H99229[[#This Row],[BB]]+DET_H99229[[#This Row],[AB]]),0)</f>
        <v>0.27659574468085107</v>
      </c>
      <c r="AE75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0.33333333333333331</v>
      </c>
      <c r="AF75" s="28">
        <v>12</v>
      </c>
      <c r="AG75" s="28">
        <v>42</v>
      </c>
      <c r="AH75" s="28">
        <v>3</v>
      </c>
      <c r="AI75" s="28">
        <v>8</v>
      </c>
      <c r="AJ75" s="28">
        <v>3</v>
      </c>
      <c r="AK75" s="28">
        <v>0</v>
      </c>
      <c r="AL75" s="28">
        <v>1</v>
      </c>
      <c r="AM75" s="28">
        <v>6</v>
      </c>
      <c r="AN75" s="28">
        <v>5</v>
      </c>
      <c r="AO75" s="74">
        <v>10</v>
      </c>
      <c r="AP75" s="28">
        <v>0</v>
      </c>
      <c r="AQ75" s="28">
        <v>0</v>
      </c>
      <c r="AR75" s="74">
        <v>3</v>
      </c>
      <c r="AS75" s="28">
        <f>IFERROR((DET_H99229[[#This Row],[H]]-DET_H99229[[#This Row],[2B]]-DET_H99229[[#This Row],[3B]]-DET_H99229[[#This Row],[HR]])+(DET_H99229[[#This Row],[2B]]*2)+(DET_H99229[[#This Row],[3B]]*3)+(DET_H99229[[#This Row],[HR]]*4),0)</f>
        <v>14</v>
      </c>
      <c r="AT75" s="72">
        <f>DET_H99229[[#This Row],[OBP]]+DET_H99229[[#This Row],[SLG]]</f>
        <v>0.60992907801418439</v>
      </c>
      <c r="AU75" s="74">
        <v>0</v>
      </c>
      <c r="AV75" s="615">
        <v>10</v>
      </c>
      <c r="AY75" s="651" t="s">
        <v>463</v>
      </c>
      <c r="AZ75" s="71" t="s">
        <v>179</v>
      </c>
      <c r="BA75" s="74" t="s">
        <v>485</v>
      </c>
      <c r="BB75" s="72">
        <f>IFERROR(DET_H99207[[#This Row],[H]]/DET_H99207[[#This Row],[AB]],0)</f>
        <v>0.15</v>
      </c>
      <c r="BC75" s="72">
        <f>IFERROR((DET_H99207[[#This Row],[BB]]+DET_H99207[[#This Row],[H]])/(DET_H99207[[#This Row],[AB]]+DET_H99207[[#This Row],[BB]]),0)</f>
        <v>0.22727272727272727</v>
      </c>
      <c r="BD75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</v>
      </c>
      <c r="BE75" s="28">
        <v>8</v>
      </c>
      <c r="BF75" s="28">
        <v>20</v>
      </c>
      <c r="BG75" s="28">
        <v>2</v>
      </c>
      <c r="BH75" s="28">
        <v>3</v>
      </c>
      <c r="BI75" s="28">
        <v>0</v>
      </c>
      <c r="BJ75" s="28">
        <v>0</v>
      </c>
      <c r="BK75" s="28">
        <v>1</v>
      </c>
      <c r="BL75" s="28">
        <v>5</v>
      </c>
      <c r="BM75" s="28">
        <v>2</v>
      </c>
      <c r="BN75" s="74">
        <v>9</v>
      </c>
      <c r="BO75" s="28">
        <v>0</v>
      </c>
      <c r="BP75" s="28">
        <v>0</v>
      </c>
      <c r="BQ75" s="74">
        <v>3</v>
      </c>
      <c r="BR75" s="28">
        <f t="shared" si="7"/>
        <v>6</v>
      </c>
      <c r="BS75" s="72">
        <f>IFERROR(DET_H99207[[#This Row],[OBP]]+DET_H99207[[#This Row],[SLG]],0)</f>
        <v>0.52727272727272723</v>
      </c>
      <c r="BT75" s="74">
        <v>0</v>
      </c>
      <c r="BU75" s="615">
        <v>10</v>
      </c>
    </row>
    <row r="76" spans="1:73">
      <c r="A76" s="651" t="s">
        <v>463</v>
      </c>
      <c r="B76" s="71" t="s">
        <v>187</v>
      </c>
      <c r="C76" s="77" t="s">
        <v>483</v>
      </c>
      <c r="D76" s="130">
        <f>IFERROR(DET_H99[[#This Row],[H]]/DET_H99[[#This Row],[AB]],0)</f>
        <v>0</v>
      </c>
      <c r="E76" s="72">
        <f>IFERROR((DET_H99[[#This Row],[H]]+DET_H99[[#This Row],[BB]])/(DET_H99[[#This Row],[BB]]+DET_H99[[#This Row],[AB]]),0)</f>
        <v>0</v>
      </c>
      <c r="F76" s="73">
        <f>IFERROR(((DET_H99[[#This Row],[H]]-DET_H99[[#This Row],[2B]]-DET_H99[[#This Row],[3B]]-DET_H99[[#This Row],[HR]])+(DET_H99[[#This Row],[2B]]*2)+(DET_H99[[#This Row],[3B]]*3)+(DET_H99[[#This Row],[HR]]*4))/DET_H99[[#This Row],[AB]],0)</f>
        <v>0</v>
      </c>
      <c r="G76" s="28">
        <v>2</v>
      </c>
      <c r="H76" s="28">
        <v>8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74">
        <v>1</v>
      </c>
      <c r="Q76" s="28">
        <v>0</v>
      </c>
      <c r="R76" s="28">
        <v>0</v>
      </c>
      <c r="S76" s="74">
        <v>0</v>
      </c>
      <c r="T76" s="28">
        <f>IFERROR((DET_H99[[#This Row],[H]]-DET_H99[[#This Row],[2B]]-DET_H99[[#This Row],[3B]]-DET_H99[[#This Row],[HR]])+(DET_H99[[#This Row],[2B]]*2)+(DET_H99[[#This Row],[3B]]*3)+(DET_H99[[#This Row],[HR]]*4),0)</f>
        <v>0</v>
      </c>
      <c r="U76" s="72">
        <f>DET_H99[[#This Row],[OBP]]+DET_H99[[#This Row],[SLG]]</f>
        <v>0</v>
      </c>
      <c r="V76" s="74">
        <v>0</v>
      </c>
      <c r="W76" s="615">
        <v>11</v>
      </c>
      <c r="Z76" s="651" t="s">
        <v>463</v>
      </c>
      <c r="AA76" s="71" t="s">
        <v>192</v>
      </c>
      <c r="AB76" s="71" t="s">
        <v>481</v>
      </c>
      <c r="AC76" s="72">
        <f>IFERROR(DET_H99229[[#This Row],[H]]/DET_H99229[[#This Row],[AB]],0)</f>
        <v>5.5555555555555552E-2</v>
      </c>
      <c r="AD76" s="72">
        <f>IFERROR((DET_H99229[[#This Row],[H]]+DET_H99229[[#This Row],[BB]])/(DET_H99229[[#This Row],[BB]]+DET_H99229[[#This Row],[AB]]),0)</f>
        <v>0.15</v>
      </c>
      <c r="AE76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0.16666666666666666</v>
      </c>
      <c r="AF76" s="28">
        <v>5</v>
      </c>
      <c r="AG76" s="28">
        <v>18</v>
      </c>
      <c r="AH76" s="28">
        <v>2</v>
      </c>
      <c r="AI76" s="28">
        <v>1</v>
      </c>
      <c r="AJ76" s="28">
        <v>0</v>
      </c>
      <c r="AK76" s="28">
        <v>1</v>
      </c>
      <c r="AL76" s="28">
        <v>0</v>
      </c>
      <c r="AM76" s="28">
        <v>1</v>
      </c>
      <c r="AN76" s="28">
        <v>2</v>
      </c>
      <c r="AO76" s="74">
        <v>8</v>
      </c>
      <c r="AP76" s="28">
        <v>0</v>
      </c>
      <c r="AQ76" s="28">
        <v>0</v>
      </c>
      <c r="AR76" s="74">
        <v>1</v>
      </c>
      <c r="AS76" s="28">
        <f>IFERROR((DET_H99229[[#This Row],[H]]-DET_H99229[[#This Row],[2B]]-DET_H99229[[#This Row],[3B]]-DET_H99229[[#This Row],[HR]])+(DET_H99229[[#This Row],[2B]]*2)+(DET_H99229[[#This Row],[3B]]*3)+(DET_H99229[[#This Row],[HR]]*4),0)</f>
        <v>3</v>
      </c>
      <c r="AT76" s="72">
        <f>DET_H99229[[#This Row],[OBP]]+DET_H99229[[#This Row],[SLG]]</f>
        <v>0.31666666666666665</v>
      </c>
      <c r="AU76" s="74">
        <v>0</v>
      </c>
      <c r="AV76" s="615">
        <v>11</v>
      </c>
      <c r="AY76" s="651" t="s">
        <v>463</v>
      </c>
      <c r="AZ76" s="71" t="s">
        <v>187</v>
      </c>
      <c r="BA76" s="74" t="s">
        <v>479</v>
      </c>
      <c r="BB76" s="72">
        <f>IFERROR(DET_H99207[[#This Row],[H]]/DET_H99207[[#This Row],[AB]],0)</f>
        <v>0.2</v>
      </c>
      <c r="BC76" s="72">
        <f>IFERROR((DET_H99207[[#This Row],[BB]]+DET_H99207[[#This Row],[H]])/(DET_H99207[[#This Row],[AB]]+DET_H99207[[#This Row],[BB]]),0)</f>
        <v>0.27272727272727271</v>
      </c>
      <c r="BD76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0.37142857142857144</v>
      </c>
      <c r="BE76" s="28">
        <v>21</v>
      </c>
      <c r="BF76" s="28">
        <v>70</v>
      </c>
      <c r="BG76" s="28">
        <v>4</v>
      </c>
      <c r="BH76" s="28">
        <v>14</v>
      </c>
      <c r="BI76" s="28">
        <v>6</v>
      </c>
      <c r="BJ76" s="28">
        <v>0</v>
      </c>
      <c r="BK76" s="28">
        <v>2</v>
      </c>
      <c r="BL76" s="28">
        <v>12</v>
      </c>
      <c r="BM76" s="28">
        <v>7</v>
      </c>
      <c r="BN76" s="74">
        <v>23</v>
      </c>
      <c r="BO76" s="28">
        <v>0</v>
      </c>
      <c r="BP76" s="28">
        <v>0</v>
      </c>
      <c r="BQ76" s="74">
        <v>4</v>
      </c>
      <c r="BR76" s="28">
        <f t="shared" si="7"/>
        <v>26</v>
      </c>
      <c r="BS76" s="72">
        <f>IFERROR(DET_H99207[[#This Row],[OBP]]+DET_H99207[[#This Row],[SLG]],0)</f>
        <v>0.64415584415584415</v>
      </c>
      <c r="BT76" s="74">
        <v>1</v>
      </c>
      <c r="BU76" s="615">
        <v>11</v>
      </c>
    </row>
    <row r="77" spans="1:73">
      <c r="A77" s="651" t="s">
        <v>463</v>
      </c>
      <c r="B77" s="71" t="s">
        <v>187</v>
      </c>
      <c r="C77" s="77" t="s">
        <v>481</v>
      </c>
      <c r="D77" s="130">
        <f>IFERROR(DET_H99[[#This Row],[H]]/DET_H99[[#This Row],[AB]],0)</f>
        <v>0.5714285714285714</v>
      </c>
      <c r="E77" s="72">
        <f>IFERROR((DET_H99[[#This Row],[H]]+DET_H99[[#This Row],[BB]])/(DET_H99[[#This Row],[BB]]+DET_H99[[#This Row],[AB]]),0)</f>
        <v>0.625</v>
      </c>
      <c r="F77" s="73">
        <f>IFERROR(((DET_H99[[#This Row],[H]]-DET_H99[[#This Row],[2B]]-DET_H99[[#This Row],[3B]]-DET_H99[[#This Row],[HR]])+(DET_H99[[#This Row],[2B]]*2)+(DET_H99[[#This Row],[3B]]*3)+(DET_H99[[#This Row],[HR]]*4))/DET_H99[[#This Row],[AB]],0)</f>
        <v>0.8571428571428571</v>
      </c>
      <c r="G77" s="28">
        <v>2</v>
      </c>
      <c r="H77" s="28">
        <v>7</v>
      </c>
      <c r="I77" s="28">
        <v>2</v>
      </c>
      <c r="J77" s="28">
        <v>4</v>
      </c>
      <c r="K77" s="28">
        <v>2</v>
      </c>
      <c r="L77" s="28">
        <v>0</v>
      </c>
      <c r="M77" s="28">
        <v>0</v>
      </c>
      <c r="N77" s="28">
        <v>1</v>
      </c>
      <c r="O77" s="28">
        <v>1</v>
      </c>
      <c r="P77" s="74">
        <v>1</v>
      </c>
      <c r="Q77" s="28">
        <v>0</v>
      </c>
      <c r="R77" s="28">
        <v>2</v>
      </c>
      <c r="S77" s="74">
        <v>2</v>
      </c>
      <c r="T77" s="28">
        <f>IFERROR((DET_H99[[#This Row],[H]]-DET_H99[[#This Row],[2B]]-DET_H99[[#This Row],[3B]]-DET_H99[[#This Row],[HR]])+(DET_H99[[#This Row],[2B]]*2)+(DET_H99[[#This Row],[3B]]*3)+(DET_H99[[#This Row],[HR]]*4),0)</f>
        <v>6</v>
      </c>
      <c r="U77" s="72">
        <f>DET_H99[[#This Row],[OBP]]+DET_H99[[#This Row],[SLG]]</f>
        <v>1.4821428571428572</v>
      </c>
      <c r="V77" s="74">
        <v>0</v>
      </c>
      <c r="W77" s="615">
        <v>12</v>
      </c>
      <c r="Z77" s="651" t="s">
        <v>463</v>
      </c>
      <c r="AA77" s="71" t="s">
        <v>192</v>
      </c>
      <c r="AB77" s="71" t="s">
        <v>483</v>
      </c>
      <c r="AC77" s="72">
        <f>IFERROR(DET_H99229[[#This Row],[H]]/DET_H99229[[#This Row],[AB]],0)</f>
        <v>0.17647058823529413</v>
      </c>
      <c r="AD77" s="72">
        <f>IFERROR((DET_H99229[[#This Row],[H]]+DET_H99229[[#This Row],[BB]])/(DET_H99229[[#This Row],[BB]]+DET_H99229[[#This Row],[AB]]),0)</f>
        <v>0.33333333333333331</v>
      </c>
      <c r="AE77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0.29411764705882354</v>
      </c>
      <c r="AF77" s="28">
        <v>5</v>
      </c>
      <c r="AG77" s="28">
        <v>17</v>
      </c>
      <c r="AH77" s="28">
        <v>2</v>
      </c>
      <c r="AI77" s="28">
        <v>3</v>
      </c>
      <c r="AJ77" s="28">
        <v>0</v>
      </c>
      <c r="AK77" s="28">
        <v>1</v>
      </c>
      <c r="AL77" s="28">
        <v>0</v>
      </c>
      <c r="AM77" s="28">
        <v>2</v>
      </c>
      <c r="AN77" s="28">
        <v>4</v>
      </c>
      <c r="AO77" s="74">
        <v>6</v>
      </c>
      <c r="AP77" s="28">
        <v>0</v>
      </c>
      <c r="AQ77" s="28">
        <v>0</v>
      </c>
      <c r="AR77" s="74">
        <v>2</v>
      </c>
      <c r="AS77" s="28">
        <f>IFERROR((DET_H99229[[#This Row],[H]]-DET_H99229[[#This Row],[2B]]-DET_H99229[[#This Row],[3B]]-DET_H99229[[#This Row],[HR]])+(DET_H99229[[#This Row],[2B]]*2)+(DET_H99229[[#This Row],[3B]]*3)+(DET_H99229[[#This Row],[HR]]*4),0)</f>
        <v>5</v>
      </c>
      <c r="AT77" s="72">
        <f>DET_H99229[[#This Row],[OBP]]+DET_H99229[[#This Row],[SLG]]</f>
        <v>0.62745098039215685</v>
      </c>
      <c r="AU77" s="74">
        <v>0</v>
      </c>
      <c r="AV77" s="615">
        <v>12</v>
      </c>
      <c r="AY77" s="651" t="s">
        <v>463</v>
      </c>
      <c r="AZ77" s="71" t="s">
        <v>192</v>
      </c>
      <c r="BA77" s="74" t="s">
        <v>478</v>
      </c>
      <c r="BB77" s="72">
        <f>IFERROR(DET_H99207[[#This Row],[H]]/DET_H99207[[#This Row],[AB]],0)</f>
        <v>0.20754716981132076</v>
      </c>
      <c r="BC77" s="72">
        <f>IFERROR((DET_H99207[[#This Row],[BB]]+DET_H99207[[#This Row],[H]])/(DET_H99207[[#This Row],[AB]]+DET_H99207[[#This Row],[BB]]),0)</f>
        <v>0.27586206896551724</v>
      </c>
      <c r="BD77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0.30188679245283018</v>
      </c>
      <c r="BE77" s="28">
        <v>14</v>
      </c>
      <c r="BF77" s="28">
        <v>53</v>
      </c>
      <c r="BG77" s="28">
        <v>10</v>
      </c>
      <c r="BH77" s="28">
        <v>11</v>
      </c>
      <c r="BI77" s="28">
        <v>2</v>
      </c>
      <c r="BJ77" s="28">
        <v>0</v>
      </c>
      <c r="BK77" s="28">
        <v>1</v>
      </c>
      <c r="BL77" s="28">
        <v>4</v>
      </c>
      <c r="BM77" s="28">
        <v>5</v>
      </c>
      <c r="BN77" s="74">
        <v>7</v>
      </c>
      <c r="BO77" s="28">
        <v>0</v>
      </c>
      <c r="BP77" s="28">
        <v>0</v>
      </c>
      <c r="BQ77" s="74">
        <v>2</v>
      </c>
      <c r="BR77" s="28">
        <f t="shared" si="7"/>
        <v>16</v>
      </c>
      <c r="BS77" s="72">
        <f>IFERROR(DET_H99207[[#This Row],[OBP]]+DET_H99207[[#This Row],[SLG]],0)</f>
        <v>0.57774886141834747</v>
      </c>
      <c r="BT77" s="74">
        <v>1</v>
      </c>
      <c r="BU77" s="615">
        <v>12</v>
      </c>
    </row>
    <row r="78" spans="1:73">
      <c r="A78" s="651" t="s">
        <v>463</v>
      </c>
      <c r="B78" s="71" t="s">
        <v>186</v>
      </c>
      <c r="C78" s="71" t="s">
        <v>473</v>
      </c>
      <c r="D78" s="72">
        <f>IFERROR(DET_H99[[#This Row],[H]]/DET_H99[[#This Row],[AB]],0)</f>
        <v>0.33333333333333331</v>
      </c>
      <c r="E78" s="72">
        <f>IFERROR((DET_H99[[#This Row],[H]]+DET_H99[[#This Row],[BB]])/(DET_H99[[#This Row],[BB]]+DET_H99[[#This Row],[AB]]),0)</f>
        <v>0.4</v>
      </c>
      <c r="F78" s="73">
        <f>IFERROR(((DET_H99[[#This Row],[H]]-DET_H99[[#This Row],[2B]]-DET_H99[[#This Row],[3B]]-DET_H99[[#This Row],[HR]])+(DET_H99[[#This Row],[2B]]*2)+(DET_H99[[#This Row],[3B]]*3)+(DET_H99[[#This Row],[HR]]*4))/DET_H99[[#This Row],[AB]],0)</f>
        <v>0.77777777777777779</v>
      </c>
      <c r="G78" s="28">
        <v>4</v>
      </c>
      <c r="H78" s="28">
        <v>9</v>
      </c>
      <c r="I78" s="28">
        <v>3</v>
      </c>
      <c r="J78" s="28">
        <v>3</v>
      </c>
      <c r="K78" s="28">
        <v>1</v>
      </c>
      <c r="L78" s="28">
        <v>0</v>
      </c>
      <c r="M78" s="28">
        <v>1</v>
      </c>
      <c r="N78" s="28">
        <v>2</v>
      </c>
      <c r="O78" s="28">
        <v>1</v>
      </c>
      <c r="P78" s="74">
        <v>5</v>
      </c>
      <c r="Q78" s="28">
        <v>3</v>
      </c>
      <c r="R78" s="28">
        <v>1</v>
      </c>
      <c r="S78" s="74">
        <v>1</v>
      </c>
      <c r="T78" s="28">
        <f>IFERROR((DET_H99[[#This Row],[H]]-DET_H99[[#This Row],[2B]]-DET_H99[[#This Row],[3B]]-DET_H99[[#This Row],[HR]])+(DET_H99[[#This Row],[2B]]*2)+(DET_H99[[#This Row],[3B]]*3)+(DET_H99[[#This Row],[HR]]*4),0)</f>
        <v>7</v>
      </c>
      <c r="U78" s="72">
        <f>DET_H99[[#This Row],[OBP]]+DET_H99[[#This Row],[SLG]]</f>
        <v>1.1777777777777778</v>
      </c>
      <c r="V78" s="74">
        <v>0</v>
      </c>
      <c r="W78" s="615">
        <v>13</v>
      </c>
      <c r="Z78" s="651" t="s">
        <v>463</v>
      </c>
      <c r="AA78" s="71" t="s">
        <v>184</v>
      </c>
      <c r="AB78" s="71" t="s">
        <v>464</v>
      </c>
      <c r="AC78" s="72">
        <f>IFERROR(DET_H99229[[#This Row],[H]]/DET_H99229[[#This Row],[AB]],0)</f>
        <v>0.19642857142857142</v>
      </c>
      <c r="AD78" s="72">
        <f>IFERROR((DET_H99229[[#This Row],[H]]+DET_H99229[[#This Row],[BB]])/(DET_H99229[[#This Row],[BB]]+DET_H99229[[#This Row],[AB]]),0)</f>
        <v>0.25</v>
      </c>
      <c r="AE78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0.23214285714285715</v>
      </c>
      <c r="AF78" s="28">
        <v>15</v>
      </c>
      <c r="AG78" s="28">
        <v>56</v>
      </c>
      <c r="AH78" s="28">
        <v>3</v>
      </c>
      <c r="AI78" s="28">
        <v>11</v>
      </c>
      <c r="AJ78" s="28">
        <v>2</v>
      </c>
      <c r="AK78" s="28">
        <v>0</v>
      </c>
      <c r="AL78" s="28">
        <v>0</v>
      </c>
      <c r="AM78" s="28">
        <v>4</v>
      </c>
      <c r="AN78" s="28">
        <v>4</v>
      </c>
      <c r="AO78" s="74">
        <v>17</v>
      </c>
      <c r="AP78" s="28">
        <v>0</v>
      </c>
      <c r="AQ78" s="28">
        <v>4</v>
      </c>
      <c r="AR78" s="74">
        <v>4</v>
      </c>
      <c r="AS78" s="28">
        <f>IFERROR((DET_H99229[[#This Row],[H]]-DET_H99229[[#This Row],[2B]]-DET_H99229[[#This Row],[3B]]-DET_H99229[[#This Row],[HR]])+(DET_H99229[[#This Row],[2B]]*2)+(DET_H99229[[#This Row],[3B]]*3)+(DET_H99229[[#This Row],[HR]]*4),0)</f>
        <v>13</v>
      </c>
      <c r="AT78" s="72">
        <f>DET_H99229[[#This Row],[OBP]]+DET_H99229[[#This Row],[SLG]]</f>
        <v>0.48214285714285715</v>
      </c>
      <c r="AU78" s="74">
        <v>0</v>
      </c>
      <c r="AV78" s="615">
        <v>13</v>
      </c>
      <c r="AY78" s="651" t="s">
        <v>463</v>
      </c>
      <c r="AZ78" s="71" t="s">
        <v>184</v>
      </c>
      <c r="BA78" s="74" t="s">
        <v>473</v>
      </c>
      <c r="BB78" s="72">
        <f>IFERROR(DET_H99207[[#This Row],[H]]/DET_H99207[[#This Row],[AB]],0)</f>
        <v>0.17543859649122806</v>
      </c>
      <c r="BC78" s="72">
        <f>IFERROR((DET_H99207[[#This Row],[BB]]+DET_H99207[[#This Row],[H]])/(DET_H99207[[#This Row],[AB]]+DET_H99207[[#This Row],[BB]]),0)</f>
        <v>0.21666666666666667</v>
      </c>
      <c r="BD78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0.33333333333333331</v>
      </c>
      <c r="BE78" s="28">
        <v>16</v>
      </c>
      <c r="BF78" s="28">
        <v>57</v>
      </c>
      <c r="BG78" s="28">
        <v>3</v>
      </c>
      <c r="BH78" s="28">
        <v>10</v>
      </c>
      <c r="BI78" s="28">
        <v>2</v>
      </c>
      <c r="BJ78" s="28">
        <v>2</v>
      </c>
      <c r="BK78" s="28">
        <v>1</v>
      </c>
      <c r="BL78" s="28">
        <v>7</v>
      </c>
      <c r="BM78" s="28">
        <v>3</v>
      </c>
      <c r="BN78" s="74">
        <v>14</v>
      </c>
      <c r="BO78" s="28">
        <v>0</v>
      </c>
      <c r="BP78" s="28">
        <v>2</v>
      </c>
      <c r="BQ78" s="74">
        <v>3</v>
      </c>
      <c r="BR78" s="28">
        <f t="shared" si="7"/>
        <v>19</v>
      </c>
      <c r="BS78" s="72">
        <f>IFERROR(DET_H99207[[#This Row],[OBP]]+DET_H99207[[#This Row],[SLG]],0)</f>
        <v>0.55000000000000004</v>
      </c>
      <c r="BT78" s="74">
        <v>1</v>
      </c>
      <c r="BU78" s="615">
        <v>13</v>
      </c>
    </row>
    <row r="79" spans="1:73" ht="17" thickBot="1">
      <c r="A79" s="651" t="s">
        <v>463</v>
      </c>
      <c r="B79" s="77" t="s">
        <v>186</v>
      </c>
      <c r="C79" s="636" t="s">
        <v>482</v>
      </c>
      <c r="D79" s="1006">
        <f>IFERROR(DET_H99[[#This Row],[H]]/DET_H99[[#This Row],[AB]],0)</f>
        <v>0.14285714285714285</v>
      </c>
      <c r="E79" s="72">
        <f>IFERROR((DET_H99[[#This Row],[H]]+DET_H99[[#This Row],[BB]])/(DET_H99[[#This Row],[BB]]+DET_H99[[#This Row],[AB]]),0)</f>
        <v>0.14285714285714285</v>
      </c>
      <c r="F79" s="73">
        <f>IFERROR(((DET_H99[[#This Row],[H]]-DET_H99[[#This Row],[2B]]-DET_H99[[#This Row],[3B]]-DET_H99[[#This Row],[HR]])+(DET_H99[[#This Row],[2B]]*2)+(DET_H99[[#This Row],[3B]]*3)+(DET_H99[[#This Row],[HR]]*4))/DET_H99[[#This Row],[AB]],0)</f>
        <v>0.2857142857142857</v>
      </c>
      <c r="G79" s="28">
        <v>2</v>
      </c>
      <c r="H79" s="28">
        <v>7</v>
      </c>
      <c r="I79" s="28">
        <v>0</v>
      </c>
      <c r="J79" s="28">
        <v>1</v>
      </c>
      <c r="K79" s="28">
        <v>1</v>
      </c>
      <c r="L79" s="28">
        <v>0</v>
      </c>
      <c r="M79" s="28">
        <v>0</v>
      </c>
      <c r="N79" s="28">
        <v>0</v>
      </c>
      <c r="O79" s="28">
        <v>0</v>
      </c>
      <c r="P79" s="74">
        <v>3</v>
      </c>
      <c r="Q79" s="28">
        <v>0</v>
      </c>
      <c r="R79" s="28">
        <v>0</v>
      </c>
      <c r="S79" s="74">
        <v>1</v>
      </c>
      <c r="T79" s="28">
        <f>IFERROR((DET_H99[[#This Row],[H]]-DET_H99[[#This Row],[2B]]-DET_H99[[#This Row],[3B]]-DET_H99[[#This Row],[HR]])+(DET_H99[[#This Row],[2B]]*2)+(DET_H99[[#This Row],[3B]]*3)+(DET_H99[[#This Row],[HR]]*4),0)</f>
        <v>2</v>
      </c>
      <c r="U79" s="72">
        <f>DET_H99[[#This Row],[OBP]]+DET_H99[[#This Row],[SLG]]</f>
        <v>0.42857142857142855</v>
      </c>
      <c r="V79" s="74">
        <v>0</v>
      </c>
      <c r="W79" s="615">
        <v>14</v>
      </c>
      <c r="Z79" s="651" t="s">
        <v>463</v>
      </c>
      <c r="AA79" s="71" t="s">
        <v>184</v>
      </c>
      <c r="AB79" s="71" t="s">
        <v>482</v>
      </c>
      <c r="AC79" s="72">
        <f>IFERROR(DET_H99229[[#This Row],[H]]/DET_H99229[[#This Row],[AB]],0)</f>
        <v>0.16</v>
      </c>
      <c r="AD79" s="72">
        <f>IFERROR((DET_H99229[[#This Row],[H]]+DET_H99229[[#This Row],[BB]])/(DET_H99229[[#This Row],[BB]]+DET_H99229[[#This Row],[AB]]),0)</f>
        <v>0.22222222222222221</v>
      </c>
      <c r="AE79" s="73">
        <f>IFERROR(((DET_H99229[[#This Row],[H]]-DET_H99229[[#This Row],[2B]]-DET_H99229[[#This Row],[3B]]-DET_H99229[[#This Row],[HR]])+(DET_H99229[[#This Row],[2B]]*2)+(DET_H99229[[#This Row],[3B]]*3)+(DET_H99229[[#This Row],[HR]]*4))/DET_H99229[[#This Row],[AB]],0)</f>
        <v>0.32</v>
      </c>
      <c r="AF79" s="28">
        <v>6</v>
      </c>
      <c r="AG79" s="28">
        <v>25</v>
      </c>
      <c r="AH79" s="28">
        <v>4</v>
      </c>
      <c r="AI79" s="28">
        <v>4</v>
      </c>
      <c r="AJ79" s="28">
        <v>1</v>
      </c>
      <c r="AK79" s="28">
        <v>0</v>
      </c>
      <c r="AL79" s="28">
        <v>1</v>
      </c>
      <c r="AM79" s="28">
        <v>1</v>
      </c>
      <c r="AN79" s="28">
        <v>2</v>
      </c>
      <c r="AO79" s="74">
        <v>8</v>
      </c>
      <c r="AP79" s="28">
        <v>0</v>
      </c>
      <c r="AQ79" s="28">
        <v>0</v>
      </c>
      <c r="AR79" s="74">
        <v>2</v>
      </c>
      <c r="AS79" s="28">
        <f>IFERROR((DET_H99229[[#This Row],[H]]-DET_H99229[[#This Row],[2B]]-DET_H99229[[#This Row],[3B]]-DET_H99229[[#This Row],[HR]])+(DET_H99229[[#This Row],[2B]]*2)+(DET_H99229[[#This Row],[3B]]*3)+(DET_H99229[[#This Row],[HR]]*4),0)</f>
        <v>8</v>
      </c>
      <c r="AT79" s="72">
        <f>DET_H99229[[#This Row],[OBP]]+DET_H99229[[#This Row],[SLG]]</f>
        <v>0.54222222222222216</v>
      </c>
      <c r="AU79" s="74">
        <v>0</v>
      </c>
      <c r="AV79" s="615">
        <v>14</v>
      </c>
      <c r="AY79" s="651" t="s">
        <v>463</v>
      </c>
      <c r="AZ79" s="71" t="s">
        <v>184</v>
      </c>
      <c r="BA79" s="74" t="s">
        <v>484</v>
      </c>
      <c r="BB79" s="72">
        <f>IFERROR(DET_H99207[[#This Row],[H]]/DET_H99207[[#This Row],[AB]],0)</f>
        <v>0.17857142857142858</v>
      </c>
      <c r="BC79" s="72">
        <f>IFERROR((DET_H99207[[#This Row],[BB]]+DET_H99207[[#This Row],[H]])/(DET_H99207[[#This Row],[AB]]+DET_H99207[[#This Row],[BB]]),0)</f>
        <v>0.19298245614035087</v>
      </c>
      <c r="BD79" s="73">
        <f>IFERROR(((DET_H99207[[#This Row],[H]]-DET_H99207[[#This Row],[2B]]-DET_H99207[[#This Row],[3B]]-DET_H99207[[#This Row],[HR]])+(DET_H99207[[#This Row],[2B]]*2)+(DET_H99207[[#This Row],[3B]]*3)+(DET_H99207[[#This Row],[HR]]*4))/DET_H99207[[#This Row],[AB]],0)</f>
        <v>0.26785714285714285</v>
      </c>
      <c r="BE79" s="28">
        <v>15</v>
      </c>
      <c r="BF79" s="28">
        <v>56</v>
      </c>
      <c r="BG79" s="28">
        <v>6</v>
      </c>
      <c r="BH79" s="28">
        <v>10</v>
      </c>
      <c r="BI79" s="28">
        <v>0</v>
      </c>
      <c r="BJ79" s="28">
        <v>1</v>
      </c>
      <c r="BK79" s="28">
        <v>1</v>
      </c>
      <c r="BL79" s="28">
        <v>2</v>
      </c>
      <c r="BM79" s="28">
        <v>1</v>
      </c>
      <c r="BN79" s="74">
        <v>20</v>
      </c>
      <c r="BO79" s="28">
        <v>1</v>
      </c>
      <c r="BP79" s="28">
        <v>0</v>
      </c>
      <c r="BQ79" s="74">
        <v>3</v>
      </c>
      <c r="BR79" s="28">
        <f t="shared" si="7"/>
        <v>15</v>
      </c>
      <c r="BS79" s="72">
        <f>IFERROR(DET_H99207[[#This Row],[OBP]]+DET_H99207[[#This Row],[SLG]],0)</f>
        <v>0.46083959899749372</v>
      </c>
      <c r="BT79" s="74">
        <v>0</v>
      </c>
      <c r="BU79" s="615">
        <v>14</v>
      </c>
    </row>
    <row r="80" spans="1:73" ht="17" thickBot="1">
      <c r="A80" s="652"/>
      <c r="B80" s="664"/>
      <c r="C80" s="1005" t="s">
        <v>195</v>
      </c>
      <c r="D80" s="1007">
        <f>J80/H80</f>
        <v>0.28047091412742381</v>
      </c>
      <c r="E80" s="656">
        <f>(J80+O80)/(H80+O80)</f>
        <v>0.34777150031387322</v>
      </c>
      <c r="F80" s="657">
        <f>((J80-K80-L80-M80)+(K80*2)+(L80*3)+(M80*4))/H80</f>
        <v>0.47160664819944598</v>
      </c>
      <c r="G80" s="658"/>
      <c r="H80" s="658">
        <f>SUBTOTAL(109,DET_H99[AB])</f>
        <v>1444</v>
      </c>
      <c r="I80" s="658">
        <f>SUBTOTAL(109,DET_H99[R])</f>
        <v>192</v>
      </c>
      <c r="J80" s="658">
        <f>SUBTOTAL(109,DET_H99[H])</f>
        <v>405</v>
      </c>
      <c r="K80" s="658">
        <f>SUBTOTAL(109,DET_H99[2B])</f>
        <v>85</v>
      </c>
      <c r="L80" s="658">
        <f>SUBTOTAL(109,DET_H99[3B])</f>
        <v>7</v>
      </c>
      <c r="M80" s="658">
        <f>SUBTOTAL(109,DET_H99[HR])</f>
        <v>59</v>
      </c>
      <c r="N80" s="658">
        <f>SUBTOTAL(109,DET_H99[RBI])</f>
        <v>192</v>
      </c>
      <c r="O80" s="658">
        <f>SUBTOTAL(109,DET_H99[BB])</f>
        <v>149</v>
      </c>
      <c r="P80" s="743">
        <f>SUBTOTAL(109,DET_H99[K])</f>
        <v>404</v>
      </c>
      <c r="Q80" s="658">
        <f>SUBTOTAL(109,DET_H99[SB])</f>
        <v>4</v>
      </c>
      <c r="R80" s="658"/>
      <c r="S80" s="660"/>
      <c r="T80" s="658">
        <f>SUBTOTAL(109,DET_H99[TB])</f>
        <v>681</v>
      </c>
      <c r="U80" s="656">
        <f>E80+F80</f>
        <v>0.81937814851331914</v>
      </c>
      <c r="V80" s="660">
        <f>SUBTOTAL(109,DET_H99[*])</f>
        <v>21</v>
      </c>
      <c r="W80" s="662"/>
      <c r="Z80" s="652"/>
      <c r="AA80" s="664"/>
      <c r="AB80" s="653" t="s">
        <v>195</v>
      </c>
      <c r="AC80" s="656">
        <f>AI80/AG80</f>
        <v>0.24320457796852646</v>
      </c>
      <c r="AD80" s="656">
        <f>(AI80+AN80)/(AG80+AN80)</f>
        <v>0.3080444735120994</v>
      </c>
      <c r="AE80" s="657">
        <f>((AI80-AJ80-AK80-AL80)+(AJ80*2)+(AK80*3)+(AL80*4))/AG80</f>
        <v>0.42060085836909872</v>
      </c>
      <c r="AF80" s="658"/>
      <c r="AG80" s="658">
        <f>SUBTOTAL(109,DET_H99229[AB])</f>
        <v>1398</v>
      </c>
      <c r="AH80" s="658">
        <f>SUBTOTAL(109,DET_H99229[R])</f>
        <v>151</v>
      </c>
      <c r="AI80" s="658">
        <f>SUBTOTAL(109,DET_H99229[H])</f>
        <v>340</v>
      </c>
      <c r="AJ80" s="658">
        <f>SUBTOTAL(109,DET_H99229[2B])</f>
        <v>71</v>
      </c>
      <c r="AK80" s="658">
        <f>SUBTOTAL(109,DET_H99229[3B])</f>
        <v>9</v>
      </c>
      <c r="AL80" s="658">
        <f>SUBTOTAL(109,DET_H99229[HR])</f>
        <v>53</v>
      </c>
      <c r="AM80" s="658">
        <f>SUBTOTAL(109,DET_H99229[RBI])</f>
        <v>149</v>
      </c>
      <c r="AN80" s="658">
        <f>SUBTOTAL(109,DET_H99229[BB])</f>
        <v>131</v>
      </c>
      <c r="AO80" s="660">
        <f>SUBTOTAL(109,DET_H99229[K])</f>
        <v>360</v>
      </c>
      <c r="AP80" s="658">
        <f>SUBTOTAL(109,DET_H99229[SB])</f>
        <v>2</v>
      </c>
      <c r="AQ80" s="658"/>
      <c r="AR80" s="660"/>
      <c r="AS80" s="658">
        <f>SUBTOTAL(109,DET_H99229[TB])</f>
        <v>588</v>
      </c>
      <c r="AT80" s="656">
        <f>AD80+AE80</f>
        <v>0.72864533188119807</v>
      </c>
      <c r="AU80" s="660">
        <f>SUBTOTAL(109,DET_H99229[*])</f>
        <v>14</v>
      </c>
      <c r="AV80" s="662"/>
      <c r="AY80" s="652"/>
      <c r="AZ80" s="664"/>
      <c r="BA80" s="653" t="s">
        <v>195</v>
      </c>
      <c r="BB80" s="656">
        <f>IFERROR(BH80/BF80,0)</f>
        <v>0.22740524781341107</v>
      </c>
      <c r="BC80" s="656">
        <f>IFERROR((BH80+BM80)/(BF80+BM80),0)</f>
        <v>0.29191716766867065</v>
      </c>
      <c r="BD80" s="657">
        <f>IFERROR(((BH80-BI80-BJ80-BK80)+(BI80*2)+(BJ80*3)+(BK80*4))/BF80,0)</f>
        <v>0.35495626822157433</v>
      </c>
      <c r="BE80" s="658"/>
      <c r="BF80" s="658">
        <f t="shared" ref="BF80:BO80" si="8">SUM(BF66:BF79)</f>
        <v>1372</v>
      </c>
      <c r="BG80" s="658">
        <f t="shared" si="8"/>
        <v>161</v>
      </c>
      <c r="BH80" s="658">
        <f t="shared" si="8"/>
        <v>312</v>
      </c>
      <c r="BI80" s="658">
        <f t="shared" si="8"/>
        <v>59</v>
      </c>
      <c r="BJ80" s="658">
        <f t="shared" si="8"/>
        <v>10</v>
      </c>
      <c r="BK80" s="658">
        <f t="shared" si="8"/>
        <v>32</v>
      </c>
      <c r="BL80" s="658">
        <f t="shared" si="8"/>
        <v>160</v>
      </c>
      <c r="BM80" s="658">
        <f t="shared" si="8"/>
        <v>125</v>
      </c>
      <c r="BN80" s="660">
        <f t="shared" si="8"/>
        <v>340</v>
      </c>
      <c r="BO80" s="658">
        <f t="shared" si="8"/>
        <v>9</v>
      </c>
      <c r="BP80" s="658"/>
      <c r="BQ80" s="660"/>
      <c r="BR80" s="658">
        <f t="shared" si="7"/>
        <v>487</v>
      </c>
      <c r="BS80" s="656">
        <f>BC80+BD80</f>
        <v>0.64687343589024504</v>
      </c>
      <c r="BT80" s="660">
        <f>SUBTOTAL(109,DET_H99207[*])</f>
        <v>12</v>
      </c>
      <c r="BU80" s="662"/>
    </row>
    <row r="81" spans="1:73" ht="17" thickBot="1"/>
    <row r="82" spans="1:73" s="64" customFormat="1" ht="14" thickBot="1">
      <c r="A82" s="605" t="s">
        <v>143</v>
      </c>
      <c r="B82" s="606" t="s">
        <v>144</v>
      </c>
      <c r="C82" s="606" t="s">
        <v>145</v>
      </c>
      <c r="D82" s="606" t="s">
        <v>196</v>
      </c>
      <c r="E82" s="606" t="s">
        <v>197</v>
      </c>
      <c r="F82" s="606" t="s">
        <v>198</v>
      </c>
      <c r="G82" s="606" t="s">
        <v>149</v>
      </c>
      <c r="H82" s="606" t="s">
        <v>199</v>
      </c>
      <c r="I82" s="606" t="s">
        <v>152</v>
      </c>
      <c r="J82" s="606" t="s">
        <v>151</v>
      </c>
      <c r="K82" s="606" t="s">
        <v>157</v>
      </c>
      <c r="L82" s="606" t="s">
        <v>158</v>
      </c>
      <c r="M82" s="606" t="s">
        <v>200</v>
      </c>
      <c r="N82" s="606" t="s">
        <v>201</v>
      </c>
      <c r="O82" s="606" t="s">
        <v>202</v>
      </c>
      <c r="P82" s="606" t="s">
        <v>203</v>
      </c>
      <c r="Q82" s="606" t="s">
        <v>204</v>
      </c>
      <c r="R82" s="606" t="s">
        <v>205</v>
      </c>
      <c r="S82" s="607" t="s">
        <v>164</v>
      </c>
      <c r="Z82" s="605" t="s">
        <v>143</v>
      </c>
      <c r="AA82" s="606" t="s">
        <v>144</v>
      </c>
      <c r="AB82" s="606" t="s">
        <v>145</v>
      </c>
      <c r="AC82" s="606" t="s">
        <v>196</v>
      </c>
      <c r="AD82" s="606" t="s">
        <v>197</v>
      </c>
      <c r="AE82" s="606" t="s">
        <v>198</v>
      </c>
      <c r="AF82" s="606" t="s">
        <v>149</v>
      </c>
      <c r="AG82" s="606" t="s">
        <v>199</v>
      </c>
      <c r="AH82" s="606" t="s">
        <v>152</v>
      </c>
      <c r="AI82" s="606" t="s">
        <v>151</v>
      </c>
      <c r="AJ82" s="606" t="s">
        <v>157</v>
      </c>
      <c r="AK82" s="606" t="s">
        <v>158</v>
      </c>
      <c r="AL82" s="606" t="s">
        <v>200</v>
      </c>
      <c r="AM82" s="606" t="s">
        <v>201</v>
      </c>
      <c r="AN82" s="606" t="s">
        <v>202</v>
      </c>
      <c r="AO82" s="606" t="s">
        <v>203</v>
      </c>
      <c r="AP82" s="606" t="s">
        <v>204</v>
      </c>
      <c r="AQ82" s="606" t="s">
        <v>205</v>
      </c>
      <c r="AR82" s="607" t="s">
        <v>164</v>
      </c>
      <c r="AY82" s="605" t="s">
        <v>143</v>
      </c>
      <c r="AZ82" s="606" t="s">
        <v>144</v>
      </c>
      <c r="BA82" s="606" t="s">
        <v>145</v>
      </c>
      <c r="BB82" s="606" t="s">
        <v>196</v>
      </c>
      <c r="BC82" s="606" t="s">
        <v>197</v>
      </c>
      <c r="BD82" s="606" t="s">
        <v>198</v>
      </c>
      <c r="BE82" s="606" t="s">
        <v>149</v>
      </c>
      <c r="BF82" s="606" t="s">
        <v>199</v>
      </c>
      <c r="BG82" s="606" t="s">
        <v>152</v>
      </c>
      <c r="BH82" s="606" t="s">
        <v>151</v>
      </c>
      <c r="BI82" s="606" t="s">
        <v>157</v>
      </c>
      <c r="BJ82" s="606" t="s">
        <v>158</v>
      </c>
      <c r="BK82" s="606" t="s">
        <v>200</v>
      </c>
      <c r="BL82" s="606" t="s">
        <v>201</v>
      </c>
      <c r="BM82" s="606" t="s">
        <v>202</v>
      </c>
      <c r="BN82" s="606" t="s">
        <v>203</v>
      </c>
      <c r="BO82" s="606" t="s">
        <v>204</v>
      </c>
      <c r="BP82" s="606" t="s">
        <v>205</v>
      </c>
      <c r="BQ82" s="607" t="s">
        <v>164</v>
      </c>
    </row>
    <row r="83" spans="1:73">
      <c r="A83" s="650" t="s">
        <v>463</v>
      </c>
      <c r="B83" s="597" t="s">
        <v>206</v>
      </c>
      <c r="C83" s="682" t="s">
        <v>486</v>
      </c>
      <c r="D83" s="663">
        <f>IFERROR((DET_P[[#This Row],[R]]*9)/DET_P[[#This Row],[IP]],0)</f>
        <v>3.5492957746478875</v>
      </c>
      <c r="E83" s="600">
        <v>4</v>
      </c>
      <c r="F83" s="604">
        <v>2</v>
      </c>
      <c r="G83" s="600">
        <v>10</v>
      </c>
      <c r="H83" s="630">
        <v>71</v>
      </c>
      <c r="I83" s="600">
        <v>70</v>
      </c>
      <c r="J83" s="600">
        <v>28</v>
      </c>
      <c r="K83" s="600">
        <v>15</v>
      </c>
      <c r="L83" s="600">
        <v>84</v>
      </c>
      <c r="M83" s="600">
        <v>0</v>
      </c>
      <c r="N83" s="631">
        <f>IFERROR((DET_P[[#This Row],[BB]]+DET_P[[#This Row],[H]])/DET_P[[#This Row],[IP]],0)</f>
        <v>1.1971830985915493</v>
      </c>
      <c r="O83" s="600">
        <v>7</v>
      </c>
      <c r="P83" s="601">
        <v>4</v>
      </c>
      <c r="Q83" s="627">
        <v>2</v>
      </c>
      <c r="R83" s="604">
        <v>1</v>
      </c>
      <c r="S83" s="614">
        <v>1</v>
      </c>
      <c r="Z83" s="650" t="s">
        <v>463</v>
      </c>
      <c r="AA83" s="597" t="s">
        <v>206</v>
      </c>
      <c r="AB83" s="682" t="s">
        <v>486</v>
      </c>
      <c r="AC83" s="663">
        <f>IFERROR((DET_P222[[#This Row],[R]]*9)/DET_P222[[#This Row],[IP]],0)</f>
        <v>7</v>
      </c>
      <c r="AD83" s="600">
        <v>1</v>
      </c>
      <c r="AE83" s="604">
        <v>5</v>
      </c>
      <c r="AF83" s="600">
        <v>10</v>
      </c>
      <c r="AG83" s="630">
        <v>54</v>
      </c>
      <c r="AH83" s="600">
        <v>68</v>
      </c>
      <c r="AI83" s="600">
        <v>42</v>
      </c>
      <c r="AJ83" s="600">
        <v>26</v>
      </c>
      <c r="AK83" s="600">
        <v>61</v>
      </c>
      <c r="AL83" s="600">
        <v>0</v>
      </c>
      <c r="AM83" s="631">
        <f>IFERROR((DET_P222[[#This Row],[BB]]+DET_P222[[#This Row],[H]])/DET_P222[[#This Row],[IP]],0)</f>
        <v>1.7407407407407407</v>
      </c>
      <c r="AN83" s="600">
        <v>2</v>
      </c>
      <c r="AO83" s="601">
        <v>0</v>
      </c>
      <c r="AP83" s="600">
        <v>0</v>
      </c>
      <c r="AQ83" s="604">
        <v>0</v>
      </c>
      <c r="AR83" s="614">
        <v>1</v>
      </c>
      <c r="AY83" s="650" t="s">
        <v>463</v>
      </c>
      <c r="AZ83" s="597" t="s">
        <v>206</v>
      </c>
      <c r="BA83" s="604" t="s">
        <v>487</v>
      </c>
      <c r="BB83" s="663">
        <f>IFERROR((DET_P196[[#This Row],[R]]*9)/DET_P196[[#This Row],[IP]],0)</f>
        <v>5.6514913657770807</v>
      </c>
      <c r="BC83" s="600">
        <v>1</v>
      </c>
      <c r="BD83" s="604">
        <v>6</v>
      </c>
      <c r="BE83" s="600">
        <v>10</v>
      </c>
      <c r="BF83" s="630">
        <v>57.33</v>
      </c>
      <c r="BG83" s="600">
        <v>72</v>
      </c>
      <c r="BH83" s="600">
        <v>36</v>
      </c>
      <c r="BI83" s="600">
        <v>29</v>
      </c>
      <c r="BJ83" s="600">
        <v>65</v>
      </c>
      <c r="BK83" s="600">
        <v>0</v>
      </c>
      <c r="BL83" s="631">
        <f>IFERROR((DET_P196[[#This Row],[BB]]+DET_P196[[#This Row],[H]])/DET_P196[[#This Row],[IP]],0)</f>
        <v>1.7617303331589047</v>
      </c>
      <c r="BM83" s="600">
        <v>3</v>
      </c>
      <c r="BN83" s="601">
        <v>1</v>
      </c>
      <c r="BO83" s="600">
        <v>0</v>
      </c>
      <c r="BP83" s="604">
        <v>0</v>
      </c>
      <c r="BQ83" s="614">
        <v>1</v>
      </c>
    </row>
    <row r="84" spans="1:73">
      <c r="A84" s="651" t="s">
        <v>463</v>
      </c>
      <c r="B84" s="71" t="s">
        <v>206</v>
      </c>
      <c r="C84" s="87" t="s">
        <v>488</v>
      </c>
      <c r="D84" s="88">
        <f>IFERROR((DET_P[[#This Row],[R]]*9)/DET_P[[#This Row],[IP]],0)</f>
        <v>3.8573396601867445</v>
      </c>
      <c r="E84" s="28">
        <v>5</v>
      </c>
      <c r="F84" s="74">
        <v>2</v>
      </c>
      <c r="G84" s="28">
        <v>10</v>
      </c>
      <c r="H84" s="584">
        <v>65.33</v>
      </c>
      <c r="I84" s="28">
        <v>61</v>
      </c>
      <c r="J84" s="28">
        <v>28</v>
      </c>
      <c r="K84" s="28">
        <v>25</v>
      </c>
      <c r="L84" s="28">
        <v>42</v>
      </c>
      <c r="M84" s="28">
        <v>0</v>
      </c>
      <c r="N84" s="89">
        <f>IFERROR((DET_P[[#This Row],[BB]]+DET_P[[#This Row],[H]])/DET_P[[#This Row],[IP]],0)</f>
        <v>1.3163936935557936</v>
      </c>
      <c r="O84" s="28">
        <v>7</v>
      </c>
      <c r="P84" s="90">
        <v>4</v>
      </c>
      <c r="Q84" s="28">
        <v>0</v>
      </c>
      <c r="R84" s="74">
        <v>0</v>
      </c>
      <c r="S84" s="615">
        <v>2</v>
      </c>
      <c r="Z84" s="651" t="s">
        <v>463</v>
      </c>
      <c r="AA84" s="71" t="s">
        <v>206</v>
      </c>
      <c r="AB84" s="87" t="s">
        <v>488</v>
      </c>
      <c r="AC84" s="88">
        <f>IFERROR((DET_P222[[#This Row],[R]]*9)/DET_P222[[#This Row],[IP]],0)</f>
        <v>6.333333333333333</v>
      </c>
      <c r="AD84" s="28">
        <v>2</v>
      </c>
      <c r="AE84" s="74">
        <v>5</v>
      </c>
      <c r="AF84" s="28">
        <v>10</v>
      </c>
      <c r="AG84" s="584">
        <v>54</v>
      </c>
      <c r="AH84" s="28">
        <v>59</v>
      </c>
      <c r="AI84" s="28">
        <v>38</v>
      </c>
      <c r="AJ84" s="28">
        <v>23</v>
      </c>
      <c r="AK84" s="28">
        <v>45</v>
      </c>
      <c r="AL84" s="28">
        <v>0</v>
      </c>
      <c r="AM84" s="89">
        <f>IFERROR((DET_P222[[#This Row],[BB]]+DET_P222[[#This Row],[H]])/DET_P222[[#This Row],[IP]],0)</f>
        <v>1.5185185185185186</v>
      </c>
      <c r="AN84" s="28">
        <v>2</v>
      </c>
      <c r="AO84" s="90">
        <v>0</v>
      </c>
      <c r="AP84" s="28">
        <v>0</v>
      </c>
      <c r="AQ84" s="74">
        <v>0</v>
      </c>
      <c r="AR84" s="615">
        <v>2</v>
      </c>
      <c r="AY84" s="651" t="s">
        <v>463</v>
      </c>
      <c r="AZ84" s="71" t="s">
        <v>206</v>
      </c>
      <c r="BA84" s="74" t="s">
        <v>488</v>
      </c>
      <c r="BB84" s="88">
        <f>IFERROR((DET_P196[[#This Row],[R]]*9)/DET_P196[[#This Row],[IP]],0)</f>
        <v>4.6784494281895146</v>
      </c>
      <c r="BC84" s="28">
        <v>5</v>
      </c>
      <c r="BD84" s="74">
        <v>3</v>
      </c>
      <c r="BE84" s="28">
        <v>10</v>
      </c>
      <c r="BF84" s="584">
        <v>67.33</v>
      </c>
      <c r="BG84" s="28">
        <v>71</v>
      </c>
      <c r="BH84" s="28">
        <v>35</v>
      </c>
      <c r="BI84" s="28">
        <v>20</v>
      </c>
      <c r="BJ84" s="28">
        <v>55</v>
      </c>
      <c r="BK84" s="28">
        <v>0</v>
      </c>
      <c r="BL84" s="89">
        <f>IFERROR((DET_P196[[#This Row],[BB]]+DET_P196[[#This Row],[H]])/DET_P196[[#This Row],[IP]],0)</f>
        <v>1.3515520570325263</v>
      </c>
      <c r="BM84" s="28">
        <v>6</v>
      </c>
      <c r="BN84" s="90">
        <v>4</v>
      </c>
      <c r="BO84" s="28">
        <v>1</v>
      </c>
      <c r="BP84" s="74">
        <v>1</v>
      </c>
      <c r="BQ84" s="615">
        <v>2</v>
      </c>
    </row>
    <row r="85" spans="1:73">
      <c r="A85" s="651" t="s">
        <v>463</v>
      </c>
      <c r="B85" s="71" t="s">
        <v>206</v>
      </c>
      <c r="C85" s="87" t="s">
        <v>489</v>
      </c>
      <c r="D85" s="88">
        <f>IFERROR((DET_P[[#This Row],[R]]*9)/DET_P[[#This Row],[IP]],0)</f>
        <v>4.7391096218286259</v>
      </c>
      <c r="E85" s="28">
        <v>6</v>
      </c>
      <c r="F85" s="74">
        <v>2</v>
      </c>
      <c r="G85" s="28">
        <v>10</v>
      </c>
      <c r="H85" s="584">
        <v>62.67</v>
      </c>
      <c r="I85" s="28">
        <v>57</v>
      </c>
      <c r="J85" s="28">
        <v>33</v>
      </c>
      <c r="K85" s="28">
        <v>21</v>
      </c>
      <c r="L85" s="28">
        <v>56</v>
      </c>
      <c r="M85" s="28">
        <v>0</v>
      </c>
      <c r="N85" s="89">
        <f>IFERROR((DET_P[[#This Row],[BB]]+DET_P[[#This Row],[H]])/DET_P[[#This Row],[IP]],0)</f>
        <v>1.2446146481570128</v>
      </c>
      <c r="O85" s="28">
        <v>5</v>
      </c>
      <c r="P85" s="90">
        <v>2</v>
      </c>
      <c r="Q85" s="28">
        <v>0</v>
      </c>
      <c r="R85" s="74">
        <v>0</v>
      </c>
      <c r="S85" s="615">
        <v>3</v>
      </c>
      <c r="Z85" s="651" t="s">
        <v>463</v>
      </c>
      <c r="AA85" s="71" t="s">
        <v>206</v>
      </c>
      <c r="AB85" s="87" t="s">
        <v>487</v>
      </c>
      <c r="AC85" s="88">
        <f>IFERROR((DET_P222[[#This Row],[R]]*9)/DET_P222[[#This Row],[IP]],0)</f>
        <v>7.3953755016243079</v>
      </c>
      <c r="AD85" s="28">
        <v>2</v>
      </c>
      <c r="AE85" s="74">
        <v>6</v>
      </c>
      <c r="AF85" s="28">
        <v>10</v>
      </c>
      <c r="AG85" s="584">
        <v>52.33</v>
      </c>
      <c r="AH85" s="28">
        <v>73</v>
      </c>
      <c r="AI85" s="28">
        <v>43</v>
      </c>
      <c r="AJ85" s="28">
        <v>29</v>
      </c>
      <c r="AK85" s="28">
        <v>63</v>
      </c>
      <c r="AL85" s="28">
        <v>0</v>
      </c>
      <c r="AM85" s="89">
        <f>IFERROR((DET_P222[[#This Row],[BB]]+DET_P222[[#This Row],[H]])/DET_P222[[#This Row],[IP]],0)</f>
        <v>1.9491687368622206</v>
      </c>
      <c r="AN85" s="28">
        <v>2</v>
      </c>
      <c r="AO85" s="90">
        <v>1</v>
      </c>
      <c r="AP85" s="28">
        <v>0</v>
      </c>
      <c r="AQ85" s="74">
        <v>0</v>
      </c>
      <c r="AR85" s="615">
        <v>3</v>
      </c>
      <c r="AY85" s="651" t="s">
        <v>463</v>
      </c>
      <c r="AZ85" s="71" t="s">
        <v>206</v>
      </c>
      <c r="BA85" s="74" t="s">
        <v>486</v>
      </c>
      <c r="BB85" s="88">
        <f>IFERROR((DET_P196[[#This Row],[R]]*9)/DET_P196[[#This Row],[IP]],0)</f>
        <v>5.7315233785822022</v>
      </c>
      <c r="BC85" s="28">
        <v>2</v>
      </c>
      <c r="BD85" s="74">
        <v>6</v>
      </c>
      <c r="BE85" s="28">
        <v>10</v>
      </c>
      <c r="BF85" s="584">
        <v>59.67</v>
      </c>
      <c r="BG85" s="28">
        <v>71</v>
      </c>
      <c r="BH85" s="28">
        <v>38</v>
      </c>
      <c r="BI85" s="28">
        <v>22</v>
      </c>
      <c r="BJ85" s="28">
        <v>71</v>
      </c>
      <c r="BK85" s="28">
        <v>0</v>
      </c>
      <c r="BL85" s="89">
        <f>IFERROR((DET_P196[[#This Row],[BB]]+DET_P196[[#This Row],[H]])/DET_P196[[#This Row],[IP]],0)</f>
        <v>1.5585721468074409</v>
      </c>
      <c r="BM85" s="28">
        <v>6</v>
      </c>
      <c r="BN85" s="90">
        <v>2</v>
      </c>
      <c r="BO85" s="28">
        <v>0</v>
      </c>
      <c r="BP85" s="74">
        <v>0</v>
      </c>
      <c r="BQ85" s="615">
        <v>3</v>
      </c>
    </row>
    <row r="86" spans="1:73">
      <c r="A86" s="651" t="s">
        <v>463</v>
      </c>
      <c r="B86" s="71" t="s">
        <v>206</v>
      </c>
      <c r="C86" s="87" t="s">
        <v>490</v>
      </c>
      <c r="D86" s="88">
        <f>IFERROR((DET_P[[#This Row],[R]]*9)/DET_P[[#This Row],[IP]],0)</f>
        <v>5.5384615384615383</v>
      </c>
      <c r="E86" s="28">
        <v>1</v>
      </c>
      <c r="F86" s="74">
        <v>5</v>
      </c>
      <c r="G86" s="28">
        <v>10</v>
      </c>
      <c r="H86" s="584">
        <v>52</v>
      </c>
      <c r="I86" s="28">
        <v>71</v>
      </c>
      <c r="J86" s="28">
        <v>32</v>
      </c>
      <c r="K86" s="28">
        <v>12</v>
      </c>
      <c r="L86" s="28">
        <v>31</v>
      </c>
      <c r="M86" s="28">
        <v>0</v>
      </c>
      <c r="N86" s="89">
        <f>IFERROR((DET_P[[#This Row],[BB]]+DET_P[[#This Row],[H]])/DET_P[[#This Row],[IP]],0)</f>
        <v>1.5961538461538463</v>
      </c>
      <c r="O86" s="28">
        <v>3</v>
      </c>
      <c r="P86" s="90">
        <v>1</v>
      </c>
      <c r="Q86" s="28">
        <v>0</v>
      </c>
      <c r="R86" s="74">
        <v>0</v>
      </c>
      <c r="S86" s="615">
        <v>4</v>
      </c>
      <c r="Z86" s="651" t="s">
        <v>463</v>
      </c>
      <c r="AA86" s="71" t="s">
        <v>206</v>
      </c>
      <c r="AB86" s="87" t="s">
        <v>490</v>
      </c>
      <c r="AC86" s="88">
        <f>IFERROR((DET_P222[[#This Row],[R]]*9)/DET_P222[[#This Row],[IP]],0)</f>
        <v>5.2460140579461685</v>
      </c>
      <c r="AD86" s="28">
        <v>3</v>
      </c>
      <c r="AE86" s="74">
        <v>5</v>
      </c>
      <c r="AF86" s="28">
        <v>10</v>
      </c>
      <c r="AG86" s="584">
        <v>58.33</v>
      </c>
      <c r="AH86" s="28">
        <v>66</v>
      </c>
      <c r="AI86" s="28">
        <v>34</v>
      </c>
      <c r="AJ86" s="28">
        <v>25</v>
      </c>
      <c r="AK86" s="28">
        <v>34</v>
      </c>
      <c r="AL86" s="28">
        <v>0</v>
      </c>
      <c r="AM86" s="89">
        <f>IFERROR((DET_P222[[#This Row],[BB]]+DET_P222[[#This Row],[H]])/DET_P222[[#This Row],[IP]],0)</f>
        <v>1.5600891479513115</v>
      </c>
      <c r="AN86" s="28">
        <v>5</v>
      </c>
      <c r="AO86" s="90">
        <v>1</v>
      </c>
      <c r="AP86" s="28">
        <v>0</v>
      </c>
      <c r="AQ86" s="74">
        <v>0</v>
      </c>
      <c r="AR86" s="615">
        <v>4</v>
      </c>
      <c r="AY86" s="651" t="s">
        <v>463</v>
      </c>
      <c r="AZ86" s="71" t="s">
        <v>206</v>
      </c>
      <c r="BA86" s="74" t="s">
        <v>490</v>
      </c>
      <c r="BB86" s="88">
        <f>IFERROR((DET_P196[[#This Row],[R]]*9)/DET_P196[[#This Row],[IP]],0)</f>
        <v>8.6210012651364547</v>
      </c>
      <c r="BC86" s="28">
        <v>0</v>
      </c>
      <c r="BD86" s="74">
        <v>5</v>
      </c>
      <c r="BE86" s="28">
        <v>10</v>
      </c>
      <c r="BF86" s="584">
        <v>55.33</v>
      </c>
      <c r="BG86" s="28">
        <v>79</v>
      </c>
      <c r="BH86" s="76">
        <v>53</v>
      </c>
      <c r="BI86" s="28">
        <v>27</v>
      </c>
      <c r="BJ86" s="28">
        <v>46</v>
      </c>
      <c r="BK86" s="28">
        <v>0</v>
      </c>
      <c r="BL86" s="89">
        <f>IFERROR((DET_P196[[#This Row],[BB]]+DET_P196[[#This Row],[H]])/DET_P196[[#This Row],[IP]],0)</f>
        <v>1.9157780589192122</v>
      </c>
      <c r="BM86" s="28">
        <v>2</v>
      </c>
      <c r="BN86" s="90">
        <v>0</v>
      </c>
      <c r="BO86" s="28">
        <v>0</v>
      </c>
      <c r="BP86" s="74">
        <v>0</v>
      </c>
      <c r="BQ86" s="615">
        <v>4</v>
      </c>
    </row>
    <row r="87" spans="1:73">
      <c r="A87" s="651" t="s">
        <v>463</v>
      </c>
      <c r="B87" s="71" t="s">
        <v>215</v>
      </c>
      <c r="C87" s="87" t="s">
        <v>491</v>
      </c>
      <c r="D87" s="88">
        <f>IFERROR((DET_P[[#This Row],[R]]*9)/DET_P[[#This Row],[IP]],0)</f>
        <v>7.615384615384615</v>
      </c>
      <c r="E87" s="28">
        <v>1</v>
      </c>
      <c r="F87" s="74">
        <v>0</v>
      </c>
      <c r="G87" s="28">
        <v>7</v>
      </c>
      <c r="H87" s="584">
        <v>13</v>
      </c>
      <c r="I87" s="28">
        <v>19</v>
      </c>
      <c r="J87" s="28">
        <v>11</v>
      </c>
      <c r="K87" s="28">
        <v>5</v>
      </c>
      <c r="L87" s="28">
        <v>15</v>
      </c>
      <c r="M87" s="28">
        <v>0</v>
      </c>
      <c r="N87" s="89">
        <f>IFERROR((DET_P[[#This Row],[BB]]+DET_P[[#This Row],[H]])/DET_P[[#This Row],[IP]],0)</f>
        <v>1.8461538461538463</v>
      </c>
      <c r="O87" s="28">
        <v>0</v>
      </c>
      <c r="P87" s="90">
        <v>0</v>
      </c>
      <c r="Q87" s="28">
        <v>0</v>
      </c>
      <c r="R87" s="74">
        <v>0</v>
      </c>
      <c r="S87" s="615">
        <v>5</v>
      </c>
      <c r="Z87" s="651" t="s">
        <v>463</v>
      </c>
      <c r="AA87" s="71" t="s">
        <v>212</v>
      </c>
      <c r="AB87" s="87" t="s">
        <v>492</v>
      </c>
      <c r="AC87" s="88">
        <f>IFERROR((DET_P222[[#This Row],[R]]*9)/DET_P222[[#This Row],[IP]],0)</f>
        <v>3.6809815950920246</v>
      </c>
      <c r="AD87" s="28">
        <v>0</v>
      </c>
      <c r="AE87" s="74">
        <v>0</v>
      </c>
      <c r="AF87" s="28">
        <v>8</v>
      </c>
      <c r="AG87" s="584">
        <v>14.67</v>
      </c>
      <c r="AH87" s="28">
        <v>13</v>
      </c>
      <c r="AI87" s="28">
        <v>6</v>
      </c>
      <c r="AJ87" s="28">
        <v>4</v>
      </c>
      <c r="AK87" s="28">
        <v>8</v>
      </c>
      <c r="AL87" s="28">
        <v>0</v>
      </c>
      <c r="AM87" s="89">
        <f>IFERROR((DET_P222[[#This Row],[BB]]+DET_P222[[#This Row],[H]])/DET_P222[[#This Row],[IP]],0)</f>
        <v>1.1588275391956373</v>
      </c>
      <c r="AN87" s="28">
        <v>0</v>
      </c>
      <c r="AO87" s="90">
        <v>0</v>
      </c>
      <c r="AP87" s="28">
        <v>0</v>
      </c>
      <c r="AQ87" s="74">
        <v>0</v>
      </c>
      <c r="AR87" s="615">
        <v>5</v>
      </c>
      <c r="AY87" s="651" t="s">
        <v>463</v>
      </c>
      <c r="AZ87" s="71" t="s">
        <v>212</v>
      </c>
      <c r="BA87" s="74" t="s">
        <v>492</v>
      </c>
      <c r="BB87" s="88">
        <f>IFERROR((DET_P196[[#This Row],[R]]*9)/DET_P196[[#This Row],[IP]],0)</f>
        <v>4.9601959583588489</v>
      </c>
      <c r="BC87" s="28">
        <v>0</v>
      </c>
      <c r="BD87" s="74">
        <v>0</v>
      </c>
      <c r="BE87" s="28">
        <v>9</v>
      </c>
      <c r="BF87" s="584">
        <v>16.329999999999998</v>
      </c>
      <c r="BG87" s="28">
        <v>23</v>
      </c>
      <c r="BH87" s="28">
        <v>9</v>
      </c>
      <c r="BI87" s="28">
        <v>4</v>
      </c>
      <c r="BJ87" s="28">
        <v>8</v>
      </c>
      <c r="BK87" s="28">
        <v>0</v>
      </c>
      <c r="BL87" s="89">
        <f>IFERROR((DET_P196[[#This Row],[BB]]+DET_P196[[#This Row],[H]])/DET_P196[[#This Row],[IP]],0)</f>
        <v>1.6533986527862832</v>
      </c>
      <c r="BM87" s="28">
        <v>0</v>
      </c>
      <c r="BN87" s="90">
        <v>0</v>
      </c>
      <c r="BO87" s="28">
        <v>0</v>
      </c>
      <c r="BP87" s="74">
        <v>0</v>
      </c>
      <c r="BQ87" s="615">
        <v>5</v>
      </c>
    </row>
    <row r="88" spans="1:73">
      <c r="A88" s="651" t="s">
        <v>463</v>
      </c>
      <c r="B88" s="71" t="s">
        <v>212</v>
      </c>
      <c r="C88" s="87" t="s">
        <v>493</v>
      </c>
      <c r="D88" s="88">
        <f>IFERROR((DET_P[[#This Row],[R]]*9)/DET_P[[#This Row],[IP]],0)</f>
        <v>8.1</v>
      </c>
      <c r="E88" s="28">
        <v>0</v>
      </c>
      <c r="F88" s="74">
        <v>0</v>
      </c>
      <c r="G88" s="28">
        <v>7</v>
      </c>
      <c r="H88" s="584">
        <v>10</v>
      </c>
      <c r="I88" s="28">
        <v>14</v>
      </c>
      <c r="J88" s="28">
        <v>9</v>
      </c>
      <c r="K88" s="28">
        <v>4</v>
      </c>
      <c r="L88" s="28">
        <v>9</v>
      </c>
      <c r="M88" s="28">
        <v>0</v>
      </c>
      <c r="N88" s="89">
        <f>IFERROR((DET_P[[#This Row],[BB]]+DET_P[[#This Row],[H]])/DET_P[[#This Row],[IP]],0)</f>
        <v>1.8</v>
      </c>
      <c r="O88" s="28">
        <v>0</v>
      </c>
      <c r="P88" s="90">
        <v>0</v>
      </c>
      <c r="Q88" s="28">
        <v>0</v>
      </c>
      <c r="R88" s="74">
        <v>0</v>
      </c>
      <c r="S88" s="615">
        <v>6</v>
      </c>
      <c r="Z88" s="651" t="s">
        <v>463</v>
      </c>
      <c r="AA88" s="71" t="s">
        <v>212</v>
      </c>
      <c r="AB88" s="87" t="s">
        <v>493</v>
      </c>
      <c r="AC88" s="88">
        <f>IFERROR((DET_P222[[#This Row],[R]]*9)/DET_P222[[#This Row],[IP]],0)</f>
        <v>7.615384615384615</v>
      </c>
      <c r="AD88" s="28">
        <v>0</v>
      </c>
      <c r="AE88" s="74">
        <v>0</v>
      </c>
      <c r="AF88" s="28">
        <v>8</v>
      </c>
      <c r="AG88" s="584">
        <v>13</v>
      </c>
      <c r="AH88" s="28">
        <v>19</v>
      </c>
      <c r="AI88" s="28">
        <v>11</v>
      </c>
      <c r="AJ88" s="28">
        <v>6</v>
      </c>
      <c r="AK88" s="28">
        <v>11</v>
      </c>
      <c r="AL88" s="28">
        <v>0</v>
      </c>
      <c r="AM88" s="89">
        <f>IFERROR((DET_P222[[#This Row],[BB]]+DET_P222[[#This Row],[H]])/DET_P222[[#This Row],[IP]],0)</f>
        <v>1.9230769230769231</v>
      </c>
      <c r="AN88" s="28">
        <v>0</v>
      </c>
      <c r="AO88" s="90">
        <v>0</v>
      </c>
      <c r="AP88" s="28">
        <v>0</v>
      </c>
      <c r="AQ88" s="74">
        <v>0</v>
      </c>
      <c r="AR88" s="615">
        <v>6</v>
      </c>
      <c r="AY88" s="651" t="s">
        <v>463</v>
      </c>
      <c r="AZ88" s="71" t="s">
        <v>212</v>
      </c>
      <c r="BA88" s="74" t="s">
        <v>493</v>
      </c>
      <c r="BB88" s="88">
        <f>IFERROR((DET_P196[[#This Row],[R]]*9)/DET_P196[[#This Row],[IP]],0)</f>
        <v>6.7484662576687118</v>
      </c>
      <c r="BC88" s="28">
        <v>0</v>
      </c>
      <c r="BD88" s="74">
        <v>0</v>
      </c>
      <c r="BE88" s="28">
        <v>15</v>
      </c>
      <c r="BF88" s="584">
        <v>14.67</v>
      </c>
      <c r="BG88" s="28">
        <v>16</v>
      </c>
      <c r="BH88" s="28">
        <v>11</v>
      </c>
      <c r="BI88" s="28">
        <v>3</v>
      </c>
      <c r="BJ88" s="28">
        <v>11</v>
      </c>
      <c r="BK88" s="28">
        <v>0</v>
      </c>
      <c r="BL88" s="89">
        <f>IFERROR((DET_P196[[#This Row],[BB]]+DET_P196[[#This Row],[H]])/DET_P196[[#This Row],[IP]],0)</f>
        <v>1.2951601908657124</v>
      </c>
      <c r="BM88" s="28">
        <v>0</v>
      </c>
      <c r="BN88" s="90">
        <v>0</v>
      </c>
      <c r="BO88" s="28">
        <v>0</v>
      </c>
      <c r="BP88" s="74">
        <v>0</v>
      </c>
      <c r="BQ88" s="615">
        <v>6</v>
      </c>
    </row>
    <row r="89" spans="1:73">
      <c r="A89" s="651" t="s">
        <v>463</v>
      </c>
      <c r="B89" s="71" t="s">
        <v>212</v>
      </c>
      <c r="C89" s="87" t="s">
        <v>492</v>
      </c>
      <c r="D89" s="88">
        <f>IFERROR((DET_P[[#This Row],[R]]*9)/DET_P[[#This Row],[IP]],0)</f>
        <v>3.2591826176927059</v>
      </c>
      <c r="E89" s="28">
        <v>1</v>
      </c>
      <c r="F89" s="74">
        <v>2</v>
      </c>
      <c r="G89" s="28">
        <v>10</v>
      </c>
      <c r="H89" s="584">
        <v>19.329999999999998</v>
      </c>
      <c r="I89" s="28">
        <v>18</v>
      </c>
      <c r="J89" s="28">
        <v>7</v>
      </c>
      <c r="K89" s="28">
        <v>2</v>
      </c>
      <c r="L89" s="28">
        <v>14</v>
      </c>
      <c r="M89" s="28">
        <v>0</v>
      </c>
      <c r="N89" s="89">
        <f>IFERROR((DET_P[[#This Row],[BB]]+DET_P[[#This Row],[H]])/DET_P[[#This Row],[IP]],0)</f>
        <v>1.0346611484738748</v>
      </c>
      <c r="O89" s="28">
        <v>0</v>
      </c>
      <c r="P89" s="90">
        <v>0</v>
      </c>
      <c r="Q89" s="28">
        <v>0</v>
      </c>
      <c r="R89" s="74">
        <v>0</v>
      </c>
      <c r="S89" s="615">
        <v>7</v>
      </c>
      <c r="Z89" s="651" t="s">
        <v>463</v>
      </c>
      <c r="AA89" s="71" t="s">
        <v>212</v>
      </c>
      <c r="AB89" s="87" t="s">
        <v>494</v>
      </c>
      <c r="AC89" s="88">
        <f>IFERROR((DET_P222[[#This Row],[R]]*9)/DET_P222[[#This Row],[IP]],0)</f>
        <v>4.0909090909090908</v>
      </c>
      <c r="AD89" s="28">
        <v>2</v>
      </c>
      <c r="AE89" s="74">
        <v>1</v>
      </c>
      <c r="AF89" s="28">
        <v>18</v>
      </c>
      <c r="AG89" s="584">
        <v>22</v>
      </c>
      <c r="AH89" s="28">
        <v>18</v>
      </c>
      <c r="AI89" s="28">
        <v>10</v>
      </c>
      <c r="AJ89" s="28">
        <v>9</v>
      </c>
      <c r="AK89" s="28">
        <v>17</v>
      </c>
      <c r="AL89" s="28">
        <v>0</v>
      </c>
      <c r="AM89" s="89">
        <f>IFERROR((DET_P222[[#This Row],[BB]]+DET_P222[[#This Row],[H]])/DET_P222[[#This Row],[IP]],0)</f>
        <v>1.2272727272727273</v>
      </c>
      <c r="AN89" s="28">
        <v>0</v>
      </c>
      <c r="AO89" s="90">
        <v>0</v>
      </c>
      <c r="AP89" s="28">
        <v>0</v>
      </c>
      <c r="AQ89" s="74">
        <v>0</v>
      </c>
      <c r="AR89" s="615">
        <v>7</v>
      </c>
      <c r="AY89" s="651" t="s">
        <v>463</v>
      </c>
      <c r="AZ89" s="71" t="s">
        <v>212</v>
      </c>
      <c r="BA89" s="74" t="s">
        <v>494</v>
      </c>
      <c r="BB89" s="88">
        <f>IFERROR((DET_P196[[#This Row],[R]]*9)/DET_P196[[#This Row],[IP]],0)</f>
        <v>12</v>
      </c>
      <c r="BC89" s="28">
        <v>0</v>
      </c>
      <c r="BD89" s="74">
        <v>1</v>
      </c>
      <c r="BE89" s="28">
        <v>15</v>
      </c>
      <c r="BF89" s="584">
        <v>15</v>
      </c>
      <c r="BG89" s="28">
        <v>24</v>
      </c>
      <c r="BH89" s="28">
        <v>20</v>
      </c>
      <c r="BI89" s="28">
        <v>8</v>
      </c>
      <c r="BJ89" s="28">
        <v>21</v>
      </c>
      <c r="BK89" s="28">
        <v>0</v>
      </c>
      <c r="BL89" s="89">
        <f>IFERROR((DET_P196[[#This Row],[BB]]+DET_P196[[#This Row],[H]])/DET_P196[[#This Row],[IP]],0)</f>
        <v>2.1333333333333333</v>
      </c>
      <c r="BM89" s="28">
        <v>0</v>
      </c>
      <c r="BN89" s="90">
        <v>0</v>
      </c>
      <c r="BO89" s="28">
        <v>0</v>
      </c>
      <c r="BP89" s="74">
        <v>0</v>
      </c>
      <c r="BQ89" s="615">
        <v>7</v>
      </c>
    </row>
    <row r="90" spans="1:73">
      <c r="A90" s="651" t="s">
        <v>463</v>
      </c>
      <c r="B90" s="71" t="s">
        <v>212</v>
      </c>
      <c r="C90" s="87" t="s">
        <v>494</v>
      </c>
      <c r="D90" s="88">
        <f>IFERROR((DET_P[[#This Row],[R]]*9)/DET_P[[#This Row],[IP]],0)</f>
        <v>4.5840407470288618</v>
      </c>
      <c r="E90" s="28">
        <v>1</v>
      </c>
      <c r="F90" s="74">
        <v>1</v>
      </c>
      <c r="G90" s="28">
        <v>14</v>
      </c>
      <c r="H90" s="584">
        <v>17.670000000000002</v>
      </c>
      <c r="I90" s="28">
        <v>18</v>
      </c>
      <c r="J90" s="28">
        <v>9</v>
      </c>
      <c r="K90" s="28">
        <v>13</v>
      </c>
      <c r="L90" s="28">
        <v>15</v>
      </c>
      <c r="M90" s="28">
        <v>0</v>
      </c>
      <c r="N90" s="89">
        <f>IFERROR((DET_P[[#This Row],[BB]]+DET_P[[#This Row],[H]])/DET_P[[#This Row],[IP]],0)</f>
        <v>1.7543859649122806</v>
      </c>
      <c r="O90" s="28">
        <v>0</v>
      </c>
      <c r="P90" s="90">
        <v>0</v>
      </c>
      <c r="Q90" s="28">
        <v>0</v>
      </c>
      <c r="R90" s="74">
        <v>0</v>
      </c>
      <c r="S90" s="615">
        <v>8</v>
      </c>
      <c r="Z90" s="651" t="s">
        <v>463</v>
      </c>
      <c r="AA90" s="71" t="s">
        <v>212</v>
      </c>
      <c r="AB90" s="87" t="s">
        <v>495</v>
      </c>
      <c r="AC90" s="88">
        <f>IFERROR((DET_P222[[#This Row],[R]]*9)/DET_P222[[#This Row],[IP]],0)</f>
        <v>3.8576939562794688</v>
      </c>
      <c r="AD90" s="28">
        <v>2</v>
      </c>
      <c r="AE90" s="74">
        <v>1</v>
      </c>
      <c r="AF90" s="28">
        <v>19</v>
      </c>
      <c r="AG90" s="584">
        <v>23.33</v>
      </c>
      <c r="AH90" s="28">
        <v>27</v>
      </c>
      <c r="AI90" s="28">
        <v>10</v>
      </c>
      <c r="AJ90" s="28">
        <v>8</v>
      </c>
      <c r="AK90" s="28">
        <v>15</v>
      </c>
      <c r="AL90" s="28">
        <v>0</v>
      </c>
      <c r="AM90" s="89">
        <f>IFERROR((DET_P222[[#This Row],[BB]]+DET_P222[[#This Row],[H]])/DET_P222[[#This Row],[IP]],0)</f>
        <v>1.5002143163309045</v>
      </c>
      <c r="AN90" s="28">
        <v>0</v>
      </c>
      <c r="AO90" s="90">
        <v>0</v>
      </c>
      <c r="AP90" s="28">
        <v>0</v>
      </c>
      <c r="AQ90" s="74">
        <v>0</v>
      </c>
      <c r="AR90" s="615">
        <v>8</v>
      </c>
      <c r="AY90" s="651" t="s">
        <v>463</v>
      </c>
      <c r="AZ90" s="71" t="s">
        <v>215</v>
      </c>
      <c r="BA90" s="74" t="s">
        <v>495</v>
      </c>
      <c r="BB90" s="88">
        <f>IFERROR((DET_P196[[#This Row],[R]]*9)/DET_P196[[#This Row],[IP]],0)</f>
        <v>4.3191361727654467</v>
      </c>
      <c r="BC90" s="28">
        <v>2</v>
      </c>
      <c r="BD90" s="74">
        <v>0</v>
      </c>
      <c r="BE90" s="28">
        <v>14</v>
      </c>
      <c r="BF90" s="584">
        <v>16.670000000000002</v>
      </c>
      <c r="BG90" s="28">
        <v>18</v>
      </c>
      <c r="BH90" s="28">
        <v>8</v>
      </c>
      <c r="BI90" s="28">
        <v>7</v>
      </c>
      <c r="BJ90" s="28">
        <v>19</v>
      </c>
      <c r="BK90" s="28">
        <v>0</v>
      </c>
      <c r="BL90" s="89">
        <f>IFERROR((DET_P196[[#This Row],[BB]]+DET_P196[[#This Row],[H]])/DET_P196[[#This Row],[IP]],0)</f>
        <v>1.4997000599880022</v>
      </c>
      <c r="BM90" s="28">
        <v>0</v>
      </c>
      <c r="BN90" s="90">
        <v>0</v>
      </c>
      <c r="BO90" s="28">
        <v>0</v>
      </c>
      <c r="BP90" s="74">
        <v>0</v>
      </c>
      <c r="BQ90" s="615">
        <v>8</v>
      </c>
    </row>
    <row r="91" spans="1:73">
      <c r="A91" s="651" t="s">
        <v>463</v>
      </c>
      <c r="B91" s="71" t="s">
        <v>212</v>
      </c>
      <c r="C91" s="87" t="s">
        <v>496</v>
      </c>
      <c r="D91" s="88">
        <f>IFERROR((DET_P[[#This Row],[R]]*9)/DET_P[[#This Row],[IP]],0)</f>
        <v>4.2194092827004219</v>
      </c>
      <c r="E91" s="28">
        <v>0</v>
      </c>
      <c r="F91" s="74">
        <v>0</v>
      </c>
      <c r="G91" s="28">
        <v>18</v>
      </c>
      <c r="H91" s="584">
        <v>21.33</v>
      </c>
      <c r="I91" s="28">
        <v>26</v>
      </c>
      <c r="J91" s="28">
        <v>10</v>
      </c>
      <c r="K91" s="28">
        <v>4</v>
      </c>
      <c r="L91" s="28">
        <v>12</v>
      </c>
      <c r="M91" s="28">
        <v>1</v>
      </c>
      <c r="N91" s="89">
        <f>IFERROR((DET_P[[#This Row],[BB]]+DET_P[[#This Row],[H]])/DET_P[[#This Row],[IP]],0)</f>
        <v>1.4064697609001409</v>
      </c>
      <c r="O91" s="28">
        <v>0</v>
      </c>
      <c r="P91" s="90">
        <v>0</v>
      </c>
      <c r="Q91" s="28">
        <v>0</v>
      </c>
      <c r="R91" s="74">
        <v>0</v>
      </c>
      <c r="S91" s="615">
        <v>9</v>
      </c>
      <c r="Z91" s="651" t="s">
        <v>463</v>
      </c>
      <c r="AA91" s="71" t="s">
        <v>212</v>
      </c>
      <c r="AB91" s="87" t="s">
        <v>496</v>
      </c>
      <c r="AC91" s="88">
        <f>IFERROR((DET_P222[[#This Row],[R]]*9)/DET_P222[[#This Row],[IP]],0)</f>
        <v>2.6756756756756759</v>
      </c>
      <c r="AD91" s="28">
        <v>1</v>
      </c>
      <c r="AE91" s="74">
        <v>1</v>
      </c>
      <c r="AF91" s="28">
        <v>25</v>
      </c>
      <c r="AG91" s="584">
        <v>37</v>
      </c>
      <c r="AH91" s="28">
        <v>31</v>
      </c>
      <c r="AI91" s="28">
        <v>11</v>
      </c>
      <c r="AJ91" s="28">
        <v>11</v>
      </c>
      <c r="AK91" s="28">
        <v>34</v>
      </c>
      <c r="AL91" s="28">
        <v>1</v>
      </c>
      <c r="AM91" s="89">
        <f>IFERROR((DET_P222[[#This Row],[BB]]+DET_P222[[#This Row],[H]])/DET_P222[[#This Row],[IP]],0)</f>
        <v>1.1351351351351351</v>
      </c>
      <c r="AN91" s="28">
        <v>0</v>
      </c>
      <c r="AO91" s="90">
        <v>0</v>
      </c>
      <c r="AP91" s="28">
        <v>0</v>
      </c>
      <c r="AQ91" s="74">
        <v>0</v>
      </c>
      <c r="AR91" s="615">
        <v>9</v>
      </c>
      <c r="AY91" s="651" t="s">
        <v>463</v>
      </c>
      <c r="AZ91" s="71" t="s">
        <v>212</v>
      </c>
      <c r="BA91" s="74" t="s">
        <v>496</v>
      </c>
      <c r="BB91" s="88">
        <f>IFERROR((DET_P196[[#This Row],[R]]*9)/DET_P196[[#This Row],[IP]],0)</f>
        <v>5.4722334819618963</v>
      </c>
      <c r="BC91" s="28">
        <v>2</v>
      </c>
      <c r="BD91" s="74">
        <v>3</v>
      </c>
      <c r="BE91" s="28">
        <v>21</v>
      </c>
      <c r="BF91" s="584">
        <v>24.67</v>
      </c>
      <c r="BG91" s="28">
        <v>27</v>
      </c>
      <c r="BH91" s="28">
        <v>15</v>
      </c>
      <c r="BI91" s="28">
        <v>15</v>
      </c>
      <c r="BJ91" s="28">
        <v>12</v>
      </c>
      <c r="BK91" s="28">
        <v>0</v>
      </c>
      <c r="BL91" s="89">
        <f>IFERROR((DET_P196[[#This Row],[BB]]+DET_P196[[#This Row],[H]])/DET_P196[[#This Row],[IP]],0)</f>
        <v>1.7024726388325901</v>
      </c>
      <c r="BM91" s="28">
        <v>0</v>
      </c>
      <c r="BN91" s="90">
        <v>0</v>
      </c>
      <c r="BO91" s="28">
        <v>0</v>
      </c>
      <c r="BP91" s="74">
        <v>0</v>
      </c>
      <c r="BQ91" s="615">
        <v>9</v>
      </c>
    </row>
    <row r="92" spans="1:73" ht="17" thickBot="1">
      <c r="A92" s="651" t="s">
        <v>463</v>
      </c>
      <c r="B92" s="71" t="s">
        <v>212</v>
      </c>
      <c r="C92" s="87" t="s">
        <v>495</v>
      </c>
      <c r="D92" s="88">
        <f>IFERROR((DET_P[[#This Row],[R]]*9)/DET_P[[#This Row],[IP]],0)</f>
        <v>3.96</v>
      </c>
      <c r="E92" s="28">
        <v>2</v>
      </c>
      <c r="F92" s="74">
        <v>5</v>
      </c>
      <c r="G92" s="28">
        <v>22</v>
      </c>
      <c r="H92" s="584">
        <v>25</v>
      </c>
      <c r="I92" s="28">
        <v>28</v>
      </c>
      <c r="J92" s="28">
        <v>11</v>
      </c>
      <c r="K92" s="28">
        <v>5</v>
      </c>
      <c r="L92" s="28">
        <v>12</v>
      </c>
      <c r="M92" s="28">
        <v>7</v>
      </c>
      <c r="N92" s="89">
        <f>IFERROR((DET_P[[#This Row],[BB]]+DET_P[[#This Row],[H]])/DET_P[[#This Row],[IP]],0)</f>
        <v>1.32</v>
      </c>
      <c r="O92" s="28">
        <v>0</v>
      </c>
      <c r="P92" s="90">
        <v>0</v>
      </c>
      <c r="Q92" s="28">
        <v>0</v>
      </c>
      <c r="R92" s="74">
        <v>0</v>
      </c>
      <c r="S92" s="615">
        <v>10</v>
      </c>
      <c r="Z92" s="651" t="s">
        <v>463</v>
      </c>
      <c r="AA92" s="71" t="s">
        <v>215</v>
      </c>
      <c r="AB92" s="87" t="s">
        <v>497</v>
      </c>
      <c r="AC92" s="88">
        <f>IFERROR((DET_P222[[#This Row],[R]]*9)/DET_P222[[#This Row],[IP]],0)</f>
        <v>8.4144916244643539</v>
      </c>
      <c r="AD92" s="28">
        <v>1</v>
      </c>
      <c r="AE92" s="74">
        <v>2</v>
      </c>
      <c r="AF92" s="28">
        <v>22</v>
      </c>
      <c r="AG92" s="584">
        <v>25.67</v>
      </c>
      <c r="AH92" s="28">
        <v>36</v>
      </c>
      <c r="AI92" s="28">
        <v>24</v>
      </c>
      <c r="AJ92" s="28">
        <v>24</v>
      </c>
      <c r="AK92" s="28">
        <v>38</v>
      </c>
      <c r="AL92" s="28">
        <v>4</v>
      </c>
      <c r="AM92" s="89">
        <f>IFERROR((DET_P222[[#This Row],[BB]]+DET_P222[[#This Row],[H]])/DET_P222[[#This Row],[IP]],0)</f>
        <v>2.337358784573432</v>
      </c>
      <c r="AN92" s="28">
        <v>0</v>
      </c>
      <c r="AO92" s="90">
        <v>0</v>
      </c>
      <c r="AP92" s="28">
        <v>0</v>
      </c>
      <c r="AQ92" s="74">
        <v>0</v>
      </c>
      <c r="AR92" s="615">
        <v>10</v>
      </c>
      <c r="AY92" s="651" t="s">
        <v>463</v>
      </c>
      <c r="AZ92" s="71" t="s">
        <v>212</v>
      </c>
      <c r="BA92" s="74" t="s">
        <v>498</v>
      </c>
      <c r="BB92" s="88">
        <f>IFERROR((DET_P196[[#This Row],[R]]*9)/DET_P196[[#This Row],[IP]],0)</f>
        <v>6.4116985376827893</v>
      </c>
      <c r="BC92" s="28">
        <v>0</v>
      </c>
      <c r="BD92" s="74">
        <v>4</v>
      </c>
      <c r="BE92" s="28">
        <v>24</v>
      </c>
      <c r="BF92" s="584">
        <v>26.67</v>
      </c>
      <c r="BG92" s="28">
        <v>31</v>
      </c>
      <c r="BH92" s="28">
        <v>19</v>
      </c>
      <c r="BI92" s="28">
        <v>20</v>
      </c>
      <c r="BJ92" s="28">
        <v>29</v>
      </c>
      <c r="BK92" s="28">
        <v>6</v>
      </c>
      <c r="BL92" s="89">
        <f>IFERROR((DET_P196[[#This Row],[BB]]+DET_P196[[#This Row],[H]])/DET_P196[[#This Row],[IP]],0)</f>
        <v>1.9122609673790776</v>
      </c>
      <c r="BM92" s="28">
        <v>0</v>
      </c>
      <c r="BN92" s="90">
        <v>0</v>
      </c>
      <c r="BO92" s="28">
        <v>0</v>
      </c>
      <c r="BP92" s="74">
        <v>0</v>
      </c>
      <c r="BQ92" s="615">
        <v>10</v>
      </c>
    </row>
    <row r="93" spans="1:73" ht="17" thickBot="1">
      <c r="A93" s="652"/>
      <c r="B93" s="653"/>
      <c r="C93" s="653" t="s">
        <v>195</v>
      </c>
      <c r="D93" s="665">
        <f>(J93*9)/H93</f>
        <v>4.4832507765930654</v>
      </c>
      <c r="E93" s="658">
        <f>SUBTOTAL(109,DET_P[W])</f>
        <v>21</v>
      </c>
      <c r="F93" s="660">
        <f>SUBTOTAL(109,DET_P[L])</f>
        <v>19</v>
      </c>
      <c r="G93" s="658"/>
      <c r="H93" s="666">
        <f>SUBTOTAL(109,DET_P[IP])</f>
        <v>357.33</v>
      </c>
      <c r="I93" s="658">
        <f>SUBTOTAL(109,DET_P[H])</f>
        <v>382</v>
      </c>
      <c r="J93" s="658">
        <f>SUBTOTAL(109,DET_P[R])</f>
        <v>178</v>
      </c>
      <c r="K93" s="659">
        <f>SUBTOTAL(109,DET_P[BB])</f>
        <v>106</v>
      </c>
      <c r="L93" s="658">
        <f>SUBTOTAL(109,DET_P[K])</f>
        <v>290</v>
      </c>
      <c r="M93" s="658">
        <f>SUBTOTAL(109,DET_P[SV])</f>
        <v>8</v>
      </c>
      <c r="N93" s="667">
        <f>(I93+K93)/H93</f>
        <v>1.3656843813841548</v>
      </c>
      <c r="O93" s="690">
        <f>SUBTOTAL(109,DET_P[QS])</f>
        <v>22</v>
      </c>
      <c r="P93" s="669">
        <f>SUBTOTAL(109,DET_P[UQ])</f>
        <v>11</v>
      </c>
      <c r="Q93" s="670">
        <f>SUBTOTAL(109,DET_P[CG])</f>
        <v>2</v>
      </c>
      <c r="R93" s="671">
        <f>SUBTOTAL(109,DET_P[SH])</f>
        <v>1</v>
      </c>
      <c r="S93" s="662"/>
      <c r="Z93" s="652"/>
      <c r="AA93" s="653"/>
      <c r="AB93" s="653" t="s">
        <v>195</v>
      </c>
      <c r="AC93" s="665">
        <f>(AI93*9)/AG93</f>
        <v>5.8166116332232676</v>
      </c>
      <c r="AD93" s="658">
        <f>SUBTOTAL(109,DET_P222[W])</f>
        <v>14</v>
      </c>
      <c r="AE93" s="660">
        <f>SUBTOTAL(109,DET_P222[L])</f>
        <v>26</v>
      </c>
      <c r="AF93" s="658"/>
      <c r="AG93" s="666">
        <f>SUBTOTAL(109,DET_P222[IP])</f>
        <v>354.32999999999993</v>
      </c>
      <c r="AH93" s="658">
        <f>SUBTOTAL(109,DET_P222[H])</f>
        <v>410</v>
      </c>
      <c r="AI93" s="658">
        <f>SUBTOTAL(109,DET_P222[R])</f>
        <v>229</v>
      </c>
      <c r="AJ93" s="658">
        <f>SUBTOTAL(109,DET_P222[BB])</f>
        <v>165</v>
      </c>
      <c r="AK93" s="658">
        <f>SUBTOTAL(109,DET_P222[K])</f>
        <v>326</v>
      </c>
      <c r="AL93" s="658">
        <f>SUBTOTAL(109,DET_P222[SV])</f>
        <v>5</v>
      </c>
      <c r="AM93" s="667">
        <f>(AJ93+AH93)/AG93</f>
        <v>1.6227810233398248</v>
      </c>
      <c r="AN93" s="690">
        <f>SUBTOTAL(109,DET_P222[QS])</f>
        <v>11</v>
      </c>
      <c r="AO93" s="669">
        <f>SUBTOTAL(109,DET_P222[UQ])</f>
        <v>2</v>
      </c>
      <c r="AP93" s="670">
        <f>SUBTOTAL(109,DET_P222[CG])</f>
        <v>0</v>
      </c>
      <c r="AQ93" s="671">
        <f>SUBTOTAL(109,DET_P222[SH])</f>
        <v>0</v>
      </c>
      <c r="AR93" s="662"/>
      <c r="AY93" s="652"/>
      <c r="AZ93" s="653"/>
      <c r="BA93" s="653" t="s">
        <v>195</v>
      </c>
      <c r="BB93" s="665">
        <f>IFERROR((BH93*9)/BF93,0)</f>
        <v>6.2091780473322586</v>
      </c>
      <c r="BC93" s="658">
        <f t="shared" ref="BC93:BK93" si="9">SUBTOTAL(109,BC83:BC92)</f>
        <v>12</v>
      </c>
      <c r="BD93" s="660">
        <f t="shared" si="9"/>
        <v>28</v>
      </c>
      <c r="BE93" s="658"/>
      <c r="BF93" s="666">
        <f t="shared" si="9"/>
        <v>353.67</v>
      </c>
      <c r="BG93" s="658">
        <f t="shared" si="9"/>
        <v>432</v>
      </c>
      <c r="BH93" s="658">
        <f t="shared" si="9"/>
        <v>244</v>
      </c>
      <c r="BI93" s="658">
        <f t="shared" si="9"/>
        <v>155</v>
      </c>
      <c r="BJ93" s="658">
        <f t="shared" si="9"/>
        <v>337</v>
      </c>
      <c r="BK93" s="658">
        <f t="shared" si="9"/>
        <v>6</v>
      </c>
      <c r="BL93" s="667">
        <f>(BI93+BG93)/BF93</f>
        <v>1.6597393050018379</v>
      </c>
      <c r="BM93" s="690">
        <f>SUBTOTAL(109,DET_P196[QS])</f>
        <v>17</v>
      </c>
      <c r="BN93" s="669">
        <f>SUBTOTAL(109,DET_P196[UQ])</f>
        <v>7</v>
      </c>
      <c r="BO93" s="670">
        <f>SUM(BO83:BO92)</f>
        <v>1</v>
      </c>
      <c r="BP93" s="671">
        <f>SUM(BP83:BP92)</f>
        <v>1</v>
      </c>
      <c r="BQ93" s="662"/>
    </row>
    <row r="94" spans="1:73" ht="17" thickBot="1"/>
    <row r="95" spans="1:73" ht="24" thickBot="1">
      <c r="A95" s="1045" t="s">
        <v>499</v>
      </c>
      <c r="B95" s="1046"/>
      <c r="C95" s="1046"/>
      <c r="D95" s="1046"/>
      <c r="E95" s="1046"/>
      <c r="F95" s="1046"/>
      <c r="G95" s="1046"/>
      <c r="H95" s="1046"/>
      <c r="I95" s="1046"/>
      <c r="J95" s="1046"/>
      <c r="K95" s="1046"/>
      <c r="L95" s="1046"/>
      <c r="M95" s="1046"/>
      <c r="N95" s="1046"/>
      <c r="O95" s="1046"/>
      <c r="P95" s="1046"/>
      <c r="Q95" s="1046"/>
      <c r="R95" s="1046"/>
      <c r="S95" s="1046"/>
      <c r="T95" s="1046"/>
      <c r="U95" s="1046"/>
      <c r="V95" s="1046"/>
      <c r="W95" s="1047"/>
      <c r="Z95" s="1045" t="s">
        <v>500</v>
      </c>
      <c r="AA95" s="1046"/>
      <c r="AB95" s="1046"/>
      <c r="AC95" s="1046"/>
      <c r="AD95" s="1046"/>
      <c r="AE95" s="1046"/>
      <c r="AF95" s="1046"/>
      <c r="AG95" s="1046"/>
      <c r="AH95" s="1046"/>
      <c r="AI95" s="1046"/>
      <c r="AJ95" s="1046"/>
      <c r="AK95" s="1046"/>
      <c r="AL95" s="1046"/>
      <c r="AM95" s="1046"/>
      <c r="AN95" s="1046"/>
      <c r="AO95" s="1046"/>
      <c r="AP95" s="1046"/>
      <c r="AQ95" s="1046"/>
      <c r="AR95" s="1046"/>
      <c r="AS95" s="1046"/>
      <c r="AT95" s="1046"/>
      <c r="AU95" s="1046"/>
      <c r="AV95" s="1047"/>
      <c r="AY95" s="1045" t="s">
        <v>501</v>
      </c>
      <c r="AZ95" s="1046"/>
      <c r="BA95" s="1046"/>
      <c r="BB95" s="1046"/>
      <c r="BC95" s="1046"/>
      <c r="BD95" s="1046"/>
      <c r="BE95" s="1046"/>
      <c r="BF95" s="1046"/>
      <c r="BG95" s="1046"/>
      <c r="BH95" s="1046"/>
      <c r="BI95" s="1046"/>
      <c r="BJ95" s="1046"/>
      <c r="BK95" s="1046"/>
      <c r="BL95" s="1046"/>
      <c r="BM95" s="1046"/>
      <c r="BN95" s="1046"/>
      <c r="BO95" s="1046"/>
      <c r="BP95" s="1046"/>
      <c r="BQ95" s="1046"/>
      <c r="BR95" s="1046"/>
      <c r="BS95" s="1046"/>
      <c r="BT95" s="1046"/>
      <c r="BU95" s="1047"/>
    </row>
    <row r="96" spans="1:73" s="64" customFormat="1" ht="14" thickBot="1">
      <c r="A96" s="605" t="s">
        <v>143</v>
      </c>
      <c r="B96" s="606" t="s">
        <v>144</v>
      </c>
      <c r="C96" s="606" t="s">
        <v>145</v>
      </c>
      <c r="D96" s="606" t="s">
        <v>146</v>
      </c>
      <c r="E96" s="606" t="s">
        <v>147</v>
      </c>
      <c r="F96" s="606" t="s">
        <v>148</v>
      </c>
      <c r="G96" s="606" t="s">
        <v>149</v>
      </c>
      <c r="H96" s="606" t="s">
        <v>150</v>
      </c>
      <c r="I96" s="606" t="s">
        <v>151</v>
      </c>
      <c r="J96" s="606" t="s">
        <v>152</v>
      </c>
      <c r="K96" s="606" t="s">
        <v>153</v>
      </c>
      <c r="L96" s="606" t="s">
        <v>154</v>
      </c>
      <c r="M96" s="606" t="s">
        <v>155</v>
      </c>
      <c r="N96" s="606" t="s">
        <v>156</v>
      </c>
      <c r="O96" s="606" t="s">
        <v>157</v>
      </c>
      <c r="P96" s="606" t="s">
        <v>158</v>
      </c>
      <c r="Q96" s="606" t="s">
        <v>159</v>
      </c>
      <c r="R96" s="606" t="s">
        <v>160</v>
      </c>
      <c r="S96" s="606" t="s">
        <v>16</v>
      </c>
      <c r="T96" s="606" t="s">
        <v>161</v>
      </c>
      <c r="U96" s="606" t="s">
        <v>162</v>
      </c>
      <c r="V96" s="606" t="s">
        <v>163</v>
      </c>
      <c r="W96" s="607" t="s">
        <v>164</v>
      </c>
      <c r="Z96" s="605" t="s">
        <v>143</v>
      </c>
      <c r="AA96" s="606" t="s">
        <v>144</v>
      </c>
      <c r="AB96" s="606" t="s">
        <v>145</v>
      </c>
      <c r="AC96" s="606" t="s">
        <v>146</v>
      </c>
      <c r="AD96" s="606" t="s">
        <v>147</v>
      </c>
      <c r="AE96" s="606" t="s">
        <v>148</v>
      </c>
      <c r="AF96" s="606" t="s">
        <v>149</v>
      </c>
      <c r="AG96" s="606" t="s">
        <v>150</v>
      </c>
      <c r="AH96" s="606" t="s">
        <v>151</v>
      </c>
      <c r="AI96" s="606" t="s">
        <v>152</v>
      </c>
      <c r="AJ96" s="606" t="s">
        <v>153</v>
      </c>
      <c r="AK96" s="606" t="s">
        <v>154</v>
      </c>
      <c r="AL96" s="606" t="s">
        <v>155</v>
      </c>
      <c r="AM96" s="606" t="s">
        <v>156</v>
      </c>
      <c r="AN96" s="606" t="s">
        <v>157</v>
      </c>
      <c r="AO96" s="606" t="s">
        <v>158</v>
      </c>
      <c r="AP96" s="606" t="s">
        <v>159</v>
      </c>
      <c r="AQ96" s="606" t="s">
        <v>160</v>
      </c>
      <c r="AR96" s="606" t="s">
        <v>16</v>
      </c>
      <c r="AS96" s="606" t="s">
        <v>161</v>
      </c>
      <c r="AT96" s="606" t="s">
        <v>162</v>
      </c>
      <c r="AU96" s="606" t="s">
        <v>163</v>
      </c>
      <c r="AV96" s="607" t="s">
        <v>164</v>
      </c>
      <c r="AY96" s="605" t="s">
        <v>143</v>
      </c>
      <c r="AZ96" s="606" t="s">
        <v>144</v>
      </c>
      <c r="BA96" s="606" t="s">
        <v>145</v>
      </c>
      <c r="BB96" s="606" t="s">
        <v>146</v>
      </c>
      <c r="BC96" s="606" t="s">
        <v>147</v>
      </c>
      <c r="BD96" s="606" t="s">
        <v>148</v>
      </c>
      <c r="BE96" s="606" t="s">
        <v>149</v>
      </c>
      <c r="BF96" s="606" t="s">
        <v>150</v>
      </c>
      <c r="BG96" s="606" t="s">
        <v>151</v>
      </c>
      <c r="BH96" s="606" t="s">
        <v>152</v>
      </c>
      <c r="BI96" s="606" t="s">
        <v>153</v>
      </c>
      <c r="BJ96" s="606" t="s">
        <v>154</v>
      </c>
      <c r="BK96" s="606" t="s">
        <v>155</v>
      </c>
      <c r="BL96" s="606" t="s">
        <v>156</v>
      </c>
      <c r="BM96" s="606" t="s">
        <v>157</v>
      </c>
      <c r="BN96" s="606" t="s">
        <v>158</v>
      </c>
      <c r="BO96" s="606" t="s">
        <v>159</v>
      </c>
      <c r="BP96" s="606" t="s">
        <v>160</v>
      </c>
      <c r="BQ96" s="606" t="s">
        <v>16</v>
      </c>
      <c r="BR96" s="606" t="s">
        <v>161</v>
      </c>
      <c r="BS96" s="606" t="s">
        <v>162</v>
      </c>
      <c r="BT96" s="606" t="s">
        <v>163</v>
      </c>
      <c r="BU96" s="607" t="s">
        <v>164</v>
      </c>
    </row>
    <row r="97" spans="1:73">
      <c r="A97" s="650" t="s">
        <v>502</v>
      </c>
      <c r="B97" s="597" t="s">
        <v>179</v>
      </c>
      <c r="C97" s="597" t="s">
        <v>504</v>
      </c>
      <c r="D97" s="598">
        <f>IFERROR(KCR_H[[#This Row],[H]]/KCR_H[[#This Row],[AB]],0)</f>
        <v>0.2</v>
      </c>
      <c r="E97" s="598">
        <f>IFERROR((KCR_H[[#This Row],[H]]+KCR_H[[#This Row],[BB]])/(KCR_H[[#This Row],[BB]]+KCR_H[[#This Row],[AB]]),0)</f>
        <v>0.2392638036809816</v>
      </c>
      <c r="F97" s="599">
        <f>IFERROR(((KCR_H[[#This Row],[H]]-KCR_H[[#This Row],[2B]]-KCR_H[[#This Row],[3B]]-KCR_H[[#This Row],[HR]])+(KCR_H[[#This Row],[2B]]*2)+(KCR_H[[#This Row],[3B]]*3)+(KCR_H[[#This Row],[HR]]*4))/KCR_H[[#This Row],[AB]],0)</f>
        <v>0.36129032258064514</v>
      </c>
      <c r="G97" s="600">
        <v>40</v>
      </c>
      <c r="H97" s="600">
        <v>155</v>
      </c>
      <c r="I97" s="600">
        <v>18</v>
      </c>
      <c r="J97" s="600">
        <v>31</v>
      </c>
      <c r="K97" s="600">
        <v>13</v>
      </c>
      <c r="L97" s="600">
        <v>0</v>
      </c>
      <c r="M97" s="600">
        <v>4</v>
      </c>
      <c r="N97" s="600">
        <v>19</v>
      </c>
      <c r="O97" s="600">
        <v>8</v>
      </c>
      <c r="P97" s="604">
        <v>45</v>
      </c>
      <c r="Q97" s="600">
        <v>0</v>
      </c>
      <c r="R97" s="600">
        <v>2</v>
      </c>
      <c r="S97" s="604">
        <v>5</v>
      </c>
      <c r="T97" s="600">
        <f>IFERROR((KCR_H[[#This Row],[H]]-KCR_H[[#This Row],[2B]]-KCR_H[[#This Row],[3B]]-KCR_H[[#This Row],[HR]])+(KCR_H[[#This Row],[2B]]*2)+(KCR_H[[#This Row],[3B]]*3)+(KCR_H[[#This Row],[HR]]*4),0)</f>
        <v>56</v>
      </c>
      <c r="U97" s="598">
        <f>KCR_H[[#This Row],[OBP]]+KCR_H[[#This Row],[SLG]]</f>
        <v>0.60055412626162674</v>
      </c>
      <c r="V97" s="604">
        <v>2</v>
      </c>
      <c r="W97" s="614">
        <v>1</v>
      </c>
      <c r="Z97" s="650" t="s">
        <v>502</v>
      </c>
      <c r="AA97" s="596" t="s">
        <v>179</v>
      </c>
      <c r="AB97" s="597" t="s">
        <v>504</v>
      </c>
      <c r="AC97" s="598">
        <f>IFERROR(KCR_H227[[#This Row],[H]]/KCR_H227[[#This Row],[AB]],0)</f>
        <v>0.26506024096385544</v>
      </c>
      <c r="AD97" s="598">
        <f>IFERROR((KCR_H227[[#This Row],[H]]+KCR_H227[[#This Row],[BB]])/(KCR_H227[[#This Row],[BB]]+KCR_H227[[#This Row],[AB]]),0)</f>
        <v>0.2988505747126437</v>
      </c>
      <c r="AE97" s="599">
        <f>IFERROR(((KCR_H227[[#This Row],[H]]-KCR_H227[[#This Row],[2B]]-KCR_H227[[#This Row],[3B]]-KCR_H227[[#This Row],[HR]])+(KCR_H227[[#This Row],[2B]]*2)+(KCR_H227[[#This Row],[3B]]*3)+(KCR_H227[[#This Row],[HR]]*4))/KCR_H227[[#This Row],[AB]],0)</f>
        <v>0.56024096385542166</v>
      </c>
      <c r="AF97" s="600">
        <v>39</v>
      </c>
      <c r="AG97" s="600">
        <v>166</v>
      </c>
      <c r="AH97" s="600">
        <v>26</v>
      </c>
      <c r="AI97" s="600">
        <v>44</v>
      </c>
      <c r="AJ97" s="600">
        <v>7</v>
      </c>
      <c r="AK97" s="600">
        <v>0</v>
      </c>
      <c r="AL97" s="600">
        <v>14</v>
      </c>
      <c r="AM97" s="708">
        <v>45</v>
      </c>
      <c r="AN97" s="600">
        <v>8</v>
      </c>
      <c r="AO97" s="604">
        <v>37</v>
      </c>
      <c r="AP97" s="600">
        <v>0</v>
      </c>
      <c r="AQ97" s="600">
        <v>0</v>
      </c>
      <c r="AR97" s="604">
        <v>14</v>
      </c>
      <c r="AS97" s="600">
        <f>IFERROR((KCR_H227[[#This Row],[H]]-KCR_H227[[#This Row],[2B]]-KCR_H227[[#This Row],[3B]]-KCR_H227[[#This Row],[HR]])+(KCR_H227[[#This Row],[2B]]*2)+(KCR_H227[[#This Row],[3B]]*3)+(KCR_H227[[#This Row],[HR]]*4),0)</f>
        <v>93</v>
      </c>
      <c r="AT97" s="598">
        <f>KCR_H227[[#This Row],[OBP]]+KCR_H227[[#This Row],[SLG]]</f>
        <v>0.8590915385680653</v>
      </c>
      <c r="AU97" s="604">
        <v>5</v>
      </c>
      <c r="AV97" s="614">
        <v>1</v>
      </c>
      <c r="AY97" s="650" t="s">
        <v>502</v>
      </c>
      <c r="AZ97" s="604" t="s">
        <v>179</v>
      </c>
      <c r="BA97" s="597" t="s">
        <v>504</v>
      </c>
      <c r="BB97" s="598">
        <f>IFERROR(KCR_H201[[#This Row],[H]]/KCR_H201[[#This Row],[AB]],0)</f>
        <v>0.28662420382165604</v>
      </c>
      <c r="BC97" s="598">
        <f>IFERROR((KCR_H201[[#This Row],[BB]]+KCR_H201[[#This Row],[H]])/(KCR_H201[[#This Row],[AB]]+KCR_H201[[#This Row],[BB]]),0)</f>
        <v>0.3253012048192771</v>
      </c>
      <c r="BD97" s="599">
        <f>IFERROR(((KCR_H201[[#This Row],[H]]-KCR_H201[[#This Row],[2B]]-KCR_H201[[#This Row],[3B]]-KCR_H201[[#This Row],[HR]])+(KCR_H201[[#This Row],[2B]]*2)+(KCR_H201[[#This Row],[3B]]*3)+(KCR_H201[[#This Row],[HR]]*4))/KCR_H201[[#This Row],[AB]],0)</f>
        <v>0.57324840764331209</v>
      </c>
      <c r="BE97" s="600">
        <v>40</v>
      </c>
      <c r="BF97" s="600">
        <v>157</v>
      </c>
      <c r="BG97" s="600">
        <v>21</v>
      </c>
      <c r="BH97" s="600">
        <v>45</v>
      </c>
      <c r="BI97" s="600">
        <v>9</v>
      </c>
      <c r="BJ97" s="600">
        <v>0</v>
      </c>
      <c r="BK97" s="600">
        <v>12</v>
      </c>
      <c r="BL97" s="600">
        <v>29</v>
      </c>
      <c r="BM97" s="600">
        <v>9</v>
      </c>
      <c r="BN97" s="604">
        <v>44</v>
      </c>
      <c r="BO97" s="600">
        <v>0</v>
      </c>
      <c r="BP97" s="600">
        <v>0</v>
      </c>
      <c r="BQ97" s="604">
        <v>7</v>
      </c>
      <c r="BR97" s="600">
        <f t="shared" ref="BR97:BR110" si="10">IFERROR((BH97-BI97-BJ97-BK97)+(BI97*2)+(BJ97*3)+(BK97*4),0)</f>
        <v>90</v>
      </c>
      <c r="BS97" s="598">
        <f>IFERROR(KCR_H201[[#This Row],[SLG]]+KCR_H201[[#This Row],[OBP]],0)</f>
        <v>0.89854961246258913</v>
      </c>
      <c r="BT97" s="604">
        <v>1</v>
      </c>
      <c r="BU97" s="779">
        <v>1</v>
      </c>
    </row>
    <row r="98" spans="1:73">
      <c r="A98" s="651" t="s">
        <v>502</v>
      </c>
      <c r="B98" s="71" t="s">
        <v>154</v>
      </c>
      <c r="C98" s="71" t="s">
        <v>506</v>
      </c>
      <c r="D98" s="72">
        <f>IFERROR(KCR_H[[#This Row],[H]]/KCR_H[[#This Row],[AB]],0)</f>
        <v>0.25477707006369427</v>
      </c>
      <c r="E98" s="72">
        <f>IFERROR((KCR_H[[#This Row],[H]]+KCR_H[[#This Row],[BB]])/(KCR_H[[#This Row],[BB]]+KCR_H[[#This Row],[AB]]),0)</f>
        <v>0.33898305084745761</v>
      </c>
      <c r="F98" s="73">
        <f>IFERROR(((KCR_H[[#This Row],[H]]-KCR_H[[#This Row],[2B]]-KCR_H[[#This Row],[3B]]-KCR_H[[#This Row],[HR]])+(KCR_H[[#This Row],[2B]]*2)+(KCR_H[[#This Row],[3B]]*3)+(KCR_H[[#This Row],[HR]]*4))/KCR_H[[#This Row],[AB]],0)</f>
        <v>0.39490445859872614</v>
      </c>
      <c r="G98" s="28">
        <v>40</v>
      </c>
      <c r="H98" s="28">
        <v>157</v>
      </c>
      <c r="I98" s="28">
        <v>23</v>
      </c>
      <c r="J98" s="28">
        <v>40</v>
      </c>
      <c r="K98" s="28">
        <v>7</v>
      </c>
      <c r="L98" s="28">
        <v>3</v>
      </c>
      <c r="M98" s="28">
        <v>3</v>
      </c>
      <c r="N98" s="28">
        <v>15</v>
      </c>
      <c r="O98" s="28">
        <v>20</v>
      </c>
      <c r="P98" s="74">
        <v>32</v>
      </c>
      <c r="Q98" s="28">
        <v>0</v>
      </c>
      <c r="R98" s="28">
        <v>2</v>
      </c>
      <c r="S98" s="74">
        <v>8</v>
      </c>
      <c r="T98" s="28">
        <f>IFERROR((KCR_H[[#This Row],[H]]-KCR_H[[#This Row],[2B]]-KCR_H[[#This Row],[3B]]-KCR_H[[#This Row],[HR]])+(KCR_H[[#This Row],[2B]]*2)+(KCR_H[[#This Row],[3B]]*3)+(KCR_H[[#This Row],[HR]]*4),0)</f>
        <v>62</v>
      </c>
      <c r="U98" s="72">
        <f>KCR_H[[#This Row],[OBP]]+KCR_H[[#This Row],[SLG]]</f>
        <v>0.73388750944618375</v>
      </c>
      <c r="V98" s="74">
        <v>1</v>
      </c>
      <c r="W98" s="615">
        <v>2</v>
      </c>
      <c r="Z98" s="651" t="s">
        <v>502</v>
      </c>
      <c r="AA98" s="71" t="s">
        <v>154</v>
      </c>
      <c r="AB98" s="71" t="s">
        <v>506</v>
      </c>
      <c r="AC98" s="72">
        <f>IFERROR(KCR_H227[[#This Row],[H]]/KCR_H227[[#This Row],[AB]],0)</f>
        <v>0.25</v>
      </c>
      <c r="AD98" s="72">
        <f>IFERROR((KCR_H227[[#This Row],[H]]+KCR_H227[[#This Row],[BB]])/(KCR_H227[[#This Row],[BB]]+KCR_H227[[#This Row],[AB]]),0)</f>
        <v>0.31521739130434784</v>
      </c>
      <c r="AE98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0.4107142857142857</v>
      </c>
      <c r="AF98" s="28">
        <v>40</v>
      </c>
      <c r="AG98" s="28">
        <v>168</v>
      </c>
      <c r="AH98" s="28">
        <v>25</v>
      </c>
      <c r="AI98" s="28">
        <v>42</v>
      </c>
      <c r="AJ98" s="28">
        <v>10</v>
      </c>
      <c r="AK98" s="28">
        <v>4</v>
      </c>
      <c r="AL98" s="28">
        <v>3</v>
      </c>
      <c r="AM98" s="28">
        <v>20</v>
      </c>
      <c r="AN98" s="28">
        <v>16</v>
      </c>
      <c r="AO98" s="74">
        <v>23</v>
      </c>
      <c r="AP98" s="28">
        <v>0</v>
      </c>
      <c r="AQ98" s="28">
        <v>2</v>
      </c>
      <c r="AR98" s="74">
        <v>11</v>
      </c>
      <c r="AS98" s="28">
        <f>IFERROR((KCR_H227[[#This Row],[H]]-KCR_H227[[#This Row],[2B]]-KCR_H227[[#This Row],[3B]]-KCR_H227[[#This Row],[HR]])+(KCR_H227[[#This Row],[2B]]*2)+(KCR_H227[[#This Row],[3B]]*3)+(KCR_H227[[#This Row],[HR]]*4),0)</f>
        <v>69</v>
      </c>
      <c r="AT98" s="72">
        <f>KCR_H227[[#This Row],[OBP]]+KCR_H227[[#This Row],[SLG]]</f>
        <v>0.72593167701863348</v>
      </c>
      <c r="AU98" s="74">
        <v>1</v>
      </c>
      <c r="AV98" s="615">
        <v>2</v>
      </c>
      <c r="AY98" s="651" t="s">
        <v>502</v>
      </c>
      <c r="AZ98" s="74" t="s">
        <v>154</v>
      </c>
      <c r="BA98" s="71" t="s">
        <v>506</v>
      </c>
      <c r="BB98" s="72">
        <f>IFERROR(KCR_H201[[#This Row],[H]]/KCR_H201[[#This Row],[AB]],0)</f>
        <v>0.3048780487804878</v>
      </c>
      <c r="BC98" s="72">
        <f>IFERROR((KCR_H201[[#This Row],[BB]]+KCR_H201[[#This Row],[H]])/(KCR_H201[[#This Row],[AB]]+KCR_H201[[#This Row],[BB]]),0)</f>
        <v>0.34857142857142859</v>
      </c>
      <c r="BD98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0.52439024390243905</v>
      </c>
      <c r="BE98" s="28">
        <v>40</v>
      </c>
      <c r="BF98" s="28">
        <v>164</v>
      </c>
      <c r="BG98" s="28">
        <v>22</v>
      </c>
      <c r="BH98" s="28">
        <v>50</v>
      </c>
      <c r="BI98" s="28">
        <v>8</v>
      </c>
      <c r="BJ98" s="28">
        <v>2</v>
      </c>
      <c r="BK98" s="28">
        <v>8</v>
      </c>
      <c r="BL98" s="28">
        <v>27</v>
      </c>
      <c r="BM98" s="28">
        <v>11</v>
      </c>
      <c r="BN98" s="74">
        <v>25</v>
      </c>
      <c r="BO98" s="28">
        <v>0</v>
      </c>
      <c r="BP98" s="28">
        <v>2</v>
      </c>
      <c r="BQ98" s="74">
        <v>7</v>
      </c>
      <c r="BR98" s="28">
        <f t="shared" si="10"/>
        <v>86</v>
      </c>
      <c r="BS98" s="72">
        <f>IFERROR(KCR_H201[[#This Row],[SLG]]+KCR_H201[[#This Row],[OBP]],0)</f>
        <v>0.87296167247386758</v>
      </c>
      <c r="BT98" s="74">
        <v>6</v>
      </c>
      <c r="BU98" s="780">
        <v>2</v>
      </c>
    </row>
    <row r="99" spans="1:73">
      <c r="A99" s="651" t="s">
        <v>502</v>
      </c>
      <c r="B99" s="345" t="s">
        <v>172</v>
      </c>
      <c r="C99" s="77" t="s">
        <v>503</v>
      </c>
      <c r="D99" s="130">
        <f>IFERROR(KCR_H[[#This Row],[H]]/KCR_H[[#This Row],[AB]],0)</f>
        <v>0.3081761006289308</v>
      </c>
      <c r="E99" s="72">
        <f>IFERROR((KCR_H[[#This Row],[H]]+KCR_H[[#This Row],[BB]])/(KCR_H[[#This Row],[BB]]+KCR_H[[#This Row],[AB]]),0)</f>
        <v>0.36781609195402298</v>
      </c>
      <c r="F99" s="73">
        <f>IFERROR(((KCR_H[[#This Row],[H]]-KCR_H[[#This Row],[2B]]-KCR_H[[#This Row],[3B]]-KCR_H[[#This Row],[HR]])+(KCR_H[[#This Row],[2B]]*2)+(KCR_H[[#This Row],[3B]]*3)+(KCR_H[[#This Row],[HR]]*4))/KCR_H[[#This Row],[AB]],0)</f>
        <v>0.58490566037735847</v>
      </c>
      <c r="G99" s="28">
        <v>40</v>
      </c>
      <c r="H99" s="28">
        <v>159</v>
      </c>
      <c r="I99" s="28">
        <v>23</v>
      </c>
      <c r="J99" s="28">
        <v>49</v>
      </c>
      <c r="K99" s="28">
        <v>14</v>
      </c>
      <c r="L99" s="28">
        <v>3</v>
      </c>
      <c r="M99" s="28">
        <v>8</v>
      </c>
      <c r="N99" s="28">
        <v>23</v>
      </c>
      <c r="O99" s="28">
        <v>15</v>
      </c>
      <c r="P99" s="74">
        <v>28</v>
      </c>
      <c r="Q99" s="28">
        <v>12</v>
      </c>
      <c r="R99" s="28">
        <v>0</v>
      </c>
      <c r="S99" s="74">
        <v>7</v>
      </c>
      <c r="T99" s="28">
        <f>IFERROR((KCR_H[[#This Row],[H]]-KCR_H[[#This Row],[2B]]-KCR_H[[#This Row],[3B]]-KCR_H[[#This Row],[HR]])+(KCR_H[[#This Row],[2B]]*2)+(KCR_H[[#This Row],[3B]]*3)+(KCR_H[[#This Row],[HR]]*4),0)</f>
        <v>93</v>
      </c>
      <c r="U99" s="72">
        <f>KCR_H[[#This Row],[OBP]]+KCR_H[[#This Row],[SLG]]</f>
        <v>0.95272175233138146</v>
      </c>
      <c r="V99" s="74">
        <v>6</v>
      </c>
      <c r="W99" s="615">
        <v>3</v>
      </c>
      <c r="Z99" s="651" t="s">
        <v>502</v>
      </c>
      <c r="AA99" s="71" t="s">
        <v>172</v>
      </c>
      <c r="AB99" s="71" t="s">
        <v>503</v>
      </c>
      <c r="AC99" s="72">
        <f>IFERROR(KCR_H227[[#This Row],[H]]/KCR_H227[[#This Row],[AB]],0)</f>
        <v>0.27380952380952384</v>
      </c>
      <c r="AD99" s="72">
        <f>IFERROR((KCR_H227[[#This Row],[H]]+KCR_H227[[#This Row],[BB]])/(KCR_H227[[#This Row],[BB]]+KCR_H227[[#This Row],[AB]]),0)</f>
        <v>0.32596685082872928</v>
      </c>
      <c r="AE99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0.50595238095238093</v>
      </c>
      <c r="AF99" s="28">
        <v>39</v>
      </c>
      <c r="AG99" s="28">
        <v>168</v>
      </c>
      <c r="AH99" s="28">
        <v>28</v>
      </c>
      <c r="AI99" s="28">
        <v>46</v>
      </c>
      <c r="AJ99" s="28">
        <v>11</v>
      </c>
      <c r="AK99" s="28">
        <v>2</v>
      </c>
      <c r="AL99" s="28">
        <v>8</v>
      </c>
      <c r="AM99" s="28">
        <v>25</v>
      </c>
      <c r="AN99" s="28">
        <v>13</v>
      </c>
      <c r="AO99" s="74">
        <v>41</v>
      </c>
      <c r="AP99" s="28">
        <v>9</v>
      </c>
      <c r="AQ99" s="28">
        <v>0</v>
      </c>
      <c r="AR99" s="74">
        <v>9</v>
      </c>
      <c r="AS99" s="28">
        <f>IFERROR((KCR_H227[[#This Row],[H]]-KCR_H227[[#This Row],[2B]]-KCR_H227[[#This Row],[3B]]-KCR_H227[[#This Row],[HR]])+(KCR_H227[[#This Row],[2B]]*2)+(KCR_H227[[#This Row],[3B]]*3)+(KCR_H227[[#This Row],[HR]]*4),0)</f>
        <v>85</v>
      </c>
      <c r="AT99" s="72">
        <f>KCR_H227[[#This Row],[OBP]]+KCR_H227[[#This Row],[SLG]]</f>
        <v>0.83191923178111016</v>
      </c>
      <c r="AU99" s="74">
        <v>2</v>
      </c>
      <c r="AV99" s="615">
        <v>3</v>
      </c>
      <c r="AY99" s="651" t="s">
        <v>502</v>
      </c>
      <c r="AZ99" s="74" t="s">
        <v>235</v>
      </c>
      <c r="BA99" s="345" t="s">
        <v>503</v>
      </c>
      <c r="BB99" s="72">
        <f>IFERROR(KCR_H201[[#This Row],[H]]/KCR_H201[[#This Row],[AB]],0)</f>
        <v>0.27586206896551724</v>
      </c>
      <c r="BC99" s="72">
        <f>IFERROR((KCR_H201[[#This Row],[BB]]+KCR_H201[[#This Row],[H]])/(KCR_H201[[#This Row],[AB]]+KCR_H201[[#This Row],[BB]]),0)</f>
        <v>0.32692307692307693</v>
      </c>
      <c r="BD99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0.52413793103448281</v>
      </c>
      <c r="BE99" s="28">
        <v>40</v>
      </c>
      <c r="BF99" s="28">
        <v>145</v>
      </c>
      <c r="BG99" s="28">
        <v>27</v>
      </c>
      <c r="BH99" s="28">
        <v>40</v>
      </c>
      <c r="BI99" s="28">
        <v>5</v>
      </c>
      <c r="BJ99" s="28">
        <v>2</v>
      </c>
      <c r="BK99" s="28">
        <v>9</v>
      </c>
      <c r="BL99" s="28">
        <v>28</v>
      </c>
      <c r="BM99" s="28">
        <v>11</v>
      </c>
      <c r="BN99" s="74">
        <v>44</v>
      </c>
      <c r="BO99" s="28">
        <v>4</v>
      </c>
      <c r="BP99" s="28">
        <v>1</v>
      </c>
      <c r="BQ99" s="74">
        <v>7</v>
      </c>
      <c r="BR99" s="28">
        <f t="shared" si="10"/>
        <v>76</v>
      </c>
      <c r="BS99" s="72">
        <f>IFERROR(KCR_H201[[#This Row],[SLG]]+KCR_H201[[#This Row],[OBP]],0)</f>
        <v>0.85106100795755979</v>
      </c>
      <c r="BT99" s="74">
        <v>5</v>
      </c>
      <c r="BU99" s="780">
        <v>3</v>
      </c>
    </row>
    <row r="100" spans="1:73">
      <c r="A100" s="651" t="s">
        <v>502</v>
      </c>
      <c r="B100" s="71" t="s">
        <v>153</v>
      </c>
      <c r="C100" s="77" t="s">
        <v>509</v>
      </c>
      <c r="D100" s="130">
        <f>IFERROR(KCR_H[[#This Row],[H]]/KCR_H[[#This Row],[AB]],0)</f>
        <v>0.21428571428571427</v>
      </c>
      <c r="E100" s="72">
        <f>IFERROR((KCR_H[[#This Row],[H]]+KCR_H[[#This Row],[BB]])/(KCR_H[[#This Row],[BB]]+KCR_H[[#This Row],[AB]]),0)</f>
        <v>0.28104575163398693</v>
      </c>
      <c r="F100" s="73">
        <f>IFERROR(((KCR_H[[#This Row],[H]]-KCR_H[[#This Row],[2B]]-KCR_H[[#This Row],[3B]]-KCR_H[[#This Row],[HR]])+(KCR_H[[#This Row],[2B]]*2)+(KCR_H[[#This Row],[3B]]*3)+(KCR_H[[#This Row],[HR]]*4))/KCR_H[[#This Row],[AB]],0)</f>
        <v>0.34285714285714286</v>
      </c>
      <c r="G100" s="28">
        <v>39</v>
      </c>
      <c r="H100" s="28">
        <v>140</v>
      </c>
      <c r="I100" s="28">
        <v>12</v>
      </c>
      <c r="J100" s="28">
        <v>30</v>
      </c>
      <c r="K100" s="28">
        <v>4</v>
      </c>
      <c r="L100" s="28">
        <v>1</v>
      </c>
      <c r="M100" s="28">
        <v>4</v>
      </c>
      <c r="N100" s="28">
        <v>13</v>
      </c>
      <c r="O100" s="28">
        <v>13</v>
      </c>
      <c r="P100" s="74">
        <v>28</v>
      </c>
      <c r="Q100" s="28">
        <v>4</v>
      </c>
      <c r="R100" s="28">
        <v>1</v>
      </c>
      <c r="S100" s="74">
        <v>5</v>
      </c>
      <c r="T100" s="28">
        <f>IFERROR((KCR_H[[#This Row],[H]]-KCR_H[[#This Row],[2B]]-KCR_H[[#This Row],[3B]]-KCR_H[[#This Row],[HR]])+(KCR_H[[#This Row],[2B]]*2)+(KCR_H[[#This Row],[3B]]*3)+(KCR_H[[#This Row],[HR]]*4),0)</f>
        <v>48</v>
      </c>
      <c r="U100" s="72">
        <f>KCR_H[[#This Row],[OBP]]+KCR_H[[#This Row],[SLG]]</f>
        <v>0.62390289449112979</v>
      </c>
      <c r="V100" s="74">
        <v>1</v>
      </c>
      <c r="W100" s="615">
        <v>4</v>
      </c>
      <c r="Z100" s="651" t="s">
        <v>502</v>
      </c>
      <c r="AA100" s="71" t="s">
        <v>153</v>
      </c>
      <c r="AB100" s="71" t="s">
        <v>509</v>
      </c>
      <c r="AC100" s="72">
        <f>IFERROR(KCR_H227[[#This Row],[H]]/KCR_H227[[#This Row],[AB]],0)</f>
        <v>0.24050632911392406</v>
      </c>
      <c r="AD100" s="72">
        <f>IFERROR((KCR_H227[[#This Row],[H]]+KCR_H227[[#This Row],[BB]])/(KCR_H227[[#This Row],[BB]]+KCR_H227[[#This Row],[AB]]),0)</f>
        <v>0.27272727272727271</v>
      </c>
      <c r="AE100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0.37341772151898733</v>
      </c>
      <c r="AF100" s="28">
        <v>38</v>
      </c>
      <c r="AG100" s="28">
        <v>158</v>
      </c>
      <c r="AH100" s="28">
        <v>20</v>
      </c>
      <c r="AI100" s="28">
        <v>38</v>
      </c>
      <c r="AJ100" s="28">
        <v>9</v>
      </c>
      <c r="AK100" s="28">
        <v>0</v>
      </c>
      <c r="AL100" s="28">
        <v>4</v>
      </c>
      <c r="AM100" s="28">
        <v>16</v>
      </c>
      <c r="AN100" s="28">
        <v>7</v>
      </c>
      <c r="AO100" s="74">
        <v>35</v>
      </c>
      <c r="AP100" s="28">
        <v>9</v>
      </c>
      <c r="AQ100" s="28">
        <v>3</v>
      </c>
      <c r="AR100" s="74">
        <v>5</v>
      </c>
      <c r="AS100" s="28">
        <f>IFERROR((KCR_H227[[#This Row],[H]]-KCR_H227[[#This Row],[2B]]-KCR_H227[[#This Row],[3B]]-KCR_H227[[#This Row],[HR]])+(KCR_H227[[#This Row],[2B]]*2)+(KCR_H227[[#This Row],[3B]]*3)+(KCR_H227[[#This Row],[HR]]*4),0)</f>
        <v>59</v>
      </c>
      <c r="AT100" s="72">
        <f>KCR_H227[[#This Row],[OBP]]+KCR_H227[[#This Row],[SLG]]</f>
        <v>0.64614499424626004</v>
      </c>
      <c r="AU100" s="74">
        <v>1</v>
      </c>
      <c r="AV100" s="615">
        <v>4</v>
      </c>
      <c r="AY100" s="651" t="s">
        <v>502</v>
      </c>
      <c r="AZ100" s="74" t="s">
        <v>153</v>
      </c>
      <c r="BA100" s="71" t="s">
        <v>509</v>
      </c>
      <c r="BB100" s="72">
        <f>IFERROR(KCR_H201[[#This Row],[H]]/KCR_H201[[#This Row],[AB]],0)</f>
        <v>0.29090909090909089</v>
      </c>
      <c r="BC100" s="72">
        <f>IFERROR((KCR_H201[[#This Row],[BB]]+KCR_H201[[#This Row],[H]])/(KCR_H201[[#This Row],[AB]]+KCR_H201[[#This Row],[BB]]),0)</f>
        <v>0.34269662921348315</v>
      </c>
      <c r="BD100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0.47272727272727272</v>
      </c>
      <c r="BE100" s="28">
        <v>39</v>
      </c>
      <c r="BF100" s="28">
        <v>165</v>
      </c>
      <c r="BG100" s="28">
        <v>25</v>
      </c>
      <c r="BH100" s="28">
        <v>48</v>
      </c>
      <c r="BI100" s="28">
        <v>8</v>
      </c>
      <c r="BJ100" s="28">
        <v>2</v>
      </c>
      <c r="BK100" s="28">
        <v>6</v>
      </c>
      <c r="BL100" s="28">
        <v>17</v>
      </c>
      <c r="BM100" s="28">
        <v>13</v>
      </c>
      <c r="BN100" s="74">
        <v>39</v>
      </c>
      <c r="BO100" s="28">
        <v>12</v>
      </c>
      <c r="BP100" s="28">
        <v>2</v>
      </c>
      <c r="BQ100" s="74">
        <v>10</v>
      </c>
      <c r="BR100" s="28">
        <f t="shared" si="10"/>
        <v>78</v>
      </c>
      <c r="BS100" s="72">
        <f>IFERROR(KCR_H201[[#This Row],[SLG]]+KCR_H201[[#This Row],[OBP]],0)</f>
        <v>0.81542390194075587</v>
      </c>
      <c r="BT100" s="74">
        <v>2</v>
      </c>
      <c r="BU100" s="780">
        <v>4</v>
      </c>
    </row>
    <row r="101" spans="1:73">
      <c r="A101" s="651" t="s">
        <v>502</v>
      </c>
      <c r="B101" s="71" t="s">
        <v>177</v>
      </c>
      <c r="C101" s="77" t="s">
        <v>511</v>
      </c>
      <c r="D101" s="130">
        <f>IFERROR(KCR_H[[#This Row],[H]]/KCR_H[[#This Row],[AB]],0)</f>
        <v>0.25694444444444442</v>
      </c>
      <c r="E101" s="72">
        <f>IFERROR((KCR_H[[#This Row],[H]]+KCR_H[[#This Row],[BB]])/(KCR_H[[#This Row],[BB]]+KCR_H[[#This Row],[AB]]),0)</f>
        <v>0.3141025641025641</v>
      </c>
      <c r="F101" s="73">
        <f>IFERROR(((KCR_H[[#This Row],[H]]-KCR_H[[#This Row],[2B]]-KCR_H[[#This Row],[3B]]-KCR_H[[#This Row],[HR]])+(KCR_H[[#This Row],[2B]]*2)+(KCR_H[[#This Row],[3B]]*3)+(KCR_H[[#This Row],[HR]]*4))/KCR_H[[#This Row],[AB]],0)</f>
        <v>0.34722222222222221</v>
      </c>
      <c r="G101" s="28">
        <v>40</v>
      </c>
      <c r="H101" s="28">
        <v>144</v>
      </c>
      <c r="I101" s="28">
        <v>15</v>
      </c>
      <c r="J101" s="28">
        <v>37</v>
      </c>
      <c r="K101" s="28">
        <v>10</v>
      </c>
      <c r="L101" s="28">
        <v>0</v>
      </c>
      <c r="M101" s="28">
        <v>1</v>
      </c>
      <c r="N101" s="28">
        <v>9</v>
      </c>
      <c r="O101" s="28">
        <v>12</v>
      </c>
      <c r="P101" s="74">
        <v>31</v>
      </c>
      <c r="Q101" s="28">
        <v>0</v>
      </c>
      <c r="R101" s="28">
        <v>4</v>
      </c>
      <c r="S101" s="74">
        <v>7</v>
      </c>
      <c r="T101" s="28">
        <f>IFERROR((KCR_H[[#This Row],[H]]-KCR_H[[#This Row],[2B]]-KCR_H[[#This Row],[3B]]-KCR_H[[#This Row],[HR]])+(KCR_H[[#This Row],[2B]]*2)+(KCR_H[[#This Row],[3B]]*3)+(KCR_H[[#This Row],[HR]]*4),0)</f>
        <v>50</v>
      </c>
      <c r="U101" s="72">
        <f>KCR_H[[#This Row],[OBP]]+KCR_H[[#This Row],[SLG]]</f>
        <v>0.66132478632478631</v>
      </c>
      <c r="V101" s="74">
        <v>0</v>
      </c>
      <c r="W101" s="615">
        <v>5</v>
      </c>
      <c r="Z101" s="651" t="s">
        <v>502</v>
      </c>
      <c r="AA101" s="71" t="s">
        <v>177</v>
      </c>
      <c r="AB101" s="77" t="s">
        <v>511</v>
      </c>
      <c r="AC101" s="130">
        <f>IFERROR(KCR_H227[[#This Row],[H]]/KCR_H227[[#This Row],[AB]],0)</f>
        <v>0.29545454545454547</v>
      </c>
      <c r="AD101" s="72">
        <f>IFERROR((KCR_H227[[#This Row],[H]]+KCR_H227[[#This Row],[BB]])/(KCR_H227[[#This Row],[BB]]+KCR_H227[[#This Row],[AB]]),0)</f>
        <v>0.35416666666666669</v>
      </c>
      <c r="AE101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0.37878787878787878</v>
      </c>
      <c r="AF101" s="28">
        <v>34</v>
      </c>
      <c r="AG101" s="28">
        <v>132</v>
      </c>
      <c r="AH101" s="28">
        <v>13</v>
      </c>
      <c r="AI101" s="28">
        <v>39</v>
      </c>
      <c r="AJ101" s="28">
        <v>8</v>
      </c>
      <c r="AK101" s="28">
        <v>0</v>
      </c>
      <c r="AL101" s="28">
        <v>1</v>
      </c>
      <c r="AM101" s="28">
        <v>11</v>
      </c>
      <c r="AN101" s="28">
        <v>12</v>
      </c>
      <c r="AO101" s="74">
        <v>23</v>
      </c>
      <c r="AP101" s="28">
        <v>0</v>
      </c>
      <c r="AQ101" s="28">
        <v>3</v>
      </c>
      <c r="AR101" s="74">
        <v>10</v>
      </c>
      <c r="AS101" s="28">
        <f>IFERROR((KCR_H227[[#This Row],[H]]-KCR_H227[[#This Row],[2B]]-KCR_H227[[#This Row],[3B]]-KCR_H227[[#This Row],[HR]])+(KCR_H227[[#This Row],[2B]]*2)+(KCR_H227[[#This Row],[3B]]*3)+(KCR_H227[[#This Row],[HR]]*4),0)</f>
        <v>50</v>
      </c>
      <c r="AT101" s="72">
        <f>KCR_H227[[#This Row],[OBP]]+KCR_H227[[#This Row],[SLG]]</f>
        <v>0.73295454545454541</v>
      </c>
      <c r="AU101" s="74">
        <v>0</v>
      </c>
      <c r="AV101" s="615">
        <v>5</v>
      </c>
      <c r="AY101" s="651" t="s">
        <v>502</v>
      </c>
      <c r="AZ101" s="74" t="s">
        <v>177</v>
      </c>
      <c r="BA101" s="71" t="s">
        <v>512</v>
      </c>
      <c r="BB101" s="72">
        <f>IFERROR(KCR_H201[[#This Row],[H]]/KCR_H201[[#This Row],[AB]],0)</f>
        <v>0.21978021978021978</v>
      </c>
      <c r="BC101" s="72">
        <f>IFERROR((KCR_H201[[#This Row],[BB]]+KCR_H201[[#This Row],[H]])/(KCR_H201[[#This Row],[AB]]+KCR_H201[[#This Row],[BB]]),0)</f>
        <v>0.30392156862745096</v>
      </c>
      <c r="BD101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0.38461538461538464</v>
      </c>
      <c r="BE101" s="28">
        <v>32</v>
      </c>
      <c r="BF101" s="28">
        <v>91</v>
      </c>
      <c r="BG101" s="28">
        <v>13</v>
      </c>
      <c r="BH101" s="28">
        <v>20</v>
      </c>
      <c r="BI101" s="28">
        <v>5</v>
      </c>
      <c r="BJ101" s="28">
        <v>2</v>
      </c>
      <c r="BK101" s="28">
        <v>2</v>
      </c>
      <c r="BL101" s="28">
        <v>10</v>
      </c>
      <c r="BM101" s="28">
        <v>11</v>
      </c>
      <c r="BN101" s="74">
        <v>23</v>
      </c>
      <c r="BO101" s="28">
        <v>0</v>
      </c>
      <c r="BP101" s="28">
        <v>0</v>
      </c>
      <c r="BQ101" s="74">
        <v>4</v>
      </c>
      <c r="BR101" s="28">
        <f t="shared" si="10"/>
        <v>35</v>
      </c>
      <c r="BS101" s="72">
        <f>IFERROR(KCR_H201[[#This Row],[SLG]]+KCR_H201[[#This Row],[OBP]],0)</f>
        <v>0.68853695324283559</v>
      </c>
      <c r="BT101" s="74">
        <v>0</v>
      </c>
      <c r="BU101" s="780">
        <v>5</v>
      </c>
    </row>
    <row r="102" spans="1:73">
      <c r="A102" s="651" t="s">
        <v>502</v>
      </c>
      <c r="B102" s="71" t="s">
        <v>174</v>
      </c>
      <c r="C102" s="77" t="s">
        <v>507</v>
      </c>
      <c r="D102" s="130">
        <f>IFERROR(KCR_H[[#This Row],[H]]/KCR_H[[#This Row],[AB]],0)</f>
        <v>0.3087248322147651</v>
      </c>
      <c r="E102" s="72">
        <f>IFERROR((KCR_H[[#This Row],[H]]+KCR_H[[#This Row],[BB]])/(KCR_H[[#This Row],[BB]]+KCR_H[[#This Row],[AB]]),0)</f>
        <v>0.37575757575757573</v>
      </c>
      <c r="F102" s="73">
        <f>IFERROR(((KCR_H[[#This Row],[H]]-KCR_H[[#This Row],[2B]]-KCR_H[[#This Row],[3B]]-KCR_H[[#This Row],[HR]])+(KCR_H[[#This Row],[2B]]*2)+(KCR_H[[#This Row],[3B]]*3)+(KCR_H[[#This Row],[HR]]*4))/KCR_H[[#This Row],[AB]],0)</f>
        <v>0.46979865771812079</v>
      </c>
      <c r="G102" s="28">
        <v>40</v>
      </c>
      <c r="H102" s="28">
        <v>149</v>
      </c>
      <c r="I102" s="28">
        <v>22</v>
      </c>
      <c r="J102" s="28">
        <v>46</v>
      </c>
      <c r="K102" s="28">
        <v>9</v>
      </c>
      <c r="L102" s="28">
        <v>0</v>
      </c>
      <c r="M102" s="28">
        <v>5</v>
      </c>
      <c r="N102" s="28">
        <v>20</v>
      </c>
      <c r="O102" s="28">
        <v>16</v>
      </c>
      <c r="P102" s="74">
        <v>38</v>
      </c>
      <c r="Q102" s="28">
        <v>0</v>
      </c>
      <c r="R102" s="28">
        <v>3</v>
      </c>
      <c r="S102" s="74">
        <v>9</v>
      </c>
      <c r="T102" s="28">
        <f>IFERROR((KCR_H[[#This Row],[H]]-KCR_H[[#This Row],[2B]]-KCR_H[[#This Row],[3B]]-KCR_H[[#This Row],[HR]])+(KCR_H[[#This Row],[2B]]*2)+(KCR_H[[#This Row],[3B]]*3)+(KCR_H[[#This Row],[HR]]*4),0)</f>
        <v>70</v>
      </c>
      <c r="U102" s="72">
        <f>KCR_H[[#This Row],[OBP]]+KCR_H[[#This Row],[SLG]]</f>
        <v>0.84555623347569653</v>
      </c>
      <c r="V102" s="74">
        <v>2</v>
      </c>
      <c r="W102" s="615">
        <v>6</v>
      </c>
      <c r="Z102" s="651" t="s">
        <v>502</v>
      </c>
      <c r="AA102" s="71" t="s">
        <v>174</v>
      </c>
      <c r="AB102" s="71" t="s">
        <v>507</v>
      </c>
      <c r="AC102" s="72">
        <f>IFERROR(KCR_H227[[#This Row],[H]]/KCR_H227[[#This Row],[AB]],0)</f>
        <v>0.26666666666666666</v>
      </c>
      <c r="AD102" s="72">
        <f>IFERROR((KCR_H227[[#This Row],[H]]+KCR_H227[[#This Row],[BB]])/(KCR_H227[[#This Row],[BB]]+KCR_H227[[#This Row],[AB]]),0)</f>
        <v>0.29936305732484075</v>
      </c>
      <c r="AE102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0.43333333333333335</v>
      </c>
      <c r="AF102" s="28">
        <v>37</v>
      </c>
      <c r="AG102" s="28">
        <v>150</v>
      </c>
      <c r="AH102" s="28">
        <v>21</v>
      </c>
      <c r="AI102" s="28">
        <v>40</v>
      </c>
      <c r="AJ102" s="28">
        <v>10</v>
      </c>
      <c r="AK102" s="28">
        <v>3</v>
      </c>
      <c r="AL102" s="28">
        <v>3</v>
      </c>
      <c r="AM102" s="28">
        <v>21</v>
      </c>
      <c r="AN102" s="28">
        <v>7</v>
      </c>
      <c r="AO102" s="74">
        <v>38</v>
      </c>
      <c r="AP102" s="28">
        <v>0</v>
      </c>
      <c r="AQ102" s="28">
        <v>5</v>
      </c>
      <c r="AR102" s="74">
        <v>5</v>
      </c>
      <c r="AS102" s="28">
        <f>IFERROR((KCR_H227[[#This Row],[H]]-KCR_H227[[#This Row],[2B]]-KCR_H227[[#This Row],[3B]]-KCR_H227[[#This Row],[HR]])+(KCR_H227[[#This Row],[2B]]*2)+(KCR_H227[[#This Row],[3B]]*3)+(KCR_H227[[#This Row],[HR]]*4),0)</f>
        <v>65</v>
      </c>
      <c r="AT102" s="72">
        <f>KCR_H227[[#This Row],[OBP]]+KCR_H227[[#This Row],[SLG]]</f>
        <v>0.73269639065817405</v>
      </c>
      <c r="AU102" s="74">
        <v>3</v>
      </c>
      <c r="AV102" s="615">
        <v>6</v>
      </c>
      <c r="AY102" s="651" t="s">
        <v>502</v>
      </c>
      <c r="AZ102" s="74" t="s">
        <v>174</v>
      </c>
      <c r="BA102" s="71" t="s">
        <v>507</v>
      </c>
      <c r="BB102" s="72">
        <f>IFERROR(KCR_H201[[#This Row],[H]]/KCR_H201[[#This Row],[AB]],0)</f>
        <v>0.22818791946308725</v>
      </c>
      <c r="BC102" s="72">
        <f>IFERROR((KCR_H201[[#This Row],[BB]]+KCR_H201[[#This Row],[H]])/(KCR_H201[[#This Row],[AB]]+KCR_H201[[#This Row],[BB]]),0)</f>
        <v>0.26282051282051283</v>
      </c>
      <c r="BD102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0.3825503355704698</v>
      </c>
      <c r="BE102" s="28">
        <v>40</v>
      </c>
      <c r="BF102" s="28">
        <v>149</v>
      </c>
      <c r="BG102" s="28">
        <v>12</v>
      </c>
      <c r="BH102" s="28">
        <v>34</v>
      </c>
      <c r="BI102" s="28">
        <v>10</v>
      </c>
      <c r="BJ102" s="28">
        <v>2</v>
      </c>
      <c r="BK102" s="28">
        <v>3</v>
      </c>
      <c r="BL102" s="28">
        <v>18</v>
      </c>
      <c r="BM102" s="28">
        <v>7</v>
      </c>
      <c r="BN102" s="74">
        <v>43</v>
      </c>
      <c r="BO102" s="28">
        <v>0</v>
      </c>
      <c r="BP102" s="28">
        <v>2</v>
      </c>
      <c r="BQ102" s="74">
        <v>4</v>
      </c>
      <c r="BR102" s="28">
        <f t="shared" si="10"/>
        <v>57</v>
      </c>
      <c r="BS102" s="72">
        <f>IFERROR(KCR_H201[[#This Row],[SLG]]+KCR_H201[[#This Row],[OBP]],0)</f>
        <v>0.64537084839098258</v>
      </c>
      <c r="BT102" s="74">
        <v>1</v>
      </c>
      <c r="BU102" s="780">
        <v>6</v>
      </c>
    </row>
    <row r="103" spans="1:73">
      <c r="A103" s="651" t="s">
        <v>502</v>
      </c>
      <c r="B103" s="71" t="s">
        <v>181</v>
      </c>
      <c r="C103" s="77" t="s">
        <v>505</v>
      </c>
      <c r="D103" s="130">
        <f>IFERROR(KCR_H[[#This Row],[H]]/KCR_H[[#This Row],[AB]],0)</f>
        <v>0.25531914893617019</v>
      </c>
      <c r="E103" s="72">
        <f>IFERROR((KCR_H[[#This Row],[H]]+KCR_H[[#This Row],[BB]])/(KCR_H[[#This Row],[BB]]+KCR_H[[#This Row],[AB]]),0)</f>
        <v>0.29530201342281881</v>
      </c>
      <c r="F103" s="73">
        <f>IFERROR(((KCR_H[[#This Row],[H]]-KCR_H[[#This Row],[2B]]-KCR_H[[#This Row],[3B]]-KCR_H[[#This Row],[HR]])+(KCR_H[[#This Row],[2B]]*2)+(KCR_H[[#This Row],[3B]]*3)+(KCR_H[[#This Row],[HR]]*4))/KCR_H[[#This Row],[AB]],0)</f>
        <v>0.53900709219858156</v>
      </c>
      <c r="G103" s="28">
        <v>40</v>
      </c>
      <c r="H103" s="28">
        <v>141</v>
      </c>
      <c r="I103" s="28">
        <v>19</v>
      </c>
      <c r="J103" s="28">
        <v>36</v>
      </c>
      <c r="K103" s="28">
        <v>5</v>
      </c>
      <c r="L103" s="28">
        <v>1</v>
      </c>
      <c r="M103" s="28">
        <v>11</v>
      </c>
      <c r="N103" s="28">
        <v>30</v>
      </c>
      <c r="O103" s="28">
        <v>8</v>
      </c>
      <c r="P103" s="74">
        <v>48</v>
      </c>
      <c r="Q103" s="28">
        <v>4</v>
      </c>
      <c r="R103" s="28">
        <v>4</v>
      </c>
      <c r="S103" s="74">
        <v>8</v>
      </c>
      <c r="T103" s="28">
        <f>IFERROR((KCR_H[[#This Row],[H]]-KCR_H[[#This Row],[2B]]-KCR_H[[#This Row],[3B]]-KCR_H[[#This Row],[HR]])+(KCR_H[[#This Row],[2B]]*2)+(KCR_H[[#This Row],[3B]]*3)+(KCR_H[[#This Row],[HR]]*4),0)</f>
        <v>76</v>
      </c>
      <c r="U103" s="72">
        <f>KCR_H[[#This Row],[OBP]]+KCR_H[[#This Row],[SLG]]</f>
        <v>0.83430910562140037</v>
      </c>
      <c r="V103" s="74">
        <v>4</v>
      </c>
      <c r="W103" s="615">
        <v>7</v>
      </c>
      <c r="Z103" s="651" t="s">
        <v>502</v>
      </c>
      <c r="AA103" s="71" t="s">
        <v>181</v>
      </c>
      <c r="AB103" s="71" t="s">
        <v>505</v>
      </c>
      <c r="AC103" s="72">
        <f>IFERROR(KCR_H227[[#This Row],[H]]/KCR_H227[[#This Row],[AB]],0)</f>
        <v>0.24203821656050956</v>
      </c>
      <c r="AD103" s="72">
        <f>IFERROR((KCR_H227[[#This Row],[H]]+KCR_H227[[#This Row],[BB]])/(KCR_H227[[#This Row],[BB]]+KCR_H227[[#This Row],[AB]]),0)</f>
        <v>0.25624999999999998</v>
      </c>
      <c r="AE103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0.38216560509554143</v>
      </c>
      <c r="AF103" s="28">
        <v>38</v>
      </c>
      <c r="AG103" s="28">
        <v>157</v>
      </c>
      <c r="AH103" s="28">
        <v>20</v>
      </c>
      <c r="AI103" s="28">
        <v>38</v>
      </c>
      <c r="AJ103" s="28">
        <v>2</v>
      </c>
      <c r="AK103" s="28">
        <v>1</v>
      </c>
      <c r="AL103" s="28">
        <v>6</v>
      </c>
      <c r="AM103" s="28">
        <v>23</v>
      </c>
      <c r="AN103" s="28">
        <v>3</v>
      </c>
      <c r="AO103" s="74">
        <v>45</v>
      </c>
      <c r="AP103" s="28">
        <v>6</v>
      </c>
      <c r="AQ103" s="28">
        <v>3</v>
      </c>
      <c r="AR103" s="74">
        <v>9</v>
      </c>
      <c r="AS103" s="28">
        <f>IFERROR((KCR_H227[[#This Row],[H]]-KCR_H227[[#This Row],[2B]]-KCR_H227[[#This Row],[3B]]-KCR_H227[[#This Row],[HR]])+(KCR_H227[[#This Row],[2B]]*2)+(KCR_H227[[#This Row],[3B]]*3)+(KCR_H227[[#This Row],[HR]]*4),0)</f>
        <v>60</v>
      </c>
      <c r="AT103" s="72">
        <f>KCR_H227[[#This Row],[OBP]]+KCR_H227[[#This Row],[SLG]]</f>
        <v>0.63841560509554141</v>
      </c>
      <c r="AU103" s="74">
        <v>1</v>
      </c>
      <c r="AV103" s="615">
        <v>7</v>
      </c>
      <c r="AY103" s="651" t="s">
        <v>502</v>
      </c>
      <c r="AZ103" s="74" t="s">
        <v>181</v>
      </c>
      <c r="BA103" s="71" t="s">
        <v>505</v>
      </c>
      <c r="BB103" s="72">
        <f>IFERROR(KCR_H201[[#This Row],[H]]/KCR_H201[[#This Row],[AB]],0)</f>
        <v>0.19135802469135801</v>
      </c>
      <c r="BC103" s="72">
        <f>IFERROR((KCR_H201[[#This Row],[BB]]+KCR_H201[[#This Row],[H]])/(KCR_H201[[#This Row],[AB]]+KCR_H201[[#This Row],[BB]]),0)</f>
        <v>0.23837209302325582</v>
      </c>
      <c r="BD103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0.29012345679012347</v>
      </c>
      <c r="BE103" s="28">
        <v>40</v>
      </c>
      <c r="BF103" s="28">
        <v>162</v>
      </c>
      <c r="BG103" s="28">
        <v>16</v>
      </c>
      <c r="BH103" s="28">
        <v>31</v>
      </c>
      <c r="BI103" s="28">
        <v>1</v>
      </c>
      <c r="BJ103" s="28">
        <v>0</v>
      </c>
      <c r="BK103" s="28">
        <v>5</v>
      </c>
      <c r="BL103" s="28">
        <v>13</v>
      </c>
      <c r="BM103" s="28">
        <v>10</v>
      </c>
      <c r="BN103" s="536">
        <v>70</v>
      </c>
      <c r="BO103" s="28">
        <v>3</v>
      </c>
      <c r="BP103" s="28">
        <v>0</v>
      </c>
      <c r="BQ103" s="74">
        <v>4</v>
      </c>
      <c r="BR103" s="28">
        <f t="shared" si="10"/>
        <v>47</v>
      </c>
      <c r="BS103" s="72">
        <f>IFERROR(KCR_H201[[#This Row],[SLG]]+KCR_H201[[#This Row],[OBP]],0)</f>
        <v>0.52849554981337932</v>
      </c>
      <c r="BT103" s="74">
        <v>3</v>
      </c>
      <c r="BU103" s="780">
        <v>7</v>
      </c>
    </row>
    <row r="104" spans="1:73">
      <c r="A104" s="651" t="s">
        <v>502</v>
      </c>
      <c r="B104" s="71" t="s">
        <v>166</v>
      </c>
      <c r="C104" s="77" t="s">
        <v>512</v>
      </c>
      <c r="D104" s="130">
        <f>IFERROR(KCR_H[[#This Row],[H]]/KCR_H[[#This Row],[AB]],0)</f>
        <v>0.24509803921568626</v>
      </c>
      <c r="E104" s="72">
        <f>IFERROR((KCR_H[[#This Row],[H]]+KCR_H[[#This Row],[BB]])/(KCR_H[[#This Row],[BB]]+KCR_H[[#This Row],[AB]]),0)</f>
        <v>0.28703703703703703</v>
      </c>
      <c r="F104" s="73">
        <f>IFERROR(((KCR_H[[#This Row],[H]]-KCR_H[[#This Row],[2B]]-KCR_H[[#This Row],[3B]]-KCR_H[[#This Row],[HR]])+(KCR_H[[#This Row],[2B]]*2)+(KCR_H[[#This Row],[3B]]*3)+(KCR_H[[#This Row],[HR]]*4))/KCR_H[[#This Row],[AB]],0)</f>
        <v>0.34313725490196079</v>
      </c>
      <c r="G104" s="28">
        <v>28</v>
      </c>
      <c r="H104" s="28">
        <v>102</v>
      </c>
      <c r="I104" s="28">
        <v>11</v>
      </c>
      <c r="J104" s="28">
        <v>25</v>
      </c>
      <c r="K104" s="28">
        <v>4</v>
      </c>
      <c r="L104" s="28">
        <v>0</v>
      </c>
      <c r="M104" s="28">
        <v>2</v>
      </c>
      <c r="N104" s="28">
        <v>8</v>
      </c>
      <c r="O104" s="28">
        <v>6</v>
      </c>
      <c r="P104" s="74">
        <v>28</v>
      </c>
      <c r="Q104" s="28">
        <v>0</v>
      </c>
      <c r="R104" s="28">
        <v>0</v>
      </c>
      <c r="S104" s="74">
        <v>5</v>
      </c>
      <c r="T104" s="28">
        <f>IFERROR((KCR_H[[#This Row],[H]]-KCR_H[[#This Row],[2B]]-KCR_H[[#This Row],[3B]]-KCR_H[[#This Row],[HR]])+(KCR_H[[#This Row],[2B]]*2)+(KCR_H[[#This Row],[3B]]*3)+(KCR_H[[#This Row],[HR]]*4),0)</f>
        <v>35</v>
      </c>
      <c r="U104" s="72">
        <f>KCR_H[[#This Row],[OBP]]+KCR_H[[#This Row],[SLG]]</f>
        <v>0.63017429193899788</v>
      </c>
      <c r="V104" s="74">
        <v>1</v>
      </c>
      <c r="W104" s="615">
        <v>8</v>
      </c>
      <c r="Z104" s="651" t="s">
        <v>502</v>
      </c>
      <c r="AA104" s="71" t="s">
        <v>166</v>
      </c>
      <c r="AB104" s="71" t="s">
        <v>508</v>
      </c>
      <c r="AC104" s="72">
        <f>IFERROR(KCR_H227[[#This Row],[H]]/KCR_H227[[#This Row],[AB]],0)</f>
        <v>0.33112582781456956</v>
      </c>
      <c r="AD104" s="72">
        <f>IFERROR((KCR_H227[[#This Row],[H]]+KCR_H227[[#This Row],[BB]])/(KCR_H227[[#This Row],[BB]]+KCR_H227[[#This Row],[AB]]),0)</f>
        <v>0.41279069767441862</v>
      </c>
      <c r="AE104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0.54966887417218546</v>
      </c>
      <c r="AF104" s="28">
        <v>38</v>
      </c>
      <c r="AG104" s="28">
        <v>151</v>
      </c>
      <c r="AH104" s="28">
        <v>25</v>
      </c>
      <c r="AI104" s="28">
        <v>50</v>
      </c>
      <c r="AJ104" s="28">
        <v>12</v>
      </c>
      <c r="AK104" s="586">
        <v>6</v>
      </c>
      <c r="AL104" s="28">
        <v>3</v>
      </c>
      <c r="AM104" s="28">
        <v>18</v>
      </c>
      <c r="AN104" s="28">
        <v>21</v>
      </c>
      <c r="AO104" s="74">
        <v>29</v>
      </c>
      <c r="AP104" s="28">
        <v>0</v>
      </c>
      <c r="AQ104" s="28">
        <v>11</v>
      </c>
      <c r="AR104" s="74">
        <v>11</v>
      </c>
      <c r="AS104" s="28">
        <f>IFERROR((KCR_H227[[#This Row],[H]]-KCR_H227[[#This Row],[2B]]-KCR_H227[[#This Row],[3B]]-KCR_H227[[#This Row],[HR]])+(KCR_H227[[#This Row],[2B]]*2)+(KCR_H227[[#This Row],[3B]]*3)+(KCR_H227[[#This Row],[HR]]*4),0)</f>
        <v>83</v>
      </c>
      <c r="AT104" s="72">
        <f>KCR_H227[[#This Row],[OBP]]+KCR_H227[[#This Row],[SLG]]</f>
        <v>0.96245957184660402</v>
      </c>
      <c r="AU104" s="74">
        <v>2</v>
      </c>
      <c r="AV104" s="615">
        <v>8</v>
      </c>
      <c r="AY104" s="651" t="s">
        <v>502</v>
      </c>
      <c r="AZ104" s="74" t="s">
        <v>166</v>
      </c>
      <c r="BA104" s="71" t="s">
        <v>508</v>
      </c>
      <c r="BB104" s="72">
        <f>IFERROR(KCR_H201[[#This Row],[H]]/KCR_H201[[#This Row],[AB]],0)</f>
        <v>0.33576642335766421</v>
      </c>
      <c r="BC104" s="72">
        <f>IFERROR((KCR_H201[[#This Row],[BB]]+KCR_H201[[#This Row],[H]])/(KCR_H201[[#This Row],[AB]]+KCR_H201[[#This Row],[BB]]),0)</f>
        <v>0.40909090909090912</v>
      </c>
      <c r="BD104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0.48175182481751827</v>
      </c>
      <c r="BE104" s="28">
        <v>38</v>
      </c>
      <c r="BF104" s="28">
        <v>137</v>
      </c>
      <c r="BG104" s="28">
        <v>18</v>
      </c>
      <c r="BH104" s="28">
        <v>46</v>
      </c>
      <c r="BI104" s="28">
        <v>4</v>
      </c>
      <c r="BJ104" s="28">
        <v>2</v>
      </c>
      <c r="BK104" s="28">
        <v>4</v>
      </c>
      <c r="BL104" s="28">
        <v>19</v>
      </c>
      <c r="BM104" s="28">
        <v>17</v>
      </c>
      <c r="BN104" s="74">
        <v>24</v>
      </c>
      <c r="BO104" s="28">
        <v>0</v>
      </c>
      <c r="BP104" s="28">
        <v>0</v>
      </c>
      <c r="BQ104" s="74">
        <v>6</v>
      </c>
      <c r="BR104" s="28">
        <f t="shared" si="10"/>
        <v>66</v>
      </c>
      <c r="BS104" s="72">
        <f>IFERROR(KCR_H201[[#This Row],[SLG]]+KCR_H201[[#This Row],[OBP]],0)</f>
        <v>0.89084273390842739</v>
      </c>
      <c r="BT104" s="74">
        <v>1</v>
      </c>
      <c r="BU104" s="780">
        <v>8</v>
      </c>
    </row>
    <row r="105" spans="1:73">
      <c r="A105" s="651" t="s">
        <v>502</v>
      </c>
      <c r="B105" s="71" t="s">
        <v>168</v>
      </c>
      <c r="C105" s="77" t="s">
        <v>510</v>
      </c>
      <c r="D105" s="130">
        <f>IFERROR(KCR_H[[#This Row],[H]]/KCR_H[[#This Row],[AB]],0)</f>
        <v>0.19858156028368795</v>
      </c>
      <c r="E105" s="72">
        <f>IFERROR((KCR_H[[#This Row],[H]]+KCR_H[[#This Row],[BB]])/(KCR_H[[#This Row],[BB]]+KCR_H[[#This Row],[AB]]),0)</f>
        <v>0.27564102564102566</v>
      </c>
      <c r="F105" s="73">
        <f>IFERROR(((KCR_H[[#This Row],[H]]-KCR_H[[#This Row],[2B]]-KCR_H[[#This Row],[3B]]-KCR_H[[#This Row],[HR]])+(KCR_H[[#This Row],[2B]]*2)+(KCR_H[[#This Row],[3B]]*3)+(KCR_H[[#This Row],[HR]]*4))/KCR_H[[#This Row],[AB]],0)</f>
        <v>0.43971631205673761</v>
      </c>
      <c r="G105" s="28">
        <v>40</v>
      </c>
      <c r="H105" s="28">
        <v>141</v>
      </c>
      <c r="I105" s="28">
        <v>19</v>
      </c>
      <c r="J105" s="28">
        <v>28</v>
      </c>
      <c r="K105" s="28">
        <v>7</v>
      </c>
      <c r="L105" s="28">
        <v>0</v>
      </c>
      <c r="M105" s="28">
        <v>9</v>
      </c>
      <c r="N105" s="28">
        <v>25</v>
      </c>
      <c r="O105" s="28">
        <v>15</v>
      </c>
      <c r="P105" s="74">
        <v>54</v>
      </c>
      <c r="Q105" s="28">
        <v>0</v>
      </c>
      <c r="R105" s="28">
        <v>1</v>
      </c>
      <c r="S105" s="74">
        <v>5</v>
      </c>
      <c r="T105" s="28">
        <f>IFERROR((KCR_H[[#This Row],[H]]-KCR_H[[#This Row],[2B]]-KCR_H[[#This Row],[3B]]-KCR_H[[#This Row],[HR]])+(KCR_H[[#This Row],[2B]]*2)+(KCR_H[[#This Row],[3B]]*3)+(KCR_H[[#This Row],[HR]]*4),0)</f>
        <v>62</v>
      </c>
      <c r="U105" s="72">
        <f>KCR_H[[#This Row],[OBP]]+KCR_H[[#This Row],[SLG]]</f>
        <v>0.71535733769776333</v>
      </c>
      <c r="V105" s="74">
        <v>5</v>
      </c>
      <c r="W105" s="615">
        <v>9</v>
      </c>
      <c r="Z105" s="651" t="s">
        <v>502</v>
      </c>
      <c r="AA105" s="71" t="s">
        <v>168</v>
      </c>
      <c r="AB105" s="71" t="s">
        <v>510</v>
      </c>
      <c r="AC105" s="72">
        <f>IFERROR(KCR_H227[[#This Row],[H]]/KCR_H227[[#This Row],[AB]],0)</f>
        <v>0.22784810126582278</v>
      </c>
      <c r="AD105" s="72">
        <f>IFERROR((KCR_H227[[#This Row],[H]]+KCR_H227[[#This Row],[BB]])/(KCR_H227[[#This Row],[BB]]+KCR_H227[[#This Row],[AB]]),0)</f>
        <v>0.28235294117647058</v>
      </c>
      <c r="AE105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0.39873417721518989</v>
      </c>
      <c r="AF105" s="28">
        <v>38</v>
      </c>
      <c r="AG105" s="28">
        <v>158</v>
      </c>
      <c r="AH105" s="28">
        <v>21</v>
      </c>
      <c r="AI105" s="28">
        <v>36</v>
      </c>
      <c r="AJ105" s="28">
        <v>9</v>
      </c>
      <c r="AK105" s="28">
        <v>0</v>
      </c>
      <c r="AL105" s="28">
        <v>6</v>
      </c>
      <c r="AM105" s="28">
        <v>15</v>
      </c>
      <c r="AN105" s="28">
        <v>12</v>
      </c>
      <c r="AO105" s="74">
        <v>52</v>
      </c>
      <c r="AP105" s="28">
        <v>0</v>
      </c>
      <c r="AQ105" s="28">
        <v>0</v>
      </c>
      <c r="AR105" s="74">
        <v>5</v>
      </c>
      <c r="AS105" s="28">
        <f>IFERROR((KCR_H227[[#This Row],[H]]-KCR_H227[[#This Row],[2B]]-KCR_H227[[#This Row],[3B]]-KCR_H227[[#This Row],[HR]])+(KCR_H227[[#This Row],[2B]]*2)+(KCR_H227[[#This Row],[3B]]*3)+(KCR_H227[[#This Row],[HR]]*4),0)</f>
        <v>63</v>
      </c>
      <c r="AT105" s="72">
        <f>KCR_H227[[#This Row],[OBP]]+KCR_H227[[#This Row],[SLG]]</f>
        <v>0.68108711839166047</v>
      </c>
      <c r="AU105" s="74">
        <v>2</v>
      </c>
      <c r="AV105" s="615">
        <v>9</v>
      </c>
      <c r="AY105" s="651" t="s">
        <v>502</v>
      </c>
      <c r="AZ105" s="74" t="s">
        <v>168</v>
      </c>
      <c r="BA105" s="71" t="s">
        <v>510</v>
      </c>
      <c r="BB105" s="72">
        <f>IFERROR(KCR_H201[[#This Row],[H]]/KCR_H201[[#This Row],[AB]],0)</f>
        <v>0.24113475177304963</v>
      </c>
      <c r="BC105" s="72">
        <f>IFERROR((KCR_H201[[#This Row],[BB]]+KCR_H201[[#This Row],[H]])/(KCR_H201[[#This Row],[AB]]+KCR_H201[[#This Row],[BB]]),0)</f>
        <v>0.34756097560975607</v>
      </c>
      <c r="BD105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0.40425531914893614</v>
      </c>
      <c r="BE105" s="28">
        <v>39</v>
      </c>
      <c r="BF105" s="28">
        <v>141</v>
      </c>
      <c r="BG105" s="28">
        <v>18</v>
      </c>
      <c r="BH105" s="28">
        <v>34</v>
      </c>
      <c r="BI105" s="28">
        <v>14</v>
      </c>
      <c r="BJ105" s="28">
        <v>0</v>
      </c>
      <c r="BK105" s="28">
        <v>3</v>
      </c>
      <c r="BL105" s="28">
        <v>15</v>
      </c>
      <c r="BM105" s="28">
        <v>23</v>
      </c>
      <c r="BN105" s="74">
        <v>35</v>
      </c>
      <c r="BO105" s="28">
        <v>0</v>
      </c>
      <c r="BP105" s="28">
        <v>0</v>
      </c>
      <c r="BQ105" s="74">
        <v>8</v>
      </c>
      <c r="BR105" s="28">
        <f t="shared" si="10"/>
        <v>57</v>
      </c>
      <c r="BS105" s="72">
        <f>IFERROR(KCR_H201[[#This Row],[SLG]]+KCR_H201[[#This Row],[OBP]],0)</f>
        <v>0.75181629475869216</v>
      </c>
      <c r="BT105" s="74">
        <v>1</v>
      </c>
      <c r="BU105" s="780">
        <v>9</v>
      </c>
    </row>
    <row r="106" spans="1:73">
      <c r="A106" s="651" t="s">
        <v>502</v>
      </c>
      <c r="B106" s="71" t="s">
        <v>179</v>
      </c>
      <c r="C106" s="77" t="s">
        <v>515</v>
      </c>
      <c r="D106" s="130">
        <f>IFERROR(KCR_H[[#This Row],[H]]/KCR_H[[#This Row],[AB]],0)</f>
        <v>0</v>
      </c>
      <c r="E106" s="72">
        <f>IFERROR((KCR_H[[#This Row],[H]]+KCR_H[[#This Row],[BB]])/(KCR_H[[#This Row],[BB]]+KCR_H[[#This Row],[AB]]),0)</f>
        <v>0</v>
      </c>
      <c r="F106" s="73">
        <f>IFERROR(((KCR_H[[#This Row],[H]]-KCR_H[[#This Row],[2B]]-KCR_H[[#This Row],[3B]]-KCR_H[[#This Row],[HR]])+(KCR_H[[#This Row],[2B]]*2)+(KCR_H[[#This Row],[3B]]*3)+(KCR_H[[#This Row],[HR]]*4))/KCR_H[[#This Row],[AB]],0)</f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74">
        <v>0</v>
      </c>
      <c r="Q106" s="28">
        <v>0</v>
      </c>
      <c r="R106" s="28">
        <v>0</v>
      </c>
      <c r="S106" s="74">
        <v>0</v>
      </c>
      <c r="T106" s="28">
        <f>IFERROR((KCR_H[[#This Row],[H]]-KCR_H[[#This Row],[2B]]-KCR_H[[#This Row],[3B]]-KCR_H[[#This Row],[HR]])+(KCR_H[[#This Row],[2B]]*2)+(KCR_H[[#This Row],[3B]]*3)+(KCR_H[[#This Row],[HR]]*4),0)</f>
        <v>0</v>
      </c>
      <c r="U106" s="72">
        <f>KCR_H[[#This Row],[OBP]]+KCR_H[[#This Row],[SLG]]</f>
        <v>0</v>
      </c>
      <c r="V106" s="74">
        <v>0</v>
      </c>
      <c r="W106" s="615">
        <v>10</v>
      </c>
      <c r="Z106" s="651" t="s">
        <v>502</v>
      </c>
      <c r="AA106" s="71" t="s">
        <v>179</v>
      </c>
      <c r="AB106" s="71" t="s">
        <v>515</v>
      </c>
      <c r="AC106" s="72">
        <f>IFERROR(KCR_H227[[#This Row],[H]]/KCR_H227[[#This Row],[AB]],0)</f>
        <v>0.33333333333333331</v>
      </c>
      <c r="AD106" s="72">
        <f>IFERROR((KCR_H227[[#This Row],[H]]+KCR_H227[[#This Row],[BB]])/(KCR_H227[[#This Row],[BB]]+KCR_H227[[#This Row],[AB]]),0)</f>
        <v>0.36842105263157893</v>
      </c>
      <c r="AE106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0.5</v>
      </c>
      <c r="AF106" s="28">
        <v>6</v>
      </c>
      <c r="AG106" s="28">
        <v>18</v>
      </c>
      <c r="AH106" s="28">
        <v>3</v>
      </c>
      <c r="AI106" s="28">
        <v>6</v>
      </c>
      <c r="AJ106" s="28">
        <v>0</v>
      </c>
      <c r="AK106" s="28">
        <v>0</v>
      </c>
      <c r="AL106" s="28">
        <v>1</v>
      </c>
      <c r="AM106" s="28">
        <v>4</v>
      </c>
      <c r="AN106" s="28">
        <v>1</v>
      </c>
      <c r="AO106" s="74">
        <v>3</v>
      </c>
      <c r="AP106" s="28">
        <v>0</v>
      </c>
      <c r="AQ106" s="28">
        <v>0</v>
      </c>
      <c r="AR106" s="74">
        <v>4</v>
      </c>
      <c r="AS106" s="28">
        <f>IFERROR((KCR_H227[[#This Row],[H]]-KCR_H227[[#This Row],[2B]]-KCR_H227[[#This Row],[3B]]-KCR_H227[[#This Row],[HR]])+(KCR_H227[[#This Row],[2B]]*2)+(KCR_H227[[#This Row],[3B]]*3)+(KCR_H227[[#This Row],[HR]]*4),0)</f>
        <v>9</v>
      </c>
      <c r="AT106" s="72">
        <f>KCR_H227[[#This Row],[OBP]]+KCR_H227[[#This Row],[SLG]]</f>
        <v>0.86842105263157898</v>
      </c>
      <c r="AU106" s="74">
        <v>0</v>
      </c>
      <c r="AV106" s="615">
        <v>10</v>
      </c>
      <c r="AY106" s="651" t="s">
        <v>502</v>
      </c>
      <c r="AZ106" s="74" t="s">
        <v>179</v>
      </c>
      <c r="BA106" s="71" t="s">
        <v>515</v>
      </c>
      <c r="BB106" s="72">
        <f>IFERROR(KCR_H201[[#This Row],[H]]/KCR_H201[[#This Row],[AB]],0)</f>
        <v>0.14285714285714285</v>
      </c>
      <c r="BC106" s="72">
        <f>IFERROR((KCR_H201[[#This Row],[BB]]+KCR_H201[[#This Row],[H]])/(KCR_H201[[#This Row],[AB]]+KCR_H201[[#This Row],[BB]]),0)</f>
        <v>0.25</v>
      </c>
      <c r="BD106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0.14285714285714285</v>
      </c>
      <c r="BE106" s="28">
        <v>5</v>
      </c>
      <c r="BF106" s="28">
        <v>7</v>
      </c>
      <c r="BG106" s="28">
        <v>2</v>
      </c>
      <c r="BH106" s="28">
        <v>1</v>
      </c>
      <c r="BI106" s="28">
        <v>0</v>
      </c>
      <c r="BJ106" s="28">
        <v>0</v>
      </c>
      <c r="BK106" s="28">
        <v>0</v>
      </c>
      <c r="BL106" s="28">
        <v>0</v>
      </c>
      <c r="BM106" s="28">
        <v>1</v>
      </c>
      <c r="BN106" s="74">
        <v>0</v>
      </c>
      <c r="BO106" s="28">
        <v>0</v>
      </c>
      <c r="BP106" s="28">
        <v>0</v>
      </c>
      <c r="BQ106" s="74">
        <v>1</v>
      </c>
      <c r="BR106" s="28">
        <f t="shared" si="10"/>
        <v>1</v>
      </c>
      <c r="BS106" s="72">
        <f>IFERROR(KCR_H201[[#This Row],[SLG]]+KCR_H201[[#This Row],[OBP]],0)</f>
        <v>0.39285714285714285</v>
      </c>
      <c r="BT106" s="74">
        <v>0</v>
      </c>
      <c r="BU106" s="780">
        <v>10</v>
      </c>
    </row>
    <row r="107" spans="1:73">
      <c r="A107" s="651" t="s">
        <v>502</v>
      </c>
      <c r="B107" s="71" t="s">
        <v>187</v>
      </c>
      <c r="C107" s="77" t="s">
        <v>514</v>
      </c>
      <c r="D107" s="130">
        <f>IFERROR(KCR_H[[#This Row],[H]]/KCR_H[[#This Row],[AB]],0)</f>
        <v>0.14285714285714285</v>
      </c>
      <c r="E107" s="72">
        <f>IFERROR((KCR_H[[#This Row],[H]]+KCR_H[[#This Row],[BB]])/(KCR_H[[#This Row],[BB]]+KCR_H[[#This Row],[AB]]),0)</f>
        <v>0.33333333333333331</v>
      </c>
      <c r="F107" s="73">
        <f>IFERROR(((KCR_H[[#This Row],[H]]-KCR_H[[#This Row],[2B]]-KCR_H[[#This Row],[3B]]-KCR_H[[#This Row],[HR]])+(KCR_H[[#This Row],[2B]]*2)+(KCR_H[[#This Row],[3B]]*3)+(KCR_H[[#This Row],[HR]]*4))/KCR_H[[#This Row],[AB]],0)</f>
        <v>0.14285714285714285</v>
      </c>
      <c r="G107" s="28">
        <v>4</v>
      </c>
      <c r="H107" s="28">
        <v>7</v>
      </c>
      <c r="I107" s="28">
        <v>2</v>
      </c>
      <c r="J107" s="28">
        <v>1</v>
      </c>
      <c r="K107" s="28">
        <v>0</v>
      </c>
      <c r="L107" s="28">
        <v>0</v>
      </c>
      <c r="M107" s="28">
        <v>0</v>
      </c>
      <c r="N107" s="28">
        <v>0</v>
      </c>
      <c r="O107" s="28">
        <v>2</v>
      </c>
      <c r="P107" s="74">
        <v>3</v>
      </c>
      <c r="Q107" s="28">
        <v>2</v>
      </c>
      <c r="R107" s="28">
        <v>1</v>
      </c>
      <c r="S107" s="74">
        <v>1</v>
      </c>
      <c r="T107" s="28">
        <f>IFERROR((KCR_H[[#This Row],[H]]-KCR_H[[#This Row],[2B]]-KCR_H[[#This Row],[3B]]-KCR_H[[#This Row],[HR]])+(KCR_H[[#This Row],[2B]]*2)+(KCR_H[[#This Row],[3B]]*3)+(KCR_H[[#This Row],[HR]]*4),0)</f>
        <v>1</v>
      </c>
      <c r="U107" s="72">
        <f>KCR_H[[#This Row],[OBP]]+KCR_H[[#This Row],[SLG]]</f>
        <v>0.47619047619047616</v>
      </c>
      <c r="V107" s="74">
        <v>0</v>
      </c>
      <c r="W107" s="615">
        <v>11</v>
      </c>
      <c r="Z107" s="651" t="s">
        <v>502</v>
      </c>
      <c r="AA107" s="71" t="s">
        <v>187</v>
      </c>
      <c r="AB107" s="77" t="s">
        <v>514</v>
      </c>
      <c r="AC107" s="130">
        <f>IFERROR(KCR_H227[[#This Row],[H]]/KCR_H227[[#This Row],[AB]],0)</f>
        <v>0.14814814814814814</v>
      </c>
      <c r="AD107" s="72">
        <f>IFERROR((KCR_H227[[#This Row],[H]]+KCR_H227[[#This Row],[BB]])/(KCR_H227[[#This Row],[BB]]+KCR_H227[[#This Row],[AB]]),0)</f>
        <v>0.14814814814814814</v>
      </c>
      <c r="AE107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0.37037037037037035</v>
      </c>
      <c r="AF107" s="28">
        <v>8</v>
      </c>
      <c r="AG107" s="28">
        <v>27</v>
      </c>
      <c r="AH107" s="28">
        <v>3</v>
      </c>
      <c r="AI107" s="28">
        <v>4</v>
      </c>
      <c r="AJ107" s="28">
        <v>1</v>
      </c>
      <c r="AK107" s="28">
        <v>1</v>
      </c>
      <c r="AL107" s="28">
        <v>1</v>
      </c>
      <c r="AM107" s="28">
        <v>3</v>
      </c>
      <c r="AN107" s="28">
        <v>0</v>
      </c>
      <c r="AO107" s="74">
        <v>13</v>
      </c>
      <c r="AP107" s="28">
        <v>0</v>
      </c>
      <c r="AQ107" s="28">
        <v>2</v>
      </c>
      <c r="AR107" s="74">
        <v>2</v>
      </c>
      <c r="AS107" s="28">
        <f>IFERROR((KCR_H227[[#This Row],[H]]-KCR_H227[[#This Row],[2B]]-KCR_H227[[#This Row],[3B]]-KCR_H227[[#This Row],[HR]])+(KCR_H227[[#This Row],[2B]]*2)+(KCR_H227[[#This Row],[3B]]*3)+(KCR_H227[[#This Row],[HR]]*4),0)</f>
        <v>10</v>
      </c>
      <c r="AT107" s="72">
        <f>KCR_H227[[#This Row],[OBP]]+KCR_H227[[#This Row],[SLG]]</f>
        <v>0.51851851851851849</v>
      </c>
      <c r="AU107" s="74">
        <v>0</v>
      </c>
      <c r="AV107" s="615">
        <v>11</v>
      </c>
      <c r="AY107" s="651" t="s">
        <v>502</v>
      </c>
      <c r="AZ107" s="74" t="s">
        <v>187</v>
      </c>
      <c r="BA107" s="71" t="s">
        <v>514</v>
      </c>
      <c r="BB107" s="72">
        <f>IFERROR(KCR_H201[[#This Row],[H]]/KCR_H201[[#This Row],[AB]],0)</f>
        <v>0.21568627450980393</v>
      </c>
      <c r="BC107" s="72">
        <f>IFERROR((KCR_H201[[#This Row],[BB]]+KCR_H201[[#This Row],[H]])/(KCR_H201[[#This Row],[AB]]+KCR_H201[[#This Row],[BB]]),0)</f>
        <v>0.23076923076923078</v>
      </c>
      <c r="BD107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0.25490196078431371</v>
      </c>
      <c r="BE107" s="28">
        <v>15</v>
      </c>
      <c r="BF107" s="28">
        <v>51</v>
      </c>
      <c r="BG107" s="28">
        <v>4</v>
      </c>
      <c r="BH107" s="28">
        <v>11</v>
      </c>
      <c r="BI107" s="28">
        <v>2</v>
      </c>
      <c r="BJ107" s="28">
        <v>0</v>
      </c>
      <c r="BK107" s="28">
        <v>0</v>
      </c>
      <c r="BL107" s="28">
        <v>4</v>
      </c>
      <c r="BM107" s="28">
        <v>1</v>
      </c>
      <c r="BN107" s="74">
        <v>16</v>
      </c>
      <c r="BO107" s="28">
        <v>5</v>
      </c>
      <c r="BP107" s="28">
        <v>2</v>
      </c>
      <c r="BQ107" s="74">
        <v>4</v>
      </c>
      <c r="BR107" s="28">
        <f t="shared" si="10"/>
        <v>13</v>
      </c>
      <c r="BS107" s="72">
        <f>IFERROR(KCR_H201[[#This Row],[SLG]]+KCR_H201[[#This Row],[OBP]],0)</f>
        <v>0.48567119155354449</v>
      </c>
      <c r="BT107" s="74">
        <v>0</v>
      </c>
      <c r="BU107" s="780">
        <v>11</v>
      </c>
    </row>
    <row r="108" spans="1:73">
      <c r="A108" s="651" t="s">
        <v>502</v>
      </c>
      <c r="B108" s="71" t="s">
        <v>186</v>
      </c>
      <c r="C108" s="77" t="s">
        <v>517</v>
      </c>
      <c r="D108" s="130">
        <f>IFERROR(KCR_H[[#This Row],[H]]/KCR_H[[#This Row],[AB]],0)</f>
        <v>0</v>
      </c>
      <c r="E108" s="72">
        <f>IFERROR((KCR_H[[#This Row],[H]]+KCR_H[[#This Row],[BB]])/(KCR_H[[#This Row],[BB]]+KCR_H[[#This Row],[AB]]),0)</f>
        <v>0</v>
      </c>
      <c r="F108" s="73">
        <f>IFERROR(((KCR_H[[#This Row],[H]]-KCR_H[[#This Row],[2B]]-KCR_H[[#This Row],[3B]]-KCR_H[[#This Row],[HR]])+(KCR_H[[#This Row],[2B]]*2)+(KCR_H[[#This Row],[3B]]*3)+(KCR_H[[#This Row],[HR]]*4))/KCR_H[[#This Row],[AB]],0)</f>
        <v>0</v>
      </c>
      <c r="G108" s="28">
        <v>3</v>
      </c>
      <c r="H108" s="28">
        <v>7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74">
        <v>3</v>
      </c>
      <c r="Q108" s="28">
        <v>0</v>
      </c>
      <c r="R108" s="28">
        <v>0</v>
      </c>
      <c r="S108" s="74">
        <v>0</v>
      </c>
      <c r="T108" s="28">
        <f>IFERROR((KCR_H[[#This Row],[H]]-KCR_H[[#This Row],[2B]]-KCR_H[[#This Row],[3B]]-KCR_H[[#This Row],[HR]])+(KCR_H[[#This Row],[2B]]*2)+(KCR_H[[#This Row],[3B]]*3)+(KCR_H[[#This Row],[HR]]*4),0)</f>
        <v>0</v>
      </c>
      <c r="U108" s="72">
        <f>KCR_H[[#This Row],[OBP]]+KCR_H[[#This Row],[SLG]]</f>
        <v>0</v>
      </c>
      <c r="V108" s="74">
        <v>0</v>
      </c>
      <c r="W108" s="615">
        <v>12</v>
      </c>
      <c r="Z108" s="651" t="s">
        <v>502</v>
      </c>
      <c r="AA108" s="71" t="s">
        <v>187</v>
      </c>
      <c r="AB108" s="71" t="s">
        <v>512</v>
      </c>
      <c r="AC108" s="72">
        <f>IFERROR(KCR_H227[[#This Row],[H]]/KCR_H227[[#This Row],[AB]],0)</f>
        <v>0.14285714285714285</v>
      </c>
      <c r="AD108" s="72">
        <f>IFERROR((KCR_H227[[#This Row],[H]]+KCR_H227[[#This Row],[BB]])/(KCR_H227[[#This Row],[BB]]+KCR_H227[[#This Row],[AB]]),0)</f>
        <v>0.14285714285714285</v>
      </c>
      <c r="AE108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0.14285714285714285</v>
      </c>
      <c r="AF108" s="28">
        <v>5</v>
      </c>
      <c r="AG108" s="28">
        <v>21</v>
      </c>
      <c r="AH108" s="28">
        <v>1</v>
      </c>
      <c r="AI108" s="28">
        <v>3</v>
      </c>
      <c r="AJ108" s="28">
        <v>0</v>
      </c>
      <c r="AK108" s="28">
        <v>0</v>
      </c>
      <c r="AL108" s="28">
        <v>0</v>
      </c>
      <c r="AM108" s="28">
        <v>1</v>
      </c>
      <c r="AN108" s="28">
        <v>0</v>
      </c>
      <c r="AO108" s="74">
        <v>9</v>
      </c>
      <c r="AP108" s="28">
        <v>0</v>
      </c>
      <c r="AQ108" s="28">
        <v>2</v>
      </c>
      <c r="AR108" s="74">
        <v>2</v>
      </c>
      <c r="AS108" s="28">
        <f>IFERROR((KCR_H227[[#This Row],[H]]-KCR_H227[[#This Row],[2B]]-KCR_H227[[#This Row],[3B]]-KCR_H227[[#This Row],[HR]])+(KCR_H227[[#This Row],[2B]]*2)+(KCR_H227[[#This Row],[3B]]*3)+(KCR_H227[[#This Row],[HR]]*4),0)</f>
        <v>3</v>
      </c>
      <c r="AT108" s="72">
        <f>KCR_H227[[#This Row],[OBP]]+KCR_H227[[#This Row],[SLG]]</f>
        <v>0.2857142857142857</v>
      </c>
      <c r="AU108" s="74">
        <v>0</v>
      </c>
      <c r="AV108" s="615">
        <v>12</v>
      </c>
      <c r="AY108" s="651" t="s">
        <v>502</v>
      </c>
      <c r="AZ108" s="74" t="s">
        <v>187</v>
      </c>
      <c r="BA108" s="71" t="s">
        <v>516</v>
      </c>
      <c r="BB108" s="72">
        <f>IFERROR(KCR_H201[[#This Row],[H]]/KCR_H201[[#This Row],[AB]],0)</f>
        <v>0.24</v>
      </c>
      <c r="BC108" s="72">
        <f>IFERROR((KCR_H201[[#This Row],[BB]]+KCR_H201[[#This Row],[H]])/(KCR_H201[[#This Row],[AB]]+KCR_H201[[#This Row],[BB]]),0)</f>
        <v>0.29629629629629628</v>
      </c>
      <c r="BD108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0.28000000000000003</v>
      </c>
      <c r="BE108" s="28">
        <v>12</v>
      </c>
      <c r="BF108" s="28">
        <v>25</v>
      </c>
      <c r="BG108" s="28">
        <v>5</v>
      </c>
      <c r="BH108" s="28">
        <v>6</v>
      </c>
      <c r="BI108" s="28">
        <v>1</v>
      </c>
      <c r="BJ108" s="28">
        <v>0</v>
      </c>
      <c r="BK108" s="28">
        <v>0</v>
      </c>
      <c r="BL108" s="28">
        <v>3</v>
      </c>
      <c r="BM108" s="28">
        <v>2</v>
      </c>
      <c r="BN108" s="74">
        <v>3</v>
      </c>
      <c r="BO108" s="28">
        <v>0</v>
      </c>
      <c r="BP108" s="28">
        <v>0</v>
      </c>
      <c r="BQ108" s="74">
        <v>2</v>
      </c>
      <c r="BR108" s="28">
        <f t="shared" si="10"/>
        <v>7</v>
      </c>
      <c r="BS108" s="72">
        <f>IFERROR(KCR_H201[[#This Row],[SLG]]+KCR_H201[[#This Row],[OBP]],0)</f>
        <v>0.57629629629629631</v>
      </c>
      <c r="BT108" s="74">
        <v>0</v>
      </c>
      <c r="BU108" s="780">
        <v>12</v>
      </c>
    </row>
    <row r="109" spans="1:73">
      <c r="A109" s="651" t="s">
        <v>502</v>
      </c>
      <c r="B109" s="71" t="s">
        <v>184</v>
      </c>
      <c r="C109" s="77" t="s">
        <v>513</v>
      </c>
      <c r="D109" s="130">
        <f>IFERROR(KCR_H[[#This Row],[H]]/KCR_H[[#This Row],[AB]],0)</f>
        <v>0.13953488372093023</v>
      </c>
      <c r="E109" s="72">
        <f>IFERROR((KCR_H[[#This Row],[H]]+KCR_H[[#This Row],[BB]])/(KCR_H[[#This Row],[BB]]+KCR_H[[#This Row],[AB]]),0)</f>
        <v>0.15909090909090909</v>
      </c>
      <c r="F109" s="73">
        <f>IFERROR(((KCR_H[[#This Row],[H]]-KCR_H[[#This Row],[2B]]-KCR_H[[#This Row],[3B]]-KCR_H[[#This Row],[HR]])+(KCR_H[[#This Row],[2B]]*2)+(KCR_H[[#This Row],[3B]]*3)+(KCR_H[[#This Row],[HR]]*4))/KCR_H[[#This Row],[AB]],0)</f>
        <v>0.16279069767441862</v>
      </c>
      <c r="G109" s="28">
        <v>12</v>
      </c>
      <c r="H109" s="28">
        <v>43</v>
      </c>
      <c r="I109" s="28">
        <v>1</v>
      </c>
      <c r="J109" s="28">
        <v>6</v>
      </c>
      <c r="K109" s="28">
        <v>1</v>
      </c>
      <c r="L109" s="28">
        <v>0</v>
      </c>
      <c r="M109" s="28">
        <v>0</v>
      </c>
      <c r="N109" s="28">
        <v>0</v>
      </c>
      <c r="O109" s="28">
        <v>1</v>
      </c>
      <c r="P109" s="74">
        <v>17</v>
      </c>
      <c r="Q109" s="28">
        <v>0</v>
      </c>
      <c r="R109" s="28">
        <v>2</v>
      </c>
      <c r="S109" s="74">
        <v>2</v>
      </c>
      <c r="T109" s="28">
        <f>IFERROR((KCR_H[[#This Row],[H]]-KCR_H[[#This Row],[2B]]-KCR_H[[#This Row],[3B]]-KCR_H[[#This Row],[HR]])+(KCR_H[[#This Row],[2B]]*2)+(KCR_H[[#This Row],[3B]]*3)+(KCR_H[[#This Row],[HR]]*4),0)</f>
        <v>7</v>
      </c>
      <c r="U109" s="72">
        <f>KCR_H[[#This Row],[OBP]]+KCR_H[[#This Row],[SLG]]</f>
        <v>0.32188160676532773</v>
      </c>
      <c r="V109" s="74">
        <v>0</v>
      </c>
      <c r="W109" s="615">
        <v>13</v>
      </c>
      <c r="Z109" s="651" t="s">
        <v>502</v>
      </c>
      <c r="AA109" s="71" t="s">
        <v>184</v>
      </c>
      <c r="AB109" s="71" t="s">
        <v>517</v>
      </c>
      <c r="AC109" s="72">
        <f>IFERROR(KCR_H227[[#This Row],[H]]/KCR_H227[[#This Row],[AB]],0)</f>
        <v>0.16666666666666666</v>
      </c>
      <c r="AD109" s="72">
        <f>IFERROR((KCR_H227[[#This Row],[H]]+KCR_H227[[#This Row],[BB]])/(KCR_H227[[#This Row],[BB]]+KCR_H227[[#This Row],[AB]]),0)</f>
        <v>0.25</v>
      </c>
      <c r="AE109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0.22222222222222221</v>
      </c>
      <c r="AF109" s="28">
        <v>5</v>
      </c>
      <c r="AG109" s="28">
        <v>18</v>
      </c>
      <c r="AH109" s="28">
        <v>3</v>
      </c>
      <c r="AI109" s="28">
        <v>3</v>
      </c>
      <c r="AJ109" s="28">
        <v>1</v>
      </c>
      <c r="AK109" s="28">
        <v>0</v>
      </c>
      <c r="AL109" s="28">
        <v>0</v>
      </c>
      <c r="AM109" s="28">
        <v>4</v>
      </c>
      <c r="AN109" s="28">
        <v>2</v>
      </c>
      <c r="AO109" s="74">
        <v>9</v>
      </c>
      <c r="AP109" s="28">
        <v>0</v>
      </c>
      <c r="AQ109" s="28">
        <v>2</v>
      </c>
      <c r="AR109" s="74">
        <v>2</v>
      </c>
      <c r="AS109" s="28">
        <f>IFERROR((KCR_H227[[#This Row],[H]]-KCR_H227[[#This Row],[2B]]-KCR_H227[[#This Row],[3B]]-KCR_H227[[#This Row],[HR]])+(KCR_H227[[#This Row],[2B]]*2)+(KCR_H227[[#This Row],[3B]]*3)+(KCR_H227[[#This Row],[HR]]*4),0)</f>
        <v>4</v>
      </c>
      <c r="AT109" s="72">
        <f>KCR_H227[[#This Row],[OBP]]+KCR_H227[[#This Row],[SLG]]</f>
        <v>0.47222222222222221</v>
      </c>
      <c r="AU109" s="74">
        <v>1</v>
      </c>
      <c r="AV109" s="615">
        <v>13</v>
      </c>
      <c r="AY109" s="651" t="s">
        <v>502</v>
      </c>
      <c r="AZ109" s="74" t="s">
        <v>192</v>
      </c>
      <c r="BA109" s="71" t="s">
        <v>511</v>
      </c>
      <c r="BB109" s="72">
        <f>IFERROR(KCR_H201[[#This Row],[H]]/KCR_H201[[#This Row],[AB]],0)</f>
        <v>0.33333333333333331</v>
      </c>
      <c r="BC109" s="72">
        <f>IFERROR((KCR_H201[[#This Row],[BB]]+KCR_H201[[#This Row],[H]])/(KCR_H201[[#This Row],[AB]]+KCR_H201[[#This Row],[BB]]),0)</f>
        <v>0.33333333333333331</v>
      </c>
      <c r="BD109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0.77777777777777779</v>
      </c>
      <c r="BE109" s="28">
        <v>2</v>
      </c>
      <c r="BF109" s="28">
        <v>9</v>
      </c>
      <c r="BG109" s="28">
        <v>2</v>
      </c>
      <c r="BH109" s="28">
        <v>3</v>
      </c>
      <c r="BI109" s="28">
        <v>1</v>
      </c>
      <c r="BJ109" s="28">
        <v>0</v>
      </c>
      <c r="BK109" s="28">
        <v>1</v>
      </c>
      <c r="BL109" s="28">
        <v>1</v>
      </c>
      <c r="BM109" s="28">
        <v>0</v>
      </c>
      <c r="BN109" s="74">
        <v>3</v>
      </c>
      <c r="BO109" s="28">
        <v>0</v>
      </c>
      <c r="BP109" s="28">
        <v>2</v>
      </c>
      <c r="BQ109" s="74">
        <v>2</v>
      </c>
      <c r="BR109" s="28">
        <f t="shared" si="10"/>
        <v>7</v>
      </c>
      <c r="BS109" s="72">
        <f>IFERROR(KCR_H201[[#This Row],[SLG]]+KCR_H201[[#This Row],[OBP]],0)</f>
        <v>1.1111111111111112</v>
      </c>
      <c r="BT109" s="74">
        <v>0</v>
      </c>
      <c r="BU109" s="780">
        <v>13</v>
      </c>
    </row>
    <row r="110" spans="1:73" ht="17" thickBot="1">
      <c r="A110" s="651" t="s">
        <v>502</v>
      </c>
      <c r="B110" s="71" t="s">
        <v>184</v>
      </c>
      <c r="C110" s="71" t="s">
        <v>520</v>
      </c>
      <c r="D110" s="72">
        <f>IFERROR(KCR_H[[#This Row],[H]]/KCR_H[[#This Row],[AB]],0)</f>
        <v>0</v>
      </c>
      <c r="E110" s="72">
        <f>IFERROR((KCR_H[[#This Row],[H]]+KCR_H[[#This Row],[BB]])/(KCR_H[[#This Row],[BB]]+KCR_H[[#This Row],[AB]]),0)</f>
        <v>0</v>
      </c>
      <c r="F110" s="73">
        <f>IFERROR(((KCR_H[[#This Row],[H]]-KCR_H[[#This Row],[2B]]-KCR_H[[#This Row],[3B]]-KCR_H[[#This Row],[HR]])+(KCR_H[[#This Row],[2B]]*2)+(KCR_H[[#This Row],[3B]]*3)+(KCR_H[[#This Row],[HR]]*4))/KCR_H[[#This Row],[AB]],0)</f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74">
        <v>0</v>
      </c>
      <c r="Q110" s="28">
        <v>0</v>
      </c>
      <c r="R110" s="28">
        <v>0</v>
      </c>
      <c r="S110" s="74">
        <v>0</v>
      </c>
      <c r="T110" s="28">
        <f>IFERROR((KCR_H[[#This Row],[H]]-KCR_H[[#This Row],[2B]]-KCR_H[[#This Row],[3B]]-KCR_H[[#This Row],[HR]])+(KCR_H[[#This Row],[2B]]*2)+(KCR_H[[#This Row],[3B]]*3)+(KCR_H[[#This Row],[HR]]*4),0)</f>
        <v>0</v>
      </c>
      <c r="U110" s="72">
        <f>KCR_H[[#This Row],[OBP]]+KCR_H[[#This Row],[SLG]]</f>
        <v>0</v>
      </c>
      <c r="V110" s="74">
        <v>0</v>
      </c>
      <c r="W110" s="615">
        <v>14</v>
      </c>
      <c r="Z110" s="651" t="s">
        <v>502</v>
      </c>
      <c r="AA110" s="71" t="s">
        <v>184</v>
      </c>
      <c r="AB110" s="71" t="s">
        <v>518</v>
      </c>
      <c r="AC110" s="72">
        <f>IFERROR(KCR_H227[[#This Row],[H]]/KCR_H227[[#This Row],[AB]],0)</f>
        <v>0.21428571428571427</v>
      </c>
      <c r="AD110" s="72">
        <f>IFERROR((KCR_H227[[#This Row],[H]]+KCR_H227[[#This Row],[BB]])/(KCR_H227[[#This Row],[BB]]+KCR_H227[[#This Row],[AB]]),0)</f>
        <v>0.21428571428571427</v>
      </c>
      <c r="AE110" s="73">
        <f>IFERROR(((KCR_H227[[#This Row],[H]]-KCR_H227[[#This Row],[2B]]-KCR_H227[[#This Row],[3B]]-KCR_H227[[#This Row],[HR]])+(KCR_H227[[#This Row],[2B]]*2)+(KCR_H227[[#This Row],[3B]]*3)+(KCR_H227[[#This Row],[HR]]*4))/KCR_H227[[#This Row],[AB]],0)</f>
        <v>0.2857142857142857</v>
      </c>
      <c r="AF110" s="28">
        <v>4</v>
      </c>
      <c r="AG110" s="28">
        <v>14</v>
      </c>
      <c r="AH110" s="28">
        <v>0</v>
      </c>
      <c r="AI110" s="28">
        <v>3</v>
      </c>
      <c r="AJ110" s="28">
        <v>1</v>
      </c>
      <c r="AK110" s="28">
        <v>0</v>
      </c>
      <c r="AL110" s="28">
        <v>0</v>
      </c>
      <c r="AM110" s="28">
        <v>1</v>
      </c>
      <c r="AN110" s="28">
        <v>0</v>
      </c>
      <c r="AO110" s="74">
        <v>8</v>
      </c>
      <c r="AP110" s="28">
        <v>1</v>
      </c>
      <c r="AQ110" s="28">
        <v>1</v>
      </c>
      <c r="AR110" s="74">
        <v>1</v>
      </c>
      <c r="AS110" s="28">
        <f>IFERROR((KCR_H227[[#This Row],[H]]-KCR_H227[[#This Row],[2B]]-KCR_H227[[#This Row],[3B]]-KCR_H227[[#This Row],[HR]])+(KCR_H227[[#This Row],[2B]]*2)+(KCR_H227[[#This Row],[3B]]*3)+(KCR_H227[[#This Row],[HR]]*4),0)</f>
        <v>4</v>
      </c>
      <c r="AT110" s="72">
        <f>KCR_H227[[#This Row],[OBP]]+KCR_H227[[#This Row],[SLG]]</f>
        <v>0.5</v>
      </c>
      <c r="AU110" s="74">
        <v>0</v>
      </c>
      <c r="AV110" s="615">
        <v>14</v>
      </c>
      <c r="AY110" s="651" t="s">
        <v>502</v>
      </c>
      <c r="AZ110" s="74" t="s">
        <v>186</v>
      </c>
      <c r="BA110" s="71" t="s">
        <v>519</v>
      </c>
      <c r="BB110" s="72">
        <f>IFERROR(KCR_H201[[#This Row],[H]]/KCR_H201[[#This Row],[AB]],0)</f>
        <v>0.30769230769230771</v>
      </c>
      <c r="BC110" s="72">
        <f>IFERROR((KCR_H201[[#This Row],[BB]]+KCR_H201[[#This Row],[H]])/(KCR_H201[[#This Row],[AB]]+KCR_H201[[#This Row],[BB]]),0)</f>
        <v>0.4375</v>
      </c>
      <c r="BD110" s="73">
        <f>IFERROR(((KCR_H201[[#This Row],[H]]-KCR_H201[[#This Row],[2B]]-KCR_H201[[#This Row],[3B]]-KCR_H201[[#This Row],[HR]])+(KCR_H201[[#This Row],[2B]]*2)+(KCR_H201[[#This Row],[3B]]*3)+(KCR_H201[[#This Row],[HR]]*4))/KCR_H201[[#This Row],[AB]],0)</f>
        <v>0.38461538461538464</v>
      </c>
      <c r="BE110" s="28">
        <v>9</v>
      </c>
      <c r="BF110" s="28">
        <v>13</v>
      </c>
      <c r="BG110" s="28">
        <v>2</v>
      </c>
      <c r="BH110" s="28">
        <v>4</v>
      </c>
      <c r="BI110" s="28">
        <v>1</v>
      </c>
      <c r="BJ110" s="28">
        <v>0</v>
      </c>
      <c r="BK110" s="28">
        <v>0</v>
      </c>
      <c r="BL110" s="28">
        <v>2</v>
      </c>
      <c r="BM110" s="28">
        <v>3</v>
      </c>
      <c r="BN110" s="74">
        <v>1</v>
      </c>
      <c r="BO110" s="28">
        <v>0</v>
      </c>
      <c r="BP110" s="28">
        <v>2</v>
      </c>
      <c r="BQ110" s="74">
        <v>2</v>
      </c>
      <c r="BR110" s="28">
        <f t="shared" si="10"/>
        <v>5</v>
      </c>
      <c r="BS110" s="72">
        <f>IFERROR(KCR_H201[[#This Row],[SLG]]+KCR_H201[[#This Row],[OBP]],0)</f>
        <v>0.82211538461538458</v>
      </c>
      <c r="BT110" s="74">
        <v>0</v>
      </c>
      <c r="BU110" s="780">
        <v>14</v>
      </c>
    </row>
    <row r="111" spans="1:73" ht="17" thickBot="1">
      <c r="A111" s="691"/>
      <c r="B111" s="692"/>
      <c r="C111" s="693" t="s">
        <v>195</v>
      </c>
      <c r="D111" s="694">
        <f>J111/H111</f>
        <v>0.24460966542750928</v>
      </c>
      <c r="E111" s="694">
        <f>(J111+O111)/(H111+O111)</f>
        <v>0.30458590006844627</v>
      </c>
      <c r="F111" s="695">
        <f>((J111-K111-L111-M111)+(K111*2)+(L111*3)+(M111*4))/H111</f>
        <v>0.41635687732342008</v>
      </c>
      <c r="G111" s="696"/>
      <c r="H111" s="696">
        <f>SUBTOTAL(109,KCR_H[AB])</f>
        <v>1345</v>
      </c>
      <c r="I111" s="696">
        <f>SUBTOTAL(109,KCR_H[R])</f>
        <v>165</v>
      </c>
      <c r="J111" s="696">
        <f>SUBTOTAL(109,KCR_H[H])</f>
        <v>329</v>
      </c>
      <c r="K111" s="696">
        <f>SUBTOTAL(109,KCR_H[2B])</f>
        <v>74</v>
      </c>
      <c r="L111" s="696">
        <f>SUBTOTAL(109,KCR_H[3B])</f>
        <v>8</v>
      </c>
      <c r="M111" s="696">
        <f>SUBTOTAL(109,KCR_H[HR])</f>
        <v>47</v>
      </c>
      <c r="N111" s="696">
        <f>SUBTOTAL(109,KCR_H[RBI])</f>
        <v>162</v>
      </c>
      <c r="O111" s="696">
        <f>SUBTOTAL(109,KCR_H[BB])</f>
        <v>116</v>
      </c>
      <c r="P111" s="697">
        <f>SUBTOTAL(109,KCR_H[K])</f>
        <v>355</v>
      </c>
      <c r="Q111" s="696">
        <f>SUBTOTAL(109,KCR_H[SB])</f>
        <v>22</v>
      </c>
      <c r="R111" s="696"/>
      <c r="S111" s="697"/>
      <c r="T111" s="696">
        <f>SUBTOTAL(109,KCR_H[TB])</f>
        <v>560</v>
      </c>
      <c r="U111" s="694">
        <f>E111+F111</f>
        <v>0.72094277739186641</v>
      </c>
      <c r="V111" s="697">
        <f>SUBTOTAL(109,KCR_H[*])</f>
        <v>22</v>
      </c>
      <c r="W111" s="698"/>
      <c r="Z111" s="691"/>
      <c r="AA111" s="692"/>
      <c r="AB111" s="693" t="s">
        <v>195</v>
      </c>
      <c r="AC111" s="694">
        <f>AI111/AG111</f>
        <v>0.26029216467463479</v>
      </c>
      <c r="AD111" s="694">
        <f>(AI111+AN111)/(AG111+AN111)</f>
        <v>0.30721393034825872</v>
      </c>
      <c r="AE111" s="695">
        <f>((AI111-AJ111-AK111-AL111)+(AJ111*2)+(AK111*3)+(AL111*4))/AG111</f>
        <v>0.43625498007968128</v>
      </c>
      <c r="AF111" s="696"/>
      <c r="AG111" s="696">
        <f>SUBTOTAL(109,KCR_H227[AB])</f>
        <v>1506</v>
      </c>
      <c r="AH111" s="774">
        <f>SUBTOTAL(109,KCR_H227[R])</f>
        <v>209</v>
      </c>
      <c r="AI111" s="696">
        <f>SUBTOTAL(109,KCR_H227[H])</f>
        <v>392</v>
      </c>
      <c r="AJ111" s="696">
        <f>SUBTOTAL(109,KCR_H227[2B])</f>
        <v>81</v>
      </c>
      <c r="AK111" s="775">
        <f>SUBTOTAL(109,KCR_H227[3B])</f>
        <v>17</v>
      </c>
      <c r="AL111" s="696">
        <f>SUBTOTAL(109,KCR_H227[HR])</f>
        <v>50</v>
      </c>
      <c r="AM111" s="696">
        <f>SUBTOTAL(109,KCR_H227[RBI])</f>
        <v>207</v>
      </c>
      <c r="AN111" s="696">
        <f>SUBTOTAL(109,KCR_H227[BB])</f>
        <v>102</v>
      </c>
      <c r="AO111" s="697">
        <f>SUBTOTAL(109,KCR_H227[K])</f>
        <v>365</v>
      </c>
      <c r="AP111" s="774">
        <f>SUBTOTAL(109,KCR_H227[SB])</f>
        <v>25</v>
      </c>
      <c r="AQ111" s="696"/>
      <c r="AR111" s="697"/>
      <c r="AS111" s="696">
        <f>SUBTOTAL(109,KCR_H227[TB])</f>
        <v>657</v>
      </c>
      <c r="AT111" s="694">
        <f>AD111+AE111</f>
        <v>0.74346891042793994</v>
      </c>
      <c r="AU111" s="697">
        <f>SUBTOTAL(109,KCR_H227[*])</f>
        <v>18</v>
      </c>
      <c r="AV111" s="698"/>
      <c r="AY111" s="691"/>
      <c r="AZ111" s="692"/>
      <c r="BA111" s="693" t="s">
        <v>195</v>
      </c>
      <c r="BB111" s="694">
        <f>IFERROR(BH111/BF111,0)</f>
        <v>0.2634180790960452</v>
      </c>
      <c r="BC111" s="694">
        <f>IFERROR((BH111+BM111)/(BF111+BM111),0)</f>
        <v>0.32052117263843649</v>
      </c>
      <c r="BD111" s="695">
        <f>IFERROR(((BH111-BI111-BJ111-BK111)+(BI111*2)+(BJ111*3)+(BK111*4))/BF111,0)</f>
        <v>0.44138418079096048</v>
      </c>
      <c r="BE111" s="696"/>
      <c r="BF111" s="696">
        <f>SUM(BF97:BF110)</f>
        <v>1416</v>
      </c>
      <c r="BG111" s="696">
        <f>SUM(BG97:BG110)</f>
        <v>187</v>
      </c>
      <c r="BH111" s="696">
        <f>SUBTOTAL(109,KCR_H201[H])</f>
        <v>373</v>
      </c>
      <c r="BI111" s="696">
        <f>SUM(BI97:BI110)</f>
        <v>69</v>
      </c>
      <c r="BJ111" s="774">
        <f>SUM(BJ97:BJ110)</f>
        <v>12</v>
      </c>
      <c r="BK111" s="696">
        <f>SUBTOTAL(109,KCR_H201[HR])</f>
        <v>53</v>
      </c>
      <c r="BL111" s="696">
        <f>SUM(BL97:BL110)</f>
        <v>186</v>
      </c>
      <c r="BM111" s="696">
        <f>SUM(BM97:BM110)</f>
        <v>119</v>
      </c>
      <c r="BN111" s="697">
        <f>SUM(BN97:BN110)</f>
        <v>370</v>
      </c>
      <c r="BO111" s="696">
        <f>SUM(BO97:BO110)</f>
        <v>24</v>
      </c>
      <c r="BP111" s="696"/>
      <c r="BQ111" s="697"/>
      <c r="BR111" s="696">
        <f t="shared" ref="BR111" si="11">IFERROR((BH111-BI111-BJ111-BK111)+(BI111*2)+(BJ111*3)+(BK111*4),0)</f>
        <v>625</v>
      </c>
      <c r="BS111" s="694">
        <f>IFERROR(BC111+BD111,0)</f>
        <v>0.76190535342939691</v>
      </c>
      <c r="BT111" s="697">
        <f>SUBTOTAL(109,KCR_H201[*])</f>
        <v>20</v>
      </c>
      <c r="BU111" s="698"/>
    </row>
    <row r="112" spans="1:73" ht="17" thickBot="1"/>
    <row r="113" spans="1:73" s="64" customFormat="1" ht="14" thickBot="1">
      <c r="A113" s="605" t="s">
        <v>143</v>
      </c>
      <c r="B113" s="606" t="s">
        <v>144</v>
      </c>
      <c r="C113" s="606" t="s">
        <v>145</v>
      </c>
      <c r="D113" s="606" t="s">
        <v>196</v>
      </c>
      <c r="E113" s="606" t="s">
        <v>197</v>
      </c>
      <c r="F113" s="606" t="s">
        <v>198</v>
      </c>
      <c r="G113" s="606" t="s">
        <v>149</v>
      </c>
      <c r="H113" s="606" t="s">
        <v>199</v>
      </c>
      <c r="I113" s="606" t="s">
        <v>152</v>
      </c>
      <c r="J113" s="606" t="s">
        <v>151</v>
      </c>
      <c r="K113" s="606" t="s">
        <v>157</v>
      </c>
      <c r="L113" s="606" t="s">
        <v>158</v>
      </c>
      <c r="M113" s="606" t="s">
        <v>200</v>
      </c>
      <c r="N113" s="606" t="s">
        <v>201</v>
      </c>
      <c r="O113" s="606" t="s">
        <v>202</v>
      </c>
      <c r="P113" s="606" t="s">
        <v>203</v>
      </c>
      <c r="Q113" s="606" t="s">
        <v>204</v>
      </c>
      <c r="R113" s="606" t="s">
        <v>205</v>
      </c>
      <c r="S113" s="607" t="s">
        <v>164</v>
      </c>
      <c r="Z113" s="605" t="s">
        <v>143</v>
      </c>
      <c r="AA113" s="606" t="s">
        <v>144</v>
      </c>
      <c r="AB113" s="606" t="s">
        <v>145</v>
      </c>
      <c r="AC113" s="606" t="s">
        <v>196</v>
      </c>
      <c r="AD113" s="606" t="s">
        <v>197</v>
      </c>
      <c r="AE113" s="606" t="s">
        <v>198</v>
      </c>
      <c r="AF113" s="606" t="s">
        <v>149</v>
      </c>
      <c r="AG113" s="606" t="s">
        <v>199</v>
      </c>
      <c r="AH113" s="606" t="s">
        <v>152</v>
      </c>
      <c r="AI113" s="606" t="s">
        <v>151</v>
      </c>
      <c r="AJ113" s="606" t="s">
        <v>157</v>
      </c>
      <c r="AK113" s="606" t="s">
        <v>158</v>
      </c>
      <c r="AL113" s="606" t="s">
        <v>200</v>
      </c>
      <c r="AM113" s="606" t="s">
        <v>201</v>
      </c>
      <c r="AN113" s="606" t="s">
        <v>202</v>
      </c>
      <c r="AO113" s="606" t="s">
        <v>203</v>
      </c>
      <c r="AP113" s="606" t="s">
        <v>204</v>
      </c>
      <c r="AQ113" s="606" t="s">
        <v>205</v>
      </c>
      <c r="AR113" s="607" t="s">
        <v>164</v>
      </c>
      <c r="AY113" s="605" t="s">
        <v>143</v>
      </c>
      <c r="AZ113" s="606" t="s">
        <v>144</v>
      </c>
      <c r="BA113" s="606" t="s">
        <v>145</v>
      </c>
      <c r="BB113" s="606" t="s">
        <v>196</v>
      </c>
      <c r="BC113" s="606" t="s">
        <v>197</v>
      </c>
      <c r="BD113" s="606" t="s">
        <v>198</v>
      </c>
      <c r="BE113" s="606" t="s">
        <v>149</v>
      </c>
      <c r="BF113" s="606" t="s">
        <v>199</v>
      </c>
      <c r="BG113" s="606" t="s">
        <v>152</v>
      </c>
      <c r="BH113" s="606" t="s">
        <v>151</v>
      </c>
      <c r="BI113" s="606" t="s">
        <v>157</v>
      </c>
      <c r="BJ113" s="606" t="s">
        <v>158</v>
      </c>
      <c r="BK113" s="606" t="s">
        <v>200</v>
      </c>
      <c r="BL113" s="606" t="s">
        <v>201</v>
      </c>
      <c r="BM113" s="606" t="s">
        <v>202</v>
      </c>
      <c r="BN113" s="606" t="s">
        <v>203</v>
      </c>
      <c r="BO113" s="606" t="s">
        <v>204</v>
      </c>
      <c r="BP113" s="606" t="s">
        <v>205</v>
      </c>
      <c r="BQ113" s="607" t="s">
        <v>164</v>
      </c>
    </row>
    <row r="114" spans="1:73">
      <c r="A114" s="650" t="s">
        <v>502</v>
      </c>
      <c r="B114" s="604" t="s">
        <v>206</v>
      </c>
      <c r="C114" s="682" t="s">
        <v>521</v>
      </c>
      <c r="D114" s="663">
        <f>IFERROR((KCR_P[[#This Row],[R]]*9)/KCR_P[[#This Row],[IP]],0)</f>
        <v>3.2857142857142856</v>
      </c>
      <c r="E114" s="600">
        <v>6</v>
      </c>
      <c r="F114" s="604">
        <v>3</v>
      </c>
      <c r="G114" s="600">
        <v>10</v>
      </c>
      <c r="H114" s="630">
        <v>63</v>
      </c>
      <c r="I114" s="600">
        <v>61</v>
      </c>
      <c r="J114" s="600">
        <v>23</v>
      </c>
      <c r="K114" s="600">
        <v>17</v>
      </c>
      <c r="L114" s="600">
        <v>51</v>
      </c>
      <c r="M114" s="600">
        <v>0</v>
      </c>
      <c r="N114" s="744">
        <f>IFERROR((KCR_P[[#This Row],[BB]]+KCR_P[[#This Row],[H]])/KCR_P[[#This Row],[IP]],0)</f>
        <v>1.2380952380952381</v>
      </c>
      <c r="O114" s="673">
        <v>7</v>
      </c>
      <c r="P114" s="601">
        <v>5</v>
      </c>
      <c r="Q114" s="600">
        <v>1</v>
      </c>
      <c r="R114" s="604">
        <v>1</v>
      </c>
      <c r="S114" s="614">
        <v>1</v>
      </c>
      <c r="Z114" s="650" t="s">
        <v>502</v>
      </c>
      <c r="AA114" s="604" t="s">
        <v>206</v>
      </c>
      <c r="AB114" s="682" t="s">
        <v>521</v>
      </c>
      <c r="AC114" s="663">
        <f>IFERROR((KCR_P228[[#This Row],[R]]*9)/KCR_P228[[#This Row],[IP]],0)</f>
        <v>5.7966101694915251</v>
      </c>
      <c r="AD114" s="600">
        <v>4</v>
      </c>
      <c r="AE114" s="604">
        <v>4</v>
      </c>
      <c r="AF114" s="600">
        <v>10</v>
      </c>
      <c r="AG114" s="630">
        <v>59</v>
      </c>
      <c r="AH114" s="600">
        <v>74</v>
      </c>
      <c r="AI114" s="600">
        <v>38</v>
      </c>
      <c r="AJ114" s="600">
        <v>15</v>
      </c>
      <c r="AK114" s="600">
        <v>53</v>
      </c>
      <c r="AL114" s="600">
        <v>0</v>
      </c>
      <c r="AM114" s="744">
        <f>IFERROR((KCR_P228[[#This Row],[BB]]+KCR_P228[[#This Row],[H]])/KCR_P228[[#This Row],[IP]],0)</f>
        <v>1.5084745762711864</v>
      </c>
      <c r="AN114" s="673">
        <v>2</v>
      </c>
      <c r="AO114" s="601">
        <v>1</v>
      </c>
      <c r="AP114" s="600">
        <v>0</v>
      </c>
      <c r="AQ114" s="604">
        <v>0</v>
      </c>
      <c r="AR114" s="614">
        <v>1</v>
      </c>
      <c r="AY114" s="650" t="s">
        <v>502</v>
      </c>
      <c r="AZ114" s="604" t="s">
        <v>206</v>
      </c>
      <c r="BA114" s="597" t="s">
        <v>522</v>
      </c>
      <c r="BB114" s="663">
        <f>IFERROR((KCR_P202[[#This Row],[R]]*9)/KCR_P202[[#This Row],[IP]],0)</f>
        <v>5.3684210526315788</v>
      </c>
      <c r="BC114" s="600">
        <v>3</v>
      </c>
      <c r="BD114" s="604">
        <v>4</v>
      </c>
      <c r="BE114" s="600">
        <v>10</v>
      </c>
      <c r="BF114" s="630">
        <v>57</v>
      </c>
      <c r="BG114" s="600">
        <v>56</v>
      </c>
      <c r="BH114" s="600">
        <v>34</v>
      </c>
      <c r="BI114" s="600">
        <v>30</v>
      </c>
      <c r="BJ114" s="600">
        <v>58</v>
      </c>
      <c r="BK114" s="600">
        <v>0</v>
      </c>
      <c r="BL114" s="744">
        <f>IFERROR((KCR_P202[[#This Row],[H]]+KCR_P202[[#This Row],[BB]])/KCR_P202[[#This Row],[IP]],0)</f>
        <v>1.5087719298245614</v>
      </c>
      <c r="BM114" s="673">
        <v>3</v>
      </c>
      <c r="BN114" s="601">
        <v>1</v>
      </c>
      <c r="BO114" s="600">
        <v>0</v>
      </c>
      <c r="BP114" s="604">
        <v>0</v>
      </c>
      <c r="BQ114" s="614">
        <v>1</v>
      </c>
    </row>
    <row r="115" spans="1:73">
      <c r="A115" s="651" t="s">
        <v>502</v>
      </c>
      <c r="B115" s="74" t="s">
        <v>206</v>
      </c>
      <c r="C115" s="87" t="s">
        <v>523</v>
      </c>
      <c r="D115" s="88">
        <f>IFERROR((KCR_P[[#This Row],[R]]*9)/KCR_P[[#This Row],[IP]],0)</f>
        <v>3.694931312174325</v>
      </c>
      <c r="E115" s="28">
        <v>5</v>
      </c>
      <c r="F115" s="74">
        <v>3</v>
      </c>
      <c r="G115" s="28">
        <v>10</v>
      </c>
      <c r="H115" s="584">
        <v>63.33</v>
      </c>
      <c r="I115" s="28">
        <v>59</v>
      </c>
      <c r="J115" s="28">
        <v>26</v>
      </c>
      <c r="K115" s="28">
        <v>29</v>
      </c>
      <c r="L115" s="28">
        <v>50</v>
      </c>
      <c r="M115" s="28">
        <v>0</v>
      </c>
      <c r="N115" s="106">
        <f>IFERROR((KCR_P[[#This Row],[BB]]+KCR_P[[#This Row],[H]])/KCR_P[[#This Row],[IP]],0)</f>
        <v>1.3895468182535924</v>
      </c>
      <c r="O115" s="77">
        <v>7</v>
      </c>
      <c r="P115" s="90">
        <v>4</v>
      </c>
      <c r="Q115" s="28">
        <v>0</v>
      </c>
      <c r="R115" s="74">
        <v>0</v>
      </c>
      <c r="S115" s="615">
        <v>2</v>
      </c>
      <c r="Z115" s="651" t="s">
        <v>502</v>
      </c>
      <c r="AA115" s="74" t="s">
        <v>206</v>
      </c>
      <c r="AB115" s="87" t="s">
        <v>523</v>
      </c>
      <c r="AC115" s="88">
        <f>IFERROR((KCR_P228[[#This Row],[R]]*9)/KCR_P228[[#This Row],[IP]],0)</f>
        <v>4.9655172413793105</v>
      </c>
      <c r="AD115" s="28">
        <v>2</v>
      </c>
      <c r="AE115" s="74">
        <v>4</v>
      </c>
      <c r="AF115" s="28">
        <v>10</v>
      </c>
      <c r="AG115" s="584">
        <v>58</v>
      </c>
      <c r="AH115" s="28">
        <v>62</v>
      </c>
      <c r="AI115" s="28">
        <v>32</v>
      </c>
      <c r="AJ115" s="28">
        <v>34</v>
      </c>
      <c r="AK115" s="28">
        <v>40</v>
      </c>
      <c r="AL115" s="28">
        <v>0</v>
      </c>
      <c r="AM115" s="106">
        <f>IFERROR((KCR_P228[[#This Row],[BB]]+KCR_P228[[#This Row],[H]])/KCR_P228[[#This Row],[IP]],0)</f>
        <v>1.6551724137931034</v>
      </c>
      <c r="AN115" s="77">
        <v>5</v>
      </c>
      <c r="AO115" s="90">
        <v>2</v>
      </c>
      <c r="AP115" s="28">
        <v>1</v>
      </c>
      <c r="AQ115" s="74">
        <v>1</v>
      </c>
      <c r="AR115" s="615">
        <v>2</v>
      </c>
      <c r="AY115" s="651" t="s">
        <v>502</v>
      </c>
      <c r="AZ115" s="74" t="s">
        <v>206</v>
      </c>
      <c r="BA115" s="71" t="s">
        <v>524</v>
      </c>
      <c r="BB115" s="88">
        <f>IFERROR((KCR_P202[[#This Row],[R]]*9)/KCR_P202[[#This Row],[IP]],0)</f>
        <v>4.95</v>
      </c>
      <c r="BC115" s="28">
        <v>2</v>
      </c>
      <c r="BD115" s="74">
        <v>5</v>
      </c>
      <c r="BE115" s="28">
        <v>10</v>
      </c>
      <c r="BF115" s="584">
        <v>60</v>
      </c>
      <c r="BG115" s="28">
        <v>66</v>
      </c>
      <c r="BH115" s="28">
        <v>33</v>
      </c>
      <c r="BI115" s="28">
        <v>27</v>
      </c>
      <c r="BJ115" s="28">
        <v>66</v>
      </c>
      <c r="BK115" s="28">
        <v>0</v>
      </c>
      <c r="BL115" s="106">
        <f>IFERROR((KCR_P202[[#This Row],[H]]+KCR_P202[[#This Row],[BB]])/KCR_P202[[#This Row],[IP]],0)</f>
        <v>1.55</v>
      </c>
      <c r="BM115" s="77">
        <v>4</v>
      </c>
      <c r="BN115" s="90">
        <v>3</v>
      </c>
      <c r="BO115" s="28">
        <v>0</v>
      </c>
      <c r="BP115" s="74">
        <v>0</v>
      </c>
      <c r="BQ115" s="615">
        <v>2</v>
      </c>
    </row>
    <row r="116" spans="1:73">
      <c r="A116" s="651" t="s">
        <v>502</v>
      </c>
      <c r="B116" s="74" t="s">
        <v>365</v>
      </c>
      <c r="C116" s="87" t="s">
        <v>525</v>
      </c>
      <c r="D116" s="88">
        <f>IFERROR((KCR_P[[#This Row],[R]]*9)/KCR_P[[#This Row],[IP]],0)</f>
        <v>5.431034482758621</v>
      </c>
      <c r="E116" s="28">
        <v>1</v>
      </c>
      <c r="F116" s="74">
        <v>4</v>
      </c>
      <c r="G116" s="28">
        <v>10</v>
      </c>
      <c r="H116" s="584">
        <v>58</v>
      </c>
      <c r="I116" s="28">
        <v>59</v>
      </c>
      <c r="J116" s="28">
        <v>35</v>
      </c>
      <c r="K116" s="28">
        <v>22</v>
      </c>
      <c r="L116" s="28">
        <v>64</v>
      </c>
      <c r="M116" s="28">
        <v>0</v>
      </c>
      <c r="N116" s="106">
        <f>IFERROR((KCR_P[[#This Row],[BB]]+KCR_P[[#This Row],[H]])/KCR_P[[#This Row],[IP]],0)</f>
        <v>1.396551724137931</v>
      </c>
      <c r="O116" s="77">
        <v>6</v>
      </c>
      <c r="P116" s="90">
        <v>2</v>
      </c>
      <c r="Q116" s="28">
        <v>0</v>
      </c>
      <c r="R116" s="74">
        <v>0</v>
      </c>
      <c r="S116" s="615">
        <v>3</v>
      </c>
      <c r="Z116" s="651" t="s">
        <v>502</v>
      </c>
      <c r="AA116" s="74" t="s">
        <v>206</v>
      </c>
      <c r="AB116" s="87" t="s">
        <v>524</v>
      </c>
      <c r="AC116" s="88">
        <f>IFERROR((KCR_P228[[#This Row],[R]]*9)/KCR_P228[[#This Row],[IP]],0)</f>
        <v>4.9088119993182202</v>
      </c>
      <c r="AD116" s="28">
        <v>4</v>
      </c>
      <c r="AE116" s="74">
        <v>1</v>
      </c>
      <c r="AF116" s="28">
        <v>10</v>
      </c>
      <c r="AG116" s="584">
        <v>58.67</v>
      </c>
      <c r="AH116" s="28">
        <v>66</v>
      </c>
      <c r="AI116" s="28">
        <v>32</v>
      </c>
      <c r="AJ116" s="28">
        <v>27</v>
      </c>
      <c r="AK116" s="28">
        <v>59</v>
      </c>
      <c r="AL116" s="28">
        <v>0</v>
      </c>
      <c r="AM116" s="106">
        <f>IFERROR((KCR_P228[[#This Row],[BB]]+KCR_P228[[#This Row],[H]])/KCR_P228[[#This Row],[IP]],0)</f>
        <v>1.5851372081131754</v>
      </c>
      <c r="AN116" s="77">
        <v>6</v>
      </c>
      <c r="AO116" s="90">
        <v>1</v>
      </c>
      <c r="AP116" s="28">
        <v>0</v>
      </c>
      <c r="AQ116" s="74">
        <v>0</v>
      </c>
      <c r="AR116" s="615">
        <v>3</v>
      </c>
      <c r="AY116" s="651" t="s">
        <v>502</v>
      </c>
      <c r="AZ116" s="74" t="s">
        <v>206</v>
      </c>
      <c r="BA116" s="71" t="s">
        <v>523</v>
      </c>
      <c r="BB116" s="88">
        <f>IFERROR((KCR_P202[[#This Row],[R]]*9)/KCR_P202[[#This Row],[IP]],0)</f>
        <v>6.75</v>
      </c>
      <c r="BC116" s="28">
        <v>4</v>
      </c>
      <c r="BD116" s="74">
        <v>4</v>
      </c>
      <c r="BE116" s="28">
        <v>10</v>
      </c>
      <c r="BF116" s="584">
        <v>52</v>
      </c>
      <c r="BG116" s="28">
        <v>74</v>
      </c>
      <c r="BH116" s="28">
        <v>39</v>
      </c>
      <c r="BI116" s="28">
        <v>28</v>
      </c>
      <c r="BJ116" s="28">
        <v>39</v>
      </c>
      <c r="BK116" s="28">
        <v>0</v>
      </c>
      <c r="BL116" s="106">
        <f>IFERROR((KCR_P202[[#This Row],[H]]+KCR_P202[[#This Row],[BB]])/KCR_P202[[#This Row],[IP]],0)</f>
        <v>1.9615384615384615</v>
      </c>
      <c r="BM116" s="77">
        <v>3</v>
      </c>
      <c r="BN116" s="90">
        <v>1</v>
      </c>
      <c r="BO116" s="28">
        <v>0</v>
      </c>
      <c r="BP116" s="74">
        <v>0</v>
      </c>
      <c r="BQ116" s="615">
        <v>3</v>
      </c>
    </row>
    <row r="117" spans="1:73">
      <c r="A117" s="651" t="s">
        <v>502</v>
      </c>
      <c r="B117" s="74" t="s">
        <v>206</v>
      </c>
      <c r="C117" s="87" t="s">
        <v>524</v>
      </c>
      <c r="D117" s="88">
        <f>IFERROR((KCR_P[[#This Row],[R]]*9)/KCR_P[[#This Row],[IP]],0)</f>
        <v>4.6551724137931032</v>
      </c>
      <c r="E117" s="28">
        <v>3</v>
      </c>
      <c r="F117" s="74">
        <v>3</v>
      </c>
      <c r="G117" s="28">
        <v>10</v>
      </c>
      <c r="H117" s="584">
        <v>58</v>
      </c>
      <c r="I117" s="28">
        <v>66</v>
      </c>
      <c r="J117" s="28">
        <v>30</v>
      </c>
      <c r="K117" s="28">
        <v>19</v>
      </c>
      <c r="L117" s="28">
        <v>58</v>
      </c>
      <c r="M117" s="28">
        <v>0</v>
      </c>
      <c r="N117" s="106">
        <f>IFERROR((KCR_P[[#This Row],[BB]]+KCR_P[[#This Row],[H]])/KCR_P[[#This Row],[IP]],0)</f>
        <v>1.4655172413793103</v>
      </c>
      <c r="O117" s="77">
        <v>5</v>
      </c>
      <c r="P117" s="90">
        <v>2</v>
      </c>
      <c r="Q117" s="28">
        <v>0</v>
      </c>
      <c r="R117" s="74">
        <v>0</v>
      </c>
      <c r="S117" s="615">
        <v>4</v>
      </c>
      <c r="Z117" s="651" t="s">
        <v>502</v>
      </c>
      <c r="AA117" s="74" t="s">
        <v>206</v>
      </c>
      <c r="AB117" s="87" t="s">
        <v>526</v>
      </c>
      <c r="AC117" s="88">
        <f>IFERROR((KCR_P228[[#This Row],[R]]*9)/KCR_P228[[#This Row],[IP]],0)</f>
        <v>8.534933230114186</v>
      </c>
      <c r="AD117" s="28">
        <v>2</v>
      </c>
      <c r="AE117" s="74">
        <v>4</v>
      </c>
      <c r="AF117" s="28">
        <v>10</v>
      </c>
      <c r="AG117" s="584">
        <v>51.67</v>
      </c>
      <c r="AH117" s="28">
        <v>68</v>
      </c>
      <c r="AI117" s="76">
        <v>49</v>
      </c>
      <c r="AJ117" s="28">
        <v>28</v>
      </c>
      <c r="AK117" s="28">
        <v>47</v>
      </c>
      <c r="AL117" s="28">
        <v>0</v>
      </c>
      <c r="AM117" s="106">
        <f>IFERROR((KCR_P228[[#This Row],[BB]]+KCR_P228[[#This Row],[H]])/KCR_P228[[#This Row],[IP]],0)</f>
        <v>1.8579446487323399</v>
      </c>
      <c r="AN117" s="77">
        <v>3</v>
      </c>
      <c r="AO117" s="90">
        <v>1</v>
      </c>
      <c r="AP117" s="28">
        <v>0</v>
      </c>
      <c r="AQ117" s="74">
        <v>0</v>
      </c>
      <c r="AR117" s="615">
        <v>4</v>
      </c>
      <c r="AY117" s="651" t="s">
        <v>502</v>
      </c>
      <c r="AZ117" s="74" t="s">
        <v>365</v>
      </c>
      <c r="BA117" s="71" t="s">
        <v>526</v>
      </c>
      <c r="BB117" s="88">
        <f>IFERROR((KCR_P202[[#This Row],[R]]*9)/KCR_P202[[#This Row],[IP]],0)</f>
        <v>5.0721034311287916</v>
      </c>
      <c r="BC117" s="28">
        <v>3</v>
      </c>
      <c r="BD117" s="74">
        <v>3</v>
      </c>
      <c r="BE117" s="28">
        <v>10</v>
      </c>
      <c r="BF117" s="584">
        <v>60.33</v>
      </c>
      <c r="BG117" s="28">
        <v>55</v>
      </c>
      <c r="BH117" s="28">
        <v>34</v>
      </c>
      <c r="BI117" s="28">
        <v>28</v>
      </c>
      <c r="BJ117" s="28">
        <v>64</v>
      </c>
      <c r="BK117" s="28">
        <v>0</v>
      </c>
      <c r="BL117" s="106">
        <f>IFERROR((KCR_P202[[#This Row],[H]]+KCR_P202[[#This Row],[BB]])/KCR_P202[[#This Row],[IP]],0)</f>
        <v>1.3757666169401626</v>
      </c>
      <c r="BM117" s="77">
        <v>3</v>
      </c>
      <c r="BN117" s="90">
        <v>3</v>
      </c>
      <c r="BO117" s="28">
        <v>0</v>
      </c>
      <c r="BP117" s="74">
        <v>0</v>
      </c>
      <c r="BQ117" s="615">
        <v>4</v>
      </c>
    </row>
    <row r="118" spans="1:73">
      <c r="A118" s="651" t="s">
        <v>502</v>
      </c>
      <c r="B118" s="74" t="s">
        <v>212</v>
      </c>
      <c r="C118" s="87" t="s">
        <v>526</v>
      </c>
      <c r="D118" s="88">
        <f>IFERROR((KCR_P[[#This Row],[R]]*9)/KCR_P[[#This Row],[IP]],0)</f>
        <v>2.3136246786632393</v>
      </c>
      <c r="E118" s="28">
        <v>0</v>
      </c>
      <c r="F118" s="74">
        <v>0</v>
      </c>
      <c r="G118" s="28">
        <v>5</v>
      </c>
      <c r="H118" s="584">
        <v>11.67</v>
      </c>
      <c r="I118" s="28">
        <v>12</v>
      </c>
      <c r="J118" s="28">
        <v>3</v>
      </c>
      <c r="K118" s="28">
        <v>7</v>
      </c>
      <c r="L118" s="28">
        <v>7</v>
      </c>
      <c r="M118" s="28">
        <v>0</v>
      </c>
      <c r="N118" s="106">
        <f>IFERROR((KCR_P[[#This Row],[BB]]+KCR_P[[#This Row],[H]])/KCR_P[[#This Row],[IP]],0)</f>
        <v>1.6281062553556127</v>
      </c>
      <c r="O118" s="77">
        <v>0</v>
      </c>
      <c r="P118" s="90">
        <v>0</v>
      </c>
      <c r="Q118" s="28">
        <v>0</v>
      </c>
      <c r="R118" s="74">
        <v>0</v>
      </c>
      <c r="S118" s="615">
        <v>5</v>
      </c>
      <c r="Z118" s="651" t="s">
        <v>502</v>
      </c>
      <c r="AA118" s="74" t="s">
        <v>212</v>
      </c>
      <c r="AB118" s="87" t="s">
        <v>528</v>
      </c>
      <c r="AC118" s="88">
        <f>IFERROR((KCR_P228[[#This Row],[R]]*9)/KCR_P228[[#This Row],[IP]],0)</f>
        <v>5.7272727272727275</v>
      </c>
      <c r="AD118" s="28">
        <v>3</v>
      </c>
      <c r="AE118" s="74">
        <v>2</v>
      </c>
      <c r="AF118" s="28">
        <v>14</v>
      </c>
      <c r="AG118" s="584">
        <v>33</v>
      </c>
      <c r="AH118" s="28">
        <v>32</v>
      </c>
      <c r="AI118" s="28">
        <v>21</v>
      </c>
      <c r="AJ118" s="28">
        <v>9</v>
      </c>
      <c r="AK118" s="28">
        <v>23</v>
      </c>
      <c r="AL118" s="28">
        <v>0</v>
      </c>
      <c r="AM118" s="106">
        <f>IFERROR((KCR_P228[[#This Row],[BB]]+KCR_P228[[#This Row],[H]])/KCR_P228[[#This Row],[IP]],0)</f>
        <v>1.2424242424242424</v>
      </c>
      <c r="AN118" s="77">
        <v>0</v>
      </c>
      <c r="AO118" s="90">
        <v>0</v>
      </c>
      <c r="AP118" s="28">
        <v>0</v>
      </c>
      <c r="AQ118" s="74">
        <v>0</v>
      </c>
      <c r="AR118" s="615">
        <v>5</v>
      </c>
      <c r="AY118" s="651" t="s">
        <v>502</v>
      </c>
      <c r="AZ118" s="74" t="s">
        <v>212</v>
      </c>
      <c r="BA118" s="71" t="s">
        <v>528</v>
      </c>
      <c r="BB118" s="88">
        <f>IFERROR((KCR_P202[[#This Row],[R]]*9)/KCR_P202[[#This Row],[IP]],0)</f>
        <v>3.375</v>
      </c>
      <c r="BC118" s="28">
        <v>1</v>
      </c>
      <c r="BD118" s="74">
        <v>0</v>
      </c>
      <c r="BE118" s="28">
        <v>11</v>
      </c>
      <c r="BF118" s="584">
        <v>24</v>
      </c>
      <c r="BG118" s="28">
        <v>19</v>
      </c>
      <c r="BH118" s="28">
        <v>9</v>
      </c>
      <c r="BI118" s="28">
        <v>10</v>
      </c>
      <c r="BJ118" s="28">
        <v>12</v>
      </c>
      <c r="BK118" s="28">
        <v>0</v>
      </c>
      <c r="BL118" s="106">
        <f>IFERROR((KCR_P202[[#This Row],[H]]+KCR_P202[[#This Row],[BB]])/KCR_P202[[#This Row],[IP]],0)</f>
        <v>1.2083333333333333</v>
      </c>
      <c r="BM118" s="77">
        <v>0</v>
      </c>
      <c r="BN118" s="90">
        <v>0</v>
      </c>
      <c r="BO118" s="28">
        <v>0</v>
      </c>
      <c r="BP118" s="74">
        <v>0</v>
      </c>
      <c r="BQ118" s="615">
        <v>5</v>
      </c>
    </row>
    <row r="119" spans="1:73">
      <c r="A119" s="651" t="s">
        <v>502</v>
      </c>
      <c r="B119" s="74" t="s">
        <v>212</v>
      </c>
      <c r="C119" s="87" t="s">
        <v>531</v>
      </c>
      <c r="D119" s="88">
        <f>IFERROR((KCR_P[[#This Row],[R]]*9)/KCR_P[[#This Row],[IP]],0)</f>
        <v>10.8</v>
      </c>
      <c r="E119" s="28">
        <v>1</v>
      </c>
      <c r="F119" s="74">
        <v>1</v>
      </c>
      <c r="G119" s="28">
        <v>17</v>
      </c>
      <c r="H119" s="584">
        <v>15</v>
      </c>
      <c r="I119" s="28">
        <v>25</v>
      </c>
      <c r="J119" s="28">
        <v>18</v>
      </c>
      <c r="K119" s="28">
        <v>6</v>
      </c>
      <c r="L119" s="28">
        <v>27</v>
      </c>
      <c r="M119" s="28">
        <v>1</v>
      </c>
      <c r="N119" s="106">
        <f>IFERROR((KCR_P[[#This Row],[BB]]+KCR_P[[#This Row],[H]])/KCR_P[[#This Row],[IP]],0)</f>
        <v>2.0666666666666669</v>
      </c>
      <c r="O119" s="77">
        <v>0</v>
      </c>
      <c r="P119" s="90">
        <v>0</v>
      </c>
      <c r="Q119" s="28">
        <v>0</v>
      </c>
      <c r="R119" s="74">
        <v>0</v>
      </c>
      <c r="S119" s="615">
        <v>6</v>
      </c>
      <c r="Z119" s="651" t="s">
        <v>502</v>
      </c>
      <c r="AA119" s="74" t="s">
        <v>212</v>
      </c>
      <c r="AB119" s="87" t="s">
        <v>531</v>
      </c>
      <c r="AC119" s="88">
        <f>IFERROR((KCR_P228[[#This Row],[R]]*9)/KCR_P228[[#This Row],[IP]],0)</f>
        <v>2.3684210526315788</v>
      </c>
      <c r="AD119" s="28">
        <v>0</v>
      </c>
      <c r="AE119" s="74">
        <v>0</v>
      </c>
      <c r="AF119" s="28">
        <v>14</v>
      </c>
      <c r="AG119" s="584">
        <v>19</v>
      </c>
      <c r="AH119" s="28">
        <v>16</v>
      </c>
      <c r="AI119" s="28">
        <v>5</v>
      </c>
      <c r="AJ119" s="28">
        <v>6</v>
      </c>
      <c r="AK119" s="28">
        <v>20</v>
      </c>
      <c r="AL119" s="28">
        <v>1</v>
      </c>
      <c r="AM119" s="106">
        <f>IFERROR((KCR_P228[[#This Row],[BB]]+KCR_P228[[#This Row],[H]])/KCR_P228[[#This Row],[IP]],0)</f>
        <v>1.1578947368421053</v>
      </c>
      <c r="AN119" s="77">
        <v>0</v>
      </c>
      <c r="AO119" s="90">
        <v>0</v>
      </c>
      <c r="AP119" s="28">
        <v>0</v>
      </c>
      <c r="AQ119" s="74">
        <v>0</v>
      </c>
      <c r="AR119" s="615">
        <v>6</v>
      </c>
      <c r="AY119" s="651" t="s">
        <v>502</v>
      </c>
      <c r="AZ119" s="74" t="s">
        <v>215</v>
      </c>
      <c r="BA119" s="71" t="s">
        <v>530</v>
      </c>
      <c r="BB119" s="88">
        <f>IFERROR((KCR_P202[[#This Row],[R]]*9)/KCR_P202[[#This Row],[IP]],0)</f>
        <v>2.3483365949119372</v>
      </c>
      <c r="BC119" s="28">
        <v>2</v>
      </c>
      <c r="BD119" s="74">
        <v>0</v>
      </c>
      <c r="BE119" s="28">
        <v>7</v>
      </c>
      <c r="BF119" s="584">
        <v>15.33</v>
      </c>
      <c r="BG119" s="28">
        <v>14</v>
      </c>
      <c r="BH119" s="28">
        <v>4</v>
      </c>
      <c r="BI119" s="28">
        <v>2</v>
      </c>
      <c r="BJ119" s="28">
        <v>14</v>
      </c>
      <c r="BK119" s="28">
        <v>0</v>
      </c>
      <c r="BL119" s="106">
        <f>IFERROR((KCR_P202[[#This Row],[H]]+KCR_P202[[#This Row],[BB]])/KCR_P202[[#This Row],[IP]],0)</f>
        <v>1.0437051532941943</v>
      </c>
      <c r="BM119" s="77">
        <v>1</v>
      </c>
      <c r="BN119" s="90">
        <v>0</v>
      </c>
      <c r="BO119" s="28">
        <v>0</v>
      </c>
      <c r="BP119" s="74">
        <v>0</v>
      </c>
      <c r="BQ119" s="615">
        <v>6</v>
      </c>
    </row>
    <row r="120" spans="1:73">
      <c r="A120" s="651" t="s">
        <v>502</v>
      </c>
      <c r="B120" s="74" t="s">
        <v>212</v>
      </c>
      <c r="C120" s="87" t="s">
        <v>527</v>
      </c>
      <c r="D120" s="88">
        <f>IFERROR((KCR_P[[#This Row],[R]]*9)/KCR_P[[#This Row],[IP]],0)</f>
        <v>3.7792441511697659</v>
      </c>
      <c r="E120" s="28">
        <v>0</v>
      </c>
      <c r="F120" s="74">
        <v>1</v>
      </c>
      <c r="G120" s="28">
        <v>14</v>
      </c>
      <c r="H120" s="584">
        <v>16.670000000000002</v>
      </c>
      <c r="I120" s="28">
        <v>13</v>
      </c>
      <c r="J120" s="28">
        <v>7</v>
      </c>
      <c r="K120" s="28">
        <v>14</v>
      </c>
      <c r="L120" s="28">
        <v>18</v>
      </c>
      <c r="M120" s="28">
        <v>1</v>
      </c>
      <c r="N120" s="106">
        <f>IFERROR((KCR_P[[#This Row],[BB]]+KCR_P[[#This Row],[H]])/KCR_P[[#This Row],[IP]],0)</f>
        <v>1.6196760647870425</v>
      </c>
      <c r="O120" s="77">
        <v>0</v>
      </c>
      <c r="P120" s="90">
        <v>0</v>
      </c>
      <c r="Q120" s="28">
        <v>0</v>
      </c>
      <c r="R120" s="74">
        <v>0</v>
      </c>
      <c r="S120" s="615">
        <v>7</v>
      </c>
      <c r="Z120" s="651" t="s">
        <v>502</v>
      </c>
      <c r="AA120" s="74" t="s">
        <v>212</v>
      </c>
      <c r="AB120" s="87" t="s">
        <v>527</v>
      </c>
      <c r="AC120" s="88">
        <f>IFERROR((KCR_P228[[#This Row],[R]]*9)/KCR_P228[[#This Row],[IP]],0)</f>
        <v>7.657859381997314</v>
      </c>
      <c r="AD120" s="28">
        <v>0</v>
      </c>
      <c r="AE120" s="74">
        <v>1</v>
      </c>
      <c r="AF120" s="28">
        <v>15</v>
      </c>
      <c r="AG120" s="584">
        <v>22.33</v>
      </c>
      <c r="AH120" s="28">
        <v>32</v>
      </c>
      <c r="AI120" s="28">
        <v>19</v>
      </c>
      <c r="AJ120" s="28">
        <v>16</v>
      </c>
      <c r="AK120" s="28">
        <v>24</v>
      </c>
      <c r="AL120" s="28">
        <v>0</v>
      </c>
      <c r="AM120" s="106">
        <f>IFERROR((KCR_P228[[#This Row],[BB]]+KCR_P228[[#This Row],[H]])/KCR_P228[[#This Row],[IP]],0)</f>
        <v>2.1495745633676671</v>
      </c>
      <c r="AN120" s="77">
        <v>0</v>
      </c>
      <c r="AO120" s="90">
        <v>0</v>
      </c>
      <c r="AP120" s="28">
        <v>0</v>
      </c>
      <c r="AQ120" s="74">
        <v>0</v>
      </c>
      <c r="AR120" s="615">
        <v>7</v>
      </c>
      <c r="AY120" s="651" t="s">
        <v>502</v>
      </c>
      <c r="AZ120" s="74" t="s">
        <v>212</v>
      </c>
      <c r="BA120" s="71" t="s">
        <v>527</v>
      </c>
      <c r="BB120" s="88">
        <f>IFERROR((KCR_P202[[#This Row],[R]]*9)/KCR_P202[[#This Row],[IP]],0)</f>
        <v>4.5</v>
      </c>
      <c r="BC120" s="28">
        <v>2</v>
      </c>
      <c r="BD120" s="74">
        <v>1</v>
      </c>
      <c r="BE120" s="28">
        <v>20</v>
      </c>
      <c r="BF120" s="584">
        <v>28</v>
      </c>
      <c r="BG120" s="28">
        <v>27</v>
      </c>
      <c r="BH120" s="28">
        <v>14</v>
      </c>
      <c r="BI120" s="28">
        <v>9</v>
      </c>
      <c r="BJ120" s="28">
        <v>28</v>
      </c>
      <c r="BK120" s="28">
        <v>1</v>
      </c>
      <c r="BL120" s="106">
        <f>IFERROR((KCR_P202[[#This Row],[H]]+KCR_P202[[#This Row],[BB]])/KCR_P202[[#This Row],[IP]],0)</f>
        <v>1.2857142857142858</v>
      </c>
      <c r="BM120" s="77">
        <v>0</v>
      </c>
      <c r="BN120" s="90">
        <v>0</v>
      </c>
      <c r="BO120" s="28">
        <v>0</v>
      </c>
      <c r="BP120" s="74">
        <v>0</v>
      </c>
      <c r="BQ120" s="615">
        <v>7</v>
      </c>
    </row>
    <row r="121" spans="1:73">
      <c r="A121" s="651" t="s">
        <v>502</v>
      </c>
      <c r="B121" s="74" t="s">
        <v>212</v>
      </c>
      <c r="C121" s="87" t="s">
        <v>529</v>
      </c>
      <c r="D121" s="88">
        <f>IFERROR((KCR_P[[#This Row],[R]]*9)/KCR_P[[#This Row],[IP]],0)</f>
        <v>6.3529411764705879</v>
      </c>
      <c r="E121" s="28">
        <v>1</v>
      </c>
      <c r="F121" s="74">
        <v>0</v>
      </c>
      <c r="G121" s="28">
        <v>19</v>
      </c>
      <c r="H121" s="584">
        <v>17</v>
      </c>
      <c r="I121" s="28">
        <v>20</v>
      </c>
      <c r="J121" s="28">
        <v>12</v>
      </c>
      <c r="K121" s="28">
        <v>12</v>
      </c>
      <c r="L121" s="28">
        <v>15</v>
      </c>
      <c r="M121" s="28">
        <v>0</v>
      </c>
      <c r="N121" s="106">
        <f>IFERROR((KCR_P[[#This Row],[BB]]+KCR_P[[#This Row],[H]])/KCR_P[[#This Row],[IP]],0)</f>
        <v>1.8823529411764706</v>
      </c>
      <c r="O121" s="77">
        <v>0</v>
      </c>
      <c r="P121" s="90">
        <v>0</v>
      </c>
      <c r="Q121" s="28">
        <v>0</v>
      </c>
      <c r="R121" s="74">
        <v>0</v>
      </c>
      <c r="S121" s="615">
        <v>8</v>
      </c>
      <c r="Z121" s="651" t="s">
        <v>502</v>
      </c>
      <c r="AA121" s="74" t="s">
        <v>212</v>
      </c>
      <c r="AB121" s="87" t="s">
        <v>529</v>
      </c>
      <c r="AC121" s="88">
        <f>IFERROR((KCR_P228[[#This Row],[R]]*9)/KCR_P228[[#This Row],[IP]],0)</f>
        <v>8.6587436332767389</v>
      </c>
      <c r="AD121" s="28">
        <v>0</v>
      </c>
      <c r="AE121" s="74">
        <v>1</v>
      </c>
      <c r="AF121" s="28">
        <v>14</v>
      </c>
      <c r="AG121" s="584">
        <v>17.670000000000002</v>
      </c>
      <c r="AH121" s="28">
        <v>27</v>
      </c>
      <c r="AI121" s="28">
        <v>17</v>
      </c>
      <c r="AJ121" s="28">
        <v>12</v>
      </c>
      <c r="AK121" s="28">
        <v>9</v>
      </c>
      <c r="AL121" s="28">
        <v>1</v>
      </c>
      <c r="AM121" s="106">
        <f>IFERROR((KCR_P228[[#This Row],[BB]]+KCR_P228[[#This Row],[H]])/KCR_P228[[#This Row],[IP]],0)</f>
        <v>2.2071307300509337</v>
      </c>
      <c r="AN121" s="77">
        <v>0</v>
      </c>
      <c r="AO121" s="90">
        <v>0</v>
      </c>
      <c r="AP121" s="28">
        <v>0</v>
      </c>
      <c r="AQ121" s="74">
        <v>0</v>
      </c>
      <c r="AR121" s="615">
        <v>8</v>
      </c>
      <c r="AY121" s="651" t="s">
        <v>502</v>
      </c>
      <c r="AZ121" s="74" t="s">
        <v>212</v>
      </c>
      <c r="BA121" s="71" t="s">
        <v>529</v>
      </c>
      <c r="BB121" s="88">
        <f>IFERROR((KCR_P202[[#This Row],[R]]*9)/KCR_P202[[#This Row],[IP]],0)</f>
        <v>1.2</v>
      </c>
      <c r="BC121" s="28">
        <v>1</v>
      </c>
      <c r="BD121" s="74">
        <v>0</v>
      </c>
      <c r="BE121" s="28">
        <v>14</v>
      </c>
      <c r="BF121" s="584">
        <v>15</v>
      </c>
      <c r="BG121" s="28">
        <v>12</v>
      </c>
      <c r="BH121" s="28">
        <v>2</v>
      </c>
      <c r="BI121" s="28">
        <v>7</v>
      </c>
      <c r="BJ121" s="28">
        <v>16</v>
      </c>
      <c r="BK121" s="28">
        <v>0</v>
      </c>
      <c r="BL121" s="106">
        <f>IFERROR((KCR_P202[[#This Row],[H]]+KCR_P202[[#This Row],[BB]])/KCR_P202[[#This Row],[IP]],0)</f>
        <v>1.2666666666666666</v>
      </c>
      <c r="BM121" s="77">
        <v>0</v>
      </c>
      <c r="BN121" s="90">
        <v>0</v>
      </c>
      <c r="BO121" s="28">
        <v>0</v>
      </c>
      <c r="BP121" s="74">
        <v>0</v>
      </c>
      <c r="BQ121" s="615">
        <v>8</v>
      </c>
    </row>
    <row r="122" spans="1:73">
      <c r="A122" s="651" t="s">
        <v>502</v>
      </c>
      <c r="B122" s="74" t="s">
        <v>215</v>
      </c>
      <c r="C122" s="87" t="s">
        <v>533</v>
      </c>
      <c r="D122" s="88">
        <f>IFERROR((KCR_P[[#This Row],[R]]*9)/KCR_P[[#This Row],[IP]],0)</f>
        <v>3.75</v>
      </c>
      <c r="E122" s="28">
        <v>1</v>
      </c>
      <c r="F122" s="74">
        <v>2</v>
      </c>
      <c r="G122" s="28">
        <v>23</v>
      </c>
      <c r="H122" s="584">
        <v>24</v>
      </c>
      <c r="I122" s="28">
        <v>22</v>
      </c>
      <c r="J122" s="28">
        <v>10</v>
      </c>
      <c r="K122" s="28">
        <v>7</v>
      </c>
      <c r="L122" s="28">
        <v>32</v>
      </c>
      <c r="M122" s="28">
        <v>2</v>
      </c>
      <c r="N122" s="106">
        <f>IFERROR((KCR_P[[#This Row],[BB]]+KCR_P[[#This Row],[H]])/KCR_P[[#This Row],[IP]],0)</f>
        <v>1.2083333333333333</v>
      </c>
      <c r="O122" s="77">
        <v>0</v>
      </c>
      <c r="P122" s="90">
        <v>0</v>
      </c>
      <c r="Q122" s="28">
        <v>0</v>
      </c>
      <c r="R122" s="74">
        <v>0</v>
      </c>
      <c r="S122" s="615">
        <v>9</v>
      </c>
      <c r="Z122" s="651" t="s">
        <v>502</v>
      </c>
      <c r="AA122" s="74" t="s">
        <v>212</v>
      </c>
      <c r="AB122" s="87" t="s">
        <v>532</v>
      </c>
      <c r="AC122" s="88">
        <f>IFERROR((KCR_P228[[#This Row],[R]]*9)/KCR_P228[[#This Row],[IP]],0)</f>
        <v>3.4838709677419355</v>
      </c>
      <c r="AD122" s="28">
        <v>0</v>
      </c>
      <c r="AE122" s="74">
        <v>2</v>
      </c>
      <c r="AF122" s="28">
        <v>26</v>
      </c>
      <c r="AG122" s="584">
        <v>31</v>
      </c>
      <c r="AH122" s="28">
        <v>32</v>
      </c>
      <c r="AI122" s="28">
        <v>12</v>
      </c>
      <c r="AJ122" s="28">
        <v>10</v>
      </c>
      <c r="AK122" s="28">
        <v>26</v>
      </c>
      <c r="AL122" s="28">
        <v>5</v>
      </c>
      <c r="AM122" s="106">
        <f>IFERROR((KCR_P228[[#This Row],[BB]]+KCR_P228[[#This Row],[H]])/KCR_P228[[#This Row],[IP]],0)</f>
        <v>1.3548387096774193</v>
      </c>
      <c r="AN122" s="77">
        <v>0</v>
      </c>
      <c r="AO122" s="90">
        <v>0</v>
      </c>
      <c r="AP122" s="28">
        <v>0</v>
      </c>
      <c r="AQ122" s="74">
        <v>0</v>
      </c>
      <c r="AR122" s="615">
        <v>9</v>
      </c>
      <c r="AY122" s="651" t="s">
        <v>502</v>
      </c>
      <c r="AZ122" s="74" t="s">
        <v>212</v>
      </c>
      <c r="BA122" s="71" t="s">
        <v>532</v>
      </c>
      <c r="BB122" s="88">
        <f>IFERROR((KCR_P202[[#This Row],[R]]*9)/KCR_P202[[#This Row],[IP]],0)</f>
        <v>5.5580061755624168</v>
      </c>
      <c r="BC122" s="28">
        <v>1</v>
      </c>
      <c r="BD122" s="74">
        <v>3</v>
      </c>
      <c r="BE122" s="28">
        <v>19</v>
      </c>
      <c r="BF122" s="584">
        <v>22.67</v>
      </c>
      <c r="BG122" s="28">
        <v>22</v>
      </c>
      <c r="BH122" s="28">
        <v>14</v>
      </c>
      <c r="BI122" s="28">
        <v>14</v>
      </c>
      <c r="BJ122" s="28">
        <v>25</v>
      </c>
      <c r="BK122" s="28">
        <v>0</v>
      </c>
      <c r="BL122" s="106">
        <f>IFERROR((KCR_P202[[#This Row],[H]]+KCR_P202[[#This Row],[BB]])/KCR_P202[[#This Row],[IP]],0)</f>
        <v>1.5880017644464048</v>
      </c>
      <c r="BM122" s="77">
        <v>0</v>
      </c>
      <c r="BN122" s="90">
        <v>0</v>
      </c>
      <c r="BO122" s="28">
        <v>0</v>
      </c>
      <c r="BP122" s="74">
        <v>0</v>
      </c>
      <c r="BQ122" s="615">
        <v>9</v>
      </c>
    </row>
    <row r="123" spans="1:73" ht="17" thickBot="1">
      <c r="A123" s="651" t="s">
        <v>502</v>
      </c>
      <c r="B123" s="74" t="s">
        <v>212</v>
      </c>
      <c r="C123" s="87" t="s">
        <v>532</v>
      </c>
      <c r="D123" s="88">
        <f>IFERROR((KCR_P[[#This Row],[R]]*9)/KCR_P[[#This Row],[IP]],0)</f>
        <v>3.4137931034482758</v>
      </c>
      <c r="E123" s="28">
        <v>4</v>
      </c>
      <c r="F123" s="74">
        <v>1</v>
      </c>
      <c r="G123" s="28">
        <v>25</v>
      </c>
      <c r="H123" s="584">
        <v>29</v>
      </c>
      <c r="I123" s="28">
        <v>28</v>
      </c>
      <c r="J123" s="28">
        <v>11</v>
      </c>
      <c r="K123" s="28">
        <v>11</v>
      </c>
      <c r="L123" s="28">
        <v>25</v>
      </c>
      <c r="M123" s="28">
        <v>7</v>
      </c>
      <c r="N123" s="106">
        <f>IFERROR((KCR_P[[#This Row],[BB]]+KCR_P[[#This Row],[H]])/KCR_P[[#This Row],[IP]],0)</f>
        <v>1.3448275862068966</v>
      </c>
      <c r="O123" s="77">
        <v>0</v>
      </c>
      <c r="P123" s="90">
        <v>0</v>
      </c>
      <c r="Q123" s="28">
        <v>0</v>
      </c>
      <c r="R123" s="74">
        <v>0</v>
      </c>
      <c r="S123" s="615">
        <v>10</v>
      </c>
      <c r="Z123" s="651" t="s">
        <v>502</v>
      </c>
      <c r="AA123" s="74" t="s">
        <v>215</v>
      </c>
      <c r="AB123" s="87" t="s">
        <v>534</v>
      </c>
      <c r="AC123" s="88">
        <f>IFERROR((KCR_P228[[#This Row],[R]]*9)/KCR_P228[[#This Row],[IP]],0)</f>
        <v>5.333333333333333</v>
      </c>
      <c r="AD123" s="28">
        <v>3</v>
      </c>
      <c r="AE123" s="74">
        <v>3</v>
      </c>
      <c r="AF123" s="28">
        <v>23</v>
      </c>
      <c r="AG123" s="584">
        <v>27</v>
      </c>
      <c r="AH123" s="28">
        <v>25</v>
      </c>
      <c r="AI123" s="28">
        <v>16</v>
      </c>
      <c r="AJ123" s="28">
        <v>15</v>
      </c>
      <c r="AK123" s="28">
        <v>31</v>
      </c>
      <c r="AL123" s="28">
        <v>2</v>
      </c>
      <c r="AM123" s="106">
        <f>IFERROR((KCR_P228[[#This Row],[BB]]+KCR_P228[[#This Row],[H]])/KCR_P228[[#This Row],[IP]],0)</f>
        <v>1.4814814814814814</v>
      </c>
      <c r="AN123" s="77">
        <v>0</v>
      </c>
      <c r="AO123" s="90">
        <v>0</v>
      </c>
      <c r="AP123" s="28">
        <v>0</v>
      </c>
      <c r="AQ123" s="74">
        <v>0</v>
      </c>
      <c r="AR123" s="615">
        <v>10</v>
      </c>
      <c r="AY123" s="651" t="s">
        <v>502</v>
      </c>
      <c r="AZ123" s="74" t="s">
        <v>212</v>
      </c>
      <c r="BA123" s="71" t="s">
        <v>535</v>
      </c>
      <c r="BB123" s="88">
        <f>IFERROR((KCR_P202[[#This Row],[R]]*9)/KCR_P202[[#This Row],[IP]],0)</f>
        <v>1.4592622618565059</v>
      </c>
      <c r="BC123" s="28">
        <v>1</v>
      </c>
      <c r="BD123" s="74">
        <v>0</v>
      </c>
      <c r="BE123" s="28">
        <v>22</v>
      </c>
      <c r="BF123" s="584">
        <v>24.67</v>
      </c>
      <c r="BG123" s="28">
        <v>16</v>
      </c>
      <c r="BH123" s="28">
        <v>4</v>
      </c>
      <c r="BI123" s="28">
        <v>7</v>
      </c>
      <c r="BJ123" s="28">
        <v>31</v>
      </c>
      <c r="BK123" s="28">
        <v>9</v>
      </c>
      <c r="BL123" s="106">
        <f>IFERROR((KCR_P202[[#This Row],[H]]+KCR_P202[[#This Row],[BB]])/KCR_P202[[#This Row],[IP]],0)</f>
        <v>0.93230644507498983</v>
      </c>
      <c r="BM123" s="77">
        <v>0</v>
      </c>
      <c r="BN123" s="90">
        <v>0</v>
      </c>
      <c r="BO123" s="28">
        <v>0</v>
      </c>
      <c r="BP123" s="74">
        <v>0</v>
      </c>
      <c r="BQ123" s="615">
        <v>10</v>
      </c>
    </row>
    <row r="124" spans="1:73" ht="17" thickBot="1">
      <c r="A124" s="691"/>
      <c r="B124" s="692"/>
      <c r="C124" s="693" t="s">
        <v>195</v>
      </c>
      <c r="D124" s="745">
        <f>(J124*9)/H124</f>
        <v>4.4282621531194648</v>
      </c>
      <c r="E124" s="696">
        <f>SUBTOTAL(109,KCR_P[W])</f>
        <v>22</v>
      </c>
      <c r="F124" s="697">
        <f>SUBTOTAL(109,KCR_P[L])</f>
        <v>18</v>
      </c>
      <c r="G124" s="696"/>
      <c r="H124" s="700">
        <f>SUBTOTAL(109,KCR_P[IP])</f>
        <v>355.67</v>
      </c>
      <c r="I124" s="696">
        <f>SUBTOTAL(109,KCR_P[H])</f>
        <v>365</v>
      </c>
      <c r="J124" s="696">
        <f>SUBTOTAL(109,KCR_P[R])</f>
        <v>175</v>
      </c>
      <c r="K124" s="696">
        <f>SUBTOTAL(109,KCR_P[BB])</f>
        <v>144</v>
      </c>
      <c r="L124" s="696">
        <f>SUBTOTAL(109,KCR_P[K])</f>
        <v>347</v>
      </c>
      <c r="M124" s="696">
        <f>SUBTOTAL(109,KCR_P[SV])</f>
        <v>11</v>
      </c>
      <c r="N124" s="746">
        <f>(K124+I124)/H124</f>
        <v>1.4311018640874968</v>
      </c>
      <c r="O124" s="701">
        <f>SUBTOTAL(109,KCR_P[QS])</f>
        <v>25</v>
      </c>
      <c r="P124" s="702">
        <f>SUBTOTAL(109,KCR_P[UQ])</f>
        <v>13</v>
      </c>
      <c r="Q124" s="703">
        <f>SUBTOTAL(109,KCR_P[CG])</f>
        <v>1</v>
      </c>
      <c r="R124" s="704">
        <f>SUBTOTAL(109,KCR_P[SH])</f>
        <v>1</v>
      </c>
      <c r="S124" s="747"/>
      <c r="Z124" s="691"/>
      <c r="AA124" s="692"/>
      <c r="AB124" s="693" t="s">
        <v>195</v>
      </c>
      <c r="AC124" s="745">
        <f>(AI124*9)/AG124</f>
        <v>5.7481316584512641</v>
      </c>
      <c r="AD124" s="696">
        <f>SUBTOTAL(109,KCR_P228[W])</f>
        <v>18</v>
      </c>
      <c r="AE124" s="697">
        <f>SUBTOTAL(109,KCR_P228[L])</f>
        <v>22</v>
      </c>
      <c r="AF124" s="696"/>
      <c r="AG124" s="700">
        <f>SUBTOTAL(109,KCR_P228[IP])</f>
        <v>377.34000000000003</v>
      </c>
      <c r="AH124" s="696">
        <f>SUBTOTAL(109,KCR_P228[H])</f>
        <v>434</v>
      </c>
      <c r="AI124" s="696">
        <f>SUBTOTAL(109,KCR_P228[R])</f>
        <v>241</v>
      </c>
      <c r="AJ124" s="696">
        <f>SUBTOTAL(109,KCR_P228[BB])</f>
        <v>172</v>
      </c>
      <c r="AK124" s="696">
        <f>SUBTOTAL(109,KCR_P228[K])</f>
        <v>332</v>
      </c>
      <c r="AL124" s="696">
        <f>SUBTOTAL(109,KCR_P228[SV])</f>
        <v>9</v>
      </c>
      <c r="AM124" s="746">
        <f>(AJ124+AH124)/AG124</f>
        <v>1.6059786929559547</v>
      </c>
      <c r="AN124" s="701">
        <f>SUBTOTAL(109,KCR_P228[QS])</f>
        <v>16</v>
      </c>
      <c r="AO124" s="702">
        <f>SUBTOTAL(109,KCR_P228[UQ])</f>
        <v>5</v>
      </c>
      <c r="AP124" s="703">
        <f>SUBTOTAL(109,KCR_P228[CG])</f>
        <v>1</v>
      </c>
      <c r="AQ124" s="704">
        <f>SUBTOTAL(109,KCR_P228[SH])</f>
        <v>1</v>
      </c>
      <c r="AR124" s="747"/>
      <c r="AY124" s="691"/>
      <c r="AZ124" s="692"/>
      <c r="BA124" s="693" t="s">
        <v>195</v>
      </c>
      <c r="BB124" s="745">
        <f>IFERROR((BH124*9)/BF124,0)</f>
        <v>4.6880222841225629</v>
      </c>
      <c r="BC124" s="696">
        <f t="shared" ref="BC124:BK124" si="12">SUM(BC114:BC123)</f>
        <v>20</v>
      </c>
      <c r="BD124" s="697">
        <f t="shared" si="12"/>
        <v>20</v>
      </c>
      <c r="BE124" s="696"/>
      <c r="BF124" s="700">
        <f t="shared" si="12"/>
        <v>359</v>
      </c>
      <c r="BG124" s="696">
        <f t="shared" si="12"/>
        <v>361</v>
      </c>
      <c r="BH124" s="696">
        <f t="shared" si="12"/>
        <v>187</v>
      </c>
      <c r="BI124" s="696">
        <f t="shared" si="12"/>
        <v>162</v>
      </c>
      <c r="BJ124" s="696">
        <f t="shared" si="12"/>
        <v>353</v>
      </c>
      <c r="BK124" s="696">
        <f t="shared" si="12"/>
        <v>10</v>
      </c>
      <c r="BL124" s="746">
        <f>(BI124+BG124)/BF124</f>
        <v>1.4568245125348189</v>
      </c>
      <c r="BM124" s="701">
        <f>SUBTOTAL(109,KCR_P202[QS])</f>
        <v>14</v>
      </c>
      <c r="BN124" s="702">
        <f>SUBTOTAL(109,KCR_P202[UQ])</f>
        <v>8</v>
      </c>
      <c r="BO124" s="703">
        <f>SUM(BO114:BO123)</f>
        <v>0</v>
      </c>
      <c r="BP124" s="704">
        <f>SUM(BP114:BP123)</f>
        <v>0</v>
      </c>
      <c r="BQ124" s="747"/>
    </row>
    <row r="125" spans="1:73" ht="17" thickBot="1"/>
    <row r="126" spans="1:73" ht="24" thickBot="1">
      <c r="A126" s="1039" t="s">
        <v>536</v>
      </c>
      <c r="B126" s="1040"/>
      <c r="C126" s="1040"/>
      <c r="D126" s="1040"/>
      <c r="E126" s="1040"/>
      <c r="F126" s="1040"/>
      <c r="G126" s="1040"/>
      <c r="H126" s="1040"/>
      <c r="I126" s="1040"/>
      <c r="J126" s="1040"/>
      <c r="K126" s="1040"/>
      <c r="L126" s="1040"/>
      <c r="M126" s="1040"/>
      <c r="N126" s="1040"/>
      <c r="O126" s="1040"/>
      <c r="P126" s="1040"/>
      <c r="Q126" s="1040"/>
      <c r="R126" s="1040"/>
      <c r="S126" s="1040"/>
      <c r="T126" s="1040"/>
      <c r="U126" s="1040"/>
      <c r="V126" s="1040"/>
      <c r="W126" s="1041"/>
      <c r="Z126" s="1039" t="s">
        <v>537</v>
      </c>
      <c r="AA126" s="1040"/>
      <c r="AB126" s="1040"/>
      <c r="AC126" s="1040"/>
      <c r="AD126" s="1040"/>
      <c r="AE126" s="1040"/>
      <c r="AF126" s="1040"/>
      <c r="AG126" s="1040"/>
      <c r="AH126" s="1040"/>
      <c r="AI126" s="1040"/>
      <c r="AJ126" s="1040"/>
      <c r="AK126" s="1040"/>
      <c r="AL126" s="1040"/>
      <c r="AM126" s="1040"/>
      <c r="AN126" s="1040"/>
      <c r="AO126" s="1040"/>
      <c r="AP126" s="1040"/>
      <c r="AQ126" s="1040"/>
      <c r="AR126" s="1040"/>
      <c r="AS126" s="1040"/>
      <c r="AT126" s="1040"/>
      <c r="AU126" s="1040"/>
      <c r="AV126" s="1041"/>
      <c r="AY126" s="1039" t="s">
        <v>538</v>
      </c>
      <c r="AZ126" s="1040"/>
      <c r="BA126" s="1040"/>
      <c r="BB126" s="1040"/>
      <c r="BC126" s="1040"/>
      <c r="BD126" s="1040"/>
      <c r="BE126" s="1040"/>
      <c r="BF126" s="1040"/>
      <c r="BG126" s="1040"/>
      <c r="BH126" s="1040"/>
      <c r="BI126" s="1040"/>
      <c r="BJ126" s="1040"/>
      <c r="BK126" s="1040"/>
      <c r="BL126" s="1040"/>
      <c r="BM126" s="1040"/>
      <c r="BN126" s="1040"/>
      <c r="BO126" s="1040"/>
      <c r="BP126" s="1040"/>
      <c r="BQ126" s="1040"/>
      <c r="BR126" s="1040"/>
      <c r="BS126" s="1040"/>
      <c r="BT126" s="1040"/>
      <c r="BU126" s="1041"/>
    </row>
    <row r="127" spans="1:73" s="64" customFormat="1" ht="14" thickBot="1">
      <c r="A127" s="605" t="s">
        <v>143</v>
      </c>
      <c r="B127" s="606" t="s">
        <v>144</v>
      </c>
      <c r="C127" s="606" t="s">
        <v>145</v>
      </c>
      <c r="D127" s="606" t="s">
        <v>146</v>
      </c>
      <c r="E127" s="606" t="s">
        <v>147</v>
      </c>
      <c r="F127" s="606" t="s">
        <v>148</v>
      </c>
      <c r="G127" s="606" t="s">
        <v>149</v>
      </c>
      <c r="H127" s="606" t="s">
        <v>150</v>
      </c>
      <c r="I127" s="606" t="s">
        <v>151</v>
      </c>
      <c r="J127" s="606" t="s">
        <v>152</v>
      </c>
      <c r="K127" s="606" t="s">
        <v>153</v>
      </c>
      <c r="L127" s="606" t="s">
        <v>154</v>
      </c>
      <c r="M127" s="606" t="s">
        <v>155</v>
      </c>
      <c r="N127" s="606" t="s">
        <v>156</v>
      </c>
      <c r="O127" s="606" t="s">
        <v>157</v>
      </c>
      <c r="P127" s="606" t="s">
        <v>158</v>
      </c>
      <c r="Q127" s="606" t="s">
        <v>159</v>
      </c>
      <c r="R127" s="606" t="s">
        <v>160</v>
      </c>
      <c r="S127" s="606" t="s">
        <v>16</v>
      </c>
      <c r="T127" s="606" t="s">
        <v>161</v>
      </c>
      <c r="U127" s="606" t="s">
        <v>162</v>
      </c>
      <c r="V127" s="606" t="s">
        <v>163</v>
      </c>
      <c r="W127" s="607" t="s">
        <v>164</v>
      </c>
      <c r="Z127" s="605" t="s">
        <v>143</v>
      </c>
      <c r="AA127" s="606" t="s">
        <v>144</v>
      </c>
      <c r="AB127" s="606" t="s">
        <v>145</v>
      </c>
      <c r="AC127" s="606" t="s">
        <v>146</v>
      </c>
      <c r="AD127" s="606" t="s">
        <v>147</v>
      </c>
      <c r="AE127" s="606" t="s">
        <v>148</v>
      </c>
      <c r="AF127" s="606" t="s">
        <v>149</v>
      </c>
      <c r="AG127" s="606" t="s">
        <v>150</v>
      </c>
      <c r="AH127" s="606" t="s">
        <v>151</v>
      </c>
      <c r="AI127" s="606" t="s">
        <v>152</v>
      </c>
      <c r="AJ127" s="606" t="s">
        <v>153</v>
      </c>
      <c r="AK127" s="606" t="s">
        <v>154</v>
      </c>
      <c r="AL127" s="606" t="s">
        <v>155</v>
      </c>
      <c r="AM127" s="606" t="s">
        <v>156</v>
      </c>
      <c r="AN127" s="606" t="s">
        <v>157</v>
      </c>
      <c r="AO127" s="606" t="s">
        <v>158</v>
      </c>
      <c r="AP127" s="606" t="s">
        <v>159</v>
      </c>
      <c r="AQ127" s="606" t="s">
        <v>160</v>
      </c>
      <c r="AR127" s="606" t="s">
        <v>16</v>
      </c>
      <c r="AS127" s="606" t="s">
        <v>161</v>
      </c>
      <c r="AT127" s="606" t="s">
        <v>162</v>
      </c>
      <c r="AU127" s="606" t="s">
        <v>163</v>
      </c>
      <c r="AV127" s="607" t="s">
        <v>164</v>
      </c>
      <c r="AY127" s="605" t="s">
        <v>143</v>
      </c>
      <c r="AZ127" s="606" t="s">
        <v>144</v>
      </c>
      <c r="BA127" s="606" t="s">
        <v>145</v>
      </c>
      <c r="BB127" s="606" t="s">
        <v>146</v>
      </c>
      <c r="BC127" s="606" t="s">
        <v>147</v>
      </c>
      <c r="BD127" s="606" t="s">
        <v>148</v>
      </c>
      <c r="BE127" s="606" t="s">
        <v>149</v>
      </c>
      <c r="BF127" s="606" t="s">
        <v>150</v>
      </c>
      <c r="BG127" s="606" t="s">
        <v>151</v>
      </c>
      <c r="BH127" s="606" t="s">
        <v>152</v>
      </c>
      <c r="BI127" s="606" t="s">
        <v>153</v>
      </c>
      <c r="BJ127" s="606" t="s">
        <v>154</v>
      </c>
      <c r="BK127" s="606" t="s">
        <v>155</v>
      </c>
      <c r="BL127" s="606" t="s">
        <v>156</v>
      </c>
      <c r="BM127" s="606" t="s">
        <v>157</v>
      </c>
      <c r="BN127" s="606" t="s">
        <v>158</v>
      </c>
      <c r="BO127" s="606" t="s">
        <v>159</v>
      </c>
      <c r="BP127" s="606" t="s">
        <v>160</v>
      </c>
      <c r="BQ127" s="606" t="s">
        <v>16</v>
      </c>
      <c r="BR127" s="606" t="s">
        <v>161</v>
      </c>
      <c r="BS127" s="606" t="s">
        <v>162</v>
      </c>
      <c r="BT127" s="606" t="s">
        <v>163</v>
      </c>
      <c r="BU127" s="607" t="s">
        <v>164</v>
      </c>
    </row>
    <row r="128" spans="1:73">
      <c r="A128" s="650" t="s">
        <v>539</v>
      </c>
      <c r="B128" s="597" t="s">
        <v>179</v>
      </c>
      <c r="C128" s="597" t="s">
        <v>547</v>
      </c>
      <c r="D128" s="598">
        <f>IFERROR((CHW_H[[#This Row],[H]]/CHW_H[[#This Row],[AB]]),0)</f>
        <v>0.31858407079646017</v>
      </c>
      <c r="E128" s="598">
        <f>IFERROR((CHW_H[[#This Row],[H]]+CHW_H[[#This Row],[BB]])/(CHW_H[[#This Row],[BB]]+CHW_H[[#This Row],[AB]]),0)</f>
        <v>0.37903225806451613</v>
      </c>
      <c r="F128" s="599">
        <f>IFERROR(((CHW_H[[#This Row],[H]]-CHW_H[[#This Row],[2B]]-CHW_H[[#This Row],[3B]]-CHW_H[[#This Row],[HR]])+(CHW_H[[#This Row],[2B]]*2)+(CHW_H[[#This Row],[3B]]*3)+(CHW_H[[#This Row],[HR]]*4))/CHW_H[[#This Row],[AB]],0)</f>
        <v>0.5663716814159292</v>
      </c>
      <c r="G128" s="600">
        <v>32</v>
      </c>
      <c r="H128" s="600">
        <v>113</v>
      </c>
      <c r="I128" s="600">
        <v>17</v>
      </c>
      <c r="J128" s="600">
        <v>36</v>
      </c>
      <c r="K128" s="600">
        <v>7</v>
      </c>
      <c r="L128" s="600">
        <v>0</v>
      </c>
      <c r="M128" s="600">
        <v>7</v>
      </c>
      <c r="N128" s="600">
        <v>12</v>
      </c>
      <c r="O128" s="600">
        <v>11</v>
      </c>
      <c r="P128" s="604">
        <v>30</v>
      </c>
      <c r="Q128" s="600">
        <v>0</v>
      </c>
      <c r="R128" s="600">
        <v>4</v>
      </c>
      <c r="S128" s="604">
        <v>10</v>
      </c>
      <c r="T128" s="600">
        <f>IFERROR((CHW_H[[#This Row],[H]]-CHW_H[[#This Row],[2B]]-CHW_H[[#This Row],[3B]]-CHW_H[[#This Row],[HR]])+(CHW_H[[#This Row],[2B]]*2)+(CHW_H[[#This Row],[3B]]*3)+(CHW_H[[#This Row],[HR]]*4),0)</f>
        <v>64</v>
      </c>
      <c r="U128" s="598">
        <f>CHW_H[[#This Row],[OBP]]+CHW_H[[#This Row],[SLG]]</f>
        <v>0.94540393948044532</v>
      </c>
      <c r="V128" s="604">
        <v>2</v>
      </c>
      <c r="W128" s="614">
        <v>1</v>
      </c>
      <c r="Z128" s="650" t="s">
        <v>539</v>
      </c>
      <c r="AA128" s="597" t="s">
        <v>179</v>
      </c>
      <c r="AB128" s="597" t="s">
        <v>547</v>
      </c>
      <c r="AC128" s="598">
        <f>IFERROR((CHW_H224[[#This Row],[H]]/CHW_H224[[#This Row],[AB]]),0)</f>
        <v>0.24666666666666667</v>
      </c>
      <c r="AD128" s="598">
        <f>IFERROR((CHW_H224[[#This Row],[H]]+CHW_H224[[#This Row],[BB]])/(CHW_H224[[#This Row],[BB]]+CHW_H224[[#This Row],[AB]]),0)</f>
        <v>0.30674846625766872</v>
      </c>
      <c r="AE128" s="599">
        <f>IFERROR(((CHW_H224[[#This Row],[H]]-CHW_H224[[#This Row],[2B]]-CHW_H224[[#This Row],[3B]]-CHW_H224[[#This Row],[HR]])+(CHW_H224[[#This Row],[2B]]*2)+(CHW_H224[[#This Row],[3B]]*3)+(CHW_H224[[#This Row],[HR]]*4))/CHW_H224[[#This Row],[AB]],0)</f>
        <v>0.36</v>
      </c>
      <c r="AF128" s="600">
        <v>40</v>
      </c>
      <c r="AG128" s="600">
        <v>150</v>
      </c>
      <c r="AH128" s="600">
        <v>17</v>
      </c>
      <c r="AI128" s="600">
        <v>37</v>
      </c>
      <c r="AJ128" s="600">
        <v>5</v>
      </c>
      <c r="AK128" s="600">
        <v>0</v>
      </c>
      <c r="AL128" s="600">
        <v>4</v>
      </c>
      <c r="AM128" s="600">
        <v>16</v>
      </c>
      <c r="AN128" s="600">
        <v>13</v>
      </c>
      <c r="AO128" s="604">
        <v>53</v>
      </c>
      <c r="AP128" s="600">
        <v>0</v>
      </c>
      <c r="AQ128" s="600">
        <v>0</v>
      </c>
      <c r="AR128" s="604">
        <v>7</v>
      </c>
      <c r="AS128" s="600">
        <f>IFERROR((CHW_H224[[#This Row],[H]]-CHW_H224[[#This Row],[2B]]-CHW_H224[[#This Row],[3B]]-CHW_H224[[#This Row],[HR]])+(CHW_H224[[#This Row],[2B]]*2)+(CHW_H224[[#This Row],[3B]]*3)+(CHW_H224[[#This Row],[HR]]*4),0)</f>
        <v>54</v>
      </c>
      <c r="AT128" s="598">
        <f>CHW_H224[[#This Row],[OBP]]+CHW_H224[[#This Row],[SLG]]</f>
        <v>0.6667484662576687</v>
      </c>
      <c r="AU128" s="604">
        <v>3</v>
      </c>
      <c r="AV128" s="614">
        <v>1</v>
      </c>
      <c r="AY128" s="650" t="s">
        <v>539</v>
      </c>
      <c r="AZ128" s="604" t="s">
        <v>179</v>
      </c>
      <c r="BA128" s="597" t="s">
        <v>547</v>
      </c>
      <c r="BB128" s="598">
        <f>IFERROR(CHW_H198[[#This Row],[H]]/CHW_H198[[#This Row],[AB]],0)</f>
        <v>0.26495726495726496</v>
      </c>
      <c r="BC128" s="598">
        <f>IFERROR((CHW_H198[[#This Row],[H]]+CHW_H198[[#This Row],[BB]])/(CHW_H198[[#This Row],[AB]]+CHW_H198[[#This Row],[BB]]),0)</f>
        <v>0.39436619718309857</v>
      </c>
      <c r="BD128" s="599">
        <f>IFERROR(((CHW_H198[[#This Row],[H]]-CHW_H198[[#This Row],[2B]]-CHW_H198[[#This Row],[3B]]-CHW_H198[[#This Row],[HR]])+(CHW_H198[[#This Row],[2B]]*2)+(CHW_H198[[#This Row],[3B]]*3)+(CHW_H198[[#This Row],[HR]]*4))/CHW_H198[[#This Row],[AB]],0)</f>
        <v>0.38461538461538464</v>
      </c>
      <c r="BE128" s="600">
        <v>35</v>
      </c>
      <c r="BF128" s="600">
        <v>117</v>
      </c>
      <c r="BG128" s="600">
        <v>17</v>
      </c>
      <c r="BH128" s="600">
        <v>31</v>
      </c>
      <c r="BI128" s="600">
        <v>5</v>
      </c>
      <c r="BJ128" s="600">
        <v>0</v>
      </c>
      <c r="BK128" s="600">
        <v>3</v>
      </c>
      <c r="BL128" s="600">
        <v>12</v>
      </c>
      <c r="BM128" s="600">
        <v>25</v>
      </c>
      <c r="BN128" s="604">
        <v>26</v>
      </c>
      <c r="BO128" s="600">
        <v>0</v>
      </c>
      <c r="BP128" s="600">
        <v>0</v>
      </c>
      <c r="BQ128" s="604">
        <v>6</v>
      </c>
      <c r="BR128" s="600">
        <f t="shared" ref="BR128:BR141" si="13">IFERROR((BH128-BI128-BJ128-BK128)+(BI128*2)+(BJ128*3)+(BK128*4),0)</f>
        <v>45</v>
      </c>
      <c r="BS128" s="598">
        <f>IFERROR(CHW_H198[[#This Row],[OBP]]+CHW_H198[[#This Row],[SLG]],0)</f>
        <v>0.7789815817984832</v>
      </c>
      <c r="BT128" s="604">
        <v>4</v>
      </c>
      <c r="BU128" s="779">
        <v>1</v>
      </c>
    </row>
    <row r="129" spans="1:73">
      <c r="A129" s="651" t="s">
        <v>539</v>
      </c>
      <c r="B129" s="345" t="s">
        <v>154</v>
      </c>
      <c r="C129" s="71" t="s">
        <v>545</v>
      </c>
      <c r="D129" s="72">
        <f>IFERROR((CHW_H[[#This Row],[H]]/CHW_H[[#This Row],[AB]]),0)</f>
        <v>0.29411764705882354</v>
      </c>
      <c r="E129" s="72">
        <f>IFERROR((CHW_H[[#This Row],[H]]+CHW_H[[#This Row],[BB]])/(CHW_H[[#This Row],[BB]]+CHW_H[[#This Row],[AB]]),0)</f>
        <v>0.31147540983606559</v>
      </c>
      <c r="F129" s="73">
        <f>IFERROR(((CHW_H[[#This Row],[H]]-CHW_H[[#This Row],[2B]]-CHW_H[[#This Row],[3B]]-CHW_H[[#This Row],[HR]])+(CHW_H[[#This Row],[2B]]*2)+(CHW_H[[#This Row],[3B]]*3)+(CHW_H[[#This Row],[HR]]*4))/CHW_H[[#This Row],[AB]],0)</f>
        <v>0.59663865546218486</v>
      </c>
      <c r="G129" s="28">
        <v>30</v>
      </c>
      <c r="H129" s="28">
        <v>119</v>
      </c>
      <c r="I129" s="28">
        <v>16</v>
      </c>
      <c r="J129" s="28">
        <v>35</v>
      </c>
      <c r="K129" s="28">
        <v>9</v>
      </c>
      <c r="L129" s="28">
        <v>0</v>
      </c>
      <c r="M129" s="28">
        <v>9</v>
      </c>
      <c r="N129" s="28">
        <v>22</v>
      </c>
      <c r="O129" s="28">
        <v>3</v>
      </c>
      <c r="P129" s="74">
        <v>39</v>
      </c>
      <c r="Q129" s="28">
        <v>0</v>
      </c>
      <c r="R129" s="28">
        <v>3</v>
      </c>
      <c r="S129" s="74">
        <v>8</v>
      </c>
      <c r="T129" s="28">
        <f>IFERROR((CHW_H[[#This Row],[H]]-CHW_H[[#This Row],[2B]]-CHW_H[[#This Row],[3B]]-CHW_H[[#This Row],[HR]])+(CHW_H[[#This Row],[2B]]*2)+(CHW_H[[#This Row],[3B]]*3)+(CHW_H[[#This Row],[HR]]*4),0)</f>
        <v>71</v>
      </c>
      <c r="U129" s="72">
        <f>CHW_H[[#This Row],[OBP]]+CHW_H[[#This Row],[SLG]]</f>
        <v>0.90811406529825045</v>
      </c>
      <c r="V129" s="74">
        <v>2</v>
      </c>
      <c r="W129" s="615">
        <v>2</v>
      </c>
      <c r="Z129" s="651" t="s">
        <v>539</v>
      </c>
      <c r="AA129" s="71" t="s">
        <v>154</v>
      </c>
      <c r="AB129" s="71" t="s">
        <v>548</v>
      </c>
      <c r="AC129" s="72">
        <f>IFERROR((CHW_H224[[#This Row],[H]]/CHW_H224[[#This Row],[AB]]),0)</f>
        <v>0.21138211382113822</v>
      </c>
      <c r="AD129" s="72">
        <f>IFERROR((CHW_H224[[#This Row],[H]]+CHW_H224[[#This Row],[BB]])/(CHW_H224[[#This Row],[BB]]+CHW_H224[[#This Row],[AB]]),0)</f>
        <v>0.26515151515151514</v>
      </c>
      <c r="AE129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0.4065040650406504</v>
      </c>
      <c r="AF129" s="28">
        <v>33</v>
      </c>
      <c r="AG129" s="28">
        <v>123</v>
      </c>
      <c r="AH129" s="28">
        <v>14</v>
      </c>
      <c r="AI129" s="28">
        <v>26</v>
      </c>
      <c r="AJ129" s="28">
        <v>8</v>
      </c>
      <c r="AK129" s="28">
        <v>2</v>
      </c>
      <c r="AL129" s="28">
        <v>4</v>
      </c>
      <c r="AM129" s="28">
        <v>11</v>
      </c>
      <c r="AN129" s="28">
        <v>9</v>
      </c>
      <c r="AO129" s="74">
        <v>40</v>
      </c>
      <c r="AP129" s="28">
        <v>0</v>
      </c>
      <c r="AQ129" s="28">
        <v>7</v>
      </c>
      <c r="AR129" s="74">
        <v>7</v>
      </c>
      <c r="AS129" s="28">
        <f>IFERROR((CHW_H224[[#This Row],[H]]-CHW_H224[[#This Row],[2B]]-CHW_H224[[#This Row],[3B]]-CHW_H224[[#This Row],[HR]])+(CHW_H224[[#This Row],[2B]]*2)+(CHW_H224[[#This Row],[3B]]*3)+(CHW_H224[[#This Row],[HR]]*4),0)</f>
        <v>50</v>
      </c>
      <c r="AT129" s="72">
        <f>CHW_H224[[#This Row],[OBP]]+CHW_H224[[#This Row],[SLG]]</f>
        <v>0.67165558019216554</v>
      </c>
      <c r="AU129" s="74">
        <v>0</v>
      </c>
      <c r="AV129" s="615">
        <v>2</v>
      </c>
      <c r="AY129" s="651" t="s">
        <v>539</v>
      </c>
      <c r="AZ129" s="74" t="s">
        <v>154</v>
      </c>
      <c r="BA129" s="71" t="s">
        <v>548</v>
      </c>
      <c r="BB129" s="72">
        <f>IFERROR(CHW_H198[[#This Row],[H]]/CHW_H198[[#This Row],[AB]],0)</f>
        <v>0.23287671232876711</v>
      </c>
      <c r="BC129" s="72">
        <f>IFERROR((CHW_H198[[#This Row],[H]]+CHW_H198[[#This Row],[BB]])/(CHW_H198[[#This Row],[AB]]+CHW_H198[[#This Row],[BB]]),0)</f>
        <v>0.28662420382165604</v>
      </c>
      <c r="BD129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0.37671232876712329</v>
      </c>
      <c r="BE129" s="28">
        <v>39</v>
      </c>
      <c r="BF129" s="28">
        <v>146</v>
      </c>
      <c r="BG129" s="28">
        <v>11</v>
      </c>
      <c r="BH129" s="28">
        <v>34</v>
      </c>
      <c r="BI129" s="28">
        <v>6</v>
      </c>
      <c r="BJ129" s="28">
        <v>3</v>
      </c>
      <c r="BK129" s="28">
        <v>3</v>
      </c>
      <c r="BL129" s="28">
        <v>16</v>
      </c>
      <c r="BM129" s="28">
        <v>11</v>
      </c>
      <c r="BN129" s="74">
        <v>56</v>
      </c>
      <c r="BO129" s="28">
        <v>0</v>
      </c>
      <c r="BP129" s="28">
        <v>2</v>
      </c>
      <c r="BQ129" s="74">
        <v>10</v>
      </c>
      <c r="BR129" s="28">
        <f t="shared" si="13"/>
        <v>55</v>
      </c>
      <c r="BS129" s="72">
        <f>IFERROR(CHW_H198[[#This Row],[OBP]]+CHW_H198[[#This Row],[SLG]],0)</f>
        <v>0.66333653258877934</v>
      </c>
      <c r="BT129" s="74">
        <v>2</v>
      </c>
      <c r="BU129" s="780">
        <v>2</v>
      </c>
    </row>
    <row r="130" spans="1:73">
      <c r="A130" s="651" t="s">
        <v>539</v>
      </c>
      <c r="B130" s="71" t="s">
        <v>172</v>
      </c>
      <c r="C130" s="71" t="s">
        <v>544</v>
      </c>
      <c r="D130" s="72">
        <f>IFERROR((CHW_H[[#This Row],[H]]/CHW_H[[#This Row],[AB]]),0)</f>
        <v>0.25698324022346369</v>
      </c>
      <c r="E130" s="72">
        <f>IFERROR((CHW_H[[#This Row],[H]]+CHW_H[[#This Row],[BB]])/(CHW_H[[#This Row],[BB]]+CHW_H[[#This Row],[AB]]),0)</f>
        <v>0.28494623655913981</v>
      </c>
      <c r="F130" s="73">
        <f>IFERROR(((CHW_H[[#This Row],[H]]-CHW_H[[#This Row],[2B]]-CHW_H[[#This Row],[3B]]-CHW_H[[#This Row],[HR]])+(CHW_H[[#This Row],[2B]]*2)+(CHW_H[[#This Row],[3B]]*3)+(CHW_H[[#This Row],[HR]]*4))/CHW_H[[#This Row],[AB]],0)</f>
        <v>0.42458100558659218</v>
      </c>
      <c r="G130" s="28">
        <v>40</v>
      </c>
      <c r="H130" s="28">
        <v>179</v>
      </c>
      <c r="I130" s="28">
        <v>26</v>
      </c>
      <c r="J130" s="28">
        <v>46</v>
      </c>
      <c r="K130" s="28">
        <v>9</v>
      </c>
      <c r="L130" s="28">
        <v>0</v>
      </c>
      <c r="M130" s="28">
        <v>7</v>
      </c>
      <c r="N130" s="28">
        <v>17</v>
      </c>
      <c r="O130" s="28">
        <v>7</v>
      </c>
      <c r="P130" s="74">
        <v>47</v>
      </c>
      <c r="Q130" s="28">
        <v>5</v>
      </c>
      <c r="R130" s="28">
        <v>0</v>
      </c>
      <c r="S130" s="74">
        <v>9</v>
      </c>
      <c r="T130" s="28">
        <f>IFERROR((CHW_H[[#This Row],[H]]-CHW_H[[#This Row],[2B]]-CHW_H[[#This Row],[3B]]-CHW_H[[#This Row],[HR]])+(CHW_H[[#This Row],[2B]]*2)+(CHW_H[[#This Row],[3B]]*3)+(CHW_H[[#This Row],[HR]]*4),0)</f>
        <v>76</v>
      </c>
      <c r="U130" s="72">
        <f>CHW_H[[#This Row],[OBP]]+CHW_H[[#This Row],[SLG]]</f>
        <v>0.70952724214573193</v>
      </c>
      <c r="V130" s="74">
        <v>2</v>
      </c>
      <c r="W130" s="615">
        <v>3</v>
      </c>
      <c r="Z130" s="651" t="s">
        <v>539</v>
      </c>
      <c r="AA130" s="71" t="s">
        <v>172</v>
      </c>
      <c r="AB130" s="71" t="s">
        <v>544</v>
      </c>
      <c r="AC130" s="72">
        <f>IFERROR((CHW_H224[[#This Row],[H]]/CHW_H224[[#This Row],[AB]]),0)</f>
        <v>0.2768361581920904</v>
      </c>
      <c r="AD130" s="72">
        <f>IFERROR((CHW_H224[[#This Row],[H]]+CHW_H224[[#This Row],[BB]])/(CHW_H224[[#This Row],[BB]]+CHW_H224[[#This Row],[AB]]),0)</f>
        <v>0.30810810810810813</v>
      </c>
      <c r="AE130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0.41807909604519772</v>
      </c>
      <c r="AF130" s="28">
        <v>39</v>
      </c>
      <c r="AG130" s="28">
        <v>177</v>
      </c>
      <c r="AH130" s="28">
        <v>23</v>
      </c>
      <c r="AI130" s="28">
        <v>49</v>
      </c>
      <c r="AJ130" s="28">
        <v>10</v>
      </c>
      <c r="AK130" s="28">
        <v>0</v>
      </c>
      <c r="AL130" s="28">
        <v>5</v>
      </c>
      <c r="AM130" s="28">
        <v>19</v>
      </c>
      <c r="AN130" s="28">
        <v>8</v>
      </c>
      <c r="AO130" s="74">
        <v>30</v>
      </c>
      <c r="AP130" s="28">
        <v>2</v>
      </c>
      <c r="AQ130" s="28">
        <v>11</v>
      </c>
      <c r="AR130" s="74">
        <v>13</v>
      </c>
      <c r="AS130" s="28">
        <f>IFERROR((CHW_H224[[#This Row],[H]]-CHW_H224[[#This Row],[2B]]-CHW_H224[[#This Row],[3B]]-CHW_H224[[#This Row],[HR]])+(CHW_H224[[#This Row],[2B]]*2)+(CHW_H224[[#This Row],[3B]]*3)+(CHW_H224[[#This Row],[HR]]*4),0)</f>
        <v>74</v>
      </c>
      <c r="AT130" s="72">
        <f>CHW_H224[[#This Row],[OBP]]+CHW_H224[[#This Row],[SLG]]</f>
        <v>0.72618720415330584</v>
      </c>
      <c r="AU130" s="74">
        <v>2</v>
      </c>
      <c r="AV130" s="615">
        <v>3</v>
      </c>
      <c r="AY130" s="651" t="s">
        <v>539</v>
      </c>
      <c r="AZ130" s="74" t="s">
        <v>172</v>
      </c>
      <c r="BA130" s="71" t="s">
        <v>544</v>
      </c>
      <c r="BB130" s="72">
        <f>IFERROR(CHW_H198[[#This Row],[H]]/CHW_H198[[#This Row],[AB]],0)</f>
        <v>0.2471264367816092</v>
      </c>
      <c r="BC130" s="72">
        <f>IFERROR((CHW_H198[[#This Row],[H]]+CHW_H198[[#This Row],[BB]])/(CHW_H198[[#This Row],[AB]]+CHW_H198[[#This Row],[BB]]),0)</f>
        <v>0.27624309392265195</v>
      </c>
      <c r="BD130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0.35632183908045978</v>
      </c>
      <c r="BE130" s="28">
        <v>40</v>
      </c>
      <c r="BF130" s="28">
        <v>174</v>
      </c>
      <c r="BG130" s="28">
        <v>17</v>
      </c>
      <c r="BH130" s="28">
        <v>43</v>
      </c>
      <c r="BI130" s="28">
        <v>8</v>
      </c>
      <c r="BJ130" s="28">
        <v>1</v>
      </c>
      <c r="BK130" s="28">
        <v>3</v>
      </c>
      <c r="BL130" s="28">
        <v>18</v>
      </c>
      <c r="BM130" s="28">
        <v>7</v>
      </c>
      <c r="BN130" s="74">
        <v>41</v>
      </c>
      <c r="BO130" s="28">
        <v>9</v>
      </c>
      <c r="BP130" s="28">
        <v>1</v>
      </c>
      <c r="BQ130" s="74">
        <v>7</v>
      </c>
      <c r="BR130" s="28">
        <f t="shared" si="13"/>
        <v>62</v>
      </c>
      <c r="BS130" s="72">
        <f>IFERROR(CHW_H198[[#This Row],[OBP]]+CHW_H198[[#This Row],[SLG]],0)</f>
        <v>0.63256493300311178</v>
      </c>
      <c r="BT130" s="74">
        <v>2</v>
      </c>
      <c r="BU130" s="780">
        <v>3</v>
      </c>
    </row>
    <row r="131" spans="1:73">
      <c r="A131" s="651" t="s">
        <v>539</v>
      </c>
      <c r="B131" s="71" t="s">
        <v>153</v>
      </c>
      <c r="C131" s="71" t="s">
        <v>548</v>
      </c>
      <c r="D131" s="72">
        <f>IFERROR((CHW_H[[#This Row],[H]]/CHW_H[[#This Row],[AB]]),0)</f>
        <v>0.21186440677966101</v>
      </c>
      <c r="E131" s="72">
        <f>IFERROR((CHW_H[[#This Row],[H]]+CHW_H[[#This Row],[BB]])/(CHW_H[[#This Row],[BB]]+CHW_H[[#This Row],[AB]]),0)</f>
        <v>0.26190476190476192</v>
      </c>
      <c r="F131" s="73">
        <f>IFERROR(((CHW_H[[#This Row],[H]]-CHW_H[[#This Row],[2B]]-CHW_H[[#This Row],[3B]]-CHW_H[[#This Row],[HR]])+(CHW_H[[#This Row],[2B]]*2)+(CHW_H[[#This Row],[3B]]*3)+(CHW_H[[#This Row],[HR]]*4))/CHW_H[[#This Row],[AB]],0)</f>
        <v>0.32203389830508472</v>
      </c>
      <c r="G131" s="28">
        <v>31</v>
      </c>
      <c r="H131" s="28">
        <v>118</v>
      </c>
      <c r="I131" s="28">
        <v>12</v>
      </c>
      <c r="J131" s="28">
        <v>25</v>
      </c>
      <c r="K131" s="28">
        <v>8</v>
      </c>
      <c r="L131" s="28">
        <v>1</v>
      </c>
      <c r="M131" s="28">
        <v>1</v>
      </c>
      <c r="N131" s="28">
        <v>10</v>
      </c>
      <c r="O131" s="28">
        <v>8</v>
      </c>
      <c r="P131" s="74">
        <v>49</v>
      </c>
      <c r="Q131" s="28">
        <v>0</v>
      </c>
      <c r="R131" s="28">
        <v>0</v>
      </c>
      <c r="S131" s="74">
        <v>5</v>
      </c>
      <c r="T131" s="28">
        <f>IFERROR((CHW_H[[#This Row],[H]]-CHW_H[[#This Row],[2B]]-CHW_H[[#This Row],[3B]]-CHW_H[[#This Row],[HR]])+(CHW_H[[#This Row],[2B]]*2)+(CHW_H[[#This Row],[3B]]*3)+(CHW_H[[#This Row],[HR]]*4),0)</f>
        <v>38</v>
      </c>
      <c r="U131" s="72">
        <f>CHW_H[[#This Row],[OBP]]+CHW_H[[#This Row],[SLG]]</f>
        <v>0.58393866020984664</v>
      </c>
      <c r="V131" s="74">
        <v>1</v>
      </c>
      <c r="W131" s="615">
        <v>4</v>
      </c>
      <c r="Z131" s="651" t="s">
        <v>539</v>
      </c>
      <c r="AA131" s="71" t="s">
        <v>153</v>
      </c>
      <c r="AB131" s="71" t="s">
        <v>546</v>
      </c>
      <c r="AC131" s="72">
        <f>IFERROR((CHW_H224[[#This Row],[H]]/CHW_H224[[#This Row],[AB]]),0)</f>
        <v>0.30303030303030304</v>
      </c>
      <c r="AD131" s="72">
        <f>IFERROR((CHW_H224[[#This Row],[H]]+CHW_H224[[#This Row],[BB]])/(CHW_H224[[#This Row],[BB]]+CHW_H224[[#This Row],[AB]]),0)</f>
        <v>0.32846715328467152</v>
      </c>
      <c r="AE131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0.43939393939393939</v>
      </c>
      <c r="AF131" s="28">
        <v>35</v>
      </c>
      <c r="AG131" s="28">
        <v>132</v>
      </c>
      <c r="AH131" s="28">
        <v>7</v>
      </c>
      <c r="AI131" s="28">
        <v>40</v>
      </c>
      <c r="AJ131" s="28">
        <v>4</v>
      </c>
      <c r="AK131" s="28">
        <v>4</v>
      </c>
      <c r="AL131" s="28">
        <v>2</v>
      </c>
      <c r="AM131" s="28">
        <v>11</v>
      </c>
      <c r="AN131" s="28">
        <v>5</v>
      </c>
      <c r="AO131" s="74">
        <v>24</v>
      </c>
      <c r="AP131" s="28">
        <v>0</v>
      </c>
      <c r="AQ131" s="28">
        <v>0</v>
      </c>
      <c r="AR131" s="74">
        <v>7</v>
      </c>
      <c r="AS131" s="28">
        <f>IFERROR((CHW_H224[[#This Row],[H]]-CHW_H224[[#This Row],[2B]]-CHW_H224[[#This Row],[3B]]-CHW_H224[[#This Row],[HR]])+(CHW_H224[[#This Row],[2B]]*2)+(CHW_H224[[#This Row],[3B]]*3)+(CHW_H224[[#This Row],[HR]]*4),0)</f>
        <v>58</v>
      </c>
      <c r="AT131" s="72">
        <f>CHW_H224[[#This Row],[OBP]]+CHW_H224[[#This Row],[SLG]]</f>
        <v>0.76786109267861091</v>
      </c>
      <c r="AU131" s="74">
        <v>0</v>
      </c>
      <c r="AV131" s="615">
        <v>4</v>
      </c>
      <c r="AY131" s="651" t="s">
        <v>539</v>
      </c>
      <c r="AZ131" s="74" t="s">
        <v>153</v>
      </c>
      <c r="BA131" s="71" t="s">
        <v>546</v>
      </c>
      <c r="BB131" s="72">
        <f>IFERROR(CHW_H198[[#This Row],[H]]/CHW_H198[[#This Row],[AB]],0)</f>
        <v>0.3611111111111111</v>
      </c>
      <c r="BC131" s="72">
        <f>IFERROR((CHW_H198[[#This Row],[H]]+CHW_H198[[#This Row],[BB]])/(CHW_H198[[#This Row],[AB]]+CHW_H198[[#This Row],[BB]]),0)</f>
        <v>0.3825503355704698</v>
      </c>
      <c r="BD131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0.4861111111111111</v>
      </c>
      <c r="BE131" s="28">
        <v>40</v>
      </c>
      <c r="BF131" s="28">
        <v>144</v>
      </c>
      <c r="BG131" s="28">
        <v>16</v>
      </c>
      <c r="BH131" s="28">
        <v>52</v>
      </c>
      <c r="BI131" s="28">
        <v>6</v>
      </c>
      <c r="BJ131" s="28">
        <v>3</v>
      </c>
      <c r="BK131" s="28">
        <v>2</v>
      </c>
      <c r="BL131" s="28">
        <v>17</v>
      </c>
      <c r="BM131" s="28">
        <v>5</v>
      </c>
      <c r="BN131" s="74">
        <v>20</v>
      </c>
      <c r="BO131" s="28">
        <v>0</v>
      </c>
      <c r="BP131" s="28">
        <v>0</v>
      </c>
      <c r="BQ131" s="74">
        <v>9</v>
      </c>
      <c r="BR131" s="28">
        <f t="shared" si="13"/>
        <v>70</v>
      </c>
      <c r="BS131" s="72">
        <f>IFERROR(CHW_H198[[#This Row],[OBP]]+CHW_H198[[#This Row],[SLG]],0)</f>
        <v>0.86866144668158096</v>
      </c>
      <c r="BT131" s="74">
        <v>2</v>
      </c>
      <c r="BU131" s="780">
        <v>4</v>
      </c>
    </row>
    <row r="132" spans="1:73">
      <c r="A132" s="651" t="s">
        <v>539</v>
      </c>
      <c r="B132" s="71" t="s">
        <v>177</v>
      </c>
      <c r="C132" s="71" t="s">
        <v>542</v>
      </c>
      <c r="D132" s="72">
        <f>IFERROR((CHW_H[[#This Row],[H]]/CHW_H[[#This Row],[AB]]),0)</f>
        <v>0.27464788732394368</v>
      </c>
      <c r="E132" s="72">
        <f>IFERROR((CHW_H[[#This Row],[H]]+CHW_H[[#This Row],[BB]])/(CHW_H[[#This Row],[BB]]+CHW_H[[#This Row],[AB]]),0)</f>
        <v>0.29452054794520549</v>
      </c>
      <c r="F132" s="73">
        <f>IFERROR(((CHW_H[[#This Row],[H]]-CHW_H[[#This Row],[2B]]-CHW_H[[#This Row],[3B]]-CHW_H[[#This Row],[HR]])+(CHW_H[[#This Row],[2B]]*2)+(CHW_H[[#This Row],[3B]]*3)+(CHW_H[[#This Row],[HR]]*4))/CHW_H[[#This Row],[AB]],0)</f>
        <v>0.41549295774647887</v>
      </c>
      <c r="G132" s="28">
        <v>32</v>
      </c>
      <c r="H132" s="28">
        <v>142</v>
      </c>
      <c r="I132" s="28">
        <v>13</v>
      </c>
      <c r="J132" s="28">
        <v>39</v>
      </c>
      <c r="K132" s="28">
        <v>8</v>
      </c>
      <c r="L132" s="28">
        <v>0</v>
      </c>
      <c r="M132" s="28">
        <v>4</v>
      </c>
      <c r="N132" s="28">
        <v>13</v>
      </c>
      <c r="O132" s="28">
        <v>4</v>
      </c>
      <c r="P132" s="74">
        <v>38</v>
      </c>
      <c r="Q132" s="28">
        <v>0</v>
      </c>
      <c r="R132" s="28">
        <v>1</v>
      </c>
      <c r="S132" s="74">
        <v>13</v>
      </c>
      <c r="T132" s="28">
        <f>IFERROR((CHW_H[[#This Row],[H]]-CHW_H[[#This Row],[2B]]-CHW_H[[#This Row],[3B]]-CHW_H[[#This Row],[HR]])+(CHW_H[[#This Row],[2B]]*2)+(CHW_H[[#This Row],[3B]]*3)+(CHW_H[[#This Row],[HR]]*4),0)</f>
        <v>59</v>
      </c>
      <c r="U132" s="72">
        <f>CHW_H[[#This Row],[OBP]]+CHW_H[[#This Row],[SLG]]</f>
        <v>0.71001350569168431</v>
      </c>
      <c r="V132" s="74">
        <v>1</v>
      </c>
      <c r="W132" s="615">
        <v>5</v>
      </c>
      <c r="Z132" s="651" t="s">
        <v>539</v>
      </c>
      <c r="AA132" s="71" t="s">
        <v>177</v>
      </c>
      <c r="AB132" s="71" t="s">
        <v>542</v>
      </c>
      <c r="AC132" s="72">
        <f>IFERROR((CHW_H224[[#This Row],[H]]/CHW_H224[[#This Row],[AB]]),0)</f>
        <v>0.26174496644295303</v>
      </c>
      <c r="AD132" s="72">
        <f>IFERROR((CHW_H224[[#This Row],[H]]+CHW_H224[[#This Row],[BB]])/(CHW_H224[[#This Row],[BB]]+CHW_H224[[#This Row],[AB]]),0)</f>
        <v>0.32515337423312884</v>
      </c>
      <c r="AE132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0.3825503355704698</v>
      </c>
      <c r="AF132" s="28">
        <v>36</v>
      </c>
      <c r="AG132" s="28">
        <v>149</v>
      </c>
      <c r="AH132" s="28">
        <v>14</v>
      </c>
      <c r="AI132" s="28">
        <v>39</v>
      </c>
      <c r="AJ132" s="28">
        <v>9</v>
      </c>
      <c r="AK132" s="28">
        <v>0</v>
      </c>
      <c r="AL132" s="28">
        <v>3</v>
      </c>
      <c r="AM132" s="28">
        <v>16</v>
      </c>
      <c r="AN132" s="28">
        <v>14</v>
      </c>
      <c r="AO132" s="74">
        <v>41</v>
      </c>
      <c r="AP132" s="28">
        <v>0</v>
      </c>
      <c r="AQ132" s="28">
        <v>1</v>
      </c>
      <c r="AR132" s="74">
        <v>10</v>
      </c>
      <c r="AS132" s="28">
        <f>IFERROR((CHW_H224[[#This Row],[H]]-CHW_H224[[#This Row],[2B]]-CHW_H224[[#This Row],[3B]]-CHW_H224[[#This Row],[HR]])+(CHW_H224[[#This Row],[2B]]*2)+(CHW_H224[[#This Row],[3B]]*3)+(CHW_H224[[#This Row],[HR]]*4),0)</f>
        <v>57</v>
      </c>
      <c r="AT132" s="72">
        <f>CHW_H224[[#This Row],[OBP]]+CHW_H224[[#This Row],[SLG]]</f>
        <v>0.70770370980359865</v>
      </c>
      <c r="AU132" s="74">
        <v>0</v>
      </c>
      <c r="AV132" s="615">
        <v>5</v>
      </c>
      <c r="AY132" s="651" t="s">
        <v>539</v>
      </c>
      <c r="AZ132" s="74" t="s">
        <v>177</v>
      </c>
      <c r="BA132" s="71" t="s">
        <v>542</v>
      </c>
      <c r="BB132" s="72">
        <f>IFERROR(CHW_H198[[#This Row],[H]]/CHW_H198[[#This Row],[AB]],0)</f>
        <v>0.32121212121212123</v>
      </c>
      <c r="BC132" s="72">
        <f>IFERROR((CHW_H198[[#This Row],[H]]+CHW_H198[[#This Row],[BB]])/(CHW_H198[[#This Row],[AB]]+CHW_H198[[#This Row],[BB]]),0)</f>
        <v>0.3672316384180791</v>
      </c>
      <c r="BD132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0.52727272727272723</v>
      </c>
      <c r="BE132" s="28">
        <v>40</v>
      </c>
      <c r="BF132" s="28">
        <v>165</v>
      </c>
      <c r="BG132" s="28">
        <v>23</v>
      </c>
      <c r="BH132" s="28">
        <v>53</v>
      </c>
      <c r="BI132" s="28">
        <v>10</v>
      </c>
      <c r="BJ132" s="28">
        <v>0</v>
      </c>
      <c r="BK132" s="28">
        <v>8</v>
      </c>
      <c r="BL132" s="28">
        <v>24</v>
      </c>
      <c r="BM132" s="28">
        <v>12</v>
      </c>
      <c r="BN132" s="74">
        <v>37</v>
      </c>
      <c r="BO132" s="28">
        <v>0</v>
      </c>
      <c r="BP132" s="28">
        <v>2</v>
      </c>
      <c r="BQ132" s="74">
        <v>7</v>
      </c>
      <c r="BR132" s="28">
        <f t="shared" si="13"/>
        <v>87</v>
      </c>
      <c r="BS132" s="72">
        <f>IFERROR(CHW_H198[[#This Row],[OBP]]+CHW_H198[[#This Row],[SLG]],0)</f>
        <v>0.89450436569080627</v>
      </c>
      <c r="BT132" s="74">
        <v>2</v>
      </c>
      <c r="BU132" s="780">
        <v>5</v>
      </c>
    </row>
    <row r="133" spans="1:73">
      <c r="A133" s="651" t="s">
        <v>539</v>
      </c>
      <c r="B133" s="71" t="s">
        <v>174</v>
      </c>
      <c r="C133" s="71" t="s">
        <v>541</v>
      </c>
      <c r="D133" s="72">
        <f>IFERROR((CHW_H[[#This Row],[H]]/CHW_H[[#This Row],[AB]]),0)</f>
        <v>0.21621621621621623</v>
      </c>
      <c r="E133" s="72">
        <f>IFERROR((CHW_H[[#This Row],[H]]+CHW_H[[#This Row],[BB]])/(CHW_H[[#This Row],[BB]]+CHW_H[[#This Row],[AB]]),0)</f>
        <v>0.25641025641025639</v>
      </c>
      <c r="F133" s="73">
        <f>IFERROR(((CHW_H[[#This Row],[H]]-CHW_H[[#This Row],[2B]]-CHW_H[[#This Row],[3B]]-CHW_H[[#This Row],[HR]])+(CHW_H[[#This Row],[2B]]*2)+(CHW_H[[#This Row],[3B]]*3)+(CHW_H[[#This Row],[HR]]*4))/CHW_H[[#This Row],[AB]],0)</f>
        <v>0.3783783783783784</v>
      </c>
      <c r="G133" s="28">
        <v>36</v>
      </c>
      <c r="H133" s="28">
        <v>148</v>
      </c>
      <c r="I133" s="28">
        <v>12</v>
      </c>
      <c r="J133" s="28">
        <v>32</v>
      </c>
      <c r="K133" s="28">
        <v>6</v>
      </c>
      <c r="L133" s="28">
        <v>0</v>
      </c>
      <c r="M133" s="28">
        <v>6</v>
      </c>
      <c r="N133" s="28">
        <v>23</v>
      </c>
      <c r="O133" s="28">
        <v>8</v>
      </c>
      <c r="P133" s="74">
        <v>39</v>
      </c>
      <c r="Q133" s="28">
        <v>0</v>
      </c>
      <c r="R133" s="28">
        <v>2</v>
      </c>
      <c r="S133" s="74">
        <v>9</v>
      </c>
      <c r="T133" s="28">
        <f>IFERROR((CHW_H[[#This Row],[H]]-CHW_H[[#This Row],[2B]]-CHW_H[[#This Row],[3B]]-CHW_H[[#This Row],[HR]])+(CHW_H[[#This Row],[2B]]*2)+(CHW_H[[#This Row],[3B]]*3)+(CHW_H[[#This Row],[HR]]*4),0)</f>
        <v>56</v>
      </c>
      <c r="U133" s="72">
        <f>CHW_H[[#This Row],[OBP]]+CHW_H[[#This Row],[SLG]]</f>
        <v>0.63478863478863479</v>
      </c>
      <c r="V133" s="74">
        <v>3</v>
      </c>
      <c r="W133" s="615">
        <v>6</v>
      </c>
      <c r="Z133" s="651" t="s">
        <v>539</v>
      </c>
      <c r="AA133" s="345" t="s">
        <v>174</v>
      </c>
      <c r="AB133" s="71" t="s">
        <v>541</v>
      </c>
      <c r="AC133" s="72">
        <f>IFERROR((CHW_H224[[#This Row],[H]]/CHW_H224[[#This Row],[AB]]),0)</f>
        <v>0.31288343558282211</v>
      </c>
      <c r="AD133" s="72">
        <f>IFERROR((CHW_H224[[#This Row],[H]]+CHW_H224[[#This Row],[BB]])/(CHW_H224[[#This Row],[BB]]+CHW_H224[[#This Row],[AB]]),0)</f>
        <v>0.33727810650887574</v>
      </c>
      <c r="AE133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0.66871165644171782</v>
      </c>
      <c r="AF133" s="28">
        <v>39</v>
      </c>
      <c r="AG133" s="28">
        <v>163</v>
      </c>
      <c r="AH133" s="28">
        <v>24</v>
      </c>
      <c r="AI133" s="28">
        <v>51</v>
      </c>
      <c r="AJ133" s="28">
        <v>16</v>
      </c>
      <c r="AK133" s="28">
        <v>0</v>
      </c>
      <c r="AL133" s="28">
        <v>14</v>
      </c>
      <c r="AM133" s="28">
        <v>29</v>
      </c>
      <c r="AN133" s="28">
        <v>6</v>
      </c>
      <c r="AO133" s="74">
        <v>48</v>
      </c>
      <c r="AP133" s="28">
        <v>0</v>
      </c>
      <c r="AQ133" s="28">
        <v>5</v>
      </c>
      <c r="AR133" s="74">
        <v>9</v>
      </c>
      <c r="AS133" s="28">
        <f>IFERROR((CHW_H224[[#This Row],[H]]-CHW_H224[[#This Row],[2B]]-CHW_H224[[#This Row],[3B]]-CHW_H224[[#This Row],[HR]])+(CHW_H224[[#This Row],[2B]]*2)+(CHW_H224[[#This Row],[3B]]*3)+(CHW_H224[[#This Row],[HR]]*4),0)</f>
        <v>109</v>
      </c>
      <c r="AT133" s="72">
        <f>CHW_H224[[#This Row],[OBP]]+CHW_H224[[#This Row],[SLG]]</f>
        <v>1.0059897629505936</v>
      </c>
      <c r="AU133" s="74">
        <v>5</v>
      </c>
      <c r="AV133" s="615">
        <v>6</v>
      </c>
      <c r="AY133" s="651" t="s">
        <v>539</v>
      </c>
      <c r="AZ133" s="74" t="s">
        <v>174</v>
      </c>
      <c r="BA133" s="71" t="s">
        <v>541</v>
      </c>
      <c r="BB133" s="72">
        <f>IFERROR(CHW_H198[[#This Row],[H]]/CHW_H198[[#This Row],[AB]],0)</f>
        <v>0.23076923076923078</v>
      </c>
      <c r="BC133" s="72">
        <f>IFERROR((CHW_H198[[#This Row],[H]]+CHW_H198[[#This Row],[BB]])/(CHW_H198[[#This Row],[AB]]+CHW_H198[[#This Row],[BB]]),0)</f>
        <v>0.3081761006289308</v>
      </c>
      <c r="BD133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0.42657342657342656</v>
      </c>
      <c r="BE133" s="28">
        <v>38</v>
      </c>
      <c r="BF133" s="28">
        <v>143</v>
      </c>
      <c r="BG133" s="28">
        <v>19</v>
      </c>
      <c r="BH133" s="28">
        <v>33</v>
      </c>
      <c r="BI133" s="28">
        <v>7</v>
      </c>
      <c r="BJ133" s="28">
        <v>0</v>
      </c>
      <c r="BK133" s="28">
        <v>7</v>
      </c>
      <c r="BL133" s="28">
        <v>19</v>
      </c>
      <c r="BM133" s="28">
        <v>16</v>
      </c>
      <c r="BN133" s="74">
        <v>45</v>
      </c>
      <c r="BO133" s="28">
        <v>0</v>
      </c>
      <c r="BP133" s="28">
        <v>0</v>
      </c>
      <c r="BQ133" s="74">
        <v>6</v>
      </c>
      <c r="BR133" s="28">
        <f t="shared" si="13"/>
        <v>61</v>
      </c>
      <c r="BS133" s="72">
        <f>IFERROR(CHW_H198[[#This Row],[OBP]]+CHW_H198[[#This Row],[SLG]],0)</f>
        <v>0.73474952720235742</v>
      </c>
      <c r="BT133" s="74">
        <v>3</v>
      </c>
      <c r="BU133" s="780">
        <v>6</v>
      </c>
    </row>
    <row r="134" spans="1:73">
      <c r="A134" s="651" t="s">
        <v>539</v>
      </c>
      <c r="B134" s="71" t="s">
        <v>181</v>
      </c>
      <c r="C134" s="71" t="s">
        <v>543</v>
      </c>
      <c r="D134" s="72">
        <f>IFERROR((CHW_H[[#This Row],[H]]/CHW_H[[#This Row],[AB]]),0)</f>
        <v>0.2832369942196532</v>
      </c>
      <c r="E134" s="72">
        <f>IFERROR((CHW_H[[#This Row],[H]]+CHW_H[[#This Row],[BB]])/(CHW_H[[#This Row],[BB]]+CHW_H[[#This Row],[AB]]),0)</f>
        <v>0.32608695652173914</v>
      </c>
      <c r="F134" s="73">
        <f>IFERROR(((CHW_H[[#This Row],[H]]-CHW_H[[#This Row],[2B]]-CHW_H[[#This Row],[3B]]-CHW_H[[#This Row],[HR]])+(CHW_H[[#This Row],[2B]]*2)+(CHW_H[[#This Row],[3B]]*3)+(CHW_H[[#This Row],[HR]]*4))/CHW_H[[#This Row],[AB]],0)</f>
        <v>0.47398843930635837</v>
      </c>
      <c r="G134" s="28">
        <v>40</v>
      </c>
      <c r="H134" s="28">
        <v>173</v>
      </c>
      <c r="I134" s="28">
        <v>24</v>
      </c>
      <c r="J134" s="28">
        <v>49</v>
      </c>
      <c r="K134" s="28">
        <v>12</v>
      </c>
      <c r="L134" s="28">
        <v>0</v>
      </c>
      <c r="M134" s="28">
        <v>7</v>
      </c>
      <c r="N134" s="28">
        <v>29</v>
      </c>
      <c r="O134" s="28">
        <v>11</v>
      </c>
      <c r="P134" s="74">
        <v>40</v>
      </c>
      <c r="Q134" s="28">
        <v>1</v>
      </c>
      <c r="R134" s="28">
        <v>0</v>
      </c>
      <c r="S134" s="74">
        <v>8</v>
      </c>
      <c r="T134" s="28">
        <f>IFERROR((CHW_H[[#This Row],[H]]-CHW_H[[#This Row],[2B]]-CHW_H[[#This Row],[3B]]-CHW_H[[#This Row],[HR]])+(CHW_H[[#This Row],[2B]]*2)+(CHW_H[[#This Row],[3B]]*3)+(CHW_H[[#This Row],[HR]]*4),0)</f>
        <v>82</v>
      </c>
      <c r="U134" s="72">
        <f>CHW_H[[#This Row],[OBP]]+CHW_H[[#This Row],[SLG]]</f>
        <v>0.8000753958280975</v>
      </c>
      <c r="V134" s="74">
        <v>5</v>
      </c>
      <c r="W134" s="615">
        <v>7</v>
      </c>
      <c r="Z134" s="651" t="s">
        <v>539</v>
      </c>
      <c r="AA134" s="345" t="s">
        <v>181</v>
      </c>
      <c r="AB134" s="71" t="s">
        <v>543</v>
      </c>
      <c r="AC134" s="72">
        <f>IFERROR((CHW_H224[[#This Row],[H]]/CHW_H224[[#This Row],[AB]]),0)</f>
        <v>0.33908045977011492</v>
      </c>
      <c r="AD134" s="72">
        <f>IFERROR((CHW_H224[[#This Row],[H]]+CHW_H224[[#This Row],[BB]])/(CHW_H224[[#This Row],[BB]]+CHW_H224[[#This Row],[AB]]),0)</f>
        <v>0.375</v>
      </c>
      <c r="AE134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0.55747126436781613</v>
      </c>
      <c r="AF134" s="28">
        <v>40</v>
      </c>
      <c r="AG134" s="28">
        <v>174</v>
      </c>
      <c r="AH134" s="28">
        <v>26</v>
      </c>
      <c r="AI134" s="76">
        <v>59</v>
      </c>
      <c r="AJ134" s="28">
        <v>11</v>
      </c>
      <c r="AK134" s="28">
        <v>0</v>
      </c>
      <c r="AL134" s="28">
        <v>9</v>
      </c>
      <c r="AM134" s="28">
        <v>26</v>
      </c>
      <c r="AN134" s="28">
        <v>10</v>
      </c>
      <c r="AO134" s="74">
        <v>50</v>
      </c>
      <c r="AP134" s="28">
        <v>1</v>
      </c>
      <c r="AQ134" s="28">
        <v>1</v>
      </c>
      <c r="AR134" s="74">
        <v>10</v>
      </c>
      <c r="AS134" s="28">
        <f>IFERROR((CHW_H224[[#This Row],[H]]-CHW_H224[[#This Row],[2B]]-CHW_H224[[#This Row],[3B]]-CHW_H224[[#This Row],[HR]])+(CHW_H224[[#This Row],[2B]]*2)+(CHW_H224[[#This Row],[3B]]*3)+(CHW_H224[[#This Row],[HR]]*4),0)</f>
        <v>97</v>
      </c>
      <c r="AT134" s="72">
        <f>CHW_H224[[#This Row],[OBP]]+CHW_H224[[#This Row],[SLG]]</f>
        <v>0.93247126436781613</v>
      </c>
      <c r="AU134" s="74">
        <v>2</v>
      </c>
      <c r="AV134" s="615">
        <v>7</v>
      </c>
      <c r="AY134" s="651" t="s">
        <v>539</v>
      </c>
      <c r="AZ134" s="74" t="s">
        <v>181</v>
      </c>
      <c r="BA134" s="71" t="s">
        <v>543</v>
      </c>
      <c r="BB134" s="72">
        <f>IFERROR(CHW_H198[[#This Row],[H]]/CHW_H198[[#This Row],[AB]],0)</f>
        <v>0.25</v>
      </c>
      <c r="BC134" s="72">
        <f>IFERROR((CHW_H198[[#This Row],[H]]+CHW_H198[[#This Row],[BB]])/(CHW_H198[[#This Row],[AB]]+CHW_H198[[#This Row],[BB]]),0)</f>
        <v>0.3089887640449438</v>
      </c>
      <c r="BD134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0.45121951219512196</v>
      </c>
      <c r="BE134" s="28">
        <v>40</v>
      </c>
      <c r="BF134" s="28">
        <v>164</v>
      </c>
      <c r="BG134" s="28">
        <v>23</v>
      </c>
      <c r="BH134" s="28">
        <v>41</v>
      </c>
      <c r="BI134" s="28">
        <v>9</v>
      </c>
      <c r="BJ134" s="28">
        <v>0</v>
      </c>
      <c r="BK134" s="28">
        <v>8</v>
      </c>
      <c r="BL134" s="28">
        <v>10</v>
      </c>
      <c r="BM134" s="28">
        <v>14</v>
      </c>
      <c r="BN134" s="74">
        <v>48</v>
      </c>
      <c r="BO134" s="28">
        <v>1</v>
      </c>
      <c r="BP134" s="28">
        <v>0</v>
      </c>
      <c r="BQ134" s="74">
        <v>8</v>
      </c>
      <c r="BR134" s="28">
        <f t="shared" si="13"/>
        <v>74</v>
      </c>
      <c r="BS134" s="72">
        <f>IFERROR(CHW_H198[[#This Row],[OBP]]+CHW_H198[[#This Row],[SLG]],0)</f>
        <v>0.76020827624006571</v>
      </c>
      <c r="BT134" s="74">
        <v>2</v>
      </c>
      <c r="BU134" s="780">
        <v>7</v>
      </c>
    </row>
    <row r="135" spans="1:73">
      <c r="A135" s="651" t="s">
        <v>539</v>
      </c>
      <c r="B135" s="71" t="s">
        <v>166</v>
      </c>
      <c r="C135" s="71" t="s">
        <v>508</v>
      </c>
      <c r="D135" s="72">
        <f>IFERROR((CHW_H[[#This Row],[H]]/CHW_H[[#This Row],[AB]]),0)</f>
        <v>0.25600000000000001</v>
      </c>
      <c r="E135" s="72">
        <f>IFERROR((CHW_H[[#This Row],[H]]+CHW_H[[#This Row],[BB]])/(CHW_H[[#This Row],[BB]]+CHW_H[[#This Row],[AB]]),0)</f>
        <v>0.30597014925373134</v>
      </c>
      <c r="F135" s="73">
        <f>IFERROR(((CHW_H[[#This Row],[H]]-CHW_H[[#This Row],[2B]]-CHW_H[[#This Row],[3B]]-CHW_H[[#This Row],[HR]])+(CHW_H[[#This Row],[2B]]*2)+(CHW_H[[#This Row],[3B]]*3)+(CHW_H[[#This Row],[HR]]*4))/CHW_H[[#This Row],[AB]],0)</f>
        <v>0.39200000000000002</v>
      </c>
      <c r="G135" s="28">
        <v>32</v>
      </c>
      <c r="H135" s="28">
        <v>125</v>
      </c>
      <c r="I135" s="28">
        <v>17</v>
      </c>
      <c r="J135" s="28">
        <v>32</v>
      </c>
      <c r="K135" s="28">
        <v>8</v>
      </c>
      <c r="L135" s="28">
        <v>0</v>
      </c>
      <c r="M135" s="28">
        <v>3</v>
      </c>
      <c r="N135" s="28">
        <v>9</v>
      </c>
      <c r="O135" s="28">
        <v>9</v>
      </c>
      <c r="P135" s="74">
        <v>30</v>
      </c>
      <c r="Q135" s="28">
        <v>0</v>
      </c>
      <c r="R135" s="28">
        <v>0</v>
      </c>
      <c r="S135" s="74">
        <v>6</v>
      </c>
      <c r="T135" s="28">
        <f>IFERROR((CHW_H[[#This Row],[H]]-CHW_H[[#This Row],[2B]]-CHW_H[[#This Row],[3B]]-CHW_H[[#This Row],[HR]])+(CHW_H[[#This Row],[2B]]*2)+(CHW_H[[#This Row],[3B]]*3)+(CHW_H[[#This Row],[HR]]*4),0)</f>
        <v>49</v>
      </c>
      <c r="U135" s="72">
        <f>CHW_H[[#This Row],[OBP]]+CHW_H[[#This Row],[SLG]]</f>
        <v>0.69797014925373135</v>
      </c>
      <c r="V135" s="74">
        <v>2</v>
      </c>
      <c r="W135" s="615">
        <v>8</v>
      </c>
      <c r="Z135" s="651" t="s">
        <v>539</v>
      </c>
      <c r="AA135" s="71" t="s">
        <v>166</v>
      </c>
      <c r="AB135" s="71" t="s">
        <v>549</v>
      </c>
      <c r="AC135" s="72">
        <f>IFERROR((CHW_H224[[#This Row],[H]]/CHW_H224[[#This Row],[AB]]),0)</f>
        <v>0.28915662650602408</v>
      </c>
      <c r="AD135" s="72">
        <f>IFERROR((CHW_H224[[#This Row],[H]]+CHW_H224[[#This Row],[BB]])/(CHW_H224[[#This Row],[BB]]+CHW_H224[[#This Row],[AB]]),0)</f>
        <v>0.31395348837209303</v>
      </c>
      <c r="AE135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0.45783132530120479</v>
      </c>
      <c r="AF135" s="28">
        <v>20</v>
      </c>
      <c r="AG135" s="28">
        <v>83</v>
      </c>
      <c r="AH135" s="28">
        <v>12</v>
      </c>
      <c r="AI135" s="28">
        <v>24</v>
      </c>
      <c r="AJ135" s="28">
        <v>5</v>
      </c>
      <c r="AK135" s="28">
        <v>0</v>
      </c>
      <c r="AL135" s="28">
        <v>3</v>
      </c>
      <c r="AM135" s="28">
        <v>11</v>
      </c>
      <c r="AN135" s="28">
        <v>3</v>
      </c>
      <c r="AO135" s="74">
        <v>10</v>
      </c>
      <c r="AP135" s="28">
        <v>0</v>
      </c>
      <c r="AQ135" s="28">
        <v>0</v>
      </c>
      <c r="AR135" s="74">
        <v>7</v>
      </c>
      <c r="AS135" s="28">
        <f>IFERROR((CHW_H224[[#This Row],[H]]-CHW_H224[[#This Row],[2B]]-CHW_H224[[#This Row],[3B]]-CHW_H224[[#This Row],[HR]])+(CHW_H224[[#This Row],[2B]]*2)+(CHW_H224[[#This Row],[3B]]*3)+(CHW_H224[[#This Row],[HR]]*4),0)</f>
        <v>38</v>
      </c>
      <c r="AT135" s="72">
        <f>CHW_H224[[#This Row],[OBP]]+CHW_H224[[#This Row],[SLG]]</f>
        <v>0.77178481367329788</v>
      </c>
      <c r="AU135" s="74">
        <v>2</v>
      </c>
      <c r="AV135" s="615">
        <v>8</v>
      </c>
      <c r="AY135" s="651" t="s">
        <v>539</v>
      </c>
      <c r="AZ135" s="74" t="s">
        <v>166</v>
      </c>
      <c r="BA135" s="71" t="s">
        <v>550</v>
      </c>
      <c r="BB135" s="72">
        <f>IFERROR(CHW_H198[[#This Row],[H]]/CHW_H198[[#This Row],[AB]],0)</f>
        <v>0.28888888888888886</v>
      </c>
      <c r="BC135" s="72">
        <f>IFERROR((CHW_H198[[#This Row],[H]]+CHW_H198[[#This Row],[BB]])/(CHW_H198[[#This Row],[AB]]+CHW_H198[[#This Row],[BB]]),0)</f>
        <v>0.31914893617021278</v>
      </c>
      <c r="BD135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0.43333333333333335</v>
      </c>
      <c r="BE135" s="28">
        <v>29</v>
      </c>
      <c r="BF135" s="28">
        <v>90</v>
      </c>
      <c r="BG135" s="28">
        <v>8</v>
      </c>
      <c r="BH135" s="28">
        <v>26</v>
      </c>
      <c r="BI135" s="28">
        <v>3</v>
      </c>
      <c r="BJ135" s="28">
        <v>2</v>
      </c>
      <c r="BK135" s="28">
        <v>2</v>
      </c>
      <c r="BL135" s="28">
        <v>11</v>
      </c>
      <c r="BM135" s="28">
        <v>4</v>
      </c>
      <c r="BN135" s="74">
        <v>25</v>
      </c>
      <c r="BO135" s="28">
        <v>1</v>
      </c>
      <c r="BP135" s="28">
        <v>0</v>
      </c>
      <c r="BQ135" s="74">
        <v>10</v>
      </c>
      <c r="BR135" s="28">
        <f t="shared" si="13"/>
        <v>39</v>
      </c>
      <c r="BS135" s="72">
        <f>IFERROR(CHW_H198[[#This Row],[OBP]]+CHW_H198[[#This Row],[SLG]],0)</f>
        <v>0.75248226950354613</v>
      </c>
      <c r="BT135" s="74">
        <v>0</v>
      </c>
      <c r="BU135" s="780">
        <v>8</v>
      </c>
    </row>
    <row r="136" spans="1:73">
      <c r="A136" s="651" t="s">
        <v>539</v>
      </c>
      <c r="B136" s="345" t="s">
        <v>168</v>
      </c>
      <c r="C136" s="71" t="s">
        <v>540</v>
      </c>
      <c r="D136" s="72">
        <f>IFERROR((CHW_H[[#This Row],[H]]/CHW_H[[#This Row],[AB]]),0)</f>
        <v>0.36912751677852351</v>
      </c>
      <c r="E136" s="594">
        <f>IFERROR((CHW_H[[#This Row],[H]]+CHW_H[[#This Row],[BB]])/(CHW_H[[#This Row],[BB]]+CHW_H[[#This Row],[AB]]),0)</f>
        <v>0.46590909090909088</v>
      </c>
      <c r="F136" s="73">
        <f>IFERROR(((CHW_H[[#This Row],[H]]-CHW_H[[#This Row],[2B]]-CHW_H[[#This Row],[3B]]-CHW_H[[#This Row],[HR]])+(CHW_H[[#This Row],[2B]]*2)+(CHW_H[[#This Row],[3B]]*3)+(CHW_H[[#This Row],[HR]]*4))/CHW_H[[#This Row],[AB]],0)</f>
        <v>0.64429530201342278</v>
      </c>
      <c r="G136" s="28">
        <v>40</v>
      </c>
      <c r="H136" s="28">
        <v>149</v>
      </c>
      <c r="I136" s="28">
        <v>21</v>
      </c>
      <c r="J136" s="28">
        <v>55</v>
      </c>
      <c r="K136" s="76">
        <v>17</v>
      </c>
      <c r="L136" s="28">
        <v>0</v>
      </c>
      <c r="M136" s="28">
        <v>8</v>
      </c>
      <c r="N136" s="28">
        <v>24</v>
      </c>
      <c r="O136" s="28">
        <v>27</v>
      </c>
      <c r="P136" s="74">
        <v>31</v>
      </c>
      <c r="Q136" s="28">
        <v>0</v>
      </c>
      <c r="R136" s="28">
        <v>1</v>
      </c>
      <c r="S136" s="104">
        <v>19</v>
      </c>
      <c r="T136" s="28">
        <f>IFERROR((CHW_H[[#This Row],[H]]-CHW_H[[#This Row],[2B]]-CHW_H[[#This Row],[3B]]-CHW_H[[#This Row],[HR]])+(CHW_H[[#This Row],[2B]]*2)+(CHW_H[[#This Row],[3B]]*3)+(CHW_H[[#This Row],[HR]]*4),0)</f>
        <v>96</v>
      </c>
      <c r="U136" s="72">
        <f>CHW_H[[#This Row],[OBP]]+CHW_H[[#This Row],[SLG]]</f>
        <v>1.1102043929225136</v>
      </c>
      <c r="V136" s="74">
        <v>1</v>
      </c>
      <c r="W136" s="615">
        <v>9</v>
      </c>
      <c r="Z136" s="651" t="s">
        <v>539</v>
      </c>
      <c r="AA136" s="71" t="s">
        <v>168</v>
      </c>
      <c r="AB136" s="71" t="s">
        <v>540</v>
      </c>
      <c r="AC136" s="72">
        <f>IFERROR((CHW_H224[[#This Row],[H]]/CHW_H224[[#This Row],[AB]]),0)</f>
        <v>0.21768707482993196</v>
      </c>
      <c r="AD136" s="72">
        <f>IFERROR((CHW_H224[[#This Row],[H]]+CHW_H224[[#This Row],[BB]])/(CHW_H224[[#This Row],[BB]]+CHW_H224[[#This Row],[AB]]),0)</f>
        <v>0.3235294117647059</v>
      </c>
      <c r="AE136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0.42176870748299322</v>
      </c>
      <c r="AF136" s="28">
        <v>38</v>
      </c>
      <c r="AG136" s="28">
        <v>147</v>
      </c>
      <c r="AH136" s="28">
        <v>16</v>
      </c>
      <c r="AI136" s="28">
        <v>32</v>
      </c>
      <c r="AJ136" s="28">
        <v>6</v>
      </c>
      <c r="AK136" s="28">
        <v>0</v>
      </c>
      <c r="AL136" s="28">
        <v>8</v>
      </c>
      <c r="AM136" s="28">
        <v>22</v>
      </c>
      <c r="AN136" s="28">
        <v>23</v>
      </c>
      <c r="AO136" s="74">
        <v>37</v>
      </c>
      <c r="AP136" s="28">
        <v>0</v>
      </c>
      <c r="AQ136" s="28">
        <v>1</v>
      </c>
      <c r="AR136" s="74">
        <v>5</v>
      </c>
      <c r="AS136" s="28">
        <f>IFERROR((CHW_H224[[#This Row],[H]]-CHW_H224[[#This Row],[2B]]-CHW_H224[[#This Row],[3B]]-CHW_H224[[#This Row],[HR]])+(CHW_H224[[#This Row],[2B]]*2)+(CHW_H224[[#This Row],[3B]]*3)+(CHW_H224[[#This Row],[HR]]*4),0)</f>
        <v>62</v>
      </c>
      <c r="AT136" s="72">
        <f>CHW_H224[[#This Row],[OBP]]+CHW_H224[[#This Row],[SLG]]</f>
        <v>0.74529811924769906</v>
      </c>
      <c r="AU136" s="74">
        <v>2</v>
      </c>
      <c r="AV136" s="615">
        <v>9</v>
      </c>
      <c r="AY136" s="651" t="s">
        <v>539</v>
      </c>
      <c r="AZ136" s="74" t="s">
        <v>168</v>
      </c>
      <c r="BA136" s="71" t="s">
        <v>540</v>
      </c>
      <c r="BB136" s="72">
        <f>IFERROR(CHW_H198[[#This Row],[H]]/CHW_H198[[#This Row],[AB]],0)</f>
        <v>0.26277372262773724</v>
      </c>
      <c r="BC136" s="72">
        <f>IFERROR((CHW_H198[[#This Row],[H]]+CHW_H198[[#This Row],[BB]])/(CHW_H198[[#This Row],[AB]]+CHW_H198[[#This Row],[BB]]),0)</f>
        <v>0.40588235294117647</v>
      </c>
      <c r="BD136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0.51824817518248179</v>
      </c>
      <c r="BE136" s="28">
        <v>40</v>
      </c>
      <c r="BF136" s="28">
        <v>137</v>
      </c>
      <c r="BG136" s="28">
        <v>20</v>
      </c>
      <c r="BH136" s="28">
        <v>36</v>
      </c>
      <c r="BI136" s="28">
        <v>11</v>
      </c>
      <c r="BJ136" s="28">
        <v>0</v>
      </c>
      <c r="BK136" s="28">
        <v>8</v>
      </c>
      <c r="BL136" s="28">
        <v>27</v>
      </c>
      <c r="BM136" s="28">
        <v>33</v>
      </c>
      <c r="BN136" s="74">
        <v>33</v>
      </c>
      <c r="BO136" s="28">
        <v>0</v>
      </c>
      <c r="BP136" s="28">
        <v>1</v>
      </c>
      <c r="BQ136" s="74">
        <v>4</v>
      </c>
      <c r="BR136" s="28">
        <f t="shared" si="13"/>
        <v>71</v>
      </c>
      <c r="BS136" s="72">
        <f>IFERROR(CHW_H198[[#This Row],[OBP]]+CHW_H198[[#This Row],[SLG]],0)</f>
        <v>0.92413052812365826</v>
      </c>
      <c r="BT136" s="74">
        <v>5</v>
      </c>
      <c r="BU136" s="780">
        <v>9</v>
      </c>
    </row>
    <row r="137" spans="1:73">
      <c r="A137" s="651" t="s">
        <v>539</v>
      </c>
      <c r="B137" s="71" t="s">
        <v>308</v>
      </c>
      <c r="C137" s="71" t="s">
        <v>554</v>
      </c>
      <c r="D137" s="72">
        <f>IFERROR((CHW_H[[#This Row],[H]]/CHW_H[[#This Row],[AB]]),0)</f>
        <v>0.26666666666666666</v>
      </c>
      <c r="E137" s="72">
        <f>IFERROR((CHW_H[[#This Row],[H]]+CHW_H[[#This Row],[BB]])/(CHW_H[[#This Row],[BB]]+CHW_H[[#This Row],[AB]]),0)</f>
        <v>0.3125</v>
      </c>
      <c r="F137" s="73">
        <f>IFERROR(((CHW_H[[#This Row],[H]]-CHW_H[[#This Row],[2B]]-CHW_H[[#This Row],[3B]]-CHW_H[[#This Row],[HR]])+(CHW_H[[#This Row],[2B]]*2)+(CHW_H[[#This Row],[3B]]*3)+(CHW_H[[#This Row],[HR]]*4))/CHW_H[[#This Row],[AB]],0)</f>
        <v>0.5</v>
      </c>
      <c r="G137" s="28">
        <v>8</v>
      </c>
      <c r="H137" s="28">
        <v>30</v>
      </c>
      <c r="I137" s="28">
        <v>4</v>
      </c>
      <c r="J137" s="28">
        <v>8</v>
      </c>
      <c r="K137" s="28">
        <v>1</v>
      </c>
      <c r="L137" s="28">
        <v>0</v>
      </c>
      <c r="M137" s="28">
        <v>2</v>
      </c>
      <c r="N137" s="28">
        <v>5</v>
      </c>
      <c r="O137" s="28">
        <v>2</v>
      </c>
      <c r="P137" s="74">
        <v>10</v>
      </c>
      <c r="Q137" s="28">
        <v>0</v>
      </c>
      <c r="R137" s="28">
        <v>0</v>
      </c>
      <c r="S137" s="74">
        <v>7</v>
      </c>
      <c r="T137" s="28">
        <f>IFERROR((CHW_H[[#This Row],[H]]-CHW_H[[#This Row],[2B]]-CHW_H[[#This Row],[3B]]-CHW_H[[#This Row],[HR]])+(CHW_H[[#This Row],[2B]]*2)+(CHW_H[[#This Row],[3B]]*3)+(CHW_H[[#This Row],[HR]]*4),0)</f>
        <v>15</v>
      </c>
      <c r="U137" s="72">
        <f>CHW_H[[#This Row],[OBP]]+CHW_H[[#This Row],[SLG]]</f>
        <v>0.8125</v>
      </c>
      <c r="V137" s="74">
        <v>0</v>
      </c>
      <c r="W137" s="615">
        <v>10</v>
      </c>
      <c r="Z137" s="651" t="s">
        <v>539</v>
      </c>
      <c r="AA137" s="71" t="s">
        <v>187</v>
      </c>
      <c r="AB137" s="71" t="s">
        <v>551</v>
      </c>
      <c r="AC137" s="72">
        <f>IFERROR((CHW_H224[[#This Row],[H]]/CHW_H224[[#This Row],[AB]]),0)</f>
        <v>0.16279069767441862</v>
      </c>
      <c r="AD137" s="72">
        <f>IFERROR((CHW_H224[[#This Row],[H]]+CHW_H224[[#This Row],[BB]])/(CHW_H224[[#This Row],[BB]]+CHW_H224[[#This Row],[AB]]),0)</f>
        <v>0.18181818181818182</v>
      </c>
      <c r="AE137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0.32558139534883723</v>
      </c>
      <c r="AF137" s="28">
        <v>10</v>
      </c>
      <c r="AG137" s="28">
        <v>43</v>
      </c>
      <c r="AH137" s="28">
        <v>2</v>
      </c>
      <c r="AI137" s="28">
        <v>7</v>
      </c>
      <c r="AJ137" s="28">
        <v>1</v>
      </c>
      <c r="AK137" s="28">
        <v>0</v>
      </c>
      <c r="AL137" s="28">
        <v>2</v>
      </c>
      <c r="AM137" s="28">
        <v>3</v>
      </c>
      <c r="AN137" s="28">
        <v>1</v>
      </c>
      <c r="AO137" s="74">
        <v>8</v>
      </c>
      <c r="AP137" s="28">
        <v>0</v>
      </c>
      <c r="AQ137" s="28">
        <v>3</v>
      </c>
      <c r="AR137" s="74">
        <v>3</v>
      </c>
      <c r="AS137" s="28">
        <f>IFERROR((CHW_H224[[#This Row],[H]]-CHW_H224[[#This Row],[2B]]-CHW_H224[[#This Row],[3B]]-CHW_H224[[#This Row],[HR]])+(CHW_H224[[#This Row],[2B]]*2)+(CHW_H224[[#This Row],[3B]]*3)+(CHW_H224[[#This Row],[HR]]*4),0)</f>
        <v>14</v>
      </c>
      <c r="AT137" s="72">
        <f>CHW_H224[[#This Row],[OBP]]+CHW_H224[[#This Row],[SLG]]</f>
        <v>0.507399577167019</v>
      </c>
      <c r="AU137" s="74">
        <v>0</v>
      </c>
      <c r="AV137" s="615">
        <v>10</v>
      </c>
      <c r="AY137" s="651" t="s">
        <v>539</v>
      </c>
      <c r="AZ137" s="74" t="s">
        <v>179</v>
      </c>
      <c r="BA137" s="71" t="s">
        <v>553</v>
      </c>
      <c r="BB137" s="72">
        <f>IFERROR(CHW_H198[[#This Row],[H]]/CHW_H198[[#This Row],[AB]],0)</f>
        <v>0.33333333333333331</v>
      </c>
      <c r="BC137" s="72">
        <f>IFERROR((CHW_H198[[#This Row],[H]]+CHW_H198[[#This Row],[BB]])/(CHW_H198[[#This Row],[AB]]+CHW_H198[[#This Row],[BB]]),0)</f>
        <v>0.39130434782608697</v>
      </c>
      <c r="BD137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0.47619047619047616</v>
      </c>
      <c r="BE137" s="28">
        <v>8</v>
      </c>
      <c r="BF137" s="28">
        <v>21</v>
      </c>
      <c r="BG137" s="28">
        <v>3</v>
      </c>
      <c r="BH137" s="28">
        <v>7</v>
      </c>
      <c r="BI137" s="28">
        <v>0</v>
      </c>
      <c r="BJ137" s="28">
        <v>0</v>
      </c>
      <c r="BK137" s="28">
        <v>1</v>
      </c>
      <c r="BL137" s="28">
        <v>4</v>
      </c>
      <c r="BM137" s="28">
        <v>2</v>
      </c>
      <c r="BN137" s="74">
        <v>6</v>
      </c>
      <c r="BO137" s="28">
        <v>0</v>
      </c>
      <c r="BP137" s="28">
        <v>0</v>
      </c>
      <c r="BQ137" s="74">
        <v>2</v>
      </c>
      <c r="BR137" s="28">
        <f t="shared" si="13"/>
        <v>10</v>
      </c>
      <c r="BS137" s="72">
        <f>IFERROR(CHW_H198[[#This Row],[OBP]]+CHW_H198[[#This Row],[SLG]],0)</f>
        <v>0.86749482401656319</v>
      </c>
      <c r="BT137" s="74">
        <v>0</v>
      </c>
      <c r="BU137" s="780">
        <v>10</v>
      </c>
    </row>
    <row r="138" spans="1:73">
      <c r="A138" s="651" t="s">
        <v>539</v>
      </c>
      <c r="B138" s="71" t="s">
        <v>187</v>
      </c>
      <c r="C138" s="77" t="s">
        <v>546</v>
      </c>
      <c r="D138" s="130">
        <f>IFERROR((CHW_H[[#This Row],[H]]/CHW_H[[#This Row],[AB]]),0)</f>
        <v>0.14285714285714285</v>
      </c>
      <c r="E138" s="72">
        <f>IFERROR((CHW_H[[#This Row],[H]]+CHW_H[[#This Row],[BB]])/(CHW_H[[#This Row],[BB]]+CHW_H[[#This Row],[AB]]),0)</f>
        <v>0.16666666666666666</v>
      </c>
      <c r="F138" s="73">
        <f>IFERROR(((CHW_H[[#This Row],[H]]-CHW_H[[#This Row],[2B]]-CHW_H[[#This Row],[3B]]-CHW_H[[#This Row],[HR]])+(CHW_H[[#This Row],[2B]]*2)+(CHW_H[[#This Row],[3B]]*3)+(CHW_H[[#This Row],[HR]]*4))/CHW_H[[#This Row],[AB]],0)</f>
        <v>0.15714285714285714</v>
      </c>
      <c r="G138" s="28">
        <v>19</v>
      </c>
      <c r="H138" s="28">
        <v>70</v>
      </c>
      <c r="I138" s="28">
        <v>6</v>
      </c>
      <c r="J138" s="28">
        <v>10</v>
      </c>
      <c r="K138" s="28">
        <v>1</v>
      </c>
      <c r="L138" s="28">
        <v>0</v>
      </c>
      <c r="M138" s="28">
        <v>0</v>
      </c>
      <c r="N138" s="28">
        <v>4</v>
      </c>
      <c r="O138" s="28">
        <v>2</v>
      </c>
      <c r="P138" s="74">
        <v>7</v>
      </c>
      <c r="Q138" s="28">
        <v>0</v>
      </c>
      <c r="R138" s="28">
        <v>2</v>
      </c>
      <c r="S138" s="74">
        <v>3</v>
      </c>
      <c r="T138" s="28">
        <f>IFERROR((CHW_H[[#This Row],[H]]-CHW_H[[#This Row],[2B]]-CHW_H[[#This Row],[3B]]-CHW_H[[#This Row],[HR]])+(CHW_H[[#This Row],[2B]]*2)+(CHW_H[[#This Row],[3B]]*3)+(CHW_H[[#This Row],[HR]]*4),0)</f>
        <v>11</v>
      </c>
      <c r="U138" s="72">
        <f>CHW_H[[#This Row],[OBP]]+CHW_H[[#This Row],[SLG]]</f>
        <v>0.32380952380952377</v>
      </c>
      <c r="V138" s="74">
        <v>0</v>
      </c>
      <c r="W138" s="615">
        <v>11</v>
      </c>
      <c r="Z138" s="651" t="s">
        <v>539</v>
      </c>
      <c r="AA138" s="71" t="s">
        <v>192</v>
      </c>
      <c r="AB138" s="77" t="s">
        <v>545</v>
      </c>
      <c r="AC138" s="130">
        <f>IFERROR((CHW_H224[[#This Row],[H]]/CHW_H224[[#This Row],[AB]]),0)</f>
        <v>0.22580645161290322</v>
      </c>
      <c r="AD138" s="72">
        <f>IFERROR((CHW_H224[[#This Row],[H]]+CHW_H224[[#This Row],[BB]])/(CHW_H224[[#This Row],[BB]]+CHW_H224[[#This Row],[AB]]),0)</f>
        <v>0.27272727272727271</v>
      </c>
      <c r="AE138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0.38709677419354838</v>
      </c>
      <c r="AF138" s="28">
        <v>8</v>
      </c>
      <c r="AG138" s="28">
        <v>31</v>
      </c>
      <c r="AH138" s="28">
        <v>4</v>
      </c>
      <c r="AI138" s="28">
        <v>7</v>
      </c>
      <c r="AJ138" s="28">
        <v>3</v>
      </c>
      <c r="AK138" s="28">
        <v>1</v>
      </c>
      <c r="AL138" s="28">
        <v>0</v>
      </c>
      <c r="AM138" s="28">
        <v>1</v>
      </c>
      <c r="AN138" s="28">
        <v>2</v>
      </c>
      <c r="AO138" s="74">
        <v>8</v>
      </c>
      <c r="AP138" s="28">
        <v>0</v>
      </c>
      <c r="AQ138" s="28">
        <v>1</v>
      </c>
      <c r="AR138" s="74">
        <v>3</v>
      </c>
      <c r="AS138" s="28">
        <f>IFERROR((CHW_H224[[#This Row],[H]]-CHW_H224[[#This Row],[2B]]-CHW_H224[[#This Row],[3B]]-CHW_H224[[#This Row],[HR]])+(CHW_H224[[#This Row],[2B]]*2)+(CHW_H224[[#This Row],[3B]]*3)+(CHW_H224[[#This Row],[HR]]*4),0)</f>
        <v>12</v>
      </c>
      <c r="AT138" s="72">
        <f>CHW_H224[[#This Row],[OBP]]+CHW_H224[[#This Row],[SLG]]</f>
        <v>0.65982404692082108</v>
      </c>
      <c r="AU138" s="74">
        <v>0</v>
      </c>
      <c r="AV138" s="615">
        <v>11</v>
      </c>
      <c r="AY138" s="651" t="s">
        <v>539</v>
      </c>
      <c r="AZ138" s="74" t="s">
        <v>192</v>
      </c>
      <c r="BA138" s="71" t="s">
        <v>555</v>
      </c>
      <c r="BB138" s="72">
        <f>IFERROR(CHW_H198[[#This Row],[H]]/CHW_H198[[#This Row],[AB]],0)</f>
        <v>0.2</v>
      </c>
      <c r="BC138" s="72">
        <f>IFERROR((CHW_H198[[#This Row],[H]]+CHW_H198[[#This Row],[BB]])/(CHW_H198[[#This Row],[AB]]+CHW_H198[[#This Row],[BB]]),0)</f>
        <v>0.2</v>
      </c>
      <c r="BD138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0.2</v>
      </c>
      <c r="BE138" s="28">
        <v>5</v>
      </c>
      <c r="BF138" s="28">
        <v>10</v>
      </c>
      <c r="BG138" s="28">
        <v>0</v>
      </c>
      <c r="BH138" s="28">
        <v>2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74">
        <v>3</v>
      </c>
      <c r="BO138" s="28">
        <v>0</v>
      </c>
      <c r="BP138" s="28">
        <v>1</v>
      </c>
      <c r="BQ138" s="74">
        <v>1</v>
      </c>
      <c r="BR138" s="28">
        <f t="shared" si="13"/>
        <v>2</v>
      </c>
      <c r="BS138" s="72">
        <f>IFERROR(CHW_H198[[#This Row],[OBP]]+CHW_H198[[#This Row],[SLG]],0)</f>
        <v>0.4</v>
      </c>
      <c r="BT138" s="74">
        <v>0</v>
      </c>
      <c r="BU138" s="780">
        <v>11</v>
      </c>
    </row>
    <row r="139" spans="1:73">
      <c r="A139" s="651" t="s">
        <v>539</v>
      </c>
      <c r="B139" s="71" t="s">
        <v>187</v>
      </c>
      <c r="C139" s="71" t="s">
        <v>551</v>
      </c>
      <c r="D139" s="72">
        <f>IFERROR((CHW_H[[#This Row],[H]]/CHW_H[[#This Row],[AB]]),0)</f>
        <v>0.29729729729729731</v>
      </c>
      <c r="E139" s="72">
        <f>IFERROR((CHW_H[[#This Row],[H]]+CHW_H[[#This Row],[BB]])/(CHW_H[[#This Row],[BB]]+CHW_H[[#This Row],[AB]]),0)</f>
        <v>0.36585365853658536</v>
      </c>
      <c r="F139" s="73">
        <f>IFERROR(((CHW_H[[#This Row],[H]]-CHW_H[[#This Row],[2B]]-CHW_H[[#This Row],[3B]]-CHW_H[[#This Row],[HR]])+(CHW_H[[#This Row],[2B]]*2)+(CHW_H[[#This Row],[3B]]*3)+(CHW_H[[#This Row],[HR]]*4))/CHW_H[[#This Row],[AB]],0)</f>
        <v>0.48648648648648651</v>
      </c>
      <c r="G139" s="28">
        <v>11</v>
      </c>
      <c r="H139" s="28">
        <v>37</v>
      </c>
      <c r="I139" s="28">
        <v>6</v>
      </c>
      <c r="J139" s="28">
        <v>11</v>
      </c>
      <c r="K139" s="28">
        <v>1</v>
      </c>
      <c r="L139" s="28">
        <v>0</v>
      </c>
      <c r="M139" s="28">
        <v>2</v>
      </c>
      <c r="N139" s="28">
        <v>4</v>
      </c>
      <c r="O139" s="28">
        <v>4</v>
      </c>
      <c r="P139" s="74">
        <v>5</v>
      </c>
      <c r="Q139" s="28">
        <v>0</v>
      </c>
      <c r="R139" s="28">
        <v>2</v>
      </c>
      <c r="S139" s="74">
        <v>3</v>
      </c>
      <c r="T139" s="28">
        <f>IFERROR((CHW_H[[#This Row],[H]]-CHW_H[[#This Row],[2B]]-CHW_H[[#This Row],[3B]]-CHW_H[[#This Row],[HR]])+(CHW_H[[#This Row],[2B]]*2)+(CHW_H[[#This Row],[3B]]*3)+(CHW_H[[#This Row],[HR]]*4),0)</f>
        <v>18</v>
      </c>
      <c r="U139" s="72">
        <f>CHW_H[[#This Row],[OBP]]+CHW_H[[#This Row],[SLG]]</f>
        <v>0.85234014502307187</v>
      </c>
      <c r="V139" s="74">
        <v>0</v>
      </c>
      <c r="W139" s="615">
        <v>12</v>
      </c>
      <c r="Z139" s="651" t="s">
        <v>539</v>
      </c>
      <c r="AA139" s="71" t="s">
        <v>187</v>
      </c>
      <c r="AB139" s="71" t="s">
        <v>555</v>
      </c>
      <c r="AC139" s="72">
        <f>IFERROR((CHW_H224[[#This Row],[H]]/CHW_H224[[#This Row],[AB]]),0)</f>
        <v>0.23809523809523808</v>
      </c>
      <c r="AD139" s="72">
        <f>IFERROR((CHW_H224[[#This Row],[H]]+CHW_H224[[#This Row],[BB]])/(CHW_H224[[#This Row],[BB]]+CHW_H224[[#This Row],[AB]]),0)</f>
        <v>0.30434782608695654</v>
      </c>
      <c r="AE139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0.38095238095238093</v>
      </c>
      <c r="AF139" s="28">
        <v>6</v>
      </c>
      <c r="AG139" s="28">
        <v>21</v>
      </c>
      <c r="AH139" s="28">
        <v>4</v>
      </c>
      <c r="AI139" s="28">
        <v>5</v>
      </c>
      <c r="AJ139" s="28">
        <v>0</v>
      </c>
      <c r="AK139" s="28">
        <v>0</v>
      </c>
      <c r="AL139" s="28">
        <v>1</v>
      </c>
      <c r="AM139" s="28">
        <v>1</v>
      </c>
      <c r="AN139" s="28">
        <v>2</v>
      </c>
      <c r="AO139" s="74">
        <v>3</v>
      </c>
      <c r="AP139" s="28">
        <v>0</v>
      </c>
      <c r="AQ139" s="28">
        <v>2</v>
      </c>
      <c r="AR139" s="74">
        <v>2</v>
      </c>
      <c r="AS139" s="28">
        <f>IFERROR((CHW_H224[[#This Row],[H]]-CHW_H224[[#This Row],[2B]]-CHW_H224[[#This Row],[3B]]-CHW_H224[[#This Row],[HR]])+(CHW_H224[[#This Row],[2B]]*2)+(CHW_H224[[#This Row],[3B]]*3)+(CHW_H224[[#This Row],[HR]]*4),0)</f>
        <v>8</v>
      </c>
      <c r="AT139" s="72">
        <f>CHW_H224[[#This Row],[OBP]]+CHW_H224[[#This Row],[SLG]]</f>
        <v>0.68530020703933747</v>
      </c>
      <c r="AU139" s="74">
        <v>0</v>
      </c>
      <c r="AV139" s="615">
        <v>12</v>
      </c>
      <c r="AY139" s="651" t="s">
        <v>539</v>
      </c>
      <c r="AZ139" s="74" t="s">
        <v>192</v>
      </c>
      <c r="BA139" s="71" t="s">
        <v>551</v>
      </c>
      <c r="BB139" s="72">
        <f>IFERROR(CHW_H198[[#This Row],[H]]/CHW_H198[[#This Row],[AB]],0)</f>
        <v>0.6</v>
      </c>
      <c r="BC139" s="72">
        <f>IFERROR((CHW_H198[[#This Row],[H]]+CHW_H198[[#This Row],[BB]])/(CHW_H198[[#This Row],[AB]]+CHW_H198[[#This Row],[BB]]),0)</f>
        <v>0.7142857142857143</v>
      </c>
      <c r="BD139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0.8</v>
      </c>
      <c r="BE139" s="28">
        <v>2</v>
      </c>
      <c r="BF139" s="28">
        <v>5</v>
      </c>
      <c r="BG139" s="28">
        <v>1</v>
      </c>
      <c r="BH139" s="28">
        <v>3</v>
      </c>
      <c r="BI139" s="28">
        <v>1</v>
      </c>
      <c r="BJ139" s="28">
        <v>0</v>
      </c>
      <c r="BK139" s="28">
        <v>0</v>
      </c>
      <c r="BL139" s="28">
        <v>0</v>
      </c>
      <c r="BM139" s="28">
        <v>2</v>
      </c>
      <c r="BN139" s="74">
        <v>1</v>
      </c>
      <c r="BO139" s="28">
        <v>0</v>
      </c>
      <c r="BP139" s="28">
        <v>0</v>
      </c>
      <c r="BQ139" s="74">
        <v>1</v>
      </c>
      <c r="BR139" s="28">
        <f t="shared" si="13"/>
        <v>4</v>
      </c>
      <c r="BS139" s="72">
        <f>IFERROR(CHW_H198[[#This Row],[OBP]]+CHW_H198[[#This Row],[SLG]],0)</f>
        <v>1.5142857142857142</v>
      </c>
      <c r="BT139" s="74">
        <v>0</v>
      </c>
      <c r="BU139" s="780">
        <v>12</v>
      </c>
    </row>
    <row r="140" spans="1:73">
      <c r="A140" s="651" t="s">
        <v>539</v>
      </c>
      <c r="B140" s="71" t="s">
        <v>186</v>
      </c>
      <c r="C140" s="71" t="s">
        <v>549</v>
      </c>
      <c r="D140" s="72">
        <f>IFERROR((CHW_H[[#This Row],[H]]/CHW_H[[#This Row],[AB]]),0)</f>
        <v>0.2</v>
      </c>
      <c r="E140" s="72">
        <f>IFERROR((CHW_H[[#This Row],[H]]+CHW_H[[#This Row],[BB]])/(CHW_H[[#This Row],[BB]]+CHW_H[[#This Row],[AB]]),0)</f>
        <v>0.25925925925925924</v>
      </c>
      <c r="F140" s="73">
        <f>IFERROR(((CHW_H[[#This Row],[H]]-CHW_H[[#This Row],[2B]]-CHW_H[[#This Row],[3B]]-CHW_H[[#This Row],[HR]])+(CHW_H[[#This Row],[2B]]*2)+(CHW_H[[#This Row],[3B]]*3)+(CHW_H[[#This Row],[HR]]*4))/CHW_H[[#This Row],[AB]],0)</f>
        <v>0.32</v>
      </c>
      <c r="G140" s="28">
        <v>6</v>
      </c>
      <c r="H140" s="28">
        <v>25</v>
      </c>
      <c r="I140" s="28">
        <v>3</v>
      </c>
      <c r="J140" s="28">
        <v>5</v>
      </c>
      <c r="K140" s="28">
        <v>0</v>
      </c>
      <c r="L140" s="28">
        <v>0</v>
      </c>
      <c r="M140" s="28">
        <v>1</v>
      </c>
      <c r="N140" s="28">
        <v>1</v>
      </c>
      <c r="O140" s="28">
        <v>2</v>
      </c>
      <c r="P140" s="74">
        <v>7</v>
      </c>
      <c r="Q140" s="28">
        <v>0</v>
      </c>
      <c r="R140" s="28">
        <v>0</v>
      </c>
      <c r="S140" s="74">
        <v>4</v>
      </c>
      <c r="T140" s="28">
        <f>IFERROR((CHW_H[[#This Row],[H]]-CHW_H[[#This Row],[2B]]-CHW_H[[#This Row],[3B]]-CHW_H[[#This Row],[HR]])+(CHW_H[[#This Row],[2B]]*2)+(CHW_H[[#This Row],[3B]]*3)+(CHW_H[[#This Row],[HR]]*4),0)</f>
        <v>8</v>
      </c>
      <c r="U140" s="72">
        <f>CHW_H[[#This Row],[OBP]]+CHW_H[[#This Row],[SLG]]</f>
        <v>0.57925925925925925</v>
      </c>
      <c r="V140" s="74">
        <v>0</v>
      </c>
      <c r="W140" s="615">
        <v>13</v>
      </c>
      <c r="Z140" s="651" t="s">
        <v>539</v>
      </c>
      <c r="AA140" s="71" t="s">
        <v>186</v>
      </c>
      <c r="AB140" s="71" t="s">
        <v>552</v>
      </c>
      <c r="AC140" s="72">
        <f>IFERROR((CHW_H224[[#This Row],[H]]/CHW_H224[[#This Row],[AB]]),0)</f>
        <v>0.20930232558139536</v>
      </c>
      <c r="AD140" s="72">
        <f>IFERROR((CHW_H224[[#This Row],[H]]+CHW_H224[[#This Row],[BB]])/(CHW_H224[[#This Row],[BB]]+CHW_H224[[#This Row],[AB]]),0)</f>
        <v>0.2608695652173913</v>
      </c>
      <c r="AE140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0.30232558139534882</v>
      </c>
      <c r="AF140" s="28">
        <v>11</v>
      </c>
      <c r="AG140" s="28">
        <v>43</v>
      </c>
      <c r="AH140" s="28">
        <v>4</v>
      </c>
      <c r="AI140" s="28">
        <v>9</v>
      </c>
      <c r="AJ140" s="28">
        <v>1</v>
      </c>
      <c r="AK140" s="28">
        <v>0</v>
      </c>
      <c r="AL140" s="28">
        <v>1</v>
      </c>
      <c r="AM140" s="28">
        <v>4</v>
      </c>
      <c r="AN140" s="28">
        <v>3</v>
      </c>
      <c r="AO140" s="74">
        <v>10</v>
      </c>
      <c r="AP140" s="28">
        <v>0</v>
      </c>
      <c r="AQ140" s="28">
        <v>5</v>
      </c>
      <c r="AR140" s="74">
        <v>5</v>
      </c>
      <c r="AS140" s="28">
        <f>IFERROR((CHW_H224[[#This Row],[H]]-CHW_H224[[#This Row],[2B]]-CHW_H224[[#This Row],[3B]]-CHW_H224[[#This Row],[HR]])+(CHW_H224[[#This Row],[2B]]*2)+(CHW_H224[[#This Row],[3B]]*3)+(CHW_H224[[#This Row],[HR]]*4),0)</f>
        <v>13</v>
      </c>
      <c r="AT140" s="72">
        <f>CHW_H224[[#This Row],[OBP]]+CHW_H224[[#This Row],[SLG]]</f>
        <v>0.56319514661274006</v>
      </c>
      <c r="AU140" s="74">
        <v>0</v>
      </c>
      <c r="AV140" s="615">
        <v>13</v>
      </c>
      <c r="AY140" s="651" t="s">
        <v>539</v>
      </c>
      <c r="AZ140" s="74" t="s">
        <v>186</v>
      </c>
      <c r="BA140" s="71" t="s">
        <v>549</v>
      </c>
      <c r="BB140" s="72">
        <f>IFERROR(CHW_H198[[#This Row],[H]]/CHW_H198[[#This Row],[AB]],0)</f>
        <v>0.22388059701492538</v>
      </c>
      <c r="BC140" s="72">
        <f>IFERROR((CHW_H198[[#This Row],[H]]+CHW_H198[[#This Row],[BB]])/(CHW_H198[[#This Row],[AB]]+CHW_H198[[#This Row],[BB]]),0)</f>
        <v>0.28767123287671231</v>
      </c>
      <c r="BD140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0.31343283582089554</v>
      </c>
      <c r="BE140" s="28">
        <v>20</v>
      </c>
      <c r="BF140" s="28">
        <v>67</v>
      </c>
      <c r="BG140" s="28">
        <v>5</v>
      </c>
      <c r="BH140" s="28">
        <v>15</v>
      </c>
      <c r="BI140" s="28">
        <v>3</v>
      </c>
      <c r="BJ140" s="28">
        <v>0</v>
      </c>
      <c r="BK140" s="28">
        <v>1</v>
      </c>
      <c r="BL140" s="28">
        <v>6</v>
      </c>
      <c r="BM140" s="28">
        <v>6</v>
      </c>
      <c r="BN140" s="74">
        <v>20</v>
      </c>
      <c r="BO140" s="28">
        <v>0</v>
      </c>
      <c r="BP140" s="28">
        <v>0</v>
      </c>
      <c r="BQ140" s="74">
        <v>7</v>
      </c>
      <c r="BR140" s="28">
        <f t="shared" si="13"/>
        <v>21</v>
      </c>
      <c r="BS140" s="72">
        <f>IFERROR(CHW_H198[[#This Row],[OBP]]+CHW_H198[[#This Row],[SLG]],0)</f>
        <v>0.60110406869760791</v>
      </c>
      <c r="BT140" s="74">
        <v>0</v>
      </c>
      <c r="BU140" s="780">
        <v>13</v>
      </c>
    </row>
    <row r="141" spans="1:73" ht="17" thickBot="1">
      <c r="A141" s="651" t="s">
        <v>539</v>
      </c>
      <c r="B141" s="71" t="s">
        <v>186</v>
      </c>
      <c r="C141" s="71" t="s">
        <v>552</v>
      </c>
      <c r="D141" s="72">
        <f>IFERROR((CHW_H[[#This Row],[H]]/CHW_H[[#This Row],[AB]]),0)</f>
        <v>0.21052631578947367</v>
      </c>
      <c r="E141" s="72">
        <f>IFERROR((CHW_H[[#This Row],[H]]+CHW_H[[#This Row],[BB]])/(CHW_H[[#This Row],[BB]]+CHW_H[[#This Row],[AB]]),0)</f>
        <v>0.21052631578947367</v>
      </c>
      <c r="F141" s="73">
        <f>IFERROR(((CHW_H[[#This Row],[H]]-CHW_H[[#This Row],[2B]]-CHW_H[[#This Row],[3B]]-CHW_H[[#This Row],[HR]])+(CHW_H[[#This Row],[2B]]*2)+(CHW_H[[#This Row],[3B]]*3)+(CHW_H[[#This Row],[HR]]*4))/CHW_H[[#This Row],[AB]],0)</f>
        <v>0.84210526315789469</v>
      </c>
      <c r="G141" s="28">
        <v>5</v>
      </c>
      <c r="H141" s="28">
        <v>19</v>
      </c>
      <c r="I141" s="28">
        <v>4</v>
      </c>
      <c r="J141" s="28">
        <v>4</v>
      </c>
      <c r="K141" s="28">
        <v>0</v>
      </c>
      <c r="L141" s="28">
        <v>0</v>
      </c>
      <c r="M141" s="28">
        <v>4</v>
      </c>
      <c r="N141" s="28">
        <v>6</v>
      </c>
      <c r="O141" s="28">
        <v>0</v>
      </c>
      <c r="P141" s="74">
        <v>2</v>
      </c>
      <c r="Q141" s="28">
        <v>0</v>
      </c>
      <c r="R141" s="28">
        <v>0</v>
      </c>
      <c r="S141" s="74">
        <v>1</v>
      </c>
      <c r="T141" s="28">
        <f>IFERROR((CHW_H[[#This Row],[H]]-CHW_H[[#This Row],[2B]]-CHW_H[[#This Row],[3B]]-CHW_H[[#This Row],[HR]])+(CHW_H[[#This Row],[2B]]*2)+(CHW_H[[#This Row],[3B]]*3)+(CHW_H[[#This Row],[HR]]*4),0)</f>
        <v>16</v>
      </c>
      <c r="U141" s="72">
        <f>CHW_H[[#This Row],[OBP]]+CHW_H[[#This Row],[SLG]]</f>
        <v>1.0526315789473684</v>
      </c>
      <c r="V141" s="74">
        <v>1</v>
      </c>
      <c r="W141" s="615">
        <v>14</v>
      </c>
      <c r="Z141" s="651" t="s">
        <v>539</v>
      </c>
      <c r="AA141" s="71" t="s">
        <v>186</v>
      </c>
      <c r="AB141" s="71" t="s">
        <v>550</v>
      </c>
      <c r="AC141" s="72">
        <f>IFERROR((CHW_H224[[#This Row],[H]]/CHW_H224[[#This Row],[AB]]),0)</f>
        <v>0.25</v>
      </c>
      <c r="AD141" s="72">
        <f>IFERROR((CHW_H224[[#This Row],[H]]+CHW_H224[[#This Row],[BB]])/(CHW_H224[[#This Row],[BB]]+CHW_H224[[#This Row],[AB]]),0)</f>
        <v>0.2857142857142857</v>
      </c>
      <c r="AE141" s="73">
        <f>IFERROR(((CHW_H224[[#This Row],[H]]-CHW_H224[[#This Row],[2B]]-CHW_H224[[#This Row],[3B]]-CHW_H224[[#This Row],[HR]])+(CHW_H224[[#This Row],[2B]]*2)+(CHW_H224[[#This Row],[3B]]*3)+(CHW_H224[[#This Row],[HR]]*4))/CHW_H224[[#This Row],[AB]],0)</f>
        <v>0.4</v>
      </c>
      <c r="AF141" s="28">
        <v>6</v>
      </c>
      <c r="AG141" s="28">
        <v>20</v>
      </c>
      <c r="AH141" s="28">
        <v>4</v>
      </c>
      <c r="AI141" s="28">
        <v>5</v>
      </c>
      <c r="AJ141" s="28">
        <v>0</v>
      </c>
      <c r="AK141" s="28">
        <v>0</v>
      </c>
      <c r="AL141" s="28">
        <v>1</v>
      </c>
      <c r="AM141" s="28">
        <v>1</v>
      </c>
      <c r="AN141" s="28">
        <v>1</v>
      </c>
      <c r="AO141" s="74">
        <v>8</v>
      </c>
      <c r="AP141" s="28">
        <v>1</v>
      </c>
      <c r="AQ141" s="28">
        <v>0</v>
      </c>
      <c r="AR141" s="74">
        <v>3</v>
      </c>
      <c r="AS141" s="28">
        <f>IFERROR((CHW_H224[[#This Row],[H]]-CHW_H224[[#This Row],[2B]]-CHW_H224[[#This Row],[3B]]-CHW_H224[[#This Row],[HR]])+(CHW_H224[[#This Row],[2B]]*2)+(CHW_H224[[#This Row],[3B]]*3)+(CHW_H224[[#This Row],[HR]]*4),0)</f>
        <v>8</v>
      </c>
      <c r="AT141" s="72">
        <f>CHW_H224[[#This Row],[OBP]]+CHW_H224[[#This Row],[SLG]]</f>
        <v>0.68571428571428572</v>
      </c>
      <c r="AU141" s="74">
        <v>0</v>
      </c>
      <c r="AV141" s="615">
        <v>14</v>
      </c>
      <c r="AY141" s="651" t="s">
        <v>539</v>
      </c>
      <c r="AZ141" s="74" t="s">
        <v>184</v>
      </c>
      <c r="BA141" s="71" t="s">
        <v>552</v>
      </c>
      <c r="BB141" s="72">
        <f>IFERROR(CHW_H198[[#This Row],[H]]/CHW_H198[[#This Row],[AB]],0)</f>
        <v>0.25</v>
      </c>
      <c r="BC141" s="72">
        <f>IFERROR((CHW_H198[[#This Row],[H]]+CHW_H198[[#This Row],[BB]])/(CHW_H198[[#This Row],[AB]]+CHW_H198[[#This Row],[BB]]),0)</f>
        <v>0.4</v>
      </c>
      <c r="BD141" s="73">
        <f>IFERROR(((CHW_H198[[#This Row],[H]]-CHW_H198[[#This Row],[2B]]-CHW_H198[[#This Row],[3B]]-CHW_H198[[#This Row],[HR]])+(CHW_H198[[#This Row],[2B]]*2)+(CHW_H198[[#This Row],[3B]]*3)+(CHW_H198[[#This Row],[HR]]*4))/CHW_H198[[#This Row],[AB]],0)</f>
        <v>0.5</v>
      </c>
      <c r="BE141" s="28">
        <v>13</v>
      </c>
      <c r="BF141" s="28">
        <v>12</v>
      </c>
      <c r="BG141" s="28">
        <v>4</v>
      </c>
      <c r="BH141" s="28">
        <v>3</v>
      </c>
      <c r="BI141" s="28">
        <v>0</v>
      </c>
      <c r="BJ141" s="28">
        <v>0</v>
      </c>
      <c r="BK141" s="28">
        <v>1</v>
      </c>
      <c r="BL141" s="28">
        <v>1</v>
      </c>
      <c r="BM141" s="28">
        <v>3</v>
      </c>
      <c r="BN141" s="74">
        <v>2</v>
      </c>
      <c r="BO141" s="28">
        <v>1</v>
      </c>
      <c r="BP141" s="28">
        <v>0</v>
      </c>
      <c r="BQ141" s="74">
        <v>1</v>
      </c>
      <c r="BR141" s="28">
        <f t="shared" si="13"/>
        <v>6</v>
      </c>
      <c r="BS141" s="72">
        <f>IFERROR(CHW_H198[[#This Row],[OBP]]+CHW_H198[[#This Row],[SLG]],0)</f>
        <v>0.9</v>
      </c>
      <c r="BT141" s="74">
        <v>0</v>
      </c>
      <c r="BU141" s="780">
        <v>14</v>
      </c>
    </row>
    <row r="142" spans="1:73" ht="17" thickBot="1">
      <c r="A142" s="617"/>
      <c r="B142" s="618"/>
      <c r="C142" s="619" t="s">
        <v>195</v>
      </c>
      <c r="D142" s="620">
        <f>J142/H142</f>
        <v>0.26744989633724947</v>
      </c>
      <c r="E142" s="620">
        <f>(J142+O142)/(O142+H142)</f>
        <v>0.31391585760517798</v>
      </c>
      <c r="F142" s="621">
        <f>((J142-K142-L142-M142)+(K142*2)+(L142*3)+(M142*4))/H142</f>
        <v>0.45542501727712509</v>
      </c>
      <c r="G142" s="622"/>
      <c r="H142" s="622">
        <f>SUBTOTAL(109,CHW_H[AB])</f>
        <v>1447</v>
      </c>
      <c r="I142" s="622">
        <f>SUBTOTAL(109,CHW_H[R])</f>
        <v>181</v>
      </c>
      <c r="J142" s="622">
        <f>SUBTOTAL(109,CHW_H[H])</f>
        <v>387</v>
      </c>
      <c r="K142" s="622">
        <f>SUBTOTAL(109,CHW_H[2B])</f>
        <v>87</v>
      </c>
      <c r="L142" s="622">
        <f>SUBTOTAL(109,CHW_H[3B])</f>
        <v>1</v>
      </c>
      <c r="M142" s="622">
        <f>SUBTOTAL(109,CHW_H[HR])</f>
        <v>61</v>
      </c>
      <c r="N142" s="622">
        <f>SUBTOTAL(109,CHW_H[RBI])</f>
        <v>179</v>
      </c>
      <c r="O142" s="622">
        <f>SUBTOTAL(109,CHW_H[BB])</f>
        <v>98</v>
      </c>
      <c r="P142" s="625">
        <f>SUBTOTAL(109,CHW_H[K])</f>
        <v>374</v>
      </c>
      <c r="Q142" s="622">
        <f>SUBTOTAL(109,CHW_H[SB])</f>
        <v>6</v>
      </c>
      <c r="R142" s="622"/>
      <c r="S142" s="625"/>
      <c r="T142" s="622">
        <f>SUBTOTAL(109,CHW_H[TB])</f>
        <v>659</v>
      </c>
      <c r="U142" s="620">
        <f>E142+F142</f>
        <v>0.76934087488230307</v>
      </c>
      <c r="V142" s="625">
        <f>SUBTOTAL(109,CHW_H[*])</f>
        <v>20</v>
      </c>
      <c r="W142" s="649"/>
      <c r="Z142" s="617"/>
      <c r="AA142" s="618"/>
      <c r="AB142" s="619" t="s">
        <v>195</v>
      </c>
      <c r="AC142" s="620">
        <f>AI142/AG142</f>
        <v>0.26785714285714285</v>
      </c>
      <c r="AD142" s="620">
        <f>(AI142+AN142)/(AN142+AG142)</f>
        <v>0.31491002570694088</v>
      </c>
      <c r="AE142" s="621">
        <f>((AI142-AJ142-AK142-AL142)+(AJ142*2)+(AK142*3)+(AL142*4))/AG142</f>
        <v>0.44917582417582419</v>
      </c>
      <c r="AF142" s="622"/>
      <c r="AG142" s="622">
        <f>SUBTOTAL(109,CHW_H224[AB])</f>
        <v>1456</v>
      </c>
      <c r="AH142" s="622">
        <f>SUBTOTAL(109,CHW_H224[R])</f>
        <v>171</v>
      </c>
      <c r="AI142" s="622">
        <f>SUBTOTAL(109,CHW_H224[H])</f>
        <v>390</v>
      </c>
      <c r="AJ142" s="622">
        <f>SUBTOTAL(109,CHW_H224[2B])</f>
        <v>79</v>
      </c>
      <c r="AK142" s="622">
        <f>SUBTOTAL(109,CHW_H224[3B])</f>
        <v>7</v>
      </c>
      <c r="AL142" s="622">
        <f>SUBTOTAL(109,CHW_H224[HR])</f>
        <v>57</v>
      </c>
      <c r="AM142" s="622">
        <f>SUBTOTAL(109,CHW_H224[RBI])</f>
        <v>171</v>
      </c>
      <c r="AN142" s="622">
        <f>SUBTOTAL(109,CHW_H224[BB])</f>
        <v>100</v>
      </c>
      <c r="AO142" s="625">
        <f>SUBTOTAL(109,CHW_H224[K])</f>
        <v>370</v>
      </c>
      <c r="AP142" s="622">
        <f>SUBTOTAL(109,CHW_H224[SB])</f>
        <v>4</v>
      </c>
      <c r="AQ142" s="622"/>
      <c r="AR142" s="625"/>
      <c r="AS142" s="622">
        <f>SUBTOTAL(109,CHW_H224[TB])</f>
        <v>654</v>
      </c>
      <c r="AT142" s="620">
        <f>AD142+AE142</f>
        <v>0.76408584988276507</v>
      </c>
      <c r="AU142" s="625">
        <f>SUBTOTAL(109,CHW_H224[*])</f>
        <v>16</v>
      </c>
      <c r="AV142" s="649"/>
      <c r="AY142" s="617"/>
      <c r="AZ142" s="618"/>
      <c r="BA142" s="619" t="s">
        <v>195</v>
      </c>
      <c r="BB142" s="620">
        <f>IFERROR(BH142/BF142,0)</f>
        <v>0.27168458781362009</v>
      </c>
      <c r="BC142" s="620">
        <f>(BH142+BM142)/(BF142+BM142)</f>
        <v>0.33811074918566775</v>
      </c>
      <c r="BD142" s="621">
        <f>IFERROR(((BH142-BI142-BJ142-BK142)+(BI142*2)+(BJ142*3)+(BK142*4))/BF142,0)</f>
        <v>0.43512544802867381</v>
      </c>
      <c r="BE142" s="622"/>
      <c r="BF142" s="622">
        <f t="shared" ref="BF142:BO142" si="14">SUM(BF128:BF141)</f>
        <v>1395</v>
      </c>
      <c r="BG142" s="622">
        <f t="shared" si="14"/>
        <v>167</v>
      </c>
      <c r="BH142" s="622">
        <f t="shared" si="14"/>
        <v>379</v>
      </c>
      <c r="BI142" s="622">
        <f t="shared" si="14"/>
        <v>69</v>
      </c>
      <c r="BJ142" s="622">
        <f t="shared" si="14"/>
        <v>9</v>
      </c>
      <c r="BK142" s="622">
        <f t="shared" si="14"/>
        <v>47</v>
      </c>
      <c r="BL142" s="622">
        <f t="shared" si="14"/>
        <v>165</v>
      </c>
      <c r="BM142" s="622">
        <f t="shared" si="14"/>
        <v>140</v>
      </c>
      <c r="BN142" s="625">
        <f t="shared" si="14"/>
        <v>363</v>
      </c>
      <c r="BO142" s="622">
        <f t="shared" si="14"/>
        <v>12</v>
      </c>
      <c r="BP142" s="622"/>
      <c r="BQ142" s="625"/>
      <c r="BR142" s="622">
        <f>SUM(BR128:BR141)</f>
        <v>607</v>
      </c>
      <c r="BS142" s="620">
        <f>IFERROR(BC142+BD142,0)</f>
        <v>0.77323619721434156</v>
      </c>
      <c r="BT142" s="625">
        <f>SUBTOTAL(109,CHW_H198[*])</f>
        <v>22</v>
      </c>
      <c r="BU142" s="649"/>
    </row>
    <row r="143" spans="1:73" ht="17" thickBot="1"/>
    <row r="144" spans="1:73" s="64" customFormat="1" ht="14" thickBot="1">
      <c r="A144" s="605" t="s">
        <v>143</v>
      </c>
      <c r="B144" s="606" t="s">
        <v>144</v>
      </c>
      <c r="C144" s="606" t="s">
        <v>145</v>
      </c>
      <c r="D144" s="606" t="s">
        <v>196</v>
      </c>
      <c r="E144" s="606" t="s">
        <v>197</v>
      </c>
      <c r="F144" s="606" t="s">
        <v>198</v>
      </c>
      <c r="G144" s="606" t="s">
        <v>149</v>
      </c>
      <c r="H144" s="606" t="s">
        <v>199</v>
      </c>
      <c r="I144" s="606" t="s">
        <v>152</v>
      </c>
      <c r="J144" s="606" t="s">
        <v>151</v>
      </c>
      <c r="K144" s="606" t="s">
        <v>157</v>
      </c>
      <c r="L144" s="606" t="s">
        <v>158</v>
      </c>
      <c r="M144" s="606" t="s">
        <v>200</v>
      </c>
      <c r="N144" s="606" t="s">
        <v>201</v>
      </c>
      <c r="O144" s="606" t="s">
        <v>202</v>
      </c>
      <c r="P144" s="606" t="s">
        <v>203</v>
      </c>
      <c r="Q144" s="606" t="s">
        <v>204</v>
      </c>
      <c r="R144" s="606" t="s">
        <v>205</v>
      </c>
      <c r="S144" s="607" t="s">
        <v>164</v>
      </c>
      <c r="Z144" s="605" t="s">
        <v>143</v>
      </c>
      <c r="AA144" s="606" t="s">
        <v>144</v>
      </c>
      <c r="AB144" s="606" t="s">
        <v>145</v>
      </c>
      <c r="AC144" s="606" t="s">
        <v>196</v>
      </c>
      <c r="AD144" s="606" t="s">
        <v>197</v>
      </c>
      <c r="AE144" s="606" t="s">
        <v>198</v>
      </c>
      <c r="AF144" s="606" t="s">
        <v>149</v>
      </c>
      <c r="AG144" s="606" t="s">
        <v>199</v>
      </c>
      <c r="AH144" s="606" t="s">
        <v>152</v>
      </c>
      <c r="AI144" s="606" t="s">
        <v>151</v>
      </c>
      <c r="AJ144" s="606" t="s">
        <v>157</v>
      </c>
      <c r="AK144" s="606" t="s">
        <v>158</v>
      </c>
      <c r="AL144" s="606" t="s">
        <v>200</v>
      </c>
      <c r="AM144" s="606" t="s">
        <v>201</v>
      </c>
      <c r="AN144" s="606" t="s">
        <v>202</v>
      </c>
      <c r="AO144" s="606" t="s">
        <v>203</v>
      </c>
      <c r="AP144" s="606" t="s">
        <v>204</v>
      </c>
      <c r="AQ144" s="606" t="s">
        <v>205</v>
      </c>
      <c r="AR144" s="607" t="s">
        <v>164</v>
      </c>
      <c r="AY144" s="605" t="s">
        <v>143</v>
      </c>
      <c r="AZ144" s="606" t="s">
        <v>144</v>
      </c>
      <c r="BA144" s="606" t="s">
        <v>145</v>
      </c>
      <c r="BB144" s="606" t="s">
        <v>196</v>
      </c>
      <c r="BC144" s="606" t="s">
        <v>197</v>
      </c>
      <c r="BD144" s="606" t="s">
        <v>198</v>
      </c>
      <c r="BE144" s="606" t="s">
        <v>149</v>
      </c>
      <c r="BF144" s="606" t="s">
        <v>199</v>
      </c>
      <c r="BG144" s="606" t="s">
        <v>152</v>
      </c>
      <c r="BH144" s="606" t="s">
        <v>151</v>
      </c>
      <c r="BI144" s="606" t="s">
        <v>157</v>
      </c>
      <c r="BJ144" s="606" t="s">
        <v>158</v>
      </c>
      <c r="BK144" s="606" t="s">
        <v>200</v>
      </c>
      <c r="BL144" s="606" t="s">
        <v>201</v>
      </c>
      <c r="BM144" s="606" t="s">
        <v>202</v>
      </c>
      <c r="BN144" s="606" t="s">
        <v>203</v>
      </c>
      <c r="BO144" s="606" t="s">
        <v>204</v>
      </c>
      <c r="BP144" s="606" t="s">
        <v>205</v>
      </c>
      <c r="BQ144" s="607" t="s">
        <v>164</v>
      </c>
    </row>
    <row r="145" spans="1:73">
      <c r="A145" s="650" t="s">
        <v>539</v>
      </c>
      <c r="B145" s="604" t="s">
        <v>206</v>
      </c>
      <c r="C145" s="682" t="s">
        <v>556</v>
      </c>
      <c r="D145" s="663">
        <f>IFERROR((CHW_P[[#This Row],[R]]*9)/CHW_P[[#This Row],[IP]],0)</f>
        <v>2.940739640576266</v>
      </c>
      <c r="E145" s="600">
        <v>5</v>
      </c>
      <c r="F145" s="604">
        <v>3</v>
      </c>
      <c r="G145" s="600">
        <v>10</v>
      </c>
      <c r="H145" s="630">
        <v>67.33</v>
      </c>
      <c r="I145" s="600">
        <v>53</v>
      </c>
      <c r="J145" s="600">
        <v>22</v>
      </c>
      <c r="K145" s="600">
        <v>22</v>
      </c>
      <c r="L145" s="600">
        <v>82</v>
      </c>
      <c r="M145" s="600">
        <v>0</v>
      </c>
      <c r="N145" s="631">
        <f>IFERROR((CHW_P[[#This Row],[BB]]+CHW_P[[#This Row],[H]])/CHW_P[[#This Row],[IP]],0)</f>
        <v>1.113916530521313</v>
      </c>
      <c r="O145" s="600">
        <v>6</v>
      </c>
      <c r="P145" s="601">
        <v>5</v>
      </c>
      <c r="Q145" s="600">
        <v>1</v>
      </c>
      <c r="R145" s="604">
        <v>1</v>
      </c>
      <c r="S145" s="614">
        <v>1</v>
      </c>
      <c r="Z145" s="650" t="s">
        <v>539</v>
      </c>
      <c r="AA145" s="604" t="s">
        <v>206</v>
      </c>
      <c r="AB145" s="682" t="s">
        <v>557</v>
      </c>
      <c r="AC145" s="663">
        <f>IFERROR((CHW_P223[[#This Row],[R]]*9)/CHW_P223[[#This Row],[IP]],0)</f>
        <v>3.1992037537324043</v>
      </c>
      <c r="AD145" s="600">
        <v>3</v>
      </c>
      <c r="AE145" s="604">
        <v>4</v>
      </c>
      <c r="AF145" s="600">
        <v>10</v>
      </c>
      <c r="AG145" s="630">
        <v>70.33</v>
      </c>
      <c r="AH145" s="600">
        <v>45</v>
      </c>
      <c r="AI145" s="600">
        <v>25</v>
      </c>
      <c r="AJ145" s="600">
        <v>32</v>
      </c>
      <c r="AK145" s="600">
        <v>81</v>
      </c>
      <c r="AL145" s="600">
        <v>0</v>
      </c>
      <c r="AM145" s="631">
        <f>IFERROR((CHW_P223[[#This Row],[BB]]+CHW_P223[[#This Row],[H]])/CHW_P223[[#This Row],[IP]],0)</f>
        <v>1.0948386179439784</v>
      </c>
      <c r="AN145" s="600">
        <v>8</v>
      </c>
      <c r="AO145" s="601">
        <v>6</v>
      </c>
      <c r="AP145" s="600">
        <v>2</v>
      </c>
      <c r="AQ145" s="632">
        <v>2</v>
      </c>
      <c r="AR145" s="614">
        <v>1</v>
      </c>
      <c r="AY145" s="650" t="s">
        <v>539</v>
      </c>
      <c r="AZ145" s="604" t="s">
        <v>206</v>
      </c>
      <c r="BA145" s="597" t="s">
        <v>558</v>
      </c>
      <c r="BB145" s="663">
        <f>IFERROR((CHW_P197[[#This Row],[R]]*9)/CHW_P197[[#This Row],[IP]],0)</f>
        <v>2.955223880597015</v>
      </c>
      <c r="BC145" s="600">
        <v>5</v>
      </c>
      <c r="BD145" s="604">
        <v>2</v>
      </c>
      <c r="BE145" s="600">
        <v>10</v>
      </c>
      <c r="BF145" s="630">
        <v>67</v>
      </c>
      <c r="BG145" s="600">
        <v>56</v>
      </c>
      <c r="BH145" s="600">
        <v>22</v>
      </c>
      <c r="BI145" s="600">
        <v>24</v>
      </c>
      <c r="BJ145" s="600">
        <v>80</v>
      </c>
      <c r="BK145" s="600">
        <v>0</v>
      </c>
      <c r="BL145" s="631">
        <f>IFERROR((CHW_P197[[#This Row],[H]]+CHW_P197[[#This Row],[BB]])/CHW_P197[[#This Row],[IP]],0)</f>
        <v>1.1940298507462686</v>
      </c>
      <c r="BM145" s="600">
        <v>7</v>
      </c>
      <c r="BN145" s="601">
        <v>6</v>
      </c>
      <c r="BO145" s="600">
        <v>0</v>
      </c>
      <c r="BP145" s="604">
        <v>0</v>
      </c>
      <c r="BQ145" s="614">
        <v>1</v>
      </c>
    </row>
    <row r="146" spans="1:73">
      <c r="A146" s="651" t="s">
        <v>539</v>
      </c>
      <c r="B146" s="74" t="s">
        <v>206</v>
      </c>
      <c r="C146" s="87" t="s">
        <v>557</v>
      </c>
      <c r="D146" s="88">
        <f>IFERROR((CHW_P[[#This Row],[R]]*9)/CHW_P[[#This Row],[IP]],0)</f>
        <v>4.4503049283006426</v>
      </c>
      <c r="E146" s="28">
        <v>5</v>
      </c>
      <c r="F146" s="74">
        <v>4</v>
      </c>
      <c r="G146" s="28">
        <v>10</v>
      </c>
      <c r="H146" s="584">
        <v>60.67</v>
      </c>
      <c r="I146" s="28">
        <v>61</v>
      </c>
      <c r="J146" s="28">
        <v>30</v>
      </c>
      <c r="K146" s="28">
        <v>26</v>
      </c>
      <c r="L146" s="28">
        <v>71</v>
      </c>
      <c r="M146" s="28">
        <v>0</v>
      </c>
      <c r="N146" s="89">
        <f>IFERROR((CHW_P[[#This Row],[BB]]+CHW_P[[#This Row],[H]])/CHW_P[[#This Row],[IP]],0)</f>
        <v>1.4339871435635405</v>
      </c>
      <c r="O146" s="28">
        <v>6</v>
      </c>
      <c r="P146" s="90">
        <v>2</v>
      </c>
      <c r="Q146" s="28">
        <v>0</v>
      </c>
      <c r="R146" s="74">
        <v>0</v>
      </c>
      <c r="S146" s="615">
        <v>2</v>
      </c>
      <c r="Z146" s="651" t="s">
        <v>539</v>
      </c>
      <c r="AA146" s="74" t="s">
        <v>206</v>
      </c>
      <c r="AB146" s="87" t="s">
        <v>558</v>
      </c>
      <c r="AC146" s="88">
        <f>IFERROR((CHW_P223[[#This Row],[R]]*9)/CHW_P223[[#This Row],[IP]],0)</f>
        <v>4.7142857142857144</v>
      </c>
      <c r="AD146" s="28">
        <v>3</v>
      </c>
      <c r="AE146" s="74">
        <v>5</v>
      </c>
      <c r="AF146" s="28">
        <v>10</v>
      </c>
      <c r="AG146" s="584">
        <v>63</v>
      </c>
      <c r="AH146" s="28">
        <v>57</v>
      </c>
      <c r="AI146" s="28">
        <v>33</v>
      </c>
      <c r="AJ146" s="28">
        <v>15</v>
      </c>
      <c r="AK146" s="28">
        <v>75</v>
      </c>
      <c r="AL146" s="28">
        <v>0</v>
      </c>
      <c r="AM146" s="89">
        <f>IFERROR((CHW_P223[[#This Row],[BB]]+CHW_P223[[#This Row],[H]])/CHW_P223[[#This Row],[IP]],0)</f>
        <v>1.1428571428571428</v>
      </c>
      <c r="AN146" s="28">
        <v>4</v>
      </c>
      <c r="AO146" s="90">
        <v>3</v>
      </c>
      <c r="AP146" s="28">
        <v>2</v>
      </c>
      <c r="AQ146" s="104">
        <v>2</v>
      </c>
      <c r="AR146" s="615">
        <v>2</v>
      </c>
      <c r="AY146" s="651" t="s">
        <v>539</v>
      </c>
      <c r="AZ146" s="74" t="s">
        <v>206</v>
      </c>
      <c r="BA146" s="71" t="s">
        <v>559</v>
      </c>
      <c r="BB146" s="88">
        <f>IFERROR((CHW_P197[[#This Row],[R]]*9)/CHW_P197[[#This Row],[IP]],0)</f>
        <v>5.5456461812874975</v>
      </c>
      <c r="BC146" s="28">
        <v>4</v>
      </c>
      <c r="BD146" s="74">
        <v>4</v>
      </c>
      <c r="BE146" s="28">
        <v>10</v>
      </c>
      <c r="BF146" s="584">
        <v>61.67</v>
      </c>
      <c r="BG146" s="28">
        <v>67</v>
      </c>
      <c r="BH146" s="28">
        <v>38</v>
      </c>
      <c r="BI146" s="28">
        <v>25</v>
      </c>
      <c r="BJ146" s="28">
        <v>89</v>
      </c>
      <c r="BK146" s="28">
        <v>0</v>
      </c>
      <c r="BL146" s="89">
        <f>IFERROR((CHW_P197[[#This Row],[H]]+CHW_P197[[#This Row],[BB]])/CHW_P197[[#This Row],[IP]],0)</f>
        <v>1.4918112534457597</v>
      </c>
      <c r="BM146" s="28">
        <v>5</v>
      </c>
      <c r="BN146" s="90">
        <v>2</v>
      </c>
      <c r="BO146" s="28">
        <v>0</v>
      </c>
      <c r="BP146" s="74">
        <v>0</v>
      </c>
      <c r="BQ146" s="615">
        <v>2</v>
      </c>
    </row>
    <row r="147" spans="1:73">
      <c r="A147" s="651" t="s">
        <v>539</v>
      </c>
      <c r="B147" s="74" t="s">
        <v>206</v>
      </c>
      <c r="C147" s="87" t="s">
        <v>560</v>
      </c>
      <c r="D147" s="88">
        <f>IFERROR((CHW_P[[#This Row],[R]]*9)/CHW_P[[#This Row],[IP]],0)</f>
        <v>6.7918277194919936</v>
      </c>
      <c r="E147" s="28">
        <v>1</v>
      </c>
      <c r="F147" s="74">
        <v>4</v>
      </c>
      <c r="G147" s="28">
        <v>10</v>
      </c>
      <c r="H147" s="584">
        <v>54.33</v>
      </c>
      <c r="I147" s="28">
        <v>70</v>
      </c>
      <c r="J147" s="28">
        <v>41</v>
      </c>
      <c r="K147" s="28">
        <v>24</v>
      </c>
      <c r="L147" s="28">
        <v>52</v>
      </c>
      <c r="M147" s="28">
        <v>0</v>
      </c>
      <c r="N147" s="89">
        <f>IFERROR((CHW_P[[#This Row],[BB]]+CHW_P[[#This Row],[H]])/CHW_P[[#This Row],[IP]],0)</f>
        <v>1.7301674949383399</v>
      </c>
      <c r="O147" s="28">
        <v>2</v>
      </c>
      <c r="P147" s="90">
        <v>1</v>
      </c>
      <c r="Q147" s="28">
        <v>0</v>
      </c>
      <c r="R147" s="74">
        <v>0</v>
      </c>
      <c r="S147" s="615">
        <v>3</v>
      </c>
      <c r="Z147" s="651" t="s">
        <v>539</v>
      </c>
      <c r="AA147" s="74" t="s">
        <v>206</v>
      </c>
      <c r="AB147" s="87" t="s">
        <v>560</v>
      </c>
      <c r="AC147" s="88">
        <f>IFERROR((CHW_P223[[#This Row],[R]]*9)/CHW_P223[[#This Row],[IP]],0)</f>
        <v>6.5113816834303861</v>
      </c>
      <c r="AD147" s="28">
        <v>2</v>
      </c>
      <c r="AE147" s="104">
        <v>8</v>
      </c>
      <c r="AF147" s="28">
        <v>10</v>
      </c>
      <c r="AG147" s="584">
        <v>56.67</v>
      </c>
      <c r="AH147" s="28">
        <v>61</v>
      </c>
      <c r="AI147" s="28">
        <v>41</v>
      </c>
      <c r="AJ147" s="28">
        <v>28</v>
      </c>
      <c r="AK147" s="28">
        <v>59</v>
      </c>
      <c r="AL147" s="28">
        <v>0</v>
      </c>
      <c r="AM147" s="89">
        <f>IFERROR((CHW_P223[[#This Row],[BB]]+CHW_P223[[#This Row],[H]])/CHW_P223[[#This Row],[IP]],0)</f>
        <v>1.5704958531851068</v>
      </c>
      <c r="AN147" s="28">
        <v>3</v>
      </c>
      <c r="AO147" s="90">
        <v>0</v>
      </c>
      <c r="AP147" s="28">
        <v>0</v>
      </c>
      <c r="AQ147" s="74">
        <v>0</v>
      </c>
      <c r="AR147" s="615">
        <v>3</v>
      </c>
      <c r="AY147" s="651" t="s">
        <v>539</v>
      </c>
      <c r="AZ147" s="74" t="s">
        <v>206</v>
      </c>
      <c r="BA147" s="71" t="s">
        <v>560</v>
      </c>
      <c r="BB147" s="88">
        <f>IFERROR((CHW_P197[[#This Row],[R]]*9)/CHW_P197[[#This Row],[IP]],0)</f>
        <v>5.4621120166464365</v>
      </c>
      <c r="BC147" s="28">
        <v>5</v>
      </c>
      <c r="BD147" s="74">
        <v>4</v>
      </c>
      <c r="BE147" s="28">
        <v>10</v>
      </c>
      <c r="BF147" s="584">
        <v>57.67</v>
      </c>
      <c r="BG147" s="28">
        <v>70</v>
      </c>
      <c r="BH147" s="28">
        <v>35</v>
      </c>
      <c r="BI147" s="28">
        <v>20</v>
      </c>
      <c r="BJ147" s="28">
        <v>69</v>
      </c>
      <c r="BK147" s="28">
        <v>0</v>
      </c>
      <c r="BL147" s="89">
        <f>IFERROR((CHW_P197[[#This Row],[H]]+CHW_P197[[#This Row],[BB]])/CHW_P197[[#This Row],[IP]],0)</f>
        <v>1.5606034333275534</v>
      </c>
      <c r="BM147" s="28">
        <v>6</v>
      </c>
      <c r="BN147" s="90">
        <v>3</v>
      </c>
      <c r="BO147" s="28">
        <v>0</v>
      </c>
      <c r="BP147" s="74">
        <v>0</v>
      </c>
      <c r="BQ147" s="615">
        <v>3</v>
      </c>
    </row>
    <row r="148" spans="1:73">
      <c r="A148" s="651" t="s">
        <v>539</v>
      </c>
      <c r="B148" s="74" t="s">
        <v>206</v>
      </c>
      <c r="C148" s="87" t="s">
        <v>558</v>
      </c>
      <c r="D148" s="88">
        <f>IFERROR((CHW_P[[#This Row],[R]]*9)/CHW_P[[#This Row],[IP]],0)</f>
        <v>4.0052744354705787</v>
      </c>
      <c r="E148" s="28">
        <v>4</v>
      </c>
      <c r="F148" s="74">
        <v>3</v>
      </c>
      <c r="G148" s="28">
        <v>10</v>
      </c>
      <c r="H148" s="584">
        <v>60.67</v>
      </c>
      <c r="I148" s="28">
        <v>60</v>
      </c>
      <c r="J148" s="28">
        <v>27</v>
      </c>
      <c r="K148" s="28">
        <v>29</v>
      </c>
      <c r="L148" s="28">
        <v>63</v>
      </c>
      <c r="M148" s="28">
        <v>0</v>
      </c>
      <c r="N148" s="89">
        <f>IFERROR((CHW_P[[#This Row],[BB]]+CHW_P[[#This Row],[H]])/CHW_P[[#This Row],[IP]],0)</f>
        <v>1.4669523652546563</v>
      </c>
      <c r="O148" s="28">
        <v>7</v>
      </c>
      <c r="P148" s="90">
        <v>2</v>
      </c>
      <c r="Q148" s="28">
        <v>0</v>
      </c>
      <c r="R148" s="74">
        <v>0</v>
      </c>
      <c r="S148" s="615">
        <v>4</v>
      </c>
      <c r="Z148" s="651" t="s">
        <v>539</v>
      </c>
      <c r="AA148" s="74" t="s">
        <v>206</v>
      </c>
      <c r="AB148" s="87" t="s">
        <v>561</v>
      </c>
      <c r="AC148" s="88">
        <f>IFERROR((CHW_P223[[#This Row],[R]]*9)/CHW_P223[[#This Row],[IP]],0)</f>
        <v>4.8</v>
      </c>
      <c r="AD148" s="28">
        <v>3</v>
      </c>
      <c r="AE148" s="74">
        <v>3</v>
      </c>
      <c r="AF148" s="28">
        <v>10</v>
      </c>
      <c r="AG148" s="584">
        <v>60</v>
      </c>
      <c r="AH148" s="28">
        <v>57</v>
      </c>
      <c r="AI148" s="28">
        <v>32</v>
      </c>
      <c r="AJ148" s="28">
        <v>24</v>
      </c>
      <c r="AK148" s="28">
        <v>73</v>
      </c>
      <c r="AL148" s="28">
        <v>0</v>
      </c>
      <c r="AM148" s="89">
        <f>IFERROR((CHW_P223[[#This Row],[BB]]+CHW_P223[[#This Row],[H]])/CHW_P223[[#This Row],[IP]],0)</f>
        <v>1.35</v>
      </c>
      <c r="AN148" s="28">
        <v>5</v>
      </c>
      <c r="AO148" s="90">
        <v>1</v>
      </c>
      <c r="AP148" s="28">
        <v>0</v>
      </c>
      <c r="AQ148" s="74">
        <v>0</v>
      </c>
      <c r="AR148" s="615">
        <v>4</v>
      </c>
      <c r="AY148" s="651" t="s">
        <v>539</v>
      </c>
      <c r="AZ148" s="74" t="s">
        <v>206</v>
      </c>
      <c r="BA148" s="71" t="s">
        <v>562</v>
      </c>
      <c r="BB148" s="88">
        <f>IFERROR((CHW_P197[[#This Row],[R]]*9)/CHW_P197[[#This Row],[IP]],0)</f>
        <v>5.9614260666277037</v>
      </c>
      <c r="BC148" s="28">
        <v>3</v>
      </c>
      <c r="BD148" s="74">
        <v>3</v>
      </c>
      <c r="BE148" s="28">
        <v>9</v>
      </c>
      <c r="BF148" s="584">
        <v>51.33</v>
      </c>
      <c r="BG148" s="28">
        <v>69</v>
      </c>
      <c r="BH148" s="28">
        <v>34</v>
      </c>
      <c r="BI148" s="28">
        <v>18</v>
      </c>
      <c r="BJ148" s="28">
        <v>31</v>
      </c>
      <c r="BK148" s="28">
        <v>0</v>
      </c>
      <c r="BL148" s="89">
        <f>IFERROR((CHW_P197[[#This Row],[H]]+CHW_P197[[#This Row],[BB]])/CHW_P197[[#This Row],[IP]],0)</f>
        <v>1.6949152542372883</v>
      </c>
      <c r="BM148" s="28">
        <v>4</v>
      </c>
      <c r="BN148" s="90">
        <v>1</v>
      </c>
      <c r="BO148" s="28">
        <v>0</v>
      </c>
      <c r="BP148" s="74">
        <v>0</v>
      </c>
      <c r="BQ148" s="615">
        <v>4</v>
      </c>
    </row>
    <row r="149" spans="1:73">
      <c r="A149" s="651" t="s">
        <v>539</v>
      </c>
      <c r="B149" s="74" t="s">
        <v>215</v>
      </c>
      <c r="C149" s="87" t="s">
        <v>563</v>
      </c>
      <c r="D149" s="88">
        <f>IFERROR((CHW_P[[#This Row],[R]]*9)/CHW_P[[#This Row],[IP]],0)</f>
        <v>3.4615384615384617</v>
      </c>
      <c r="E149" s="28">
        <v>0</v>
      </c>
      <c r="F149" s="74">
        <v>0</v>
      </c>
      <c r="G149" s="28">
        <v>8</v>
      </c>
      <c r="H149" s="584">
        <v>13</v>
      </c>
      <c r="I149" s="28">
        <v>16</v>
      </c>
      <c r="J149" s="28">
        <v>5</v>
      </c>
      <c r="K149" s="28">
        <v>3</v>
      </c>
      <c r="L149" s="28">
        <v>12</v>
      </c>
      <c r="M149" s="28">
        <v>2</v>
      </c>
      <c r="N149" s="89">
        <f>IFERROR((CHW_P[[#This Row],[BB]]+CHW_P[[#This Row],[H]])/CHW_P[[#This Row],[IP]],0)</f>
        <v>1.4615384615384615</v>
      </c>
      <c r="O149" s="28">
        <v>0</v>
      </c>
      <c r="P149" s="90">
        <v>0</v>
      </c>
      <c r="Q149" s="28">
        <v>0</v>
      </c>
      <c r="R149" s="74">
        <v>0</v>
      </c>
      <c r="S149" s="615">
        <v>5</v>
      </c>
      <c r="Z149" s="651" t="s">
        <v>539</v>
      </c>
      <c r="AA149" s="74" t="s">
        <v>215</v>
      </c>
      <c r="AB149" s="87" t="s">
        <v>564</v>
      </c>
      <c r="AC149" s="88">
        <f>IFERROR((CHW_P223[[#This Row],[R]]*9)/CHW_P223[[#This Row],[IP]],0)</f>
        <v>0</v>
      </c>
      <c r="AD149" s="28">
        <v>0</v>
      </c>
      <c r="AE149" s="74">
        <v>0</v>
      </c>
      <c r="AF149" s="28">
        <v>0</v>
      </c>
      <c r="AG149" s="584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89">
        <f>IFERROR((CHW_P223[[#This Row],[BB]]+CHW_P223[[#This Row],[H]])/CHW_P223[[#This Row],[IP]],0)</f>
        <v>0</v>
      </c>
      <c r="AN149" s="28">
        <v>0</v>
      </c>
      <c r="AO149" s="90">
        <v>0</v>
      </c>
      <c r="AP149" s="28">
        <v>0</v>
      </c>
      <c r="AQ149" s="74">
        <v>0</v>
      </c>
      <c r="AR149" s="615">
        <v>5</v>
      </c>
      <c r="AY149" s="651" t="s">
        <v>539</v>
      </c>
      <c r="AZ149" s="74" t="s">
        <v>212</v>
      </c>
      <c r="BA149" s="71" t="s">
        <v>557</v>
      </c>
      <c r="BB149" s="88">
        <f>IFERROR((CHW_P197[[#This Row],[R]]*9)/CHW_P197[[#This Row],[IP]],0)</f>
        <v>5.0150021431633096</v>
      </c>
      <c r="BC149" s="28">
        <v>2</v>
      </c>
      <c r="BD149" s="74">
        <v>1</v>
      </c>
      <c r="BE149" s="28">
        <v>16</v>
      </c>
      <c r="BF149" s="584">
        <v>23.33</v>
      </c>
      <c r="BG149" s="28">
        <v>22</v>
      </c>
      <c r="BH149" s="28">
        <v>13</v>
      </c>
      <c r="BI149" s="28">
        <v>11</v>
      </c>
      <c r="BJ149" s="28">
        <v>27</v>
      </c>
      <c r="BK149" s="28">
        <v>0</v>
      </c>
      <c r="BL149" s="89">
        <f>IFERROR((CHW_P197[[#This Row],[H]]+CHW_P197[[#This Row],[BB]])/CHW_P197[[#This Row],[IP]],0)</f>
        <v>1.4144877839691385</v>
      </c>
      <c r="BM149" s="28">
        <v>0</v>
      </c>
      <c r="BN149" s="90">
        <v>0</v>
      </c>
      <c r="BO149" s="28">
        <v>0</v>
      </c>
      <c r="BP149" s="74">
        <v>0</v>
      </c>
      <c r="BQ149" s="615">
        <v>5</v>
      </c>
    </row>
    <row r="150" spans="1:73">
      <c r="A150" s="651" t="s">
        <v>539</v>
      </c>
      <c r="B150" s="74" t="s">
        <v>215</v>
      </c>
      <c r="C150" s="87" t="s">
        <v>565</v>
      </c>
      <c r="D150" s="88">
        <f>IFERROR((CHW_P[[#This Row],[R]]*9)/CHW_P[[#This Row],[IP]],0)</f>
        <v>3</v>
      </c>
      <c r="E150" s="28">
        <v>1</v>
      </c>
      <c r="F150" s="74">
        <v>0</v>
      </c>
      <c r="G150" s="28">
        <v>5</v>
      </c>
      <c r="H150" s="584">
        <v>12</v>
      </c>
      <c r="I150" s="28">
        <v>10</v>
      </c>
      <c r="J150" s="28">
        <v>4</v>
      </c>
      <c r="K150" s="28">
        <v>4</v>
      </c>
      <c r="L150" s="28">
        <v>7</v>
      </c>
      <c r="M150" s="28">
        <v>0</v>
      </c>
      <c r="N150" s="89">
        <f>IFERROR((CHW_P[[#This Row],[BB]]+CHW_P[[#This Row],[H]])/CHW_P[[#This Row],[IP]],0)</f>
        <v>1.1666666666666667</v>
      </c>
      <c r="O150" s="28">
        <v>0</v>
      </c>
      <c r="P150" s="90">
        <v>0</v>
      </c>
      <c r="Q150" s="28">
        <v>0</v>
      </c>
      <c r="R150" s="74">
        <v>0</v>
      </c>
      <c r="S150" s="615">
        <v>6</v>
      </c>
      <c r="Z150" s="651" t="s">
        <v>539</v>
      </c>
      <c r="AA150" s="74" t="s">
        <v>212</v>
      </c>
      <c r="AB150" s="87" t="s">
        <v>566</v>
      </c>
      <c r="AC150" s="88">
        <f>IFERROR((CHW_P223[[#This Row],[R]]*9)/CHW_P223[[#This Row],[IP]],0)</f>
        <v>0</v>
      </c>
      <c r="AD150" s="28">
        <v>0</v>
      </c>
      <c r="AE150" s="74">
        <v>0</v>
      </c>
      <c r="AF150" s="28">
        <v>0</v>
      </c>
      <c r="AG150" s="584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89">
        <f>IFERROR((CHW_P223[[#This Row],[BB]]+CHW_P223[[#This Row],[H]])/CHW_P223[[#This Row],[IP]],0)</f>
        <v>0</v>
      </c>
      <c r="AN150" s="28">
        <v>0</v>
      </c>
      <c r="AO150" s="90">
        <v>0</v>
      </c>
      <c r="AP150" s="28">
        <v>0</v>
      </c>
      <c r="AQ150" s="74">
        <v>0</v>
      </c>
      <c r="AR150" s="615">
        <v>6</v>
      </c>
      <c r="AY150" s="651" t="s">
        <v>539</v>
      </c>
      <c r="AZ150" s="74" t="s">
        <v>212</v>
      </c>
      <c r="BA150" s="71" t="s">
        <v>561</v>
      </c>
      <c r="BB150" s="88">
        <f>IFERROR((CHW_P197[[#This Row],[R]]*9)/CHW_P197[[#This Row],[IP]],0)</f>
        <v>3.4220532319391634</v>
      </c>
      <c r="BC150" s="28">
        <v>1</v>
      </c>
      <c r="BD150" s="74">
        <v>0</v>
      </c>
      <c r="BE150" s="28">
        <v>14</v>
      </c>
      <c r="BF150" s="584">
        <v>23.67</v>
      </c>
      <c r="BG150" s="28">
        <v>24</v>
      </c>
      <c r="BH150" s="28">
        <v>9</v>
      </c>
      <c r="BI150" s="28">
        <v>5</v>
      </c>
      <c r="BJ150" s="28">
        <v>29</v>
      </c>
      <c r="BK150" s="28">
        <v>0</v>
      </c>
      <c r="BL150" s="89">
        <f>IFERROR((CHW_P197[[#This Row],[H]]+CHW_P197[[#This Row],[BB]])/CHW_P197[[#This Row],[IP]],0)</f>
        <v>1.2251795521757498</v>
      </c>
      <c r="BM150" s="28">
        <v>0</v>
      </c>
      <c r="BN150" s="90">
        <v>0</v>
      </c>
      <c r="BO150" s="28">
        <v>0</v>
      </c>
      <c r="BP150" s="74">
        <v>0</v>
      </c>
      <c r="BQ150" s="615">
        <v>6</v>
      </c>
    </row>
    <row r="151" spans="1:73">
      <c r="A151" s="651" t="s">
        <v>539</v>
      </c>
      <c r="B151" s="74" t="s">
        <v>212</v>
      </c>
      <c r="C151" s="87" t="s">
        <v>561</v>
      </c>
      <c r="D151" s="88">
        <f>IFERROR((CHW_P[[#This Row],[R]]*9)/CHW_P[[#This Row],[IP]],0)</f>
        <v>5.4722334819618963</v>
      </c>
      <c r="E151" s="28">
        <v>2</v>
      </c>
      <c r="F151" s="74">
        <v>1</v>
      </c>
      <c r="G151" s="28">
        <v>21</v>
      </c>
      <c r="H151" s="584">
        <v>24.67</v>
      </c>
      <c r="I151" s="28">
        <v>31</v>
      </c>
      <c r="J151" s="28">
        <v>15</v>
      </c>
      <c r="K151" s="28">
        <v>15</v>
      </c>
      <c r="L151" s="28">
        <v>23</v>
      </c>
      <c r="M151" s="28">
        <v>0</v>
      </c>
      <c r="N151" s="89">
        <f>IFERROR((CHW_P[[#This Row],[BB]]+CHW_P[[#This Row],[H]])/CHW_P[[#This Row],[IP]],0)</f>
        <v>1.8646128901499797</v>
      </c>
      <c r="O151" s="28">
        <v>0</v>
      </c>
      <c r="P151" s="90">
        <v>0</v>
      </c>
      <c r="Q151" s="28">
        <v>0</v>
      </c>
      <c r="R151" s="74">
        <v>0</v>
      </c>
      <c r="S151" s="615">
        <v>7</v>
      </c>
      <c r="Z151" s="651" t="s">
        <v>539</v>
      </c>
      <c r="AA151" s="74" t="s">
        <v>212</v>
      </c>
      <c r="AB151" s="87" t="s">
        <v>556</v>
      </c>
      <c r="AC151" s="88">
        <f>IFERROR((CHW_P223[[#This Row],[R]]*9)/CHW_P223[[#This Row],[IP]],0)</f>
        <v>2.0185029436501263</v>
      </c>
      <c r="AD151" s="28">
        <v>1</v>
      </c>
      <c r="AE151" s="74">
        <v>1</v>
      </c>
      <c r="AF151" s="28">
        <v>25</v>
      </c>
      <c r="AG151" s="584">
        <v>35.67</v>
      </c>
      <c r="AH151" s="28">
        <v>38</v>
      </c>
      <c r="AI151" s="28">
        <v>8</v>
      </c>
      <c r="AJ151" s="28">
        <v>19</v>
      </c>
      <c r="AK151" s="28">
        <v>32</v>
      </c>
      <c r="AL151" s="28">
        <v>0</v>
      </c>
      <c r="AM151" s="89">
        <f>IFERROR((CHW_P223[[#This Row],[BB]]+CHW_P223[[#This Row],[H]])/CHW_P223[[#This Row],[IP]],0)</f>
        <v>1.5979814970563497</v>
      </c>
      <c r="AN151" s="28">
        <v>0</v>
      </c>
      <c r="AO151" s="90">
        <v>0</v>
      </c>
      <c r="AP151" s="28">
        <v>0</v>
      </c>
      <c r="AQ151" s="74">
        <v>0</v>
      </c>
      <c r="AR151" s="615">
        <v>7</v>
      </c>
      <c r="AY151" s="651" t="s">
        <v>539</v>
      </c>
      <c r="AZ151" s="74" t="s">
        <v>212</v>
      </c>
      <c r="BA151" s="71" t="s">
        <v>556</v>
      </c>
      <c r="BB151" s="88">
        <f>IFERROR((CHW_P197[[#This Row],[R]]*9)/CHW_P197[[#This Row],[IP]],0)</f>
        <v>3.4369885433715224</v>
      </c>
      <c r="BC151" s="28">
        <v>0</v>
      </c>
      <c r="BD151" s="74">
        <v>2</v>
      </c>
      <c r="BE151" s="28">
        <v>19</v>
      </c>
      <c r="BF151" s="584">
        <v>18.329999999999998</v>
      </c>
      <c r="BG151" s="28">
        <v>16</v>
      </c>
      <c r="BH151" s="28">
        <v>7</v>
      </c>
      <c r="BI151" s="28">
        <v>8</v>
      </c>
      <c r="BJ151" s="28">
        <v>25</v>
      </c>
      <c r="BK151" s="28">
        <v>2</v>
      </c>
      <c r="BL151" s="89">
        <f>IFERROR((CHW_P197[[#This Row],[H]]+CHW_P197[[#This Row],[BB]])/CHW_P197[[#This Row],[IP]],0)</f>
        <v>1.3093289689034371</v>
      </c>
      <c r="BM151" s="28">
        <v>0</v>
      </c>
      <c r="BN151" s="90">
        <v>0</v>
      </c>
      <c r="BO151" s="28">
        <v>0</v>
      </c>
      <c r="BP151" s="74">
        <v>0</v>
      </c>
      <c r="BQ151" s="615">
        <v>7</v>
      </c>
    </row>
    <row r="152" spans="1:73">
      <c r="A152" s="651" t="s">
        <v>539</v>
      </c>
      <c r="B152" s="74" t="s">
        <v>212</v>
      </c>
      <c r="C152" s="87" t="s">
        <v>567</v>
      </c>
      <c r="D152" s="88">
        <f>IFERROR((CHW_P[[#This Row],[R]]*9)/CHW_P[[#This Row],[IP]],0)</f>
        <v>4.6027957722468464</v>
      </c>
      <c r="E152" s="28">
        <v>1</v>
      </c>
      <c r="F152" s="74">
        <v>3</v>
      </c>
      <c r="G152" s="28">
        <v>19</v>
      </c>
      <c r="H152" s="584">
        <v>29.33</v>
      </c>
      <c r="I152" s="28">
        <v>25</v>
      </c>
      <c r="J152" s="28">
        <v>15</v>
      </c>
      <c r="K152" s="28">
        <v>9</v>
      </c>
      <c r="L152" s="28">
        <v>20</v>
      </c>
      <c r="M152" s="28">
        <v>0</v>
      </c>
      <c r="N152" s="89">
        <f>IFERROR((CHW_P[[#This Row],[BB]]+CHW_P[[#This Row],[H]])/CHW_P[[#This Row],[IP]],0)</f>
        <v>1.1592226389362428</v>
      </c>
      <c r="O152" s="28">
        <v>0</v>
      </c>
      <c r="P152" s="90">
        <v>0</v>
      </c>
      <c r="Q152" s="28">
        <v>0</v>
      </c>
      <c r="R152" s="74">
        <v>0</v>
      </c>
      <c r="S152" s="615">
        <v>8</v>
      </c>
      <c r="Z152" s="651" t="s">
        <v>539</v>
      </c>
      <c r="AA152" s="74" t="s">
        <v>212</v>
      </c>
      <c r="AB152" s="87" t="s">
        <v>567</v>
      </c>
      <c r="AC152" s="88">
        <f>IFERROR((CHW_P223[[#This Row],[R]]*9)/CHW_P223[[#This Row],[IP]],0)</f>
        <v>2.6344676180021955</v>
      </c>
      <c r="AD152" s="28">
        <v>2</v>
      </c>
      <c r="AE152" s="74">
        <v>0</v>
      </c>
      <c r="AF152" s="28">
        <v>21</v>
      </c>
      <c r="AG152" s="584">
        <v>27.33</v>
      </c>
      <c r="AH152" s="28">
        <v>23</v>
      </c>
      <c r="AI152" s="28">
        <v>8</v>
      </c>
      <c r="AJ152" s="28">
        <v>7</v>
      </c>
      <c r="AK152" s="28">
        <v>20</v>
      </c>
      <c r="AL152" s="28">
        <v>0</v>
      </c>
      <c r="AM152" s="89">
        <f>IFERROR((CHW_P223[[#This Row],[BB]]+CHW_P223[[#This Row],[H]])/CHW_P223[[#This Row],[IP]],0)</f>
        <v>1.0976948408342482</v>
      </c>
      <c r="AN152" s="28">
        <v>0</v>
      </c>
      <c r="AO152" s="90">
        <v>0</v>
      </c>
      <c r="AP152" s="28">
        <v>0</v>
      </c>
      <c r="AQ152" s="74">
        <v>0</v>
      </c>
      <c r="AR152" s="615">
        <v>8</v>
      </c>
      <c r="AY152" s="651" t="s">
        <v>539</v>
      </c>
      <c r="AZ152" s="74" t="s">
        <v>212</v>
      </c>
      <c r="BA152" s="71" t="s">
        <v>567</v>
      </c>
      <c r="BB152" s="88">
        <f>IFERROR((CHW_P197[[#This Row],[R]]*9)/CHW_P197[[#This Row],[IP]],0)</f>
        <v>3.6</v>
      </c>
      <c r="BC152" s="28">
        <v>0</v>
      </c>
      <c r="BD152" s="74">
        <v>0</v>
      </c>
      <c r="BE152" s="28">
        <v>9</v>
      </c>
      <c r="BF152" s="584">
        <v>10</v>
      </c>
      <c r="BG152" s="28">
        <v>7</v>
      </c>
      <c r="BH152" s="28">
        <v>4</v>
      </c>
      <c r="BI152" s="28">
        <v>0</v>
      </c>
      <c r="BJ152" s="28">
        <v>11</v>
      </c>
      <c r="BK152" s="28">
        <v>0</v>
      </c>
      <c r="BL152" s="89">
        <f>IFERROR((CHW_P197[[#This Row],[H]]+CHW_P197[[#This Row],[BB]])/CHW_P197[[#This Row],[IP]],0)</f>
        <v>0.7</v>
      </c>
      <c r="BM152" s="28">
        <v>0</v>
      </c>
      <c r="BN152" s="90">
        <v>0</v>
      </c>
      <c r="BO152" s="28">
        <v>0</v>
      </c>
      <c r="BP152" s="74">
        <v>0</v>
      </c>
      <c r="BQ152" s="615">
        <v>8</v>
      </c>
    </row>
    <row r="153" spans="1:73">
      <c r="A153" s="651" t="s">
        <v>539</v>
      </c>
      <c r="B153" s="74" t="s">
        <v>212</v>
      </c>
      <c r="C153" s="87" t="s">
        <v>568</v>
      </c>
      <c r="D153" s="88">
        <f>IFERROR((CHW_P[[#This Row],[R]]*9)/CHW_P[[#This Row],[IP]],0)</f>
        <v>4.5</v>
      </c>
      <c r="E153" s="28">
        <v>0</v>
      </c>
      <c r="F153" s="74">
        <v>1</v>
      </c>
      <c r="G153" s="28">
        <v>18</v>
      </c>
      <c r="H153" s="584">
        <v>18</v>
      </c>
      <c r="I153" s="28">
        <v>18</v>
      </c>
      <c r="J153" s="28">
        <v>9</v>
      </c>
      <c r="K153" s="28">
        <v>8</v>
      </c>
      <c r="L153" s="28">
        <v>22</v>
      </c>
      <c r="M153" s="28">
        <v>0</v>
      </c>
      <c r="N153" s="89">
        <f>IFERROR((CHW_P[[#This Row],[BB]]+CHW_P[[#This Row],[H]])/CHW_P[[#This Row],[IP]],0)</f>
        <v>1.4444444444444444</v>
      </c>
      <c r="O153" s="28">
        <v>0</v>
      </c>
      <c r="P153" s="90">
        <v>0</v>
      </c>
      <c r="Q153" s="28">
        <v>0</v>
      </c>
      <c r="R153" s="74">
        <v>0</v>
      </c>
      <c r="S153" s="615">
        <v>9</v>
      </c>
      <c r="Z153" s="651" t="s">
        <v>539</v>
      </c>
      <c r="AA153" s="74" t="s">
        <v>212</v>
      </c>
      <c r="AB153" s="87" t="s">
        <v>568</v>
      </c>
      <c r="AC153" s="88">
        <f>IFERROR((CHW_P223[[#This Row],[R]]*9)/CHW_P223[[#This Row],[IP]],0)</f>
        <v>3.1159838430467399</v>
      </c>
      <c r="AD153" s="28">
        <v>0</v>
      </c>
      <c r="AE153" s="74">
        <v>0</v>
      </c>
      <c r="AF153" s="28">
        <v>14</v>
      </c>
      <c r="AG153" s="584">
        <v>17.329999999999998</v>
      </c>
      <c r="AH153" s="28">
        <v>11</v>
      </c>
      <c r="AI153" s="28">
        <v>6</v>
      </c>
      <c r="AJ153" s="28">
        <v>8</v>
      </c>
      <c r="AK153" s="28">
        <v>16</v>
      </c>
      <c r="AL153" s="28">
        <v>1</v>
      </c>
      <c r="AM153" s="89">
        <f>IFERROR((CHW_P223[[#This Row],[BB]]+CHW_P223[[#This Row],[H]])/CHW_P223[[#This Row],[IP]],0)</f>
        <v>1.0963646855164455</v>
      </c>
      <c r="AN153" s="28">
        <v>0</v>
      </c>
      <c r="AO153" s="90">
        <v>0</v>
      </c>
      <c r="AP153" s="28">
        <v>0</v>
      </c>
      <c r="AQ153" s="74">
        <v>0</v>
      </c>
      <c r="AR153" s="615">
        <v>9</v>
      </c>
      <c r="AY153" s="651" t="s">
        <v>539</v>
      </c>
      <c r="AZ153" s="74" t="s">
        <v>212</v>
      </c>
      <c r="BA153" s="71" t="s">
        <v>568</v>
      </c>
      <c r="BB153" s="88">
        <f>IFERROR((CHW_P197[[#This Row],[R]]*9)/CHW_P197[[#This Row],[IP]],0)</f>
        <v>3.5653650254668925</v>
      </c>
      <c r="BC153" s="28">
        <v>1</v>
      </c>
      <c r="BD153" s="74">
        <v>2</v>
      </c>
      <c r="BE153" s="28">
        <v>18</v>
      </c>
      <c r="BF153" s="584">
        <v>17.670000000000002</v>
      </c>
      <c r="BG153" s="28">
        <v>16</v>
      </c>
      <c r="BH153" s="28">
        <v>7</v>
      </c>
      <c r="BI153" s="28">
        <v>7</v>
      </c>
      <c r="BJ153" s="28">
        <v>17</v>
      </c>
      <c r="BK153" s="28">
        <v>0</v>
      </c>
      <c r="BL153" s="89">
        <f>IFERROR((CHW_P197[[#This Row],[H]]+CHW_P197[[#This Row],[BB]])/CHW_P197[[#This Row],[IP]],0)</f>
        <v>1.3016411997736275</v>
      </c>
      <c r="BM153" s="28">
        <v>0</v>
      </c>
      <c r="BN153" s="90">
        <v>0</v>
      </c>
      <c r="BO153" s="28">
        <v>0</v>
      </c>
      <c r="BP153" s="74">
        <v>0</v>
      </c>
      <c r="BQ153" s="615">
        <v>9</v>
      </c>
    </row>
    <row r="154" spans="1:73" ht="17" thickBot="1">
      <c r="A154" s="651" t="s">
        <v>539</v>
      </c>
      <c r="B154" s="74" t="s">
        <v>212</v>
      </c>
      <c r="C154" s="71" t="s">
        <v>569</v>
      </c>
      <c r="D154" s="88">
        <f>IFERROR((CHW_P[[#This Row],[R]]*9)/CHW_P[[#This Row],[IP]],0)</f>
        <v>2.25</v>
      </c>
      <c r="E154" s="28">
        <v>1</v>
      </c>
      <c r="F154" s="74">
        <v>1</v>
      </c>
      <c r="G154" s="28">
        <v>21</v>
      </c>
      <c r="H154" s="584">
        <v>24</v>
      </c>
      <c r="I154" s="28">
        <v>14</v>
      </c>
      <c r="J154" s="28">
        <v>6</v>
      </c>
      <c r="K154" s="28">
        <v>6</v>
      </c>
      <c r="L154" s="28">
        <v>34</v>
      </c>
      <c r="M154" s="28">
        <v>9</v>
      </c>
      <c r="N154" s="89">
        <f>IFERROR((CHW_P[[#This Row],[BB]]+CHW_P[[#This Row],[H]])/CHW_P[[#This Row],[IP]],0)</f>
        <v>0.83333333333333337</v>
      </c>
      <c r="O154" s="28">
        <v>0</v>
      </c>
      <c r="P154" s="90">
        <v>0</v>
      </c>
      <c r="Q154" s="28">
        <v>0</v>
      </c>
      <c r="R154" s="74">
        <v>0</v>
      </c>
      <c r="S154" s="615">
        <v>10</v>
      </c>
      <c r="Z154" s="651" t="s">
        <v>539</v>
      </c>
      <c r="AA154" s="74" t="s">
        <v>212</v>
      </c>
      <c r="AB154" s="71" t="s">
        <v>569</v>
      </c>
      <c r="AC154" s="88">
        <f>IFERROR((CHW_P223[[#This Row],[R]]*9)/CHW_P223[[#This Row],[IP]],0)</f>
        <v>3.6822366177974772</v>
      </c>
      <c r="AD154" s="28">
        <v>2</v>
      </c>
      <c r="AE154" s="74">
        <v>3</v>
      </c>
      <c r="AF154" s="28">
        <v>27</v>
      </c>
      <c r="AG154" s="584">
        <v>29.33</v>
      </c>
      <c r="AH154" s="28">
        <v>26</v>
      </c>
      <c r="AI154" s="28">
        <v>12</v>
      </c>
      <c r="AJ154" s="28">
        <v>1</v>
      </c>
      <c r="AK154" s="28">
        <v>41</v>
      </c>
      <c r="AL154" s="28">
        <v>2</v>
      </c>
      <c r="AM154" s="89">
        <f>IFERROR((CHW_P223[[#This Row],[BB]]+CHW_P223[[#This Row],[H]])/CHW_P223[[#This Row],[IP]],0)</f>
        <v>0.92055915444936931</v>
      </c>
      <c r="AN154" s="28">
        <v>0</v>
      </c>
      <c r="AO154" s="90">
        <v>0</v>
      </c>
      <c r="AP154" s="28">
        <v>0</v>
      </c>
      <c r="AQ154" s="74">
        <v>0</v>
      </c>
      <c r="AR154" s="615">
        <v>10</v>
      </c>
      <c r="AY154" s="651" t="s">
        <v>539</v>
      </c>
      <c r="AZ154" s="74" t="s">
        <v>212</v>
      </c>
      <c r="BA154" s="71" t="s">
        <v>569</v>
      </c>
      <c r="BB154" s="88">
        <f>IFERROR((CHW_P197[[#This Row],[R]]*9)/CHW_P197[[#This Row],[IP]],0)</f>
        <v>2.7345233573870114</v>
      </c>
      <c r="BC154" s="28">
        <v>1</v>
      </c>
      <c r="BD154" s="74">
        <v>0</v>
      </c>
      <c r="BE154" s="28">
        <v>23</v>
      </c>
      <c r="BF154" s="584">
        <v>26.33</v>
      </c>
      <c r="BG154" s="28">
        <v>18</v>
      </c>
      <c r="BH154" s="28">
        <v>8</v>
      </c>
      <c r="BI154" s="28">
        <v>7</v>
      </c>
      <c r="BJ154" s="28">
        <v>37</v>
      </c>
      <c r="BK154" s="28">
        <v>11</v>
      </c>
      <c r="BL154" s="89">
        <f>IFERROR((CHW_P197[[#This Row],[H]]+CHW_P197[[#This Row],[BB]])/CHW_P197[[#This Row],[IP]],0)</f>
        <v>0.94948727687048995</v>
      </c>
      <c r="BM154" s="28">
        <v>0</v>
      </c>
      <c r="BN154" s="90">
        <v>0</v>
      </c>
      <c r="BO154" s="28">
        <v>0</v>
      </c>
      <c r="BP154" s="74">
        <v>0</v>
      </c>
      <c r="BQ154" s="615">
        <v>10</v>
      </c>
    </row>
    <row r="155" spans="1:73" ht="17" thickBot="1">
      <c r="A155" s="617"/>
      <c r="B155" s="618"/>
      <c r="C155" s="619" t="s">
        <v>195</v>
      </c>
      <c r="D155" s="709">
        <f>(J155*9)/H155</f>
        <v>4.302197802197802</v>
      </c>
      <c r="E155" s="622">
        <f>SUBTOTAL(109,CHW_P[W])</f>
        <v>20</v>
      </c>
      <c r="F155" s="625">
        <f>SUBTOTAL(109,CHW_P[L])</f>
        <v>20</v>
      </c>
      <c r="G155" s="641"/>
      <c r="H155" s="748">
        <f>SUBTOTAL(109,CHW_P[IP])</f>
        <v>364</v>
      </c>
      <c r="I155" s="622">
        <f>SUBTOTAL(109,CHW_P[H])</f>
        <v>358</v>
      </c>
      <c r="J155" s="622">
        <f>SUBTOTAL(109,CHW_P[R])</f>
        <v>174</v>
      </c>
      <c r="K155" s="622">
        <f>SUBTOTAL(109,CHW_P[BB])</f>
        <v>146</v>
      </c>
      <c r="L155" s="622">
        <f>SUBTOTAL(109,CHW_P[K])</f>
        <v>386</v>
      </c>
      <c r="M155" s="622">
        <f>SUBTOTAL(109,CHW_P[SV])</f>
        <v>11</v>
      </c>
      <c r="N155" s="749">
        <f>(K155+I155)/H155</f>
        <v>1.3846153846153846</v>
      </c>
      <c r="O155" s="647">
        <f>SUBTOTAL(109,CHW_P[QS])</f>
        <v>21</v>
      </c>
      <c r="P155" s="646">
        <f>SUBTOTAL(109,CHW_P[UQ])</f>
        <v>10</v>
      </c>
      <c r="Q155" s="647">
        <f>SUBTOTAL(109,CHW_P[CG])</f>
        <v>1</v>
      </c>
      <c r="R155" s="648">
        <f>SUBTOTAL(109,CHW_P[SH])</f>
        <v>1</v>
      </c>
      <c r="S155" s="649"/>
      <c r="Z155" s="617"/>
      <c r="AA155" s="618"/>
      <c r="AB155" s="619" t="s">
        <v>195</v>
      </c>
      <c r="AC155" s="709">
        <f>(AI155*9)/AG155</f>
        <v>4.1288995162097537</v>
      </c>
      <c r="AD155" s="622">
        <f>SUBTOTAL(109,CHW_P223[W])</f>
        <v>16</v>
      </c>
      <c r="AE155" s="625">
        <f>SUBTOTAL(109,CHW_P223[L])</f>
        <v>24</v>
      </c>
      <c r="AF155" s="641"/>
      <c r="AG155" s="642">
        <f>SUBTOTAL(109,CHW_P223[IP])</f>
        <v>359.65999999999997</v>
      </c>
      <c r="AH155" s="622">
        <f>SUBTOTAL(109,CHW_P223[H])</f>
        <v>318</v>
      </c>
      <c r="AI155" s="622">
        <f>SUBTOTAL(109,CHW_P223[R])</f>
        <v>165</v>
      </c>
      <c r="AJ155" s="622">
        <f>SUBTOTAL(109,CHW_P223[BB])</f>
        <v>134</v>
      </c>
      <c r="AK155" s="776">
        <f>SUBTOTAL(109,CHW_P223[K])</f>
        <v>397</v>
      </c>
      <c r="AL155" s="622">
        <f>SUBTOTAL(109,CHW_P223[SV])</f>
        <v>3</v>
      </c>
      <c r="AM155" s="749">
        <f>(AJ155+AH155)/AG155</f>
        <v>1.256742479007952</v>
      </c>
      <c r="AN155" s="647">
        <f>SUBTOTAL(109,CHW_P223[QS])</f>
        <v>20</v>
      </c>
      <c r="AO155" s="646">
        <f>SUBTOTAL(109,CHW_P223[UQ])</f>
        <v>10</v>
      </c>
      <c r="AP155" s="647">
        <f>SUBTOTAL(109,CHW_P223[CG])</f>
        <v>4</v>
      </c>
      <c r="AQ155" s="715">
        <f>SUBTOTAL(109,CHW_P223[SH])</f>
        <v>4</v>
      </c>
      <c r="AR155" s="649"/>
      <c r="AY155" s="617"/>
      <c r="AZ155" s="618"/>
      <c r="BA155" s="619" t="s">
        <v>195</v>
      </c>
      <c r="BB155" s="709">
        <f>IFERROR((BH155*9)/BF155,0)</f>
        <v>4.46218487394958</v>
      </c>
      <c r="BC155" s="622">
        <f>SUM(BC145:BC154)</f>
        <v>22</v>
      </c>
      <c r="BD155" s="625">
        <f>SUM(BD145:BD154)</f>
        <v>18</v>
      </c>
      <c r="BE155" s="641"/>
      <c r="BF155" s="642">
        <f t="shared" ref="BF155:BK155" si="15">SUM(BF145:BF154)</f>
        <v>357</v>
      </c>
      <c r="BG155" s="622">
        <f t="shared" si="15"/>
        <v>365</v>
      </c>
      <c r="BH155" s="622">
        <f t="shared" si="15"/>
        <v>177</v>
      </c>
      <c r="BI155" s="622">
        <f t="shared" si="15"/>
        <v>125</v>
      </c>
      <c r="BJ155" s="622">
        <f t="shared" si="15"/>
        <v>415</v>
      </c>
      <c r="BK155" s="622">
        <f t="shared" si="15"/>
        <v>13</v>
      </c>
      <c r="BL155" s="749">
        <f>(BI155+BG155)/BF155</f>
        <v>1.3725490196078431</v>
      </c>
      <c r="BM155" s="647">
        <f>SUBTOTAL(109,CHW_P197[QS])</f>
        <v>22</v>
      </c>
      <c r="BN155" s="646">
        <f>SUBTOTAL(109,CHW_P197[UQ])</f>
        <v>12</v>
      </c>
      <c r="BO155" s="647">
        <f>SUM(BO145:BO154)</f>
        <v>0</v>
      </c>
      <c r="BP155" s="648">
        <f>SUM(BP145:BP154)</f>
        <v>0</v>
      </c>
      <c r="BQ155" s="649"/>
    </row>
    <row r="156" spans="1:73" ht="17" thickBot="1"/>
    <row r="157" spans="1:73" ht="29" thickBot="1">
      <c r="A157" s="1018" t="s">
        <v>376</v>
      </c>
      <c r="B157" s="1019"/>
      <c r="C157" s="1019"/>
      <c r="D157" s="1019"/>
      <c r="E157" s="1019"/>
      <c r="F157" s="1019"/>
      <c r="G157" s="1019"/>
      <c r="H157" s="1019"/>
      <c r="I157" s="1019"/>
      <c r="J157" s="1019"/>
      <c r="K157" s="1019"/>
      <c r="L157" s="1019"/>
      <c r="M157" s="1019"/>
      <c r="N157" s="1019"/>
      <c r="O157" s="1019"/>
      <c r="P157" s="1019"/>
      <c r="Q157" s="1019"/>
      <c r="R157" s="1019"/>
      <c r="S157" s="1019"/>
      <c r="T157" s="1019"/>
      <c r="U157" s="1019"/>
      <c r="V157" s="1019"/>
      <c r="W157" s="1020"/>
      <c r="Z157" s="1018" t="s">
        <v>376</v>
      </c>
      <c r="AA157" s="1019"/>
      <c r="AB157" s="1019"/>
      <c r="AC157" s="1019"/>
      <c r="AD157" s="1019"/>
      <c r="AE157" s="1019"/>
      <c r="AF157" s="1019"/>
      <c r="AG157" s="1019"/>
      <c r="AH157" s="1019"/>
      <c r="AI157" s="1019"/>
      <c r="AJ157" s="1019"/>
      <c r="AK157" s="1019"/>
      <c r="AL157" s="1019"/>
      <c r="AM157" s="1019"/>
      <c r="AN157" s="1019"/>
      <c r="AO157" s="1019"/>
      <c r="AP157" s="1019"/>
      <c r="AQ157" s="1019"/>
      <c r="AR157" s="1019"/>
      <c r="AS157" s="1019"/>
      <c r="AT157" s="1019"/>
      <c r="AU157" s="1019"/>
      <c r="AV157" s="1020"/>
      <c r="AY157" s="1018" t="s">
        <v>376</v>
      </c>
      <c r="AZ157" s="1019"/>
      <c r="BA157" s="1019"/>
      <c r="BB157" s="1019"/>
      <c r="BC157" s="1019"/>
      <c r="BD157" s="1019"/>
      <c r="BE157" s="1019"/>
      <c r="BF157" s="1019"/>
      <c r="BG157" s="1019"/>
      <c r="BH157" s="1019"/>
      <c r="BI157" s="1019"/>
      <c r="BJ157" s="1019"/>
      <c r="BK157" s="1019"/>
      <c r="BL157" s="1019"/>
      <c r="BM157" s="1019"/>
      <c r="BN157" s="1019"/>
      <c r="BO157" s="1019"/>
      <c r="BP157" s="1019"/>
      <c r="BQ157" s="1019"/>
      <c r="BR157" s="1019"/>
      <c r="BS157" s="1019"/>
      <c r="BT157" s="1019"/>
      <c r="BU157" s="1020"/>
    </row>
    <row r="158" spans="1:73" ht="24" thickBot="1">
      <c r="A158" s="1012" t="s">
        <v>570</v>
      </c>
      <c r="B158" s="1013"/>
      <c r="C158" s="1013"/>
      <c r="D158" s="1013"/>
      <c r="E158" s="1013"/>
      <c r="F158" s="1013"/>
      <c r="G158" s="1013"/>
      <c r="H158" s="1013"/>
      <c r="I158" s="1013"/>
      <c r="J158" s="1013"/>
      <c r="K158" s="1013"/>
      <c r="L158" s="1013"/>
      <c r="M158" s="1013"/>
      <c r="N158" s="1013"/>
      <c r="O158" s="1013"/>
      <c r="P158" s="1013"/>
      <c r="Q158" s="1013"/>
      <c r="R158" s="1013"/>
      <c r="S158" s="1013"/>
      <c r="T158" s="1013"/>
      <c r="U158" s="1013"/>
      <c r="V158" s="1013"/>
      <c r="W158" s="1014"/>
      <c r="Z158" s="1012" t="s">
        <v>571</v>
      </c>
      <c r="AA158" s="1013"/>
      <c r="AB158" s="1013"/>
      <c r="AC158" s="1013"/>
      <c r="AD158" s="1013"/>
      <c r="AE158" s="1013"/>
      <c r="AF158" s="1013"/>
      <c r="AG158" s="1013"/>
      <c r="AH158" s="1013"/>
      <c r="AI158" s="1013"/>
      <c r="AJ158" s="1013"/>
      <c r="AK158" s="1013"/>
      <c r="AL158" s="1013"/>
      <c r="AM158" s="1013"/>
      <c r="AN158" s="1013"/>
      <c r="AO158" s="1013"/>
      <c r="AP158" s="1013"/>
      <c r="AQ158" s="1013"/>
      <c r="AR158" s="1013"/>
      <c r="AS158" s="1013"/>
      <c r="AT158" s="1013"/>
      <c r="AU158" s="1013"/>
      <c r="AV158" s="1014"/>
      <c r="AY158" s="1039" t="s">
        <v>572</v>
      </c>
      <c r="AZ158" s="1040"/>
      <c r="BA158" s="1040"/>
      <c r="BB158" s="1040"/>
      <c r="BC158" s="1040"/>
      <c r="BD158" s="1040"/>
      <c r="BE158" s="1040"/>
      <c r="BF158" s="1040"/>
      <c r="BG158" s="1040"/>
      <c r="BH158" s="1040"/>
      <c r="BI158" s="1040"/>
      <c r="BJ158" s="1040"/>
      <c r="BK158" s="1040"/>
      <c r="BL158" s="1040"/>
      <c r="BM158" s="1040"/>
      <c r="BN158" s="1040"/>
      <c r="BO158" s="1040"/>
      <c r="BP158" s="1040"/>
      <c r="BQ158" s="1040"/>
      <c r="BR158" s="1040"/>
      <c r="BS158" s="1040"/>
      <c r="BT158" s="1040"/>
      <c r="BU158" s="1041"/>
    </row>
    <row r="159" spans="1:73" ht="17" thickBot="1">
      <c r="A159" s="731" t="s">
        <v>143</v>
      </c>
      <c r="B159" s="732" t="s">
        <v>144</v>
      </c>
      <c r="C159" s="732" t="s">
        <v>145</v>
      </c>
      <c r="D159" s="732" t="s">
        <v>146</v>
      </c>
      <c r="E159" s="732" t="s">
        <v>147</v>
      </c>
      <c r="F159" s="732" t="s">
        <v>148</v>
      </c>
      <c r="G159" s="732" t="s">
        <v>149</v>
      </c>
      <c r="H159" s="732" t="s">
        <v>150</v>
      </c>
      <c r="I159" s="732" t="s">
        <v>151</v>
      </c>
      <c r="J159" s="732" t="s">
        <v>152</v>
      </c>
      <c r="K159" s="732" t="s">
        <v>153</v>
      </c>
      <c r="L159" s="732" t="s">
        <v>154</v>
      </c>
      <c r="M159" s="732" t="s">
        <v>155</v>
      </c>
      <c r="N159" s="732" t="s">
        <v>156</v>
      </c>
      <c r="O159" s="732" t="s">
        <v>157</v>
      </c>
      <c r="P159" s="732" t="s">
        <v>158</v>
      </c>
      <c r="Q159" s="732" t="s">
        <v>159</v>
      </c>
      <c r="R159" s="732" t="s">
        <v>160</v>
      </c>
      <c r="S159" s="732" t="s">
        <v>16</v>
      </c>
      <c r="T159" s="732" t="s">
        <v>161</v>
      </c>
      <c r="U159" s="732" t="s">
        <v>162</v>
      </c>
      <c r="V159" s="732" t="s">
        <v>163</v>
      </c>
      <c r="W159" s="733" t="s">
        <v>164</v>
      </c>
      <c r="Z159" s="605" t="s">
        <v>143</v>
      </c>
      <c r="AA159" s="606" t="s">
        <v>144</v>
      </c>
      <c r="AB159" s="606" t="s">
        <v>145</v>
      </c>
      <c r="AC159" s="606" t="s">
        <v>146</v>
      </c>
      <c r="AD159" s="606" t="s">
        <v>147</v>
      </c>
      <c r="AE159" s="606" t="s">
        <v>148</v>
      </c>
      <c r="AF159" s="606" t="s">
        <v>149</v>
      </c>
      <c r="AG159" s="606" t="s">
        <v>150</v>
      </c>
      <c r="AH159" s="606" t="s">
        <v>151</v>
      </c>
      <c r="AI159" s="606" t="s">
        <v>152</v>
      </c>
      <c r="AJ159" s="606" t="s">
        <v>153</v>
      </c>
      <c r="AK159" s="606" t="s">
        <v>154</v>
      </c>
      <c r="AL159" s="606" t="s">
        <v>155</v>
      </c>
      <c r="AM159" s="606" t="s">
        <v>156</v>
      </c>
      <c r="AN159" s="606" t="s">
        <v>157</v>
      </c>
      <c r="AO159" s="606" t="s">
        <v>158</v>
      </c>
      <c r="AP159" s="606" t="s">
        <v>159</v>
      </c>
      <c r="AQ159" s="606" t="s">
        <v>160</v>
      </c>
      <c r="AR159" s="606" t="s">
        <v>16</v>
      </c>
      <c r="AS159" s="606" t="s">
        <v>161</v>
      </c>
      <c r="AT159" s="606" t="s">
        <v>162</v>
      </c>
      <c r="AU159" s="606" t="s">
        <v>163</v>
      </c>
      <c r="AV159" s="607" t="s">
        <v>164</v>
      </c>
      <c r="AY159" s="605" t="s">
        <v>143</v>
      </c>
      <c r="AZ159" s="606" t="s">
        <v>144</v>
      </c>
      <c r="BA159" s="606" t="s">
        <v>145</v>
      </c>
      <c r="BB159" s="606" t="s">
        <v>146</v>
      </c>
      <c r="BC159" s="606" t="s">
        <v>147</v>
      </c>
      <c r="BD159" s="606" t="s">
        <v>148</v>
      </c>
      <c r="BE159" s="606" t="s">
        <v>149</v>
      </c>
      <c r="BF159" s="606" t="s">
        <v>150</v>
      </c>
      <c r="BG159" s="606" t="s">
        <v>151</v>
      </c>
      <c r="BH159" s="606" t="s">
        <v>152</v>
      </c>
      <c r="BI159" s="606" t="s">
        <v>153</v>
      </c>
      <c r="BJ159" s="606" t="s">
        <v>154</v>
      </c>
      <c r="BK159" s="606" t="s">
        <v>155</v>
      </c>
      <c r="BL159" s="606" t="s">
        <v>156</v>
      </c>
      <c r="BM159" s="606" t="s">
        <v>157</v>
      </c>
      <c r="BN159" s="606" t="s">
        <v>158</v>
      </c>
      <c r="BO159" s="606" t="s">
        <v>159</v>
      </c>
      <c r="BP159" s="606" t="s">
        <v>160</v>
      </c>
      <c r="BQ159" s="606" t="s">
        <v>16</v>
      </c>
      <c r="BR159" s="606" t="s">
        <v>161</v>
      </c>
      <c r="BS159" s="606" t="s">
        <v>162</v>
      </c>
      <c r="BT159" s="606" t="s">
        <v>163</v>
      </c>
      <c r="BU159" s="607" t="s">
        <v>164</v>
      </c>
    </row>
    <row r="160" spans="1:73">
      <c r="A160" s="650" t="s">
        <v>394</v>
      </c>
      <c r="B160" s="597" t="s">
        <v>179</v>
      </c>
      <c r="C160" s="597" t="s">
        <v>404</v>
      </c>
      <c r="D160" s="598">
        <f>IFERROR((CLE_H74[[#This Row],[H]]/CLE_H74[[#This Row],[AB]]),0)</f>
        <v>7.6923076923076927E-2</v>
      </c>
      <c r="E160" s="598">
        <f>IFERROR((CLE_H74[[#This Row],[H]]+CLE_H74[[#This Row],[BB]])/(CLE_H74[[#This Row],[BB]]+CLE_H74[[#This Row],[AB]]),0)</f>
        <v>0.1111111111111111</v>
      </c>
      <c r="F160" s="599">
        <f>IFERROR(((CLE_H74[[#This Row],[H]]-CLE_H74[[#This Row],[2B]]-CLE_H74[[#This Row],[3B]]-CLE_H74[[#This Row],[HR]])+(CLE_H74[[#This Row],[2B]]*2)+(CLE_H74[[#This Row],[3B]]*3)+(CLE_H74[[#This Row],[HR]]*4))/CLE_H74[[#This Row],[AB]],0)</f>
        <v>7.6923076923076927E-2</v>
      </c>
      <c r="G160" s="600">
        <v>7</v>
      </c>
      <c r="H160" s="600">
        <v>26</v>
      </c>
      <c r="I160" s="600">
        <v>0</v>
      </c>
      <c r="J160" s="600">
        <v>2</v>
      </c>
      <c r="K160" s="600">
        <v>0</v>
      </c>
      <c r="L160" s="600">
        <v>0</v>
      </c>
      <c r="M160" s="600">
        <v>0</v>
      </c>
      <c r="N160" s="600">
        <v>0</v>
      </c>
      <c r="O160" s="600">
        <v>1</v>
      </c>
      <c r="P160" s="604">
        <v>6</v>
      </c>
      <c r="Q160" s="600">
        <v>0</v>
      </c>
      <c r="R160" s="600">
        <v>1</v>
      </c>
      <c r="S160" s="604">
        <v>1</v>
      </c>
      <c r="T160" s="600">
        <f>IFERROR((CLE_H74[[#This Row],[H]]-CLE_H74[[#This Row],[2B]]-CLE_H74[[#This Row],[3B]]-CLE_H74[[#This Row],[HR]])+(CLE_H74[[#This Row],[2B]]*2)+(CLE_H74[[#This Row],[3B]]*3)+(CLE_H74[[#This Row],[HR]]*4),0)</f>
        <v>2</v>
      </c>
      <c r="U160" s="598">
        <f>CLE_H74[[#This Row],[OBP]]+CLE_H74[[#This Row],[SLG]]</f>
        <v>0.18803418803418803</v>
      </c>
      <c r="V160" s="604">
        <v>0</v>
      </c>
      <c r="W160" s="614">
        <v>1</v>
      </c>
      <c r="Z160" s="650" t="s">
        <v>394</v>
      </c>
      <c r="AA160" s="597" t="s">
        <v>179</v>
      </c>
      <c r="AB160" s="597" t="s">
        <v>404</v>
      </c>
      <c r="AC160" s="598">
        <f>IFERROR((CLE_H34[[#This Row],[H]]/CLE_H34[[#This Row],[AB]]),0)</f>
        <v>0.33333333333333331</v>
      </c>
      <c r="AD160" s="598">
        <f>IFERROR((CLE_H34[[#This Row],[H]]+CLE_H34[[#This Row],[BB]])/(CLE_H34[[#This Row],[BB]]+CLE_H34[[#This Row],[AB]]),0)</f>
        <v>0.33333333333333331</v>
      </c>
      <c r="AE160" s="599">
        <f>IFERROR(((CLE_H34[[#This Row],[H]]-CLE_H34[[#This Row],[2B]]-CLE_H34[[#This Row],[3B]]-CLE_H34[[#This Row],[HR]])+(CLE_H34[[#This Row],[2B]]*2)+(CLE_H34[[#This Row],[3B]]*3)+(CLE_H34[[#This Row],[HR]]*4))/CLE_H34[[#This Row],[AB]],0)</f>
        <v>0.66666666666666663</v>
      </c>
      <c r="AF160" s="600">
        <v>3</v>
      </c>
      <c r="AG160" s="600">
        <v>12</v>
      </c>
      <c r="AH160" s="600">
        <v>1</v>
      </c>
      <c r="AI160" s="600">
        <v>4</v>
      </c>
      <c r="AJ160" s="600">
        <v>1</v>
      </c>
      <c r="AK160" s="600">
        <v>0</v>
      </c>
      <c r="AL160" s="600">
        <v>1</v>
      </c>
      <c r="AM160" s="600">
        <v>2</v>
      </c>
      <c r="AN160" s="600">
        <v>0</v>
      </c>
      <c r="AO160" s="604">
        <v>4</v>
      </c>
      <c r="AP160" s="600">
        <v>0</v>
      </c>
      <c r="AQ160" s="600">
        <v>3</v>
      </c>
      <c r="AR160" s="604">
        <v>3</v>
      </c>
      <c r="AS160" s="600">
        <f>IFERROR((CLE_H34[[#This Row],[H]]-CLE_H34[[#This Row],[2B]]-CLE_H34[[#This Row],[3B]]-CLE_H34[[#This Row],[HR]])+(CLE_H34[[#This Row],[2B]]*2)+(CLE_H34[[#This Row],[3B]]*3)+(CLE_H34[[#This Row],[HR]]*4),0)</f>
        <v>8</v>
      </c>
      <c r="AT160" s="598">
        <f>CLE_H34[[#This Row],[OBP]]+CLE_H34[[#This Row],[SLG]]</f>
        <v>1</v>
      </c>
      <c r="AU160" s="604">
        <v>0</v>
      </c>
      <c r="AV160" s="614">
        <v>1</v>
      </c>
      <c r="AY160" s="650" t="s">
        <v>539</v>
      </c>
      <c r="AZ160" s="604" t="s">
        <v>179</v>
      </c>
      <c r="BA160" s="597" t="s">
        <v>547</v>
      </c>
      <c r="BB160" s="598">
        <f>IFERROR(Table104[[#This Row],[H]]/Table104[[#This Row],[AB]],0)</f>
        <v>0.2857142857142857</v>
      </c>
      <c r="BC160" s="598">
        <f>IFERROR((Table104[[#This Row],[H]]+Table104[[#This Row],[BB]])/(Table104[[#This Row],[BB]]+Table104[[#This Row],[AB]]),0)</f>
        <v>0.35483870967741937</v>
      </c>
      <c r="BD160" s="599">
        <f>IFERROR(((Table104[[#This Row],[H]]-Table104[[#This Row],[2B]]-Table104[[#This Row],[3B]]-Table104[[#This Row],[HR]])+(Table104[[#This Row],[2B]]*2)+(Table104[[#This Row],[3B]]*3)+(Table104[[#This Row],[HR]]*4))/Table104[[#This Row],[AB]],0)</f>
        <v>0.5</v>
      </c>
      <c r="BE160" s="600">
        <v>8</v>
      </c>
      <c r="BF160" s="600">
        <v>28</v>
      </c>
      <c r="BG160" s="600">
        <v>4</v>
      </c>
      <c r="BH160" s="600">
        <v>8</v>
      </c>
      <c r="BI160" s="600">
        <v>3</v>
      </c>
      <c r="BJ160" s="600">
        <v>0</v>
      </c>
      <c r="BK160" s="600">
        <v>1</v>
      </c>
      <c r="BL160" s="600">
        <v>4</v>
      </c>
      <c r="BM160" s="600">
        <v>3</v>
      </c>
      <c r="BN160" s="604">
        <v>9</v>
      </c>
      <c r="BO160" s="600">
        <v>0</v>
      </c>
      <c r="BP160" s="600">
        <v>5</v>
      </c>
      <c r="BQ160" s="604">
        <v>5</v>
      </c>
      <c r="BR160" s="600">
        <f t="shared" ref="BR160:BR173" si="16">IFERROR((BH160-BI160-BJ160-BK160)+(BI160*2)+(BJ160*3)+(BK160*4),0)</f>
        <v>14</v>
      </c>
      <c r="BS160" s="598">
        <f>IFERROR(Table104[[#This Row],[SLG]]+Table104[[#This Row],[OBP]],0)</f>
        <v>0.85483870967741937</v>
      </c>
      <c r="BT160" s="604">
        <v>0</v>
      </c>
      <c r="BU160" s="779">
        <v>1</v>
      </c>
    </row>
    <row r="161" spans="1:73">
      <c r="A161" s="651" t="s">
        <v>394</v>
      </c>
      <c r="B161" s="71" t="s">
        <v>154</v>
      </c>
      <c r="C161" s="71" t="s">
        <v>399</v>
      </c>
      <c r="D161" s="72">
        <f>IFERROR((CLE_H74[[#This Row],[H]]/CLE_H74[[#This Row],[AB]]),0)</f>
        <v>0.36666666666666664</v>
      </c>
      <c r="E161" s="72">
        <f>IFERROR((CLE_H74[[#This Row],[H]]+CLE_H74[[#This Row],[BB]])/(CLE_H74[[#This Row],[BB]]+CLE_H74[[#This Row],[AB]]),0)</f>
        <v>0.42424242424242425</v>
      </c>
      <c r="F161" s="73">
        <f>IFERROR(((CLE_H74[[#This Row],[H]]-CLE_H74[[#This Row],[2B]]-CLE_H74[[#This Row],[3B]]-CLE_H74[[#This Row],[HR]])+(CLE_H74[[#This Row],[2B]]*2)+(CLE_H74[[#This Row],[3B]]*3)+(CLE_H74[[#This Row],[HR]]*4))/CLE_H74[[#This Row],[AB]],0)</f>
        <v>0.76666666666666672</v>
      </c>
      <c r="G161" s="28">
        <v>7</v>
      </c>
      <c r="H161" s="28">
        <v>30</v>
      </c>
      <c r="I161" s="28">
        <v>7</v>
      </c>
      <c r="J161" s="28">
        <v>11</v>
      </c>
      <c r="K161" s="28">
        <v>3</v>
      </c>
      <c r="L161" s="28">
        <v>0</v>
      </c>
      <c r="M161" s="28">
        <v>3</v>
      </c>
      <c r="N161" s="28">
        <v>7</v>
      </c>
      <c r="O161" s="28">
        <v>3</v>
      </c>
      <c r="P161" s="74">
        <v>6</v>
      </c>
      <c r="Q161" s="28">
        <v>2</v>
      </c>
      <c r="R161" s="28">
        <v>4</v>
      </c>
      <c r="S161" s="74">
        <v>4</v>
      </c>
      <c r="T161" s="28">
        <f>IFERROR((CLE_H74[[#This Row],[H]]-CLE_H74[[#This Row],[2B]]-CLE_H74[[#This Row],[3B]]-CLE_H74[[#This Row],[HR]])+(CLE_H74[[#This Row],[2B]]*2)+(CLE_H74[[#This Row],[3B]]*3)+(CLE_H74[[#This Row],[HR]]*4),0)</f>
        <v>23</v>
      </c>
      <c r="U161" s="72">
        <f>CLE_H74[[#This Row],[OBP]]+CLE_H74[[#This Row],[SLG]]</f>
        <v>1.1909090909090909</v>
      </c>
      <c r="V161" s="74">
        <v>2</v>
      </c>
      <c r="W161" s="615">
        <v>2</v>
      </c>
      <c r="Z161" s="651" t="s">
        <v>394</v>
      </c>
      <c r="AA161" s="71" t="s">
        <v>154</v>
      </c>
      <c r="AB161" s="71" t="s">
        <v>399</v>
      </c>
      <c r="AC161" s="72">
        <f>IFERROR((CLE_H34[[#This Row],[H]]/CLE_H34[[#This Row],[AB]]),0)</f>
        <v>7.6923076923076927E-2</v>
      </c>
      <c r="AD161" s="72">
        <f>IFERROR((CLE_H34[[#This Row],[H]]+CLE_H34[[#This Row],[BB]])/(CLE_H34[[#This Row],[BB]]+CLE_H34[[#This Row],[AB]]),0)</f>
        <v>0.14285714285714285</v>
      </c>
      <c r="AE161" s="73">
        <f>IFERROR(((CLE_H34[[#This Row],[H]]-CLE_H34[[#This Row],[2B]]-CLE_H34[[#This Row],[3B]]-CLE_H34[[#This Row],[HR]])+(CLE_H34[[#This Row],[2B]]*2)+(CLE_H34[[#This Row],[3B]]*3)+(CLE_H34[[#This Row],[HR]]*4))/CLE_H34[[#This Row],[AB]],0)</f>
        <v>7.6923076923076927E-2</v>
      </c>
      <c r="AF161" s="28">
        <v>3</v>
      </c>
      <c r="AG161" s="28">
        <v>13</v>
      </c>
      <c r="AH161" s="28">
        <v>1</v>
      </c>
      <c r="AI161" s="28">
        <v>1</v>
      </c>
      <c r="AJ161" s="28">
        <v>0</v>
      </c>
      <c r="AK161" s="28">
        <v>0</v>
      </c>
      <c r="AL161" s="28">
        <v>0</v>
      </c>
      <c r="AM161" s="28">
        <v>0</v>
      </c>
      <c r="AN161" s="28">
        <v>1</v>
      </c>
      <c r="AO161" s="74">
        <v>6</v>
      </c>
      <c r="AP161" s="28">
        <v>0</v>
      </c>
      <c r="AQ161" s="28">
        <v>1</v>
      </c>
      <c r="AR161" s="74">
        <v>1</v>
      </c>
      <c r="AS161" s="28">
        <f>IFERROR((CLE_H34[[#This Row],[H]]-CLE_H34[[#This Row],[2B]]-CLE_H34[[#This Row],[3B]]-CLE_H34[[#This Row],[HR]])+(CLE_H34[[#This Row],[2B]]*2)+(CLE_H34[[#This Row],[3B]]*3)+(CLE_H34[[#This Row],[HR]]*4),0)</f>
        <v>1</v>
      </c>
      <c r="AT161" s="72">
        <f>CLE_H34[[#This Row],[OBP]]+CLE_H34[[#This Row],[SLG]]</f>
        <v>0.21978021978021978</v>
      </c>
      <c r="AU161" s="74">
        <v>0</v>
      </c>
      <c r="AV161" s="615">
        <v>2</v>
      </c>
      <c r="AY161" s="651" t="s">
        <v>539</v>
      </c>
      <c r="AZ161" s="74" t="s">
        <v>154</v>
      </c>
      <c r="BA161" s="71" t="s">
        <v>548</v>
      </c>
      <c r="BB161" s="72">
        <f>IFERROR(Table104[[#This Row],[H]]/Table104[[#This Row],[AB]],0)</f>
        <v>0.20689655172413793</v>
      </c>
      <c r="BC161" s="72">
        <f>IFERROR((Table104[[#This Row],[H]]+Table104[[#This Row],[BB]])/(Table104[[#This Row],[BB]]+Table104[[#This Row],[AB]]),0)</f>
        <v>0.25806451612903225</v>
      </c>
      <c r="BD161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0.27586206896551724</v>
      </c>
      <c r="BE161" s="28">
        <v>8</v>
      </c>
      <c r="BF161" s="28">
        <v>29</v>
      </c>
      <c r="BG161" s="28">
        <v>1</v>
      </c>
      <c r="BH161" s="28">
        <v>6</v>
      </c>
      <c r="BI161" s="28">
        <v>2</v>
      </c>
      <c r="BJ161" s="28">
        <v>0</v>
      </c>
      <c r="BK161" s="28">
        <v>0</v>
      </c>
      <c r="BL161" s="28">
        <v>2</v>
      </c>
      <c r="BM161" s="28">
        <v>2</v>
      </c>
      <c r="BN161" s="74">
        <v>7</v>
      </c>
      <c r="BO161" s="28">
        <v>0</v>
      </c>
      <c r="BP161" s="28">
        <v>1</v>
      </c>
      <c r="BQ161" s="74">
        <v>2</v>
      </c>
      <c r="BR161" s="28">
        <f t="shared" si="16"/>
        <v>8</v>
      </c>
      <c r="BS161" s="72">
        <f>IFERROR(Table104[[#This Row],[SLG]]+Table104[[#This Row],[OBP]],0)</f>
        <v>0.53392658509454949</v>
      </c>
      <c r="BT161" s="74">
        <v>0</v>
      </c>
      <c r="BU161" s="780">
        <v>2</v>
      </c>
    </row>
    <row r="162" spans="1:73">
      <c r="A162" s="651" t="s">
        <v>394</v>
      </c>
      <c r="B162" s="71" t="s">
        <v>172</v>
      </c>
      <c r="C162" s="71" t="s">
        <v>409</v>
      </c>
      <c r="D162" s="72">
        <f>IFERROR((CLE_H74[[#This Row],[H]]/CLE_H74[[#This Row],[AB]]),0)</f>
        <v>0.12</v>
      </c>
      <c r="E162" s="72">
        <f>IFERROR((CLE_H74[[#This Row],[H]]+CLE_H74[[#This Row],[BB]])/(CLE_H74[[#This Row],[BB]]+CLE_H74[[#This Row],[AB]]),0)</f>
        <v>0.15384615384615385</v>
      </c>
      <c r="F162" s="73">
        <f>IFERROR(((CLE_H74[[#This Row],[H]]-CLE_H74[[#This Row],[2B]]-CLE_H74[[#This Row],[3B]]-CLE_H74[[#This Row],[HR]])+(CLE_H74[[#This Row],[2B]]*2)+(CLE_H74[[#This Row],[3B]]*3)+(CLE_H74[[#This Row],[HR]]*4))/CLE_H74[[#This Row],[AB]],0)</f>
        <v>0.16</v>
      </c>
      <c r="G162" s="28">
        <v>7</v>
      </c>
      <c r="H162" s="28">
        <v>25</v>
      </c>
      <c r="I162" s="28">
        <v>2</v>
      </c>
      <c r="J162" s="28">
        <v>3</v>
      </c>
      <c r="K162" s="28">
        <v>1</v>
      </c>
      <c r="L162" s="28">
        <v>0</v>
      </c>
      <c r="M162" s="28">
        <v>0</v>
      </c>
      <c r="N162" s="28">
        <v>0</v>
      </c>
      <c r="O162" s="28">
        <v>1</v>
      </c>
      <c r="P162" s="74">
        <v>10</v>
      </c>
      <c r="Q162" s="28">
        <v>0</v>
      </c>
      <c r="R162" s="28">
        <v>3</v>
      </c>
      <c r="S162" s="74">
        <v>3</v>
      </c>
      <c r="T162" s="28">
        <f>IFERROR((CLE_H74[[#This Row],[H]]-CLE_H74[[#This Row],[2B]]-CLE_H74[[#This Row],[3B]]-CLE_H74[[#This Row],[HR]])+(CLE_H74[[#This Row],[2B]]*2)+(CLE_H74[[#This Row],[3B]]*3)+(CLE_H74[[#This Row],[HR]]*4),0)</f>
        <v>4</v>
      </c>
      <c r="U162" s="72">
        <f>CLE_H74[[#This Row],[OBP]]+CLE_H74[[#This Row],[SLG]]</f>
        <v>0.31384615384615389</v>
      </c>
      <c r="V162" s="74">
        <v>0</v>
      </c>
      <c r="W162" s="615">
        <v>3</v>
      </c>
      <c r="Z162" s="651" t="s">
        <v>394</v>
      </c>
      <c r="AA162" s="71" t="s">
        <v>172</v>
      </c>
      <c r="AB162" s="71" t="s">
        <v>409</v>
      </c>
      <c r="AC162" s="72">
        <f>IFERROR((CLE_H34[[#This Row],[H]]/CLE_H34[[#This Row],[AB]]),0)</f>
        <v>0</v>
      </c>
      <c r="AD162" s="72">
        <f>IFERROR((CLE_H34[[#This Row],[H]]+CLE_H34[[#This Row],[BB]])/(CLE_H34[[#This Row],[BB]]+CLE_H34[[#This Row],[AB]]),0)</f>
        <v>0</v>
      </c>
      <c r="AE162" s="73">
        <f>IFERROR(((CLE_H34[[#This Row],[H]]-CLE_H34[[#This Row],[2B]]-CLE_H34[[#This Row],[3B]]-CLE_H34[[#This Row],[HR]])+(CLE_H34[[#This Row],[2B]]*2)+(CLE_H34[[#This Row],[3B]]*3)+(CLE_H34[[#This Row],[HR]]*4))/CLE_H34[[#This Row],[AB]],0)</f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74">
        <v>0</v>
      </c>
      <c r="AP162" s="28">
        <v>0</v>
      </c>
      <c r="AQ162" s="28">
        <v>0</v>
      </c>
      <c r="AR162" s="74">
        <v>0</v>
      </c>
      <c r="AS162" s="28">
        <f>IFERROR((CLE_H34[[#This Row],[H]]-CLE_H34[[#This Row],[2B]]-CLE_H34[[#This Row],[3B]]-CLE_H34[[#This Row],[HR]])+(CLE_H34[[#This Row],[2B]]*2)+(CLE_H34[[#This Row],[3B]]*3)+(CLE_H34[[#This Row],[HR]]*4),0)</f>
        <v>0</v>
      </c>
      <c r="AT162" s="72">
        <f>CLE_H34[[#This Row],[OBP]]+CLE_H34[[#This Row],[SLG]]</f>
        <v>0</v>
      </c>
      <c r="AU162" s="74">
        <v>0</v>
      </c>
      <c r="AV162" s="615">
        <v>3</v>
      </c>
      <c r="AY162" s="651" t="s">
        <v>539</v>
      </c>
      <c r="AZ162" s="74" t="s">
        <v>172</v>
      </c>
      <c r="BA162" s="71" t="s">
        <v>544</v>
      </c>
      <c r="BB162" s="72">
        <f>(IFERROR(Table104[[#This Row],[H]]/Table104[[#This Row],[AB]],0))</f>
        <v>0.25714285714285712</v>
      </c>
      <c r="BC162" s="72">
        <f>IFERROR((Table104[[#This Row],[H]]+Table104[[#This Row],[BB]])/(Table104[[#This Row],[BB]]+Table104[[#This Row],[AB]]),0)</f>
        <v>0.31578947368421051</v>
      </c>
      <c r="BD162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0.48571428571428571</v>
      </c>
      <c r="BE162" s="28">
        <v>8</v>
      </c>
      <c r="BF162" s="28">
        <v>35</v>
      </c>
      <c r="BG162" s="28">
        <v>6</v>
      </c>
      <c r="BH162" s="28">
        <v>9</v>
      </c>
      <c r="BI162" s="28">
        <v>2</v>
      </c>
      <c r="BJ162" s="28">
        <v>0</v>
      </c>
      <c r="BK162" s="28">
        <v>2</v>
      </c>
      <c r="BL162" s="28">
        <v>4</v>
      </c>
      <c r="BM162" s="28">
        <v>3</v>
      </c>
      <c r="BN162" s="74">
        <v>13</v>
      </c>
      <c r="BO162" s="28">
        <v>0</v>
      </c>
      <c r="BP162" s="28">
        <v>0</v>
      </c>
      <c r="BQ162" s="74">
        <v>3</v>
      </c>
      <c r="BR162" s="28">
        <f t="shared" si="16"/>
        <v>17</v>
      </c>
      <c r="BS162" s="72">
        <f>IFERROR(Table104[[#This Row],[SLG]]+Table104[[#This Row],[OBP]],0)</f>
        <v>0.80150375939849616</v>
      </c>
      <c r="BT162" s="74">
        <v>0</v>
      </c>
      <c r="BU162" s="780">
        <v>3</v>
      </c>
    </row>
    <row r="163" spans="1:73">
      <c r="A163" s="651" t="s">
        <v>394</v>
      </c>
      <c r="B163" s="71" t="s">
        <v>153</v>
      </c>
      <c r="C163" s="71" t="s">
        <v>402</v>
      </c>
      <c r="D163" s="72">
        <f>IFERROR((CLE_H74[[#This Row],[H]]/CLE_H74[[#This Row],[AB]]),0)</f>
        <v>0.30769230769230771</v>
      </c>
      <c r="E163" s="72">
        <f>IFERROR((CLE_H74[[#This Row],[H]]+CLE_H74[[#This Row],[BB]])/(CLE_H74[[#This Row],[BB]]+CLE_H74[[#This Row],[AB]]),0)</f>
        <v>0.33333333333333331</v>
      </c>
      <c r="F163" s="73">
        <f>IFERROR(((CLE_H74[[#This Row],[H]]-CLE_H74[[#This Row],[2B]]-CLE_H74[[#This Row],[3B]]-CLE_H74[[#This Row],[HR]])+(CLE_H74[[#This Row],[2B]]*2)+(CLE_H74[[#This Row],[3B]]*3)+(CLE_H74[[#This Row],[HR]]*4))/CLE_H74[[#This Row],[AB]],0)</f>
        <v>0.5</v>
      </c>
      <c r="G163" s="28">
        <v>7</v>
      </c>
      <c r="H163" s="28">
        <v>26</v>
      </c>
      <c r="I163" s="28">
        <v>2</v>
      </c>
      <c r="J163" s="28">
        <v>8</v>
      </c>
      <c r="K163" s="28">
        <v>2</v>
      </c>
      <c r="L163" s="28">
        <v>0</v>
      </c>
      <c r="M163" s="28">
        <v>1</v>
      </c>
      <c r="N163" s="28">
        <v>1</v>
      </c>
      <c r="O163" s="28">
        <v>1</v>
      </c>
      <c r="P163" s="74">
        <v>5</v>
      </c>
      <c r="Q163" s="28">
        <v>0</v>
      </c>
      <c r="R163" s="28">
        <v>1</v>
      </c>
      <c r="S163" s="74">
        <v>4</v>
      </c>
      <c r="T163" s="28">
        <f>IFERROR((CLE_H74[[#This Row],[H]]-CLE_H74[[#This Row],[2B]]-CLE_H74[[#This Row],[3B]]-CLE_H74[[#This Row],[HR]])+(CLE_H74[[#This Row],[2B]]*2)+(CLE_H74[[#This Row],[3B]]*3)+(CLE_H74[[#This Row],[HR]]*4),0)</f>
        <v>13</v>
      </c>
      <c r="U163" s="72">
        <f>CLE_H74[[#This Row],[OBP]]+CLE_H74[[#This Row],[SLG]]</f>
        <v>0.83333333333333326</v>
      </c>
      <c r="V163" s="74">
        <v>0</v>
      </c>
      <c r="W163" s="615">
        <v>4</v>
      </c>
      <c r="Z163" s="651" t="s">
        <v>394</v>
      </c>
      <c r="AA163" s="71" t="s">
        <v>153</v>
      </c>
      <c r="AB163" s="71" t="s">
        <v>402</v>
      </c>
      <c r="AC163" s="72">
        <f>IFERROR((CLE_H34[[#This Row],[H]]/CLE_H34[[#This Row],[AB]]),0)</f>
        <v>0.25</v>
      </c>
      <c r="AD163" s="72">
        <f>IFERROR((CLE_H34[[#This Row],[H]]+CLE_H34[[#This Row],[BB]])/(CLE_H34[[#This Row],[BB]]+CLE_H34[[#This Row],[AB]]),0)</f>
        <v>0.25</v>
      </c>
      <c r="AE163" s="73">
        <f>IFERROR(((CLE_H34[[#This Row],[H]]-CLE_H34[[#This Row],[2B]]-CLE_H34[[#This Row],[3B]]-CLE_H34[[#This Row],[HR]])+(CLE_H34[[#This Row],[2B]]*2)+(CLE_H34[[#This Row],[3B]]*3)+(CLE_H34[[#This Row],[HR]]*4))/CLE_H34[[#This Row],[AB]],0)</f>
        <v>0.25</v>
      </c>
      <c r="AF163" s="28">
        <v>3</v>
      </c>
      <c r="AG163" s="28">
        <v>12</v>
      </c>
      <c r="AH163" s="28">
        <v>0</v>
      </c>
      <c r="AI163" s="28">
        <v>3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74">
        <v>3</v>
      </c>
      <c r="AP163" s="28">
        <v>0</v>
      </c>
      <c r="AQ163" s="28">
        <v>3</v>
      </c>
      <c r="AR163" s="74">
        <v>3</v>
      </c>
      <c r="AS163" s="28">
        <f>IFERROR((CLE_H34[[#This Row],[H]]-CLE_H34[[#This Row],[2B]]-CLE_H34[[#This Row],[3B]]-CLE_H34[[#This Row],[HR]])+(CLE_H34[[#This Row],[2B]]*2)+(CLE_H34[[#This Row],[3B]]*3)+(CLE_H34[[#This Row],[HR]]*4),0)</f>
        <v>3</v>
      </c>
      <c r="AT163" s="72">
        <f>CLE_H34[[#This Row],[OBP]]+CLE_H34[[#This Row],[SLG]]</f>
        <v>0.5</v>
      </c>
      <c r="AU163" s="74">
        <v>0</v>
      </c>
      <c r="AV163" s="615">
        <v>4</v>
      </c>
      <c r="AY163" s="651" t="s">
        <v>539</v>
      </c>
      <c r="AZ163" s="74" t="s">
        <v>153</v>
      </c>
      <c r="BA163" s="71" t="s">
        <v>546</v>
      </c>
      <c r="BB163" s="72">
        <f>IFERROR(Table104[[#This Row],[H]]/Table104[[#This Row],[AB]],0)</f>
        <v>0.27586206896551724</v>
      </c>
      <c r="BC163" s="72">
        <f>IFERROR((Table104[[#This Row],[H]]+Table104[[#This Row],[BB]])/(Table104[[#This Row],[BB]]+Table104[[#This Row],[AB]]),0)</f>
        <v>0.32258064516129031</v>
      </c>
      <c r="BD163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0.44827586206896552</v>
      </c>
      <c r="BE163" s="28">
        <v>8</v>
      </c>
      <c r="BF163" s="28">
        <v>29</v>
      </c>
      <c r="BG163" s="28">
        <v>2</v>
      </c>
      <c r="BH163" s="28">
        <v>8</v>
      </c>
      <c r="BI163" s="28">
        <v>2</v>
      </c>
      <c r="BJ163" s="28">
        <v>0</v>
      </c>
      <c r="BK163" s="28">
        <v>1</v>
      </c>
      <c r="BL163" s="28">
        <v>1</v>
      </c>
      <c r="BM163" s="28">
        <v>2</v>
      </c>
      <c r="BN163" s="74">
        <v>5</v>
      </c>
      <c r="BO163" s="28">
        <v>0</v>
      </c>
      <c r="BP163" s="28">
        <v>2</v>
      </c>
      <c r="BQ163" s="74">
        <v>2</v>
      </c>
      <c r="BR163" s="28">
        <f t="shared" si="16"/>
        <v>13</v>
      </c>
      <c r="BS163" s="72">
        <f>IFERROR(Table104[[#This Row],[SLG]]+Table104[[#This Row],[OBP]],0)</f>
        <v>0.77085650723025578</v>
      </c>
      <c r="BT163" s="74">
        <v>0</v>
      </c>
      <c r="BU163" s="780">
        <v>4</v>
      </c>
    </row>
    <row r="164" spans="1:73">
      <c r="A164" s="651" t="s">
        <v>394</v>
      </c>
      <c r="B164" s="71" t="s">
        <v>177</v>
      </c>
      <c r="C164" s="71" t="s">
        <v>401</v>
      </c>
      <c r="D164" s="72">
        <f>IFERROR((CLE_H74[[#This Row],[H]]/CLE_H74[[#This Row],[AB]]),0)</f>
        <v>0.22580645161290322</v>
      </c>
      <c r="E164" s="72">
        <f>IFERROR((CLE_H74[[#This Row],[H]]+CLE_H74[[#This Row],[BB]])/(CLE_H74[[#This Row],[BB]]+CLE_H74[[#This Row],[AB]]),0)</f>
        <v>0.22580645161290322</v>
      </c>
      <c r="F164" s="73">
        <f>IFERROR(((CLE_H74[[#This Row],[H]]-CLE_H74[[#This Row],[2B]]-CLE_H74[[#This Row],[3B]]-CLE_H74[[#This Row],[HR]])+(CLE_H74[[#This Row],[2B]]*2)+(CLE_H74[[#This Row],[3B]]*3)+(CLE_H74[[#This Row],[HR]]*4))/CLE_H74[[#This Row],[AB]],0)</f>
        <v>0.35483870967741937</v>
      </c>
      <c r="G164" s="28">
        <v>7</v>
      </c>
      <c r="H164" s="28">
        <v>31</v>
      </c>
      <c r="I164" s="28">
        <v>1</v>
      </c>
      <c r="J164" s="28">
        <v>7</v>
      </c>
      <c r="K164" s="28">
        <v>1</v>
      </c>
      <c r="L164" s="28">
        <v>0</v>
      </c>
      <c r="M164" s="28">
        <v>1</v>
      </c>
      <c r="N164" s="28">
        <v>6</v>
      </c>
      <c r="O164" s="28">
        <v>0</v>
      </c>
      <c r="P164" s="74">
        <v>8</v>
      </c>
      <c r="Q164" s="28">
        <v>0</v>
      </c>
      <c r="R164" s="28">
        <v>0</v>
      </c>
      <c r="S164" s="74">
        <v>5</v>
      </c>
      <c r="T164" s="28">
        <f>IFERROR((CLE_H74[[#This Row],[H]]-CLE_H74[[#This Row],[2B]]-CLE_H74[[#This Row],[3B]]-CLE_H74[[#This Row],[HR]])+(CLE_H74[[#This Row],[2B]]*2)+(CLE_H74[[#This Row],[3B]]*3)+(CLE_H74[[#This Row],[HR]]*4),0)</f>
        <v>11</v>
      </c>
      <c r="U164" s="72">
        <f>CLE_H74[[#This Row],[OBP]]+CLE_H74[[#This Row],[SLG]]</f>
        <v>0.58064516129032262</v>
      </c>
      <c r="V164" s="74">
        <v>1</v>
      </c>
      <c r="W164" s="615">
        <v>5</v>
      </c>
      <c r="Z164" s="651" t="s">
        <v>394</v>
      </c>
      <c r="AA164" s="71" t="s">
        <v>177</v>
      </c>
      <c r="AB164" s="71" t="s">
        <v>401</v>
      </c>
      <c r="AC164" s="72">
        <f>IFERROR((CLE_H34[[#This Row],[H]]/CLE_H34[[#This Row],[AB]]),0)</f>
        <v>9.0909090909090912E-2</v>
      </c>
      <c r="AD164" s="72">
        <f>IFERROR((CLE_H34[[#This Row],[H]]+CLE_H34[[#This Row],[BB]])/(CLE_H34[[#This Row],[BB]]+CLE_H34[[#This Row],[AB]]),0)</f>
        <v>0.23076923076923078</v>
      </c>
      <c r="AE164" s="73">
        <f>IFERROR(((CLE_H34[[#This Row],[H]]-CLE_H34[[#This Row],[2B]]-CLE_H34[[#This Row],[3B]]-CLE_H34[[#This Row],[HR]])+(CLE_H34[[#This Row],[2B]]*2)+(CLE_H34[[#This Row],[3B]]*3)+(CLE_H34[[#This Row],[HR]]*4))/CLE_H34[[#This Row],[AB]],0)</f>
        <v>9.0909090909090912E-2</v>
      </c>
      <c r="AF164" s="28">
        <v>3</v>
      </c>
      <c r="AG164" s="28">
        <v>11</v>
      </c>
      <c r="AH164" s="28">
        <v>1</v>
      </c>
      <c r="AI164" s="28">
        <v>1</v>
      </c>
      <c r="AJ164" s="28">
        <v>0</v>
      </c>
      <c r="AK164" s="28">
        <v>0</v>
      </c>
      <c r="AL164" s="28">
        <v>0</v>
      </c>
      <c r="AM164" s="28">
        <v>1</v>
      </c>
      <c r="AN164" s="28">
        <v>2</v>
      </c>
      <c r="AO164" s="74">
        <v>4</v>
      </c>
      <c r="AP164" s="28">
        <v>0</v>
      </c>
      <c r="AQ164" s="28">
        <v>0</v>
      </c>
      <c r="AR164" s="74">
        <v>1</v>
      </c>
      <c r="AS164" s="28">
        <f>IFERROR((CLE_H34[[#This Row],[H]]-CLE_H34[[#This Row],[2B]]-CLE_H34[[#This Row],[3B]]-CLE_H34[[#This Row],[HR]])+(CLE_H34[[#This Row],[2B]]*2)+(CLE_H34[[#This Row],[3B]]*3)+(CLE_H34[[#This Row],[HR]]*4),0)</f>
        <v>1</v>
      </c>
      <c r="AT164" s="72">
        <f>CLE_H34[[#This Row],[OBP]]+CLE_H34[[#This Row],[SLG]]</f>
        <v>0.32167832167832167</v>
      </c>
      <c r="AU164" s="74">
        <v>0</v>
      </c>
      <c r="AV164" s="615">
        <v>5</v>
      </c>
      <c r="AY164" s="651" t="s">
        <v>539</v>
      </c>
      <c r="AZ164" s="74" t="s">
        <v>177</v>
      </c>
      <c r="BA164" s="71" t="s">
        <v>542</v>
      </c>
      <c r="BB164" s="72">
        <f>IFERROR(Table104[[#This Row],[H]]/Table104[[#This Row],[AB]],0)</f>
        <v>0.29411764705882354</v>
      </c>
      <c r="BC164" s="72">
        <f>IFERROR((Table104[[#This Row],[H]]+Table104[[#This Row],[BB]])/(Table104[[#This Row],[BB]]+Table104[[#This Row],[AB]]),0)</f>
        <v>0.31428571428571428</v>
      </c>
      <c r="BD164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0.44117647058823528</v>
      </c>
      <c r="BE164" s="28">
        <v>8</v>
      </c>
      <c r="BF164" s="28">
        <v>34</v>
      </c>
      <c r="BG164" s="28">
        <v>5</v>
      </c>
      <c r="BH164" s="28">
        <v>10</v>
      </c>
      <c r="BI164" s="28">
        <v>2</v>
      </c>
      <c r="BJ164" s="28">
        <v>0</v>
      </c>
      <c r="BK164" s="28">
        <v>1</v>
      </c>
      <c r="BL164" s="28">
        <v>5</v>
      </c>
      <c r="BM164" s="28">
        <v>1</v>
      </c>
      <c r="BN164" s="74">
        <v>12</v>
      </c>
      <c r="BO164" s="28">
        <v>0</v>
      </c>
      <c r="BP164" s="28">
        <v>8</v>
      </c>
      <c r="BQ164" s="74">
        <v>8</v>
      </c>
      <c r="BR164" s="28">
        <f t="shared" si="16"/>
        <v>15</v>
      </c>
      <c r="BS164" s="72">
        <f>IFERROR(Table104[[#This Row],[SLG]]+Table104[[#This Row],[OBP]],0)</f>
        <v>0.75546218487394956</v>
      </c>
      <c r="BT164" s="74">
        <v>1</v>
      </c>
      <c r="BU164" s="780">
        <v>5</v>
      </c>
    </row>
    <row r="165" spans="1:73">
      <c r="A165" s="651" t="s">
        <v>394</v>
      </c>
      <c r="B165" s="71" t="s">
        <v>174</v>
      </c>
      <c r="C165" s="71" t="s">
        <v>398</v>
      </c>
      <c r="D165" s="72">
        <f>IFERROR((CLE_H74[[#This Row],[H]]/CLE_H74[[#This Row],[AB]]),0)</f>
        <v>0.37037037037037035</v>
      </c>
      <c r="E165" s="72">
        <f>IFERROR((CLE_H74[[#This Row],[H]]+CLE_H74[[#This Row],[BB]])/(CLE_H74[[#This Row],[BB]]+CLE_H74[[#This Row],[AB]]),0)</f>
        <v>0.39285714285714285</v>
      </c>
      <c r="F165" s="73">
        <f>IFERROR(((CLE_H74[[#This Row],[H]]-CLE_H74[[#This Row],[2B]]-CLE_H74[[#This Row],[3B]]-CLE_H74[[#This Row],[HR]])+(CLE_H74[[#This Row],[2B]]*2)+(CLE_H74[[#This Row],[3B]]*3)+(CLE_H74[[#This Row],[HR]]*4))/CLE_H74[[#This Row],[AB]],0)</f>
        <v>0.48148148148148145</v>
      </c>
      <c r="G165" s="28">
        <v>7</v>
      </c>
      <c r="H165" s="28">
        <v>27</v>
      </c>
      <c r="I165" s="28">
        <v>2</v>
      </c>
      <c r="J165" s="28">
        <v>10</v>
      </c>
      <c r="K165" s="28">
        <v>0</v>
      </c>
      <c r="L165" s="28">
        <v>0</v>
      </c>
      <c r="M165" s="28">
        <v>1</v>
      </c>
      <c r="N165" s="28">
        <v>3</v>
      </c>
      <c r="O165" s="28">
        <v>1</v>
      </c>
      <c r="P165" s="74">
        <v>2</v>
      </c>
      <c r="Q165" s="28">
        <v>0</v>
      </c>
      <c r="R165" s="28">
        <v>4</v>
      </c>
      <c r="S165" s="74">
        <v>4</v>
      </c>
      <c r="T165" s="28">
        <f>IFERROR((CLE_H74[[#This Row],[H]]-CLE_H74[[#This Row],[2B]]-CLE_H74[[#This Row],[3B]]-CLE_H74[[#This Row],[HR]])+(CLE_H74[[#This Row],[2B]]*2)+(CLE_H74[[#This Row],[3B]]*3)+(CLE_H74[[#This Row],[HR]]*4),0)</f>
        <v>13</v>
      </c>
      <c r="U165" s="72">
        <f>CLE_H74[[#This Row],[OBP]]+CLE_H74[[#This Row],[SLG]]</f>
        <v>0.8743386243386243</v>
      </c>
      <c r="V165" s="74">
        <v>0</v>
      </c>
      <c r="W165" s="615">
        <v>6</v>
      </c>
      <c r="Z165" s="651" t="s">
        <v>394</v>
      </c>
      <c r="AA165" s="71" t="s">
        <v>174</v>
      </c>
      <c r="AB165" s="71" t="s">
        <v>403</v>
      </c>
      <c r="AC165" s="72">
        <f>IFERROR((CLE_H34[[#This Row],[H]]/CLE_H34[[#This Row],[AB]]),0)</f>
        <v>0</v>
      </c>
      <c r="AD165" s="72">
        <f>IFERROR((CLE_H34[[#This Row],[H]]+CLE_H34[[#This Row],[BB]])/(CLE_H34[[#This Row],[BB]]+CLE_H34[[#This Row],[AB]]),0)</f>
        <v>0</v>
      </c>
      <c r="AE165" s="73">
        <f>IFERROR(((CLE_H34[[#This Row],[H]]-CLE_H34[[#This Row],[2B]]-CLE_H34[[#This Row],[3B]]-CLE_H34[[#This Row],[HR]])+(CLE_H34[[#This Row],[2B]]*2)+(CLE_H34[[#This Row],[3B]]*3)+(CLE_H34[[#This Row],[HR]]*4))/CLE_H34[[#This Row],[AB]],0)</f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74">
        <v>0</v>
      </c>
      <c r="AP165" s="28">
        <v>0</v>
      </c>
      <c r="AQ165" s="28">
        <v>0</v>
      </c>
      <c r="AR165" s="74">
        <v>0</v>
      </c>
      <c r="AS165" s="28">
        <f>IFERROR((CLE_H34[[#This Row],[H]]-CLE_H34[[#This Row],[2B]]-CLE_H34[[#This Row],[3B]]-CLE_H34[[#This Row],[HR]])+(CLE_H34[[#This Row],[2B]]*2)+(CLE_H34[[#This Row],[3B]]*3)+(CLE_H34[[#This Row],[HR]]*4),0)</f>
        <v>0</v>
      </c>
      <c r="AT165" s="72">
        <f>CLE_H34[[#This Row],[OBP]]+CLE_H34[[#This Row],[SLG]]</f>
        <v>0</v>
      </c>
      <c r="AU165" s="74">
        <v>0</v>
      </c>
      <c r="AV165" s="615">
        <v>6</v>
      </c>
      <c r="AY165" s="651" t="s">
        <v>539</v>
      </c>
      <c r="AZ165" s="74" t="s">
        <v>174</v>
      </c>
      <c r="BA165" s="71" t="s">
        <v>541</v>
      </c>
      <c r="BB165" s="72">
        <f>IFERROR(Table104[[#This Row],[H]]/Table104[[#This Row],[AB]],0)</f>
        <v>0.21212121212121213</v>
      </c>
      <c r="BC165" s="72">
        <f>IFERROR((Table104[[#This Row],[H]]+Table104[[#This Row],[BB]])/(Table104[[#This Row],[BB]]+Table104[[#This Row],[AB]]),0)</f>
        <v>0.23529411764705882</v>
      </c>
      <c r="BD165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0.36363636363636365</v>
      </c>
      <c r="BE165" s="28">
        <v>8</v>
      </c>
      <c r="BF165" s="28">
        <v>33</v>
      </c>
      <c r="BG165" s="28">
        <v>4</v>
      </c>
      <c r="BH165" s="28">
        <v>7</v>
      </c>
      <c r="BI165" s="28">
        <v>2</v>
      </c>
      <c r="BJ165" s="28">
        <v>0</v>
      </c>
      <c r="BK165" s="28">
        <v>1</v>
      </c>
      <c r="BL165" s="28">
        <v>4</v>
      </c>
      <c r="BM165" s="28">
        <v>1</v>
      </c>
      <c r="BN165" s="74">
        <v>14</v>
      </c>
      <c r="BO165" s="28">
        <v>0</v>
      </c>
      <c r="BP165" s="28">
        <v>0</v>
      </c>
      <c r="BQ165" s="74">
        <v>6</v>
      </c>
      <c r="BR165" s="28">
        <f t="shared" si="16"/>
        <v>12</v>
      </c>
      <c r="BS165" s="72">
        <f>IFERROR(Table104[[#This Row],[SLG]]+Table104[[#This Row],[OBP]],0)</f>
        <v>0.59893048128342241</v>
      </c>
      <c r="BT165" s="74">
        <v>1</v>
      </c>
      <c r="BU165" s="780">
        <v>6</v>
      </c>
    </row>
    <row r="166" spans="1:73">
      <c r="A166" s="651" t="s">
        <v>394</v>
      </c>
      <c r="B166" s="71" t="s">
        <v>181</v>
      </c>
      <c r="C166" s="71" t="s">
        <v>397</v>
      </c>
      <c r="D166" s="72">
        <f>IFERROR((CLE_H74[[#This Row],[H]]/CLE_H74[[#This Row],[AB]]),0)</f>
        <v>0.25806451612903225</v>
      </c>
      <c r="E166" s="72">
        <f>IFERROR((CLE_H74[[#This Row],[H]]+CLE_H74[[#This Row],[BB]])/(CLE_H74[[#This Row],[BB]]+CLE_H74[[#This Row],[AB]]),0)</f>
        <v>0.30303030303030304</v>
      </c>
      <c r="F166" s="73">
        <f>IFERROR(((CLE_H74[[#This Row],[H]]-CLE_H74[[#This Row],[2B]]-CLE_H74[[#This Row],[3B]]-CLE_H74[[#This Row],[HR]])+(CLE_H74[[#This Row],[2B]]*2)+(CLE_H74[[#This Row],[3B]]*3)+(CLE_H74[[#This Row],[HR]]*4))/CLE_H74[[#This Row],[AB]],0)</f>
        <v>0.29032258064516131</v>
      </c>
      <c r="G166" s="28">
        <v>7</v>
      </c>
      <c r="H166" s="28">
        <v>31</v>
      </c>
      <c r="I166" s="28">
        <v>5</v>
      </c>
      <c r="J166" s="28">
        <v>8</v>
      </c>
      <c r="K166" s="28">
        <v>1</v>
      </c>
      <c r="L166" s="28">
        <v>0</v>
      </c>
      <c r="M166" s="28">
        <v>0</v>
      </c>
      <c r="N166" s="28">
        <v>0</v>
      </c>
      <c r="O166" s="28">
        <v>2</v>
      </c>
      <c r="P166" s="74">
        <v>8</v>
      </c>
      <c r="Q166" s="28">
        <v>2</v>
      </c>
      <c r="R166" s="28">
        <v>0</v>
      </c>
      <c r="S166" s="74">
        <v>4</v>
      </c>
      <c r="T166" s="28">
        <f>IFERROR((CLE_H74[[#This Row],[H]]-CLE_H74[[#This Row],[2B]]-CLE_H74[[#This Row],[3B]]-CLE_H74[[#This Row],[HR]])+(CLE_H74[[#This Row],[2B]]*2)+(CLE_H74[[#This Row],[3B]]*3)+(CLE_H74[[#This Row],[HR]]*4),0)</f>
        <v>9</v>
      </c>
      <c r="U166" s="72">
        <f>CLE_H74[[#This Row],[OBP]]+CLE_H74[[#This Row],[SLG]]</f>
        <v>0.59335288367546435</v>
      </c>
      <c r="V166" s="74">
        <v>0</v>
      </c>
      <c r="W166" s="615">
        <v>7</v>
      </c>
      <c r="Z166" s="651" t="s">
        <v>394</v>
      </c>
      <c r="AA166" s="71" t="s">
        <v>383</v>
      </c>
      <c r="AB166" s="71" t="s">
        <v>397</v>
      </c>
      <c r="AC166" s="72">
        <f>IFERROR((CLE_H34[[#This Row],[H]]/CLE_H34[[#This Row],[AB]]),0)</f>
        <v>0.30769230769230771</v>
      </c>
      <c r="AD166" s="72">
        <f>IFERROR((CLE_H34[[#This Row],[H]]+CLE_H34[[#This Row],[BB]])/(CLE_H34[[#This Row],[BB]]+CLE_H34[[#This Row],[AB]]),0)</f>
        <v>0.35714285714285715</v>
      </c>
      <c r="AE166" s="73">
        <f>IFERROR(((CLE_H34[[#This Row],[H]]-CLE_H34[[#This Row],[2B]]-CLE_H34[[#This Row],[3B]]-CLE_H34[[#This Row],[HR]])+(CLE_H34[[#This Row],[2B]]*2)+(CLE_H34[[#This Row],[3B]]*3)+(CLE_H34[[#This Row],[HR]]*4))/CLE_H34[[#This Row],[AB]],0)</f>
        <v>0.46153846153846156</v>
      </c>
      <c r="AF166" s="28">
        <v>3</v>
      </c>
      <c r="AG166" s="28">
        <v>13</v>
      </c>
      <c r="AH166" s="28">
        <v>2</v>
      </c>
      <c r="AI166" s="28">
        <v>4</v>
      </c>
      <c r="AJ166" s="28">
        <v>2</v>
      </c>
      <c r="AK166" s="28">
        <v>0</v>
      </c>
      <c r="AL166" s="28">
        <v>0</v>
      </c>
      <c r="AM166" s="28">
        <v>0</v>
      </c>
      <c r="AN166" s="28">
        <v>1</v>
      </c>
      <c r="AO166" s="74">
        <v>5</v>
      </c>
      <c r="AP166" s="28">
        <v>0</v>
      </c>
      <c r="AQ166" s="28">
        <v>3</v>
      </c>
      <c r="AR166" s="74">
        <v>3</v>
      </c>
      <c r="AS166" s="28">
        <f>IFERROR((CLE_H34[[#This Row],[H]]-CLE_H34[[#This Row],[2B]]-CLE_H34[[#This Row],[3B]]-CLE_H34[[#This Row],[HR]])+(CLE_H34[[#This Row],[2B]]*2)+(CLE_H34[[#This Row],[3B]]*3)+(CLE_H34[[#This Row],[HR]]*4),0)</f>
        <v>6</v>
      </c>
      <c r="AT166" s="72">
        <f>CLE_H34[[#This Row],[OBP]]+CLE_H34[[#This Row],[SLG]]</f>
        <v>0.81868131868131866</v>
      </c>
      <c r="AU166" s="74">
        <v>0</v>
      </c>
      <c r="AV166" s="615">
        <v>7</v>
      </c>
      <c r="AY166" s="651" t="s">
        <v>539</v>
      </c>
      <c r="AZ166" s="74" t="s">
        <v>181</v>
      </c>
      <c r="BA166" s="71" t="s">
        <v>543</v>
      </c>
      <c r="BB166" s="72">
        <f>IFERROR(Table104[[#This Row],[H]]/Table104[[#This Row],[AB]],0)</f>
        <v>0.18181818181818182</v>
      </c>
      <c r="BC166" s="72">
        <f>IFERROR((Table104[[#This Row],[H]]+Table104[[#This Row],[BB]])/(Table104[[#This Row],[BB]]+Table104[[#This Row],[AB]]),0)</f>
        <v>0.25</v>
      </c>
      <c r="BD166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0.36363636363636365</v>
      </c>
      <c r="BE166" s="28">
        <v>8</v>
      </c>
      <c r="BF166" s="28">
        <v>33</v>
      </c>
      <c r="BG166" s="28">
        <v>3</v>
      </c>
      <c r="BH166" s="28">
        <v>6</v>
      </c>
      <c r="BI166" s="28">
        <v>3</v>
      </c>
      <c r="BJ166" s="28">
        <v>0</v>
      </c>
      <c r="BK166" s="28">
        <v>1</v>
      </c>
      <c r="BL166" s="28">
        <v>3</v>
      </c>
      <c r="BM166" s="28">
        <v>3</v>
      </c>
      <c r="BN166" s="74">
        <v>15</v>
      </c>
      <c r="BO166" s="28">
        <v>0</v>
      </c>
      <c r="BP166" s="28">
        <v>0</v>
      </c>
      <c r="BQ166" s="74">
        <v>3</v>
      </c>
      <c r="BR166" s="28">
        <f t="shared" si="16"/>
        <v>12</v>
      </c>
      <c r="BS166" s="72">
        <f>IFERROR(Table104[[#This Row],[SLG]]+Table104[[#This Row],[OBP]],0)</f>
        <v>0.61363636363636365</v>
      </c>
      <c r="BT166" s="74">
        <v>1</v>
      </c>
      <c r="BU166" s="780">
        <v>7</v>
      </c>
    </row>
    <row r="167" spans="1:73">
      <c r="A167" s="651" t="s">
        <v>394</v>
      </c>
      <c r="B167" s="71" t="s">
        <v>166</v>
      </c>
      <c r="C167" s="71" t="s">
        <v>403</v>
      </c>
      <c r="D167" s="72">
        <f>IFERROR((CLE_H74[[#This Row],[H]]/CLE_H74[[#This Row],[AB]]),0)</f>
        <v>0.41666666666666669</v>
      </c>
      <c r="E167" s="72">
        <f>IFERROR((CLE_H74[[#This Row],[H]]+CLE_H74[[#This Row],[BB]])/(CLE_H74[[#This Row],[BB]]+CLE_H74[[#This Row],[AB]]),0)</f>
        <v>0.5</v>
      </c>
      <c r="F167" s="73">
        <f>IFERROR(((CLE_H74[[#This Row],[H]]-CLE_H74[[#This Row],[2B]]-CLE_H74[[#This Row],[3B]]-CLE_H74[[#This Row],[HR]])+(CLE_H74[[#This Row],[2B]]*2)+(CLE_H74[[#This Row],[3B]]*3)+(CLE_H74[[#This Row],[HR]]*4))/CLE_H74[[#This Row],[AB]],0)</f>
        <v>0.54166666666666663</v>
      </c>
      <c r="G167" s="28">
        <v>7</v>
      </c>
      <c r="H167" s="28">
        <v>24</v>
      </c>
      <c r="I167" s="28">
        <v>1</v>
      </c>
      <c r="J167" s="28">
        <v>10</v>
      </c>
      <c r="K167" s="28">
        <v>0</v>
      </c>
      <c r="L167" s="28">
        <v>0</v>
      </c>
      <c r="M167" s="28">
        <v>1</v>
      </c>
      <c r="N167" s="28">
        <v>5</v>
      </c>
      <c r="O167" s="28">
        <v>4</v>
      </c>
      <c r="P167" s="74">
        <v>5</v>
      </c>
      <c r="Q167" s="28">
        <v>0</v>
      </c>
      <c r="R167" s="28">
        <v>2</v>
      </c>
      <c r="S167" s="74">
        <v>2</v>
      </c>
      <c r="T167" s="28">
        <f>IFERROR((CLE_H74[[#This Row],[H]]-CLE_H74[[#This Row],[2B]]-CLE_H74[[#This Row],[3B]]-CLE_H74[[#This Row],[HR]])+(CLE_H74[[#This Row],[2B]]*2)+(CLE_H74[[#This Row],[3B]]*3)+(CLE_H74[[#This Row],[HR]]*4),0)</f>
        <v>13</v>
      </c>
      <c r="U167" s="72">
        <f>CLE_H74[[#This Row],[OBP]]+CLE_H74[[#This Row],[SLG]]</f>
        <v>1.0416666666666665</v>
      </c>
      <c r="V167" s="74">
        <v>1</v>
      </c>
      <c r="W167" s="615">
        <v>8</v>
      </c>
      <c r="Z167" s="651" t="s">
        <v>394</v>
      </c>
      <c r="AA167" s="71" t="s">
        <v>166</v>
      </c>
      <c r="AB167" s="71" t="s">
        <v>396</v>
      </c>
      <c r="AC167" s="72">
        <f>IFERROR((CLE_H34[[#This Row],[H]]/CLE_H34[[#This Row],[AB]]),0)</f>
        <v>0.2</v>
      </c>
      <c r="AD167" s="72">
        <f>IFERROR((CLE_H34[[#This Row],[H]]+CLE_H34[[#This Row],[BB]])/(CLE_H34[[#This Row],[BB]]+CLE_H34[[#This Row],[AB]]),0)</f>
        <v>0.33333333333333331</v>
      </c>
      <c r="AE167" s="73">
        <f>IFERROR(((CLE_H34[[#This Row],[H]]-CLE_H34[[#This Row],[2B]]-CLE_H34[[#This Row],[3B]]-CLE_H34[[#This Row],[HR]])+(CLE_H34[[#This Row],[2B]]*2)+(CLE_H34[[#This Row],[3B]]*3)+(CLE_H34[[#This Row],[HR]]*4))/CLE_H34[[#This Row],[AB]],0)</f>
        <v>0.3</v>
      </c>
      <c r="AF167" s="28">
        <v>3</v>
      </c>
      <c r="AG167" s="28">
        <v>10</v>
      </c>
      <c r="AH167" s="28">
        <v>0</v>
      </c>
      <c r="AI167" s="28">
        <v>2</v>
      </c>
      <c r="AJ167" s="28">
        <v>1</v>
      </c>
      <c r="AK167" s="28">
        <v>0</v>
      </c>
      <c r="AL167" s="28">
        <v>0</v>
      </c>
      <c r="AM167" s="28">
        <v>1</v>
      </c>
      <c r="AN167" s="28">
        <v>2</v>
      </c>
      <c r="AO167" s="74">
        <v>7</v>
      </c>
      <c r="AP167" s="28">
        <v>0</v>
      </c>
      <c r="AQ167" s="28">
        <v>0</v>
      </c>
      <c r="AR167" s="74">
        <v>1</v>
      </c>
      <c r="AS167" s="28">
        <f>IFERROR((CLE_H34[[#This Row],[H]]-CLE_H34[[#This Row],[2B]]-CLE_H34[[#This Row],[3B]]-CLE_H34[[#This Row],[HR]])+(CLE_H34[[#This Row],[2B]]*2)+(CLE_H34[[#This Row],[3B]]*3)+(CLE_H34[[#This Row],[HR]]*4),0)</f>
        <v>3</v>
      </c>
      <c r="AT167" s="72">
        <f>CLE_H34[[#This Row],[OBP]]+CLE_H34[[#This Row],[SLG]]</f>
        <v>0.6333333333333333</v>
      </c>
      <c r="AU167" s="74">
        <v>0</v>
      </c>
      <c r="AV167" s="615">
        <v>8</v>
      </c>
      <c r="AY167" s="651" t="s">
        <v>539</v>
      </c>
      <c r="AZ167" s="74" t="s">
        <v>166</v>
      </c>
      <c r="BA167" s="71" t="s">
        <v>550</v>
      </c>
      <c r="BB167" s="72">
        <f>IFERROR(Table104[[#This Row],[H]]/Table104[[#This Row],[AB]],0)</f>
        <v>0.2413793103448276</v>
      </c>
      <c r="BC167" s="72">
        <f>IFERROR((Table104[[#This Row],[H]]+Table104[[#This Row],[BB]])/(Table104[[#This Row],[BB]]+Table104[[#This Row],[AB]]),0)</f>
        <v>0.29032258064516131</v>
      </c>
      <c r="BD167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0.31034482758620691</v>
      </c>
      <c r="BE167" s="28">
        <v>8</v>
      </c>
      <c r="BF167" s="28">
        <v>29</v>
      </c>
      <c r="BG167" s="28">
        <v>2</v>
      </c>
      <c r="BH167" s="28">
        <v>7</v>
      </c>
      <c r="BI167" s="28">
        <v>2</v>
      </c>
      <c r="BJ167" s="28">
        <v>0</v>
      </c>
      <c r="BK167" s="28">
        <v>0</v>
      </c>
      <c r="BL167" s="28">
        <v>6</v>
      </c>
      <c r="BM167" s="28">
        <v>2</v>
      </c>
      <c r="BN167" s="74">
        <v>8</v>
      </c>
      <c r="BO167" s="28">
        <v>0</v>
      </c>
      <c r="BP167" s="28">
        <v>1</v>
      </c>
      <c r="BQ167" s="74">
        <v>5</v>
      </c>
      <c r="BR167" s="28">
        <f t="shared" si="16"/>
        <v>9</v>
      </c>
      <c r="BS167" s="72">
        <f>IFERROR(Table104[[#This Row],[SLG]]+Table104[[#This Row],[OBP]],0)</f>
        <v>0.60066740823136822</v>
      </c>
      <c r="BT167" s="74">
        <v>1</v>
      </c>
      <c r="BU167" s="780">
        <v>8</v>
      </c>
    </row>
    <row r="168" spans="1:73">
      <c r="A168" s="651" t="s">
        <v>394</v>
      </c>
      <c r="B168" s="71" t="s">
        <v>168</v>
      </c>
      <c r="C168" s="71" t="s">
        <v>395</v>
      </c>
      <c r="D168" s="72">
        <f>IFERROR((CLE_H74[[#This Row],[H]]/CLE_H74[[#This Row],[AB]]),0)</f>
        <v>0.25</v>
      </c>
      <c r="E168" s="72">
        <f>IFERROR((CLE_H74[[#This Row],[H]]+CLE_H74[[#This Row],[BB]])/(CLE_H74[[#This Row],[BB]]+CLE_H74[[#This Row],[AB]]),0)</f>
        <v>0.44444444444444442</v>
      </c>
      <c r="F168" s="73">
        <f>IFERROR(((CLE_H74[[#This Row],[H]]-CLE_H74[[#This Row],[2B]]-CLE_H74[[#This Row],[3B]]-CLE_H74[[#This Row],[HR]])+(CLE_H74[[#This Row],[2B]]*2)+(CLE_H74[[#This Row],[3B]]*3)+(CLE_H74[[#This Row],[HR]]*4))/CLE_H74[[#This Row],[AB]],0)</f>
        <v>0.45</v>
      </c>
      <c r="G168" s="28">
        <v>7</v>
      </c>
      <c r="H168" s="28">
        <v>20</v>
      </c>
      <c r="I168" s="28">
        <v>4</v>
      </c>
      <c r="J168" s="28">
        <v>5</v>
      </c>
      <c r="K168" s="28">
        <v>1</v>
      </c>
      <c r="L168" s="28">
        <v>0</v>
      </c>
      <c r="M168" s="28">
        <v>1</v>
      </c>
      <c r="N168" s="28">
        <v>2</v>
      </c>
      <c r="O168" s="28">
        <v>7</v>
      </c>
      <c r="P168" s="74">
        <v>8</v>
      </c>
      <c r="Q168" s="28">
        <v>0</v>
      </c>
      <c r="R168" s="28">
        <v>5</v>
      </c>
      <c r="S168" s="74">
        <v>5</v>
      </c>
      <c r="T168" s="28">
        <f>IFERROR((CLE_H74[[#This Row],[H]]-CLE_H74[[#This Row],[2B]]-CLE_H74[[#This Row],[3B]]-CLE_H74[[#This Row],[HR]])+(CLE_H74[[#This Row],[2B]]*2)+(CLE_H74[[#This Row],[3B]]*3)+(CLE_H74[[#This Row],[HR]]*4),0)</f>
        <v>9</v>
      </c>
      <c r="U168" s="72">
        <f>CLE_H74[[#This Row],[OBP]]+CLE_H74[[#This Row],[SLG]]</f>
        <v>0.89444444444444438</v>
      </c>
      <c r="V168" s="74">
        <v>0</v>
      </c>
      <c r="W168" s="615">
        <v>9</v>
      </c>
      <c r="Z168" s="651" t="s">
        <v>394</v>
      </c>
      <c r="AA168" s="71" t="s">
        <v>168</v>
      </c>
      <c r="AB168" s="71" t="s">
        <v>395</v>
      </c>
      <c r="AC168" s="72">
        <f>IFERROR((CLE_H34[[#This Row],[H]]/CLE_H34[[#This Row],[AB]]),0)</f>
        <v>0.36363636363636365</v>
      </c>
      <c r="AD168" s="72">
        <f>IFERROR((CLE_H34[[#This Row],[H]]+CLE_H34[[#This Row],[BB]])/(CLE_H34[[#This Row],[BB]]+CLE_H34[[#This Row],[AB]]),0)</f>
        <v>0.41666666666666669</v>
      </c>
      <c r="AE168" s="73">
        <f>IFERROR(((CLE_H34[[#This Row],[H]]-CLE_H34[[#This Row],[2B]]-CLE_H34[[#This Row],[3B]]-CLE_H34[[#This Row],[HR]])+(CLE_H34[[#This Row],[2B]]*2)+(CLE_H34[[#This Row],[3B]]*3)+(CLE_H34[[#This Row],[HR]]*4))/CLE_H34[[#This Row],[AB]],0)</f>
        <v>0.90909090909090906</v>
      </c>
      <c r="AF168" s="28">
        <v>3</v>
      </c>
      <c r="AG168" s="28">
        <v>11</v>
      </c>
      <c r="AH168" s="28">
        <v>2</v>
      </c>
      <c r="AI168" s="28">
        <v>4</v>
      </c>
      <c r="AJ168" s="28">
        <v>0</v>
      </c>
      <c r="AK168" s="28">
        <v>0</v>
      </c>
      <c r="AL168" s="28">
        <v>2</v>
      </c>
      <c r="AM168" s="28">
        <v>4</v>
      </c>
      <c r="AN168" s="28">
        <v>1</v>
      </c>
      <c r="AO168" s="74">
        <v>2</v>
      </c>
      <c r="AP168" s="28">
        <v>0</v>
      </c>
      <c r="AQ168" s="28">
        <v>3</v>
      </c>
      <c r="AR168" s="74">
        <v>3</v>
      </c>
      <c r="AS168" s="28">
        <f>IFERROR((CLE_H34[[#This Row],[H]]-CLE_H34[[#This Row],[2B]]-CLE_H34[[#This Row],[3B]]-CLE_H34[[#This Row],[HR]])+(CLE_H34[[#This Row],[2B]]*2)+(CLE_H34[[#This Row],[3B]]*3)+(CLE_H34[[#This Row],[HR]]*4),0)</f>
        <v>10</v>
      </c>
      <c r="AT168" s="72">
        <f>CLE_H34[[#This Row],[OBP]]+CLE_H34[[#This Row],[SLG]]</f>
        <v>1.3257575757575757</v>
      </c>
      <c r="AU168" s="74">
        <v>0</v>
      </c>
      <c r="AV168" s="615">
        <v>9</v>
      </c>
      <c r="AY168" s="651" t="s">
        <v>539</v>
      </c>
      <c r="AZ168" s="74" t="s">
        <v>168</v>
      </c>
      <c r="BA168" s="71" t="s">
        <v>540</v>
      </c>
      <c r="BB168" s="72">
        <f>IFERROR(Table104[[#This Row],[H]]/Table104[[#This Row],[AB]],0)</f>
        <v>0.36666666666666664</v>
      </c>
      <c r="BC168" s="72">
        <f>IFERROR((Table104[[#This Row],[H]]+Table104[[#This Row],[BB]])/(Table104[[#This Row],[BB]]+Table104[[#This Row],[AB]]),0)</f>
        <v>0.45714285714285713</v>
      </c>
      <c r="BD168" s="73">
        <f>IFERROR(((Table104[[#This Row],[H]]-Table104[[#This Row],[2B]]-Table104[[#This Row],[3B]]-Table104[[#This Row],[HR]])+(Table104[[#This Row],[2B]]*2)+(Table104[[#This Row],[3B]]*3)+(Table104[[#This Row],[HR]]*4))/Table104[[#This Row],[AB]],0)</f>
        <v>0.66666666666666663</v>
      </c>
      <c r="BE168" s="28">
        <v>8</v>
      </c>
      <c r="BF168" s="28">
        <v>30</v>
      </c>
      <c r="BG168" s="28">
        <v>5</v>
      </c>
      <c r="BH168" s="28">
        <v>11</v>
      </c>
      <c r="BI168" s="76">
        <v>6</v>
      </c>
      <c r="BJ168" s="28">
        <v>0</v>
      </c>
      <c r="BK168" s="28">
        <v>1</v>
      </c>
      <c r="BL168" s="28">
        <v>3</v>
      </c>
      <c r="BM168" s="28">
        <v>5</v>
      </c>
      <c r="BN168" s="74">
        <v>8</v>
      </c>
      <c r="BO168" s="28">
        <v>0</v>
      </c>
      <c r="BP168" s="28">
        <v>0</v>
      </c>
      <c r="BQ168" s="74">
        <v>6</v>
      </c>
      <c r="BR168" s="28">
        <f t="shared" si="16"/>
        <v>20</v>
      </c>
      <c r="BS168" s="72">
        <f>IFERROR(Table104[[#This Row],[SLG]]+Table104[[#This Row],[OBP]],0)</f>
        <v>1.1238095238095238</v>
      </c>
      <c r="BT168" s="74">
        <v>0</v>
      </c>
      <c r="BU168" s="780">
        <v>9</v>
      </c>
    </row>
    <row r="169" spans="1:73">
      <c r="A169" s="651" t="s">
        <v>394</v>
      </c>
      <c r="B169" s="71" t="s">
        <v>179</v>
      </c>
      <c r="C169" s="71" t="s">
        <v>411</v>
      </c>
      <c r="D169" s="72">
        <f>IFERROR((CLE_H74[[#This Row],[H]]/CLE_H74[[#This Row],[AB]]),0)</f>
        <v>0</v>
      </c>
      <c r="E169" s="72">
        <f>IFERROR((CLE_H74[[#This Row],[H]]+CLE_H74[[#This Row],[BB]])/(CLE_H74[[#This Row],[BB]]+CLE_H74[[#This Row],[AB]]),0)</f>
        <v>0</v>
      </c>
      <c r="F169" s="73">
        <f>IFERROR(((CLE_H74[[#This Row],[H]]-CLE_H74[[#This Row],[2B]]-CLE_H74[[#This Row],[3B]]-CLE_H74[[#This Row],[HR]])+(CLE_H74[[#This Row],[2B]]*2)+(CLE_H74[[#This Row],[3B]]*3)+(CLE_H74[[#This Row],[HR]]*4))/CLE_H74[[#This Row],[AB]],0)</f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74">
        <v>0</v>
      </c>
      <c r="Q169" s="28">
        <v>0</v>
      </c>
      <c r="R169" s="28">
        <v>0</v>
      </c>
      <c r="S169" s="74">
        <v>0</v>
      </c>
      <c r="T169" s="28">
        <f>IFERROR((CLE_H74[[#This Row],[H]]-CLE_H74[[#This Row],[2B]]-CLE_H74[[#This Row],[3B]]-CLE_H74[[#This Row],[HR]])+(CLE_H74[[#This Row],[2B]]*2)+(CLE_H74[[#This Row],[3B]]*3)+(CLE_H74[[#This Row],[HR]]*4),0)</f>
        <v>0</v>
      </c>
      <c r="U169" s="72">
        <f>CLE_H74[[#This Row],[OBP]]+CLE_H74[[#This Row],[SLG]]</f>
        <v>0</v>
      </c>
      <c r="V169" s="74">
        <v>0</v>
      </c>
      <c r="W169" s="615">
        <v>10</v>
      </c>
      <c r="Z169" s="651" t="s">
        <v>394</v>
      </c>
      <c r="AA169" s="71" t="s">
        <v>308</v>
      </c>
      <c r="AB169" s="71" t="s">
        <v>411</v>
      </c>
      <c r="AC169" s="72">
        <f>IFERROR((CLE_H34[[#This Row],[H]]/CLE_H34[[#This Row],[AB]]),0)</f>
        <v>0</v>
      </c>
      <c r="AD169" s="72">
        <f>IFERROR((CLE_H34[[#This Row],[H]]+CLE_H34[[#This Row],[BB]])/(CLE_H34[[#This Row],[BB]]+CLE_H34[[#This Row],[AB]]),0)</f>
        <v>0</v>
      </c>
      <c r="AE169" s="73">
        <f>IFERROR(((CLE_H34[[#This Row],[H]]-CLE_H34[[#This Row],[2B]]-CLE_H34[[#This Row],[3B]]-CLE_H34[[#This Row],[HR]])+(CLE_H34[[#This Row],[2B]]*2)+(CLE_H34[[#This Row],[3B]]*3)+(CLE_H34[[#This Row],[HR]]*4))/CLE_H34[[#This Row],[AB]],0)</f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0</v>
      </c>
      <c r="AP169" s="28">
        <v>0</v>
      </c>
      <c r="AQ169" s="28">
        <v>0</v>
      </c>
      <c r="AR169" s="74">
        <v>0</v>
      </c>
      <c r="AS169" s="28">
        <f>IFERROR((CLE_H34[[#This Row],[H]]-CLE_H34[[#This Row],[2B]]-CLE_H34[[#This Row],[3B]]-CLE_H34[[#This Row],[HR]])+(CLE_H34[[#This Row],[2B]]*2)+(CLE_H34[[#This Row],[3B]]*3)+(CLE_H34[[#This Row],[HR]]*4),0)</f>
        <v>0</v>
      </c>
      <c r="AT169" s="72">
        <f>CLE_H34[[#This Row],[OBP]]+CLE_H34[[#This Row],[SLG]]</f>
        <v>0</v>
      </c>
      <c r="AU169" s="74">
        <v>0</v>
      </c>
      <c r="AV169" s="615">
        <v>10</v>
      </c>
      <c r="AY169" s="651" t="s">
        <v>539</v>
      </c>
      <c r="AZ169" s="74" t="s">
        <v>179</v>
      </c>
      <c r="BA169" s="71" t="s">
        <v>553</v>
      </c>
      <c r="BB169" s="72">
        <f>IFERROR(Table104[[#This Row],[H]]/Table104[[#This Row],[AB]],0)</f>
        <v>0</v>
      </c>
      <c r="BC169" s="72">
        <f>IFERROR((Table104[[#This Row],[H]]+Table104[[#This Row],[BB]])/(Table104[[#This Row],[BB]]+Table104[[#This Row],[AB]]),0)</f>
        <v>0</v>
      </c>
      <c r="BD169" s="73">
        <f>IFERROR(((Table104[[#This Row],[H]]-Table104[[#This Row],[2B]]-Table104[[#This Row],[3B]]-Table104[[#This Row],[HR]])+(Table104[[#This Row],[2B]]*2)+(Table104[[#This Row],[3B]]*3)+(Table104[[#This Row],[HR]]*4))/Table104[[#This Row],[AB]],0)</f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28">
        <v>0</v>
      </c>
      <c r="BP169" s="28">
        <v>0</v>
      </c>
      <c r="BQ169" s="74">
        <v>0</v>
      </c>
      <c r="BR169" s="28">
        <f t="shared" si="16"/>
        <v>0</v>
      </c>
      <c r="BS169" s="72">
        <f>IFERROR(Table104[[#This Row],[SLG]]+Table104[[#This Row],[OBP]],0)</f>
        <v>0</v>
      </c>
      <c r="BT169" s="74">
        <v>0</v>
      </c>
      <c r="BU169" s="780">
        <v>10</v>
      </c>
    </row>
    <row r="170" spans="1:73">
      <c r="A170" s="651" t="s">
        <v>394</v>
      </c>
      <c r="B170" s="71" t="s">
        <v>192</v>
      </c>
      <c r="C170" s="71" t="s">
        <v>407</v>
      </c>
      <c r="D170" s="72">
        <f>IFERROR((CLE_H74[[#This Row],[H]]/CLE_H74[[#This Row],[AB]]),0)</f>
        <v>0</v>
      </c>
      <c r="E170" s="72">
        <f>IFERROR((CLE_H74[[#This Row],[H]]+CLE_H74[[#This Row],[BB]])/(CLE_H74[[#This Row],[BB]]+CLE_H74[[#This Row],[AB]]),0)</f>
        <v>0</v>
      </c>
      <c r="F170" s="73">
        <f>IFERROR(((CLE_H74[[#This Row],[H]]-CLE_H74[[#This Row],[2B]]-CLE_H74[[#This Row],[3B]]-CLE_H74[[#This Row],[HR]])+(CLE_H74[[#This Row],[2B]]*2)+(CLE_H74[[#This Row],[3B]]*3)+(CLE_H74[[#This Row],[HR]]*4))/CLE_H74[[#This Row],[AB]],0)</f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74">
        <v>0</v>
      </c>
      <c r="Q170" s="28">
        <v>0</v>
      </c>
      <c r="R170" s="28">
        <v>0</v>
      </c>
      <c r="S170" s="74">
        <v>0</v>
      </c>
      <c r="T170" s="28">
        <f>IFERROR((CLE_H74[[#This Row],[H]]-CLE_H74[[#This Row],[2B]]-CLE_H74[[#This Row],[3B]]-CLE_H74[[#This Row],[HR]])+(CLE_H74[[#This Row],[2B]]*2)+(CLE_H74[[#This Row],[3B]]*3)+(CLE_H74[[#This Row],[HR]]*4),0)</f>
        <v>0</v>
      </c>
      <c r="U170" s="72">
        <f>CLE_H74[[#This Row],[OBP]]+CLE_H74[[#This Row],[SLG]]</f>
        <v>0</v>
      </c>
      <c r="V170" s="74">
        <v>0</v>
      </c>
      <c r="W170" s="615">
        <v>11</v>
      </c>
      <c r="Z170" s="651" t="s">
        <v>394</v>
      </c>
      <c r="AA170" s="71" t="s">
        <v>187</v>
      </c>
      <c r="AB170" s="71" t="s">
        <v>406</v>
      </c>
      <c r="AC170" s="72">
        <f>IFERROR((CLE_H34[[#This Row],[H]]/CLE_H34[[#This Row],[AB]]),0)</f>
        <v>0.3</v>
      </c>
      <c r="AD170" s="72">
        <f>IFERROR((CLE_H34[[#This Row],[H]]+CLE_H34[[#This Row],[BB]])/(CLE_H34[[#This Row],[BB]]+CLE_H34[[#This Row],[AB]]),0)</f>
        <v>0.36363636363636365</v>
      </c>
      <c r="AE170" s="73">
        <f>IFERROR(((CLE_H34[[#This Row],[H]]-CLE_H34[[#This Row],[2B]]-CLE_H34[[#This Row],[3B]]-CLE_H34[[#This Row],[HR]])+(CLE_H34[[#This Row],[2B]]*2)+(CLE_H34[[#This Row],[3B]]*3)+(CLE_H34[[#This Row],[HR]]*4))/CLE_H34[[#This Row],[AB]],0)</f>
        <v>0.3</v>
      </c>
      <c r="AF170" s="28">
        <v>3</v>
      </c>
      <c r="AG170" s="28">
        <v>10</v>
      </c>
      <c r="AH170" s="28">
        <v>0</v>
      </c>
      <c r="AI170" s="28">
        <v>3</v>
      </c>
      <c r="AJ170" s="28">
        <v>0</v>
      </c>
      <c r="AK170" s="28">
        <v>0</v>
      </c>
      <c r="AL170" s="28">
        <v>0</v>
      </c>
      <c r="AM170" s="28">
        <v>0</v>
      </c>
      <c r="AN170" s="28">
        <v>1</v>
      </c>
      <c r="AO170" s="74">
        <v>2</v>
      </c>
      <c r="AP170" s="28">
        <v>0</v>
      </c>
      <c r="AQ170" s="28">
        <v>2</v>
      </c>
      <c r="AR170" s="74">
        <v>2</v>
      </c>
      <c r="AS170" s="28">
        <f>IFERROR((CLE_H34[[#This Row],[H]]-CLE_H34[[#This Row],[2B]]-CLE_H34[[#This Row],[3B]]-CLE_H34[[#This Row],[HR]])+(CLE_H34[[#This Row],[2B]]*2)+(CLE_H34[[#This Row],[3B]]*3)+(CLE_H34[[#This Row],[HR]]*4),0)</f>
        <v>3</v>
      </c>
      <c r="AT170" s="72">
        <f>CLE_H34[[#This Row],[OBP]]+CLE_H34[[#This Row],[SLG]]</f>
        <v>0.66363636363636358</v>
      </c>
      <c r="AU170" s="74">
        <v>0</v>
      </c>
      <c r="AV170" s="615">
        <v>11</v>
      </c>
      <c r="AY170" s="651" t="s">
        <v>539</v>
      </c>
      <c r="AZ170" s="74" t="s">
        <v>192</v>
      </c>
      <c r="BA170" s="71" t="s">
        <v>555</v>
      </c>
      <c r="BB170" s="72">
        <f>IFERROR(Table104[[#This Row],[H]]/Table104[[#This Row],[AB]],0)</f>
        <v>0</v>
      </c>
      <c r="BC170" s="72">
        <f>IFERROR((Table104[[#This Row],[H]]+Table104[[#This Row],[BB]])/(Table104[[#This Row],[BB]]+Table104[[#This Row],[AB]]),0)</f>
        <v>0</v>
      </c>
      <c r="BD170" s="73">
        <f>IFERROR(((Table104[[#This Row],[H]]-Table104[[#This Row],[2B]]-Table104[[#This Row],[3B]]-Table104[[#This Row],[HR]])+(Table104[[#This Row],[2B]]*2)+(Table104[[#This Row],[3B]]*3)+(Table104[[#This Row],[HR]]*4))/Table104[[#This Row],[AB]],0)</f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74">
        <v>0</v>
      </c>
      <c r="BO170" s="28">
        <v>0</v>
      </c>
      <c r="BP170" s="28">
        <v>0</v>
      </c>
      <c r="BQ170" s="74">
        <v>0</v>
      </c>
      <c r="BR170" s="28">
        <f t="shared" si="16"/>
        <v>0</v>
      </c>
      <c r="BS170" s="72">
        <f>IFERROR(Table104[[#This Row],[SLG]]+Table104[[#This Row],[OBP]],0)</f>
        <v>0</v>
      </c>
      <c r="BT170" s="74">
        <v>0</v>
      </c>
      <c r="BU170" s="780">
        <v>11</v>
      </c>
    </row>
    <row r="171" spans="1:73">
      <c r="A171" s="651" t="s">
        <v>394</v>
      </c>
      <c r="B171" s="71" t="s">
        <v>192</v>
      </c>
      <c r="C171" s="71" t="s">
        <v>412</v>
      </c>
      <c r="D171" s="72">
        <f>IFERROR((CLE_H74[[#This Row],[H]]/CLE_H74[[#This Row],[AB]]),0)</f>
        <v>0</v>
      </c>
      <c r="E171" s="72">
        <f>IFERROR((CLE_H74[[#This Row],[H]]+CLE_H74[[#This Row],[BB]])/(CLE_H74[[#This Row],[BB]]+CLE_H74[[#This Row],[AB]]),0)</f>
        <v>0</v>
      </c>
      <c r="F171" s="73">
        <f>IFERROR(((CLE_H74[[#This Row],[H]]-CLE_H74[[#This Row],[2B]]-CLE_H74[[#This Row],[3B]]-CLE_H74[[#This Row],[HR]])+(CLE_H74[[#This Row],[2B]]*2)+(CLE_H74[[#This Row],[3B]]*3)+(CLE_H74[[#This Row],[HR]]*4))/CLE_H74[[#This Row],[AB]],0)</f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74">
        <v>0</v>
      </c>
      <c r="Q171" s="28">
        <v>0</v>
      </c>
      <c r="R171" s="28">
        <v>0</v>
      </c>
      <c r="S171" s="74">
        <v>0</v>
      </c>
      <c r="T171" s="28">
        <f>IFERROR((CLE_H74[[#This Row],[H]]-CLE_H74[[#This Row],[2B]]-CLE_H74[[#This Row],[3B]]-CLE_H74[[#This Row],[HR]])+(CLE_H74[[#This Row],[2B]]*2)+(CLE_H74[[#This Row],[3B]]*3)+(CLE_H74[[#This Row],[HR]]*4),0)</f>
        <v>0</v>
      </c>
      <c r="U171" s="72">
        <f>CLE_H74[[#This Row],[OBP]]+CLE_H74[[#This Row],[SLG]]</f>
        <v>0</v>
      </c>
      <c r="V171" s="74">
        <v>0</v>
      </c>
      <c r="W171" s="615">
        <v>12</v>
      </c>
      <c r="Z171" s="651" t="s">
        <v>394</v>
      </c>
      <c r="AA171" s="71" t="s">
        <v>187</v>
      </c>
      <c r="AB171" s="71" t="s">
        <v>405</v>
      </c>
      <c r="AC171" s="72">
        <f>IFERROR((CLE_H34[[#This Row],[H]]/CLE_H34[[#This Row],[AB]]),0)</f>
        <v>0</v>
      </c>
      <c r="AD171" s="72">
        <f>IFERROR((CLE_H34[[#This Row],[H]]+CLE_H34[[#This Row],[BB]])/(CLE_H34[[#This Row],[BB]]+CLE_H34[[#This Row],[AB]]),0)</f>
        <v>0</v>
      </c>
      <c r="AE171" s="73">
        <f>IFERROR(((CLE_H34[[#This Row],[H]]-CLE_H34[[#This Row],[2B]]-CLE_H34[[#This Row],[3B]]-CLE_H34[[#This Row],[HR]])+(CLE_H34[[#This Row],[2B]]*2)+(CLE_H34[[#This Row],[3B]]*3)+(CLE_H34[[#This Row],[HR]]*4))/CLE_H34[[#This Row],[AB]],0)</f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74">
        <v>0</v>
      </c>
      <c r="AP171" s="28">
        <v>0</v>
      </c>
      <c r="AQ171" s="28">
        <v>0</v>
      </c>
      <c r="AR171" s="74">
        <v>0</v>
      </c>
      <c r="AS171" s="28">
        <f>IFERROR((CLE_H34[[#This Row],[H]]-CLE_H34[[#This Row],[2B]]-CLE_H34[[#This Row],[3B]]-CLE_H34[[#This Row],[HR]])+(CLE_H34[[#This Row],[2B]]*2)+(CLE_H34[[#This Row],[3B]]*3)+(CLE_H34[[#This Row],[HR]]*4),0)</f>
        <v>0</v>
      </c>
      <c r="AT171" s="72">
        <f>CLE_H34[[#This Row],[OBP]]+CLE_H34[[#This Row],[SLG]]</f>
        <v>0</v>
      </c>
      <c r="AU171" s="74">
        <v>0</v>
      </c>
      <c r="AV171" s="615">
        <v>12</v>
      </c>
      <c r="AY171" s="651" t="s">
        <v>539</v>
      </c>
      <c r="AZ171" s="74" t="s">
        <v>192</v>
      </c>
      <c r="BA171" s="71" t="s">
        <v>551</v>
      </c>
      <c r="BB171" s="72">
        <f>IFERROR(Table104[[#This Row],[H]]/Table104[[#This Row],[AB]],0)</f>
        <v>0</v>
      </c>
      <c r="BC171" s="72">
        <f>IFERROR((Table104[[#This Row],[H]]+Table104[[#This Row],[BB]])/(Table104[[#This Row],[BB]]+Table104[[#This Row],[AB]]),0)</f>
        <v>0</v>
      </c>
      <c r="BD171" s="73">
        <f>IFERROR(((Table104[[#This Row],[H]]-Table104[[#This Row],[2B]]-Table104[[#This Row],[3B]]-Table104[[#This Row],[HR]])+(Table104[[#This Row],[2B]]*2)+(Table104[[#This Row],[3B]]*3)+(Table104[[#This Row],[HR]]*4))/Table104[[#This Row],[AB]],0)</f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74">
        <v>0</v>
      </c>
      <c r="BO171" s="28">
        <v>0</v>
      </c>
      <c r="BP171" s="28">
        <v>0</v>
      </c>
      <c r="BQ171" s="74">
        <v>0</v>
      </c>
      <c r="BR171" s="28">
        <f t="shared" si="16"/>
        <v>0</v>
      </c>
      <c r="BS171" s="72">
        <f>IFERROR(Table104[[#This Row],[SLG]]+Table104[[#This Row],[OBP]],0)</f>
        <v>0</v>
      </c>
      <c r="BT171" s="74">
        <v>0</v>
      </c>
      <c r="BU171" s="780">
        <v>12</v>
      </c>
    </row>
    <row r="172" spans="1:73">
      <c r="A172" s="651" t="s">
        <v>394</v>
      </c>
      <c r="B172" s="71" t="s">
        <v>186</v>
      </c>
      <c r="C172" s="71" t="s">
        <v>396</v>
      </c>
      <c r="D172" s="72">
        <f>IFERROR((CLE_H74[[#This Row],[H]]/CLE_H74[[#This Row],[AB]]),0)</f>
        <v>0</v>
      </c>
      <c r="E172" s="72">
        <f>IFERROR((CLE_H74[[#This Row],[H]]+CLE_H74[[#This Row],[BB]])/(CLE_H74[[#This Row],[BB]]+CLE_H74[[#This Row],[AB]]),0)</f>
        <v>0</v>
      </c>
      <c r="F172" s="73">
        <f>IFERROR(((CLE_H74[[#This Row],[H]]-CLE_H74[[#This Row],[2B]]-CLE_H74[[#This Row],[3B]]-CLE_H74[[#This Row],[HR]])+(CLE_H74[[#This Row],[2B]]*2)+(CLE_H74[[#This Row],[3B]]*3)+(CLE_H74[[#This Row],[HR]]*4))/CLE_H74[[#This Row],[AB]],0)</f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74">
        <v>0</v>
      </c>
      <c r="Q172" s="28">
        <v>0</v>
      </c>
      <c r="R172" s="28">
        <v>0</v>
      </c>
      <c r="S172" s="74">
        <v>0</v>
      </c>
      <c r="T172" s="28">
        <f>IFERROR((CLE_H74[[#This Row],[H]]-CLE_H74[[#This Row],[2B]]-CLE_H74[[#This Row],[3B]]-CLE_H74[[#This Row],[HR]])+(CLE_H74[[#This Row],[2B]]*2)+(CLE_H74[[#This Row],[3B]]*3)+(CLE_H74[[#This Row],[HR]]*4),0)</f>
        <v>0</v>
      </c>
      <c r="U172" s="72">
        <f>CLE_H74[[#This Row],[OBP]]+CLE_H74[[#This Row],[SLG]]</f>
        <v>0</v>
      </c>
      <c r="V172" s="74">
        <v>0</v>
      </c>
      <c r="W172" s="615">
        <v>13</v>
      </c>
      <c r="Z172" s="651" t="s">
        <v>394</v>
      </c>
      <c r="AA172" s="71" t="s">
        <v>186</v>
      </c>
      <c r="AB172" s="71" t="s">
        <v>400</v>
      </c>
      <c r="AC172" s="72">
        <f>IFERROR((CLE_H34[[#This Row],[H]]/CLE_H34[[#This Row],[AB]]),0)</f>
        <v>9.0909090909090912E-2</v>
      </c>
      <c r="AD172" s="72">
        <f>IFERROR((CLE_H34[[#This Row],[H]]+CLE_H34[[#This Row],[BB]])/(CLE_H34[[#This Row],[BB]]+CLE_H34[[#This Row],[AB]]),0)</f>
        <v>0.16666666666666666</v>
      </c>
      <c r="AE172" s="73">
        <f>IFERROR(((CLE_H34[[#This Row],[H]]-CLE_H34[[#This Row],[2B]]-CLE_H34[[#This Row],[3B]]-CLE_H34[[#This Row],[HR]])+(CLE_H34[[#This Row],[2B]]*2)+(CLE_H34[[#This Row],[3B]]*3)+(CLE_H34[[#This Row],[HR]]*4))/CLE_H34[[#This Row],[AB]],0)</f>
        <v>9.0909090909090912E-2</v>
      </c>
      <c r="AF172" s="28">
        <v>3</v>
      </c>
      <c r="AG172" s="28">
        <v>11</v>
      </c>
      <c r="AH172" s="28">
        <v>1</v>
      </c>
      <c r="AI172" s="28">
        <v>1</v>
      </c>
      <c r="AJ172" s="28">
        <v>0</v>
      </c>
      <c r="AK172" s="28">
        <v>0</v>
      </c>
      <c r="AL172" s="28">
        <v>0</v>
      </c>
      <c r="AM172" s="28">
        <v>0</v>
      </c>
      <c r="AN172" s="28">
        <v>1</v>
      </c>
      <c r="AO172" s="74">
        <v>4</v>
      </c>
      <c r="AP172" s="28">
        <v>0</v>
      </c>
      <c r="AQ172" s="28">
        <v>0</v>
      </c>
      <c r="AR172" s="74">
        <v>1</v>
      </c>
      <c r="AS172" s="28">
        <f>IFERROR((CLE_H34[[#This Row],[H]]-CLE_H34[[#This Row],[2B]]-CLE_H34[[#This Row],[3B]]-CLE_H34[[#This Row],[HR]])+(CLE_H34[[#This Row],[2B]]*2)+(CLE_H34[[#This Row],[3B]]*3)+(CLE_H34[[#This Row],[HR]]*4),0)</f>
        <v>1</v>
      </c>
      <c r="AT172" s="72">
        <f>CLE_H34[[#This Row],[OBP]]+CLE_H34[[#This Row],[SLG]]</f>
        <v>0.25757575757575757</v>
      </c>
      <c r="AU172" s="74">
        <v>0</v>
      </c>
      <c r="AV172" s="615">
        <v>13</v>
      </c>
      <c r="AY172" s="651" t="s">
        <v>539</v>
      </c>
      <c r="AZ172" s="74" t="s">
        <v>186</v>
      </c>
      <c r="BA172" s="71" t="s">
        <v>549</v>
      </c>
      <c r="BB172" s="72">
        <f>IFERROR(Table104[[#This Row],[H]]/Table104[[#This Row],[AB]],0)</f>
        <v>0</v>
      </c>
      <c r="BC172" s="72">
        <f>IFERROR((Table104[[#This Row],[H]]+Table104[[#This Row],[BB]])/(Table104[[#This Row],[BB]]+Table104[[#This Row],[AB]]),0)</f>
        <v>0</v>
      </c>
      <c r="BD172" s="73">
        <f>IFERROR(((Table104[[#This Row],[H]]-Table104[[#This Row],[2B]]-Table104[[#This Row],[3B]]-Table104[[#This Row],[HR]])+(Table104[[#This Row],[2B]]*2)+(Table104[[#This Row],[3B]]*3)+(Table104[[#This Row],[HR]]*4))/Table104[[#This Row],[AB]],0)</f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74">
        <v>0</v>
      </c>
      <c r="BO172" s="28">
        <v>0</v>
      </c>
      <c r="BP172" s="28">
        <v>0</v>
      </c>
      <c r="BQ172" s="74">
        <v>0</v>
      </c>
      <c r="BR172" s="28">
        <f t="shared" si="16"/>
        <v>0</v>
      </c>
      <c r="BS172" s="72">
        <f>IFERROR(Table104[[#This Row],[SLG]]+Table104[[#This Row],[OBP]],0)</f>
        <v>0</v>
      </c>
      <c r="BT172" s="74">
        <v>0</v>
      </c>
      <c r="BU172" s="780">
        <v>13</v>
      </c>
    </row>
    <row r="173" spans="1:73" ht="17" thickBot="1">
      <c r="A173" s="651" t="s">
        <v>394</v>
      </c>
      <c r="B173" s="71" t="s">
        <v>186</v>
      </c>
      <c r="C173" s="71" t="s">
        <v>400</v>
      </c>
      <c r="D173" s="72">
        <f>IFERROR((CLE_H74[[#This Row],[H]]/CLE_H74[[#This Row],[AB]]),0)</f>
        <v>0</v>
      </c>
      <c r="E173" s="72">
        <f>IFERROR((CLE_H74[[#This Row],[H]]+CLE_H74[[#This Row],[BB]])/(CLE_H74[[#This Row],[BB]]+CLE_H74[[#This Row],[AB]]),0)</f>
        <v>0</v>
      </c>
      <c r="F173" s="73">
        <f>IFERROR(((CLE_H74[[#This Row],[H]]-CLE_H74[[#This Row],[2B]]-CLE_H74[[#This Row],[3B]]-CLE_H74[[#This Row],[HR]])+(CLE_H74[[#This Row],[2B]]*2)+(CLE_H74[[#This Row],[3B]]*3)+(CLE_H74[[#This Row],[HR]]*4))/CLE_H74[[#This Row],[AB]],0)</f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612">
        <v>0</v>
      </c>
      <c r="Q173" s="998">
        <v>0</v>
      </c>
      <c r="R173" s="28">
        <v>0</v>
      </c>
      <c r="S173" s="74">
        <v>0</v>
      </c>
      <c r="T173" s="28">
        <f>IFERROR((CLE_H74[[#This Row],[H]]-CLE_H74[[#This Row],[2B]]-CLE_H74[[#This Row],[3B]]-CLE_H74[[#This Row],[HR]])+(CLE_H74[[#This Row],[2B]]*2)+(CLE_H74[[#This Row],[3B]]*3)+(CLE_H74[[#This Row],[HR]]*4),0)</f>
        <v>0</v>
      </c>
      <c r="U173" s="72">
        <f>CLE_H74[[#This Row],[OBP]]+CLE_H74[[#This Row],[SLG]]</f>
        <v>0</v>
      </c>
      <c r="V173" s="74">
        <v>0</v>
      </c>
      <c r="W173" s="615">
        <v>14</v>
      </c>
      <c r="Z173" s="651" t="s">
        <v>394</v>
      </c>
      <c r="AA173" s="71" t="s">
        <v>186</v>
      </c>
      <c r="AB173" s="77" t="s">
        <v>408</v>
      </c>
      <c r="AC173" s="130">
        <f>IFERROR((CLE_H34[[#This Row],[H]]/CLE_H34[[#This Row],[AB]]),0)</f>
        <v>0</v>
      </c>
      <c r="AD173" s="72">
        <f>IFERROR((CLE_H34[[#This Row],[H]]+CLE_H34[[#This Row],[BB]])/(CLE_H34[[#This Row],[BB]]+CLE_H34[[#This Row],[AB]]),0)</f>
        <v>0</v>
      </c>
      <c r="AE173" s="73">
        <f>IFERROR(((CLE_H34[[#This Row],[H]]-CLE_H34[[#This Row],[2B]]-CLE_H34[[#This Row],[3B]]-CLE_H34[[#This Row],[HR]])+(CLE_H34[[#This Row],[2B]]*2)+(CLE_H34[[#This Row],[3B]]*3)+(CLE_H34[[#This Row],[HR]]*4))/CLE_H34[[#This Row],[AB]],0)</f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612">
        <v>0</v>
      </c>
      <c r="AP173" s="998">
        <v>0</v>
      </c>
      <c r="AQ173" s="28">
        <v>0</v>
      </c>
      <c r="AR173" s="74">
        <v>0</v>
      </c>
      <c r="AS173" s="28">
        <f>IFERROR((CLE_H34[[#This Row],[H]]-CLE_H34[[#This Row],[2B]]-CLE_H34[[#This Row],[3B]]-CLE_H34[[#This Row],[HR]])+(CLE_H34[[#This Row],[2B]]*2)+(CLE_H34[[#This Row],[3B]]*3)+(CLE_H34[[#This Row],[HR]]*4),0)</f>
        <v>0</v>
      </c>
      <c r="AT173" s="72">
        <f>CLE_H34[[#This Row],[OBP]]+CLE_H34[[#This Row],[SLG]]</f>
        <v>0</v>
      </c>
      <c r="AU173" s="74">
        <v>0</v>
      </c>
      <c r="AV173" s="615">
        <v>14</v>
      </c>
      <c r="AY173" s="651" t="s">
        <v>539</v>
      </c>
      <c r="AZ173" s="74" t="s">
        <v>184</v>
      </c>
      <c r="BA173" s="71" t="s">
        <v>552</v>
      </c>
      <c r="BB173" s="72">
        <f>IFERROR(Table104[[#This Row],[H]]/Table104[[#This Row],[AB]],0)</f>
        <v>0</v>
      </c>
      <c r="BC173" s="72">
        <f>IFERROR((Table104[[#This Row],[H]]+Table104[[#This Row],[BB]])/(Table104[[#This Row],[BB]]+Table104[[#This Row],[AB]]),0)</f>
        <v>0</v>
      </c>
      <c r="BD173" s="73">
        <f>IFERROR(((Table104[[#This Row],[H]]-Table104[[#This Row],[2B]]-Table104[[#This Row],[3B]]-Table104[[#This Row],[HR]])+(Table104[[#This Row],[2B]]*2)+(Table104[[#This Row],[3B]]*3)+(Table104[[#This Row],[HR]]*4))/Table104[[#This Row],[AB]],0)</f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74">
        <v>0</v>
      </c>
      <c r="BO173" s="28">
        <v>0</v>
      </c>
      <c r="BP173" s="28">
        <v>0</v>
      </c>
      <c r="BQ173" s="74">
        <v>0</v>
      </c>
      <c r="BR173" s="28">
        <f t="shared" si="16"/>
        <v>0</v>
      </c>
      <c r="BS173" s="72">
        <f>IFERROR(Table104[[#This Row],[SLG]]+Table104[[#This Row],[OBP]],0)</f>
        <v>0</v>
      </c>
      <c r="BT173" s="74">
        <v>0</v>
      </c>
      <c r="BU173" s="780">
        <v>14</v>
      </c>
    </row>
    <row r="174" spans="1:73" ht="17" thickBot="1">
      <c r="A174" s="652"/>
      <c r="B174" s="653"/>
      <c r="C174" s="654" t="s">
        <v>195</v>
      </c>
      <c r="D174" s="656">
        <f>J174/H174</f>
        <v>0.26666666666666666</v>
      </c>
      <c r="E174" s="656">
        <f>(J174+O174)/(H174+O174)</f>
        <v>0.32307692307692309</v>
      </c>
      <c r="F174" s="657">
        <f>((J174-K174-L174-M174)+(K174*2)+(3*L174)+(M174*4))/H174</f>
        <v>0.40416666666666667</v>
      </c>
      <c r="G174" s="658"/>
      <c r="H174" s="658">
        <f>SUBTOTAL(109,CLE_H74[AB])</f>
        <v>240</v>
      </c>
      <c r="I174" s="658">
        <f>SUBTOTAL(109,CLE_H74[R])</f>
        <v>24</v>
      </c>
      <c r="J174" s="658">
        <f>SUBTOTAL(109,CLE_H74[H])</f>
        <v>64</v>
      </c>
      <c r="K174" s="658">
        <f>SUBTOTAL(109,CLE_H74[2B])</f>
        <v>9</v>
      </c>
      <c r="L174" s="658">
        <f>SUBTOTAL(109,CLE_H74[3B])</f>
        <v>0</v>
      </c>
      <c r="M174" s="658">
        <f>SUBTOTAL(109,CLE_H74[HR])</f>
        <v>8</v>
      </c>
      <c r="N174" s="658">
        <f>SUBTOTAL(109,CLE_H74[RBI])</f>
        <v>24</v>
      </c>
      <c r="O174" s="658">
        <f>SUBTOTAL(109,CLE_H74[BB])</f>
        <v>20</v>
      </c>
      <c r="P174" s="997">
        <f>SUBTOTAL(109,CLE_H74[K])</f>
        <v>58</v>
      </c>
      <c r="Q174" s="999">
        <f>SUBTOTAL(109,CLE_H74[SB])</f>
        <v>4</v>
      </c>
      <c r="R174" s="658"/>
      <c r="S174" s="660"/>
      <c r="T174" s="658">
        <f>SUBTOTAL(109,CLE_H74[TB])</f>
        <v>97</v>
      </c>
      <c r="U174" s="656">
        <f>E174+F174</f>
        <v>0.72724358974358982</v>
      </c>
      <c r="V174" s="660">
        <f>SUBTOTAL(109,CLE_H74[*])</f>
        <v>4</v>
      </c>
      <c r="W174" s="734"/>
      <c r="Z174" s="652"/>
      <c r="AA174" s="653"/>
      <c r="AB174" s="654" t="s">
        <v>195</v>
      </c>
      <c r="AC174" s="656">
        <f>AI174/AG174</f>
        <v>0.22330097087378642</v>
      </c>
      <c r="AD174" s="656">
        <f>(AI174+AN174)/(AG174+AN174)</f>
        <v>0.2857142857142857</v>
      </c>
      <c r="AE174" s="657">
        <f>((AI174-AJ174-AK174-AL174)+(AJ174*2)+(3*AK174)+(AL174*4))/AG174</f>
        <v>0.34951456310679613</v>
      </c>
      <c r="AF174" s="658"/>
      <c r="AG174" s="658">
        <f>SUBTOTAL(109,CLE_H34[AB])</f>
        <v>103</v>
      </c>
      <c r="AH174" s="658">
        <f>SUBTOTAL(109,CLE_H34[R])</f>
        <v>8</v>
      </c>
      <c r="AI174" s="658">
        <f>SUBTOTAL(109,CLE_H34[H])</f>
        <v>23</v>
      </c>
      <c r="AJ174" s="658">
        <f>SUBTOTAL(109,CLE_H34[2B])</f>
        <v>4</v>
      </c>
      <c r="AK174" s="658">
        <f>SUBTOTAL(109,CLE_H34[3B])</f>
        <v>0</v>
      </c>
      <c r="AL174" s="658">
        <f>SUBTOTAL(109,CLE_H34[HR])</f>
        <v>3</v>
      </c>
      <c r="AM174" s="658">
        <f>SUBTOTAL(109,CLE_H34[RBI])</f>
        <v>8</v>
      </c>
      <c r="AN174" s="658">
        <f>SUBTOTAL(109,CLE_H34[BB])</f>
        <v>9</v>
      </c>
      <c r="AO174" s="997">
        <f>SUBTOTAL(109,CLE_H34[K])</f>
        <v>37</v>
      </c>
      <c r="AP174" s="999">
        <f>SUBTOTAL(109,CLE_H34[SB])</f>
        <v>0</v>
      </c>
      <c r="AQ174" s="658"/>
      <c r="AR174" s="660"/>
      <c r="AS174" s="658">
        <f>SUBTOTAL(109,CLE_H34[TB])</f>
        <v>36</v>
      </c>
      <c r="AT174" s="656">
        <f>AD174+AE174</f>
        <v>0.63522884882108177</v>
      </c>
      <c r="AU174" s="660">
        <f>SUBTOTAL(109,CLE_H34[*])</f>
        <v>0</v>
      </c>
      <c r="AV174" s="734"/>
      <c r="AY174" s="617"/>
      <c r="AZ174" s="618"/>
      <c r="BA174" s="619" t="s">
        <v>195</v>
      </c>
      <c r="BB174" s="620">
        <f>IFERROR(BH174/BF174,0)</f>
        <v>0.25714285714285712</v>
      </c>
      <c r="BC174" s="620">
        <f>IFERROR((BH174+BM174)/(BF174+BM174),0)</f>
        <v>0.31125827814569534</v>
      </c>
      <c r="BD174" s="621">
        <f>IFERROR(((BH174-BI174-BJ174-BK174)+(BI174*2)+(BJ174*3)+(BK174*4))/BF174,0)</f>
        <v>0.42857142857142855</v>
      </c>
      <c r="BE174" s="622"/>
      <c r="BF174" s="622">
        <f t="shared" ref="BF174:BO174" si="17">SUM(BF160:BF173)</f>
        <v>280</v>
      </c>
      <c r="BG174" s="622">
        <f t="shared" si="17"/>
        <v>32</v>
      </c>
      <c r="BH174" s="622">
        <f t="shared" si="17"/>
        <v>72</v>
      </c>
      <c r="BI174" s="622">
        <f t="shared" si="17"/>
        <v>24</v>
      </c>
      <c r="BJ174" s="622">
        <f t="shared" si="17"/>
        <v>0</v>
      </c>
      <c r="BK174" s="622">
        <f t="shared" si="17"/>
        <v>8</v>
      </c>
      <c r="BL174" s="622">
        <f t="shared" si="17"/>
        <v>32</v>
      </c>
      <c r="BM174" s="622">
        <f t="shared" si="17"/>
        <v>22</v>
      </c>
      <c r="BN174" s="625">
        <f t="shared" si="17"/>
        <v>91</v>
      </c>
      <c r="BO174" s="622">
        <f t="shared" si="17"/>
        <v>0</v>
      </c>
      <c r="BP174" s="622"/>
      <c r="BQ174" s="625"/>
      <c r="BR174" s="622">
        <f>SUM(BR160:BR173)</f>
        <v>120</v>
      </c>
      <c r="BS174" s="620">
        <f>IFERROR(BC174+BD174,0)</f>
        <v>0.73982970671712389</v>
      </c>
      <c r="BT174" s="625">
        <f>SUM(BT160:BT173)</f>
        <v>4</v>
      </c>
      <c r="BU174" s="649"/>
    </row>
    <row r="175" spans="1:73" ht="17" thickBot="1"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Y175"/>
      <c r="AZ175"/>
      <c r="BA175"/>
      <c r="BB175"/>
      <c r="BC175"/>
      <c r="BD175"/>
      <c r="BE175"/>
      <c r="BF175"/>
      <c r="BG175"/>
      <c r="BH175"/>
      <c r="BI175"/>
      <c r="BJ175">
        <v>0</v>
      </c>
      <c r="BK175"/>
      <c r="BL175"/>
      <c r="BM175"/>
      <c r="BN175"/>
      <c r="BO175"/>
      <c r="BP175"/>
      <c r="BQ175"/>
      <c r="BR175"/>
      <c r="BS175"/>
      <c r="BT175"/>
      <c r="BU175"/>
    </row>
    <row r="176" spans="1:73" ht="17" thickBot="1">
      <c r="A176" s="605" t="s">
        <v>143</v>
      </c>
      <c r="B176" s="606" t="s">
        <v>144</v>
      </c>
      <c r="C176" s="606" t="s">
        <v>145</v>
      </c>
      <c r="D176" s="606" t="s">
        <v>196</v>
      </c>
      <c r="E176" s="606" t="s">
        <v>197</v>
      </c>
      <c r="F176" s="606" t="s">
        <v>198</v>
      </c>
      <c r="G176" s="606" t="s">
        <v>149</v>
      </c>
      <c r="H176" s="606" t="s">
        <v>199</v>
      </c>
      <c r="I176" s="606" t="s">
        <v>152</v>
      </c>
      <c r="J176" s="606" t="s">
        <v>151</v>
      </c>
      <c r="K176" s="606" t="s">
        <v>157</v>
      </c>
      <c r="L176" s="606" t="s">
        <v>158</v>
      </c>
      <c r="M176" s="606" t="s">
        <v>200</v>
      </c>
      <c r="N176" s="606" t="s">
        <v>201</v>
      </c>
      <c r="O176" s="606" t="s">
        <v>202</v>
      </c>
      <c r="P176" s="606" t="s">
        <v>203</v>
      </c>
      <c r="Q176" s="606" t="s">
        <v>204</v>
      </c>
      <c r="R176" s="606" t="s">
        <v>205</v>
      </c>
      <c r="S176" s="607" t="s">
        <v>164</v>
      </c>
      <c r="T176" s="64"/>
      <c r="U176" s="64"/>
      <c r="V176" s="64"/>
      <c r="W176" s="64"/>
      <c r="Z176" s="605" t="s">
        <v>143</v>
      </c>
      <c r="AA176" s="606" t="s">
        <v>144</v>
      </c>
      <c r="AB176" s="606" t="s">
        <v>145</v>
      </c>
      <c r="AC176" s="606" t="s">
        <v>196</v>
      </c>
      <c r="AD176" s="606" t="s">
        <v>197</v>
      </c>
      <c r="AE176" s="606" t="s">
        <v>198</v>
      </c>
      <c r="AF176" s="606" t="s">
        <v>149</v>
      </c>
      <c r="AG176" s="606" t="s">
        <v>199</v>
      </c>
      <c r="AH176" s="606" t="s">
        <v>152</v>
      </c>
      <c r="AI176" s="606" t="s">
        <v>151</v>
      </c>
      <c r="AJ176" s="606" t="s">
        <v>157</v>
      </c>
      <c r="AK176" s="606" t="s">
        <v>158</v>
      </c>
      <c r="AL176" s="606" t="s">
        <v>200</v>
      </c>
      <c r="AM176" s="606" t="s">
        <v>201</v>
      </c>
      <c r="AN176" s="606" t="s">
        <v>202</v>
      </c>
      <c r="AO176" s="606" t="s">
        <v>203</v>
      </c>
      <c r="AP176" s="606" t="s">
        <v>204</v>
      </c>
      <c r="AQ176" s="606" t="s">
        <v>205</v>
      </c>
      <c r="AR176" s="607" t="s">
        <v>164</v>
      </c>
      <c r="AS176"/>
      <c r="AT176"/>
      <c r="AU176"/>
      <c r="AV176"/>
      <c r="AY176" s="605" t="s">
        <v>143</v>
      </c>
      <c r="AZ176" s="606" t="s">
        <v>144</v>
      </c>
      <c r="BA176" s="606" t="s">
        <v>145</v>
      </c>
      <c r="BB176" s="606" t="s">
        <v>196</v>
      </c>
      <c r="BC176" s="606" t="s">
        <v>197</v>
      </c>
      <c r="BD176" s="606" t="s">
        <v>198</v>
      </c>
      <c r="BE176" s="606" t="s">
        <v>149</v>
      </c>
      <c r="BF176" s="606" t="s">
        <v>199</v>
      </c>
      <c r="BG176" s="606" t="s">
        <v>152</v>
      </c>
      <c r="BH176" s="606" t="s">
        <v>151</v>
      </c>
      <c r="BI176" s="606" t="s">
        <v>157</v>
      </c>
      <c r="BJ176" s="606" t="s">
        <v>158</v>
      </c>
      <c r="BK176" s="606" t="s">
        <v>200</v>
      </c>
      <c r="BL176" s="606" t="s">
        <v>201</v>
      </c>
      <c r="BM176" s="606" t="s">
        <v>202</v>
      </c>
      <c r="BN176" s="606" t="s">
        <v>203</v>
      </c>
      <c r="BO176" s="606" t="s">
        <v>204</v>
      </c>
      <c r="BP176" s="606" t="s">
        <v>205</v>
      </c>
      <c r="BQ176" s="607" t="s">
        <v>164</v>
      </c>
    </row>
    <row r="177" spans="1:73">
      <c r="A177" s="650" t="s">
        <v>394</v>
      </c>
      <c r="B177" s="597" t="s">
        <v>206</v>
      </c>
      <c r="C177" s="604" t="s">
        <v>414</v>
      </c>
      <c r="D177" s="663">
        <f>IFERROR((CLE_P75[[#This Row],[R]]*9)/CLE_P75[[#This Row],[IP]],0)</f>
        <v>3.5415641908509596</v>
      </c>
      <c r="E177" s="600">
        <v>1</v>
      </c>
      <c r="F177" s="604">
        <v>1</v>
      </c>
      <c r="G177" s="600">
        <v>3</v>
      </c>
      <c r="H177" s="630">
        <v>20.329999999999998</v>
      </c>
      <c r="I177" s="600">
        <v>23</v>
      </c>
      <c r="J177" s="600">
        <v>8</v>
      </c>
      <c r="K177" s="600">
        <v>4</v>
      </c>
      <c r="L177" s="600">
        <v>28</v>
      </c>
      <c r="M177" s="600">
        <v>0</v>
      </c>
      <c r="N177" s="631">
        <f>IFERROR((CLE_P75[[#This Row],[BB]]+CLE_P75[[#This Row],[H]])/CLE_P75[[#This Row],[IP]],0)</f>
        <v>1.3280865715691097</v>
      </c>
      <c r="O177" s="600">
        <v>2</v>
      </c>
      <c r="P177" s="601">
        <v>2</v>
      </c>
      <c r="Q177" s="600">
        <v>0</v>
      </c>
      <c r="R177" s="604">
        <v>0</v>
      </c>
      <c r="S177" s="614">
        <v>1</v>
      </c>
      <c r="Z177" s="650" t="s">
        <v>394</v>
      </c>
      <c r="AA177" s="597" t="s">
        <v>206</v>
      </c>
      <c r="AB177" s="604" t="s">
        <v>414</v>
      </c>
      <c r="AC177" s="663">
        <f>IFERROR((CLE_P35[[#This Row],[R]]*9)/CLE_P35[[#This Row],[IP]],0)</f>
        <v>4.5</v>
      </c>
      <c r="AD177" s="600">
        <v>0</v>
      </c>
      <c r="AE177" s="604">
        <v>1</v>
      </c>
      <c r="AF177" s="600">
        <v>1</v>
      </c>
      <c r="AG177" s="630">
        <v>6</v>
      </c>
      <c r="AH177" s="600">
        <v>6</v>
      </c>
      <c r="AI177" s="600">
        <v>3</v>
      </c>
      <c r="AJ177" s="600">
        <v>2</v>
      </c>
      <c r="AK177" s="600">
        <v>3</v>
      </c>
      <c r="AL177" s="600">
        <v>0</v>
      </c>
      <c r="AM177" s="631">
        <f>IFERROR((CLE_P35[[#This Row],[BB]]+CLE_P35[[#This Row],[H]])/CLE_P35[[#This Row],[IP]],0)</f>
        <v>1.3333333333333333</v>
      </c>
      <c r="AN177" s="600">
        <v>1</v>
      </c>
      <c r="AO177" s="601">
        <v>0</v>
      </c>
      <c r="AP177" s="600">
        <v>0</v>
      </c>
      <c r="AQ177" s="604">
        <v>0</v>
      </c>
      <c r="AR177" s="614">
        <v>1</v>
      </c>
      <c r="AS177"/>
      <c r="AT177"/>
      <c r="AU177"/>
      <c r="AV177"/>
      <c r="AY177" s="650" t="s">
        <v>539</v>
      </c>
      <c r="AZ177" s="604" t="s">
        <v>206</v>
      </c>
      <c r="BA177" s="597" t="s">
        <v>558</v>
      </c>
      <c r="BB177" s="663">
        <f>IFERROR(Table105[[#This Row],[R]]*9/Table105[[#This Row],[IP]],0)</f>
        <v>1.2676056338028168</v>
      </c>
      <c r="BC177" s="600">
        <v>2</v>
      </c>
      <c r="BD177" s="604">
        <v>1</v>
      </c>
      <c r="BE177" s="600">
        <v>3</v>
      </c>
      <c r="BF177" s="630">
        <v>21.3</v>
      </c>
      <c r="BG177" s="600">
        <v>15</v>
      </c>
      <c r="BH177" s="600">
        <v>3</v>
      </c>
      <c r="BI177" s="600">
        <v>7</v>
      </c>
      <c r="BJ177" s="600">
        <v>21</v>
      </c>
      <c r="BK177" s="600">
        <v>0</v>
      </c>
      <c r="BL177" s="631">
        <f>IFERROR((Table105[[#This Row],[BB]]+Table105[[#This Row],[H]])/Table105[[#This Row],[IP]],0)</f>
        <v>1.0328638497652582</v>
      </c>
      <c r="BM177" s="600">
        <v>3</v>
      </c>
      <c r="BN177" s="602">
        <v>3</v>
      </c>
      <c r="BO177" s="600">
        <v>0</v>
      </c>
      <c r="BP177" s="604">
        <v>0</v>
      </c>
      <c r="BQ177" s="614">
        <v>1</v>
      </c>
    </row>
    <row r="178" spans="1:73">
      <c r="A178" s="651" t="s">
        <v>394</v>
      </c>
      <c r="B178" s="71" t="s">
        <v>206</v>
      </c>
      <c r="C178" s="74" t="s">
        <v>415</v>
      </c>
      <c r="D178" s="88">
        <f>IFERROR((CLE_P75[[#This Row],[R]]*9)/CLE_P75[[#This Row],[IP]],0)</f>
        <v>3.4285714285714284</v>
      </c>
      <c r="E178" s="28">
        <v>1</v>
      </c>
      <c r="F178" s="74">
        <v>1</v>
      </c>
      <c r="G178" s="28">
        <v>3</v>
      </c>
      <c r="H178" s="584">
        <v>21</v>
      </c>
      <c r="I178" s="28">
        <v>21</v>
      </c>
      <c r="J178" s="28">
        <v>8</v>
      </c>
      <c r="K178" s="28">
        <v>5</v>
      </c>
      <c r="L178" s="28">
        <v>23</v>
      </c>
      <c r="M178" s="28">
        <v>0</v>
      </c>
      <c r="N178" s="89">
        <f>IFERROR((CLE_P75[[#This Row],[BB]]+CLE_P75[[#This Row],[H]])/CLE_P75[[#This Row],[IP]],0)</f>
        <v>1.2380952380952381</v>
      </c>
      <c r="O178" s="28">
        <v>2</v>
      </c>
      <c r="P178" s="90">
        <v>1</v>
      </c>
      <c r="Q178" s="76">
        <v>1</v>
      </c>
      <c r="R178" s="104">
        <v>1</v>
      </c>
      <c r="S178" s="615">
        <v>2</v>
      </c>
      <c r="Z178" s="651" t="s">
        <v>394</v>
      </c>
      <c r="AA178" s="71" t="s">
        <v>206</v>
      </c>
      <c r="AB178" s="74" t="s">
        <v>415</v>
      </c>
      <c r="AC178" s="88">
        <f>IFERROR((CLE_P35[[#This Row],[R]]*9)/CLE_P35[[#This Row],[IP]],0)</f>
        <v>6</v>
      </c>
      <c r="AD178" s="28">
        <v>0</v>
      </c>
      <c r="AE178" s="74">
        <v>1</v>
      </c>
      <c r="AF178" s="28">
        <v>1</v>
      </c>
      <c r="AG178" s="584">
        <v>6</v>
      </c>
      <c r="AH178" s="28">
        <v>9</v>
      </c>
      <c r="AI178" s="28">
        <v>4</v>
      </c>
      <c r="AJ178" s="28">
        <v>0</v>
      </c>
      <c r="AK178" s="28">
        <v>4</v>
      </c>
      <c r="AL178" s="28">
        <v>0</v>
      </c>
      <c r="AM178" s="89">
        <f>IFERROR((CLE_P35[[#This Row],[BB]]+CLE_P35[[#This Row],[H]])/CLE_P35[[#This Row],[IP]],0)</f>
        <v>1.5</v>
      </c>
      <c r="AN178" s="28">
        <v>0</v>
      </c>
      <c r="AO178" s="90">
        <v>0</v>
      </c>
      <c r="AP178" s="28">
        <v>0</v>
      </c>
      <c r="AQ178" s="74">
        <v>0</v>
      </c>
      <c r="AR178" s="615">
        <v>2</v>
      </c>
      <c r="AS178"/>
      <c r="AT178"/>
      <c r="AU178"/>
      <c r="AV178"/>
      <c r="AY178" s="651" t="s">
        <v>539</v>
      </c>
      <c r="AZ178" s="74" t="s">
        <v>206</v>
      </c>
      <c r="BA178" s="71" t="s">
        <v>559</v>
      </c>
      <c r="BB178" s="88">
        <f>IFERROR(Table105[[#This Row],[R]]*9/Table105[[#This Row],[IP]],0)</f>
        <v>8.2669932639314148</v>
      </c>
      <c r="BC178" s="28">
        <v>0</v>
      </c>
      <c r="BD178" s="74">
        <v>2</v>
      </c>
      <c r="BE178" s="28">
        <v>3</v>
      </c>
      <c r="BF178" s="584">
        <v>16.329999999999998</v>
      </c>
      <c r="BG178" s="28">
        <v>23</v>
      </c>
      <c r="BH178" s="28">
        <v>15</v>
      </c>
      <c r="BI178" s="28">
        <v>10</v>
      </c>
      <c r="BJ178" s="28">
        <v>16</v>
      </c>
      <c r="BK178" s="28">
        <v>0</v>
      </c>
      <c r="BL178" s="89">
        <f>IFERROR((Table105[[#This Row],[BB]]+Table105[[#This Row],[H]])/Table105[[#This Row],[IP]],0)</f>
        <v>2.0208205756276794</v>
      </c>
      <c r="BM178" s="28">
        <v>0</v>
      </c>
      <c r="BN178" s="90">
        <v>0</v>
      </c>
      <c r="BO178" s="28">
        <v>0</v>
      </c>
      <c r="BP178" s="74">
        <v>0</v>
      </c>
      <c r="BQ178" s="615">
        <v>2</v>
      </c>
    </row>
    <row r="179" spans="1:73">
      <c r="A179" s="651" t="s">
        <v>394</v>
      </c>
      <c r="B179" s="71" t="s">
        <v>206</v>
      </c>
      <c r="C179" s="87" t="s">
        <v>416</v>
      </c>
      <c r="D179" s="88">
        <f>IFERROR((CLE_P75[[#This Row],[R]]*9)/CLE_P75[[#This Row],[IP]],0)</f>
        <v>2.3468057366362451</v>
      </c>
      <c r="E179" s="28">
        <v>0</v>
      </c>
      <c r="F179" s="74">
        <v>0</v>
      </c>
      <c r="G179" s="28">
        <v>1</v>
      </c>
      <c r="H179" s="584">
        <v>7.67</v>
      </c>
      <c r="I179" s="28">
        <v>4</v>
      </c>
      <c r="J179" s="28">
        <v>2</v>
      </c>
      <c r="K179" s="28">
        <v>1</v>
      </c>
      <c r="L179" s="28">
        <v>6</v>
      </c>
      <c r="M179" s="28">
        <v>0</v>
      </c>
      <c r="N179" s="89">
        <f>IFERROR((CLE_P75[[#This Row],[BB]]+CLE_P75[[#This Row],[H]])/CLE_P75[[#This Row],[IP]],0)</f>
        <v>0.65189048239895697</v>
      </c>
      <c r="O179" s="28">
        <v>1</v>
      </c>
      <c r="P179" s="90">
        <v>1</v>
      </c>
      <c r="Q179" s="28">
        <v>0</v>
      </c>
      <c r="R179" s="74">
        <v>0</v>
      </c>
      <c r="S179" s="615">
        <v>3</v>
      </c>
      <c r="Z179" s="651" t="s">
        <v>394</v>
      </c>
      <c r="AA179" s="71" t="s">
        <v>206</v>
      </c>
      <c r="AB179" s="87" t="s">
        <v>416</v>
      </c>
      <c r="AC179" s="88">
        <f>IFERROR((CLE_P35[[#This Row],[R]]*9)/CLE_P35[[#This Row],[IP]],0)</f>
        <v>7.2</v>
      </c>
      <c r="AD179" s="28">
        <v>0</v>
      </c>
      <c r="AE179" s="74">
        <v>0</v>
      </c>
      <c r="AF179" s="28">
        <v>1</v>
      </c>
      <c r="AG179" s="584">
        <v>5</v>
      </c>
      <c r="AH179" s="28">
        <v>5</v>
      </c>
      <c r="AI179" s="28">
        <v>4</v>
      </c>
      <c r="AJ179" s="28">
        <v>4</v>
      </c>
      <c r="AK179" s="28">
        <v>5</v>
      </c>
      <c r="AL179" s="28">
        <v>0</v>
      </c>
      <c r="AM179" s="89">
        <f>IFERROR((CLE_P35[[#This Row],[BB]]+CLE_P35[[#This Row],[H]])/CLE_P35[[#This Row],[IP]],0)</f>
        <v>1.8</v>
      </c>
      <c r="AN179" s="28">
        <v>0</v>
      </c>
      <c r="AO179" s="90">
        <v>0</v>
      </c>
      <c r="AP179" s="28">
        <v>0</v>
      </c>
      <c r="AQ179" s="74">
        <v>0</v>
      </c>
      <c r="AR179" s="615">
        <v>3</v>
      </c>
      <c r="AS179"/>
      <c r="AT179"/>
      <c r="AU179"/>
      <c r="AV179"/>
      <c r="AY179" s="651" t="s">
        <v>539</v>
      </c>
      <c r="AZ179" s="74" t="s">
        <v>206</v>
      </c>
      <c r="BA179" s="71" t="s">
        <v>560</v>
      </c>
      <c r="BB179" s="88">
        <f>IFERROR(Table105[[#This Row],[R]]*9/Table105[[#This Row],[IP]],0)</f>
        <v>4.7661076787290382</v>
      </c>
      <c r="BC179" s="28">
        <v>2</v>
      </c>
      <c r="BD179" s="74">
        <v>0</v>
      </c>
      <c r="BE179" s="28">
        <v>2</v>
      </c>
      <c r="BF179" s="584">
        <v>11.33</v>
      </c>
      <c r="BG179" s="28">
        <v>11</v>
      </c>
      <c r="BH179" s="28">
        <v>6</v>
      </c>
      <c r="BI179" s="28">
        <v>7</v>
      </c>
      <c r="BJ179" s="28">
        <v>15</v>
      </c>
      <c r="BK179" s="28">
        <v>0</v>
      </c>
      <c r="BL179" s="89">
        <f>IFERROR((Table105[[#This Row],[BB]]+Table105[[#This Row],[H]])/Table105[[#This Row],[IP]],0)</f>
        <v>1.588702559576346</v>
      </c>
      <c r="BM179" s="28">
        <v>0</v>
      </c>
      <c r="BN179" s="90">
        <v>0</v>
      </c>
      <c r="BO179" s="28">
        <v>0</v>
      </c>
      <c r="BP179" s="74">
        <v>0</v>
      </c>
      <c r="BQ179" s="615">
        <v>3</v>
      </c>
    </row>
    <row r="180" spans="1:73">
      <c r="A180" s="651" t="s">
        <v>394</v>
      </c>
      <c r="B180" s="71" t="s">
        <v>206</v>
      </c>
      <c r="C180" s="87" t="s">
        <v>417</v>
      </c>
      <c r="D180" s="88">
        <f>IFERROR((CLE_P75[[#This Row],[R]]*9)/CLE_P75[[#This Row],[IP]],0)</f>
        <v>0</v>
      </c>
      <c r="E180" s="28">
        <v>0</v>
      </c>
      <c r="F180" s="74">
        <v>0</v>
      </c>
      <c r="G180" s="28">
        <v>0</v>
      </c>
      <c r="H180" s="584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89">
        <f>IFERROR((CLE_P75[[#This Row],[BB]]+CLE_P75[[#This Row],[H]])/CLE_P75[[#This Row],[IP]],0)</f>
        <v>0</v>
      </c>
      <c r="O180" s="28">
        <v>0</v>
      </c>
      <c r="P180" s="90">
        <v>0</v>
      </c>
      <c r="Q180" s="28">
        <v>0</v>
      </c>
      <c r="R180" s="74">
        <v>0</v>
      </c>
      <c r="S180" s="615">
        <v>4</v>
      </c>
      <c r="Z180" s="651" t="s">
        <v>394</v>
      </c>
      <c r="AA180" s="71" t="s">
        <v>206</v>
      </c>
      <c r="AB180" s="87" t="s">
        <v>417</v>
      </c>
      <c r="AC180" s="88">
        <f>IFERROR((CLE_P35[[#This Row],[R]]*9)/CLE_P35[[#This Row],[IP]],0)</f>
        <v>20.300751879699249</v>
      </c>
      <c r="AD180" s="28">
        <v>0</v>
      </c>
      <c r="AE180" s="74">
        <v>1</v>
      </c>
      <c r="AF180" s="28">
        <v>1</v>
      </c>
      <c r="AG180" s="584">
        <v>1.33</v>
      </c>
      <c r="AH180" s="28">
        <v>3</v>
      </c>
      <c r="AI180" s="28">
        <v>3</v>
      </c>
      <c r="AJ180" s="28">
        <v>2</v>
      </c>
      <c r="AK180" s="28">
        <v>3</v>
      </c>
      <c r="AL180" s="28">
        <v>0</v>
      </c>
      <c r="AM180" s="89">
        <f>IFERROR((CLE_P35[[#This Row],[BB]]+CLE_P35[[#This Row],[H]])/CLE_P35[[#This Row],[IP]],0)</f>
        <v>3.7593984962406015</v>
      </c>
      <c r="AN180" s="28">
        <v>0</v>
      </c>
      <c r="AO180" s="90">
        <v>0</v>
      </c>
      <c r="AP180" s="28">
        <v>0</v>
      </c>
      <c r="AQ180" s="74">
        <v>0</v>
      </c>
      <c r="AR180" s="615">
        <v>4</v>
      </c>
      <c r="AS180"/>
      <c r="AT180"/>
      <c r="AU180"/>
      <c r="AV180"/>
      <c r="AY180" s="651" t="s">
        <v>539</v>
      </c>
      <c r="AZ180" s="74" t="s">
        <v>206</v>
      </c>
      <c r="BA180" s="71" t="s">
        <v>562</v>
      </c>
      <c r="BB180" s="88">
        <f>IFERROR(Table105[[#This Row],[R]]*9/Table105[[#This Row],[IP]],0)</f>
        <v>0</v>
      </c>
      <c r="BC180" s="28">
        <v>0</v>
      </c>
      <c r="BD180" s="74">
        <v>0</v>
      </c>
      <c r="BE180" s="28">
        <v>0</v>
      </c>
      <c r="BF180" s="584">
        <v>0</v>
      </c>
      <c r="BG180" s="28">
        <v>0</v>
      </c>
      <c r="BH180" s="28">
        <v>0</v>
      </c>
      <c r="BI180" s="28">
        <v>0</v>
      </c>
      <c r="BJ180" s="28">
        <v>0</v>
      </c>
      <c r="BK180" s="28">
        <v>0</v>
      </c>
      <c r="BL180" s="89">
        <f>IFERROR((Table105[[#This Row],[BB]]+Table105[[#This Row],[H]])/Table105[[#This Row],[IP]],0)</f>
        <v>0</v>
      </c>
      <c r="BM180" s="28">
        <v>0</v>
      </c>
      <c r="BN180" s="90">
        <v>0</v>
      </c>
      <c r="BO180" s="28">
        <v>0</v>
      </c>
      <c r="BP180" s="74">
        <v>0</v>
      </c>
      <c r="BQ180" s="615">
        <v>4</v>
      </c>
    </row>
    <row r="181" spans="1:73">
      <c r="A181" s="651" t="s">
        <v>394</v>
      </c>
      <c r="B181" s="71" t="s">
        <v>215</v>
      </c>
      <c r="C181" s="87" t="s">
        <v>419</v>
      </c>
      <c r="D181" s="88">
        <f>IFERROR((CLE_P75[[#This Row],[R]]*9)/CLE_P75[[#This Row],[IP]],0)</f>
        <v>0</v>
      </c>
      <c r="E181" s="28">
        <v>0</v>
      </c>
      <c r="F181" s="74">
        <v>0</v>
      </c>
      <c r="G181" s="28">
        <v>2</v>
      </c>
      <c r="H181" s="584">
        <v>3.33</v>
      </c>
      <c r="I181" s="28">
        <v>2</v>
      </c>
      <c r="J181" s="28">
        <v>0</v>
      </c>
      <c r="K181" s="28">
        <v>2</v>
      </c>
      <c r="L181" s="28">
        <v>1</v>
      </c>
      <c r="M181" s="28">
        <v>0</v>
      </c>
      <c r="N181" s="89">
        <f>IFERROR((CLE_P75[[#This Row],[BB]]+CLE_P75[[#This Row],[H]])/CLE_P75[[#This Row],[IP]],0)</f>
        <v>1.2012012012012012</v>
      </c>
      <c r="O181" s="28">
        <v>0</v>
      </c>
      <c r="P181" s="90">
        <v>0</v>
      </c>
      <c r="Q181" s="28">
        <v>0</v>
      </c>
      <c r="R181" s="74">
        <v>0</v>
      </c>
      <c r="S181" s="615">
        <v>5</v>
      </c>
      <c r="Z181" s="651" t="s">
        <v>394</v>
      </c>
      <c r="AA181" s="71" t="s">
        <v>212</v>
      </c>
      <c r="AB181" s="87" t="s">
        <v>420</v>
      </c>
      <c r="AC181" s="88">
        <f>IFERROR((CLE_P35[[#This Row],[R]]*9)/CLE_P35[[#This Row],[IP]],0)</f>
        <v>4.5</v>
      </c>
      <c r="AD181" s="28">
        <v>0</v>
      </c>
      <c r="AE181" s="74">
        <v>0</v>
      </c>
      <c r="AF181" s="28">
        <v>2</v>
      </c>
      <c r="AG181" s="584">
        <v>2</v>
      </c>
      <c r="AH181" s="28">
        <v>1</v>
      </c>
      <c r="AI181" s="28">
        <v>1</v>
      </c>
      <c r="AJ181" s="28">
        <v>1</v>
      </c>
      <c r="AK181" s="28">
        <v>1</v>
      </c>
      <c r="AL181" s="28">
        <v>0</v>
      </c>
      <c r="AM181" s="89">
        <f>IFERROR((CLE_P35[[#This Row],[BB]]+CLE_P35[[#This Row],[H]])/CLE_P35[[#This Row],[IP]],0)</f>
        <v>1</v>
      </c>
      <c r="AN181" s="28">
        <v>0</v>
      </c>
      <c r="AO181" s="90">
        <v>0</v>
      </c>
      <c r="AP181" s="28">
        <v>0</v>
      </c>
      <c r="AQ181" s="74">
        <v>0</v>
      </c>
      <c r="AR181" s="615">
        <v>5</v>
      </c>
      <c r="AS181"/>
      <c r="AT181"/>
      <c r="AU181"/>
      <c r="AV181"/>
      <c r="AY181" s="651" t="s">
        <v>539</v>
      </c>
      <c r="AZ181" s="74" t="s">
        <v>212</v>
      </c>
      <c r="BA181" s="71" t="s">
        <v>557</v>
      </c>
      <c r="BB181" s="88">
        <f>IFERROR(Table105[[#This Row],[R]]*9/Table105[[#This Row],[IP]],0)</f>
        <v>7.7253218884120169</v>
      </c>
      <c r="BC181" s="28">
        <v>0</v>
      </c>
      <c r="BD181" s="74">
        <v>0</v>
      </c>
      <c r="BE181" s="28">
        <v>2</v>
      </c>
      <c r="BF181" s="584">
        <v>2.33</v>
      </c>
      <c r="BG181" s="28">
        <v>4</v>
      </c>
      <c r="BH181" s="28">
        <v>2</v>
      </c>
      <c r="BI181" s="28">
        <v>2</v>
      </c>
      <c r="BJ181" s="28">
        <v>4</v>
      </c>
      <c r="BK181" s="28">
        <v>0</v>
      </c>
      <c r="BL181" s="89">
        <f>IFERROR((Table105[[#This Row],[BB]]+Table105[[#This Row],[H]])/Table105[[#This Row],[IP]],0)</f>
        <v>2.5751072961373391</v>
      </c>
      <c r="BM181" s="28">
        <v>0</v>
      </c>
      <c r="BN181" s="90">
        <v>0</v>
      </c>
      <c r="BO181" s="28">
        <v>0</v>
      </c>
      <c r="BP181" s="74">
        <v>0</v>
      </c>
      <c r="BQ181" s="615">
        <v>5</v>
      </c>
    </row>
    <row r="182" spans="1:73">
      <c r="A182" s="651" t="s">
        <v>394</v>
      </c>
      <c r="B182" s="71" t="s">
        <v>215</v>
      </c>
      <c r="C182" s="87" t="s">
        <v>421</v>
      </c>
      <c r="D182" s="88">
        <f>IFERROR((CLE_P75[[#This Row],[R]]*9)/CLE_P75[[#This Row],[IP]],0)</f>
        <v>0</v>
      </c>
      <c r="E182" s="28">
        <v>0</v>
      </c>
      <c r="F182" s="74">
        <v>0</v>
      </c>
      <c r="G182" s="28">
        <v>0</v>
      </c>
      <c r="H182" s="584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89">
        <f>IFERROR((CLE_P75[[#This Row],[BB]]+CLE_P75[[#This Row],[H]])/CLE_P75[[#This Row],[IP]],0)</f>
        <v>0</v>
      </c>
      <c r="O182" s="28">
        <v>0</v>
      </c>
      <c r="P182" s="90">
        <v>0</v>
      </c>
      <c r="Q182" s="28">
        <v>0</v>
      </c>
      <c r="R182" s="74">
        <v>0</v>
      </c>
      <c r="S182" s="615">
        <v>6</v>
      </c>
      <c r="Z182" s="651" t="s">
        <v>394</v>
      </c>
      <c r="AA182" s="71" t="s">
        <v>212</v>
      </c>
      <c r="AB182" s="87" t="s">
        <v>418</v>
      </c>
      <c r="AC182" s="88">
        <f>IFERROR((CLE_P35[[#This Row],[R]]*9)/CLE_P35[[#This Row],[IP]],0)</f>
        <v>0</v>
      </c>
      <c r="AD182" s="28">
        <v>0</v>
      </c>
      <c r="AE182" s="74">
        <v>0</v>
      </c>
      <c r="AF182" s="28">
        <v>0</v>
      </c>
      <c r="AG182" s="584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89">
        <f>IFERROR((CLE_P35[[#This Row],[BB]]+CLE_P35[[#This Row],[H]])/CLE_P35[[#This Row],[IP]],0)</f>
        <v>0</v>
      </c>
      <c r="AN182" s="28">
        <v>0</v>
      </c>
      <c r="AO182" s="90">
        <v>0</v>
      </c>
      <c r="AP182" s="28">
        <v>0</v>
      </c>
      <c r="AQ182" s="74">
        <v>0</v>
      </c>
      <c r="AR182" s="615">
        <v>6</v>
      </c>
      <c r="AS182"/>
      <c r="AT182"/>
      <c r="AU182"/>
      <c r="AV182"/>
      <c r="AY182" s="651" t="s">
        <v>539</v>
      </c>
      <c r="AZ182" s="74" t="s">
        <v>212</v>
      </c>
      <c r="BA182" s="71" t="s">
        <v>561</v>
      </c>
      <c r="BB182" s="88">
        <f>IFERROR(Table105[[#This Row],[R]]*9/Table105[[#This Row],[IP]],0)</f>
        <v>3.8571428571428572</v>
      </c>
      <c r="BC182" s="28">
        <v>0</v>
      </c>
      <c r="BD182" s="74">
        <v>1</v>
      </c>
      <c r="BE182" s="28">
        <v>3</v>
      </c>
      <c r="BF182" s="584">
        <v>7</v>
      </c>
      <c r="BG182" s="28">
        <v>9</v>
      </c>
      <c r="BH182" s="28">
        <v>3</v>
      </c>
      <c r="BI182" s="28">
        <v>1</v>
      </c>
      <c r="BJ182" s="28">
        <v>13</v>
      </c>
      <c r="BK182" s="28">
        <v>0</v>
      </c>
      <c r="BL182" s="89">
        <f>IFERROR((Table105[[#This Row],[BB]]+Table105[[#This Row],[H]])/Table105[[#This Row],[IP]],0)</f>
        <v>1.4285714285714286</v>
      </c>
      <c r="BM182" s="28">
        <v>0</v>
      </c>
      <c r="BN182" s="90">
        <v>0</v>
      </c>
      <c r="BO182" s="28">
        <v>0</v>
      </c>
      <c r="BP182" s="74">
        <v>0</v>
      </c>
      <c r="BQ182" s="615">
        <v>6</v>
      </c>
    </row>
    <row r="183" spans="1:73">
      <c r="A183" s="651" t="s">
        <v>394</v>
      </c>
      <c r="B183" s="71" t="s">
        <v>212</v>
      </c>
      <c r="C183" s="87" t="s">
        <v>418</v>
      </c>
      <c r="D183" s="88">
        <f>IFERROR((CLE_P75[[#This Row],[R]]*9)/CLE_P75[[#This Row],[IP]],0)</f>
        <v>0</v>
      </c>
      <c r="E183" s="28">
        <v>0</v>
      </c>
      <c r="F183" s="74">
        <v>0</v>
      </c>
      <c r="G183" s="28">
        <v>0</v>
      </c>
      <c r="H183" s="584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89">
        <f>IFERROR((CLE_P75[[#This Row],[BB]]+CLE_P75[[#This Row],[H]])/CLE_P75[[#This Row],[IP]],0)</f>
        <v>0</v>
      </c>
      <c r="O183" s="28">
        <v>0</v>
      </c>
      <c r="P183" s="90">
        <v>0</v>
      </c>
      <c r="Q183" s="28">
        <v>0</v>
      </c>
      <c r="R183" s="74">
        <v>0</v>
      </c>
      <c r="S183" s="615">
        <v>7</v>
      </c>
      <c r="Z183" s="651" t="s">
        <v>394</v>
      </c>
      <c r="AA183" s="71" t="s">
        <v>212</v>
      </c>
      <c r="AB183" s="87" t="s">
        <v>422</v>
      </c>
      <c r="AC183" s="88">
        <f>IFERROR((CLE_P35[[#This Row],[R]]*9)/CLE_P35[[#This Row],[IP]],0)</f>
        <v>18</v>
      </c>
      <c r="AD183" s="28">
        <v>0</v>
      </c>
      <c r="AE183" s="74">
        <v>0</v>
      </c>
      <c r="AF183" s="28">
        <v>1</v>
      </c>
      <c r="AG183" s="584">
        <v>1</v>
      </c>
      <c r="AH183" s="28">
        <v>4</v>
      </c>
      <c r="AI183" s="28">
        <v>2</v>
      </c>
      <c r="AJ183" s="28">
        <v>0</v>
      </c>
      <c r="AK183" s="28">
        <v>0</v>
      </c>
      <c r="AL183" s="28">
        <v>0</v>
      </c>
      <c r="AM183" s="89">
        <f>IFERROR((CLE_P35[[#This Row],[BB]]+CLE_P35[[#This Row],[H]])/CLE_P35[[#This Row],[IP]],0)</f>
        <v>4</v>
      </c>
      <c r="AN183" s="28">
        <v>0</v>
      </c>
      <c r="AO183" s="90">
        <v>0</v>
      </c>
      <c r="AP183" s="28">
        <v>0</v>
      </c>
      <c r="AQ183" s="74">
        <v>0</v>
      </c>
      <c r="AR183" s="615">
        <v>7</v>
      </c>
      <c r="AS183"/>
      <c r="AT183"/>
      <c r="AU183"/>
      <c r="AV183"/>
      <c r="AY183" s="651" t="s">
        <v>539</v>
      </c>
      <c r="AZ183" s="74" t="s">
        <v>212</v>
      </c>
      <c r="BA183" s="71" t="s">
        <v>556</v>
      </c>
      <c r="BB183" s="88">
        <f>IFERROR(Table105[[#This Row],[R]]*9/Table105[[#This Row],[IP]],0)</f>
        <v>0</v>
      </c>
      <c r="BC183" s="28">
        <v>0</v>
      </c>
      <c r="BD183" s="74">
        <v>0</v>
      </c>
      <c r="BE183" s="28">
        <v>3</v>
      </c>
      <c r="BF183" s="584">
        <v>3.33</v>
      </c>
      <c r="BG183" s="28">
        <v>2</v>
      </c>
      <c r="BH183" s="28">
        <v>0</v>
      </c>
      <c r="BI183" s="28">
        <v>0</v>
      </c>
      <c r="BJ183" s="28">
        <v>2</v>
      </c>
      <c r="BK183" s="28">
        <v>0</v>
      </c>
      <c r="BL183" s="89">
        <f>IFERROR((Table105[[#This Row],[BB]]+Table105[[#This Row],[H]])/Table105[[#This Row],[IP]],0)</f>
        <v>0.60060060060060061</v>
      </c>
      <c r="BM183" s="28">
        <v>0</v>
      </c>
      <c r="BN183" s="90">
        <v>0</v>
      </c>
      <c r="BO183" s="28">
        <v>0</v>
      </c>
      <c r="BP183" s="74">
        <v>0</v>
      </c>
      <c r="BQ183" s="615">
        <v>7</v>
      </c>
    </row>
    <row r="184" spans="1:73">
      <c r="A184" s="651" t="s">
        <v>394</v>
      </c>
      <c r="B184" s="71" t="s">
        <v>212</v>
      </c>
      <c r="C184" s="87" t="s">
        <v>423</v>
      </c>
      <c r="D184" s="88">
        <f>IFERROR((CLE_P75[[#This Row],[R]]*9)/CLE_P75[[#This Row],[IP]],0)</f>
        <v>0</v>
      </c>
      <c r="E184" s="28">
        <v>0</v>
      </c>
      <c r="F184" s="74">
        <v>0</v>
      </c>
      <c r="G184" s="28">
        <v>2</v>
      </c>
      <c r="H184" s="584">
        <v>1.67</v>
      </c>
      <c r="I184" s="28">
        <v>1</v>
      </c>
      <c r="J184" s="28">
        <v>0</v>
      </c>
      <c r="K184" s="28">
        <v>2</v>
      </c>
      <c r="L184" s="28">
        <v>1</v>
      </c>
      <c r="M184" s="28">
        <v>0</v>
      </c>
      <c r="N184" s="89">
        <f>IFERROR((CLE_P75[[#This Row],[BB]]+CLE_P75[[#This Row],[H]])/CLE_P75[[#This Row],[IP]],0)</f>
        <v>1.7964071856287427</v>
      </c>
      <c r="O184" s="28">
        <v>0</v>
      </c>
      <c r="P184" s="90">
        <v>0</v>
      </c>
      <c r="Q184" s="28">
        <v>0</v>
      </c>
      <c r="R184" s="74">
        <v>0</v>
      </c>
      <c r="S184" s="615">
        <v>8</v>
      </c>
      <c r="Z184" s="651" t="s">
        <v>394</v>
      </c>
      <c r="AA184" s="71" t="s">
        <v>212</v>
      </c>
      <c r="AB184" s="87" t="s">
        <v>423</v>
      </c>
      <c r="AC184" s="88">
        <f>IFERROR((CLE_P35[[#This Row],[R]]*9)/CLE_P35[[#This Row],[IP]],0)</f>
        <v>0</v>
      </c>
      <c r="AD184" s="28">
        <v>0</v>
      </c>
      <c r="AE184" s="74">
        <v>0</v>
      </c>
      <c r="AF184" s="28">
        <v>0</v>
      </c>
      <c r="AG184" s="584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89">
        <f>IFERROR((CLE_P35[[#This Row],[BB]]+CLE_P35[[#This Row],[H]])/CLE_P35[[#This Row],[IP]],0)</f>
        <v>0</v>
      </c>
      <c r="AN184" s="28">
        <v>0</v>
      </c>
      <c r="AO184" s="90">
        <v>0</v>
      </c>
      <c r="AP184" s="28">
        <v>0</v>
      </c>
      <c r="AQ184" s="74">
        <v>0</v>
      </c>
      <c r="AR184" s="615">
        <v>8</v>
      </c>
      <c r="AS184"/>
      <c r="AT184"/>
      <c r="AU184"/>
      <c r="AV184"/>
      <c r="AY184" s="651" t="s">
        <v>539</v>
      </c>
      <c r="AZ184" s="74" t="s">
        <v>212</v>
      </c>
      <c r="BA184" s="71" t="s">
        <v>567</v>
      </c>
      <c r="BB184" s="88">
        <f>IFERROR(Table105[[#This Row],[R]]*9/Table105[[#This Row],[IP]],0)</f>
        <v>0</v>
      </c>
      <c r="BC184" s="28">
        <v>0</v>
      </c>
      <c r="BD184" s="74">
        <v>0</v>
      </c>
      <c r="BE184" s="28">
        <v>0</v>
      </c>
      <c r="BF184" s="584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89">
        <f>IFERROR((Table105[[#This Row],[BB]]+Table105[[#This Row],[H]])/Table105[[#This Row],[IP]],0)</f>
        <v>0</v>
      </c>
      <c r="BM184" s="28">
        <v>0</v>
      </c>
      <c r="BN184" s="90">
        <v>0</v>
      </c>
      <c r="BO184" s="28">
        <v>0</v>
      </c>
      <c r="BP184" s="74">
        <v>0</v>
      </c>
      <c r="BQ184" s="615">
        <v>8</v>
      </c>
    </row>
    <row r="185" spans="1:73">
      <c r="A185" s="651" t="s">
        <v>394</v>
      </c>
      <c r="B185" s="71" t="s">
        <v>212</v>
      </c>
      <c r="C185" s="74" t="s">
        <v>424</v>
      </c>
      <c r="D185" s="88">
        <f>IFERROR((CLE_P75[[#This Row],[R]]*9)/CLE_P75[[#This Row],[IP]],0)</f>
        <v>16.167664670658684</v>
      </c>
      <c r="E185" s="28">
        <v>0</v>
      </c>
      <c r="F185" s="74">
        <v>1</v>
      </c>
      <c r="G185" s="28">
        <v>2</v>
      </c>
      <c r="H185" s="584">
        <v>1.67</v>
      </c>
      <c r="I185" s="28">
        <v>6</v>
      </c>
      <c r="J185" s="28">
        <v>3</v>
      </c>
      <c r="K185" s="28">
        <v>0</v>
      </c>
      <c r="L185" s="28">
        <v>1</v>
      </c>
      <c r="M185" s="28">
        <v>0</v>
      </c>
      <c r="N185" s="89">
        <f>IFERROR((CLE_P75[[#This Row],[BB]]+CLE_P75[[#This Row],[H]])/CLE_P75[[#This Row],[IP]],0)</f>
        <v>3.5928143712574854</v>
      </c>
      <c r="O185" s="28">
        <v>0</v>
      </c>
      <c r="P185" s="90">
        <v>0</v>
      </c>
      <c r="Q185" s="28">
        <v>0</v>
      </c>
      <c r="R185" s="74">
        <v>0</v>
      </c>
      <c r="S185" s="615">
        <v>9</v>
      </c>
      <c r="Z185" s="651" t="s">
        <v>394</v>
      </c>
      <c r="AA185" s="71" t="s">
        <v>212</v>
      </c>
      <c r="AB185" s="74" t="s">
        <v>424</v>
      </c>
      <c r="AC185" s="88">
        <f>IFERROR((CLE_P35[[#This Row],[R]]*9)/CLE_P35[[#This Row],[IP]],0)</f>
        <v>13.483146067415731</v>
      </c>
      <c r="AD185" s="28">
        <v>0</v>
      </c>
      <c r="AE185" s="74">
        <v>0</v>
      </c>
      <c r="AF185" s="28">
        <v>3</v>
      </c>
      <c r="AG185" s="584">
        <v>2.67</v>
      </c>
      <c r="AH185" s="28">
        <v>5</v>
      </c>
      <c r="AI185" s="28">
        <v>4</v>
      </c>
      <c r="AJ185" s="28">
        <v>2</v>
      </c>
      <c r="AK185" s="28">
        <v>4</v>
      </c>
      <c r="AL185" s="28">
        <v>0</v>
      </c>
      <c r="AM185" s="89">
        <f>IFERROR((CLE_P35[[#This Row],[BB]]+CLE_P35[[#This Row],[H]])/CLE_P35[[#This Row],[IP]],0)</f>
        <v>2.6217228464419478</v>
      </c>
      <c r="AN185" s="28">
        <v>0</v>
      </c>
      <c r="AO185" s="90">
        <v>0</v>
      </c>
      <c r="AP185" s="28">
        <v>0</v>
      </c>
      <c r="AQ185" s="74">
        <v>0</v>
      </c>
      <c r="AR185" s="615">
        <v>9</v>
      </c>
      <c r="AS185"/>
      <c r="AT185"/>
      <c r="AU185"/>
      <c r="AV185"/>
      <c r="AY185" s="651" t="s">
        <v>539</v>
      </c>
      <c r="AZ185" s="74" t="s">
        <v>212</v>
      </c>
      <c r="BA185" s="71" t="s">
        <v>568</v>
      </c>
      <c r="BB185" s="88">
        <f>IFERROR(Table105[[#This Row],[R]]*9/Table105[[#This Row],[IP]],0)</f>
        <v>0</v>
      </c>
      <c r="BC185" s="28">
        <v>0</v>
      </c>
      <c r="BD185" s="74">
        <v>0</v>
      </c>
      <c r="BE185" s="28">
        <v>3</v>
      </c>
      <c r="BF185" s="584">
        <v>2.33</v>
      </c>
      <c r="BG185" s="28">
        <v>2</v>
      </c>
      <c r="BH185" s="28">
        <v>0</v>
      </c>
      <c r="BI185" s="28">
        <v>1</v>
      </c>
      <c r="BJ185" s="28">
        <v>2</v>
      </c>
      <c r="BK185" s="28">
        <v>0</v>
      </c>
      <c r="BL185" s="89">
        <f>IFERROR((Table105[[#This Row],[BB]]+Table105[[#This Row],[H]])/Table105[[#This Row],[IP]],0)</f>
        <v>1.2875536480686696</v>
      </c>
      <c r="BM185" s="28">
        <v>0</v>
      </c>
      <c r="BN185" s="90">
        <v>0</v>
      </c>
      <c r="BO185" s="28">
        <v>0</v>
      </c>
      <c r="BP185" s="74">
        <v>0</v>
      </c>
      <c r="BQ185" s="615">
        <v>9</v>
      </c>
    </row>
    <row r="186" spans="1:73" ht="17" thickBot="1">
      <c r="A186" s="651" t="s">
        <v>394</v>
      </c>
      <c r="B186" s="71" t="s">
        <v>212</v>
      </c>
      <c r="C186" s="74" t="s">
        <v>425</v>
      </c>
      <c r="D186" s="88">
        <f>IFERROR((CLE_P75[[#This Row],[R]]*9)/CLE_P75[[#This Row],[IP]],0)</f>
        <v>1.3493253373313343</v>
      </c>
      <c r="E186" s="28">
        <v>2</v>
      </c>
      <c r="F186" s="74">
        <v>0</v>
      </c>
      <c r="G186" s="28">
        <v>5</v>
      </c>
      <c r="H186" s="584">
        <v>6.67</v>
      </c>
      <c r="I186" s="28">
        <v>8</v>
      </c>
      <c r="J186" s="28">
        <v>1</v>
      </c>
      <c r="K186" s="28">
        <v>2</v>
      </c>
      <c r="L186" s="28">
        <v>4</v>
      </c>
      <c r="M186" s="28">
        <v>1</v>
      </c>
      <c r="N186" s="89">
        <f>IFERROR((CLE_P75[[#This Row],[BB]]+CLE_P75[[#This Row],[H]])/CLE_P75[[#This Row],[IP]],0)</f>
        <v>1.4992503748125938</v>
      </c>
      <c r="O186" s="28">
        <v>0</v>
      </c>
      <c r="P186" s="90">
        <v>0</v>
      </c>
      <c r="Q186" s="28">
        <v>0</v>
      </c>
      <c r="R186" s="74">
        <v>0</v>
      </c>
      <c r="S186" s="615">
        <v>10</v>
      </c>
      <c r="Z186" s="651" t="s">
        <v>394</v>
      </c>
      <c r="AA186" s="71" t="s">
        <v>212</v>
      </c>
      <c r="AB186" s="74" t="s">
        <v>425</v>
      </c>
      <c r="AC186" s="88">
        <f>IFERROR((CLE_P35[[#This Row],[R]]*9)/CLE_P35[[#This Row],[IP]],0)</f>
        <v>9</v>
      </c>
      <c r="AD186" s="28">
        <v>0</v>
      </c>
      <c r="AE186" s="74">
        <v>0</v>
      </c>
      <c r="AF186" s="28">
        <v>2</v>
      </c>
      <c r="AG186" s="584">
        <v>2</v>
      </c>
      <c r="AH186" s="28">
        <v>3</v>
      </c>
      <c r="AI186" s="28">
        <v>2</v>
      </c>
      <c r="AJ186" s="28">
        <v>3</v>
      </c>
      <c r="AK186" s="28">
        <v>1</v>
      </c>
      <c r="AL186" s="28">
        <v>0</v>
      </c>
      <c r="AM186" s="89">
        <f>IFERROR((CLE_P35[[#This Row],[BB]]+CLE_P35[[#This Row],[H]])/CLE_P35[[#This Row],[IP]],0)</f>
        <v>3</v>
      </c>
      <c r="AN186" s="28">
        <v>0</v>
      </c>
      <c r="AO186" s="90">
        <v>0</v>
      </c>
      <c r="AP186" s="28">
        <v>0</v>
      </c>
      <c r="AQ186" s="74">
        <v>0</v>
      </c>
      <c r="AR186" s="615">
        <v>10</v>
      </c>
      <c r="AS186"/>
      <c r="AT186"/>
      <c r="AU186"/>
      <c r="AV186"/>
      <c r="AY186" s="651" t="s">
        <v>539</v>
      </c>
      <c r="AZ186" s="74" t="s">
        <v>212</v>
      </c>
      <c r="BA186" s="71" t="s">
        <v>569</v>
      </c>
      <c r="BB186" s="349">
        <f>IFERROR(Table105[[#This Row],[R]]*9/Table105[[#This Row],[IP]],0)</f>
        <v>0</v>
      </c>
      <c r="BC186" s="28">
        <v>0</v>
      </c>
      <c r="BD186" s="74">
        <v>0</v>
      </c>
      <c r="BE186" s="28">
        <v>5</v>
      </c>
      <c r="BF186" s="584">
        <v>5</v>
      </c>
      <c r="BG186" s="28">
        <v>1</v>
      </c>
      <c r="BH186" s="28">
        <v>0</v>
      </c>
      <c r="BI186" s="28">
        <v>1</v>
      </c>
      <c r="BJ186" s="28">
        <v>4</v>
      </c>
      <c r="BK186" s="28">
        <v>4</v>
      </c>
      <c r="BL186" s="89">
        <f>IFERROR((Table105[[#This Row],[BB]]+Table105[[#This Row],[H]])/Table105[[#This Row],[IP]],0)</f>
        <v>0.4</v>
      </c>
      <c r="BM186" s="28">
        <v>0</v>
      </c>
      <c r="BN186" s="90">
        <v>0</v>
      </c>
      <c r="BO186" s="28">
        <v>0</v>
      </c>
      <c r="BP186" s="74">
        <v>0</v>
      </c>
      <c r="BQ186" s="615">
        <v>10</v>
      </c>
    </row>
    <row r="187" spans="1:73" ht="17" thickBot="1">
      <c r="A187" s="735"/>
      <c r="B187" s="660"/>
      <c r="C187" s="653" t="s">
        <v>195</v>
      </c>
      <c r="D187" s="665">
        <f>(J187*9)/H187</f>
        <v>3.176130895091434</v>
      </c>
      <c r="E187" s="658">
        <f>SUBTOTAL(109,CLE_P75[W])</f>
        <v>4</v>
      </c>
      <c r="F187" s="660">
        <f>SUBTOTAL(109,CLE_P75[L])</f>
        <v>3</v>
      </c>
      <c r="G187" s="658"/>
      <c r="H187" s="666">
        <f>SUBTOTAL(109,CLE_P75[IP])</f>
        <v>62.34</v>
      </c>
      <c r="I187" s="658">
        <f>SUBTOTAL(109,CLE_P75[H])</f>
        <v>65</v>
      </c>
      <c r="J187" s="658">
        <f>SUBTOTAL(109,CLE_P75[R])</f>
        <v>22</v>
      </c>
      <c r="K187" s="658">
        <f>SUBTOTAL(109,CLE_P75[BB])</f>
        <v>16</v>
      </c>
      <c r="L187" s="658">
        <f>SUBTOTAL(109,CLE_P75[K])</f>
        <v>64</v>
      </c>
      <c r="M187" s="658">
        <f>SUBTOTAL(109,CLE_P75[SV])</f>
        <v>1</v>
      </c>
      <c r="N187" s="667">
        <f>(I187+K187)/H187</f>
        <v>1.2993262752646775</v>
      </c>
      <c r="O187" s="661">
        <f>SUBTOTAL(109,CLE_P75[QS])</f>
        <v>5</v>
      </c>
      <c r="P187" s="750">
        <f>SUBTOTAL(109,CLE_P75[UQ])</f>
        <v>4</v>
      </c>
      <c r="Q187" s="658">
        <f>SUBTOTAL(109,CLE_P75[CG])</f>
        <v>1</v>
      </c>
      <c r="R187" s="660">
        <f>SUBTOTAL(109,CLE_P75[SH])</f>
        <v>1</v>
      </c>
      <c r="S187" s="738"/>
      <c r="Z187" s="735"/>
      <c r="AA187" s="660"/>
      <c r="AB187" s="653" t="s">
        <v>195</v>
      </c>
      <c r="AC187" s="665">
        <f>(AI187*9)/AG187</f>
        <v>7.9615384615384617</v>
      </c>
      <c r="AD187" s="658">
        <f>SUBTOTAL(109,CLE_P35[W])</f>
        <v>0</v>
      </c>
      <c r="AE187" s="660">
        <f>SUBTOTAL(109,CLE_P35[L])</f>
        <v>3</v>
      </c>
      <c r="AF187" s="658"/>
      <c r="AG187" s="666">
        <f>SUBTOTAL(109,CLE_P35[IP])</f>
        <v>26</v>
      </c>
      <c r="AH187" s="658">
        <f>SUBTOTAL(109,CLE_P35[H])</f>
        <v>36</v>
      </c>
      <c r="AI187" s="658">
        <f>SUBTOTAL(109,CLE_P35[R])</f>
        <v>23</v>
      </c>
      <c r="AJ187" s="658">
        <f>SUBTOTAL(109,CLE_P35[BB])</f>
        <v>14</v>
      </c>
      <c r="AK187" s="658">
        <f>SUBTOTAL(109,CLE_P35[K])</f>
        <v>21</v>
      </c>
      <c r="AL187" s="658">
        <f>SUBTOTAL(109,CLE_P35[SV])</f>
        <v>0</v>
      </c>
      <c r="AM187" s="667">
        <f>(AH187+AJ187)/AG187</f>
        <v>1.9230769230769231</v>
      </c>
      <c r="AN187" s="661">
        <f>SUBTOTAL(109,CLE_P35[QS])</f>
        <v>1</v>
      </c>
      <c r="AO187" s="750">
        <f>SUBTOTAL(109,CLE_P35[UQ])</f>
        <v>0</v>
      </c>
      <c r="AP187" s="658">
        <f>SUBTOTAL(109,CLE_P35[CG])</f>
        <v>0</v>
      </c>
      <c r="AQ187" s="660">
        <f>SUBTOTAL(109,CLE_P35[SH])</f>
        <v>0</v>
      </c>
      <c r="AR187" s="738"/>
      <c r="AS187"/>
      <c r="AT187"/>
      <c r="AU187"/>
      <c r="AV187"/>
      <c r="AY187" s="617"/>
      <c r="AZ187" s="618"/>
      <c r="BA187" s="619" t="s">
        <v>195</v>
      </c>
      <c r="BB187" s="709">
        <f>IFERROR((BH187*9)/BF187,0)</f>
        <v>3.7853517041334306</v>
      </c>
      <c r="BC187" s="622">
        <f>SUM(BC177:BC186)</f>
        <v>4</v>
      </c>
      <c r="BD187" s="625">
        <f>SUM(BD177:BD186)</f>
        <v>4</v>
      </c>
      <c r="BE187" s="641"/>
      <c r="BF187" s="642">
        <f t="shared" ref="BF187:BK187" si="18">SUM(BF177:BF186)</f>
        <v>68.949999999999989</v>
      </c>
      <c r="BG187" s="622">
        <f t="shared" si="18"/>
        <v>67</v>
      </c>
      <c r="BH187" s="622">
        <f t="shared" si="18"/>
        <v>29</v>
      </c>
      <c r="BI187" s="622">
        <f t="shared" si="18"/>
        <v>29</v>
      </c>
      <c r="BJ187" s="622">
        <f t="shared" si="18"/>
        <v>77</v>
      </c>
      <c r="BK187" s="622">
        <f t="shared" si="18"/>
        <v>4</v>
      </c>
      <c r="BL187" s="749">
        <f>IFERROR((BI187+BG187)/BF187,0)</f>
        <v>1.3923132704858596</v>
      </c>
      <c r="BM187" s="645">
        <f>SUM(BM177:BM186)</f>
        <v>3</v>
      </c>
      <c r="BN187" s="646">
        <f>SUM(BN177:BN186)</f>
        <v>3</v>
      </c>
      <c r="BO187" s="647">
        <f>SUM(BO177:BO186)</f>
        <v>0</v>
      </c>
      <c r="BP187" s="648">
        <f>SUM(BP177:BP186)</f>
        <v>0</v>
      </c>
      <c r="BQ187" s="649"/>
    </row>
    <row r="188" spans="1:73" ht="17" thickBo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73" ht="24" thickBo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Z189" s="1024" t="s">
        <v>573</v>
      </c>
      <c r="AA189" s="1025"/>
      <c r="AB189" s="1025"/>
      <c r="AC189" s="1025"/>
      <c r="AD189" s="1025"/>
      <c r="AE189" s="1025"/>
      <c r="AF189" s="1025"/>
      <c r="AG189" s="1025"/>
      <c r="AH189" s="1025"/>
      <c r="AI189" s="1025"/>
      <c r="AJ189" s="1025"/>
      <c r="AK189" s="1025"/>
      <c r="AL189" s="1025"/>
      <c r="AM189" s="1025"/>
      <c r="AN189" s="1025"/>
      <c r="AO189" s="1025"/>
      <c r="AP189" s="1025"/>
      <c r="AQ189" s="1025"/>
      <c r="AR189" s="1025"/>
      <c r="AS189" s="1025"/>
      <c r="AT189" s="1025"/>
      <c r="AU189" s="1025"/>
      <c r="AV189" s="1026"/>
      <c r="AY189" s="1012" t="s">
        <v>574</v>
      </c>
      <c r="AZ189" s="1013"/>
      <c r="BA189" s="1013"/>
      <c r="BB189" s="1013"/>
      <c r="BC189" s="1013"/>
      <c r="BD189" s="1013"/>
      <c r="BE189" s="1013"/>
      <c r="BF189" s="1013"/>
      <c r="BG189" s="1013"/>
      <c r="BH189" s="1013"/>
      <c r="BI189" s="1013"/>
      <c r="BJ189" s="1013"/>
      <c r="BK189" s="1013"/>
      <c r="BL189" s="1013"/>
      <c r="BM189" s="1013"/>
      <c r="BN189" s="1013"/>
      <c r="BO189" s="1013"/>
      <c r="BP189" s="1013"/>
      <c r="BQ189" s="1013"/>
      <c r="BR189" s="1013"/>
      <c r="BS189" s="1013"/>
      <c r="BT189" s="1013"/>
      <c r="BU189" s="1014"/>
    </row>
    <row r="190" spans="1:73" ht="17" thickBo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Z190" s="605" t="s">
        <v>143</v>
      </c>
      <c r="AA190" s="606" t="s">
        <v>144</v>
      </c>
      <c r="AB190" s="606" t="s">
        <v>145</v>
      </c>
      <c r="AC190" s="606" t="s">
        <v>146</v>
      </c>
      <c r="AD190" s="606" t="s">
        <v>147</v>
      </c>
      <c r="AE190" s="606" t="s">
        <v>148</v>
      </c>
      <c r="AF190" s="606" t="s">
        <v>149</v>
      </c>
      <c r="AG190" s="606" t="s">
        <v>150</v>
      </c>
      <c r="AH190" s="606" t="s">
        <v>151</v>
      </c>
      <c r="AI190" s="606" t="s">
        <v>152</v>
      </c>
      <c r="AJ190" s="606" t="s">
        <v>153</v>
      </c>
      <c r="AK190" s="606" t="s">
        <v>154</v>
      </c>
      <c r="AL190" s="606" t="s">
        <v>155</v>
      </c>
      <c r="AM190" s="606" t="s">
        <v>156</v>
      </c>
      <c r="AN190" s="606" t="s">
        <v>157</v>
      </c>
      <c r="AO190" s="606" t="s">
        <v>158</v>
      </c>
      <c r="AP190" s="606" t="s">
        <v>159</v>
      </c>
      <c r="AQ190" s="606" t="s">
        <v>160</v>
      </c>
      <c r="AR190" s="606" t="s">
        <v>16</v>
      </c>
      <c r="AS190" s="606" t="s">
        <v>161</v>
      </c>
      <c r="AT190" s="606" t="s">
        <v>162</v>
      </c>
      <c r="AU190" s="606" t="s">
        <v>163</v>
      </c>
      <c r="AV190" s="607" t="s">
        <v>164</v>
      </c>
      <c r="AY190" s="605" t="s">
        <v>143</v>
      </c>
      <c r="AZ190" s="606" t="s">
        <v>144</v>
      </c>
      <c r="BA190" s="606" t="s">
        <v>145</v>
      </c>
      <c r="BB190" s="606" t="s">
        <v>146</v>
      </c>
      <c r="BC190" s="606" t="s">
        <v>147</v>
      </c>
      <c r="BD190" s="606" t="s">
        <v>148</v>
      </c>
      <c r="BE190" s="606" t="s">
        <v>149</v>
      </c>
      <c r="BF190" s="606" t="s">
        <v>150</v>
      </c>
      <c r="BG190" s="606" t="s">
        <v>151</v>
      </c>
      <c r="BH190" s="606" t="s">
        <v>152</v>
      </c>
      <c r="BI190" s="606" t="s">
        <v>153</v>
      </c>
      <c r="BJ190" s="606" t="s">
        <v>154</v>
      </c>
      <c r="BK190" s="606" t="s">
        <v>155</v>
      </c>
      <c r="BL190" s="606" t="s">
        <v>156</v>
      </c>
      <c r="BM190" s="606" t="s">
        <v>157</v>
      </c>
      <c r="BN190" s="606" t="s">
        <v>158</v>
      </c>
      <c r="BO190" s="606" t="s">
        <v>159</v>
      </c>
      <c r="BP190" s="606" t="s">
        <v>160</v>
      </c>
      <c r="BQ190" s="606" t="s">
        <v>16</v>
      </c>
      <c r="BR190" s="606" t="s">
        <v>161</v>
      </c>
      <c r="BS190" s="606" t="s">
        <v>162</v>
      </c>
      <c r="BT190" s="606" t="s">
        <v>163</v>
      </c>
      <c r="BU190" s="607" t="s">
        <v>164</v>
      </c>
    </row>
    <row r="191" spans="1:73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Z191" s="650" t="s">
        <v>429</v>
      </c>
      <c r="AA191" s="597" t="s">
        <v>179</v>
      </c>
      <c r="AB191" s="597" t="s">
        <v>436</v>
      </c>
      <c r="AC191" s="598">
        <f>IFERROR(MIN_H36[[#This Row],[H]]/MIN_H36[[#This Row],[AB]],0)</f>
        <v>0.2857142857142857</v>
      </c>
      <c r="AD191" s="598">
        <f>IFERROR((MIN_H36[[#This Row],[H]]+MIN_H36[[#This Row],[BB]])/(MIN_H36[[#This Row],[BB]]+MIN_H36[[#This Row],[AB]]),0)</f>
        <v>0.34210526315789475</v>
      </c>
      <c r="AE191" s="599">
        <f>IFERROR(((MIN_H36[[#This Row],[H]]-MIN_H36[[#This Row],[2B]]-MIN_H36[[#This Row],[3B]]-MIN_H36[[#This Row],[HR]])+(MIN_H36[[#This Row],[2B]]*2)+(MIN_H36[[#This Row],[3B]]*3)+(MIN_H36[[#This Row],[HR]]*4))/MIN_H36[[#This Row],[AB]],0)</f>
        <v>0.37142857142857144</v>
      </c>
      <c r="AF191" s="600">
        <v>8</v>
      </c>
      <c r="AG191" s="600">
        <v>35</v>
      </c>
      <c r="AH191" s="600">
        <v>1</v>
      </c>
      <c r="AI191" s="600">
        <v>10</v>
      </c>
      <c r="AJ191" s="600">
        <v>3</v>
      </c>
      <c r="AK191" s="600">
        <v>0</v>
      </c>
      <c r="AL191" s="600">
        <v>0</v>
      </c>
      <c r="AM191" s="600">
        <v>4</v>
      </c>
      <c r="AN191" s="600">
        <v>3</v>
      </c>
      <c r="AO191" s="604">
        <v>6</v>
      </c>
      <c r="AP191" s="600">
        <v>0</v>
      </c>
      <c r="AQ191" s="600">
        <v>7</v>
      </c>
      <c r="AR191" s="604">
        <v>7</v>
      </c>
      <c r="AS191" s="600">
        <f>IFERROR((MIN_H36[[#This Row],[H]]-MIN_H36[[#This Row],[2B]]-MIN_H36[[#This Row],[3B]]-MIN_H36[[#This Row],[HR]])+(MIN_H36[[#This Row],[2B]]*2)+(MIN_H36[[#This Row],[3B]]*3)+(MIN_H36[[#This Row],[HR]]*4),0)</f>
        <v>13</v>
      </c>
      <c r="AT191" s="598">
        <f>MIN_H36[[#This Row],[OBP]]+MIN_H36[[#This Row],[SLG]]</f>
        <v>0.71353383458646613</v>
      </c>
      <c r="AU191" s="604">
        <v>1</v>
      </c>
      <c r="AV191" s="614">
        <v>1</v>
      </c>
      <c r="AY191" s="650" t="s">
        <v>394</v>
      </c>
      <c r="AZ191" s="604" t="s">
        <v>179</v>
      </c>
      <c r="BA191" s="597" t="s">
        <v>404</v>
      </c>
      <c r="BB191" s="598">
        <f>IFERROR(CLE_H63[[#This Row],[H]]/CLE_H63[[#This Row],[AB]],0)</f>
        <v>0</v>
      </c>
      <c r="BC191" s="598">
        <f>IFERROR((CLE_H63[[#This Row],[H]]+CLE_H63[[#This Row],[BB]])/(CLE_H63[[#This Row],[BB]]+CLE_H63[[#This Row],[AB]]),0)</f>
        <v>0.27272727272727271</v>
      </c>
      <c r="BD191" s="599">
        <f>IFERROR(((CLE_H63[[#This Row],[H]]-CLE_H63[[#This Row],[2B]]-CLE_H63[[#This Row],[3B]]-CLE_H63[[#This Row],[HR]])+(CLE_H63[[#This Row],[2B]]*2)+(CLE_H63[[#This Row],[3B]]*3)+(CLE_H63[[#This Row],[HR]]*4))/CLE_H63[[#This Row],[AB]],0)</f>
        <v>0</v>
      </c>
      <c r="BE191" s="600">
        <v>3</v>
      </c>
      <c r="BF191" s="600">
        <v>8</v>
      </c>
      <c r="BG191" s="600">
        <v>1</v>
      </c>
      <c r="BH191" s="600">
        <v>0</v>
      </c>
      <c r="BI191" s="600">
        <v>0</v>
      </c>
      <c r="BJ191" s="600">
        <v>0</v>
      </c>
      <c r="BK191" s="600">
        <v>0</v>
      </c>
      <c r="BL191" s="600">
        <v>1</v>
      </c>
      <c r="BM191" s="600">
        <v>3</v>
      </c>
      <c r="BN191" s="604">
        <v>2</v>
      </c>
      <c r="BO191" s="600">
        <v>0</v>
      </c>
      <c r="BP191" s="600">
        <v>0</v>
      </c>
      <c r="BQ191" s="604">
        <v>0</v>
      </c>
      <c r="BR191" s="600">
        <f t="shared" ref="BR191:BR204" si="19">IFERROR((BH191-BI191-BJ191-BK191)+(BI191*2)+(BJ191*3)+(BK191*4),0)</f>
        <v>0</v>
      </c>
      <c r="BS191" s="598">
        <f>IFERROR(CLE_H63[[#This Row],[OBP]]+CLE_H63[[#This Row],[SLG]],0)</f>
        <v>0.27272727272727271</v>
      </c>
      <c r="BT191" s="604">
        <v>0</v>
      </c>
      <c r="BU191" s="614">
        <v>1</v>
      </c>
    </row>
    <row r="192" spans="1:73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Z192" s="651" t="s">
        <v>429</v>
      </c>
      <c r="AA192" s="71" t="s">
        <v>154</v>
      </c>
      <c r="AB192" s="71" t="s">
        <v>434</v>
      </c>
      <c r="AC192" s="72">
        <f>IFERROR(MIN_H36[[#This Row],[H]]/MIN_H36[[#This Row],[AB]],0)</f>
        <v>0.22222222222222221</v>
      </c>
      <c r="AD192" s="72">
        <f>IFERROR((MIN_H36[[#This Row],[H]]+MIN_H36[[#This Row],[BB]])/(MIN_H36[[#This Row],[BB]]+MIN_H36[[#This Row],[AB]]),0)</f>
        <v>0.36363636363636365</v>
      </c>
      <c r="AE192" s="73">
        <f>IFERROR(((MIN_H36[[#This Row],[H]]-MIN_H36[[#This Row],[2B]]-MIN_H36[[#This Row],[3B]]-MIN_H36[[#This Row],[HR]])+(MIN_H36[[#This Row],[2B]]*2)+(MIN_H36[[#This Row],[3B]]*3)+(MIN_H36[[#This Row],[HR]]*4))/MIN_H36[[#This Row],[AB]],0)</f>
        <v>0.51851851851851849</v>
      </c>
      <c r="AF192" s="28">
        <v>8</v>
      </c>
      <c r="AG192" s="28">
        <v>27</v>
      </c>
      <c r="AH192" s="28">
        <v>5</v>
      </c>
      <c r="AI192" s="28">
        <v>6</v>
      </c>
      <c r="AJ192" s="28">
        <v>2</v>
      </c>
      <c r="AK192" s="28">
        <v>0</v>
      </c>
      <c r="AL192" s="28">
        <v>2</v>
      </c>
      <c r="AM192" s="28">
        <v>8</v>
      </c>
      <c r="AN192" s="28">
        <v>6</v>
      </c>
      <c r="AO192" s="74">
        <v>12</v>
      </c>
      <c r="AP192" s="28">
        <v>0</v>
      </c>
      <c r="AQ192" s="28">
        <v>0</v>
      </c>
      <c r="AR192" s="74">
        <v>3</v>
      </c>
      <c r="AS192" s="28">
        <f>IFERROR((MIN_H36[[#This Row],[H]]-MIN_H36[[#This Row],[2B]]-MIN_H36[[#This Row],[3B]]-MIN_H36[[#This Row],[HR]])+(MIN_H36[[#This Row],[2B]]*2)+(MIN_H36[[#This Row],[3B]]*3)+(MIN_H36[[#This Row],[HR]]*4),0)</f>
        <v>14</v>
      </c>
      <c r="AT192" s="72">
        <f>MIN_H36[[#This Row],[OBP]]+MIN_H36[[#This Row],[SLG]]</f>
        <v>0.88215488215488214</v>
      </c>
      <c r="AU192" s="74">
        <v>2</v>
      </c>
      <c r="AV192" s="615">
        <v>2</v>
      </c>
      <c r="AY192" s="651" t="s">
        <v>394</v>
      </c>
      <c r="AZ192" s="74" t="s">
        <v>154</v>
      </c>
      <c r="BA192" s="71" t="s">
        <v>399</v>
      </c>
      <c r="BB192" s="72">
        <f>IFERROR(CLE_H63[[#This Row],[H]]/CLE_H63[[#This Row],[AB]],0)</f>
        <v>0.2</v>
      </c>
      <c r="BC192" s="72">
        <f>IFERROR((CLE_H63[[#This Row],[H]]+CLE_H63[[#This Row],[BB]])/(CLE_H63[[#This Row],[BB]]+CLE_H63[[#This Row],[AB]]),0)</f>
        <v>0.2</v>
      </c>
      <c r="BD192" s="73">
        <f>IFERROR(((CLE_H63[[#This Row],[H]]-CLE_H63[[#This Row],[2B]]-CLE_H63[[#This Row],[3B]]-CLE_H63[[#This Row],[HR]])+(CLE_H63[[#This Row],[2B]]*2)+(CLE_H63[[#This Row],[3B]]*3)+(CLE_H63[[#This Row],[HR]]*4))/CLE_H63[[#This Row],[AB]],0)</f>
        <v>0.6</v>
      </c>
      <c r="BE192" s="28">
        <v>3</v>
      </c>
      <c r="BF192" s="28">
        <v>15</v>
      </c>
      <c r="BG192" s="28">
        <v>1</v>
      </c>
      <c r="BH192" s="28">
        <v>3</v>
      </c>
      <c r="BI192" s="28">
        <v>1</v>
      </c>
      <c r="BJ192" s="28">
        <v>1</v>
      </c>
      <c r="BK192" s="28">
        <v>1</v>
      </c>
      <c r="BL192" s="28">
        <v>2</v>
      </c>
      <c r="BM192" s="28">
        <v>0</v>
      </c>
      <c r="BN192" s="74">
        <v>5</v>
      </c>
      <c r="BO192" s="28">
        <v>1</v>
      </c>
      <c r="BP192" s="28">
        <v>3</v>
      </c>
      <c r="BQ192" s="74">
        <v>3</v>
      </c>
      <c r="BR192" s="28">
        <f t="shared" si="19"/>
        <v>9</v>
      </c>
      <c r="BS192" s="72">
        <f>IFERROR(CLE_H63[[#This Row],[OBP]]+CLE_H63[[#This Row],[SLG]],0)</f>
        <v>0.8</v>
      </c>
      <c r="BT192" s="74">
        <v>0</v>
      </c>
      <c r="BU192" s="615">
        <v>2</v>
      </c>
    </row>
    <row r="193" spans="1:73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Z193" s="651" t="s">
        <v>429</v>
      </c>
      <c r="AA193" s="71" t="s">
        <v>172</v>
      </c>
      <c r="AB193" s="71" t="s">
        <v>432</v>
      </c>
      <c r="AC193" s="72">
        <f>IFERROR(MIN_H36[[#This Row],[H]]/MIN_H36[[#This Row],[AB]],0)</f>
        <v>0.21875</v>
      </c>
      <c r="AD193" s="72">
        <f>IFERROR((MIN_H36[[#This Row],[H]]+MIN_H36[[#This Row],[BB]])/(MIN_H36[[#This Row],[BB]]+MIN_H36[[#This Row],[AB]]),0)</f>
        <v>0.2857142857142857</v>
      </c>
      <c r="AE193" s="73">
        <f>IFERROR(((MIN_H36[[#This Row],[H]]-MIN_H36[[#This Row],[2B]]-MIN_H36[[#This Row],[3B]]-MIN_H36[[#This Row],[HR]])+(MIN_H36[[#This Row],[2B]]*2)+(MIN_H36[[#This Row],[3B]]*3)+(MIN_H36[[#This Row],[HR]]*4))/MIN_H36[[#This Row],[AB]],0)</f>
        <v>0.25</v>
      </c>
      <c r="AF193" s="28">
        <v>8</v>
      </c>
      <c r="AG193" s="28">
        <v>32</v>
      </c>
      <c r="AH193" s="28">
        <v>3</v>
      </c>
      <c r="AI193" s="28">
        <v>7</v>
      </c>
      <c r="AJ193" s="28">
        <v>1</v>
      </c>
      <c r="AK193" s="28">
        <v>0</v>
      </c>
      <c r="AL193" s="28">
        <v>0</v>
      </c>
      <c r="AM193" s="28">
        <v>1</v>
      </c>
      <c r="AN193" s="28">
        <v>3</v>
      </c>
      <c r="AO193" s="74">
        <v>6</v>
      </c>
      <c r="AP193" s="28">
        <v>0</v>
      </c>
      <c r="AQ193" s="28">
        <v>7</v>
      </c>
      <c r="AR193" s="74">
        <v>7</v>
      </c>
      <c r="AS193" s="28">
        <f>IFERROR((MIN_H36[[#This Row],[H]]-MIN_H36[[#This Row],[2B]]-MIN_H36[[#This Row],[3B]]-MIN_H36[[#This Row],[HR]])+(MIN_H36[[#This Row],[2B]]*2)+(MIN_H36[[#This Row],[3B]]*3)+(MIN_H36[[#This Row],[HR]]*4),0)</f>
        <v>8</v>
      </c>
      <c r="AT193" s="72">
        <f>MIN_H36[[#This Row],[OBP]]+MIN_H36[[#This Row],[SLG]]</f>
        <v>0.5357142857142857</v>
      </c>
      <c r="AU193" s="74">
        <v>0</v>
      </c>
      <c r="AV193" s="615">
        <v>3</v>
      </c>
      <c r="AY193" s="651" t="s">
        <v>394</v>
      </c>
      <c r="AZ193" s="74" t="s">
        <v>172</v>
      </c>
      <c r="BA193" s="71" t="s">
        <v>406</v>
      </c>
      <c r="BB193" s="72">
        <f>IFERROR(CLE_H63[[#This Row],[H]]/CLE_H63[[#This Row],[AB]],0)</f>
        <v>0.33333333333333331</v>
      </c>
      <c r="BC193" s="72">
        <f>IFERROR((CLE_H63[[#This Row],[H]]+CLE_H63[[#This Row],[BB]])/(CLE_H63[[#This Row],[BB]]+CLE_H63[[#This Row],[AB]]),0)</f>
        <v>0.45454545454545453</v>
      </c>
      <c r="BD193" s="73">
        <f>IFERROR(((CLE_H63[[#This Row],[H]]-CLE_H63[[#This Row],[2B]]-CLE_H63[[#This Row],[3B]]-CLE_H63[[#This Row],[HR]])+(CLE_H63[[#This Row],[2B]]*2)+(CLE_H63[[#This Row],[3B]]*3)+(CLE_H63[[#This Row],[HR]]*4))/CLE_H63[[#This Row],[AB]],0)</f>
        <v>0.44444444444444442</v>
      </c>
      <c r="BE193" s="28">
        <v>3</v>
      </c>
      <c r="BF193" s="28">
        <v>9</v>
      </c>
      <c r="BG193" s="28">
        <v>2</v>
      </c>
      <c r="BH193" s="28">
        <v>3</v>
      </c>
      <c r="BI193" s="28">
        <v>1</v>
      </c>
      <c r="BJ193" s="28">
        <v>0</v>
      </c>
      <c r="BK193" s="28">
        <v>0</v>
      </c>
      <c r="BL193" s="28">
        <v>2</v>
      </c>
      <c r="BM193" s="28">
        <v>2</v>
      </c>
      <c r="BN193" s="74">
        <v>1</v>
      </c>
      <c r="BO193" s="28">
        <v>0</v>
      </c>
      <c r="BP193" s="28">
        <v>2</v>
      </c>
      <c r="BQ193" s="74">
        <v>2</v>
      </c>
      <c r="BR193" s="28">
        <f t="shared" si="19"/>
        <v>4</v>
      </c>
      <c r="BS193" s="72">
        <f>IFERROR(CLE_H63[[#This Row],[OBP]]+CLE_H63[[#This Row],[SLG]],0)</f>
        <v>0.89898989898989901</v>
      </c>
      <c r="BT193" s="74">
        <v>0</v>
      </c>
      <c r="BU193" s="615">
        <v>3</v>
      </c>
    </row>
    <row r="194" spans="1:73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Z194" s="651" t="s">
        <v>429</v>
      </c>
      <c r="AA194" s="71" t="s">
        <v>153</v>
      </c>
      <c r="AB194" s="71" t="s">
        <v>435</v>
      </c>
      <c r="AC194" s="72">
        <f>IFERROR(MIN_H36[[#This Row],[H]]/MIN_H36[[#This Row],[AB]],0)</f>
        <v>0.33333333333333331</v>
      </c>
      <c r="AD194" s="72">
        <f>IFERROR((MIN_H36[[#This Row],[H]]+MIN_H36[[#This Row],[BB]])/(MIN_H36[[#This Row],[BB]]+MIN_H36[[#This Row],[AB]]),0)</f>
        <v>0.35483870967741937</v>
      </c>
      <c r="AE194" s="73">
        <f>IFERROR(((MIN_H36[[#This Row],[H]]-MIN_H36[[#This Row],[2B]]-MIN_H36[[#This Row],[3B]]-MIN_H36[[#This Row],[HR]])+(MIN_H36[[#This Row],[2B]]*2)+(MIN_H36[[#This Row],[3B]]*3)+(MIN_H36[[#This Row],[HR]]*4))/MIN_H36[[#This Row],[AB]],0)</f>
        <v>0.7</v>
      </c>
      <c r="AF194" s="28">
        <v>8</v>
      </c>
      <c r="AG194" s="28">
        <v>30</v>
      </c>
      <c r="AH194" s="28">
        <v>6</v>
      </c>
      <c r="AI194" s="28">
        <v>10</v>
      </c>
      <c r="AJ194" s="28">
        <v>2</v>
      </c>
      <c r="AK194" s="28">
        <v>0</v>
      </c>
      <c r="AL194" s="28">
        <v>3</v>
      </c>
      <c r="AM194" s="28">
        <v>5</v>
      </c>
      <c r="AN194" s="28">
        <v>1</v>
      </c>
      <c r="AO194" s="74">
        <v>9</v>
      </c>
      <c r="AP194" s="28">
        <v>0</v>
      </c>
      <c r="AQ194" s="28">
        <v>4</v>
      </c>
      <c r="AR194" s="74">
        <v>4</v>
      </c>
      <c r="AS194" s="28">
        <f>IFERROR((MIN_H36[[#This Row],[H]]-MIN_H36[[#This Row],[2B]]-MIN_H36[[#This Row],[3B]]-MIN_H36[[#This Row],[HR]])+(MIN_H36[[#This Row],[2B]]*2)+(MIN_H36[[#This Row],[3B]]*3)+(MIN_H36[[#This Row],[HR]]*4),0)</f>
        <v>21</v>
      </c>
      <c r="AT194" s="72">
        <f>MIN_H36[[#This Row],[OBP]]+MIN_H36[[#This Row],[SLG]]</f>
        <v>1.0548387096774192</v>
      </c>
      <c r="AU194" s="74">
        <v>0</v>
      </c>
      <c r="AV194" s="615">
        <v>4</v>
      </c>
      <c r="AY194" s="651" t="s">
        <v>394</v>
      </c>
      <c r="AZ194" s="74" t="s">
        <v>153</v>
      </c>
      <c r="BA194" s="71" t="s">
        <v>405</v>
      </c>
      <c r="BB194" s="72">
        <f>IFERROR(CLE_H63[[#This Row],[H]]/CLE_H63[[#This Row],[AB]],0)</f>
        <v>0.25</v>
      </c>
      <c r="BC194" s="72">
        <f>IFERROR((CLE_H63[[#This Row],[H]]+CLE_H63[[#This Row],[BB]])/(CLE_H63[[#This Row],[BB]]+CLE_H63[[#This Row],[AB]]),0)</f>
        <v>0.4</v>
      </c>
      <c r="BD194" s="73">
        <f>IFERROR(((CLE_H63[[#This Row],[H]]-CLE_H63[[#This Row],[2B]]-CLE_H63[[#This Row],[3B]]-CLE_H63[[#This Row],[HR]])+(CLE_H63[[#This Row],[2B]]*2)+(CLE_H63[[#This Row],[3B]]*3)+(CLE_H63[[#This Row],[HR]]*4))/CLE_H63[[#This Row],[AB]],0)</f>
        <v>0.41666666666666669</v>
      </c>
      <c r="BE194" s="28">
        <v>3</v>
      </c>
      <c r="BF194" s="28">
        <v>12</v>
      </c>
      <c r="BG194" s="28">
        <v>1</v>
      </c>
      <c r="BH194" s="28">
        <v>3</v>
      </c>
      <c r="BI194" s="28">
        <v>0</v>
      </c>
      <c r="BJ194" s="28">
        <v>1</v>
      </c>
      <c r="BK194" s="28">
        <v>0</v>
      </c>
      <c r="BL194" s="28">
        <v>3</v>
      </c>
      <c r="BM194" s="28">
        <v>3</v>
      </c>
      <c r="BN194" s="74">
        <v>5</v>
      </c>
      <c r="BO194" s="28">
        <v>0</v>
      </c>
      <c r="BP194" s="28">
        <v>0</v>
      </c>
      <c r="BQ194" s="74">
        <v>1</v>
      </c>
      <c r="BR194" s="28">
        <f t="shared" si="19"/>
        <v>5</v>
      </c>
      <c r="BS194" s="72">
        <f>IFERROR(CLE_H63[[#This Row],[OBP]]+CLE_H63[[#This Row],[SLG]],0)</f>
        <v>0.81666666666666665</v>
      </c>
      <c r="BT194" s="74">
        <v>1</v>
      </c>
      <c r="BU194" s="615">
        <v>4</v>
      </c>
    </row>
    <row r="195" spans="1:73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Z195" s="651" t="s">
        <v>429</v>
      </c>
      <c r="AA195" s="71" t="s">
        <v>177</v>
      </c>
      <c r="AB195" s="71" t="s">
        <v>439</v>
      </c>
      <c r="AC195" s="72">
        <f>IFERROR(MIN_H36[[#This Row],[H]]/MIN_H36[[#This Row],[AB]],0)</f>
        <v>0.2413793103448276</v>
      </c>
      <c r="AD195" s="72">
        <f>IFERROR((MIN_H36[[#This Row],[H]]+MIN_H36[[#This Row],[BB]])/(MIN_H36[[#This Row],[BB]]+MIN_H36[[#This Row],[AB]]),0)</f>
        <v>0.3125</v>
      </c>
      <c r="AE195" s="73">
        <f>IFERROR(((MIN_H36[[#This Row],[H]]-MIN_H36[[#This Row],[2B]]-MIN_H36[[#This Row],[3B]]-MIN_H36[[#This Row],[HR]])+(MIN_H36[[#This Row],[2B]]*2)+(MIN_H36[[#This Row],[3B]]*3)+(MIN_H36[[#This Row],[HR]]*4))/MIN_H36[[#This Row],[AB]],0)</f>
        <v>0.55172413793103448</v>
      </c>
      <c r="AF195" s="28">
        <v>8</v>
      </c>
      <c r="AG195" s="28">
        <v>29</v>
      </c>
      <c r="AH195" s="28">
        <v>5</v>
      </c>
      <c r="AI195" s="28">
        <v>7</v>
      </c>
      <c r="AJ195" s="28">
        <v>0</v>
      </c>
      <c r="AK195" s="28">
        <v>0</v>
      </c>
      <c r="AL195" s="28">
        <v>3</v>
      </c>
      <c r="AM195" s="28">
        <v>8</v>
      </c>
      <c r="AN195" s="28">
        <v>3</v>
      </c>
      <c r="AO195" s="74">
        <v>12</v>
      </c>
      <c r="AP195" s="28">
        <v>0</v>
      </c>
      <c r="AQ195" s="28">
        <v>3</v>
      </c>
      <c r="AR195" s="74">
        <v>3</v>
      </c>
      <c r="AS195" s="28">
        <f>IFERROR((MIN_H36[[#This Row],[H]]-MIN_H36[[#This Row],[2B]]-MIN_H36[[#This Row],[3B]]-MIN_H36[[#This Row],[HR]])+(MIN_H36[[#This Row],[2B]]*2)+(MIN_H36[[#This Row],[3B]]*3)+(MIN_H36[[#This Row],[HR]]*4),0)</f>
        <v>16</v>
      </c>
      <c r="AT195" s="72">
        <f>MIN_H36[[#This Row],[OBP]]+MIN_H36[[#This Row],[SLG]]</f>
        <v>0.86422413793103448</v>
      </c>
      <c r="AU195" s="74">
        <v>1</v>
      </c>
      <c r="AV195" s="615">
        <v>5</v>
      </c>
      <c r="AY195" s="651" t="s">
        <v>394</v>
      </c>
      <c r="AZ195" s="74" t="s">
        <v>177</v>
      </c>
      <c r="BA195" s="71" t="s">
        <v>401</v>
      </c>
      <c r="BB195" s="72">
        <f>IFERROR(CLE_H63[[#This Row],[H]]/CLE_H63[[#This Row],[AB]],0)</f>
        <v>7.6923076923076927E-2</v>
      </c>
      <c r="BC195" s="72">
        <f>IFERROR((CLE_H63[[#This Row],[H]]+CLE_H63[[#This Row],[BB]])/(CLE_H63[[#This Row],[BB]]+CLE_H63[[#This Row],[AB]]),0)</f>
        <v>0.14285714285714285</v>
      </c>
      <c r="BD195" s="73">
        <f>IFERROR(((CLE_H63[[#This Row],[H]]-CLE_H63[[#This Row],[2B]]-CLE_H63[[#This Row],[3B]]-CLE_H63[[#This Row],[HR]])+(CLE_H63[[#This Row],[2B]]*2)+(CLE_H63[[#This Row],[3B]]*3)+(CLE_H63[[#This Row],[HR]]*4))/CLE_H63[[#This Row],[AB]],0)</f>
        <v>0.15384615384615385</v>
      </c>
      <c r="BE195" s="28">
        <v>3</v>
      </c>
      <c r="BF195" s="28">
        <v>13</v>
      </c>
      <c r="BG195" s="28">
        <v>0</v>
      </c>
      <c r="BH195" s="28">
        <v>1</v>
      </c>
      <c r="BI195" s="28">
        <v>1</v>
      </c>
      <c r="BJ195" s="28">
        <v>0</v>
      </c>
      <c r="BK195" s="28">
        <v>0</v>
      </c>
      <c r="BL195" s="28">
        <v>1</v>
      </c>
      <c r="BM195" s="28">
        <v>1</v>
      </c>
      <c r="BN195" s="74">
        <v>4</v>
      </c>
      <c r="BO195" s="28">
        <v>0</v>
      </c>
      <c r="BP195" s="28">
        <v>1</v>
      </c>
      <c r="BQ195" s="74">
        <v>1</v>
      </c>
      <c r="BR195" s="28">
        <f t="shared" si="19"/>
        <v>2</v>
      </c>
      <c r="BS195" s="72">
        <f>IFERROR(CLE_H63[[#This Row],[OBP]]+CLE_H63[[#This Row],[SLG]],0)</f>
        <v>0.2967032967032967</v>
      </c>
      <c r="BT195" s="74">
        <v>0</v>
      </c>
      <c r="BU195" s="615">
        <v>5</v>
      </c>
    </row>
    <row r="196" spans="1:73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Z196" s="651" t="s">
        <v>429</v>
      </c>
      <c r="AA196" s="71" t="s">
        <v>174</v>
      </c>
      <c r="AB196" s="71" t="s">
        <v>433</v>
      </c>
      <c r="AC196" s="72">
        <f>IFERROR(MIN_H36[[#This Row],[H]]/MIN_H36[[#This Row],[AB]],0)</f>
        <v>0.25806451612903225</v>
      </c>
      <c r="AD196" s="72">
        <f>IFERROR((MIN_H36[[#This Row],[H]]+MIN_H36[[#This Row],[BB]])/(MIN_H36[[#This Row],[BB]]+MIN_H36[[#This Row],[AB]]),0)</f>
        <v>0.3783783783783784</v>
      </c>
      <c r="AE196" s="73">
        <f>IFERROR(((MIN_H36[[#This Row],[H]]-MIN_H36[[#This Row],[2B]]-MIN_H36[[#This Row],[3B]]-MIN_H36[[#This Row],[HR]])+(MIN_H36[[#This Row],[2B]]*2)+(MIN_H36[[#This Row],[3B]]*3)+(MIN_H36[[#This Row],[HR]]*4))/MIN_H36[[#This Row],[AB]],0)</f>
        <v>0.35483870967741937</v>
      </c>
      <c r="AF196" s="28">
        <v>8</v>
      </c>
      <c r="AG196" s="28">
        <v>31</v>
      </c>
      <c r="AH196" s="28">
        <v>4</v>
      </c>
      <c r="AI196" s="28">
        <v>8</v>
      </c>
      <c r="AJ196" s="28">
        <v>0</v>
      </c>
      <c r="AK196" s="28">
        <v>0</v>
      </c>
      <c r="AL196" s="28">
        <v>1</v>
      </c>
      <c r="AM196" s="28">
        <v>3</v>
      </c>
      <c r="AN196" s="28">
        <v>6</v>
      </c>
      <c r="AO196" s="74">
        <v>2</v>
      </c>
      <c r="AP196" s="28">
        <v>0</v>
      </c>
      <c r="AQ196" s="28">
        <v>0</v>
      </c>
      <c r="AR196" s="74">
        <v>3</v>
      </c>
      <c r="AS196" s="28">
        <f>IFERROR((MIN_H36[[#This Row],[H]]-MIN_H36[[#This Row],[2B]]-MIN_H36[[#This Row],[3B]]-MIN_H36[[#This Row],[HR]])+(MIN_H36[[#This Row],[2B]]*2)+(MIN_H36[[#This Row],[3B]]*3)+(MIN_H36[[#This Row],[HR]]*4),0)</f>
        <v>11</v>
      </c>
      <c r="AT196" s="72">
        <f>MIN_H36[[#This Row],[OBP]]+MIN_H36[[#This Row],[SLG]]</f>
        <v>0.73321708805579777</v>
      </c>
      <c r="AU196" s="74">
        <v>0</v>
      </c>
      <c r="AV196" s="615">
        <v>6</v>
      </c>
      <c r="AY196" s="651" t="s">
        <v>394</v>
      </c>
      <c r="AZ196" s="74" t="s">
        <v>174</v>
      </c>
      <c r="BA196" s="71" t="s">
        <v>403</v>
      </c>
      <c r="BB196" s="72">
        <f>IFERROR(CLE_H63[[#This Row],[H]]/CLE_H63[[#This Row],[AB]],0)</f>
        <v>0.5</v>
      </c>
      <c r="BC196" s="72">
        <f>IFERROR((CLE_H63[[#This Row],[H]]+CLE_H63[[#This Row],[BB]])/(CLE_H63[[#This Row],[BB]]+CLE_H63[[#This Row],[AB]]),0)</f>
        <v>0.58333333333333337</v>
      </c>
      <c r="BD196" s="73">
        <f>IFERROR(((CLE_H63[[#This Row],[H]]-CLE_H63[[#This Row],[2B]]-CLE_H63[[#This Row],[3B]]-CLE_H63[[#This Row],[HR]])+(CLE_H63[[#This Row],[2B]]*2)+(CLE_H63[[#This Row],[3B]]*3)+(CLE_H63[[#This Row],[HR]]*4))/CLE_H63[[#This Row],[AB]],0)</f>
        <v>0.6</v>
      </c>
      <c r="BE196" s="28">
        <v>3</v>
      </c>
      <c r="BF196" s="28">
        <v>10</v>
      </c>
      <c r="BG196" s="28">
        <v>2</v>
      </c>
      <c r="BH196" s="28">
        <v>5</v>
      </c>
      <c r="BI196" s="28">
        <v>1</v>
      </c>
      <c r="BJ196" s="28">
        <v>0</v>
      </c>
      <c r="BK196" s="28">
        <v>0</v>
      </c>
      <c r="BL196" s="28">
        <v>1</v>
      </c>
      <c r="BM196" s="28">
        <v>2</v>
      </c>
      <c r="BN196" s="74">
        <v>2</v>
      </c>
      <c r="BO196" s="28">
        <v>0</v>
      </c>
      <c r="BP196" s="28">
        <v>3</v>
      </c>
      <c r="BQ196" s="74">
        <v>3</v>
      </c>
      <c r="BR196" s="28">
        <f t="shared" si="19"/>
        <v>6</v>
      </c>
      <c r="BS196" s="72">
        <f>IFERROR(CLE_H63[[#This Row],[OBP]]+CLE_H63[[#This Row],[SLG]],0)</f>
        <v>1.1833333333333333</v>
      </c>
      <c r="BT196" s="74">
        <v>0</v>
      </c>
      <c r="BU196" s="615">
        <v>6</v>
      </c>
    </row>
    <row r="197" spans="1:73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Z197" s="651" t="s">
        <v>429</v>
      </c>
      <c r="AA197" s="71" t="s">
        <v>181</v>
      </c>
      <c r="AB197" s="77" t="s">
        <v>430</v>
      </c>
      <c r="AC197" s="130">
        <f>IFERROR(MIN_H36[[#This Row],[H]]/MIN_H36[[#This Row],[AB]],0)</f>
        <v>0.35483870967741937</v>
      </c>
      <c r="AD197" s="72">
        <f>IFERROR((MIN_H36[[#This Row],[H]]+MIN_H36[[#This Row],[BB]])/(MIN_H36[[#This Row],[BB]]+MIN_H36[[#This Row],[AB]]),0)</f>
        <v>0.41176470588235292</v>
      </c>
      <c r="AE197" s="73">
        <f>IFERROR(((MIN_H36[[#This Row],[H]]-MIN_H36[[#This Row],[2B]]-MIN_H36[[#This Row],[3B]]-MIN_H36[[#This Row],[HR]])+(MIN_H36[[#This Row],[2B]]*2)+(MIN_H36[[#This Row],[3B]]*3)+(MIN_H36[[#This Row],[HR]]*4))/MIN_H36[[#This Row],[AB]],0)</f>
        <v>0.4838709677419355</v>
      </c>
      <c r="AF197" s="28">
        <v>8</v>
      </c>
      <c r="AG197" s="28">
        <v>31</v>
      </c>
      <c r="AH197" s="28">
        <v>7</v>
      </c>
      <c r="AI197" s="28">
        <v>11</v>
      </c>
      <c r="AJ197" s="28">
        <v>4</v>
      </c>
      <c r="AK197" s="28">
        <v>0</v>
      </c>
      <c r="AL197" s="28">
        <v>0</v>
      </c>
      <c r="AM197" s="28">
        <v>3</v>
      </c>
      <c r="AN197" s="28">
        <v>3</v>
      </c>
      <c r="AO197" s="74">
        <v>8</v>
      </c>
      <c r="AP197" s="28">
        <v>0</v>
      </c>
      <c r="AQ197" s="28">
        <v>0</v>
      </c>
      <c r="AR197" s="74">
        <v>5</v>
      </c>
      <c r="AS197" s="28">
        <f>IFERROR((MIN_H36[[#This Row],[H]]-MIN_H36[[#This Row],[2B]]-MIN_H36[[#This Row],[3B]]-MIN_H36[[#This Row],[HR]])+(MIN_H36[[#This Row],[2B]]*2)+(MIN_H36[[#This Row],[3B]]*3)+(MIN_H36[[#This Row],[HR]]*4),0)</f>
        <v>15</v>
      </c>
      <c r="AT197" s="72">
        <f>MIN_H36[[#This Row],[OBP]]+MIN_H36[[#This Row],[SLG]]</f>
        <v>0.89563567362428842</v>
      </c>
      <c r="AU197" s="74">
        <v>0</v>
      </c>
      <c r="AV197" s="615">
        <v>7</v>
      </c>
      <c r="AY197" s="651" t="s">
        <v>394</v>
      </c>
      <c r="AZ197" s="74" t="s">
        <v>181</v>
      </c>
      <c r="BA197" s="71" t="s">
        <v>400</v>
      </c>
      <c r="BB197" s="72">
        <f>IFERROR(CLE_H63[[#This Row],[H]]/CLE_H63[[#This Row],[AB]],0)</f>
        <v>0.27272727272727271</v>
      </c>
      <c r="BC197" s="72">
        <f>IFERROR((CLE_H63[[#This Row],[H]]+CLE_H63[[#This Row],[BB]])/(CLE_H63[[#This Row],[BB]]+CLE_H63[[#This Row],[AB]]),0)</f>
        <v>0.33333333333333331</v>
      </c>
      <c r="BD197" s="73">
        <f>IFERROR(((CLE_H63[[#This Row],[H]]-CLE_H63[[#This Row],[2B]]-CLE_H63[[#This Row],[3B]]-CLE_H63[[#This Row],[HR]])+(CLE_H63[[#This Row],[2B]]*2)+(CLE_H63[[#This Row],[3B]]*3)+(CLE_H63[[#This Row],[HR]]*4))/CLE_H63[[#This Row],[AB]],0)</f>
        <v>0.27272727272727271</v>
      </c>
      <c r="BE197" s="28">
        <v>3</v>
      </c>
      <c r="BF197" s="28">
        <v>11</v>
      </c>
      <c r="BG197" s="28">
        <v>1</v>
      </c>
      <c r="BH197" s="28">
        <v>3</v>
      </c>
      <c r="BI197" s="28">
        <v>0</v>
      </c>
      <c r="BJ197" s="28">
        <v>0</v>
      </c>
      <c r="BK197" s="28">
        <v>0</v>
      </c>
      <c r="BL197" s="28">
        <v>0</v>
      </c>
      <c r="BM197" s="28">
        <v>1</v>
      </c>
      <c r="BN197" s="74">
        <v>5</v>
      </c>
      <c r="BO197" s="28">
        <v>0</v>
      </c>
      <c r="BP197" s="28">
        <v>3</v>
      </c>
      <c r="BQ197" s="74">
        <v>3</v>
      </c>
      <c r="BR197" s="28">
        <f t="shared" si="19"/>
        <v>3</v>
      </c>
      <c r="BS197" s="72">
        <f>IFERROR(CLE_H63[[#This Row],[OBP]]+CLE_H63[[#This Row],[SLG]],0)</f>
        <v>0.60606060606060597</v>
      </c>
      <c r="BT197" s="74">
        <v>0</v>
      </c>
      <c r="BU197" s="615">
        <v>7</v>
      </c>
    </row>
    <row r="198" spans="1:73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Z198" s="651" t="s">
        <v>429</v>
      </c>
      <c r="AA198" s="71" t="s">
        <v>166</v>
      </c>
      <c r="AB198" s="77" t="s">
        <v>431</v>
      </c>
      <c r="AC198" s="130">
        <f>IFERROR(MIN_H36[[#This Row],[H]]/MIN_H36[[#This Row],[AB]],0)</f>
        <v>0.26470588235294118</v>
      </c>
      <c r="AD198" s="72">
        <f>IFERROR((MIN_H36[[#This Row],[H]]+MIN_H36[[#This Row],[BB]])/(MIN_H36[[#This Row],[BB]]+MIN_H36[[#This Row],[AB]]),0)</f>
        <v>0.34210526315789475</v>
      </c>
      <c r="AE198" s="73">
        <f>IFERROR(((MIN_H36[[#This Row],[H]]-MIN_H36[[#This Row],[2B]]-MIN_H36[[#This Row],[3B]]-MIN_H36[[#This Row],[HR]])+(MIN_H36[[#This Row],[2B]]*2)+(MIN_H36[[#This Row],[3B]]*3)+(MIN_H36[[#This Row],[HR]]*4))/MIN_H36[[#This Row],[AB]],0)</f>
        <v>0.35294117647058826</v>
      </c>
      <c r="AF198" s="28">
        <v>8</v>
      </c>
      <c r="AG198" s="28">
        <v>34</v>
      </c>
      <c r="AH198" s="28">
        <v>1</v>
      </c>
      <c r="AI198" s="28">
        <v>9</v>
      </c>
      <c r="AJ198" s="28">
        <v>3</v>
      </c>
      <c r="AK198" s="28">
        <v>0</v>
      </c>
      <c r="AL198" s="28">
        <v>0</v>
      </c>
      <c r="AM198" s="28">
        <v>0</v>
      </c>
      <c r="AN198" s="28">
        <v>4</v>
      </c>
      <c r="AO198" s="74">
        <v>9</v>
      </c>
      <c r="AP198" s="28">
        <v>2</v>
      </c>
      <c r="AQ198" s="28">
        <v>1</v>
      </c>
      <c r="AR198" s="74">
        <v>5</v>
      </c>
      <c r="AS198" s="28">
        <f>IFERROR((MIN_H36[[#This Row],[H]]-MIN_H36[[#This Row],[2B]]-MIN_H36[[#This Row],[3B]]-MIN_H36[[#This Row],[HR]])+(MIN_H36[[#This Row],[2B]]*2)+(MIN_H36[[#This Row],[3B]]*3)+(MIN_H36[[#This Row],[HR]]*4),0)</f>
        <v>12</v>
      </c>
      <c r="AT198" s="72">
        <f>MIN_H36[[#This Row],[OBP]]+MIN_H36[[#This Row],[SLG]]</f>
        <v>0.695046439628483</v>
      </c>
      <c r="AU198" s="74">
        <v>0</v>
      </c>
      <c r="AV198" s="615">
        <v>8</v>
      </c>
      <c r="AY198" s="651" t="s">
        <v>394</v>
      </c>
      <c r="AZ198" s="74" t="s">
        <v>166</v>
      </c>
      <c r="BA198" s="71" t="s">
        <v>396</v>
      </c>
      <c r="BB198" s="72">
        <f>IFERROR(CLE_H63[[#This Row],[H]]/CLE_H63[[#This Row],[AB]],0)</f>
        <v>0.36363636363636365</v>
      </c>
      <c r="BC198" s="72">
        <f>IFERROR((CLE_H63[[#This Row],[H]]+CLE_H63[[#This Row],[BB]])/(CLE_H63[[#This Row],[BB]]+CLE_H63[[#This Row],[AB]]),0)</f>
        <v>0.41666666666666669</v>
      </c>
      <c r="BD198" s="73">
        <f>IFERROR(((CLE_H63[[#This Row],[H]]-CLE_H63[[#This Row],[2B]]-CLE_H63[[#This Row],[3B]]-CLE_H63[[#This Row],[HR]])+(CLE_H63[[#This Row],[2B]]*2)+(CLE_H63[[#This Row],[3B]]*3)+(CLE_H63[[#This Row],[HR]]*4))/CLE_H63[[#This Row],[AB]],0)</f>
        <v>0.36363636363636365</v>
      </c>
      <c r="BE198" s="28">
        <v>3</v>
      </c>
      <c r="BF198" s="28">
        <v>11</v>
      </c>
      <c r="BG198" s="28">
        <v>2</v>
      </c>
      <c r="BH198" s="28">
        <v>4</v>
      </c>
      <c r="BI198" s="28">
        <v>0</v>
      </c>
      <c r="BJ198" s="28">
        <v>0</v>
      </c>
      <c r="BK198" s="28">
        <v>0</v>
      </c>
      <c r="BL198" s="28">
        <v>0</v>
      </c>
      <c r="BM198" s="28">
        <v>1</v>
      </c>
      <c r="BN198" s="74">
        <v>5</v>
      </c>
      <c r="BO198" s="28">
        <v>0</v>
      </c>
      <c r="BP198" s="28">
        <v>3</v>
      </c>
      <c r="BQ198" s="74">
        <v>3</v>
      </c>
      <c r="BR198" s="28">
        <f t="shared" si="19"/>
        <v>4</v>
      </c>
      <c r="BS198" s="72">
        <f>IFERROR(CLE_H63[[#This Row],[OBP]]+CLE_H63[[#This Row],[SLG]],0)</f>
        <v>0.78030303030303028</v>
      </c>
      <c r="BT198" s="74">
        <v>0</v>
      </c>
      <c r="BU198" s="615">
        <v>8</v>
      </c>
    </row>
    <row r="199" spans="1:73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Z199" s="651" t="s">
        <v>429</v>
      </c>
      <c r="AA199" s="71" t="s">
        <v>168</v>
      </c>
      <c r="AB199" s="77" t="s">
        <v>437</v>
      </c>
      <c r="AC199" s="130">
        <f>IFERROR(MIN_H36[[#This Row],[H]]/MIN_H36[[#This Row],[AB]],0)</f>
        <v>0.24242424242424243</v>
      </c>
      <c r="AD199" s="72">
        <f>IFERROR((MIN_H36[[#This Row],[H]]+MIN_H36[[#This Row],[BB]])/(MIN_H36[[#This Row],[BB]]+MIN_H36[[#This Row],[AB]]),0)</f>
        <v>0.32432432432432434</v>
      </c>
      <c r="AE199" s="73">
        <f>IFERROR(((MIN_H36[[#This Row],[H]]-MIN_H36[[#This Row],[2B]]-MIN_H36[[#This Row],[3B]]-MIN_H36[[#This Row],[HR]])+(MIN_H36[[#This Row],[2B]]*2)+(MIN_H36[[#This Row],[3B]]*3)+(MIN_H36[[#This Row],[HR]]*4))/MIN_H36[[#This Row],[AB]],0)</f>
        <v>0.5757575757575758</v>
      </c>
      <c r="AF199" s="28">
        <v>8</v>
      </c>
      <c r="AG199" s="28">
        <v>33</v>
      </c>
      <c r="AH199" s="28">
        <v>4</v>
      </c>
      <c r="AI199" s="28">
        <v>8</v>
      </c>
      <c r="AJ199" s="28">
        <v>2</v>
      </c>
      <c r="AK199" s="28">
        <v>0</v>
      </c>
      <c r="AL199" s="28">
        <v>3</v>
      </c>
      <c r="AM199" s="28">
        <v>4</v>
      </c>
      <c r="AN199" s="28">
        <v>4</v>
      </c>
      <c r="AO199" s="74">
        <v>8</v>
      </c>
      <c r="AP199" s="28">
        <v>0</v>
      </c>
      <c r="AQ199" s="28">
        <v>5</v>
      </c>
      <c r="AR199" s="74">
        <v>5</v>
      </c>
      <c r="AS199" s="28">
        <f>IFERROR((MIN_H36[[#This Row],[H]]-MIN_H36[[#This Row],[2B]]-MIN_H36[[#This Row],[3B]]-MIN_H36[[#This Row],[HR]])+(MIN_H36[[#This Row],[2B]]*2)+(MIN_H36[[#This Row],[3B]]*3)+(MIN_H36[[#This Row],[HR]]*4),0)</f>
        <v>19</v>
      </c>
      <c r="AT199" s="72">
        <f>MIN_H36[[#This Row],[OBP]]+MIN_H36[[#This Row],[SLG]]</f>
        <v>0.90008190008190014</v>
      </c>
      <c r="AU199" s="74">
        <v>0</v>
      </c>
      <c r="AV199" s="615">
        <v>9</v>
      </c>
      <c r="AY199" s="651" t="s">
        <v>394</v>
      </c>
      <c r="AZ199" s="74" t="s">
        <v>168</v>
      </c>
      <c r="BA199" s="71" t="s">
        <v>395</v>
      </c>
      <c r="BB199" s="72">
        <f>IFERROR(CLE_H63[[#This Row],[H]]/CLE_H63[[#This Row],[AB]],0)</f>
        <v>0.18181818181818182</v>
      </c>
      <c r="BC199" s="72">
        <f>IFERROR((CLE_H63[[#This Row],[H]]+CLE_H63[[#This Row],[BB]])/(CLE_H63[[#This Row],[BB]]+CLE_H63[[#This Row],[AB]]),0)</f>
        <v>0.25</v>
      </c>
      <c r="BD199" s="73">
        <f>IFERROR(((CLE_H63[[#This Row],[H]]-CLE_H63[[#This Row],[2B]]-CLE_H63[[#This Row],[3B]]-CLE_H63[[#This Row],[HR]])+(CLE_H63[[#This Row],[2B]]*2)+(CLE_H63[[#This Row],[3B]]*3)+(CLE_H63[[#This Row],[HR]]*4))/CLE_H63[[#This Row],[AB]],0)</f>
        <v>0.45454545454545453</v>
      </c>
      <c r="BE199" s="28">
        <v>3</v>
      </c>
      <c r="BF199" s="28">
        <v>11</v>
      </c>
      <c r="BG199" s="28">
        <v>1</v>
      </c>
      <c r="BH199" s="28">
        <v>2</v>
      </c>
      <c r="BI199" s="28">
        <v>0</v>
      </c>
      <c r="BJ199" s="28">
        <v>0</v>
      </c>
      <c r="BK199" s="28">
        <v>1</v>
      </c>
      <c r="BL199" s="28">
        <v>1</v>
      </c>
      <c r="BM199" s="28">
        <v>1</v>
      </c>
      <c r="BN199" s="74">
        <v>3</v>
      </c>
      <c r="BO199" s="28">
        <v>0</v>
      </c>
      <c r="BP199" s="28">
        <v>0</v>
      </c>
      <c r="BQ199" s="74">
        <v>1</v>
      </c>
      <c r="BR199" s="28">
        <f t="shared" si="19"/>
        <v>5</v>
      </c>
      <c r="BS199" s="72">
        <f>IFERROR(CLE_H63[[#This Row],[OBP]]+CLE_H63[[#This Row],[SLG]],0)</f>
        <v>0.70454545454545459</v>
      </c>
      <c r="BT199" s="74">
        <v>0</v>
      </c>
      <c r="BU199" s="615">
        <v>9</v>
      </c>
    </row>
    <row r="200" spans="1:73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Z200" s="651" t="s">
        <v>429</v>
      </c>
      <c r="AA200" s="71" t="s">
        <v>179</v>
      </c>
      <c r="AB200" s="77" t="s">
        <v>442</v>
      </c>
      <c r="AC200" s="130">
        <f>IFERROR(MIN_H36[[#This Row],[H]]/MIN_H36[[#This Row],[AB]],0)</f>
        <v>0</v>
      </c>
      <c r="AD200" s="72">
        <f>IFERROR((MIN_H36[[#This Row],[H]]+MIN_H36[[#This Row],[BB]])/(MIN_H36[[#This Row],[BB]]+MIN_H36[[#This Row],[AB]]),0)</f>
        <v>0</v>
      </c>
      <c r="AE200" s="73">
        <f>IFERROR(((MIN_H36[[#This Row],[H]]-MIN_H36[[#This Row],[2B]]-MIN_H36[[#This Row],[3B]]-MIN_H36[[#This Row],[HR]])+(MIN_H36[[#This Row],[2B]]*2)+(MIN_H36[[#This Row],[3B]]*3)+(MIN_H36[[#This Row],[HR]]*4))/MIN_H36[[#This Row],[AB]],0)</f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74">
        <v>0</v>
      </c>
      <c r="AP200" s="28">
        <v>0</v>
      </c>
      <c r="AQ200" s="28">
        <v>0</v>
      </c>
      <c r="AR200" s="74">
        <v>0</v>
      </c>
      <c r="AS200" s="28">
        <f>IFERROR((MIN_H36[[#This Row],[H]]-MIN_H36[[#This Row],[2B]]-MIN_H36[[#This Row],[3B]]-MIN_H36[[#This Row],[HR]])+(MIN_H36[[#This Row],[2B]]*2)+(MIN_H36[[#This Row],[3B]]*3)+(MIN_H36[[#This Row],[HR]]*4),0)</f>
        <v>0</v>
      </c>
      <c r="AT200" s="72">
        <f>MIN_H36[[#This Row],[OBP]]+MIN_H36[[#This Row],[SLG]]</f>
        <v>0</v>
      </c>
      <c r="AU200" s="74">
        <v>0</v>
      </c>
      <c r="AV200" s="615">
        <v>10</v>
      </c>
      <c r="AY200" s="651" t="s">
        <v>394</v>
      </c>
      <c r="AZ200" s="74" t="s">
        <v>179</v>
      </c>
      <c r="BA200" s="74" t="s">
        <v>410</v>
      </c>
      <c r="BB200" s="72">
        <f>IFERROR(CLE_H63[[#This Row],[H]]/CLE_H63[[#This Row],[AB]],0)</f>
        <v>0</v>
      </c>
      <c r="BC200" s="72">
        <f>IFERROR((CLE_H63[[#This Row],[H]]+CLE_H63[[#This Row],[BB]])/(CLE_H63[[#This Row],[BB]]+CLE_H63[[#This Row],[AB]]),0)</f>
        <v>0</v>
      </c>
      <c r="BD200" s="73">
        <f>IFERROR(((CLE_H63[[#This Row],[H]]-CLE_H63[[#This Row],[2B]]-CLE_H63[[#This Row],[3B]]-CLE_H63[[#This Row],[HR]])+(CLE_H63[[#This Row],[2B]]*2)+(CLE_H63[[#This Row],[3B]]*3)+(CLE_H63[[#This Row],[HR]]*4))/CLE_H63[[#This Row],[AB]],0)</f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74">
        <v>0</v>
      </c>
      <c r="BO200" s="28">
        <v>0</v>
      </c>
      <c r="BP200" s="28">
        <v>0</v>
      </c>
      <c r="BQ200" s="74">
        <v>0</v>
      </c>
      <c r="BR200" s="28">
        <f t="shared" si="19"/>
        <v>0</v>
      </c>
      <c r="BS200" s="72">
        <f>IFERROR(CLE_H63[[#This Row],[OBP]]+CLE_H63[[#This Row],[SLG]],0)</f>
        <v>0</v>
      </c>
      <c r="BT200" s="74">
        <v>0</v>
      </c>
      <c r="BU200" s="615">
        <v>10</v>
      </c>
    </row>
    <row r="201" spans="1:73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Z201" s="651" t="s">
        <v>429</v>
      </c>
      <c r="AA201" s="71" t="s">
        <v>187</v>
      </c>
      <c r="AB201" s="77" t="s">
        <v>444</v>
      </c>
      <c r="AC201" s="130">
        <f>IFERROR(MIN_H36[[#This Row],[H]]/MIN_H36[[#This Row],[AB]],0)</f>
        <v>0</v>
      </c>
      <c r="AD201" s="72">
        <f>IFERROR((MIN_H36[[#This Row],[H]]+MIN_H36[[#This Row],[BB]])/(MIN_H36[[#This Row],[BB]]+MIN_H36[[#This Row],[AB]]),0)</f>
        <v>0</v>
      </c>
      <c r="AE201" s="73">
        <f>IFERROR(((MIN_H36[[#This Row],[H]]-MIN_H36[[#This Row],[2B]]-MIN_H36[[#This Row],[3B]]-MIN_H36[[#This Row],[HR]])+(MIN_H36[[#This Row],[2B]]*2)+(MIN_H36[[#This Row],[3B]]*3)+(MIN_H36[[#This Row],[HR]]*4))/MIN_H36[[#This Row],[AB]],0)</f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74">
        <v>0</v>
      </c>
      <c r="AP201" s="28">
        <v>0</v>
      </c>
      <c r="AQ201" s="28">
        <v>0</v>
      </c>
      <c r="AR201" s="74">
        <v>0</v>
      </c>
      <c r="AS201" s="28">
        <f>IFERROR((MIN_H36[[#This Row],[H]]-MIN_H36[[#This Row],[2B]]-MIN_H36[[#This Row],[3B]]-MIN_H36[[#This Row],[HR]])+(MIN_H36[[#This Row],[2B]]*2)+(MIN_H36[[#This Row],[3B]]*3)+(MIN_H36[[#This Row],[HR]]*4),0)</f>
        <v>0</v>
      </c>
      <c r="AT201" s="72">
        <f>MIN_H36[[#This Row],[OBP]]+MIN_H36[[#This Row],[SLG]]</f>
        <v>0</v>
      </c>
      <c r="AU201" s="74">
        <v>0</v>
      </c>
      <c r="AV201" s="615">
        <v>11</v>
      </c>
      <c r="AY201" s="651" t="s">
        <v>394</v>
      </c>
      <c r="AZ201" s="74" t="s">
        <v>192</v>
      </c>
      <c r="BA201" s="71" t="s">
        <v>402</v>
      </c>
      <c r="BB201" s="72">
        <f>IFERROR(CLE_H63[[#This Row],[H]]/CLE_H63[[#This Row],[AB]],0)</f>
        <v>0</v>
      </c>
      <c r="BC201" s="72">
        <f>IFERROR((CLE_H63[[#This Row],[H]]+CLE_H63[[#This Row],[BB]])/(CLE_H63[[#This Row],[BB]]+CLE_H63[[#This Row],[AB]]),0)</f>
        <v>0</v>
      </c>
      <c r="BD201" s="73">
        <f>IFERROR(((CLE_H63[[#This Row],[H]]-CLE_H63[[#This Row],[2B]]-CLE_H63[[#This Row],[3B]]-CLE_H63[[#This Row],[HR]])+(CLE_H63[[#This Row],[2B]]*2)+(CLE_H63[[#This Row],[3B]]*3)+(CLE_H63[[#This Row],[HR]]*4))/CLE_H63[[#This Row],[AB]],0)</f>
        <v>0</v>
      </c>
      <c r="BE201" s="28">
        <v>2</v>
      </c>
      <c r="BF201" s="28">
        <v>1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74">
        <v>0</v>
      </c>
      <c r="BO201" s="28">
        <v>0</v>
      </c>
      <c r="BP201" s="28">
        <v>0</v>
      </c>
      <c r="BQ201" s="74">
        <v>0</v>
      </c>
      <c r="BR201" s="28">
        <f t="shared" si="19"/>
        <v>0</v>
      </c>
      <c r="BS201" s="72">
        <f>IFERROR(CLE_H63[[#This Row],[OBP]]+CLE_H63[[#This Row],[SLG]],0)</f>
        <v>0</v>
      </c>
      <c r="BT201" s="74">
        <v>0</v>
      </c>
      <c r="BU201" s="615">
        <v>11</v>
      </c>
    </row>
    <row r="202" spans="1:73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Z202" s="651" t="s">
        <v>429</v>
      </c>
      <c r="AA202" s="71" t="s">
        <v>2169</v>
      </c>
      <c r="AB202" s="71" t="s">
        <v>443</v>
      </c>
      <c r="AC202" s="72">
        <f>IFERROR(MIN_H36[[#This Row],[H]]/MIN_H36[[#This Row],[AB]],0)</f>
        <v>0</v>
      </c>
      <c r="AD202" s="72">
        <f>IFERROR((MIN_H36[[#This Row],[H]]+MIN_H36[[#This Row],[BB]])/(MIN_H36[[#This Row],[BB]]+MIN_H36[[#This Row],[AB]]),0)</f>
        <v>0</v>
      </c>
      <c r="AE202" s="73">
        <f>IFERROR(((MIN_H36[[#This Row],[H]]-MIN_H36[[#This Row],[2B]]-MIN_H36[[#This Row],[3B]]-MIN_H36[[#This Row],[HR]])+(MIN_H36[[#This Row],[2B]]*2)+(MIN_H36[[#This Row],[3B]]*3)+(MIN_H36[[#This Row],[HR]]*4))/MIN_H36[[#This Row],[AB]],0)</f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74">
        <v>0</v>
      </c>
      <c r="AP202" s="28">
        <v>0</v>
      </c>
      <c r="AQ202" s="28">
        <v>0</v>
      </c>
      <c r="AR202" s="74">
        <v>0</v>
      </c>
      <c r="AS202" s="28">
        <f>IFERROR((MIN_H36[[#This Row],[H]]-MIN_H36[[#This Row],[2B]]-MIN_H36[[#This Row],[3B]]-MIN_H36[[#This Row],[HR]])+(MIN_H36[[#This Row],[2B]]*2)+(MIN_H36[[#This Row],[3B]]*3)+(MIN_H36[[#This Row],[HR]]*4),0)</f>
        <v>0</v>
      </c>
      <c r="AT202" s="72">
        <f>MIN_H36[[#This Row],[OBP]]+MIN_H36[[#This Row],[SLG]]</f>
        <v>0</v>
      </c>
      <c r="AU202" s="74">
        <v>0</v>
      </c>
      <c r="AV202" s="615">
        <v>12</v>
      </c>
      <c r="AY202" s="651" t="s">
        <v>394</v>
      </c>
      <c r="AZ202" s="74" t="s">
        <v>192</v>
      </c>
      <c r="BA202" s="71" t="s">
        <v>409</v>
      </c>
      <c r="BB202" s="72">
        <f>IFERROR(CLE_H63[[#This Row],[H]]/CLE_H63[[#This Row],[AB]],0)</f>
        <v>0</v>
      </c>
      <c r="BC202" s="72">
        <f>IFERROR((CLE_H63[[#This Row],[H]]+CLE_H63[[#This Row],[BB]])/(CLE_H63[[#This Row],[BB]]+CLE_H63[[#This Row],[AB]]),0)</f>
        <v>0</v>
      </c>
      <c r="BD202" s="73">
        <f>IFERROR(((CLE_H63[[#This Row],[H]]-CLE_H63[[#This Row],[2B]]-CLE_H63[[#This Row],[3B]]-CLE_H63[[#This Row],[HR]])+(CLE_H63[[#This Row],[2B]]*2)+(CLE_H63[[#This Row],[3B]]*3)+(CLE_H63[[#This Row],[HR]]*4))/CLE_H63[[#This Row],[AB]],0)</f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74">
        <v>0</v>
      </c>
      <c r="BO202" s="28">
        <v>0</v>
      </c>
      <c r="BP202" s="28">
        <v>0</v>
      </c>
      <c r="BQ202" s="74">
        <v>0</v>
      </c>
      <c r="BR202" s="28">
        <f t="shared" si="19"/>
        <v>0</v>
      </c>
      <c r="BS202" s="72">
        <f>IFERROR(CLE_H63[[#This Row],[OBP]]+CLE_H63[[#This Row],[SLG]],0)</f>
        <v>0</v>
      </c>
      <c r="BT202" s="74">
        <v>0</v>
      </c>
      <c r="BU202" s="615">
        <v>12</v>
      </c>
    </row>
    <row r="203" spans="1:73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Z203" s="651" t="s">
        <v>429</v>
      </c>
      <c r="AA203" s="71" t="s">
        <v>186</v>
      </c>
      <c r="AB203" s="71" t="s">
        <v>445</v>
      </c>
      <c r="AC203" s="72">
        <f>IFERROR(MIN_H36[[#This Row],[H]]/MIN_H36[[#This Row],[AB]],0)</f>
        <v>0</v>
      </c>
      <c r="AD203" s="72">
        <f>IFERROR((MIN_H36[[#This Row],[H]]+MIN_H36[[#This Row],[BB]])/(MIN_H36[[#This Row],[BB]]+MIN_H36[[#This Row],[AB]]),0)</f>
        <v>0</v>
      </c>
      <c r="AE203" s="73">
        <f>IFERROR(((MIN_H36[[#This Row],[H]]-MIN_H36[[#This Row],[2B]]-MIN_H36[[#This Row],[3B]]-MIN_H36[[#This Row],[HR]])+(MIN_H36[[#This Row],[2B]]*2)+(MIN_H36[[#This Row],[3B]]*3)+(MIN_H36[[#This Row],[HR]]*4))/MIN_H36[[#This Row],[AB]],0)</f>
        <v>0</v>
      </c>
      <c r="AF203" s="77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74">
        <v>0</v>
      </c>
      <c r="AP203" s="28">
        <v>0</v>
      </c>
      <c r="AQ203" s="28">
        <v>0</v>
      </c>
      <c r="AR203" s="74">
        <v>0</v>
      </c>
      <c r="AS203" s="28">
        <f>IFERROR((MIN_H36[[#This Row],[H]]-MIN_H36[[#This Row],[2B]]-MIN_H36[[#This Row],[3B]]-MIN_H36[[#This Row],[HR]])+(MIN_H36[[#This Row],[2B]]*2)+(MIN_H36[[#This Row],[3B]]*3)+(MIN_H36[[#This Row],[HR]]*4),0)</f>
        <v>0</v>
      </c>
      <c r="AT203" s="72">
        <f>MIN_H36[[#This Row],[OBP]]+MIN_H36[[#This Row],[SLG]]</f>
        <v>0</v>
      </c>
      <c r="AU203" s="74">
        <v>0</v>
      </c>
      <c r="AV203" s="615">
        <v>13</v>
      </c>
      <c r="AY203" s="651" t="s">
        <v>394</v>
      </c>
      <c r="AZ203" s="74" t="s">
        <v>184</v>
      </c>
      <c r="BA203" s="71" t="s">
        <v>413</v>
      </c>
      <c r="BB203" s="72">
        <f>IFERROR(CLE_H63[[#This Row],[H]]/CLE_H63[[#This Row],[AB]],0)</f>
        <v>0</v>
      </c>
      <c r="BC203" s="72">
        <f>IFERROR((CLE_H63[[#This Row],[H]]+CLE_H63[[#This Row],[BB]])/(CLE_H63[[#This Row],[BB]]+CLE_H63[[#This Row],[AB]]),0)</f>
        <v>0</v>
      </c>
      <c r="BD203" s="73">
        <f>IFERROR(((CLE_H63[[#This Row],[H]]-CLE_H63[[#This Row],[2B]]-CLE_H63[[#This Row],[3B]]-CLE_H63[[#This Row],[HR]])+(CLE_H63[[#This Row],[2B]]*2)+(CLE_H63[[#This Row],[3B]]*3)+(CLE_H63[[#This Row],[HR]]*4))/CLE_H63[[#This Row],[AB]],0)</f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74">
        <v>0</v>
      </c>
      <c r="BO203" s="28">
        <v>0</v>
      </c>
      <c r="BP203" s="28">
        <v>0</v>
      </c>
      <c r="BQ203" s="74">
        <v>0</v>
      </c>
      <c r="BR203" s="28">
        <f t="shared" si="19"/>
        <v>0</v>
      </c>
      <c r="BS203" s="72">
        <f>IFERROR(CLE_H63[[#This Row],[OBP]]+CLE_H63[[#This Row],[SLG]],0)</f>
        <v>0</v>
      </c>
      <c r="BT203" s="74">
        <v>0</v>
      </c>
      <c r="BU203" s="615">
        <v>13</v>
      </c>
    </row>
    <row r="204" spans="1:73" ht="17" thickBo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Z204" s="651" t="s">
        <v>429</v>
      </c>
      <c r="AA204" s="71" t="s">
        <v>186</v>
      </c>
      <c r="AB204" s="71" t="s">
        <v>440</v>
      </c>
      <c r="AC204" s="72">
        <f>IFERROR(MIN_H36[[#This Row],[H]]/MIN_H36[[#This Row],[AB]],0)</f>
        <v>0</v>
      </c>
      <c r="AD204" s="72">
        <f>IFERROR((MIN_H36[[#This Row],[H]]+MIN_H36[[#This Row],[BB]])/(MIN_H36[[#This Row],[BB]]+MIN_H36[[#This Row],[AB]]),0)</f>
        <v>0</v>
      </c>
      <c r="AE204" s="73">
        <f>IFERROR(((MIN_H36[[#This Row],[H]]-MIN_H36[[#This Row],[2B]]-MIN_H36[[#This Row],[3B]]-MIN_H36[[#This Row],[HR]])+(MIN_H36[[#This Row],[2B]]*2)+(MIN_H36[[#This Row],[3B]]*3)+(MIN_H36[[#This Row],[HR]]*4))/MIN_H36[[#This Row],[AB]],0)</f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74">
        <v>0</v>
      </c>
      <c r="AP204" s="28">
        <v>0</v>
      </c>
      <c r="AQ204" s="28">
        <v>0</v>
      </c>
      <c r="AR204" s="74">
        <v>0</v>
      </c>
      <c r="AS204" s="28">
        <f>IFERROR((MIN_H36[[#This Row],[H]]-MIN_H36[[#This Row],[2B]]-MIN_H36[[#This Row],[3B]]-MIN_H36[[#This Row],[HR]])+(MIN_H36[[#This Row],[2B]]*2)+(MIN_H36[[#This Row],[3B]]*3)+(MIN_H36[[#This Row],[HR]]*4),0)</f>
        <v>0</v>
      </c>
      <c r="AT204" s="72">
        <f>MIN_H36[[#This Row],[OBP]]+MIN_H36[[#This Row],[SLG]]</f>
        <v>0</v>
      </c>
      <c r="AU204" s="74">
        <v>0</v>
      </c>
      <c r="AV204" s="615">
        <v>14</v>
      </c>
      <c r="AY204" s="651" t="s">
        <v>394</v>
      </c>
      <c r="AZ204" s="74" t="s">
        <v>184</v>
      </c>
      <c r="BA204" s="71" t="s">
        <v>408</v>
      </c>
      <c r="BB204" s="72">
        <f>IFERROR(CLE_H63[[#This Row],[H]]/CLE_H63[[#This Row],[AB]],0)</f>
        <v>0</v>
      </c>
      <c r="BC204" s="72">
        <f>IFERROR((CLE_H63[[#This Row],[H]]+CLE_H63[[#This Row],[BB]])/(CLE_H63[[#This Row],[BB]]+CLE_H63[[#This Row],[AB]]),0)</f>
        <v>0</v>
      </c>
      <c r="BD204" s="73">
        <f>IFERROR(((CLE_H63[[#This Row],[H]]-CLE_H63[[#This Row],[2B]]-CLE_H63[[#This Row],[3B]]-CLE_H63[[#This Row],[HR]])+(CLE_H63[[#This Row],[2B]]*2)+(CLE_H63[[#This Row],[3B]]*3)+(CLE_H63[[#This Row],[HR]]*4))/CLE_H63[[#This Row],[AB]],0)</f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612">
        <v>0</v>
      </c>
      <c r="BO204" s="998">
        <v>0</v>
      </c>
      <c r="BP204" s="28">
        <v>0</v>
      </c>
      <c r="BQ204" s="74">
        <v>0</v>
      </c>
      <c r="BR204" s="28">
        <f t="shared" si="19"/>
        <v>0</v>
      </c>
      <c r="BS204" s="72">
        <f>IFERROR(CLE_H63[[#This Row],[OBP]]+CLE_H63[[#This Row],[SLG]],0)</f>
        <v>0</v>
      </c>
      <c r="BT204" s="74">
        <v>0</v>
      </c>
      <c r="BU204" s="615">
        <v>14</v>
      </c>
    </row>
    <row r="205" spans="1:73" ht="17" thickBo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Z205" s="674"/>
      <c r="AA205" s="675"/>
      <c r="AB205" s="676" t="s">
        <v>195</v>
      </c>
      <c r="AC205" s="677">
        <f>AI205/AG205</f>
        <v>0.26950354609929078</v>
      </c>
      <c r="AD205" s="677">
        <f>(AI205+AN205)/(AG205+AN205)</f>
        <v>0.34603174603174602</v>
      </c>
      <c r="AE205" s="739">
        <f>((AI205-AJ205-AK205-AL205)+(AJ205*2)+(AK205*3)+(AL205*4))/AG205</f>
        <v>0.45744680851063829</v>
      </c>
      <c r="AF205" s="679"/>
      <c r="AG205" s="679">
        <f>SUBTOTAL(109,MIN_H36[AB])</f>
        <v>282</v>
      </c>
      <c r="AH205" s="679">
        <f>SUBTOTAL(109,MIN_H36[R])</f>
        <v>36</v>
      </c>
      <c r="AI205" s="679">
        <f>SUBTOTAL(109,MIN_H36[H])</f>
        <v>76</v>
      </c>
      <c r="AJ205" s="679">
        <f>SUBTOTAL(109,MIN_H36[2B])</f>
        <v>17</v>
      </c>
      <c r="AK205" s="679">
        <f>SUBTOTAL(109,MIN_H36[3B])</f>
        <v>0</v>
      </c>
      <c r="AL205" s="679">
        <f>SUBTOTAL(109,MIN_H36[HR])</f>
        <v>12</v>
      </c>
      <c r="AM205" s="679">
        <f>SUBTOTAL(109,MIN_H36[RBI])</f>
        <v>36</v>
      </c>
      <c r="AN205" s="679">
        <f>SUBTOTAL(109,MIN_H36[BB])</f>
        <v>33</v>
      </c>
      <c r="AO205" s="680">
        <f>SUBTOTAL(109,MIN_H36[K])</f>
        <v>72</v>
      </c>
      <c r="AP205" s="679">
        <f>SUBTOTAL(109,MIN_H36[SB])</f>
        <v>2</v>
      </c>
      <c r="AQ205" s="679"/>
      <c r="AR205" s="680"/>
      <c r="AS205" s="679">
        <f>SUBTOTAL(109,MIN_H36[TB])</f>
        <v>129</v>
      </c>
      <c r="AT205" s="677">
        <f>AD205+AE205</f>
        <v>0.80347855454238437</v>
      </c>
      <c r="AU205" s="680">
        <f>SUBTOTAL(109,MIN_H36[*])</f>
        <v>4</v>
      </c>
      <c r="AV205" s="681"/>
      <c r="AY205" s="652"/>
      <c r="AZ205" s="653"/>
      <c r="BA205" s="654" t="s">
        <v>195</v>
      </c>
      <c r="BB205" s="656">
        <f>IFERROR(BH205/BF205,0)</f>
        <v>0.23762376237623761</v>
      </c>
      <c r="BC205" s="656">
        <f>IFERROR((BH205+BM205)/(BF205+BM205),0)</f>
        <v>0.33043478260869563</v>
      </c>
      <c r="BD205" s="657">
        <f>IFERROR(((BH205-BI205-BJ205-BK205)+(BI205*2)+(BJ205*3)+(BK205*4))/BF205,0)</f>
        <v>0.37623762376237624</v>
      </c>
      <c r="BE205" s="658"/>
      <c r="BF205" s="658">
        <f t="shared" ref="BF205:BO205" si="20">SUM(BF191:BF204)</f>
        <v>101</v>
      </c>
      <c r="BG205" s="658">
        <f t="shared" si="20"/>
        <v>11</v>
      </c>
      <c r="BH205" s="658">
        <f t="shared" si="20"/>
        <v>24</v>
      </c>
      <c r="BI205" s="658">
        <f t="shared" si="20"/>
        <v>4</v>
      </c>
      <c r="BJ205" s="658">
        <f t="shared" si="20"/>
        <v>2</v>
      </c>
      <c r="BK205" s="658">
        <f t="shared" si="20"/>
        <v>2</v>
      </c>
      <c r="BL205" s="658">
        <f t="shared" si="20"/>
        <v>11</v>
      </c>
      <c r="BM205" s="658">
        <f t="shared" si="20"/>
        <v>14</v>
      </c>
      <c r="BN205" s="997">
        <f t="shared" si="20"/>
        <v>32</v>
      </c>
      <c r="BO205" s="999">
        <f t="shared" si="20"/>
        <v>1</v>
      </c>
      <c r="BP205" s="658"/>
      <c r="BQ205" s="660"/>
      <c r="BR205" s="658">
        <f t="shared" ref="BR205" si="21">IFERROR((BH205-BI205-BJ205-BK205)+(BI205*2)+(BJ205*3)+(BK205*4),0)</f>
        <v>38</v>
      </c>
      <c r="BS205" s="656">
        <f>IFERROR(BC205+BD205,0)</f>
        <v>0.70667240637107187</v>
      </c>
      <c r="BT205" s="660">
        <f>SUBTOTAL(109,CLE_H63[*])</f>
        <v>1</v>
      </c>
      <c r="BU205" s="734"/>
    </row>
    <row r="206" spans="1:73" ht="17" thickBo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</row>
    <row r="207" spans="1:73" ht="17" thickBo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Z207" s="605" t="s">
        <v>143</v>
      </c>
      <c r="AA207" s="606" t="s">
        <v>144</v>
      </c>
      <c r="AB207" s="606" t="s">
        <v>145</v>
      </c>
      <c r="AC207" s="606" t="s">
        <v>196</v>
      </c>
      <c r="AD207" s="606" t="s">
        <v>197</v>
      </c>
      <c r="AE207" s="606" t="s">
        <v>198</v>
      </c>
      <c r="AF207" s="606" t="s">
        <v>149</v>
      </c>
      <c r="AG207" s="606" t="s">
        <v>199</v>
      </c>
      <c r="AH207" s="606" t="s">
        <v>152</v>
      </c>
      <c r="AI207" s="606" t="s">
        <v>151</v>
      </c>
      <c r="AJ207" s="606" t="s">
        <v>157</v>
      </c>
      <c r="AK207" s="606" t="s">
        <v>158</v>
      </c>
      <c r="AL207" s="606" t="s">
        <v>200</v>
      </c>
      <c r="AM207" s="606" t="s">
        <v>201</v>
      </c>
      <c r="AN207" s="606" t="s">
        <v>202</v>
      </c>
      <c r="AO207" s="606" t="s">
        <v>203</v>
      </c>
      <c r="AP207" s="606" t="s">
        <v>204</v>
      </c>
      <c r="AQ207" s="606" t="s">
        <v>205</v>
      </c>
      <c r="AR207" s="607" t="s">
        <v>164</v>
      </c>
      <c r="AS207"/>
      <c r="AT207"/>
      <c r="AU207"/>
      <c r="AV207"/>
      <c r="AY207" s="605" t="s">
        <v>143</v>
      </c>
      <c r="AZ207" s="606" t="s">
        <v>144</v>
      </c>
      <c r="BA207" s="606" t="s">
        <v>145</v>
      </c>
      <c r="BB207" s="606" t="s">
        <v>196</v>
      </c>
      <c r="BC207" s="606" t="s">
        <v>197</v>
      </c>
      <c r="BD207" s="606" t="s">
        <v>198</v>
      </c>
      <c r="BE207" s="606" t="s">
        <v>149</v>
      </c>
      <c r="BF207" s="606" t="s">
        <v>199</v>
      </c>
      <c r="BG207" s="606" t="s">
        <v>152</v>
      </c>
      <c r="BH207" s="606" t="s">
        <v>151</v>
      </c>
      <c r="BI207" s="606" t="s">
        <v>157</v>
      </c>
      <c r="BJ207" s="606" t="s">
        <v>158</v>
      </c>
      <c r="BK207" s="606" t="s">
        <v>200</v>
      </c>
      <c r="BL207" s="606" t="s">
        <v>201</v>
      </c>
      <c r="BM207" s="606" t="s">
        <v>202</v>
      </c>
      <c r="BN207" s="606" t="s">
        <v>203</v>
      </c>
      <c r="BO207" s="606" t="s">
        <v>204</v>
      </c>
      <c r="BP207" s="606" t="s">
        <v>205</v>
      </c>
      <c r="BQ207" s="607" t="s">
        <v>164</v>
      </c>
      <c r="BR207"/>
      <c r="BS207"/>
      <c r="BT207"/>
      <c r="BU207"/>
    </row>
    <row r="208" spans="1:73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Z208" s="650" t="s">
        <v>429</v>
      </c>
      <c r="AA208" s="597" t="s">
        <v>206</v>
      </c>
      <c r="AB208" s="682" t="s">
        <v>448</v>
      </c>
      <c r="AC208" s="663">
        <f>IFERROR((MIN_P37[[#This Row],[R]]*9)/MIN_P37[[#This Row],[IP]],0)</f>
        <v>4.0204211869814932</v>
      </c>
      <c r="AD208" s="600">
        <v>1</v>
      </c>
      <c r="AE208" s="604">
        <v>2</v>
      </c>
      <c r="AF208" s="600">
        <v>3</v>
      </c>
      <c r="AG208" s="630">
        <v>15.67</v>
      </c>
      <c r="AH208" s="600">
        <v>20</v>
      </c>
      <c r="AI208" s="600">
        <v>7</v>
      </c>
      <c r="AJ208" s="600">
        <v>6</v>
      </c>
      <c r="AK208" s="600">
        <v>13</v>
      </c>
      <c r="AL208" s="600">
        <v>0</v>
      </c>
      <c r="AM208" s="631">
        <f>IFERROR((MIN_P37[[#This Row],[BB]]+MIN_P37[[#This Row],[H]])/MIN_P37[[#This Row],[IP]],0)</f>
        <v>1.6592214422463305</v>
      </c>
      <c r="AN208" s="600">
        <v>1</v>
      </c>
      <c r="AO208" s="601">
        <v>1</v>
      </c>
      <c r="AP208" s="600">
        <v>0</v>
      </c>
      <c r="AQ208" s="604">
        <v>0</v>
      </c>
      <c r="AR208" s="614">
        <v>1</v>
      </c>
      <c r="AS208"/>
      <c r="AT208"/>
      <c r="AU208"/>
      <c r="AV208"/>
      <c r="AY208" s="650" t="s">
        <v>394</v>
      </c>
      <c r="AZ208" s="597" t="s">
        <v>206</v>
      </c>
      <c r="BA208" s="604" t="s">
        <v>415</v>
      </c>
      <c r="BB208" s="663">
        <f>IFERROR((CLE_P64[[#This Row],[R]]*9)/CLE_P64[[#This Row],[IP]],0)</f>
        <v>2.5714285714285716</v>
      </c>
      <c r="BC208" s="600">
        <v>0</v>
      </c>
      <c r="BD208" s="604">
        <v>1</v>
      </c>
      <c r="BE208" s="600">
        <v>1</v>
      </c>
      <c r="BF208" s="630">
        <v>7</v>
      </c>
      <c r="BG208" s="600">
        <v>7</v>
      </c>
      <c r="BH208" s="600">
        <v>2</v>
      </c>
      <c r="BI208" s="600">
        <v>1</v>
      </c>
      <c r="BJ208" s="600">
        <v>10</v>
      </c>
      <c r="BK208" s="600">
        <v>0</v>
      </c>
      <c r="BL208" s="631">
        <f>IFERROR((CLE_P64[[#This Row],[BB]]+CLE_P64[[#This Row],[H]])/CLE_P64[[#This Row],[IP]],0)</f>
        <v>1.1428571428571428</v>
      </c>
      <c r="BM208" s="600">
        <v>1</v>
      </c>
      <c r="BN208" s="601">
        <v>1</v>
      </c>
      <c r="BO208" s="600">
        <v>0</v>
      </c>
      <c r="BP208" s="604">
        <v>0</v>
      </c>
      <c r="BQ208" s="614">
        <v>1</v>
      </c>
      <c r="BR208"/>
      <c r="BS208"/>
      <c r="BT208"/>
      <c r="BU208"/>
    </row>
    <row r="209" spans="1:73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Z209" s="651" t="s">
        <v>429</v>
      </c>
      <c r="AA209" s="71" t="s">
        <v>206</v>
      </c>
      <c r="AB209" s="87" t="s">
        <v>449</v>
      </c>
      <c r="AC209" s="88">
        <f>IFERROR((MIN_P37[[#This Row],[R]]*9)/MIN_P37[[#This Row],[IP]],0)</f>
        <v>7.7142857142857144</v>
      </c>
      <c r="AD209" s="28">
        <v>2</v>
      </c>
      <c r="AE209" s="74">
        <v>1</v>
      </c>
      <c r="AF209" s="28">
        <v>3</v>
      </c>
      <c r="AG209" s="584">
        <v>14</v>
      </c>
      <c r="AH209" s="28">
        <v>18</v>
      </c>
      <c r="AI209" s="28">
        <v>12</v>
      </c>
      <c r="AJ209" s="28">
        <v>5</v>
      </c>
      <c r="AK209" s="28">
        <v>14</v>
      </c>
      <c r="AL209" s="28">
        <v>0</v>
      </c>
      <c r="AM209" s="89">
        <f>IFERROR((MIN_P37[[#This Row],[BB]]+MIN_P37[[#This Row],[H]])/MIN_P37[[#This Row],[IP]],0)</f>
        <v>1.6428571428571428</v>
      </c>
      <c r="AN209" s="28">
        <v>1</v>
      </c>
      <c r="AO209" s="90">
        <v>1</v>
      </c>
      <c r="AP209" s="28">
        <v>0</v>
      </c>
      <c r="AQ209" s="74">
        <v>0</v>
      </c>
      <c r="AR209" s="615">
        <v>2</v>
      </c>
      <c r="AS209"/>
      <c r="AT209"/>
      <c r="AU209"/>
      <c r="AV209"/>
      <c r="AY209" s="651" t="s">
        <v>394</v>
      </c>
      <c r="AZ209" s="71" t="s">
        <v>206</v>
      </c>
      <c r="BA209" s="74" t="s">
        <v>414</v>
      </c>
      <c r="BB209" s="88">
        <f>IFERROR((CLE_P64[[#This Row],[R]]*9)/CLE_P64[[#This Row],[IP]],0)</f>
        <v>4.9113233287858113</v>
      </c>
      <c r="BC209" s="28">
        <v>1</v>
      </c>
      <c r="BD209" s="74">
        <v>0</v>
      </c>
      <c r="BE209" s="28">
        <v>1</v>
      </c>
      <c r="BF209" s="584">
        <v>7.33</v>
      </c>
      <c r="BG209" s="28">
        <v>8</v>
      </c>
      <c r="BH209" s="28">
        <v>4</v>
      </c>
      <c r="BI209" s="28">
        <v>1</v>
      </c>
      <c r="BJ209" s="28">
        <v>7</v>
      </c>
      <c r="BK209" s="28">
        <v>0</v>
      </c>
      <c r="BL209" s="89">
        <f>IFERROR((CLE_P64[[#This Row],[BB]]+CLE_P64[[#This Row],[H]])/CLE_P64[[#This Row],[IP]],0)</f>
        <v>1.2278308321964528</v>
      </c>
      <c r="BM209" s="28">
        <v>0</v>
      </c>
      <c r="BN209" s="90">
        <v>0</v>
      </c>
      <c r="BO209" s="28">
        <v>0</v>
      </c>
      <c r="BP209" s="74">
        <v>0</v>
      </c>
      <c r="BQ209" s="615">
        <v>2</v>
      </c>
      <c r="BR209"/>
      <c r="BS209"/>
      <c r="BT209"/>
      <c r="BU209"/>
    </row>
    <row r="210" spans="1:73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Z210" s="651" t="s">
        <v>429</v>
      </c>
      <c r="AA210" s="71" t="s">
        <v>206</v>
      </c>
      <c r="AB210" s="87" t="s">
        <v>451</v>
      </c>
      <c r="AC210" s="88">
        <f>IFERROR((MIN_P37[[#This Row],[R]]*9)/MIN_P37[[#This Row],[IP]],0)</f>
        <v>4.6272493573264786</v>
      </c>
      <c r="AD210" s="28">
        <v>1</v>
      </c>
      <c r="AE210" s="74">
        <v>1</v>
      </c>
      <c r="AF210" s="28">
        <v>2</v>
      </c>
      <c r="AG210" s="584">
        <v>11.67</v>
      </c>
      <c r="AH210" s="28">
        <v>11</v>
      </c>
      <c r="AI210" s="28">
        <v>6</v>
      </c>
      <c r="AJ210" s="28">
        <v>1</v>
      </c>
      <c r="AK210" s="28">
        <v>10</v>
      </c>
      <c r="AL210" s="28">
        <v>0</v>
      </c>
      <c r="AM210" s="89">
        <f>IFERROR((MIN_P37[[#This Row],[BB]]+MIN_P37[[#This Row],[H]])/MIN_P37[[#This Row],[IP]],0)</f>
        <v>1.0282776349614395</v>
      </c>
      <c r="AN210" s="28">
        <v>1</v>
      </c>
      <c r="AO210" s="90">
        <v>0</v>
      </c>
      <c r="AP210" s="28">
        <v>0</v>
      </c>
      <c r="AQ210" s="74">
        <v>0</v>
      </c>
      <c r="AR210" s="615">
        <v>3</v>
      </c>
      <c r="AS210"/>
      <c r="AT210"/>
      <c r="AU210"/>
      <c r="AV210"/>
      <c r="AY210" s="651" t="s">
        <v>394</v>
      </c>
      <c r="AZ210" s="71" t="s">
        <v>206</v>
      </c>
      <c r="BA210" s="74" t="s">
        <v>417</v>
      </c>
      <c r="BB210" s="88">
        <f>IFERROR((CLE_P64[[#This Row],[R]]*9)/CLE_P64[[#This Row],[IP]],0)</f>
        <v>4.5</v>
      </c>
      <c r="BC210" s="28">
        <v>0</v>
      </c>
      <c r="BD210" s="74">
        <v>1</v>
      </c>
      <c r="BE210" s="28">
        <v>1</v>
      </c>
      <c r="BF210" s="584">
        <v>6</v>
      </c>
      <c r="BG210" s="28">
        <v>6</v>
      </c>
      <c r="BH210" s="28">
        <v>3</v>
      </c>
      <c r="BI210" s="28">
        <v>3</v>
      </c>
      <c r="BJ210" s="28">
        <v>5</v>
      </c>
      <c r="BK210" s="28">
        <v>0</v>
      </c>
      <c r="BL210" s="89">
        <f>IFERROR((CLE_P64[[#This Row],[BB]]+CLE_P64[[#This Row],[H]])/CLE_P64[[#This Row],[IP]],0)</f>
        <v>1.5</v>
      </c>
      <c r="BM210" s="28">
        <v>1</v>
      </c>
      <c r="BN210" s="90">
        <v>0</v>
      </c>
      <c r="BO210" s="28">
        <v>0</v>
      </c>
      <c r="BP210" s="74">
        <v>0</v>
      </c>
      <c r="BQ210" s="615">
        <v>3</v>
      </c>
      <c r="BR210"/>
      <c r="BS210"/>
      <c r="BT210"/>
      <c r="BU210"/>
    </row>
    <row r="211" spans="1:73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Z211" s="651" t="s">
        <v>429</v>
      </c>
      <c r="AA211" s="71" t="s">
        <v>206</v>
      </c>
      <c r="AB211" s="87" t="s">
        <v>450</v>
      </c>
      <c r="AC211" s="88">
        <f>IFERROR((MIN_P37[[#This Row],[R]]*9)/MIN_P37[[#This Row],[IP]],0)</f>
        <v>6.5149948293691828</v>
      </c>
      <c r="AD211" s="28">
        <v>0</v>
      </c>
      <c r="AE211" s="74">
        <v>0</v>
      </c>
      <c r="AF211" s="28">
        <v>3</v>
      </c>
      <c r="AG211" s="584">
        <v>9.67</v>
      </c>
      <c r="AH211" s="28">
        <v>7</v>
      </c>
      <c r="AI211" s="28">
        <v>7</v>
      </c>
      <c r="AJ211" s="28">
        <v>6</v>
      </c>
      <c r="AK211" s="28">
        <v>4</v>
      </c>
      <c r="AL211" s="28">
        <v>0</v>
      </c>
      <c r="AM211" s="89">
        <f>IFERROR((MIN_P37[[#This Row],[BB]]+MIN_P37[[#This Row],[H]])/MIN_P37[[#This Row],[IP]],0)</f>
        <v>1.344364012409514</v>
      </c>
      <c r="AN211" s="28">
        <v>0</v>
      </c>
      <c r="AO211" s="90">
        <v>0</v>
      </c>
      <c r="AP211" s="28">
        <v>0</v>
      </c>
      <c r="AQ211" s="74">
        <v>0</v>
      </c>
      <c r="AR211" s="615">
        <v>4</v>
      </c>
      <c r="AS211"/>
      <c r="AT211"/>
      <c r="AU211"/>
      <c r="AV211"/>
      <c r="AY211" s="651" t="s">
        <v>394</v>
      </c>
      <c r="AZ211" s="71" t="s">
        <v>206</v>
      </c>
      <c r="BA211" s="74" t="s">
        <v>418</v>
      </c>
      <c r="BB211" s="88">
        <f>IFERROR((CLE_P64[[#This Row],[R]]*9)/CLE_P64[[#This Row],[IP]],0)</f>
        <v>0</v>
      </c>
      <c r="BC211" s="28">
        <v>0</v>
      </c>
      <c r="BD211" s="74">
        <v>0</v>
      </c>
      <c r="BE211" s="28">
        <v>0</v>
      </c>
      <c r="BF211" s="584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89">
        <f>IFERROR((CLE_P64[[#This Row],[BB]]+CLE_P64[[#This Row],[H]])/CLE_P64[[#This Row],[IP]],0)</f>
        <v>0</v>
      </c>
      <c r="BM211" s="28">
        <v>0</v>
      </c>
      <c r="BN211" s="90">
        <v>0</v>
      </c>
      <c r="BO211" s="28">
        <v>0</v>
      </c>
      <c r="BP211" s="74">
        <v>0</v>
      </c>
      <c r="BQ211" s="615">
        <v>4</v>
      </c>
      <c r="BR211"/>
      <c r="BS211"/>
      <c r="BT211"/>
      <c r="BU211"/>
    </row>
    <row r="212" spans="1:73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Z212" s="651" t="s">
        <v>429</v>
      </c>
      <c r="AA212" s="71" t="s">
        <v>212</v>
      </c>
      <c r="AB212" s="87" t="s">
        <v>453</v>
      </c>
      <c r="AC212" s="88">
        <f>IFERROR((MIN_P37[[#This Row],[R]]*9)/MIN_P37[[#This Row],[IP]],0)</f>
        <v>0</v>
      </c>
      <c r="AD212" s="28">
        <v>0</v>
      </c>
      <c r="AE212" s="74">
        <v>0</v>
      </c>
      <c r="AF212" s="28">
        <v>0</v>
      </c>
      <c r="AG212" s="584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89">
        <f>IFERROR((MIN_P37[[#This Row],[BB]]+MIN_P37[[#This Row],[H]])/MIN_P37[[#This Row],[IP]],0)</f>
        <v>0</v>
      </c>
      <c r="AN212" s="28">
        <v>0</v>
      </c>
      <c r="AO212" s="90">
        <v>0</v>
      </c>
      <c r="AP212" s="28">
        <v>0</v>
      </c>
      <c r="AQ212" s="74">
        <v>0</v>
      </c>
      <c r="AR212" s="615">
        <v>5</v>
      </c>
      <c r="AS212"/>
      <c r="AT212"/>
      <c r="AU212"/>
      <c r="AV212"/>
      <c r="AY212" s="651" t="s">
        <v>394</v>
      </c>
      <c r="AZ212" s="71" t="s">
        <v>212</v>
      </c>
      <c r="BA212" s="74" t="s">
        <v>420</v>
      </c>
      <c r="BB212" s="88">
        <f>IFERROR((CLE_P64[[#This Row],[R]]*9)/CLE_P64[[#This Row],[IP]],0)</f>
        <v>0</v>
      </c>
      <c r="BC212" s="28">
        <v>0</v>
      </c>
      <c r="BD212" s="74">
        <v>0</v>
      </c>
      <c r="BE212" s="28">
        <v>0</v>
      </c>
      <c r="BF212" s="584">
        <v>0</v>
      </c>
      <c r="BG212" s="28">
        <v>0</v>
      </c>
      <c r="BH212" s="28">
        <v>0</v>
      </c>
      <c r="BI212" s="28">
        <v>0</v>
      </c>
      <c r="BJ212" s="28">
        <v>0</v>
      </c>
      <c r="BK212" s="28">
        <v>0</v>
      </c>
      <c r="BL212" s="89">
        <f>IFERROR((CLE_P64[[#This Row],[BB]]+CLE_P64[[#This Row],[H]])/CLE_P64[[#This Row],[IP]],0)</f>
        <v>0</v>
      </c>
      <c r="BM212" s="28">
        <v>0</v>
      </c>
      <c r="BN212" s="90">
        <v>0</v>
      </c>
      <c r="BO212" s="28">
        <v>0</v>
      </c>
      <c r="BP212" s="74">
        <v>0</v>
      </c>
      <c r="BQ212" s="615">
        <v>5</v>
      </c>
      <c r="BR212"/>
      <c r="BS212"/>
      <c r="BT212"/>
      <c r="BU212"/>
    </row>
    <row r="213" spans="1:73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Z213" s="651" t="s">
        <v>429</v>
      </c>
      <c r="AA213" s="71" t="s">
        <v>212</v>
      </c>
      <c r="AB213" s="87" t="s">
        <v>455</v>
      </c>
      <c r="AC213" s="88">
        <f>IFERROR((MIN_P37[[#This Row],[R]]*9)/MIN_P37[[#This Row],[IP]],0)</f>
        <v>0</v>
      </c>
      <c r="AD213" s="28">
        <v>0</v>
      </c>
      <c r="AE213" s="74">
        <v>0</v>
      </c>
      <c r="AF213" s="28">
        <v>0</v>
      </c>
      <c r="AG213" s="584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89">
        <f>IFERROR((MIN_P37[[#This Row],[BB]]+MIN_P37[[#This Row],[H]])/MIN_P37[[#This Row],[IP]],0)</f>
        <v>0</v>
      </c>
      <c r="AN213" s="28">
        <v>0</v>
      </c>
      <c r="AO213" s="90">
        <v>0</v>
      </c>
      <c r="AP213" s="28">
        <v>0</v>
      </c>
      <c r="AQ213" s="74">
        <v>0</v>
      </c>
      <c r="AR213" s="615">
        <v>6</v>
      </c>
      <c r="AS213"/>
      <c r="AT213"/>
      <c r="AU213"/>
      <c r="AV213"/>
      <c r="AY213" s="651" t="s">
        <v>394</v>
      </c>
      <c r="AZ213" s="71" t="s">
        <v>212</v>
      </c>
      <c r="BA213" s="74" t="s">
        <v>422</v>
      </c>
      <c r="BB213" s="88">
        <f>IFERROR((CLE_P64[[#This Row],[R]]*9)/CLE_P64[[#This Row],[IP]],0)</f>
        <v>0</v>
      </c>
      <c r="BC213" s="28">
        <v>0</v>
      </c>
      <c r="BD213" s="74">
        <v>0</v>
      </c>
      <c r="BE213" s="28">
        <v>0</v>
      </c>
      <c r="BF213" s="584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89">
        <f>IFERROR((CLE_P64[[#This Row],[BB]]+CLE_P64[[#This Row],[H]])/CLE_P64[[#This Row],[IP]],0)</f>
        <v>0</v>
      </c>
      <c r="BM213" s="28">
        <v>0</v>
      </c>
      <c r="BN213" s="90">
        <v>0</v>
      </c>
      <c r="BO213" s="28">
        <v>0</v>
      </c>
      <c r="BP213" s="74">
        <v>0</v>
      </c>
      <c r="BQ213" s="615">
        <v>6</v>
      </c>
      <c r="BR213"/>
      <c r="BS213"/>
      <c r="BT213"/>
      <c r="BU213"/>
    </row>
    <row r="214" spans="1:73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Z214" s="651" t="s">
        <v>429</v>
      </c>
      <c r="AA214" s="71" t="s">
        <v>212</v>
      </c>
      <c r="AB214" s="87" t="s">
        <v>457</v>
      </c>
      <c r="AC214" s="88">
        <f>IFERROR((MIN_P37[[#This Row],[R]]*9)/MIN_P37[[#This Row],[IP]],0)</f>
        <v>4.9046321525885563</v>
      </c>
      <c r="AD214" s="28">
        <v>0</v>
      </c>
      <c r="AE214" s="74">
        <v>0</v>
      </c>
      <c r="AF214" s="28">
        <v>2</v>
      </c>
      <c r="AG214" s="584">
        <v>3.67</v>
      </c>
      <c r="AH214" s="28">
        <v>3</v>
      </c>
      <c r="AI214" s="28">
        <v>2</v>
      </c>
      <c r="AJ214" s="28">
        <v>2</v>
      </c>
      <c r="AK214" s="28">
        <v>2</v>
      </c>
      <c r="AL214" s="28">
        <v>0</v>
      </c>
      <c r="AM214" s="89">
        <f>IFERROR((MIN_P37[[#This Row],[BB]]+MIN_P37[[#This Row],[H]])/MIN_P37[[#This Row],[IP]],0)</f>
        <v>1.3623978201634879</v>
      </c>
      <c r="AN214" s="28">
        <v>0</v>
      </c>
      <c r="AO214" s="90">
        <v>0</v>
      </c>
      <c r="AP214" s="28">
        <v>0</v>
      </c>
      <c r="AQ214" s="74">
        <v>0</v>
      </c>
      <c r="AR214" s="615">
        <v>7</v>
      </c>
      <c r="AS214"/>
      <c r="AT214"/>
      <c r="AU214"/>
      <c r="AV214"/>
      <c r="AY214" s="651" t="s">
        <v>394</v>
      </c>
      <c r="AZ214" s="71" t="s">
        <v>215</v>
      </c>
      <c r="BA214" s="74" t="s">
        <v>423</v>
      </c>
      <c r="BB214" s="88">
        <f>IFERROR((CLE_P64[[#This Row],[R]]*9)/CLE_P64[[#This Row],[IP]],0)</f>
        <v>0</v>
      </c>
      <c r="BC214" s="28">
        <v>0</v>
      </c>
      <c r="BD214" s="74">
        <v>0</v>
      </c>
      <c r="BE214" s="28">
        <v>0</v>
      </c>
      <c r="BF214" s="584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89">
        <f>IFERROR((CLE_P64[[#This Row],[BB]]+CLE_P64[[#This Row],[H]])/CLE_P64[[#This Row],[IP]],0)</f>
        <v>0</v>
      </c>
      <c r="BM214" s="28">
        <v>0</v>
      </c>
      <c r="BN214" s="90">
        <v>0</v>
      </c>
      <c r="BO214" s="28">
        <v>0</v>
      </c>
      <c r="BP214" s="74">
        <v>0</v>
      </c>
      <c r="BQ214" s="615">
        <v>7</v>
      </c>
      <c r="BR214"/>
      <c r="BS214"/>
      <c r="BT214"/>
      <c r="BU214"/>
    </row>
    <row r="215" spans="1:73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Z215" s="651" t="s">
        <v>429</v>
      </c>
      <c r="AA215" s="71" t="s">
        <v>212</v>
      </c>
      <c r="AB215" s="87" t="s">
        <v>456</v>
      </c>
      <c r="AC215" s="88">
        <f>IFERROR((MIN_P37[[#This Row],[R]]*9)/MIN_P37[[#This Row],[IP]],0)</f>
        <v>1.9271948608137046</v>
      </c>
      <c r="AD215" s="28">
        <v>0</v>
      </c>
      <c r="AE215" s="74">
        <v>0</v>
      </c>
      <c r="AF215" s="28">
        <v>3</v>
      </c>
      <c r="AG215" s="584">
        <v>4.67</v>
      </c>
      <c r="AH215" s="28">
        <v>2</v>
      </c>
      <c r="AI215" s="28">
        <v>1</v>
      </c>
      <c r="AJ215" s="28">
        <v>1</v>
      </c>
      <c r="AK215" s="28">
        <v>5</v>
      </c>
      <c r="AL215" s="28">
        <v>0</v>
      </c>
      <c r="AM215" s="89">
        <f>IFERROR((MIN_P37[[#This Row],[BB]]+MIN_P37[[#This Row],[H]])/MIN_P37[[#This Row],[IP]],0)</f>
        <v>0.64239828693790146</v>
      </c>
      <c r="AN215" s="28">
        <v>0</v>
      </c>
      <c r="AO215" s="90">
        <v>0</v>
      </c>
      <c r="AP215" s="28">
        <v>0</v>
      </c>
      <c r="AQ215" s="74">
        <v>0</v>
      </c>
      <c r="AR215" s="615">
        <v>8</v>
      </c>
      <c r="AS215"/>
      <c r="AT215"/>
      <c r="AU215"/>
      <c r="AV215"/>
      <c r="AY215" s="651" t="s">
        <v>394</v>
      </c>
      <c r="AZ215" s="71" t="s">
        <v>212</v>
      </c>
      <c r="BA215" s="74" t="s">
        <v>416</v>
      </c>
      <c r="BB215" s="88">
        <f>IFERROR((CLE_P64[[#This Row],[R]]*9)/CLE_P64[[#This Row],[IP]],0)</f>
        <v>4.5</v>
      </c>
      <c r="BC215" s="28">
        <v>0</v>
      </c>
      <c r="BD215" s="74">
        <v>0</v>
      </c>
      <c r="BE215" s="28">
        <v>1</v>
      </c>
      <c r="BF215" s="584">
        <v>2</v>
      </c>
      <c r="BG215" s="28">
        <v>1</v>
      </c>
      <c r="BH215" s="28">
        <v>1</v>
      </c>
      <c r="BI215" s="28">
        <v>1</v>
      </c>
      <c r="BJ215" s="28">
        <v>1</v>
      </c>
      <c r="BK215" s="28">
        <v>0</v>
      </c>
      <c r="BL215" s="89">
        <f>IFERROR((CLE_P64[[#This Row],[BB]]+CLE_P64[[#This Row],[H]])/CLE_P64[[#This Row],[IP]],0)</f>
        <v>1</v>
      </c>
      <c r="BM215" s="28">
        <v>0</v>
      </c>
      <c r="BN215" s="90">
        <v>0</v>
      </c>
      <c r="BO215" s="28">
        <v>0</v>
      </c>
      <c r="BP215" s="74">
        <v>0</v>
      </c>
      <c r="BQ215" s="615">
        <v>8</v>
      </c>
      <c r="BR215"/>
      <c r="BS215"/>
      <c r="BT215"/>
      <c r="BU215"/>
    </row>
    <row r="216" spans="1:73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Z216" s="651" t="s">
        <v>429</v>
      </c>
      <c r="AA216" s="71" t="s">
        <v>212</v>
      </c>
      <c r="AB216" s="87" t="s">
        <v>458</v>
      </c>
      <c r="AC216" s="88">
        <f>IFERROR((MIN_P37[[#This Row],[R]]*9)/MIN_P37[[#This Row],[IP]],0)</f>
        <v>6.3492063492063489</v>
      </c>
      <c r="AD216" s="28">
        <v>0</v>
      </c>
      <c r="AE216" s="74">
        <v>0</v>
      </c>
      <c r="AF216" s="28">
        <v>5</v>
      </c>
      <c r="AG216" s="584">
        <v>5.67</v>
      </c>
      <c r="AH216" s="28">
        <v>5</v>
      </c>
      <c r="AI216" s="28">
        <v>4</v>
      </c>
      <c r="AJ216" s="28">
        <v>2</v>
      </c>
      <c r="AK216" s="28">
        <v>6</v>
      </c>
      <c r="AL216" s="28">
        <v>0</v>
      </c>
      <c r="AM216" s="89">
        <f>IFERROR((MIN_P37[[#This Row],[BB]]+MIN_P37[[#This Row],[H]])/MIN_P37[[#This Row],[IP]],0)</f>
        <v>1.2345679012345678</v>
      </c>
      <c r="AN216" s="28">
        <v>0</v>
      </c>
      <c r="AO216" s="90">
        <v>0</v>
      </c>
      <c r="AP216" s="28">
        <v>0</v>
      </c>
      <c r="AQ216" s="74">
        <v>0</v>
      </c>
      <c r="AR216" s="615">
        <v>9</v>
      </c>
      <c r="AS216"/>
      <c r="AT216"/>
      <c r="AU216"/>
      <c r="AV216"/>
      <c r="AY216" s="651" t="s">
        <v>394</v>
      </c>
      <c r="AZ216" s="71" t="s">
        <v>212</v>
      </c>
      <c r="BA216" s="74" t="s">
        <v>424</v>
      </c>
      <c r="BB216" s="88">
        <f>IFERROR((CLE_P64[[#This Row],[R]]*9)/CLE_P64[[#This Row],[IP]],0)</f>
        <v>21.556886227544911</v>
      </c>
      <c r="BC216" s="28">
        <v>0</v>
      </c>
      <c r="BD216" s="74">
        <v>0</v>
      </c>
      <c r="BE216" s="28">
        <v>2</v>
      </c>
      <c r="BF216" s="584">
        <v>1.67</v>
      </c>
      <c r="BG216" s="28">
        <v>8</v>
      </c>
      <c r="BH216" s="28">
        <v>4</v>
      </c>
      <c r="BI216" s="28">
        <v>0</v>
      </c>
      <c r="BJ216" s="28">
        <v>4</v>
      </c>
      <c r="BK216" s="28">
        <v>0</v>
      </c>
      <c r="BL216" s="89">
        <f>IFERROR((CLE_P64[[#This Row],[BB]]+CLE_P64[[#This Row],[H]])/CLE_P64[[#This Row],[IP]],0)</f>
        <v>4.7904191616766472</v>
      </c>
      <c r="BM216" s="28">
        <v>0</v>
      </c>
      <c r="BN216" s="90">
        <v>0</v>
      </c>
      <c r="BO216" s="28">
        <v>0</v>
      </c>
      <c r="BP216" s="74">
        <v>0</v>
      </c>
      <c r="BQ216" s="615">
        <v>9</v>
      </c>
      <c r="BR216"/>
      <c r="BS216"/>
      <c r="BT216"/>
      <c r="BU216"/>
    </row>
    <row r="217" spans="1:73" ht="17" thickBo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Z217" s="651" t="s">
        <v>429</v>
      </c>
      <c r="AA217" s="71" t="s">
        <v>215</v>
      </c>
      <c r="AB217" s="87" t="s">
        <v>227</v>
      </c>
      <c r="AC217" s="88">
        <f>IFERROR((MIN_P37[[#This Row],[R]]*9)/MIN_P37[[#This Row],[IP]],0)</f>
        <v>0</v>
      </c>
      <c r="AD217" s="28">
        <v>0</v>
      </c>
      <c r="AE217" s="74">
        <v>0</v>
      </c>
      <c r="AF217" s="28">
        <v>6</v>
      </c>
      <c r="AG217" s="584">
        <v>5.33</v>
      </c>
      <c r="AH217" s="28">
        <v>4</v>
      </c>
      <c r="AI217" s="28">
        <v>0</v>
      </c>
      <c r="AJ217" s="28">
        <v>4</v>
      </c>
      <c r="AK217" s="28">
        <v>10</v>
      </c>
      <c r="AL217" s="28">
        <v>2</v>
      </c>
      <c r="AM217" s="89">
        <f>IFERROR((MIN_P37[[#This Row],[BB]]+MIN_P37[[#This Row],[H]])/MIN_P37[[#This Row],[IP]],0)</f>
        <v>1.5009380863039399</v>
      </c>
      <c r="AN217" s="28">
        <v>0</v>
      </c>
      <c r="AO217" s="90">
        <v>0</v>
      </c>
      <c r="AP217" s="28">
        <v>0</v>
      </c>
      <c r="AQ217" s="74">
        <v>0</v>
      </c>
      <c r="AR217" s="615">
        <v>10</v>
      </c>
      <c r="AS217"/>
      <c r="AT217"/>
      <c r="AU217"/>
      <c r="AV217"/>
      <c r="AY217" s="651" t="s">
        <v>394</v>
      </c>
      <c r="AZ217" s="71" t="s">
        <v>212</v>
      </c>
      <c r="BA217" s="74" t="s">
        <v>425</v>
      </c>
      <c r="BB217" s="88">
        <f>IFERROR((CLE_P64[[#This Row],[R]]*9)/CLE_P64[[#This Row],[IP]],0)</f>
        <v>3</v>
      </c>
      <c r="BC217" s="28">
        <v>0</v>
      </c>
      <c r="BD217" s="74">
        <v>0</v>
      </c>
      <c r="BE217" s="28">
        <v>3</v>
      </c>
      <c r="BF217" s="584">
        <v>3</v>
      </c>
      <c r="BG217" s="28">
        <v>4</v>
      </c>
      <c r="BH217" s="28">
        <v>1</v>
      </c>
      <c r="BI217" s="28">
        <v>0</v>
      </c>
      <c r="BJ217" s="28">
        <v>2</v>
      </c>
      <c r="BK217" s="28">
        <v>1</v>
      </c>
      <c r="BL217" s="89">
        <f>IFERROR((CLE_P64[[#This Row],[BB]]+CLE_P64[[#This Row],[H]])/CLE_P64[[#This Row],[IP]],0)</f>
        <v>1.3333333333333333</v>
      </c>
      <c r="BM217" s="28">
        <v>0</v>
      </c>
      <c r="BN217" s="90">
        <v>0</v>
      </c>
      <c r="BO217" s="28">
        <v>0</v>
      </c>
      <c r="BP217" s="74">
        <v>0</v>
      </c>
      <c r="BQ217" s="615">
        <v>10</v>
      </c>
      <c r="BR217"/>
      <c r="BS217"/>
      <c r="BT217"/>
      <c r="BU217"/>
    </row>
    <row r="218" spans="1:73" ht="17" thickBo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Z218" s="691"/>
      <c r="AA218" s="773"/>
      <c r="AB218" s="692" t="s">
        <v>195</v>
      </c>
      <c r="AC218" s="745">
        <f>(AI218*9)/AG218</f>
        <v>4.9893390191897646</v>
      </c>
      <c r="AD218" s="696">
        <f>SUBTOTAL(109,MIN_P37[W])</f>
        <v>4</v>
      </c>
      <c r="AE218" s="697">
        <f>SUBTOTAL(109,MIN_P37[L])</f>
        <v>4</v>
      </c>
      <c r="AF218" s="696"/>
      <c r="AG218" s="700">
        <f>SUBTOTAL(109,MIN_P37[IP])</f>
        <v>70.350000000000009</v>
      </c>
      <c r="AH218" s="696">
        <f>SUBTOTAL(109,MIN_P37[H])</f>
        <v>70</v>
      </c>
      <c r="AI218" s="696">
        <f>SUBTOTAL(109,MIN_P37[R])</f>
        <v>39</v>
      </c>
      <c r="AJ218" s="696">
        <f>SUBTOTAL(109,MIN_P37[BB])</f>
        <v>27</v>
      </c>
      <c r="AK218" s="696">
        <f>SUBTOTAL(109,MIN_P37[K])</f>
        <v>64</v>
      </c>
      <c r="AL218" s="696">
        <f>SUBTOTAL(109,MIN_P37[SV])</f>
        <v>2</v>
      </c>
      <c r="AM218" s="746">
        <f>(AJ218+AH218)/AG218</f>
        <v>1.3788201847903339</v>
      </c>
      <c r="AN218" s="701">
        <f>SUBTOTAL(109,MIN_P37[QS])</f>
        <v>3</v>
      </c>
      <c r="AO218" s="702">
        <f>SUBTOTAL(109,MIN_P37[UQ])</f>
        <v>2</v>
      </c>
      <c r="AP218" s="703">
        <f>SUBTOTAL(109,MIN_P37[CG])</f>
        <v>0</v>
      </c>
      <c r="AQ218" s="704">
        <f>SUBTOTAL(109,MIN_P37[SH])</f>
        <v>0</v>
      </c>
      <c r="AR218" s="698"/>
      <c r="AS218"/>
      <c r="AT218"/>
      <c r="AU218"/>
      <c r="AV218"/>
      <c r="AY218" s="735"/>
      <c r="AZ218" s="660"/>
      <c r="BA218" s="660" t="s">
        <v>195</v>
      </c>
      <c r="BB218" s="665">
        <f>IFERROR((BH218*9)/BF218,0)</f>
        <v>5</v>
      </c>
      <c r="BC218" s="658">
        <f>SUM(BC208:BC217)</f>
        <v>1</v>
      </c>
      <c r="BD218" s="660">
        <f>SUM(BD208:BD217)</f>
        <v>2</v>
      </c>
      <c r="BE218" s="658"/>
      <c r="BF218" s="666">
        <f t="shared" ref="BF218:BK218" si="22">SUM(BF208:BF217)</f>
        <v>27</v>
      </c>
      <c r="BG218" s="658">
        <f t="shared" si="22"/>
        <v>34</v>
      </c>
      <c r="BH218" s="658">
        <f t="shared" si="22"/>
        <v>15</v>
      </c>
      <c r="BI218" s="658">
        <f t="shared" si="22"/>
        <v>6</v>
      </c>
      <c r="BJ218" s="658">
        <f t="shared" si="22"/>
        <v>29</v>
      </c>
      <c r="BK218" s="658">
        <f t="shared" si="22"/>
        <v>1</v>
      </c>
      <c r="BL218" s="667">
        <f>IFERROR((BI218+BG218)/BF218,0)</f>
        <v>1.4814814814814814</v>
      </c>
      <c r="BM218" s="661">
        <f>SUBTOTAL(109,CLE_P64[QS])</f>
        <v>2</v>
      </c>
      <c r="BN218" s="750">
        <f>SUBTOTAL(109,CLE_P64[UQ])</f>
        <v>1</v>
      </c>
      <c r="BO218" s="658">
        <f>SUM(BO208:BO217)</f>
        <v>0</v>
      </c>
      <c r="BP218" s="660">
        <f>SUM(BP208:BP217)</f>
        <v>0</v>
      </c>
      <c r="BQ218" s="738"/>
    </row>
  </sheetData>
  <sortState xmlns:xlrd2="http://schemas.microsoft.com/office/spreadsheetml/2017/richdata2" ref="AY191:BU204">
    <sortCondition ref="BU191:BU204"/>
  </sortState>
  <mergeCells count="26">
    <mergeCell ref="Z157:AV157"/>
    <mergeCell ref="AY157:BU157"/>
    <mergeCell ref="Z158:AV158"/>
    <mergeCell ref="AY158:BU158"/>
    <mergeCell ref="Z189:AV189"/>
    <mergeCell ref="AY189:BU189"/>
    <mergeCell ref="Z1:AV1"/>
    <mergeCell ref="AY1:BU1"/>
    <mergeCell ref="Z2:AV2"/>
    <mergeCell ref="AY2:BU2"/>
    <mergeCell ref="Z126:AV126"/>
    <mergeCell ref="AY126:BU126"/>
    <mergeCell ref="Z33:AV33"/>
    <mergeCell ref="AY33:BU33"/>
    <mergeCell ref="Z95:AV95"/>
    <mergeCell ref="AY95:BU95"/>
    <mergeCell ref="Z64:AV64"/>
    <mergeCell ref="AY64:BU64"/>
    <mergeCell ref="A158:W158"/>
    <mergeCell ref="A157:W157"/>
    <mergeCell ref="A1:W1"/>
    <mergeCell ref="A2:W2"/>
    <mergeCell ref="A126:W126"/>
    <mergeCell ref="A33:W33"/>
    <mergeCell ref="A95:W95"/>
    <mergeCell ref="A64:W64"/>
  </mergeCells>
  <pageMargins left="0.7" right="0.7" top="0.75" bottom="0.75" header="0.3" footer="0.3"/>
  <tableParts count="4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U249"/>
  <sheetViews>
    <sheetView tabSelected="1" zoomScale="120" zoomScaleNormal="12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Z2" sqref="Z2:AV2"/>
    </sheetView>
  </sheetViews>
  <sheetFormatPr baseColWidth="10" defaultRowHeight="16"/>
  <cols>
    <col min="1" max="1" width="6.33203125" customWidth="1"/>
    <col min="2" max="2" width="5.83203125" customWidth="1"/>
    <col min="3" max="3" width="13.1640625" customWidth="1"/>
    <col min="4" max="6" width="7.1640625" customWidth="1"/>
    <col min="7" max="7" width="5" customWidth="1"/>
    <col min="8" max="8" width="6" customWidth="1"/>
    <col min="9" max="10" width="5" customWidth="1"/>
    <col min="11" max="11" width="6" customWidth="1"/>
    <col min="12" max="12" width="5.6640625" customWidth="1"/>
    <col min="13" max="13" width="6.1640625" customWidth="1"/>
    <col min="14" max="14" width="6.6640625" customWidth="1"/>
    <col min="15" max="15" width="6" customWidth="1"/>
    <col min="16" max="17" width="6.1640625" customWidth="1"/>
    <col min="18" max="18" width="6" customWidth="1"/>
    <col min="19" max="19" width="5.83203125" customWidth="1"/>
    <col min="20" max="20" width="6" customWidth="1"/>
    <col min="21" max="21" width="7" customWidth="1"/>
    <col min="22" max="22" width="4.5" customWidth="1"/>
    <col min="23" max="23" width="6.1640625" customWidth="1"/>
    <col min="24" max="24" width="3.5" customWidth="1"/>
    <col min="25" max="25" width="3.1640625" customWidth="1"/>
    <col min="26" max="26" width="6.33203125" customWidth="1"/>
    <col min="27" max="27" width="5.83203125" customWidth="1"/>
    <col min="28" max="28" width="13.1640625" bestFit="1" customWidth="1"/>
    <col min="29" max="31" width="7.1640625" customWidth="1"/>
    <col min="32" max="32" width="5" customWidth="1"/>
    <col min="33" max="33" width="6" customWidth="1"/>
    <col min="34" max="35" width="5" customWidth="1"/>
    <col min="36" max="36" width="6" customWidth="1"/>
    <col min="37" max="37" width="5.6640625" customWidth="1"/>
    <col min="38" max="38" width="6.1640625" customWidth="1"/>
    <col min="39" max="39" width="6.6640625" customWidth="1"/>
    <col min="40" max="40" width="6" customWidth="1"/>
    <col min="41" max="42" width="6.1640625" customWidth="1"/>
    <col min="43" max="43" width="6" customWidth="1"/>
    <col min="44" max="44" width="5.83203125" customWidth="1"/>
    <col min="45" max="45" width="6" customWidth="1"/>
    <col min="46" max="46" width="7" customWidth="1"/>
    <col min="47" max="47" width="4.5" customWidth="1"/>
    <col min="48" max="48" width="6.1640625" customWidth="1"/>
    <col min="49" max="49" width="3.6640625" customWidth="1"/>
    <col min="50" max="50" width="4" customWidth="1"/>
    <col min="51" max="51" width="6.33203125" customWidth="1"/>
    <col min="52" max="52" width="5.83203125" customWidth="1"/>
    <col min="53" max="53" width="13" customWidth="1"/>
    <col min="54" max="56" width="7.1640625" customWidth="1"/>
    <col min="57" max="57" width="5" customWidth="1"/>
    <col min="58" max="58" width="6" customWidth="1"/>
    <col min="59" max="60" width="5" customWidth="1"/>
    <col min="61" max="61" width="6" customWidth="1"/>
    <col min="62" max="62" width="5.6640625" customWidth="1"/>
    <col min="63" max="63" width="6.1640625" customWidth="1"/>
    <col min="64" max="64" width="6.6640625" customWidth="1"/>
    <col min="65" max="65" width="6" customWidth="1"/>
    <col min="66" max="67" width="6.1640625" customWidth="1"/>
    <col min="68" max="68" width="6" customWidth="1"/>
    <col min="69" max="69" width="5.83203125" customWidth="1"/>
    <col min="70" max="70" width="6" customWidth="1"/>
    <col min="71" max="71" width="7" customWidth="1"/>
    <col min="72" max="72" width="4.5" customWidth="1"/>
    <col min="73" max="73" width="6.1640625" customWidth="1"/>
    <col min="74" max="74" width="2.83203125" customWidth="1"/>
  </cols>
  <sheetData>
    <row r="1" spans="1:73" ht="29" thickBot="1">
      <c r="A1" s="1021" t="s">
        <v>575</v>
      </c>
      <c r="B1" s="1022"/>
      <c r="C1" s="1022"/>
      <c r="D1" s="1022"/>
      <c r="E1" s="1022"/>
      <c r="F1" s="1022"/>
      <c r="G1" s="1022"/>
      <c r="H1" s="1022"/>
      <c r="I1" s="1022"/>
      <c r="J1" s="1022"/>
      <c r="K1" s="1022"/>
      <c r="L1" s="1022"/>
      <c r="M1" s="1022"/>
      <c r="N1" s="1022"/>
      <c r="O1" s="1022"/>
      <c r="P1" s="1022"/>
      <c r="Q1" s="1022"/>
      <c r="R1" s="1022"/>
      <c r="S1" s="1022"/>
      <c r="T1" s="1022"/>
      <c r="U1" s="1022"/>
      <c r="V1" s="1022"/>
      <c r="W1" s="1023"/>
      <c r="Z1" s="1021" t="s">
        <v>576</v>
      </c>
      <c r="AA1" s="1022"/>
      <c r="AB1" s="1022"/>
      <c r="AC1" s="1022"/>
      <c r="AD1" s="1022"/>
      <c r="AE1" s="1022"/>
      <c r="AF1" s="1022"/>
      <c r="AG1" s="1022"/>
      <c r="AH1" s="1022"/>
      <c r="AI1" s="1022"/>
      <c r="AJ1" s="1022"/>
      <c r="AK1" s="1022"/>
      <c r="AL1" s="1022"/>
      <c r="AM1" s="1022"/>
      <c r="AN1" s="1022"/>
      <c r="AO1" s="1022"/>
      <c r="AP1" s="1022"/>
      <c r="AQ1" s="1022"/>
      <c r="AR1" s="1022"/>
      <c r="AS1" s="1022"/>
      <c r="AT1" s="1022"/>
      <c r="AU1" s="1022"/>
      <c r="AV1" s="1023"/>
      <c r="AY1" s="1021" t="s">
        <v>577</v>
      </c>
      <c r="AZ1" s="1022"/>
      <c r="BA1" s="1022"/>
      <c r="BB1" s="1022"/>
      <c r="BC1" s="1022"/>
      <c r="BD1" s="1022"/>
      <c r="BE1" s="1022"/>
      <c r="BF1" s="1022"/>
      <c r="BG1" s="1022"/>
      <c r="BH1" s="1022"/>
      <c r="BI1" s="1022"/>
      <c r="BJ1" s="1022"/>
      <c r="BK1" s="1022"/>
      <c r="BL1" s="1022"/>
      <c r="BM1" s="1022"/>
      <c r="BN1" s="1022"/>
      <c r="BO1" s="1022"/>
      <c r="BP1" s="1022"/>
      <c r="BQ1" s="1022"/>
      <c r="BR1" s="1022"/>
      <c r="BS1" s="1022"/>
      <c r="BT1" s="1022"/>
      <c r="BU1" s="1023"/>
    </row>
    <row r="2" spans="1:73" ht="24" thickBot="1">
      <c r="A2" s="1012" t="s">
        <v>578</v>
      </c>
      <c r="B2" s="1013"/>
      <c r="C2" s="1013"/>
      <c r="D2" s="1013"/>
      <c r="E2" s="1013"/>
      <c r="F2" s="1013"/>
      <c r="G2" s="1013"/>
      <c r="H2" s="1013"/>
      <c r="I2" s="1013"/>
      <c r="J2" s="1013"/>
      <c r="K2" s="1013"/>
      <c r="L2" s="1013"/>
      <c r="M2" s="1013"/>
      <c r="N2" s="1013"/>
      <c r="O2" s="1013"/>
      <c r="P2" s="1013"/>
      <c r="Q2" s="1013"/>
      <c r="R2" s="1013"/>
      <c r="S2" s="1013"/>
      <c r="T2" s="1013"/>
      <c r="U2" s="1013"/>
      <c r="V2" s="1013"/>
      <c r="W2" s="1014"/>
      <c r="Z2" s="1012" t="s">
        <v>579</v>
      </c>
      <c r="AA2" s="1013"/>
      <c r="AB2" s="1013"/>
      <c r="AC2" s="1013"/>
      <c r="AD2" s="1013"/>
      <c r="AE2" s="1013"/>
      <c r="AF2" s="1013"/>
      <c r="AG2" s="1013"/>
      <c r="AH2" s="1013"/>
      <c r="AI2" s="1013"/>
      <c r="AJ2" s="1013"/>
      <c r="AK2" s="1013"/>
      <c r="AL2" s="1013"/>
      <c r="AM2" s="1013"/>
      <c r="AN2" s="1013"/>
      <c r="AO2" s="1013"/>
      <c r="AP2" s="1013"/>
      <c r="AQ2" s="1013"/>
      <c r="AR2" s="1013"/>
      <c r="AS2" s="1013"/>
      <c r="AT2" s="1013"/>
      <c r="AU2" s="1013"/>
      <c r="AV2" s="1014"/>
      <c r="AY2" s="1027" t="s">
        <v>578</v>
      </c>
      <c r="AZ2" s="1028"/>
      <c r="BA2" s="1028"/>
      <c r="BB2" s="1028"/>
      <c r="BC2" s="1028"/>
      <c r="BD2" s="1028"/>
      <c r="BE2" s="1028"/>
      <c r="BF2" s="1028"/>
      <c r="BG2" s="1028"/>
      <c r="BH2" s="1028"/>
      <c r="BI2" s="1028"/>
      <c r="BJ2" s="1028"/>
      <c r="BK2" s="1028"/>
      <c r="BL2" s="1028"/>
      <c r="BM2" s="1028"/>
      <c r="BN2" s="1028"/>
      <c r="BO2" s="1028"/>
      <c r="BP2" s="1028"/>
      <c r="BQ2" s="1028"/>
      <c r="BR2" s="1028"/>
      <c r="BS2" s="1028"/>
      <c r="BT2" s="1028"/>
      <c r="BU2" s="1029"/>
    </row>
    <row r="3" spans="1:73" s="64" customFormat="1" ht="14" thickBot="1">
      <c r="A3" s="605" t="s">
        <v>143</v>
      </c>
      <c r="B3" s="606" t="s">
        <v>144</v>
      </c>
      <c r="C3" s="606" t="s">
        <v>145</v>
      </c>
      <c r="D3" s="606" t="s">
        <v>146</v>
      </c>
      <c r="E3" s="606" t="s">
        <v>147</v>
      </c>
      <c r="F3" s="606" t="s">
        <v>148</v>
      </c>
      <c r="G3" s="606" t="s">
        <v>149</v>
      </c>
      <c r="H3" s="606" t="s">
        <v>150</v>
      </c>
      <c r="I3" s="606" t="s">
        <v>151</v>
      </c>
      <c r="J3" s="606" t="s">
        <v>152</v>
      </c>
      <c r="K3" s="606" t="s">
        <v>153</v>
      </c>
      <c r="L3" s="606" t="s">
        <v>154</v>
      </c>
      <c r="M3" s="606" t="s">
        <v>155</v>
      </c>
      <c r="N3" s="606" t="s">
        <v>156</v>
      </c>
      <c r="O3" s="606" t="s">
        <v>157</v>
      </c>
      <c r="P3" s="606" t="s">
        <v>158</v>
      </c>
      <c r="Q3" s="606" t="s">
        <v>159</v>
      </c>
      <c r="R3" s="606" t="s">
        <v>160</v>
      </c>
      <c r="S3" s="606" t="s">
        <v>16</v>
      </c>
      <c r="T3" s="606" t="s">
        <v>161</v>
      </c>
      <c r="U3" s="606" t="s">
        <v>162</v>
      </c>
      <c r="V3" s="606" t="s">
        <v>163</v>
      </c>
      <c r="W3" s="607" t="s">
        <v>164</v>
      </c>
      <c r="Z3" s="605" t="s">
        <v>143</v>
      </c>
      <c r="AA3" s="606" t="s">
        <v>144</v>
      </c>
      <c r="AB3" s="606" t="s">
        <v>145</v>
      </c>
      <c r="AC3" s="606" t="s">
        <v>146</v>
      </c>
      <c r="AD3" s="606" t="s">
        <v>147</v>
      </c>
      <c r="AE3" s="606" t="s">
        <v>148</v>
      </c>
      <c r="AF3" s="606" t="s">
        <v>149</v>
      </c>
      <c r="AG3" s="606" t="s">
        <v>150</v>
      </c>
      <c r="AH3" s="606" t="s">
        <v>151</v>
      </c>
      <c r="AI3" s="606" t="s">
        <v>152</v>
      </c>
      <c r="AJ3" s="606" t="s">
        <v>153</v>
      </c>
      <c r="AK3" s="606" t="s">
        <v>154</v>
      </c>
      <c r="AL3" s="606" t="s">
        <v>155</v>
      </c>
      <c r="AM3" s="606" t="s">
        <v>156</v>
      </c>
      <c r="AN3" s="606" t="s">
        <v>157</v>
      </c>
      <c r="AO3" s="606" t="s">
        <v>158</v>
      </c>
      <c r="AP3" s="606" t="s">
        <v>159</v>
      </c>
      <c r="AQ3" s="606" t="s">
        <v>160</v>
      </c>
      <c r="AR3" s="606" t="s">
        <v>16</v>
      </c>
      <c r="AS3" s="606" t="s">
        <v>161</v>
      </c>
      <c r="AT3" s="606" t="s">
        <v>162</v>
      </c>
      <c r="AU3" s="606" t="s">
        <v>163</v>
      </c>
      <c r="AV3" s="607" t="s">
        <v>164</v>
      </c>
      <c r="AY3" s="605" t="s">
        <v>143</v>
      </c>
      <c r="AZ3" s="606" t="s">
        <v>144</v>
      </c>
      <c r="BA3" s="606" t="s">
        <v>145</v>
      </c>
      <c r="BB3" s="606" t="s">
        <v>146</v>
      </c>
      <c r="BC3" s="606" t="s">
        <v>147</v>
      </c>
      <c r="BD3" s="606" t="s">
        <v>148</v>
      </c>
      <c r="BE3" s="606" t="s">
        <v>149</v>
      </c>
      <c r="BF3" s="606" t="s">
        <v>150</v>
      </c>
      <c r="BG3" s="606" t="s">
        <v>151</v>
      </c>
      <c r="BH3" s="606" t="s">
        <v>152</v>
      </c>
      <c r="BI3" s="606" t="s">
        <v>153</v>
      </c>
      <c r="BJ3" s="606" t="s">
        <v>154</v>
      </c>
      <c r="BK3" s="606" t="s">
        <v>155</v>
      </c>
      <c r="BL3" s="606" t="s">
        <v>156</v>
      </c>
      <c r="BM3" s="606" t="s">
        <v>157</v>
      </c>
      <c r="BN3" s="606" t="s">
        <v>158</v>
      </c>
      <c r="BO3" s="606" t="s">
        <v>159</v>
      </c>
      <c r="BP3" s="606" t="s">
        <v>160</v>
      </c>
      <c r="BQ3" s="606" t="s">
        <v>16</v>
      </c>
      <c r="BR3" s="606" t="s">
        <v>161</v>
      </c>
      <c r="BS3" s="606" t="s">
        <v>162</v>
      </c>
      <c r="BT3" s="606" t="s">
        <v>163</v>
      </c>
      <c r="BU3" s="607" t="s">
        <v>164</v>
      </c>
    </row>
    <row r="4" spans="1:73">
      <c r="A4" s="650" t="s">
        <v>580</v>
      </c>
      <c r="B4" s="597" t="s">
        <v>308</v>
      </c>
      <c r="C4" s="597" t="s">
        <v>587</v>
      </c>
      <c r="D4" s="598">
        <f>IFERROR(HOU_H[[#This Row],[H]]/HOU_H[[#This Row],[AB]],0)</f>
        <v>0.31578947368421051</v>
      </c>
      <c r="E4" s="598">
        <f>IFERROR((HOU_H[[#This Row],[H]]+HOU_H[[#This Row],[BB]])/(HOU_H[[#This Row],[BB]]+HOU_H[[#This Row],[AB]]),0)</f>
        <v>0.33576642335766421</v>
      </c>
      <c r="F4" s="599">
        <f>IFERROR(((HOU_H[[#This Row],[H]]-HOU_H[[#This Row],[2B]]-HOU_H[[#This Row],[3B]]-HOU_H[[#This Row],[HR]])+(HOU_H[[#This Row],[2B]]*2)+(HOU_H[[#This Row],[3B]]*3)+(HOU_H[[#This Row],[HR]]*4))/HOU_H[[#This Row],[AB]],0)</f>
        <v>0.50375939849624063</v>
      </c>
      <c r="G4" s="600">
        <v>34</v>
      </c>
      <c r="H4" s="600">
        <v>133</v>
      </c>
      <c r="I4" s="600">
        <v>12</v>
      </c>
      <c r="J4" s="600">
        <v>42</v>
      </c>
      <c r="K4" s="600">
        <v>10</v>
      </c>
      <c r="L4" s="600">
        <v>0</v>
      </c>
      <c r="M4" s="600">
        <v>5</v>
      </c>
      <c r="N4" s="600">
        <v>27</v>
      </c>
      <c r="O4" s="600">
        <v>4</v>
      </c>
      <c r="P4" s="604">
        <v>30</v>
      </c>
      <c r="Q4" s="600">
        <v>0</v>
      </c>
      <c r="R4" s="600">
        <v>14</v>
      </c>
      <c r="S4" s="604">
        <v>14</v>
      </c>
      <c r="T4" s="600">
        <f>IFERROR((HOU_H[[#This Row],[H]]-HOU_H[[#This Row],[2B]]-HOU_H[[#This Row],[3B]]-HOU_H[[#This Row],[HR]])+(HOU_H[[#This Row],[2B]]*2)+(HOU_H[[#This Row],[3B]]*3)+(HOU_H[[#This Row],[HR]]*4),0)</f>
        <v>67</v>
      </c>
      <c r="U4" s="598">
        <f>HOU_H[[#This Row],[OBP]]+HOU_H[[#This Row],[SLG]]</f>
        <v>0.83952582185390479</v>
      </c>
      <c r="V4" s="604">
        <v>2</v>
      </c>
      <c r="W4" s="614">
        <v>1</v>
      </c>
      <c r="Z4" s="650" t="s">
        <v>580</v>
      </c>
      <c r="AA4" s="597" t="s">
        <v>179</v>
      </c>
      <c r="AB4" s="597" t="s">
        <v>590</v>
      </c>
      <c r="AC4" s="598">
        <f>IFERROR(HOU_H192[[#This Row],[H]]/HOU_H192[[#This Row],[AB]],0)</f>
        <v>0.21111111111111111</v>
      </c>
      <c r="AD4" s="598">
        <f>IFERROR((HOU_H192[[#This Row],[H]]+HOU_H192[[#This Row],[BB]])/(HOU_H192[[#This Row],[BB]]+HOU_H192[[#This Row],[AB]]),0)</f>
        <v>0.28282828282828282</v>
      </c>
      <c r="AE4" s="599">
        <f>IFERROR(((HOU_H192[[#This Row],[H]]-HOU_H192[[#This Row],[2B]]-HOU_H192[[#This Row],[3B]]-HOU_H192[[#This Row],[HR]])+(HOU_H192[[#This Row],[2B]]*2)+(HOU_H192[[#This Row],[3B]]*3)+(HOU_H192[[#This Row],[HR]]*4))/HOU_H192[[#This Row],[AB]],0)</f>
        <v>0.35555555555555557</v>
      </c>
      <c r="AF4" s="600">
        <v>27</v>
      </c>
      <c r="AG4" s="600">
        <v>90</v>
      </c>
      <c r="AH4" s="600">
        <v>7</v>
      </c>
      <c r="AI4" s="600">
        <v>19</v>
      </c>
      <c r="AJ4" s="600">
        <v>2</v>
      </c>
      <c r="AK4" s="600">
        <v>1</v>
      </c>
      <c r="AL4" s="600">
        <v>3</v>
      </c>
      <c r="AM4" s="600">
        <v>7</v>
      </c>
      <c r="AN4" s="600">
        <v>9</v>
      </c>
      <c r="AO4" s="604">
        <v>22</v>
      </c>
      <c r="AP4" s="600">
        <v>0</v>
      </c>
      <c r="AQ4" s="600">
        <v>0</v>
      </c>
      <c r="AR4" s="604">
        <v>5</v>
      </c>
      <c r="AS4" s="600">
        <f>IFERROR((HOU_H192[[#This Row],[H]]-HOU_H192[[#This Row],[2B]]-HOU_H192[[#This Row],[3B]]-HOU_H192[[#This Row],[HR]])+(HOU_H192[[#This Row],[2B]]*2)+(HOU_H192[[#This Row],[3B]]*3)+(HOU_H192[[#This Row],[HR]]*4),0)</f>
        <v>32</v>
      </c>
      <c r="AT4" s="598">
        <f>HOU_H192[[#This Row],[OBP]]+HOU_H192[[#This Row],[SLG]]</f>
        <v>0.63838383838383839</v>
      </c>
      <c r="AU4" s="604">
        <v>1</v>
      </c>
      <c r="AV4" s="614">
        <v>1</v>
      </c>
      <c r="AY4" s="608" t="s">
        <v>580</v>
      </c>
      <c r="AZ4" s="604" t="s">
        <v>179</v>
      </c>
      <c r="BA4" s="597" t="s">
        <v>591</v>
      </c>
      <c r="BB4" s="598">
        <f>IFERROR(HOU_H178[[#This Row],[H]]/HOU_H178[[#This Row],[AB]],0)</f>
        <v>0.2</v>
      </c>
      <c r="BC4" s="598">
        <f>IFERROR((HOU_H178[[#This Row],[BB]]+HOU_H178[[#This Row],[H]])/(HOU_H178[[#This Row],[AB]]+HOU_H178[[#This Row],[BB]]),0)</f>
        <v>0.29166666666666669</v>
      </c>
      <c r="BD4" s="599">
        <f>IFERROR(((HOU_H178[[#This Row],[H]]-HOU_H178[[#This Row],[2B]]-HOU_H178[[#This Row],[3B]]-HOU_H178[[#This Row],[HR]])+(HOU_H178[[#This Row],[2B]]*2)+(HOU_H178[[#This Row],[3B]]*3)+(HOU_H178[[#This Row],[HR]]*4))/HOU_H178[[#This Row],[AB]],0)</f>
        <v>0.32941176470588235</v>
      </c>
      <c r="BE4" s="600">
        <v>33</v>
      </c>
      <c r="BF4" s="600">
        <v>85</v>
      </c>
      <c r="BG4" s="600">
        <v>14</v>
      </c>
      <c r="BH4" s="600">
        <v>17</v>
      </c>
      <c r="BI4" s="600">
        <v>2</v>
      </c>
      <c r="BJ4" s="600">
        <v>0</v>
      </c>
      <c r="BK4" s="600">
        <v>3</v>
      </c>
      <c r="BL4" s="600">
        <v>6</v>
      </c>
      <c r="BM4" s="600">
        <v>11</v>
      </c>
      <c r="BN4" s="604">
        <v>20</v>
      </c>
      <c r="BO4" s="600">
        <v>0</v>
      </c>
      <c r="BP4" s="600">
        <v>0</v>
      </c>
      <c r="BQ4" s="604">
        <v>4</v>
      </c>
      <c r="BR4" s="600">
        <f>(HOU_H178[[#This Row],[H]]-HOU_H178[[#This Row],[2B]]-HOU_H178[[#This Row],[3B]]-HOU_H178[[#This Row],[HR]])+(HOU_H178[[#This Row],[2B]]*2)+(HOU_H178[[#This Row],[3B]]*3)+(HOU_H178[[#This Row],[HR]]*4)</f>
        <v>28</v>
      </c>
      <c r="BS4" s="598">
        <f>IFERROR(HOU_H178[[#This Row],[OBP]]+HOU_H178[[#This Row],[SLG]],0)</f>
        <v>0.62107843137254903</v>
      </c>
      <c r="BT4" s="604">
        <v>0</v>
      </c>
      <c r="BU4" s="614">
        <v>1</v>
      </c>
    </row>
    <row r="5" spans="1:73">
      <c r="A5" s="651" t="s">
        <v>580</v>
      </c>
      <c r="B5" s="71" t="s">
        <v>154</v>
      </c>
      <c r="C5" s="71" t="s">
        <v>582</v>
      </c>
      <c r="D5" s="72">
        <f>IFERROR(HOU_H[[#This Row],[H]]/HOU_H[[#This Row],[AB]],0)</f>
        <v>0.27083333333333331</v>
      </c>
      <c r="E5" s="72">
        <f>IFERROR((HOU_H[[#This Row],[H]]+HOU_H[[#This Row],[BB]])/(HOU_H[[#This Row],[BB]]+HOU_H[[#This Row],[AB]]),0)</f>
        <v>0.38953488372093026</v>
      </c>
      <c r="F5" s="73">
        <f>IFERROR(((HOU_H[[#This Row],[H]]-HOU_H[[#This Row],[2B]]-HOU_H[[#This Row],[3B]]-HOU_H[[#This Row],[HR]])+(HOU_H[[#This Row],[2B]]*2)+(HOU_H[[#This Row],[3B]]*3)+(HOU_H[[#This Row],[HR]]*4))/HOU_H[[#This Row],[AB]],0)</f>
        <v>0.47222222222222221</v>
      </c>
      <c r="G5" s="28">
        <v>37</v>
      </c>
      <c r="H5" s="28">
        <v>144</v>
      </c>
      <c r="I5" s="28">
        <v>21</v>
      </c>
      <c r="J5" s="28">
        <v>39</v>
      </c>
      <c r="K5" s="28">
        <v>10</v>
      </c>
      <c r="L5" s="28">
        <v>5</v>
      </c>
      <c r="M5" s="28">
        <v>3</v>
      </c>
      <c r="N5" s="28">
        <v>18</v>
      </c>
      <c r="O5" s="28">
        <v>28</v>
      </c>
      <c r="P5" s="74">
        <v>27</v>
      </c>
      <c r="Q5" s="28">
        <v>0</v>
      </c>
      <c r="R5" s="28">
        <v>6</v>
      </c>
      <c r="S5" s="74">
        <v>6</v>
      </c>
      <c r="T5" s="28">
        <f>IFERROR((HOU_H[[#This Row],[H]]-HOU_H[[#This Row],[2B]]-HOU_H[[#This Row],[3B]]-HOU_H[[#This Row],[HR]])+(HOU_H[[#This Row],[2B]]*2)+(HOU_H[[#This Row],[3B]]*3)+(HOU_H[[#This Row],[HR]]*4),0)</f>
        <v>68</v>
      </c>
      <c r="U5" s="72">
        <f>HOU_H[[#This Row],[OBP]]+HOU_H[[#This Row],[SLG]]</f>
        <v>0.86175710594315247</v>
      </c>
      <c r="V5" s="74">
        <v>1</v>
      </c>
      <c r="W5" s="615">
        <v>2</v>
      </c>
      <c r="Z5" s="651" t="s">
        <v>580</v>
      </c>
      <c r="AA5" s="345" t="s">
        <v>154</v>
      </c>
      <c r="AB5" s="71" t="s">
        <v>582</v>
      </c>
      <c r="AC5" s="72">
        <f>IFERROR(HOU_H192[[#This Row],[H]]/HOU_H192[[#This Row],[AB]],0)</f>
        <v>0.32075471698113206</v>
      </c>
      <c r="AD5" s="72">
        <f>IFERROR((HOU_H192[[#This Row],[H]]+HOU_H192[[#This Row],[BB]])/(HOU_H192[[#This Row],[BB]]+HOU_H192[[#This Row],[AB]]),0)</f>
        <v>0.4098360655737705</v>
      </c>
      <c r="AE5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0.61635220125786161</v>
      </c>
      <c r="AF5" s="28">
        <v>40</v>
      </c>
      <c r="AG5" s="28">
        <v>159</v>
      </c>
      <c r="AH5" s="28">
        <v>24</v>
      </c>
      <c r="AI5" s="28">
        <v>51</v>
      </c>
      <c r="AJ5" s="28">
        <v>11</v>
      </c>
      <c r="AK5" s="28">
        <v>3</v>
      </c>
      <c r="AL5" s="28">
        <v>10</v>
      </c>
      <c r="AM5" s="28">
        <v>31</v>
      </c>
      <c r="AN5" s="28">
        <v>24</v>
      </c>
      <c r="AO5" s="74">
        <v>26</v>
      </c>
      <c r="AP5" s="28">
        <v>0</v>
      </c>
      <c r="AQ5" s="28">
        <v>1</v>
      </c>
      <c r="AR5" s="74">
        <v>5</v>
      </c>
      <c r="AS5" s="28">
        <f>IFERROR((HOU_H192[[#This Row],[H]]-HOU_H192[[#This Row],[2B]]-HOU_H192[[#This Row],[3B]]-HOU_H192[[#This Row],[HR]])+(HOU_H192[[#This Row],[2B]]*2)+(HOU_H192[[#This Row],[3B]]*3)+(HOU_H192[[#This Row],[HR]]*4),0)</f>
        <v>98</v>
      </c>
      <c r="AT5" s="72">
        <f>HOU_H192[[#This Row],[OBP]]+HOU_H192[[#This Row],[SLG]]</f>
        <v>1.0261882668316322</v>
      </c>
      <c r="AU5" s="74">
        <v>4</v>
      </c>
      <c r="AV5" s="615">
        <v>2</v>
      </c>
      <c r="AY5" s="609" t="s">
        <v>580</v>
      </c>
      <c r="AZ5" s="74" t="s">
        <v>154</v>
      </c>
      <c r="BA5" s="71" t="s">
        <v>582</v>
      </c>
      <c r="BB5" s="72">
        <f>IFERROR(HOU_H178[[#This Row],[H]]/HOU_H178[[#This Row],[AB]],0)</f>
        <v>0.1891891891891892</v>
      </c>
      <c r="BC5" s="72">
        <f>IFERROR((HOU_H178[[#This Row],[BB]]+HOU_H178[[#This Row],[H]])/(HOU_H178[[#This Row],[AB]]+HOU_H178[[#This Row],[BB]]),0)</f>
        <v>0.25</v>
      </c>
      <c r="BD5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0.3108108108108108</v>
      </c>
      <c r="BE5" s="28">
        <v>39</v>
      </c>
      <c r="BF5" s="28">
        <v>148</v>
      </c>
      <c r="BG5" s="28">
        <v>16</v>
      </c>
      <c r="BH5" s="28">
        <v>28</v>
      </c>
      <c r="BI5" s="28">
        <v>6</v>
      </c>
      <c r="BJ5" s="28">
        <v>0</v>
      </c>
      <c r="BK5" s="28">
        <v>4</v>
      </c>
      <c r="BL5" s="28">
        <v>10</v>
      </c>
      <c r="BM5" s="28">
        <v>12</v>
      </c>
      <c r="BN5" s="74">
        <v>44</v>
      </c>
      <c r="BO5" s="28">
        <v>0</v>
      </c>
      <c r="BP5" s="28">
        <v>1</v>
      </c>
      <c r="BQ5" s="74">
        <v>4</v>
      </c>
      <c r="BR5" s="28">
        <f>(HOU_H178[[#This Row],[H]]-HOU_H178[[#This Row],[2B]]-HOU_H178[[#This Row],[3B]]-HOU_H178[[#This Row],[HR]])+(HOU_H178[[#This Row],[2B]]*2)+(HOU_H178[[#This Row],[3B]]*3)+(HOU_H178[[#This Row],[HR]]*4)</f>
        <v>46</v>
      </c>
      <c r="BS5" s="72">
        <f>IFERROR(HOU_H178[[#This Row],[OBP]]+HOU_H178[[#This Row],[SLG]],0)</f>
        <v>0.56081081081081074</v>
      </c>
      <c r="BT5" s="74">
        <v>1</v>
      </c>
      <c r="BU5" s="615">
        <v>2</v>
      </c>
    </row>
    <row r="6" spans="1:73">
      <c r="A6" s="651" t="s">
        <v>580</v>
      </c>
      <c r="B6" s="71" t="s">
        <v>172</v>
      </c>
      <c r="C6" s="71" t="s">
        <v>588</v>
      </c>
      <c r="D6" s="72">
        <f>IFERROR(HOU_H[[#This Row],[H]]/HOU_H[[#This Row],[AB]],0)</f>
        <v>0.22695035460992907</v>
      </c>
      <c r="E6" s="72">
        <f>IFERROR((HOU_H[[#This Row],[H]]+HOU_H[[#This Row],[BB]])/(HOU_H[[#This Row],[BB]]+HOU_H[[#This Row],[AB]]),0)</f>
        <v>0.27814569536423839</v>
      </c>
      <c r="F6" s="73">
        <f>IFERROR(((HOU_H[[#This Row],[H]]-HOU_H[[#This Row],[2B]]-HOU_H[[#This Row],[3B]]-HOU_H[[#This Row],[HR]])+(HOU_H[[#This Row],[2B]]*2)+(HOU_H[[#This Row],[3B]]*3)+(HOU_H[[#This Row],[HR]]*4))/HOU_H[[#This Row],[AB]],0)</f>
        <v>0.42553191489361702</v>
      </c>
      <c r="G6" s="28">
        <v>37</v>
      </c>
      <c r="H6" s="28">
        <v>141</v>
      </c>
      <c r="I6" s="28">
        <v>19</v>
      </c>
      <c r="J6" s="28">
        <v>32</v>
      </c>
      <c r="K6" s="28">
        <v>5</v>
      </c>
      <c r="L6" s="28">
        <v>1</v>
      </c>
      <c r="M6" s="28">
        <v>7</v>
      </c>
      <c r="N6" s="28">
        <v>19</v>
      </c>
      <c r="O6" s="28">
        <v>10</v>
      </c>
      <c r="P6" s="74">
        <v>48</v>
      </c>
      <c r="Q6" s="28">
        <v>0</v>
      </c>
      <c r="R6" s="28">
        <v>0</v>
      </c>
      <c r="S6" s="74">
        <v>4</v>
      </c>
      <c r="T6" s="28">
        <f>IFERROR((HOU_H[[#This Row],[H]]-HOU_H[[#This Row],[2B]]-HOU_H[[#This Row],[3B]]-HOU_H[[#This Row],[HR]])+(HOU_H[[#This Row],[2B]]*2)+(HOU_H[[#This Row],[3B]]*3)+(HOU_H[[#This Row],[HR]]*4),0)</f>
        <v>60</v>
      </c>
      <c r="U6" s="72">
        <f>HOU_H[[#This Row],[OBP]]+HOU_H[[#This Row],[SLG]]</f>
        <v>0.70367761025785547</v>
      </c>
      <c r="V6" s="74">
        <v>3</v>
      </c>
      <c r="W6" s="615">
        <v>3</v>
      </c>
      <c r="Z6" s="651" t="s">
        <v>580</v>
      </c>
      <c r="AA6" s="71" t="s">
        <v>172</v>
      </c>
      <c r="AB6" s="71" t="s">
        <v>588</v>
      </c>
      <c r="AC6" s="72">
        <f>IFERROR(HOU_H192[[#This Row],[H]]/HOU_H192[[#This Row],[AB]],0)</f>
        <v>0.18421052631578946</v>
      </c>
      <c r="AD6" s="72">
        <f>IFERROR((HOU_H192[[#This Row],[H]]+HOU_H192[[#This Row],[BB]])/(HOU_H192[[#This Row],[BB]]+HOU_H192[[#This Row],[AB]]),0)</f>
        <v>0.21019108280254778</v>
      </c>
      <c r="AE6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0.28289473684210525</v>
      </c>
      <c r="AF6" s="28">
        <v>40</v>
      </c>
      <c r="AG6" s="28">
        <v>152</v>
      </c>
      <c r="AH6" s="28">
        <v>9</v>
      </c>
      <c r="AI6" s="28">
        <v>28</v>
      </c>
      <c r="AJ6" s="28">
        <v>9</v>
      </c>
      <c r="AK6" s="28">
        <v>0</v>
      </c>
      <c r="AL6" s="28">
        <v>2</v>
      </c>
      <c r="AM6" s="28">
        <v>15</v>
      </c>
      <c r="AN6" s="28">
        <v>5</v>
      </c>
      <c r="AO6" s="74">
        <v>42</v>
      </c>
      <c r="AP6" s="28">
        <v>0</v>
      </c>
      <c r="AQ6" s="28">
        <v>2</v>
      </c>
      <c r="AR6" s="74">
        <v>3</v>
      </c>
      <c r="AS6" s="28">
        <f>IFERROR((HOU_H192[[#This Row],[H]]-HOU_H192[[#This Row],[2B]]-HOU_H192[[#This Row],[3B]]-HOU_H192[[#This Row],[HR]])+(HOU_H192[[#This Row],[2B]]*2)+(HOU_H192[[#This Row],[3B]]*3)+(HOU_H192[[#This Row],[HR]]*4),0)</f>
        <v>43</v>
      </c>
      <c r="AT6" s="72">
        <f>HOU_H192[[#This Row],[OBP]]+HOU_H192[[#This Row],[SLG]]</f>
        <v>0.49308581964465303</v>
      </c>
      <c r="AU6" s="74">
        <v>2</v>
      </c>
      <c r="AV6" s="615">
        <v>3</v>
      </c>
      <c r="AY6" s="609" t="s">
        <v>580</v>
      </c>
      <c r="AZ6" s="74" t="s">
        <v>172</v>
      </c>
      <c r="BA6" s="71" t="s">
        <v>432</v>
      </c>
      <c r="BB6" s="72">
        <f>IFERROR(HOU_H178[[#This Row],[H]]/HOU_H178[[#This Row],[AB]],0)</f>
        <v>0.3108108108108108</v>
      </c>
      <c r="BC6" s="72">
        <f>IFERROR((HOU_H178[[#This Row],[BB]]+HOU_H178[[#This Row],[H]])/(HOU_H178[[#This Row],[AB]]+HOU_H178[[#This Row],[BB]]),0)</f>
        <v>0.34193548387096773</v>
      </c>
      <c r="BD6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0.48648648648648651</v>
      </c>
      <c r="BE6" s="28">
        <v>39</v>
      </c>
      <c r="BF6" s="28">
        <v>148</v>
      </c>
      <c r="BG6" s="28">
        <v>17</v>
      </c>
      <c r="BH6" s="28">
        <v>46</v>
      </c>
      <c r="BI6" s="28">
        <v>11</v>
      </c>
      <c r="BJ6" s="28">
        <v>0</v>
      </c>
      <c r="BK6" s="28">
        <v>5</v>
      </c>
      <c r="BL6" s="28">
        <v>27</v>
      </c>
      <c r="BM6" s="28">
        <v>7</v>
      </c>
      <c r="BN6" s="74">
        <v>31</v>
      </c>
      <c r="BO6" s="28">
        <v>0</v>
      </c>
      <c r="BP6" s="28">
        <v>2</v>
      </c>
      <c r="BQ6" s="74">
        <v>6</v>
      </c>
      <c r="BR6" s="28">
        <f>(HOU_H178[[#This Row],[H]]-HOU_H178[[#This Row],[2B]]-HOU_H178[[#This Row],[3B]]-HOU_H178[[#This Row],[HR]])+(HOU_H178[[#This Row],[2B]]*2)+(HOU_H178[[#This Row],[3B]]*3)+(HOU_H178[[#This Row],[HR]]*4)</f>
        <v>72</v>
      </c>
      <c r="BS6" s="72">
        <f>IFERROR(HOU_H178[[#This Row],[OBP]]+HOU_H178[[#This Row],[SLG]],0)</f>
        <v>0.82842197035745424</v>
      </c>
      <c r="BT6" s="74">
        <v>5</v>
      </c>
      <c r="BU6" s="615">
        <v>3</v>
      </c>
    </row>
    <row r="7" spans="1:73">
      <c r="A7" s="651" t="s">
        <v>580</v>
      </c>
      <c r="B7" s="71" t="s">
        <v>153</v>
      </c>
      <c r="C7" s="71" t="s">
        <v>583</v>
      </c>
      <c r="D7" s="72">
        <f>IFERROR(HOU_H[[#This Row],[H]]/HOU_H[[#This Row],[AB]],0)</f>
        <v>0.30921052631578949</v>
      </c>
      <c r="E7" s="72">
        <f>IFERROR((HOU_H[[#This Row],[H]]+HOU_H[[#This Row],[BB]])/(HOU_H[[#This Row],[BB]]+HOU_H[[#This Row],[AB]]),0)</f>
        <v>0.38953488372093026</v>
      </c>
      <c r="F7" s="73">
        <f>IFERROR(((HOU_H[[#This Row],[H]]-HOU_H[[#This Row],[2B]]-HOU_H[[#This Row],[3B]]-HOU_H[[#This Row],[HR]])+(HOU_H[[#This Row],[2B]]*2)+(HOU_H[[#This Row],[3B]]*3)+(HOU_H[[#This Row],[HR]]*4))/HOU_H[[#This Row],[AB]],0)</f>
        <v>0.52631578947368418</v>
      </c>
      <c r="G7" s="28">
        <v>38</v>
      </c>
      <c r="H7" s="28">
        <v>152</v>
      </c>
      <c r="I7" s="28">
        <v>24</v>
      </c>
      <c r="J7" s="28">
        <v>47</v>
      </c>
      <c r="K7" s="28">
        <v>9</v>
      </c>
      <c r="L7" s="28">
        <v>0</v>
      </c>
      <c r="M7" s="28">
        <v>8</v>
      </c>
      <c r="N7" s="28">
        <v>18</v>
      </c>
      <c r="O7" s="28">
        <v>20</v>
      </c>
      <c r="P7" s="74">
        <v>26</v>
      </c>
      <c r="Q7" s="28">
        <v>2</v>
      </c>
      <c r="R7" s="28">
        <v>2</v>
      </c>
      <c r="S7" s="74">
        <v>10</v>
      </c>
      <c r="T7" s="28">
        <f>IFERROR((HOU_H[[#This Row],[H]]-HOU_H[[#This Row],[2B]]-HOU_H[[#This Row],[3B]]-HOU_H[[#This Row],[HR]])+(HOU_H[[#This Row],[2B]]*2)+(HOU_H[[#This Row],[3B]]*3)+(HOU_H[[#This Row],[HR]]*4),0)</f>
        <v>80</v>
      </c>
      <c r="U7" s="72">
        <f>HOU_H[[#This Row],[OBP]]+HOU_H[[#This Row],[SLG]]</f>
        <v>0.91585067319461444</v>
      </c>
      <c r="V7" s="74">
        <v>2</v>
      </c>
      <c r="W7" s="615">
        <v>4</v>
      </c>
      <c r="Z7" s="651" t="s">
        <v>580</v>
      </c>
      <c r="AA7" s="71" t="s">
        <v>153</v>
      </c>
      <c r="AB7" s="71" t="s">
        <v>583</v>
      </c>
      <c r="AC7" s="72">
        <f>IFERROR(HOU_H192[[#This Row],[H]]/HOU_H192[[#This Row],[AB]],0)</f>
        <v>0.29943502824858759</v>
      </c>
      <c r="AD7" s="72">
        <f>IFERROR((HOU_H192[[#This Row],[H]]+HOU_H192[[#This Row],[BB]])/(HOU_H192[[#This Row],[BB]]+HOU_H192[[#This Row],[AB]]),0)</f>
        <v>0.35078534031413611</v>
      </c>
      <c r="AE7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0.4632768361581921</v>
      </c>
      <c r="AF7" s="28">
        <v>40</v>
      </c>
      <c r="AG7" s="28">
        <v>177</v>
      </c>
      <c r="AH7" s="28">
        <v>33</v>
      </c>
      <c r="AI7" s="28">
        <v>53</v>
      </c>
      <c r="AJ7" s="28">
        <v>14</v>
      </c>
      <c r="AK7" s="28">
        <v>0</v>
      </c>
      <c r="AL7" s="28">
        <v>5</v>
      </c>
      <c r="AM7" s="28">
        <v>18</v>
      </c>
      <c r="AN7" s="28">
        <v>14</v>
      </c>
      <c r="AO7" s="74">
        <v>30</v>
      </c>
      <c r="AP7" s="28">
        <v>5</v>
      </c>
      <c r="AQ7" s="28">
        <v>1</v>
      </c>
      <c r="AR7" s="74">
        <v>5</v>
      </c>
      <c r="AS7" s="28">
        <f>IFERROR((HOU_H192[[#This Row],[H]]-HOU_H192[[#This Row],[2B]]-HOU_H192[[#This Row],[3B]]-HOU_H192[[#This Row],[HR]])+(HOU_H192[[#This Row],[2B]]*2)+(HOU_H192[[#This Row],[3B]]*3)+(HOU_H192[[#This Row],[HR]]*4),0)</f>
        <v>82</v>
      </c>
      <c r="AT7" s="72">
        <f>HOU_H192[[#This Row],[OBP]]+HOU_H192[[#This Row],[SLG]]</f>
        <v>0.81406217647232815</v>
      </c>
      <c r="AU7" s="74">
        <v>4</v>
      </c>
      <c r="AV7" s="615">
        <v>4</v>
      </c>
      <c r="AY7" s="609" t="s">
        <v>580</v>
      </c>
      <c r="AZ7" s="74" t="s">
        <v>153</v>
      </c>
      <c r="BA7" s="71" t="s">
        <v>583</v>
      </c>
      <c r="BB7" s="72">
        <f>IFERROR(HOU_H178[[#This Row],[H]]/HOU_H178[[#This Row],[AB]],0)</f>
        <v>0.32500000000000001</v>
      </c>
      <c r="BC7" s="72">
        <f>IFERROR((HOU_H178[[#This Row],[BB]]+HOU_H178[[#This Row],[H]])/(HOU_H178[[#This Row],[AB]]+HOU_H178[[#This Row],[BB]]),0)</f>
        <v>0.39325842696629215</v>
      </c>
      <c r="BD7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0.59375</v>
      </c>
      <c r="BE7" s="28">
        <v>40</v>
      </c>
      <c r="BF7" s="28">
        <v>160</v>
      </c>
      <c r="BG7" s="28">
        <v>21</v>
      </c>
      <c r="BH7" s="28">
        <v>52</v>
      </c>
      <c r="BI7" s="28">
        <v>14</v>
      </c>
      <c r="BJ7" s="76">
        <v>4</v>
      </c>
      <c r="BK7" s="28">
        <v>7</v>
      </c>
      <c r="BL7" s="28">
        <v>22</v>
      </c>
      <c r="BM7" s="28">
        <v>18</v>
      </c>
      <c r="BN7" s="74">
        <v>23</v>
      </c>
      <c r="BO7" s="28">
        <v>9</v>
      </c>
      <c r="BP7" s="28">
        <v>1</v>
      </c>
      <c r="BQ7" s="74">
        <v>14</v>
      </c>
      <c r="BR7" s="28">
        <f>(HOU_H178[[#This Row],[H]]-HOU_H178[[#This Row],[2B]]-HOU_H178[[#This Row],[3B]]-HOU_H178[[#This Row],[HR]])+(HOU_H178[[#This Row],[2B]]*2)+(HOU_H178[[#This Row],[3B]]*3)+(HOU_H178[[#This Row],[HR]]*4)</f>
        <v>95</v>
      </c>
      <c r="BS7" s="72">
        <f>IFERROR(HOU_H178[[#This Row],[OBP]]+HOU_H178[[#This Row],[SLG]],0)</f>
        <v>0.98700842696629221</v>
      </c>
      <c r="BT7" s="74">
        <v>5</v>
      </c>
      <c r="BU7" s="615">
        <v>4</v>
      </c>
    </row>
    <row r="8" spans="1:73">
      <c r="A8" s="651" t="s">
        <v>580</v>
      </c>
      <c r="B8" s="71" t="s">
        <v>177</v>
      </c>
      <c r="C8" s="71" t="s">
        <v>584</v>
      </c>
      <c r="D8" s="72">
        <f>IFERROR(HOU_H[[#This Row],[H]]/HOU_H[[#This Row],[AB]],0)</f>
        <v>0.2620689655172414</v>
      </c>
      <c r="E8" s="72">
        <f>IFERROR((HOU_H[[#This Row],[H]]+HOU_H[[#This Row],[BB]])/(HOU_H[[#This Row],[BB]]+HOU_H[[#This Row],[AB]]),0)</f>
        <v>0.3742690058479532</v>
      </c>
      <c r="F8" s="73">
        <f>IFERROR(((HOU_H[[#This Row],[H]]-HOU_H[[#This Row],[2B]]-HOU_H[[#This Row],[3B]]-HOU_H[[#This Row],[HR]])+(HOU_H[[#This Row],[2B]]*2)+(HOU_H[[#This Row],[3B]]*3)+(HOU_H[[#This Row],[HR]]*4))/HOU_H[[#This Row],[AB]],0)</f>
        <v>0.55862068965517242</v>
      </c>
      <c r="G8" s="28">
        <v>38</v>
      </c>
      <c r="H8" s="28">
        <v>145</v>
      </c>
      <c r="I8" s="28">
        <v>30</v>
      </c>
      <c r="J8" s="28">
        <v>38</v>
      </c>
      <c r="K8" s="28">
        <v>9</v>
      </c>
      <c r="L8" s="28">
        <v>2</v>
      </c>
      <c r="M8" s="28">
        <v>10</v>
      </c>
      <c r="N8" s="28">
        <v>27</v>
      </c>
      <c r="O8" s="28">
        <v>26</v>
      </c>
      <c r="P8" s="74">
        <v>35</v>
      </c>
      <c r="Q8" s="28">
        <v>0</v>
      </c>
      <c r="R8" s="28">
        <v>0</v>
      </c>
      <c r="S8" s="74">
        <v>6</v>
      </c>
      <c r="T8" s="28">
        <f>IFERROR((HOU_H[[#This Row],[H]]-HOU_H[[#This Row],[2B]]-HOU_H[[#This Row],[3B]]-HOU_H[[#This Row],[HR]])+(HOU_H[[#This Row],[2B]]*2)+(HOU_H[[#This Row],[3B]]*3)+(HOU_H[[#This Row],[HR]]*4),0)</f>
        <v>81</v>
      </c>
      <c r="U8" s="72">
        <f>HOU_H[[#This Row],[OBP]]+HOU_H[[#This Row],[SLG]]</f>
        <v>0.93288969550312562</v>
      </c>
      <c r="V8" s="74">
        <v>3</v>
      </c>
      <c r="W8" s="615">
        <v>5</v>
      </c>
      <c r="Z8" s="651" t="s">
        <v>580</v>
      </c>
      <c r="AA8" s="71" t="s">
        <v>177</v>
      </c>
      <c r="AB8" s="71" t="s">
        <v>584</v>
      </c>
      <c r="AC8" s="72">
        <f>IFERROR(HOU_H192[[#This Row],[H]]/HOU_H192[[#This Row],[AB]],0)</f>
        <v>0.24074074074074073</v>
      </c>
      <c r="AD8" s="72">
        <f>IFERROR((HOU_H192[[#This Row],[H]]+HOU_H192[[#This Row],[BB]])/(HOU_H192[[#This Row],[BB]]+HOU_H192[[#This Row],[AB]]),0)</f>
        <v>0.31284916201117319</v>
      </c>
      <c r="AE8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0.43209876543209874</v>
      </c>
      <c r="AF8" s="28">
        <v>40</v>
      </c>
      <c r="AG8" s="28">
        <v>162</v>
      </c>
      <c r="AH8" s="28">
        <v>19</v>
      </c>
      <c r="AI8" s="28">
        <v>39</v>
      </c>
      <c r="AJ8" s="28">
        <v>5</v>
      </c>
      <c r="AK8" s="28">
        <v>1</v>
      </c>
      <c r="AL8" s="28">
        <v>8</v>
      </c>
      <c r="AM8" s="28">
        <v>19</v>
      </c>
      <c r="AN8" s="28">
        <v>17</v>
      </c>
      <c r="AO8" s="74">
        <v>47</v>
      </c>
      <c r="AP8" s="28">
        <v>0</v>
      </c>
      <c r="AQ8" s="28">
        <v>3</v>
      </c>
      <c r="AR8" s="74">
        <v>13</v>
      </c>
      <c r="AS8" s="28">
        <f>IFERROR((HOU_H192[[#This Row],[H]]-HOU_H192[[#This Row],[2B]]-HOU_H192[[#This Row],[3B]]-HOU_H192[[#This Row],[HR]])+(HOU_H192[[#This Row],[2B]]*2)+(HOU_H192[[#This Row],[3B]]*3)+(HOU_H192[[#This Row],[HR]]*4),0)</f>
        <v>70</v>
      </c>
      <c r="AT8" s="72">
        <f>HOU_H192[[#This Row],[OBP]]+HOU_H192[[#This Row],[SLG]]</f>
        <v>0.74494792744327198</v>
      </c>
      <c r="AU8" s="74">
        <v>2</v>
      </c>
      <c r="AV8" s="615">
        <v>5</v>
      </c>
      <c r="AY8" s="609" t="s">
        <v>580</v>
      </c>
      <c r="AZ8" s="74" t="s">
        <v>177</v>
      </c>
      <c r="BA8" s="71" t="s">
        <v>584</v>
      </c>
      <c r="BB8" s="72">
        <f>IFERROR(HOU_H178[[#This Row],[H]]/HOU_H178[[#This Row],[AB]],0)</f>
        <v>0.29333333333333333</v>
      </c>
      <c r="BC8" s="72">
        <f>IFERROR((HOU_H178[[#This Row],[BB]]+HOU_H178[[#This Row],[H]])/(HOU_H178[[#This Row],[AB]]+HOU_H178[[#This Row],[BB]]),0)</f>
        <v>0.37278106508875741</v>
      </c>
      <c r="BD8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0.48666666666666669</v>
      </c>
      <c r="BE8" s="28">
        <v>40</v>
      </c>
      <c r="BF8" s="28">
        <v>150</v>
      </c>
      <c r="BG8" s="28">
        <v>22</v>
      </c>
      <c r="BH8" s="28">
        <v>44</v>
      </c>
      <c r="BI8" s="28">
        <v>8</v>
      </c>
      <c r="BJ8" s="28">
        <v>0</v>
      </c>
      <c r="BK8" s="28">
        <v>7</v>
      </c>
      <c r="BL8" s="28">
        <v>22</v>
      </c>
      <c r="BM8" s="28">
        <v>19</v>
      </c>
      <c r="BN8" s="74">
        <v>34</v>
      </c>
      <c r="BO8" s="28">
        <v>0</v>
      </c>
      <c r="BP8" s="28">
        <v>2</v>
      </c>
      <c r="BQ8" s="74">
        <v>8</v>
      </c>
      <c r="BR8" s="28">
        <f>(HOU_H178[[#This Row],[H]]-HOU_H178[[#This Row],[2B]]-HOU_H178[[#This Row],[3B]]-HOU_H178[[#This Row],[HR]])+(HOU_H178[[#This Row],[2B]]*2)+(HOU_H178[[#This Row],[3B]]*3)+(HOU_H178[[#This Row],[HR]]*4)</f>
        <v>73</v>
      </c>
      <c r="BS8" s="72">
        <f>IFERROR(HOU_H178[[#This Row],[OBP]]+HOU_H178[[#This Row],[SLG]],0)</f>
        <v>0.8594477317554241</v>
      </c>
      <c r="BT8" s="74">
        <v>5</v>
      </c>
      <c r="BU8" s="615">
        <v>5</v>
      </c>
    </row>
    <row r="9" spans="1:73">
      <c r="A9" s="651" t="s">
        <v>580</v>
      </c>
      <c r="B9" s="345" t="s">
        <v>174</v>
      </c>
      <c r="C9" s="71" t="s">
        <v>581</v>
      </c>
      <c r="D9" s="72">
        <f>IFERROR(HOU_H[[#This Row],[H]]/HOU_H[[#This Row],[AB]],0)</f>
        <v>0.28846153846153844</v>
      </c>
      <c r="E9" s="72">
        <f>IFERROR((HOU_H[[#This Row],[H]]+HOU_H[[#This Row],[BB]])/(HOU_H[[#This Row],[BB]]+HOU_H[[#This Row],[AB]]),0)</f>
        <v>0.36206896551724138</v>
      </c>
      <c r="F9" s="73">
        <f>IFERROR(((HOU_H[[#This Row],[H]]-HOU_H[[#This Row],[2B]]-HOU_H[[#This Row],[3B]]-HOU_H[[#This Row],[HR]])+(HOU_H[[#This Row],[2B]]*2)+(HOU_H[[#This Row],[3B]]*3)+(HOU_H[[#This Row],[HR]]*4))/HOU_H[[#This Row],[AB]],0)</f>
        <v>0.61538461538461542</v>
      </c>
      <c r="G9" s="28">
        <v>40</v>
      </c>
      <c r="H9" s="28">
        <v>156</v>
      </c>
      <c r="I9" s="28">
        <v>33</v>
      </c>
      <c r="J9" s="28">
        <v>45</v>
      </c>
      <c r="K9" s="28">
        <v>9</v>
      </c>
      <c r="L9" s="28">
        <v>0</v>
      </c>
      <c r="M9" s="28">
        <v>14</v>
      </c>
      <c r="N9" s="76">
        <v>36</v>
      </c>
      <c r="O9" s="28">
        <v>18</v>
      </c>
      <c r="P9" s="74">
        <v>36</v>
      </c>
      <c r="Q9" s="28">
        <v>0</v>
      </c>
      <c r="R9" s="28">
        <v>10</v>
      </c>
      <c r="S9" s="74">
        <v>10</v>
      </c>
      <c r="T9" s="28">
        <f>IFERROR((HOU_H[[#This Row],[H]]-HOU_H[[#This Row],[2B]]-HOU_H[[#This Row],[3B]]-HOU_H[[#This Row],[HR]])+(HOU_H[[#This Row],[2B]]*2)+(HOU_H[[#This Row],[3B]]*3)+(HOU_H[[#This Row],[HR]]*4),0)</f>
        <v>96</v>
      </c>
      <c r="U9" s="72">
        <f>HOU_H[[#This Row],[OBP]]+HOU_H[[#This Row],[SLG]]</f>
        <v>0.97745358090185674</v>
      </c>
      <c r="V9" s="74">
        <v>6</v>
      </c>
      <c r="W9" s="615">
        <v>6</v>
      </c>
      <c r="Z9" s="651" t="s">
        <v>580</v>
      </c>
      <c r="AA9" s="71" t="s">
        <v>174</v>
      </c>
      <c r="AB9" s="71" t="s">
        <v>398</v>
      </c>
      <c r="AC9" s="72">
        <f>IFERROR(HOU_H192[[#This Row],[H]]/HOU_H192[[#This Row],[AB]],0)</f>
        <v>0.27464788732394368</v>
      </c>
      <c r="AD9" s="72">
        <f>IFERROR((HOU_H192[[#This Row],[H]]+HOU_H192[[#This Row],[BB]])/(HOU_H192[[#This Row],[BB]]+HOU_H192[[#This Row],[AB]]),0)</f>
        <v>0.3522012578616352</v>
      </c>
      <c r="AE9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0.47887323943661969</v>
      </c>
      <c r="AF9" s="28">
        <v>39</v>
      </c>
      <c r="AG9" s="28">
        <v>142</v>
      </c>
      <c r="AH9" s="28">
        <v>19</v>
      </c>
      <c r="AI9" s="28">
        <v>39</v>
      </c>
      <c r="AJ9" s="28">
        <v>11</v>
      </c>
      <c r="AK9" s="28">
        <v>0</v>
      </c>
      <c r="AL9" s="28">
        <v>6</v>
      </c>
      <c r="AM9" s="28">
        <v>18</v>
      </c>
      <c r="AN9" s="28">
        <v>17</v>
      </c>
      <c r="AO9" s="74">
        <v>27</v>
      </c>
      <c r="AP9" s="28">
        <v>0</v>
      </c>
      <c r="AQ9" s="28">
        <v>1</v>
      </c>
      <c r="AR9" s="74">
        <v>7</v>
      </c>
      <c r="AS9" s="28">
        <f>IFERROR((HOU_H192[[#This Row],[H]]-HOU_H192[[#This Row],[2B]]-HOU_H192[[#This Row],[3B]]-HOU_H192[[#This Row],[HR]])+(HOU_H192[[#This Row],[2B]]*2)+(HOU_H192[[#This Row],[3B]]*3)+(HOU_H192[[#This Row],[HR]]*4),0)</f>
        <v>68</v>
      </c>
      <c r="AT9" s="72">
        <f>HOU_H192[[#This Row],[OBP]]+HOU_H192[[#This Row],[SLG]]</f>
        <v>0.83107449729825489</v>
      </c>
      <c r="AU9" s="74">
        <v>1</v>
      </c>
      <c r="AV9" s="615">
        <v>6</v>
      </c>
      <c r="AY9" s="609" t="s">
        <v>580</v>
      </c>
      <c r="AZ9" s="74" t="s">
        <v>174</v>
      </c>
      <c r="BA9" s="71" t="s">
        <v>398</v>
      </c>
      <c r="BB9" s="72">
        <f>IFERROR(HOU_H178[[#This Row],[H]]/HOU_H178[[#This Row],[AB]],0)</f>
        <v>0.29411764705882354</v>
      </c>
      <c r="BC9" s="72">
        <f>IFERROR((HOU_H178[[#This Row],[BB]]+HOU_H178[[#This Row],[H]])/(HOU_H178[[#This Row],[AB]]+HOU_H178[[#This Row],[BB]]),0)</f>
        <v>0.35384615384615387</v>
      </c>
      <c r="BD9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0.45378151260504201</v>
      </c>
      <c r="BE9" s="28">
        <v>36</v>
      </c>
      <c r="BF9" s="28">
        <v>119</v>
      </c>
      <c r="BG9" s="28">
        <v>13</v>
      </c>
      <c r="BH9" s="28">
        <v>35</v>
      </c>
      <c r="BI9" s="28">
        <v>13</v>
      </c>
      <c r="BJ9" s="28">
        <v>0</v>
      </c>
      <c r="BK9" s="28">
        <v>2</v>
      </c>
      <c r="BL9" s="28">
        <v>12</v>
      </c>
      <c r="BM9" s="28">
        <v>11</v>
      </c>
      <c r="BN9" s="74">
        <v>18</v>
      </c>
      <c r="BO9" s="28">
        <v>0</v>
      </c>
      <c r="BP9" s="28">
        <v>5</v>
      </c>
      <c r="BQ9" s="74">
        <v>5</v>
      </c>
      <c r="BR9" s="28">
        <f>(HOU_H178[[#This Row],[H]]-HOU_H178[[#This Row],[2B]]-HOU_H178[[#This Row],[3B]]-HOU_H178[[#This Row],[HR]])+(HOU_H178[[#This Row],[2B]]*2)+(HOU_H178[[#This Row],[3B]]*3)+(HOU_H178[[#This Row],[HR]]*4)</f>
        <v>54</v>
      </c>
      <c r="BS9" s="72">
        <f>IFERROR(HOU_H178[[#This Row],[OBP]]+HOU_H178[[#This Row],[SLG]],0)</f>
        <v>0.80762766645119588</v>
      </c>
      <c r="BT9" s="74">
        <v>0</v>
      </c>
      <c r="BU9" s="615">
        <v>6</v>
      </c>
    </row>
    <row r="10" spans="1:73">
      <c r="A10" s="651" t="s">
        <v>580</v>
      </c>
      <c r="B10" s="71" t="s">
        <v>383</v>
      </c>
      <c r="C10" s="71" t="s">
        <v>589</v>
      </c>
      <c r="D10" s="72">
        <f>IFERROR(HOU_H[[#This Row],[H]]/HOU_H[[#This Row],[AB]],0)</f>
        <v>0.2288135593220339</v>
      </c>
      <c r="E10" s="72">
        <f>IFERROR((HOU_H[[#This Row],[H]]+HOU_H[[#This Row],[BB]])/(HOU_H[[#This Row],[BB]]+HOU_H[[#This Row],[AB]]),0)</f>
        <v>0.2890625</v>
      </c>
      <c r="F10" s="73">
        <f>IFERROR(((HOU_H[[#This Row],[H]]-HOU_H[[#This Row],[2B]]-HOU_H[[#This Row],[3B]]-HOU_H[[#This Row],[HR]])+(HOU_H[[#This Row],[2B]]*2)+(HOU_H[[#This Row],[3B]]*3)+(HOU_H[[#This Row],[HR]]*4))/HOU_H[[#This Row],[AB]],0)</f>
        <v>0.38135593220338981</v>
      </c>
      <c r="G10" s="28">
        <v>34</v>
      </c>
      <c r="H10" s="28">
        <v>118</v>
      </c>
      <c r="I10" s="28">
        <v>14</v>
      </c>
      <c r="J10" s="28">
        <v>27</v>
      </c>
      <c r="K10" s="28">
        <v>7</v>
      </c>
      <c r="L10" s="28">
        <v>1</v>
      </c>
      <c r="M10" s="28">
        <v>3</v>
      </c>
      <c r="N10" s="28">
        <v>12</v>
      </c>
      <c r="O10" s="28">
        <v>10</v>
      </c>
      <c r="P10" s="74">
        <v>42</v>
      </c>
      <c r="Q10" s="28">
        <v>0</v>
      </c>
      <c r="R10" s="28">
        <v>0</v>
      </c>
      <c r="S10" s="74">
        <v>5</v>
      </c>
      <c r="T10" s="28">
        <f>IFERROR((HOU_H[[#This Row],[H]]-HOU_H[[#This Row],[2B]]-HOU_H[[#This Row],[3B]]-HOU_H[[#This Row],[HR]])+(HOU_H[[#This Row],[2B]]*2)+(HOU_H[[#This Row],[3B]]*3)+(HOU_H[[#This Row],[HR]]*4),0)</f>
        <v>45</v>
      </c>
      <c r="U10" s="72">
        <f>HOU_H[[#This Row],[OBP]]+HOU_H[[#This Row],[SLG]]</f>
        <v>0.67041843220338981</v>
      </c>
      <c r="V10" s="74">
        <v>2</v>
      </c>
      <c r="W10" s="615">
        <v>7</v>
      </c>
      <c r="Z10" s="651" t="s">
        <v>580</v>
      </c>
      <c r="AA10" s="71" t="s">
        <v>181</v>
      </c>
      <c r="AB10" s="71" t="s">
        <v>586</v>
      </c>
      <c r="AC10" s="72">
        <f>IFERROR(HOU_H192[[#This Row],[H]]/HOU_H192[[#This Row],[AB]],0)</f>
        <v>0.2484472049689441</v>
      </c>
      <c r="AD10" s="72">
        <f>IFERROR((HOU_H192[[#This Row],[H]]+HOU_H192[[#This Row],[BB]])/(HOU_H192[[#This Row],[BB]]+HOU_H192[[#This Row],[AB]]),0)</f>
        <v>0.28823529411764703</v>
      </c>
      <c r="AE10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0.44099378881987578</v>
      </c>
      <c r="AF10" s="28">
        <v>40</v>
      </c>
      <c r="AG10" s="28">
        <v>161</v>
      </c>
      <c r="AH10" s="28">
        <v>16</v>
      </c>
      <c r="AI10" s="28">
        <v>40</v>
      </c>
      <c r="AJ10" s="28">
        <v>10</v>
      </c>
      <c r="AK10" s="28">
        <v>3</v>
      </c>
      <c r="AL10" s="28">
        <v>5</v>
      </c>
      <c r="AM10" s="28">
        <v>19</v>
      </c>
      <c r="AN10" s="28">
        <v>9</v>
      </c>
      <c r="AO10" s="74">
        <v>44</v>
      </c>
      <c r="AP10" s="28">
        <v>0</v>
      </c>
      <c r="AQ10" s="28">
        <v>3</v>
      </c>
      <c r="AR10" s="74">
        <v>5</v>
      </c>
      <c r="AS10" s="28">
        <f>IFERROR((HOU_H192[[#This Row],[H]]-HOU_H192[[#This Row],[2B]]-HOU_H192[[#This Row],[3B]]-HOU_H192[[#This Row],[HR]])+(HOU_H192[[#This Row],[2B]]*2)+(HOU_H192[[#This Row],[3B]]*3)+(HOU_H192[[#This Row],[HR]]*4),0)</f>
        <v>71</v>
      </c>
      <c r="AT10" s="72">
        <f>HOU_H192[[#This Row],[OBP]]+HOU_H192[[#This Row],[SLG]]</f>
        <v>0.72922908293752275</v>
      </c>
      <c r="AU10" s="74">
        <v>1</v>
      </c>
      <c r="AV10" s="615">
        <v>7</v>
      </c>
      <c r="AY10" s="609" t="s">
        <v>580</v>
      </c>
      <c r="AZ10" s="74" t="s">
        <v>181</v>
      </c>
      <c r="BA10" s="71" t="s">
        <v>586</v>
      </c>
      <c r="BB10" s="72">
        <f>IFERROR(HOU_H178[[#This Row],[H]]/HOU_H178[[#This Row],[AB]],0)</f>
        <v>0.2857142857142857</v>
      </c>
      <c r="BC10" s="72">
        <f>IFERROR((HOU_H178[[#This Row],[BB]]+HOU_H178[[#This Row],[H]])/(HOU_H178[[#This Row],[AB]]+HOU_H178[[#This Row],[BB]]),0)</f>
        <v>0.34482758620689657</v>
      </c>
      <c r="BD10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0.52631578947368418</v>
      </c>
      <c r="BE10" s="28">
        <v>38</v>
      </c>
      <c r="BF10" s="28">
        <v>133</v>
      </c>
      <c r="BG10" s="28">
        <v>22</v>
      </c>
      <c r="BH10" s="28">
        <v>38</v>
      </c>
      <c r="BI10" s="28">
        <v>8</v>
      </c>
      <c r="BJ10" s="28">
        <v>3</v>
      </c>
      <c r="BK10" s="28">
        <v>6</v>
      </c>
      <c r="BL10" s="28">
        <v>21</v>
      </c>
      <c r="BM10" s="28">
        <v>12</v>
      </c>
      <c r="BN10" s="74">
        <v>31</v>
      </c>
      <c r="BO10" s="28">
        <v>1</v>
      </c>
      <c r="BP10" s="28">
        <v>0</v>
      </c>
      <c r="BQ10" s="74">
        <v>8</v>
      </c>
      <c r="BR10" s="28">
        <f>(HOU_H178[[#This Row],[H]]-HOU_H178[[#This Row],[2B]]-HOU_H178[[#This Row],[3B]]-HOU_H178[[#This Row],[HR]])+(HOU_H178[[#This Row],[2B]]*2)+(HOU_H178[[#This Row],[3B]]*3)+(HOU_H178[[#This Row],[HR]]*4)</f>
        <v>70</v>
      </c>
      <c r="BS10" s="72">
        <f>IFERROR(HOU_H178[[#This Row],[OBP]]+HOU_H178[[#This Row],[SLG]],0)</f>
        <v>0.87114337568058076</v>
      </c>
      <c r="BT10" s="74">
        <v>2</v>
      </c>
      <c r="BU10" s="615">
        <v>7</v>
      </c>
    </row>
    <row r="11" spans="1:73">
      <c r="A11" s="651" t="s">
        <v>580</v>
      </c>
      <c r="B11" s="71" t="s">
        <v>166</v>
      </c>
      <c r="C11" s="71" t="s">
        <v>586</v>
      </c>
      <c r="D11" s="72">
        <f>IFERROR(HOU_H[[#This Row],[H]]/HOU_H[[#This Row],[AB]],0)</f>
        <v>0.27044025157232704</v>
      </c>
      <c r="E11" s="72">
        <f>IFERROR((HOU_H[[#This Row],[H]]+HOU_H[[#This Row],[BB]])/(HOU_H[[#This Row],[BB]]+HOU_H[[#This Row],[AB]]),0)</f>
        <v>0.32163742690058478</v>
      </c>
      <c r="F11" s="73">
        <f>IFERROR(((HOU_H[[#This Row],[H]]-HOU_H[[#This Row],[2B]]-HOU_H[[#This Row],[3B]]-HOU_H[[#This Row],[HR]])+(HOU_H[[#This Row],[2B]]*2)+(HOU_H[[#This Row],[3B]]*3)+(HOU_H[[#This Row],[HR]]*4))/HOU_H[[#This Row],[AB]],0)</f>
        <v>0.50314465408805031</v>
      </c>
      <c r="G11" s="28">
        <v>40</v>
      </c>
      <c r="H11" s="28">
        <v>159</v>
      </c>
      <c r="I11" s="28">
        <v>24</v>
      </c>
      <c r="J11" s="28">
        <v>43</v>
      </c>
      <c r="K11" s="28">
        <v>11</v>
      </c>
      <c r="L11" s="28">
        <v>1</v>
      </c>
      <c r="M11" s="28">
        <v>8</v>
      </c>
      <c r="N11" s="28">
        <v>27</v>
      </c>
      <c r="O11" s="28">
        <v>12</v>
      </c>
      <c r="P11" s="74">
        <v>38</v>
      </c>
      <c r="Q11" s="28">
        <v>0</v>
      </c>
      <c r="R11" s="28">
        <v>0</v>
      </c>
      <c r="S11" s="74">
        <v>10</v>
      </c>
      <c r="T11" s="28">
        <f>IFERROR((HOU_H[[#This Row],[H]]-HOU_H[[#This Row],[2B]]-HOU_H[[#This Row],[3B]]-HOU_H[[#This Row],[HR]])+(HOU_H[[#This Row],[2B]]*2)+(HOU_H[[#This Row],[3B]]*3)+(HOU_H[[#This Row],[HR]]*4),0)</f>
        <v>80</v>
      </c>
      <c r="U11" s="72">
        <f>HOU_H[[#This Row],[OBP]]+HOU_H[[#This Row],[SLG]]</f>
        <v>0.82478208098863504</v>
      </c>
      <c r="V11" s="74">
        <v>4</v>
      </c>
      <c r="W11" s="615">
        <v>8</v>
      </c>
      <c r="Z11" s="651" t="s">
        <v>580</v>
      </c>
      <c r="AA11" s="71" t="s">
        <v>166</v>
      </c>
      <c r="AB11" s="71" t="s">
        <v>581</v>
      </c>
      <c r="AC11" s="72">
        <f>IFERROR(HOU_H192[[#This Row],[H]]/HOU_H192[[#This Row],[AB]],0)</f>
        <v>0.26845637583892618</v>
      </c>
      <c r="AD11" s="72">
        <f>IFERROR((HOU_H192[[#This Row],[H]]+HOU_H192[[#This Row],[BB]])/(HOU_H192[[#This Row],[BB]]+HOU_H192[[#This Row],[AB]]),0)</f>
        <v>0.32298136645962733</v>
      </c>
      <c r="AE11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0.44295302013422821</v>
      </c>
      <c r="AF11" s="28">
        <v>40</v>
      </c>
      <c r="AG11" s="28">
        <v>149</v>
      </c>
      <c r="AH11" s="28">
        <v>20</v>
      </c>
      <c r="AI11" s="28">
        <v>40</v>
      </c>
      <c r="AJ11" s="28">
        <v>8</v>
      </c>
      <c r="AK11" s="28">
        <v>0</v>
      </c>
      <c r="AL11" s="28">
        <v>6</v>
      </c>
      <c r="AM11" s="28">
        <v>23</v>
      </c>
      <c r="AN11" s="28">
        <v>12</v>
      </c>
      <c r="AO11" s="74">
        <v>45</v>
      </c>
      <c r="AP11" s="28">
        <v>0</v>
      </c>
      <c r="AQ11" s="28">
        <v>2</v>
      </c>
      <c r="AR11" s="74">
        <v>10</v>
      </c>
      <c r="AS11" s="28">
        <f>IFERROR((HOU_H192[[#This Row],[H]]-HOU_H192[[#This Row],[2B]]-HOU_H192[[#This Row],[3B]]-HOU_H192[[#This Row],[HR]])+(HOU_H192[[#This Row],[2B]]*2)+(HOU_H192[[#This Row],[3B]]*3)+(HOU_H192[[#This Row],[HR]]*4),0)</f>
        <v>66</v>
      </c>
      <c r="AT11" s="72">
        <f>HOU_H192[[#This Row],[OBP]]+HOU_H192[[#This Row],[SLG]]</f>
        <v>0.76593438659385549</v>
      </c>
      <c r="AU11" s="74">
        <v>3</v>
      </c>
      <c r="AV11" s="615">
        <v>8</v>
      </c>
      <c r="AY11" s="609" t="s">
        <v>580</v>
      </c>
      <c r="AZ11" s="74" t="s">
        <v>166</v>
      </c>
      <c r="BA11" s="71" t="s">
        <v>585</v>
      </c>
      <c r="BB11" s="72">
        <f>IFERROR(HOU_H178[[#This Row],[H]]/HOU_H178[[#This Row],[AB]],0)</f>
        <v>0.25352112676056338</v>
      </c>
      <c r="BC11" s="72">
        <f>IFERROR((HOU_H178[[#This Row],[BB]]+HOU_H178[[#This Row],[H]])/(HOU_H178[[#This Row],[AB]]+HOU_H178[[#This Row],[BB]]),0)</f>
        <v>0.30263157894736842</v>
      </c>
      <c r="BD11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0.39436619718309857</v>
      </c>
      <c r="BE11" s="28">
        <v>38</v>
      </c>
      <c r="BF11" s="28">
        <v>142</v>
      </c>
      <c r="BG11" s="28">
        <v>17</v>
      </c>
      <c r="BH11" s="28">
        <v>36</v>
      </c>
      <c r="BI11" s="28">
        <v>5</v>
      </c>
      <c r="BJ11" s="28">
        <v>0</v>
      </c>
      <c r="BK11" s="28">
        <v>5</v>
      </c>
      <c r="BL11" s="28">
        <v>18</v>
      </c>
      <c r="BM11" s="28">
        <v>10</v>
      </c>
      <c r="BN11" s="74">
        <v>27</v>
      </c>
      <c r="BO11" s="28">
        <v>0</v>
      </c>
      <c r="BP11" s="28">
        <v>0</v>
      </c>
      <c r="BQ11" s="74">
        <v>5</v>
      </c>
      <c r="BR11" s="28">
        <f>(HOU_H178[[#This Row],[H]]-HOU_H178[[#This Row],[2B]]-HOU_H178[[#This Row],[3B]]-HOU_H178[[#This Row],[HR]])+(HOU_H178[[#This Row],[2B]]*2)+(HOU_H178[[#This Row],[3B]]*3)+(HOU_H178[[#This Row],[HR]]*4)</f>
        <v>56</v>
      </c>
      <c r="BS11" s="72">
        <f>IFERROR(HOU_H178[[#This Row],[OBP]]+HOU_H178[[#This Row],[SLG]],0)</f>
        <v>0.69699777613046698</v>
      </c>
      <c r="BT11" s="74">
        <v>2</v>
      </c>
      <c r="BU11" s="615">
        <v>8</v>
      </c>
    </row>
    <row r="12" spans="1:73">
      <c r="A12" s="651" t="s">
        <v>580</v>
      </c>
      <c r="B12" s="71" t="s">
        <v>168</v>
      </c>
      <c r="C12" s="71" t="s">
        <v>585</v>
      </c>
      <c r="D12" s="72">
        <f>IFERROR(HOU_H[[#This Row],[H]]/HOU_H[[#This Row],[AB]],0)</f>
        <v>0.30935251798561153</v>
      </c>
      <c r="E12" s="72">
        <f>IFERROR((HOU_H[[#This Row],[H]]+HOU_H[[#This Row],[BB]])/(HOU_H[[#This Row],[BB]]+HOU_H[[#This Row],[AB]]),0)</f>
        <v>0.37254901960784315</v>
      </c>
      <c r="F12" s="73">
        <f>IFERROR(((HOU_H[[#This Row],[H]]-HOU_H[[#This Row],[2B]]-HOU_H[[#This Row],[3B]]-HOU_H[[#This Row],[HR]])+(HOU_H[[#This Row],[2B]]*2)+(HOU_H[[#This Row],[3B]]*3)+(HOU_H[[#This Row],[HR]]*4))/HOU_H[[#This Row],[AB]],0)</f>
        <v>0.50359712230215825</v>
      </c>
      <c r="G12" s="28">
        <v>37</v>
      </c>
      <c r="H12" s="28">
        <v>139</v>
      </c>
      <c r="I12" s="28">
        <v>22</v>
      </c>
      <c r="J12" s="28">
        <v>43</v>
      </c>
      <c r="K12" s="28">
        <v>6</v>
      </c>
      <c r="L12" s="28">
        <v>0</v>
      </c>
      <c r="M12" s="28">
        <v>7</v>
      </c>
      <c r="N12" s="28">
        <v>14</v>
      </c>
      <c r="O12" s="28">
        <v>14</v>
      </c>
      <c r="P12" s="74">
        <v>28</v>
      </c>
      <c r="Q12" s="28">
        <v>0</v>
      </c>
      <c r="R12" s="28">
        <v>11</v>
      </c>
      <c r="S12" s="74">
        <v>11</v>
      </c>
      <c r="T12" s="28">
        <f>IFERROR((HOU_H[[#This Row],[H]]-HOU_H[[#This Row],[2B]]-HOU_H[[#This Row],[3B]]-HOU_H[[#This Row],[HR]])+(HOU_H[[#This Row],[2B]]*2)+(HOU_H[[#This Row],[3B]]*3)+(HOU_H[[#This Row],[HR]]*4),0)</f>
        <v>70</v>
      </c>
      <c r="U12" s="72">
        <f>HOU_H[[#This Row],[OBP]]+HOU_H[[#This Row],[SLG]]</f>
        <v>0.8761461419100014</v>
      </c>
      <c r="V12" s="74">
        <v>1</v>
      </c>
      <c r="W12" s="615">
        <v>9</v>
      </c>
      <c r="Z12" s="651" t="s">
        <v>580</v>
      </c>
      <c r="AA12" s="71" t="s">
        <v>168</v>
      </c>
      <c r="AB12" s="71" t="s">
        <v>585</v>
      </c>
      <c r="AC12" s="594">
        <f>IFERROR(HOU_H192[[#This Row],[H]]/HOU_H192[[#This Row],[AB]],0)</f>
        <v>0.3619631901840491</v>
      </c>
      <c r="AD12" s="72">
        <f>IFERROR((HOU_H192[[#This Row],[H]]+HOU_H192[[#This Row],[BB]])/(HOU_H192[[#This Row],[BB]]+HOU_H192[[#This Row],[AB]]),0)</f>
        <v>0.38823529411764707</v>
      </c>
      <c r="AE12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0.55214723926380371</v>
      </c>
      <c r="AF12" s="28">
        <v>40</v>
      </c>
      <c r="AG12" s="28">
        <v>163</v>
      </c>
      <c r="AH12" s="28">
        <v>21</v>
      </c>
      <c r="AI12" s="76">
        <v>59</v>
      </c>
      <c r="AJ12" s="586">
        <v>19</v>
      </c>
      <c r="AK12" s="28">
        <v>0</v>
      </c>
      <c r="AL12" s="28">
        <v>4</v>
      </c>
      <c r="AM12" s="28">
        <v>19</v>
      </c>
      <c r="AN12" s="28">
        <v>7</v>
      </c>
      <c r="AO12" s="74">
        <v>19</v>
      </c>
      <c r="AP12" s="28">
        <v>0</v>
      </c>
      <c r="AQ12" s="28">
        <v>4</v>
      </c>
      <c r="AR12" s="74">
        <v>11</v>
      </c>
      <c r="AS12" s="28">
        <f>IFERROR((HOU_H192[[#This Row],[H]]-HOU_H192[[#This Row],[2B]]-HOU_H192[[#This Row],[3B]]-HOU_H192[[#This Row],[HR]])+(HOU_H192[[#This Row],[2B]]*2)+(HOU_H192[[#This Row],[3B]]*3)+(HOU_H192[[#This Row],[HR]]*4),0)</f>
        <v>90</v>
      </c>
      <c r="AT12" s="72">
        <f>HOU_H192[[#This Row],[OBP]]+HOU_H192[[#This Row],[SLG]]</f>
        <v>0.94038253338145084</v>
      </c>
      <c r="AU12" s="74">
        <v>2</v>
      </c>
      <c r="AV12" s="615">
        <v>9</v>
      </c>
      <c r="AY12" s="609" t="s">
        <v>580</v>
      </c>
      <c r="AZ12" s="74" t="s">
        <v>168</v>
      </c>
      <c r="BA12" s="71" t="s">
        <v>581</v>
      </c>
      <c r="BB12" s="72">
        <f>IFERROR(HOU_H178[[#This Row],[H]]/HOU_H178[[#This Row],[AB]],0)</f>
        <v>0.27737226277372262</v>
      </c>
      <c r="BC12" s="72">
        <f>IFERROR((HOU_H178[[#This Row],[BB]]+HOU_H178[[#This Row],[H]])/(HOU_H178[[#This Row],[AB]]+HOU_H178[[#This Row],[BB]]),0)</f>
        <v>0.35714285714285715</v>
      </c>
      <c r="BD12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0.59124087591240881</v>
      </c>
      <c r="BE12" s="28">
        <v>37</v>
      </c>
      <c r="BF12" s="28">
        <v>137</v>
      </c>
      <c r="BG12" s="28">
        <v>23</v>
      </c>
      <c r="BH12" s="28">
        <v>38</v>
      </c>
      <c r="BI12" s="28">
        <v>4</v>
      </c>
      <c r="BJ12" s="28">
        <v>0</v>
      </c>
      <c r="BK12" s="28">
        <v>13</v>
      </c>
      <c r="BL12" s="28">
        <v>29</v>
      </c>
      <c r="BM12" s="28">
        <v>17</v>
      </c>
      <c r="BN12" s="74">
        <v>50</v>
      </c>
      <c r="BO12" s="28">
        <v>0</v>
      </c>
      <c r="BP12" s="28">
        <v>1</v>
      </c>
      <c r="BQ12" s="74">
        <v>4</v>
      </c>
      <c r="BR12" s="28">
        <f>(HOU_H178[[#This Row],[H]]-HOU_H178[[#This Row],[2B]]-HOU_H178[[#This Row],[3B]]-HOU_H178[[#This Row],[HR]])+(HOU_H178[[#This Row],[2B]]*2)+(HOU_H178[[#This Row],[3B]]*3)+(HOU_H178[[#This Row],[HR]]*4)</f>
        <v>81</v>
      </c>
      <c r="BS12" s="72">
        <f>IFERROR(HOU_H178[[#This Row],[OBP]]+HOU_H178[[#This Row],[SLG]],0)</f>
        <v>0.94838373305526602</v>
      </c>
      <c r="BT12" s="74">
        <v>5</v>
      </c>
      <c r="BU12" s="615">
        <v>9</v>
      </c>
    </row>
    <row r="13" spans="1:73">
      <c r="A13" s="651" t="s">
        <v>580</v>
      </c>
      <c r="B13" s="71" t="s">
        <v>179</v>
      </c>
      <c r="C13" s="71" t="s">
        <v>590</v>
      </c>
      <c r="D13" s="72">
        <f>IFERROR(HOU_H[[#This Row],[H]]/HOU_H[[#This Row],[AB]],0)</f>
        <v>0.32258064516129031</v>
      </c>
      <c r="E13" s="72">
        <f>IFERROR((HOU_H[[#This Row],[H]]+HOU_H[[#This Row],[BB]])/(HOU_H[[#This Row],[BB]]+HOU_H[[#This Row],[AB]]),0)</f>
        <v>0.34375</v>
      </c>
      <c r="F13" s="73">
        <f>IFERROR(((HOU_H[[#This Row],[H]]-HOU_H[[#This Row],[2B]]-HOU_H[[#This Row],[3B]]-HOU_H[[#This Row],[HR]])+(HOU_H[[#This Row],[2B]]*2)+(HOU_H[[#This Row],[3B]]*3)+(HOU_H[[#This Row],[HR]]*4))/HOU_H[[#This Row],[AB]],0)</f>
        <v>0.67741935483870963</v>
      </c>
      <c r="G13" s="28">
        <v>10</v>
      </c>
      <c r="H13" s="28">
        <v>31</v>
      </c>
      <c r="I13" s="28">
        <v>2</v>
      </c>
      <c r="J13" s="28">
        <v>10</v>
      </c>
      <c r="K13" s="28">
        <v>1</v>
      </c>
      <c r="L13" s="28">
        <v>2</v>
      </c>
      <c r="M13" s="28">
        <v>2</v>
      </c>
      <c r="N13" s="28">
        <v>5</v>
      </c>
      <c r="O13" s="28">
        <v>1</v>
      </c>
      <c r="P13" s="74">
        <v>7</v>
      </c>
      <c r="Q13" s="28">
        <v>0</v>
      </c>
      <c r="R13" s="28">
        <v>6</v>
      </c>
      <c r="S13" s="74">
        <v>6</v>
      </c>
      <c r="T13" s="28">
        <f>IFERROR((HOU_H[[#This Row],[H]]-HOU_H[[#This Row],[2B]]-HOU_H[[#This Row],[3B]]-HOU_H[[#This Row],[HR]])+(HOU_H[[#This Row],[2B]]*2)+(HOU_H[[#This Row],[3B]]*3)+(HOU_H[[#This Row],[HR]]*4),0)</f>
        <v>21</v>
      </c>
      <c r="U13" s="72">
        <f>HOU_H[[#This Row],[OBP]]+HOU_H[[#This Row],[SLG]]</f>
        <v>1.0211693548387095</v>
      </c>
      <c r="V13" s="74">
        <v>0</v>
      </c>
      <c r="W13" s="615">
        <v>10</v>
      </c>
      <c r="Z13" s="651" t="s">
        <v>580</v>
      </c>
      <c r="AA13" s="71" t="s">
        <v>179</v>
      </c>
      <c r="AB13" s="71" t="s">
        <v>591</v>
      </c>
      <c r="AC13" s="72">
        <f>IFERROR(HOU_H192[[#This Row],[H]]/HOU_H192[[#This Row],[AB]],0)</f>
        <v>0.14583333333333334</v>
      </c>
      <c r="AD13" s="72">
        <f>IFERROR((HOU_H192[[#This Row],[H]]+HOU_H192[[#This Row],[BB]])/(HOU_H192[[#This Row],[BB]]+HOU_H192[[#This Row],[AB]]),0)</f>
        <v>0.22641509433962265</v>
      </c>
      <c r="AE13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0.20833333333333334</v>
      </c>
      <c r="AF13" s="28">
        <v>16</v>
      </c>
      <c r="AG13" s="28">
        <v>48</v>
      </c>
      <c r="AH13" s="28">
        <v>6</v>
      </c>
      <c r="AI13" s="28">
        <v>7</v>
      </c>
      <c r="AJ13" s="28">
        <v>3</v>
      </c>
      <c r="AK13" s="28">
        <v>0</v>
      </c>
      <c r="AL13" s="28">
        <v>0</v>
      </c>
      <c r="AM13" s="28">
        <v>3</v>
      </c>
      <c r="AN13" s="28">
        <v>5</v>
      </c>
      <c r="AO13" s="74">
        <v>17</v>
      </c>
      <c r="AP13" s="28">
        <v>0</v>
      </c>
      <c r="AQ13" s="28">
        <v>2</v>
      </c>
      <c r="AR13" s="74">
        <v>2</v>
      </c>
      <c r="AS13" s="28">
        <f>IFERROR((HOU_H192[[#This Row],[H]]-HOU_H192[[#This Row],[2B]]-HOU_H192[[#This Row],[3B]]-HOU_H192[[#This Row],[HR]])+(HOU_H192[[#This Row],[2B]]*2)+(HOU_H192[[#This Row],[3B]]*3)+(HOU_H192[[#This Row],[HR]]*4),0)</f>
        <v>10</v>
      </c>
      <c r="AT13" s="72">
        <f>HOU_H192[[#This Row],[OBP]]+HOU_H192[[#This Row],[SLG]]</f>
        <v>0.43474842767295596</v>
      </c>
      <c r="AU13" s="74">
        <v>0</v>
      </c>
      <c r="AV13" s="615">
        <v>10</v>
      </c>
      <c r="AY13" s="609" t="s">
        <v>580</v>
      </c>
      <c r="AZ13" s="74" t="s">
        <v>179</v>
      </c>
      <c r="BA13" s="71" t="s">
        <v>590</v>
      </c>
      <c r="BB13" s="72">
        <f>IFERROR(HOU_H178[[#This Row],[H]]/HOU_H178[[#This Row],[AB]],0)</f>
        <v>0.15625</v>
      </c>
      <c r="BC13" s="72">
        <f>IFERROR((HOU_H178[[#This Row],[BB]]+HOU_H178[[#This Row],[H]])/(HOU_H178[[#This Row],[AB]]+HOU_H178[[#This Row],[BB]]),0)</f>
        <v>0.27027027027027029</v>
      </c>
      <c r="BD13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0.3125</v>
      </c>
      <c r="BE13" s="28">
        <v>21</v>
      </c>
      <c r="BF13" s="28">
        <v>32</v>
      </c>
      <c r="BG13" s="28">
        <v>4</v>
      </c>
      <c r="BH13" s="28">
        <v>5</v>
      </c>
      <c r="BI13" s="28">
        <v>2</v>
      </c>
      <c r="BJ13" s="28">
        <v>0</v>
      </c>
      <c r="BK13" s="28">
        <v>1</v>
      </c>
      <c r="BL13" s="28">
        <v>4</v>
      </c>
      <c r="BM13" s="28">
        <v>5</v>
      </c>
      <c r="BN13" s="74">
        <v>7</v>
      </c>
      <c r="BO13" s="28">
        <v>0</v>
      </c>
      <c r="BP13" s="28">
        <v>1</v>
      </c>
      <c r="BQ13" s="74">
        <v>2</v>
      </c>
      <c r="BR13" s="28">
        <f>(HOU_H178[[#This Row],[H]]-HOU_H178[[#This Row],[2B]]-HOU_H178[[#This Row],[3B]]-HOU_H178[[#This Row],[HR]])+(HOU_H178[[#This Row],[2B]]*2)+(HOU_H178[[#This Row],[3B]]*3)+(HOU_H178[[#This Row],[HR]]*4)</f>
        <v>10</v>
      </c>
      <c r="BS13" s="72">
        <f>IFERROR(HOU_H178[[#This Row],[OBP]]+HOU_H178[[#This Row],[SLG]],0)</f>
        <v>0.58277027027027029</v>
      </c>
      <c r="BT13" s="74">
        <v>0</v>
      </c>
      <c r="BU13" s="615">
        <v>10</v>
      </c>
    </row>
    <row r="14" spans="1:73">
      <c r="A14" s="651" t="s">
        <v>580</v>
      </c>
      <c r="B14" s="77" t="s">
        <v>192</v>
      </c>
      <c r="C14" s="77" t="s">
        <v>595</v>
      </c>
      <c r="D14" s="996">
        <f>IFERROR(HOU_H[[#This Row],[H]]/HOU_H[[#This Row],[AB]],0)</f>
        <v>0.19047619047619047</v>
      </c>
      <c r="E14" s="72">
        <f>IFERROR((HOU_H[[#This Row],[H]]+HOU_H[[#This Row],[BB]])/(HOU_H[[#This Row],[BB]]+HOU_H[[#This Row],[AB]]),0)</f>
        <v>0.29166666666666669</v>
      </c>
      <c r="F14" s="73">
        <f>IFERROR(((HOU_H[[#This Row],[H]]-HOU_H[[#This Row],[2B]]-HOU_H[[#This Row],[3B]]-HOU_H[[#This Row],[HR]])+(HOU_H[[#This Row],[2B]]*2)+(HOU_H[[#This Row],[3B]]*3)+(HOU_H[[#This Row],[HR]]*4))/HOU_H[[#This Row],[AB]],0)</f>
        <v>0.2857142857142857</v>
      </c>
      <c r="G14" s="28">
        <v>8</v>
      </c>
      <c r="H14" s="28">
        <v>21</v>
      </c>
      <c r="I14" s="28">
        <v>3</v>
      </c>
      <c r="J14" s="28">
        <v>4</v>
      </c>
      <c r="K14" s="28">
        <v>2</v>
      </c>
      <c r="L14" s="28">
        <v>0</v>
      </c>
      <c r="M14" s="28">
        <v>0</v>
      </c>
      <c r="N14" s="28">
        <v>3</v>
      </c>
      <c r="O14" s="28">
        <v>3</v>
      </c>
      <c r="P14" s="74">
        <v>5</v>
      </c>
      <c r="Q14" s="28">
        <v>0</v>
      </c>
      <c r="R14" s="28">
        <v>2</v>
      </c>
      <c r="S14" s="74">
        <v>2</v>
      </c>
      <c r="T14" s="28">
        <f>IFERROR((HOU_H[[#This Row],[H]]-HOU_H[[#This Row],[2B]]-HOU_H[[#This Row],[3B]]-HOU_H[[#This Row],[HR]])+(HOU_H[[#This Row],[2B]]*2)+(HOU_H[[#This Row],[3B]]*3)+(HOU_H[[#This Row],[HR]]*4),0)</f>
        <v>6</v>
      </c>
      <c r="U14" s="72">
        <f>HOU_H[[#This Row],[OBP]]+HOU_H[[#This Row],[SLG]]</f>
        <v>0.57738095238095233</v>
      </c>
      <c r="V14" s="74">
        <v>0</v>
      </c>
      <c r="W14" s="615">
        <v>11</v>
      </c>
      <c r="Z14" s="651" t="s">
        <v>580</v>
      </c>
      <c r="AA14" s="71" t="s">
        <v>192</v>
      </c>
      <c r="AB14" s="71" t="s">
        <v>596</v>
      </c>
      <c r="AC14" s="72">
        <f>IFERROR(HOU_H192[[#This Row],[H]]/HOU_H192[[#This Row],[AB]],0)</f>
        <v>0</v>
      </c>
      <c r="AD14" s="72">
        <f>IFERROR((HOU_H192[[#This Row],[H]]+HOU_H192[[#This Row],[BB]])/(HOU_H192[[#This Row],[BB]]+HOU_H192[[#This Row],[AB]]),0)</f>
        <v>0</v>
      </c>
      <c r="AE14" s="73">
        <f>IFERROR(((HOU_H192[[#This Row],[H]]-HOU_H192[[#This Row],[2B]]-HOU_H192[[#This Row],[3B]]-HOU_H192[[#This Row],[HR]])+(HOU_H192[[#This Row],[2B]]*2)+(HOU_H192[[#This Row],[3B]]*3)+(HOU_H192[[#This Row],[HR]]*4))/HOU_H192[[#This Row],[AB]],0)</f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74">
        <v>0</v>
      </c>
      <c r="AP14" s="28">
        <v>0</v>
      </c>
      <c r="AQ14" s="28">
        <v>0</v>
      </c>
      <c r="AR14" s="74">
        <v>0</v>
      </c>
      <c r="AS14" s="28">
        <f>IFERROR((HOU_H192[[#This Row],[H]]-HOU_H192[[#This Row],[2B]]-HOU_H192[[#This Row],[3B]]-HOU_H192[[#This Row],[HR]])+(HOU_H192[[#This Row],[2B]]*2)+(HOU_H192[[#This Row],[3B]]*3)+(HOU_H192[[#This Row],[HR]]*4),0)</f>
        <v>0</v>
      </c>
      <c r="AT14" s="72">
        <f>HOU_H192[[#This Row],[OBP]]+HOU_H192[[#This Row],[SLG]]</f>
        <v>0</v>
      </c>
      <c r="AU14" s="74">
        <v>0</v>
      </c>
      <c r="AV14" s="615">
        <v>11</v>
      </c>
      <c r="AY14" s="609" t="s">
        <v>580</v>
      </c>
      <c r="AZ14" s="74" t="s">
        <v>192</v>
      </c>
      <c r="BA14" s="71" t="s">
        <v>588</v>
      </c>
      <c r="BB14" s="72">
        <f>IFERROR(HOU_H178[[#This Row],[H]]/HOU_H178[[#This Row],[AB]],0)</f>
        <v>0.22222222222222221</v>
      </c>
      <c r="BC14" s="72">
        <f>IFERROR((HOU_H178[[#This Row],[BB]]+HOU_H178[[#This Row],[H]])/(HOU_H178[[#This Row],[AB]]+HOU_H178[[#This Row],[BB]]),0)</f>
        <v>0.3</v>
      </c>
      <c r="BD14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0.27777777777777779</v>
      </c>
      <c r="BE14" s="28">
        <v>10</v>
      </c>
      <c r="BF14" s="28">
        <v>18</v>
      </c>
      <c r="BG14" s="28">
        <v>1</v>
      </c>
      <c r="BH14" s="28">
        <v>4</v>
      </c>
      <c r="BI14" s="28">
        <v>1</v>
      </c>
      <c r="BJ14" s="28">
        <v>0</v>
      </c>
      <c r="BK14" s="28">
        <v>0</v>
      </c>
      <c r="BL14" s="28">
        <v>0</v>
      </c>
      <c r="BM14" s="28">
        <v>2</v>
      </c>
      <c r="BN14" s="74">
        <v>3</v>
      </c>
      <c r="BO14" s="28">
        <v>0</v>
      </c>
      <c r="BP14" s="28">
        <v>1</v>
      </c>
      <c r="BQ14" s="74">
        <v>1</v>
      </c>
      <c r="BR14" s="28">
        <f>(HOU_H178[[#This Row],[H]]-HOU_H178[[#This Row],[2B]]-HOU_H178[[#This Row],[3B]]-HOU_H178[[#This Row],[HR]])+(HOU_H178[[#This Row],[2B]]*2)+(HOU_H178[[#This Row],[3B]]*3)+(HOU_H178[[#This Row],[HR]]*4)</f>
        <v>5</v>
      </c>
      <c r="BS14" s="72">
        <f>IFERROR(HOU_H178[[#This Row],[OBP]]+HOU_H178[[#This Row],[SLG]],0)</f>
        <v>0.57777777777777772</v>
      </c>
      <c r="BT14" s="74">
        <v>0</v>
      </c>
      <c r="BU14" s="615">
        <v>11</v>
      </c>
    </row>
    <row r="15" spans="1:73">
      <c r="A15" s="651" t="s">
        <v>580</v>
      </c>
      <c r="B15" s="71" t="s">
        <v>187</v>
      </c>
      <c r="C15" s="71" t="s">
        <v>592</v>
      </c>
      <c r="D15" s="72">
        <f>IFERROR(HOU_H[[#This Row],[H]]/HOU_H[[#This Row],[AB]],0)</f>
        <v>0.25925925925925924</v>
      </c>
      <c r="E15" s="72">
        <f>IFERROR((HOU_H[[#This Row],[H]]+HOU_H[[#This Row],[BB]])/(HOU_H[[#This Row],[BB]]+HOU_H[[#This Row],[AB]]),0)</f>
        <v>0.33333333333333331</v>
      </c>
      <c r="F15" s="73">
        <f>IFERROR(((HOU_H[[#This Row],[H]]-HOU_H[[#This Row],[2B]]-HOU_H[[#This Row],[3B]]-HOU_H[[#This Row],[HR]])+(HOU_H[[#This Row],[2B]]*2)+(HOU_H[[#This Row],[3B]]*3)+(HOU_H[[#This Row],[HR]]*4))/HOU_H[[#This Row],[AB]],0)</f>
        <v>0.48148148148148145</v>
      </c>
      <c r="G15" s="28">
        <v>8</v>
      </c>
      <c r="H15" s="28">
        <v>27</v>
      </c>
      <c r="I15" s="28">
        <v>4</v>
      </c>
      <c r="J15" s="28">
        <v>7</v>
      </c>
      <c r="K15" s="28">
        <v>0</v>
      </c>
      <c r="L15" s="28">
        <v>0</v>
      </c>
      <c r="M15" s="28">
        <v>2</v>
      </c>
      <c r="N15" s="28">
        <v>6</v>
      </c>
      <c r="O15" s="28">
        <v>3</v>
      </c>
      <c r="P15" s="74">
        <v>8</v>
      </c>
      <c r="Q15" s="28">
        <v>0</v>
      </c>
      <c r="R15" s="28">
        <v>1</v>
      </c>
      <c r="S15" s="74">
        <v>4</v>
      </c>
      <c r="T15" s="28">
        <f>IFERROR((HOU_H[[#This Row],[H]]-HOU_H[[#This Row],[2B]]-HOU_H[[#This Row],[3B]]-HOU_H[[#This Row],[HR]])+(HOU_H[[#This Row],[2B]]*2)+(HOU_H[[#This Row],[3B]]*3)+(HOU_H[[#This Row],[HR]]*4),0)</f>
        <v>13</v>
      </c>
      <c r="U15" s="72">
        <f>HOU_H[[#This Row],[OBP]]+HOU_H[[#This Row],[SLG]]</f>
        <v>0.81481481481481477</v>
      </c>
      <c r="V15" s="74">
        <v>1</v>
      </c>
      <c r="W15" s="615">
        <v>12</v>
      </c>
      <c r="Z15" s="651" t="s">
        <v>580</v>
      </c>
      <c r="AA15" s="71" t="s">
        <v>187</v>
      </c>
      <c r="AB15" s="71" t="s">
        <v>592</v>
      </c>
      <c r="AC15" s="72">
        <f>IFERROR(HOU_H192[[#This Row],[H]]/HOU_H192[[#This Row],[AB]],0)</f>
        <v>0</v>
      </c>
      <c r="AD15" s="72">
        <f>IFERROR((HOU_H192[[#This Row],[H]]+HOU_H192[[#This Row],[BB]])/(HOU_H192[[#This Row],[BB]]+HOU_H192[[#This Row],[AB]]),0)</f>
        <v>0</v>
      </c>
      <c r="AE15" s="73">
        <f>IFERROR(((HOU_H192[[#This Row],[H]]-HOU_H192[[#This Row],[2B]]-HOU_H192[[#This Row],[3B]]-HOU_H192[[#This Row],[HR]])+(HOU_H192[[#This Row],[2B]]*2)+(HOU_H192[[#This Row],[3B]]*3)+(HOU_H192[[#This Row],[HR]]*4))/HOU_H192[[#This Row],[AB]],0)</f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74">
        <v>0</v>
      </c>
      <c r="AP15" s="28">
        <v>0</v>
      </c>
      <c r="AQ15" s="28">
        <v>0</v>
      </c>
      <c r="AR15" s="74">
        <v>0</v>
      </c>
      <c r="AS15" s="28">
        <f>IFERROR((HOU_H192[[#This Row],[H]]-HOU_H192[[#This Row],[2B]]-HOU_H192[[#This Row],[3B]]-HOU_H192[[#This Row],[HR]])+(HOU_H192[[#This Row],[2B]]*2)+(HOU_H192[[#This Row],[3B]]*3)+(HOU_H192[[#This Row],[HR]]*4),0)</f>
        <v>0</v>
      </c>
      <c r="AT15" s="72">
        <f>HOU_H192[[#This Row],[OBP]]+HOU_H192[[#This Row],[SLG]]</f>
        <v>0</v>
      </c>
      <c r="AU15" s="74">
        <v>0</v>
      </c>
      <c r="AV15" s="615">
        <v>12</v>
      </c>
      <c r="AY15" s="609" t="s">
        <v>580</v>
      </c>
      <c r="AZ15" s="74" t="s">
        <v>187</v>
      </c>
      <c r="BA15" s="71" t="s">
        <v>592</v>
      </c>
      <c r="BB15" s="72">
        <f>IFERROR(HOU_H178[[#This Row],[H]]/HOU_H178[[#This Row],[AB]],0)</f>
        <v>0.22857142857142856</v>
      </c>
      <c r="BC15" s="72">
        <f>IFERROR((HOU_H178[[#This Row],[BB]]+HOU_H178[[#This Row],[H]])/(HOU_H178[[#This Row],[AB]]+HOU_H178[[#This Row],[BB]]),0)</f>
        <v>0.25</v>
      </c>
      <c r="BD15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0.25714285714285712</v>
      </c>
      <c r="BE15" s="28">
        <v>18</v>
      </c>
      <c r="BF15" s="28">
        <v>35</v>
      </c>
      <c r="BG15" s="28">
        <v>2</v>
      </c>
      <c r="BH15" s="28">
        <v>8</v>
      </c>
      <c r="BI15" s="28">
        <v>1</v>
      </c>
      <c r="BJ15" s="28">
        <v>0</v>
      </c>
      <c r="BK15" s="28">
        <v>0</v>
      </c>
      <c r="BL15" s="28">
        <v>0</v>
      </c>
      <c r="BM15" s="28">
        <v>1</v>
      </c>
      <c r="BN15" s="74">
        <v>7</v>
      </c>
      <c r="BO15" s="28">
        <v>0</v>
      </c>
      <c r="BP15" s="28">
        <v>0</v>
      </c>
      <c r="BQ15" s="74">
        <v>2</v>
      </c>
      <c r="BR15" s="28">
        <f>(HOU_H178[[#This Row],[H]]-HOU_H178[[#This Row],[2B]]-HOU_H178[[#This Row],[3B]]-HOU_H178[[#This Row],[HR]])+(HOU_H178[[#This Row],[2B]]*2)+(HOU_H178[[#This Row],[3B]]*3)+(HOU_H178[[#This Row],[HR]]*4)</f>
        <v>9</v>
      </c>
      <c r="BS15" s="72">
        <f>IFERROR(HOU_H178[[#This Row],[OBP]]+HOU_H178[[#This Row],[SLG]],0)</f>
        <v>0.50714285714285712</v>
      </c>
      <c r="BT15" s="74">
        <v>0</v>
      </c>
      <c r="BU15" s="615">
        <v>12</v>
      </c>
    </row>
    <row r="16" spans="1:73">
      <c r="A16" s="651" t="s">
        <v>580</v>
      </c>
      <c r="B16" s="71" t="s">
        <v>186</v>
      </c>
      <c r="C16" s="71" t="s">
        <v>593</v>
      </c>
      <c r="D16" s="72">
        <f>IFERROR(HOU_H[[#This Row],[H]]/HOU_H[[#This Row],[AB]],0)</f>
        <v>0.33333333333333331</v>
      </c>
      <c r="E16" s="72">
        <f>IFERROR((HOU_H[[#This Row],[H]]+HOU_H[[#This Row],[BB]])/(HOU_H[[#This Row],[BB]]+HOU_H[[#This Row],[AB]]),0)</f>
        <v>0.41176470588235292</v>
      </c>
      <c r="F16" s="73">
        <f>IFERROR(((HOU_H[[#This Row],[H]]-HOU_H[[#This Row],[2B]]-HOU_H[[#This Row],[3B]]-HOU_H[[#This Row],[HR]])+(HOU_H[[#This Row],[2B]]*2)+(HOU_H[[#This Row],[3B]]*3)+(HOU_H[[#This Row],[HR]]*4))/HOU_H[[#This Row],[AB]],0)</f>
        <v>0.4</v>
      </c>
      <c r="G16" s="28">
        <v>5</v>
      </c>
      <c r="H16" s="28">
        <v>15</v>
      </c>
      <c r="I16" s="28">
        <v>2</v>
      </c>
      <c r="J16" s="28">
        <v>5</v>
      </c>
      <c r="K16" s="28">
        <v>1</v>
      </c>
      <c r="L16" s="28">
        <v>0</v>
      </c>
      <c r="M16" s="28">
        <v>0</v>
      </c>
      <c r="N16" s="28">
        <v>1</v>
      </c>
      <c r="O16" s="28">
        <v>2</v>
      </c>
      <c r="P16" s="74">
        <v>8</v>
      </c>
      <c r="Q16" s="28">
        <v>0</v>
      </c>
      <c r="R16" s="28">
        <v>0</v>
      </c>
      <c r="S16" s="74">
        <v>3</v>
      </c>
      <c r="T16" s="28">
        <f>IFERROR((HOU_H[[#This Row],[H]]-HOU_H[[#This Row],[2B]]-HOU_H[[#This Row],[3B]]-HOU_H[[#This Row],[HR]])+(HOU_H[[#This Row],[2B]]*2)+(HOU_H[[#This Row],[3B]]*3)+(HOU_H[[#This Row],[HR]]*4),0)</f>
        <v>6</v>
      </c>
      <c r="U16" s="72">
        <f>HOU_H[[#This Row],[OBP]]+HOU_H[[#This Row],[SLG]]</f>
        <v>0.81176470588235294</v>
      </c>
      <c r="V16" s="74">
        <v>0</v>
      </c>
      <c r="W16" s="615">
        <v>13</v>
      </c>
      <c r="Z16" s="651" t="s">
        <v>580</v>
      </c>
      <c r="AA16" s="71" t="s">
        <v>186</v>
      </c>
      <c r="AB16" s="71" t="s">
        <v>593</v>
      </c>
      <c r="AC16" s="72">
        <f>IFERROR(HOU_H192[[#This Row],[H]]/HOU_H192[[#This Row],[AB]],0)</f>
        <v>0.33333333333333331</v>
      </c>
      <c r="AD16" s="72">
        <f>IFERROR((HOU_H192[[#This Row],[H]]+HOU_H192[[#This Row],[BB]])/(HOU_H192[[#This Row],[BB]]+HOU_H192[[#This Row],[AB]]),0)</f>
        <v>0.42857142857142855</v>
      </c>
      <c r="AE16" s="73">
        <f>IFERROR(((HOU_H192[[#This Row],[H]]-HOU_H192[[#This Row],[2B]]-HOU_H192[[#This Row],[3B]]-HOU_H192[[#This Row],[HR]])+(HOU_H192[[#This Row],[2B]]*2)+(HOU_H192[[#This Row],[3B]]*3)+(HOU_H192[[#This Row],[HR]]*4))/HOU_H192[[#This Row],[AB]],0)</f>
        <v>0.5</v>
      </c>
      <c r="AF16" s="28">
        <v>6</v>
      </c>
      <c r="AG16" s="28">
        <v>6</v>
      </c>
      <c r="AH16" s="28">
        <v>1</v>
      </c>
      <c r="AI16" s="28">
        <v>2</v>
      </c>
      <c r="AJ16" s="28">
        <v>1</v>
      </c>
      <c r="AK16" s="28">
        <v>0</v>
      </c>
      <c r="AL16" s="28">
        <v>0</v>
      </c>
      <c r="AM16" s="28">
        <v>1</v>
      </c>
      <c r="AN16" s="28">
        <v>1</v>
      </c>
      <c r="AO16" s="74">
        <v>4</v>
      </c>
      <c r="AP16" s="28">
        <v>0</v>
      </c>
      <c r="AQ16" s="28">
        <v>0</v>
      </c>
      <c r="AR16" s="74">
        <v>1</v>
      </c>
      <c r="AS16" s="28">
        <f>IFERROR((HOU_H192[[#This Row],[H]]-HOU_H192[[#This Row],[2B]]-HOU_H192[[#This Row],[3B]]-HOU_H192[[#This Row],[HR]])+(HOU_H192[[#This Row],[2B]]*2)+(HOU_H192[[#This Row],[3B]]*3)+(HOU_H192[[#This Row],[HR]]*4),0)</f>
        <v>3</v>
      </c>
      <c r="AT16" s="72">
        <f>HOU_H192[[#This Row],[OBP]]+HOU_H192[[#This Row],[SLG]]</f>
        <v>0.9285714285714286</v>
      </c>
      <c r="AU16" s="74">
        <v>0</v>
      </c>
      <c r="AV16" s="615">
        <v>13</v>
      </c>
      <c r="AY16" s="609" t="s">
        <v>580</v>
      </c>
      <c r="AZ16" s="74" t="s">
        <v>184</v>
      </c>
      <c r="BA16" s="71" t="s">
        <v>593</v>
      </c>
      <c r="BB16" s="72">
        <f>IFERROR(HOU_H178[[#This Row],[H]]/HOU_H178[[#This Row],[AB]],0)</f>
        <v>0.15625</v>
      </c>
      <c r="BC16" s="72">
        <f>IFERROR((HOU_H178[[#This Row],[BB]]+HOU_H178[[#This Row],[H]])/(HOU_H178[[#This Row],[AB]]+HOU_H178[[#This Row],[BB]]),0)</f>
        <v>0.15625</v>
      </c>
      <c r="BD16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0.25</v>
      </c>
      <c r="BE16" s="28">
        <v>13</v>
      </c>
      <c r="BF16" s="28">
        <v>32</v>
      </c>
      <c r="BG16" s="28">
        <v>3</v>
      </c>
      <c r="BH16" s="28">
        <v>5</v>
      </c>
      <c r="BI16" s="28">
        <v>0</v>
      </c>
      <c r="BJ16" s="28">
        <v>0</v>
      </c>
      <c r="BK16" s="28">
        <v>1</v>
      </c>
      <c r="BL16" s="28">
        <v>1</v>
      </c>
      <c r="BM16" s="28">
        <v>0</v>
      </c>
      <c r="BN16" s="74">
        <v>11</v>
      </c>
      <c r="BO16" s="28">
        <v>0</v>
      </c>
      <c r="BP16" s="28">
        <v>2</v>
      </c>
      <c r="BQ16" s="74">
        <v>2</v>
      </c>
      <c r="BR16" s="28">
        <f>(HOU_H178[[#This Row],[H]]-HOU_H178[[#This Row],[2B]]-HOU_H178[[#This Row],[3B]]-HOU_H178[[#This Row],[HR]])+(HOU_H178[[#This Row],[2B]]*2)+(HOU_H178[[#This Row],[3B]]*3)+(HOU_H178[[#This Row],[HR]]*4)</f>
        <v>8</v>
      </c>
      <c r="BS16" s="72">
        <f>IFERROR(HOU_H178[[#This Row],[OBP]]+HOU_H178[[#This Row],[SLG]],0)</f>
        <v>0.40625</v>
      </c>
      <c r="BT16" s="74">
        <v>0</v>
      </c>
      <c r="BU16" s="615">
        <v>13</v>
      </c>
    </row>
    <row r="17" spans="1:73" ht="17" thickBot="1">
      <c r="A17" s="651" t="s">
        <v>580</v>
      </c>
      <c r="B17" s="71" t="s">
        <v>186</v>
      </c>
      <c r="C17" s="71" t="s">
        <v>594</v>
      </c>
      <c r="D17" s="72">
        <f>IFERROR(HOU_H[[#This Row],[H]]/HOU_H[[#This Row],[AB]],0)</f>
        <v>0.23076923076923078</v>
      </c>
      <c r="E17" s="72">
        <f>IFERROR((HOU_H[[#This Row],[H]]+HOU_H[[#This Row],[BB]])/(HOU_H[[#This Row],[BB]]+HOU_H[[#This Row],[AB]]),0)</f>
        <v>0.2857142857142857</v>
      </c>
      <c r="F17" s="73">
        <f>IFERROR(((HOU_H[[#This Row],[H]]-HOU_H[[#This Row],[2B]]-HOU_H[[#This Row],[3B]]-HOU_H[[#This Row],[HR]])+(HOU_H[[#This Row],[2B]]*2)+(HOU_H[[#This Row],[3B]]*3)+(HOU_H[[#This Row],[HR]]*4))/HOU_H[[#This Row],[AB]],0)</f>
        <v>0.34615384615384615</v>
      </c>
      <c r="G17" s="28">
        <v>10</v>
      </c>
      <c r="H17" s="28">
        <v>26</v>
      </c>
      <c r="I17" s="28">
        <v>5</v>
      </c>
      <c r="J17" s="28">
        <v>6</v>
      </c>
      <c r="K17" s="28">
        <v>0</v>
      </c>
      <c r="L17" s="28">
        <v>0</v>
      </c>
      <c r="M17" s="28">
        <v>1</v>
      </c>
      <c r="N17" s="28">
        <v>1</v>
      </c>
      <c r="O17" s="28">
        <v>2</v>
      </c>
      <c r="P17" s="74">
        <v>6</v>
      </c>
      <c r="Q17" s="28">
        <v>2</v>
      </c>
      <c r="R17" s="28">
        <v>0</v>
      </c>
      <c r="S17" s="74">
        <v>2</v>
      </c>
      <c r="T17" s="28">
        <f>IFERROR((HOU_H[[#This Row],[H]]-HOU_H[[#This Row],[2B]]-HOU_H[[#This Row],[3B]]-HOU_H[[#This Row],[HR]])+(HOU_H[[#This Row],[2B]]*2)+(HOU_H[[#This Row],[3B]]*3)+(HOU_H[[#This Row],[HR]]*4),0)</f>
        <v>9</v>
      </c>
      <c r="U17" s="72">
        <f>HOU_H[[#This Row],[OBP]]+HOU_H[[#This Row],[SLG]]</f>
        <v>0.63186813186813184</v>
      </c>
      <c r="V17" s="74">
        <v>0</v>
      </c>
      <c r="W17" s="615">
        <v>14</v>
      </c>
      <c r="Z17" s="651" t="s">
        <v>580</v>
      </c>
      <c r="AA17" s="71" t="s">
        <v>186</v>
      </c>
      <c r="AB17" s="71" t="s">
        <v>594</v>
      </c>
      <c r="AC17" s="72">
        <f>IFERROR(HOU_H192[[#This Row],[H]]/HOU_H192[[#This Row],[AB]],0)</f>
        <v>0</v>
      </c>
      <c r="AD17" s="72">
        <f>IFERROR((HOU_H192[[#This Row],[H]]+HOU_H192[[#This Row],[BB]])/(HOU_H192[[#This Row],[BB]]+HOU_H192[[#This Row],[AB]]),0)</f>
        <v>0</v>
      </c>
      <c r="AE17" s="73">
        <f>IFERROR(((HOU_H192[[#This Row],[H]]-HOU_H192[[#This Row],[2B]]-HOU_H192[[#This Row],[3B]]-HOU_H192[[#This Row],[HR]])+(HOU_H192[[#This Row],[2B]]*2)+(HOU_H192[[#This Row],[3B]]*3)+(HOU_H192[[#This Row],[HR]]*4))/HOU_H192[[#This Row],[AB]],0)</f>
        <v>0</v>
      </c>
      <c r="AF17" s="28">
        <v>2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74">
        <v>0</v>
      </c>
      <c r="AP17" s="28">
        <v>0</v>
      </c>
      <c r="AQ17" s="28">
        <v>0</v>
      </c>
      <c r="AR17" s="74">
        <v>0</v>
      </c>
      <c r="AS17" s="28">
        <f>IFERROR((HOU_H192[[#This Row],[H]]-HOU_H192[[#This Row],[2B]]-HOU_H192[[#This Row],[3B]]-HOU_H192[[#This Row],[HR]])+(HOU_H192[[#This Row],[2B]]*2)+(HOU_H192[[#This Row],[3B]]*3)+(HOU_H192[[#This Row],[HR]]*4),0)</f>
        <v>0</v>
      </c>
      <c r="AT17" s="72">
        <f>HOU_H192[[#This Row],[OBP]]+HOU_H192[[#This Row],[SLG]]</f>
        <v>0</v>
      </c>
      <c r="AU17" s="74">
        <v>0</v>
      </c>
      <c r="AV17" s="615">
        <v>14</v>
      </c>
      <c r="AY17" s="609" t="s">
        <v>580</v>
      </c>
      <c r="AZ17" s="74" t="s">
        <v>184</v>
      </c>
      <c r="BA17" s="71" t="s">
        <v>594</v>
      </c>
      <c r="BB17" s="72">
        <f>IFERROR(HOU_H178[[#This Row],[H]]/HOU_H178[[#This Row],[AB]],0)</f>
        <v>0.13793103448275862</v>
      </c>
      <c r="BC17" s="72">
        <f>IFERROR((HOU_H178[[#This Row],[BB]]+HOU_H178[[#This Row],[H]])/(HOU_H178[[#This Row],[AB]]+HOU_H178[[#This Row],[BB]]),0)</f>
        <v>0.19354838709677419</v>
      </c>
      <c r="BD17" s="73">
        <f>IFERROR(((HOU_H178[[#This Row],[H]]-HOU_H178[[#This Row],[2B]]-HOU_H178[[#This Row],[3B]]-HOU_H178[[#This Row],[HR]])+(HOU_H178[[#This Row],[2B]]*2)+(HOU_H178[[#This Row],[3B]]*3)+(HOU_H178[[#This Row],[HR]]*4))/HOU_H178[[#This Row],[AB]],0)</f>
        <v>0.31034482758620691</v>
      </c>
      <c r="BE17" s="28">
        <v>12</v>
      </c>
      <c r="BF17" s="28">
        <v>29</v>
      </c>
      <c r="BG17" s="28">
        <v>2</v>
      </c>
      <c r="BH17" s="28">
        <v>4</v>
      </c>
      <c r="BI17" s="28">
        <v>0</v>
      </c>
      <c r="BJ17" s="28">
        <v>1</v>
      </c>
      <c r="BK17" s="28">
        <v>1</v>
      </c>
      <c r="BL17" s="28">
        <v>4</v>
      </c>
      <c r="BM17" s="28">
        <v>2</v>
      </c>
      <c r="BN17" s="74">
        <v>9</v>
      </c>
      <c r="BO17" s="28">
        <v>0</v>
      </c>
      <c r="BP17" s="28">
        <v>3</v>
      </c>
      <c r="BQ17" s="74">
        <v>3</v>
      </c>
      <c r="BR17" s="28">
        <f>(HOU_H178[[#This Row],[H]]-HOU_H178[[#This Row],[2B]]-HOU_H178[[#This Row],[3B]]-HOU_H178[[#This Row],[HR]])+(HOU_H178[[#This Row],[2B]]*2)+(HOU_H178[[#This Row],[3B]]*3)+(HOU_H178[[#This Row],[HR]]*4)</f>
        <v>9</v>
      </c>
      <c r="BS17" s="72">
        <f>IFERROR(HOU_H178[[#This Row],[OBP]]+HOU_H178[[#This Row],[SLG]],0)</f>
        <v>0.50389321468298109</v>
      </c>
      <c r="BT17" s="74">
        <v>0</v>
      </c>
      <c r="BU17" s="615">
        <v>14</v>
      </c>
    </row>
    <row r="18" spans="1:73" ht="17" thickBot="1">
      <c r="A18" s="781"/>
      <c r="B18" s="782"/>
      <c r="C18" s="782"/>
      <c r="D18" s="656">
        <f>HOU_H[[#Totals],[H]]/HOU_H[[#Totals],[AB]]</f>
        <v>0.27576403695806678</v>
      </c>
      <c r="E18" s="655">
        <f>(J18+O18)/(H18+O18)</f>
        <v>0.34679487179487178</v>
      </c>
      <c r="F18" s="783">
        <f>((HOU_H[[#Totals],[H]]-HOU_H[[#Totals],[2B]]-HOU_H[[#Totals],[3B]]-HOU_H[[#Totals],[HR]])+(HOU_H[[#Totals],[2B]]*2)+(HOU_H[[#Totals],[3B]]*3)+(HOU_H[[#Totals],[HR]]*4))/HOU_H[[#Totals],[AB]]</f>
        <v>0.49893390191897652</v>
      </c>
      <c r="G18" s="658"/>
      <c r="H18" s="658">
        <f>SUBTOTAL(109,HOU_H[AB])</f>
        <v>1407</v>
      </c>
      <c r="I18" s="659">
        <f>SUBTOTAL(109,HOU_H[R])</f>
        <v>215</v>
      </c>
      <c r="J18" s="658">
        <f>SUBTOTAL(109,HOU_H[H])</f>
        <v>388</v>
      </c>
      <c r="K18" s="658">
        <f>SUBTOTAL(109,HOU_H[2B])</f>
        <v>80</v>
      </c>
      <c r="L18" s="659">
        <f>SUBTOTAL(109,HOU_H[3B])</f>
        <v>12</v>
      </c>
      <c r="M18" s="658">
        <f>SUBTOTAL(109,HOU_H[HR])</f>
        <v>70</v>
      </c>
      <c r="N18" s="658">
        <f>SUBTOTAL(109,HOU_H[RBI])</f>
        <v>214</v>
      </c>
      <c r="O18" s="658">
        <f>SUBTOTAL(109,HOU_H[BB])</f>
        <v>153</v>
      </c>
      <c r="P18" s="660">
        <f>SUBTOTAL(109,HOU_H[K])</f>
        <v>344</v>
      </c>
      <c r="Q18" s="658">
        <f>SUBTOTAL(109,HOU_H[SB])</f>
        <v>4</v>
      </c>
      <c r="R18" s="658"/>
      <c r="S18" s="660"/>
      <c r="T18" s="659">
        <f>SUBTOTAL(109,HOU_H[TB])</f>
        <v>702</v>
      </c>
      <c r="U18" s="655">
        <f>HOU_H[[#Totals],[OBP]]+HOU_H[[#Totals],[SLG]]</f>
        <v>0.84572877371384836</v>
      </c>
      <c r="V18" s="660">
        <f>SUBTOTAL(109,HOU_H[*])</f>
        <v>25</v>
      </c>
      <c r="W18" s="734"/>
      <c r="Z18" s="781"/>
      <c r="AA18" s="782"/>
      <c r="AB18" s="782"/>
      <c r="AC18" s="656">
        <f>HOU_H192[[#Totals],[H]]/HOU_H192[[#Totals],[AB]]</f>
        <v>0.26756564939673527</v>
      </c>
      <c r="AD18" s="656">
        <f>(AI18+AN18)/(AG18+AN18)</f>
        <v>0.32504905166775672</v>
      </c>
      <c r="AE18" s="657">
        <f>((HOU_H192[[#Totals],[H]]-HOU_H192[[#Totals],[2B]]-HOU_H192[[#Totals],[3B]]-HOU_H192[[#Totals],[HR]])+(HOU_H192[[#Totals],[2B]]*2)+(HOU_H192[[#Totals],[3B]]*3)+(HOU_H192[[#Totals],[HR]]*4))/HOU_H192[[#Totals],[AB]]</f>
        <v>0.44925479063165363</v>
      </c>
      <c r="AF18" s="658"/>
      <c r="AG18" s="658">
        <f>SUBTOTAL(109,HOU_H192[AB])</f>
        <v>1409</v>
      </c>
      <c r="AH18" s="658">
        <f>SUBTOTAL(109,HOU_H192[R])</f>
        <v>175</v>
      </c>
      <c r="AI18" s="658">
        <f>SUBTOTAL(109,HOU_H192[H])</f>
        <v>377</v>
      </c>
      <c r="AJ18" s="659">
        <f>SUBTOTAL(109,HOU_H192[2B])</f>
        <v>93</v>
      </c>
      <c r="AK18" s="658">
        <f>SUBTOTAL(109,HOU_H192[3B])</f>
        <v>8</v>
      </c>
      <c r="AL18" s="658">
        <f>SUBTOTAL(109,HOU_H192[HR])</f>
        <v>49</v>
      </c>
      <c r="AM18" s="658">
        <f>SUBTOTAL(109,HOU_H192[RBI])</f>
        <v>173</v>
      </c>
      <c r="AN18" s="658">
        <f>SUBTOTAL(109,HOU_H192[BB])</f>
        <v>120</v>
      </c>
      <c r="AO18" s="660">
        <f>SUBTOTAL(109,HOU_H192[K])</f>
        <v>323</v>
      </c>
      <c r="AP18" s="658">
        <f>SUBTOTAL(109,HOU_H192[SB])</f>
        <v>5</v>
      </c>
      <c r="AQ18" s="658"/>
      <c r="AR18" s="660"/>
      <c r="AS18" s="658">
        <f>SUBTOTAL(109,HOU_H192[TB])</f>
        <v>633</v>
      </c>
      <c r="AT18" s="656">
        <f>HOU_H192[[#Totals],[OBP]]+HOU_H192[[#Totals],[SLG]]</f>
        <v>0.77430384229941041</v>
      </c>
      <c r="AU18" s="660">
        <f>SUBTOTAL(109,HOU_H192[*])</f>
        <v>20</v>
      </c>
      <c r="AV18" s="734"/>
      <c r="AY18" s="818"/>
      <c r="AZ18" s="810"/>
      <c r="BA18" s="654" t="s">
        <v>195</v>
      </c>
      <c r="BB18" s="656">
        <f>BH18/BF18</f>
        <v>0.26315789473684209</v>
      </c>
      <c r="BC18" s="656">
        <f>(BM18+BH18)/(BF18+BM18)</f>
        <v>0.32575250836120401</v>
      </c>
      <c r="BD18" s="657">
        <f>((BH18-BI18-BJ18-BK18)+(BI18*2)+(BJ18*3)+(BK18*4))/BF18</f>
        <v>0.45029239766081869</v>
      </c>
      <c r="BE18" s="658"/>
      <c r="BF18" s="658">
        <f>SUBTOTAL(109,HOU_H178[AB])</f>
        <v>1368</v>
      </c>
      <c r="BG18" s="658">
        <f>SUBTOTAL(109,HOU_H178[R])</f>
        <v>177</v>
      </c>
      <c r="BH18" s="658">
        <f>SUBTOTAL(109,HOU_H178[H])</f>
        <v>360</v>
      </c>
      <c r="BI18" s="658">
        <f>SUBTOTAL(109,HOU_H178[2B])</f>
        <v>75</v>
      </c>
      <c r="BJ18" s="658">
        <f>SUBTOTAL(109,HOU_H178[3B])</f>
        <v>8</v>
      </c>
      <c r="BK18" s="658">
        <f>SUBTOTAL(109,HOU_H178[HR])</f>
        <v>55</v>
      </c>
      <c r="BL18" s="658">
        <f>SUBTOTAL(109,HOU_H178[RBI])</f>
        <v>176</v>
      </c>
      <c r="BM18" s="658">
        <f>SUBTOTAL(109,HOU_H178[BB])</f>
        <v>127</v>
      </c>
      <c r="BN18" s="660">
        <f>SUBTOTAL(109,HOU_H178[K])</f>
        <v>315</v>
      </c>
      <c r="BO18" s="658">
        <f>SUBTOTAL(109,HOU_H178[SB])</f>
        <v>10</v>
      </c>
      <c r="BP18" s="658"/>
      <c r="BQ18" s="660"/>
      <c r="BR18" s="658">
        <f>(BH18-BI18-BJ18-BK18)+(BI18*2)+(BJ18*3)+(BK18*4)</f>
        <v>616</v>
      </c>
      <c r="BS18" s="656">
        <f>BC18+BD18</f>
        <v>0.7760449060220227</v>
      </c>
      <c r="BT18" s="660">
        <f>SUBTOTAL(109,HOU_H178[*])</f>
        <v>25</v>
      </c>
      <c r="BU18" s="734"/>
    </row>
    <row r="19" spans="1:73" ht="17" thickBot="1"/>
    <row r="20" spans="1:73" s="108" customFormat="1" ht="15" thickBot="1">
      <c r="A20" s="605" t="s">
        <v>143</v>
      </c>
      <c r="B20" s="606" t="s">
        <v>144</v>
      </c>
      <c r="C20" s="606" t="s">
        <v>145</v>
      </c>
      <c r="D20" s="606" t="s">
        <v>196</v>
      </c>
      <c r="E20" s="606" t="s">
        <v>197</v>
      </c>
      <c r="F20" s="606" t="s">
        <v>198</v>
      </c>
      <c r="G20" s="606" t="s">
        <v>149</v>
      </c>
      <c r="H20" s="606" t="s">
        <v>199</v>
      </c>
      <c r="I20" s="606" t="s">
        <v>152</v>
      </c>
      <c r="J20" s="606" t="s">
        <v>151</v>
      </c>
      <c r="K20" s="606" t="s">
        <v>157</v>
      </c>
      <c r="L20" s="606" t="s">
        <v>158</v>
      </c>
      <c r="M20" s="606" t="s">
        <v>200</v>
      </c>
      <c r="N20" s="606" t="s">
        <v>201</v>
      </c>
      <c r="O20" s="606" t="s">
        <v>202</v>
      </c>
      <c r="P20" s="606" t="s">
        <v>203</v>
      </c>
      <c r="Q20" s="606" t="s">
        <v>204</v>
      </c>
      <c r="R20" s="606" t="s">
        <v>205</v>
      </c>
      <c r="S20" s="607" t="s">
        <v>164</v>
      </c>
      <c r="Z20" s="605" t="s">
        <v>143</v>
      </c>
      <c r="AA20" s="606" t="s">
        <v>144</v>
      </c>
      <c r="AB20" s="606" t="s">
        <v>145</v>
      </c>
      <c r="AC20" s="606" t="s">
        <v>196</v>
      </c>
      <c r="AD20" s="606" t="s">
        <v>197</v>
      </c>
      <c r="AE20" s="606" t="s">
        <v>198</v>
      </c>
      <c r="AF20" s="606" t="s">
        <v>149</v>
      </c>
      <c r="AG20" s="606" t="s">
        <v>199</v>
      </c>
      <c r="AH20" s="606" t="s">
        <v>152</v>
      </c>
      <c r="AI20" s="606" t="s">
        <v>151</v>
      </c>
      <c r="AJ20" s="606" t="s">
        <v>157</v>
      </c>
      <c r="AK20" s="606" t="s">
        <v>158</v>
      </c>
      <c r="AL20" s="606" t="s">
        <v>200</v>
      </c>
      <c r="AM20" s="606" t="s">
        <v>201</v>
      </c>
      <c r="AN20" s="606" t="s">
        <v>202</v>
      </c>
      <c r="AO20" s="606" t="s">
        <v>203</v>
      </c>
      <c r="AP20" s="606" t="s">
        <v>204</v>
      </c>
      <c r="AQ20" s="606" t="s">
        <v>205</v>
      </c>
      <c r="AR20" s="607" t="s">
        <v>164</v>
      </c>
      <c r="AY20" s="605" t="s">
        <v>143</v>
      </c>
      <c r="AZ20" s="606" t="s">
        <v>144</v>
      </c>
      <c r="BA20" s="606" t="s">
        <v>145</v>
      </c>
      <c r="BB20" s="606" t="s">
        <v>196</v>
      </c>
      <c r="BC20" s="606" t="s">
        <v>197</v>
      </c>
      <c r="BD20" s="606" t="s">
        <v>198</v>
      </c>
      <c r="BE20" s="606" t="s">
        <v>149</v>
      </c>
      <c r="BF20" s="606" t="s">
        <v>199</v>
      </c>
      <c r="BG20" s="606" t="s">
        <v>152</v>
      </c>
      <c r="BH20" s="606" t="s">
        <v>151</v>
      </c>
      <c r="BI20" s="606" t="s">
        <v>157</v>
      </c>
      <c r="BJ20" s="606" t="s">
        <v>158</v>
      </c>
      <c r="BK20" s="606" t="s">
        <v>200</v>
      </c>
      <c r="BL20" s="606" t="s">
        <v>201</v>
      </c>
      <c r="BM20" s="606" t="s">
        <v>202</v>
      </c>
      <c r="BN20" s="606" t="s">
        <v>203</v>
      </c>
      <c r="BO20" s="606" t="s">
        <v>204</v>
      </c>
      <c r="BP20" s="606" t="s">
        <v>205</v>
      </c>
      <c r="BQ20" s="607" t="s">
        <v>164</v>
      </c>
    </row>
    <row r="21" spans="1:73">
      <c r="A21" s="650" t="s">
        <v>580</v>
      </c>
      <c r="B21" s="604" t="s">
        <v>206</v>
      </c>
      <c r="C21" s="682" t="s">
        <v>597</v>
      </c>
      <c r="D21" s="663">
        <f>IFERROR((HOU_P[[#This Row],[R]]*9)/HOU_P[[#This Row],[IP]],0)</f>
        <v>2.6284348864994027</v>
      </c>
      <c r="E21" s="627">
        <v>7</v>
      </c>
      <c r="F21" s="604">
        <v>3</v>
      </c>
      <c r="G21" s="600">
        <v>10</v>
      </c>
      <c r="H21" s="784">
        <v>75.33</v>
      </c>
      <c r="I21" s="600">
        <v>46</v>
      </c>
      <c r="J21" s="600">
        <v>22</v>
      </c>
      <c r="K21" s="600">
        <v>22</v>
      </c>
      <c r="L21" s="600">
        <v>87</v>
      </c>
      <c r="M21" s="600">
        <v>0</v>
      </c>
      <c r="N21" s="785">
        <f>IFERROR((HOU_P[[#This Row],[BB]]+HOU_P[[#This Row],[H]])/HOU_P[[#This Row],[IP]],0)</f>
        <v>0.90269480950484537</v>
      </c>
      <c r="O21" s="673">
        <v>8</v>
      </c>
      <c r="P21" s="601">
        <v>6</v>
      </c>
      <c r="Q21" s="627">
        <v>2</v>
      </c>
      <c r="R21" s="604">
        <v>1</v>
      </c>
      <c r="S21" s="614">
        <v>1</v>
      </c>
      <c r="Z21" s="650" t="s">
        <v>580</v>
      </c>
      <c r="AA21" s="604" t="s">
        <v>206</v>
      </c>
      <c r="AB21" s="682" t="s">
        <v>597</v>
      </c>
      <c r="AC21" s="663">
        <f>IFERROR((HOU_P193[[#This Row],[R]]*9)/HOU_P193[[#This Row],[IP]],0)</f>
        <v>1.5194805194805194</v>
      </c>
      <c r="AD21" s="600">
        <v>6</v>
      </c>
      <c r="AE21" s="604">
        <v>1</v>
      </c>
      <c r="AF21" s="600">
        <v>10</v>
      </c>
      <c r="AG21" s="630">
        <v>77</v>
      </c>
      <c r="AH21" s="600">
        <v>43</v>
      </c>
      <c r="AI21" s="600">
        <v>13</v>
      </c>
      <c r="AJ21" s="600">
        <v>21</v>
      </c>
      <c r="AK21" s="600">
        <v>88</v>
      </c>
      <c r="AL21" s="600">
        <v>0</v>
      </c>
      <c r="AM21" s="785">
        <f>IFERROR((HOU_P193[[#This Row],[BB]]+HOU_P193[[#This Row],[H]])/HOU_P193[[#This Row],[IP]],0)</f>
        <v>0.83116883116883122</v>
      </c>
      <c r="AN21" s="815">
        <v>10</v>
      </c>
      <c r="AO21" s="601">
        <v>7</v>
      </c>
      <c r="AP21" s="600">
        <v>2</v>
      </c>
      <c r="AQ21" s="604">
        <v>2</v>
      </c>
      <c r="AR21" s="614">
        <v>1</v>
      </c>
      <c r="AY21" s="608" t="s">
        <v>580</v>
      </c>
      <c r="AZ21" s="604" t="s">
        <v>206</v>
      </c>
      <c r="BA21" s="597" t="s">
        <v>597</v>
      </c>
      <c r="BB21" s="663">
        <f>IFERROR((HOU_P179[[#This Row],[R]]*9)/HOU_P179[[#This Row],[IP]],0)</f>
        <v>2.4546570298649941</v>
      </c>
      <c r="BC21" s="600">
        <v>5</v>
      </c>
      <c r="BD21" s="604">
        <v>2</v>
      </c>
      <c r="BE21" s="600">
        <v>10</v>
      </c>
      <c r="BF21" s="630">
        <v>73.33</v>
      </c>
      <c r="BG21" s="600">
        <v>41</v>
      </c>
      <c r="BH21" s="600">
        <v>20</v>
      </c>
      <c r="BI21" s="600">
        <v>19</v>
      </c>
      <c r="BJ21" s="600">
        <v>79</v>
      </c>
      <c r="BK21" s="600">
        <v>0</v>
      </c>
      <c r="BL21" s="785">
        <f>IFERROR((HOU_P179[[#This Row],[BB]]+HOU_P179[[#This Row],[H]])/HOU_P179[[#This Row],[IP]],0)</f>
        <v>0.81821900995499797</v>
      </c>
      <c r="BM21" s="673">
        <v>8</v>
      </c>
      <c r="BN21" s="601">
        <v>6</v>
      </c>
      <c r="BO21" s="600">
        <v>2</v>
      </c>
      <c r="BP21" s="632">
        <v>2</v>
      </c>
      <c r="BQ21" s="614">
        <v>1</v>
      </c>
    </row>
    <row r="22" spans="1:73">
      <c r="A22" s="651" t="s">
        <v>580</v>
      </c>
      <c r="B22" s="74" t="s">
        <v>206</v>
      </c>
      <c r="C22" s="87" t="s">
        <v>598</v>
      </c>
      <c r="D22" s="88">
        <f>IFERROR((HOU_P[[#This Row],[R]]*9)/HOU_P[[#This Row],[IP]],0)</f>
        <v>4.3448275862068968</v>
      </c>
      <c r="E22" s="28">
        <v>4</v>
      </c>
      <c r="F22" s="74">
        <v>1</v>
      </c>
      <c r="G22" s="28">
        <v>10</v>
      </c>
      <c r="H22" s="584">
        <v>58</v>
      </c>
      <c r="I22" s="28">
        <v>55</v>
      </c>
      <c r="J22" s="28">
        <v>28</v>
      </c>
      <c r="K22" s="28">
        <v>28</v>
      </c>
      <c r="L22" s="28">
        <v>46</v>
      </c>
      <c r="M22" s="28">
        <v>0</v>
      </c>
      <c r="N22" s="106">
        <f>IFERROR((HOU_P[[#This Row],[BB]]+HOU_P[[#This Row],[H]])/HOU_P[[#This Row],[IP]],0)</f>
        <v>1.4310344827586208</v>
      </c>
      <c r="O22" s="77">
        <v>5</v>
      </c>
      <c r="P22" s="90">
        <v>3</v>
      </c>
      <c r="Q22" s="28">
        <v>0</v>
      </c>
      <c r="R22" s="74">
        <v>0</v>
      </c>
      <c r="S22" s="615">
        <v>2</v>
      </c>
      <c r="Z22" s="651" t="s">
        <v>580</v>
      </c>
      <c r="AA22" s="74" t="s">
        <v>206</v>
      </c>
      <c r="AB22" s="87" t="s">
        <v>598</v>
      </c>
      <c r="AC22" s="88">
        <f>IFERROR((HOU_P193[[#This Row],[R]]*9)/HOU_P193[[#This Row],[IP]],0)</f>
        <v>4.0344827586206895</v>
      </c>
      <c r="AD22" s="28">
        <v>4</v>
      </c>
      <c r="AE22" s="74">
        <v>3</v>
      </c>
      <c r="AF22" s="28">
        <v>10</v>
      </c>
      <c r="AG22" s="584">
        <v>58</v>
      </c>
      <c r="AH22" s="28">
        <v>62</v>
      </c>
      <c r="AI22" s="28">
        <v>26</v>
      </c>
      <c r="AJ22" s="28">
        <v>24</v>
      </c>
      <c r="AK22" s="28">
        <v>56</v>
      </c>
      <c r="AL22" s="28">
        <v>0</v>
      </c>
      <c r="AM22" s="106">
        <f>IFERROR((HOU_P193[[#This Row],[BB]]+HOU_P193[[#This Row],[H]])/HOU_P193[[#This Row],[IP]],0)</f>
        <v>1.4827586206896552</v>
      </c>
      <c r="AN22" s="77">
        <v>7</v>
      </c>
      <c r="AO22" s="90">
        <v>3</v>
      </c>
      <c r="AP22" s="28">
        <v>0</v>
      </c>
      <c r="AQ22" s="74">
        <v>0</v>
      </c>
      <c r="AR22" s="615">
        <v>2</v>
      </c>
      <c r="AY22" s="609" t="s">
        <v>580</v>
      </c>
      <c r="AZ22" s="74" t="s">
        <v>206</v>
      </c>
      <c r="BA22" s="71" t="s">
        <v>599</v>
      </c>
      <c r="BB22" s="88">
        <f>IFERROR((HOU_P179[[#This Row],[R]]*9)/HOU_P179[[#This Row],[IP]],0)</f>
        <v>4.2774394772018418</v>
      </c>
      <c r="BC22" s="28">
        <v>4</v>
      </c>
      <c r="BD22" s="74">
        <v>3</v>
      </c>
      <c r="BE22" s="28">
        <v>10</v>
      </c>
      <c r="BF22" s="584">
        <v>67.33</v>
      </c>
      <c r="BG22" s="28">
        <v>53</v>
      </c>
      <c r="BH22" s="28">
        <v>32</v>
      </c>
      <c r="BI22" s="28">
        <v>27</v>
      </c>
      <c r="BJ22" s="28">
        <v>86</v>
      </c>
      <c r="BK22" s="28">
        <v>0</v>
      </c>
      <c r="BL22" s="106">
        <f>IFERROR((HOU_P179[[#This Row],[BB]]+HOU_P179[[#This Row],[H]])/HOU_P179[[#This Row],[IP]],0)</f>
        <v>1.1881776325560671</v>
      </c>
      <c r="BM22" s="77">
        <v>6</v>
      </c>
      <c r="BN22" s="90">
        <v>3</v>
      </c>
      <c r="BO22" s="28">
        <v>0</v>
      </c>
      <c r="BP22" s="74">
        <v>0</v>
      </c>
      <c r="BQ22" s="615">
        <v>2</v>
      </c>
    </row>
    <row r="23" spans="1:73">
      <c r="A23" s="651" t="s">
        <v>580</v>
      </c>
      <c r="B23" s="74" t="s">
        <v>206</v>
      </c>
      <c r="C23" s="87" t="s">
        <v>599</v>
      </c>
      <c r="D23" s="88">
        <f>IFERROR((HOU_P[[#This Row],[R]]*9)/HOU_P[[#This Row],[IP]],0)</f>
        <v>3.3417495915639388</v>
      </c>
      <c r="E23" s="28">
        <v>5</v>
      </c>
      <c r="F23" s="74">
        <v>2</v>
      </c>
      <c r="G23" s="28">
        <v>10</v>
      </c>
      <c r="H23" s="584">
        <v>67.33</v>
      </c>
      <c r="I23" s="28">
        <v>55</v>
      </c>
      <c r="J23" s="28">
        <v>25</v>
      </c>
      <c r="K23" s="28">
        <v>25</v>
      </c>
      <c r="L23" s="28">
        <v>80</v>
      </c>
      <c r="M23" s="28">
        <v>0</v>
      </c>
      <c r="N23" s="106">
        <f>IFERROR((HOU_P[[#This Row],[BB]]+HOU_P[[#This Row],[H]])/HOU_P[[#This Row],[IP]],0)</f>
        <v>1.1881776325560671</v>
      </c>
      <c r="O23" s="77">
        <v>8</v>
      </c>
      <c r="P23" s="90">
        <v>3</v>
      </c>
      <c r="Q23" s="28">
        <v>0</v>
      </c>
      <c r="R23" s="74">
        <v>0</v>
      </c>
      <c r="S23" s="615">
        <v>3</v>
      </c>
      <c r="Z23" s="651" t="s">
        <v>580</v>
      </c>
      <c r="AA23" s="74" t="s">
        <v>206</v>
      </c>
      <c r="AB23" s="87" t="s">
        <v>599</v>
      </c>
      <c r="AC23" s="88">
        <f>IFERROR((HOU_P193[[#This Row],[R]]*9)/HOU_P193[[#This Row],[IP]],0)</f>
        <v>4.5240797794713794</v>
      </c>
      <c r="AD23" s="28">
        <v>3</v>
      </c>
      <c r="AE23" s="74">
        <v>3</v>
      </c>
      <c r="AF23" s="28">
        <v>10</v>
      </c>
      <c r="AG23" s="584">
        <v>61.67</v>
      </c>
      <c r="AH23" s="28">
        <v>59</v>
      </c>
      <c r="AI23" s="28">
        <v>31</v>
      </c>
      <c r="AJ23" s="28">
        <v>22</v>
      </c>
      <c r="AK23" s="28">
        <v>70</v>
      </c>
      <c r="AL23" s="28">
        <v>0</v>
      </c>
      <c r="AM23" s="106">
        <f>IFERROR((HOU_P193[[#This Row],[BB]]+HOU_P193[[#This Row],[H]])/HOU_P193[[#This Row],[IP]],0)</f>
        <v>1.3134425166207231</v>
      </c>
      <c r="AN23" s="77">
        <v>6</v>
      </c>
      <c r="AO23" s="90">
        <v>3</v>
      </c>
      <c r="AP23" s="28">
        <v>0</v>
      </c>
      <c r="AQ23" s="74">
        <v>0</v>
      </c>
      <c r="AR23" s="615">
        <v>3</v>
      </c>
      <c r="AY23" s="609" t="s">
        <v>580</v>
      </c>
      <c r="AZ23" s="74" t="s">
        <v>206</v>
      </c>
      <c r="BA23" s="71" t="s">
        <v>600</v>
      </c>
      <c r="BB23" s="88">
        <f>IFERROR((HOU_P179[[#This Row],[R]]*9)/HOU_P179[[#This Row],[IP]],0)</f>
        <v>5.5161290322580649</v>
      </c>
      <c r="BC23" s="28">
        <v>3</v>
      </c>
      <c r="BD23" s="74">
        <v>3</v>
      </c>
      <c r="BE23" s="28">
        <v>10</v>
      </c>
      <c r="BF23" s="584">
        <v>62</v>
      </c>
      <c r="BG23" s="28">
        <v>53</v>
      </c>
      <c r="BH23" s="28">
        <v>38</v>
      </c>
      <c r="BI23" s="76">
        <v>36</v>
      </c>
      <c r="BJ23" s="28">
        <v>80</v>
      </c>
      <c r="BK23" s="28">
        <v>0</v>
      </c>
      <c r="BL23" s="106">
        <f>IFERROR((HOU_P179[[#This Row],[BB]]+HOU_P179[[#This Row],[H]])/HOU_P179[[#This Row],[IP]],0)</f>
        <v>1.435483870967742</v>
      </c>
      <c r="BM23" s="77">
        <v>5</v>
      </c>
      <c r="BN23" s="90">
        <v>3</v>
      </c>
      <c r="BO23" s="28">
        <v>1</v>
      </c>
      <c r="BP23" s="74">
        <v>1</v>
      </c>
      <c r="BQ23" s="615">
        <v>3</v>
      </c>
    </row>
    <row r="24" spans="1:73">
      <c r="A24" s="651" t="s">
        <v>580</v>
      </c>
      <c r="B24" s="74" t="s">
        <v>206</v>
      </c>
      <c r="C24" s="87" t="s">
        <v>600</v>
      </c>
      <c r="D24" s="88">
        <f>IFERROR((HOU_P[[#This Row],[R]]*9)/HOU_P[[#This Row],[IP]],0)</f>
        <v>4.6334102609621874</v>
      </c>
      <c r="E24" s="28">
        <v>1</v>
      </c>
      <c r="F24" s="74">
        <v>4</v>
      </c>
      <c r="G24" s="28">
        <v>10</v>
      </c>
      <c r="H24" s="584">
        <v>56.33</v>
      </c>
      <c r="I24" s="28">
        <v>61</v>
      </c>
      <c r="J24" s="28">
        <v>29</v>
      </c>
      <c r="K24" s="28">
        <v>32</v>
      </c>
      <c r="L24" s="28">
        <v>52</v>
      </c>
      <c r="M24" s="28">
        <v>0</v>
      </c>
      <c r="N24" s="106">
        <f>IFERROR((HOU_P[[#This Row],[BB]]+HOU_P[[#This Row],[H]])/HOU_P[[#This Row],[IP]],0)</f>
        <v>1.6509852654003196</v>
      </c>
      <c r="O24" s="77">
        <v>5</v>
      </c>
      <c r="P24" s="90">
        <v>0</v>
      </c>
      <c r="Q24" s="28">
        <v>0</v>
      </c>
      <c r="R24" s="74">
        <v>0</v>
      </c>
      <c r="S24" s="615">
        <v>4</v>
      </c>
      <c r="Z24" s="651" t="s">
        <v>580</v>
      </c>
      <c r="AA24" s="74" t="s">
        <v>206</v>
      </c>
      <c r="AB24" s="87" t="s">
        <v>600</v>
      </c>
      <c r="AC24" s="88">
        <f>IFERROR((HOU_P193[[#This Row],[R]]*9)/HOU_P193[[#This Row],[IP]],0)</f>
        <v>6.2948647156267254</v>
      </c>
      <c r="AD24" s="28">
        <v>4</v>
      </c>
      <c r="AE24" s="74">
        <v>6</v>
      </c>
      <c r="AF24" s="28">
        <v>10</v>
      </c>
      <c r="AG24" s="584">
        <v>54.33</v>
      </c>
      <c r="AH24" s="28">
        <v>53</v>
      </c>
      <c r="AI24" s="28">
        <v>38</v>
      </c>
      <c r="AJ24" s="28">
        <v>28</v>
      </c>
      <c r="AK24" s="28">
        <v>62</v>
      </c>
      <c r="AL24" s="28">
        <v>0</v>
      </c>
      <c r="AM24" s="106">
        <f>IFERROR((HOU_P193[[#This Row],[BB]]+HOU_P193[[#This Row],[H]])/HOU_P193[[#This Row],[IP]],0)</f>
        <v>1.4908890115958036</v>
      </c>
      <c r="AN24" s="77">
        <v>3</v>
      </c>
      <c r="AO24" s="90">
        <v>3</v>
      </c>
      <c r="AP24" s="28">
        <v>1</v>
      </c>
      <c r="AQ24" s="74">
        <v>1</v>
      </c>
      <c r="AR24" s="615">
        <v>4</v>
      </c>
      <c r="AY24" s="609" t="s">
        <v>580</v>
      </c>
      <c r="AZ24" s="74" t="s">
        <v>206</v>
      </c>
      <c r="BA24" s="71" t="s">
        <v>598</v>
      </c>
      <c r="BB24" s="88">
        <f>IFERROR((HOU_P179[[#This Row],[R]]*9)/HOU_P179[[#This Row],[IP]],0)</f>
        <v>6.1937533086289038</v>
      </c>
      <c r="BC24" s="28">
        <v>3</v>
      </c>
      <c r="BD24" s="74">
        <v>4</v>
      </c>
      <c r="BE24" s="28">
        <v>10</v>
      </c>
      <c r="BF24" s="584">
        <v>56.67</v>
      </c>
      <c r="BG24" s="28">
        <v>75</v>
      </c>
      <c r="BH24" s="28">
        <v>39</v>
      </c>
      <c r="BI24" s="28">
        <v>32</v>
      </c>
      <c r="BJ24" s="28">
        <v>53</v>
      </c>
      <c r="BK24" s="28">
        <v>0</v>
      </c>
      <c r="BL24" s="106">
        <f>IFERROR((HOU_P179[[#This Row],[BB]]+HOU_P179[[#This Row],[H]])/HOU_P179[[#This Row],[IP]],0)</f>
        <v>1.8881242279865891</v>
      </c>
      <c r="BM24" s="77">
        <v>4</v>
      </c>
      <c r="BN24" s="90">
        <v>1</v>
      </c>
      <c r="BO24" s="28">
        <v>0</v>
      </c>
      <c r="BP24" s="74">
        <v>0</v>
      </c>
      <c r="BQ24" s="615">
        <v>4</v>
      </c>
    </row>
    <row r="25" spans="1:73">
      <c r="A25" s="651" t="s">
        <v>580</v>
      </c>
      <c r="B25" s="74" t="s">
        <v>212</v>
      </c>
      <c r="C25" s="87" t="s">
        <v>602</v>
      </c>
      <c r="D25" s="88">
        <f>IFERROR((HOU_P[[#This Row],[R]]*9)/HOU_P[[#This Row],[IP]],0)</f>
        <v>5.7272727272727275</v>
      </c>
      <c r="E25" s="28">
        <v>1</v>
      </c>
      <c r="F25" s="74">
        <v>0</v>
      </c>
      <c r="G25" s="28">
        <v>14</v>
      </c>
      <c r="H25" s="584">
        <v>22</v>
      </c>
      <c r="I25" s="28">
        <v>21</v>
      </c>
      <c r="J25" s="28">
        <v>14</v>
      </c>
      <c r="K25" s="28">
        <v>12</v>
      </c>
      <c r="L25" s="28">
        <v>19</v>
      </c>
      <c r="M25" s="28">
        <v>0</v>
      </c>
      <c r="N25" s="106">
        <f>IFERROR((HOU_P[[#This Row],[BB]]+HOU_P[[#This Row],[H]])/HOU_P[[#This Row],[IP]],0)</f>
        <v>1.5</v>
      </c>
      <c r="O25" s="77">
        <v>0</v>
      </c>
      <c r="P25" s="90">
        <v>0</v>
      </c>
      <c r="Q25" s="28">
        <v>0</v>
      </c>
      <c r="R25" s="74">
        <v>0</v>
      </c>
      <c r="S25" s="615">
        <v>5</v>
      </c>
      <c r="Z25" s="651" t="s">
        <v>580</v>
      </c>
      <c r="AA25" s="74" t="s">
        <v>212</v>
      </c>
      <c r="AB25" s="87" t="s">
        <v>602</v>
      </c>
      <c r="AC25" s="88">
        <f>IFERROR((HOU_P193[[#This Row],[R]]*9)/HOU_P193[[#This Row],[IP]],0)</f>
        <v>5.625</v>
      </c>
      <c r="AD25" s="28">
        <v>1</v>
      </c>
      <c r="AE25" s="74">
        <v>1</v>
      </c>
      <c r="AF25" s="28">
        <v>17</v>
      </c>
      <c r="AG25" s="584">
        <v>32</v>
      </c>
      <c r="AH25" s="28">
        <v>22</v>
      </c>
      <c r="AI25" s="28">
        <v>20</v>
      </c>
      <c r="AJ25" s="28">
        <v>13</v>
      </c>
      <c r="AK25" s="28">
        <v>43</v>
      </c>
      <c r="AL25" s="28">
        <v>1</v>
      </c>
      <c r="AM25" s="106">
        <f>IFERROR((HOU_P193[[#This Row],[BB]]+HOU_P193[[#This Row],[H]])/HOU_P193[[#This Row],[IP]],0)</f>
        <v>1.09375</v>
      </c>
      <c r="AN25" s="77">
        <v>0</v>
      </c>
      <c r="AO25" s="90">
        <v>0</v>
      </c>
      <c r="AP25" s="28">
        <v>0</v>
      </c>
      <c r="AQ25" s="74">
        <v>0</v>
      </c>
      <c r="AR25" s="615">
        <v>5</v>
      </c>
      <c r="AY25" s="609" t="s">
        <v>580</v>
      </c>
      <c r="AZ25" s="74" t="s">
        <v>212</v>
      </c>
      <c r="BA25" s="71" t="s">
        <v>602</v>
      </c>
      <c r="BB25" s="88">
        <f>IFERROR((HOU_P179[[#This Row],[R]]*9)/HOU_P179[[#This Row],[IP]],0)</f>
        <v>8.4832904884318765</v>
      </c>
      <c r="BC25" s="28">
        <v>1</v>
      </c>
      <c r="BD25" s="74">
        <v>0</v>
      </c>
      <c r="BE25" s="28">
        <v>12</v>
      </c>
      <c r="BF25" s="584">
        <v>11.67</v>
      </c>
      <c r="BG25" s="28">
        <v>16</v>
      </c>
      <c r="BH25" s="28">
        <v>11</v>
      </c>
      <c r="BI25" s="28">
        <v>10</v>
      </c>
      <c r="BJ25" s="28">
        <v>13</v>
      </c>
      <c r="BK25" s="28">
        <v>1</v>
      </c>
      <c r="BL25" s="106">
        <f>IFERROR((HOU_P179[[#This Row],[BB]]+HOU_P179[[#This Row],[H]])/HOU_P179[[#This Row],[IP]],0)</f>
        <v>2.2279348757497859</v>
      </c>
      <c r="BM25" s="77">
        <v>0</v>
      </c>
      <c r="BN25" s="90">
        <v>0</v>
      </c>
      <c r="BO25" s="28">
        <v>0</v>
      </c>
      <c r="BP25" s="74">
        <v>0</v>
      </c>
      <c r="BQ25" s="615">
        <v>5</v>
      </c>
    </row>
    <row r="26" spans="1:73">
      <c r="A26" s="651" t="s">
        <v>580</v>
      </c>
      <c r="B26" s="74" t="s">
        <v>215</v>
      </c>
      <c r="C26" s="87" t="s">
        <v>601</v>
      </c>
      <c r="D26" s="88">
        <f>IFERROR((HOU_P[[#This Row],[R]]*9)/HOU_P[[#This Row],[IP]],0)</f>
        <v>0</v>
      </c>
      <c r="E26" s="28">
        <v>0</v>
      </c>
      <c r="F26" s="74">
        <v>0</v>
      </c>
      <c r="G26" s="28">
        <v>0</v>
      </c>
      <c r="H26" s="584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106">
        <f>IFERROR((HOU_P[[#This Row],[BB]]+HOU_P[[#This Row],[H]])/HOU_P[[#This Row],[IP]],0)</f>
        <v>0</v>
      </c>
      <c r="O26" s="77">
        <v>0</v>
      </c>
      <c r="P26" s="90">
        <v>0</v>
      </c>
      <c r="Q26" s="28">
        <v>0</v>
      </c>
      <c r="R26" s="74">
        <v>0</v>
      </c>
      <c r="S26" s="615">
        <v>6</v>
      </c>
      <c r="Z26" s="651" t="s">
        <v>580</v>
      </c>
      <c r="AA26" s="74" t="s">
        <v>212</v>
      </c>
      <c r="AB26" s="87" t="s">
        <v>604</v>
      </c>
      <c r="AC26" s="88">
        <f>IFERROR((HOU_P193[[#This Row],[R]]*9)/HOU_P193[[#This Row],[IP]],0)</f>
        <v>0</v>
      </c>
      <c r="AD26" s="28">
        <v>0</v>
      </c>
      <c r="AE26" s="74">
        <v>0</v>
      </c>
      <c r="AF26" s="28">
        <v>0</v>
      </c>
      <c r="AG26" s="584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106">
        <f>IFERROR((HOU_P193[[#This Row],[BB]]+HOU_P193[[#This Row],[H]])/HOU_P193[[#This Row],[IP]],0)</f>
        <v>0</v>
      </c>
      <c r="AN26" s="77">
        <v>0</v>
      </c>
      <c r="AO26" s="90">
        <v>0</v>
      </c>
      <c r="AP26" s="28">
        <v>0</v>
      </c>
      <c r="AQ26" s="74">
        <v>0</v>
      </c>
      <c r="AR26" s="615">
        <v>6</v>
      </c>
      <c r="AY26" s="609" t="s">
        <v>580</v>
      </c>
      <c r="AZ26" s="74" t="s">
        <v>212</v>
      </c>
      <c r="BA26" s="71" t="s">
        <v>604</v>
      </c>
      <c r="BB26" s="88">
        <f>IFERROR((HOU_P179[[#This Row],[R]]*9)/HOU_P179[[#This Row],[IP]],0)</f>
        <v>2.9197080291970803</v>
      </c>
      <c r="BC26" s="28">
        <v>0</v>
      </c>
      <c r="BD26" s="74">
        <v>0</v>
      </c>
      <c r="BE26" s="28">
        <v>7</v>
      </c>
      <c r="BF26" s="584">
        <v>12.33</v>
      </c>
      <c r="BG26" s="28">
        <v>10</v>
      </c>
      <c r="BH26" s="28">
        <v>4</v>
      </c>
      <c r="BI26" s="28">
        <v>1</v>
      </c>
      <c r="BJ26" s="28">
        <v>7</v>
      </c>
      <c r="BK26" s="28">
        <v>0</v>
      </c>
      <c r="BL26" s="106">
        <f>IFERROR((HOU_P179[[#This Row],[BB]]+HOU_P179[[#This Row],[H]])/HOU_P179[[#This Row],[IP]],0)</f>
        <v>0.89213300892133007</v>
      </c>
      <c r="BM26" s="77">
        <v>0</v>
      </c>
      <c r="BN26" s="90">
        <v>0</v>
      </c>
      <c r="BO26" s="28">
        <v>0</v>
      </c>
      <c r="BP26" s="74">
        <v>0</v>
      </c>
      <c r="BQ26" s="615">
        <v>6</v>
      </c>
    </row>
    <row r="27" spans="1:73">
      <c r="A27" s="651" t="s">
        <v>580</v>
      </c>
      <c r="B27" s="74" t="s">
        <v>212</v>
      </c>
      <c r="C27" s="87" t="s">
        <v>603</v>
      </c>
      <c r="D27" s="88">
        <f>IFERROR((HOU_P[[#This Row],[R]]*9)/HOU_P[[#This Row],[IP]],0)</f>
        <v>3.3157894736842106</v>
      </c>
      <c r="E27" s="28">
        <v>0</v>
      </c>
      <c r="F27" s="74">
        <v>1</v>
      </c>
      <c r="G27" s="28">
        <v>10</v>
      </c>
      <c r="H27" s="584">
        <v>19</v>
      </c>
      <c r="I27" s="28">
        <v>21</v>
      </c>
      <c r="J27" s="28">
        <v>7</v>
      </c>
      <c r="K27" s="28">
        <v>4</v>
      </c>
      <c r="L27" s="28">
        <v>19</v>
      </c>
      <c r="M27" s="28">
        <v>0</v>
      </c>
      <c r="N27" s="106">
        <f>IFERROR((HOU_P[[#This Row],[BB]]+HOU_P[[#This Row],[H]])/HOU_P[[#This Row],[IP]],0)</f>
        <v>1.3157894736842106</v>
      </c>
      <c r="O27" s="77">
        <v>0</v>
      </c>
      <c r="P27" s="90">
        <v>0</v>
      </c>
      <c r="Q27" s="28">
        <v>0</v>
      </c>
      <c r="R27" s="74">
        <v>0</v>
      </c>
      <c r="S27" s="615">
        <v>7</v>
      </c>
      <c r="Z27" s="651" t="s">
        <v>580</v>
      </c>
      <c r="AA27" s="74" t="s">
        <v>212</v>
      </c>
      <c r="AB27" s="87" t="s">
        <v>603</v>
      </c>
      <c r="AC27" s="88">
        <f>IFERROR((HOU_P193[[#This Row],[R]]*9)/HOU_P193[[#This Row],[IP]],0)</f>
        <v>2.7935851008794623</v>
      </c>
      <c r="AD27" s="28">
        <v>0</v>
      </c>
      <c r="AE27" s="74">
        <v>0</v>
      </c>
      <c r="AF27" s="28">
        <v>7</v>
      </c>
      <c r="AG27" s="584">
        <v>19.329999999999998</v>
      </c>
      <c r="AH27" s="28">
        <v>13</v>
      </c>
      <c r="AI27" s="28">
        <v>6</v>
      </c>
      <c r="AJ27" s="28">
        <v>6</v>
      </c>
      <c r="AK27" s="28">
        <v>14</v>
      </c>
      <c r="AL27" s="28">
        <v>0</v>
      </c>
      <c r="AM27" s="106">
        <f>IFERROR((HOU_P193[[#This Row],[BB]]+HOU_P193[[#This Row],[H]])/HOU_P193[[#This Row],[IP]],0)</f>
        <v>0.9829280910501812</v>
      </c>
      <c r="AN27" s="77">
        <v>0</v>
      </c>
      <c r="AO27" s="90">
        <v>0</v>
      </c>
      <c r="AP27" s="28">
        <v>0</v>
      </c>
      <c r="AQ27" s="74">
        <v>0</v>
      </c>
      <c r="AR27" s="615">
        <v>7</v>
      </c>
      <c r="AY27" s="609" t="s">
        <v>580</v>
      </c>
      <c r="AZ27" s="74" t="s">
        <v>212</v>
      </c>
      <c r="BA27" s="71" t="s">
        <v>603</v>
      </c>
      <c r="BB27" s="88">
        <f>IFERROR((HOU_P179[[#This Row],[R]]*9)/HOU_P179[[#This Row],[IP]],0)</f>
        <v>1.9285714285714286</v>
      </c>
      <c r="BC27" s="28">
        <v>1</v>
      </c>
      <c r="BD27" s="74">
        <v>0</v>
      </c>
      <c r="BE27" s="28">
        <v>7</v>
      </c>
      <c r="BF27" s="584">
        <v>14</v>
      </c>
      <c r="BG27" s="28">
        <v>11</v>
      </c>
      <c r="BH27" s="28">
        <v>3</v>
      </c>
      <c r="BI27" s="28">
        <v>3</v>
      </c>
      <c r="BJ27" s="28">
        <v>8</v>
      </c>
      <c r="BK27" s="28">
        <v>0</v>
      </c>
      <c r="BL27" s="106">
        <f>IFERROR((HOU_P179[[#This Row],[BB]]+HOU_P179[[#This Row],[H]])/HOU_P179[[#This Row],[IP]],0)</f>
        <v>1</v>
      </c>
      <c r="BM27" s="77">
        <v>0</v>
      </c>
      <c r="BN27" s="90">
        <v>0</v>
      </c>
      <c r="BO27" s="28">
        <v>0</v>
      </c>
      <c r="BP27" s="74">
        <v>0</v>
      </c>
      <c r="BQ27" s="615">
        <v>7</v>
      </c>
    </row>
    <row r="28" spans="1:73">
      <c r="A28" s="651" t="s">
        <v>580</v>
      </c>
      <c r="B28" s="74" t="s">
        <v>212</v>
      </c>
      <c r="C28" s="87" t="s">
        <v>605</v>
      </c>
      <c r="D28" s="88">
        <f>IFERROR((HOU_P[[#This Row],[R]]*9)/HOU_P[[#This Row],[IP]],0)</f>
        <v>4.190377651319193</v>
      </c>
      <c r="E28" s="28">
        <v>1</v>
      </c>
      <c r="F28" s="74">
        <v>0</v>
      </c>
      <c r="G28" s="28">
        <v>18</v>
      </c>
      <c r="H28" s="584">
        <v>19.329999999999998</v>
      </c>
      <c r="I28" s="28">
        <v>22</v>
      </c>
      <c r="J28" s="28">
        <v>9</v>
      </c>
      <c r="K28" s="28">
        <v>4</v>
      </c>
      <c r="L28" s="28">
        <v>17</v>
      </c>
      <c r="M28" s="28">
        <v>0</v>
      </c>
      <c r="N28" s="106">
        <f>IFERROR((HOU_P[[#This Row],[BB]]+HOU_P[[#This Row],[H]])/HOU_P[[#This Row],[IP]],0)</f>
        <v>1.3450594930160373</v>
      </c>
      <c r="O28" s="77">
        <v>0</v>
      </c>
      <c r="P28" s="90">
        <v>0</v>
      </c>
      <c r="Q28" s="28">
        <v>0</v>
      </c>
      <c r="R28" s="74">
        <v>0</v>
      </c>
      <c r="S28" s="615">
        <v>8</v>
      </c>
      <c r="Z28" s="651" t="s">
        <v>580</v>
      </c>
      <c r="AA28" s="74" t="s">
        <v>212</v>
      </c>
      <c r="AB28" s="87" t="s">
        <v>605</v>
      </c>
      <c r="AC28" s="88">
        <f>IFERROR((HOU_P193[[#This Row],[R]]*9)/HOU_P193[[#This Row],[IP]],0)</f>
        <v>5.3989202159568084</v>
      </c>
      <c r="AD28" s="28">
        <v>0</v>
      </c>
      <c r="AE28" s="74">
        <v>1</v>
      </c>
      <c r="AF28" s="28">
        <v>13</v>
      </c>
      <c r="AG28" s="584">
        <v>16.670000000000002</v>
      </c>
      <c r="AH28" s="28">
        <v>22</v>
      </c>
      <c r="AI28" s="28">
        <v>10</v>
      </c>
      <c r="AJ28" s="28">
        <v>6</v>
      </c>
      <c r="AK28" s="28">
        <v>16</v>
      </c>
      <c r="AL28" s="28">
        <v>0</v>
      </c>
      <c r="AM28" s="106">
        <f>IFERROR((HOU_P193[[#This Row],[BB]]+HOU_P193[[#This Row],[H]])/HOU_P193[[#This Row],[IP]],0)</f>
        <v>1.6796640671865626</v>
      </c>
      <c r="AN28" s="77">
        <v>0</v>
      </c>
      <c r="AO28" s="90">
        <v>0</v>
      </c>
      <c r="AP28" s="28">
        <v>0</v>
      </c>
      <c r="AQ28" s="74">
        <v>0</v>
      </c>
      <c r="AR28" s="615">
        <v>8</v>
      </c>
      <c r="AY28" s="609" t="s">
        <v>580</v>
      </c>
      <c r="AZ28" s="74" t="s">
        <v>212</v>
      </c>
      <c r="BA28" s="71" t="s">
        <v>605</v>
      </c>
      <c r="BB28" s="88">
        <f>IFERROR((HOU_P179[[#This Row],[R]]*9)/HOU_P179[[#This Row],[IP]],0)</f>
        <v>6.0624617268830381</v>
      </c>
      <c r="BC28" s="28">
        <v>2</v>
      </c>
      <c r="BD28" s="74">
        <v>1</v>
      </c>
      <c r="BE28" s="28">
        <v>13</v>
      </c>
      <c r="BF28" s="584">
        <v>16.329999999999998</v>
      </c>
      <c r="BG28" s="28">
        <v>15</v>
      </c>
      <c r="BH28" s="28">
        <v>11</v>
      </c>
      <c r="BI28" s="28">
        <v>7</v>
      </c>
      <c r="BJ28" s="28">
        <v>19</v>
      </c>
      <c r="BK28" s="28">
        <v>0</v>
      </c>
      <c r="BL28" s="106">
        <f>IFERROR((HOU_P179[[#This Row],[BB]]+HOU_P179[[#This Row],[H]])/HOU_P179[[#This Row],[IP]],0)</f>
        <v>1.3472137170851195</v>
      </c>
      <c r="BM28" s="77">
        <v>0</v>
      </c>
      <c r="BN28" s="90">
        <v>0</v>
      </c>
      <c r="BO28" s="28">
        <v>0</v>
      </c>
      <c r="BP28" s="74">
        <v>0</v>
      </c>
      <c r="BQ28" s="615">
        <v>8</v>
      </c>
    </row>
    <row r="29" spans="1:73">
      <c r="A29" s="651" t="s">
        <v>580</v>
      </c>
      <c r="B29" s="74" t="s">
        <v>212</v>
      </c>
      <c r="C29" s="87" t="s">
        <v>606</v>
      </c>
      <c r="D29" s="88">
        <f>IFERROR((HOU_P[[#This Row],[R]]*9)/HOU_P[[#This Row],[IP]],0)</f>
        <v>4.2857142857142856</v>
      </c>
      <c r="E29" s="28">
        <v>3</v>
      </c>
      <c r="F29" s="74">
        <v>2</v>
      </c>
      <c r="G29" s="28">
        <v>22</v>
      </c>
      <c r="H29" s="584">
        <v>21</v>
      </c>
      <c r="I29" s="28">
        <v>22</v>
      </c>
      <c r="J29" s="28">
        <v>10</v>
      </c>
      <c r="K29" s="28">
        <v>5</v>
      </c>
      <c r="L29" s="28">
        <v>25</v>
      </c>
      <c r="M29" s="28">
        <v>1</v>
      </c>
      <c r="N29" s="106">
        <f>IFERROR((HOU_P[[#This Row],[BB]]+HOU_P[[#This Row],[H]])/HOU_P[[#This Row],[IP]],0)</f>
        <v>1.2857142857142858</v>
      </c>
      <c r="O29" s="77">
        <v>0</v>
      </c>
      <c r="P29" s="90">
        <v>0</v>
      </c>
      <c r="Q29" s="28">
        <v>0</v>
      </c>
      <c r="R29" s="74">
        <v>0</v>
      </c>
      <c r="S29" s="615">
        <v>9</v>
      </c>
      <c r="Z29" s="651" t="s">
        <v>580</v>
      </c>
      <c r="AA29" s="74" t="s">
        <v>212</v>
      </c>
      <c r="AB29" s="87" t="s">
        <v>606</v>
      </c>
      <c r="AC29" s="88">
        <f>IFERROR((HOU_P193[[#This Row],[R]]*9)/HOU_P193[[#This Row],[IP]],0)</f>
        <v>4.1179461108286723</v>
      </c>
      <c r="AD29" s="28">
        <v>1</v>
      </c>
      <c r="AE29" s="74">
        <v>2</v>
      </c>
      <c r="AF29" s="28">
        <v>21</v>
      </c>
      <c r="AG29" s="584">
        <v>19.670000000000002</v>
      </c>
      <c r="AH29" s="28">
        <v>24</v>
      </c>
      <c r="AI29" s="28">
        <v>9</v>
      </c>
      <c r="AJ29" s="28">
        <v>12</v>
      </c>
      <c r="AK29" s="28">
        <v>17</v>
      </c>
      <c r="AL29" s="28">
        <v>2</v>
      </c>
      <c r="AM29" s="106">
        <f>IFERROR((HOU_P193[[#This Row],[BB]]+HOU_P193[[#This Row],[H]])/HOU_P193[[#This Row],[IP]],0)</f>
        <v>1.8301982714794101</v>
      </c>
      <c r="AN29" s="77">
        <v>0</v>
      </c>
      <c r="AO29" s="90">
        <v>0</v>
      </c>
      <c r="AP29" s="28">
        <v>0</v>
      </c>
      <c r="AQ29" s="74">
        <v>0</v>
      </c>
      <c r="AR29" s="615">
        <v>9</v>
      </c>
      <c r="AY29" s="609" t="s">
        <v>580</v>
      </c>
      <c r="AZ29" s="74" t="s">
        <v>212</v>
      </c>
      <c r="BA29" s="71" t="s">
        <v>606</v>
      </c>
      <c r="BB29" s="88">
        <f>IFERROR((HOU_P179[[#This Row],[R]]*9)/HOU_P179[[#This Row],[IP]],0)</f>
        <v>3.9279869067103115</v>
      </c>
      <c r="BC29" s="28">
        <v>4</v>
      </c>
      <c r="BD29" s="74">
        <v>1</v>
      </c>
      <c r="BE29" s="28">
        <v>19</v>
      </c>
      <c r="BF29" s="584">
        <v>18.329999999999998</v>
      </c>
      <c r="BG29" s="28">
        <v>17</v>
      </c>
      <c r="BH29" s="28">
        <v>8</v>
      </c>
      <c r="BI29" s="28">
        <v>4</v>
      </c>
      <c r="BJ29" s="28">
        <v>28</v>
      </c>
      <c r="BK29" s="28">
        <v>1</v>
      </c>
      <c r="BL29" s="106">
        <f>IFERROR((HOU_P179[[#This Row],[BB]]+HOU_P179[[#This Row],[H]])/HOU_P179[[#This Row],[IP]],0)</f>
        <v>1.1456628477905075</v>
      </c>
      <c r="BM29" s="77">
        <v>0</v>
      </c>
      <c r="BN29" s="90">
        <v>0</v>
      </c>
      <c r="BO29" s="28">
        <v>0</v>
      </c>
      <c r="BP29" s="74">
        <v>0</v>
      </c>
      <c r="BQ29" s="615">
        <v>9</v>
      </c>
    </row>
    <row r="30" spans="1:73" ht="17" thickBot="1">
      <c r="A30" s="651" t="s">
        <v>580</v>
      </c>
      <c r="B30" s="74" t="s">
        <v>212</v>
      </c>
      <c r="C30" s="87" t="s">
        <v>607</v>
      </c>
      <c r="D30" s="88">
        <f>IFERROR((HOU_P[[#This Row],[R]]*9)/HOU_P[[#This Row],[IP]],0)</f>
        <v>1.875</v>
      </c>
      <c r="E30" s="28">
        <v>3</v>
      </c>
      <c r="F30" s="74">
        <v>2</v>
      </c>
      <c r="G30" s="28">
        <v>20</v>
      </c>
      <c r="H30" s="584">
        <v>24</v>
      </c>
      <c r="I30" s="28">
        <v>19</v>
      </c>
      <c r="J30" s="28">
        <v>5</v>
      </c>
      <c r="K30" s="28">
        <v>4</v>
      </c>
      <c r="L30" s="28">
        <v>22</v>
      </c>
      <c r="M30" s="28">
        <v>8</v>
      </c>
      <c r="N30" s="106">
        <f>IFERROR((HOU_P[[#This Row],[BB]]+HOU_P[[#This Row],[H]])/HOU_P[[#This Row],[IP]],0)</f>
        <v>0.95833333333333337</v>
      </c>
      <c r="O30" s="77">
        <v>0</v>
      </c>
      <c r="P30" s="90">
        <v>0</v>
      </c>
      <c r="Q30" s="28">
        <v>0</v>
      </c>
      <c r="R30" s="74">
        <v>0</v>
      </c>
      <c r="S30" s="615">
        <v>10</v>
      </c>
      <c r="Z30" s="651" t="s">
        <v>580</v>
      </c>
      <c r="AA30" s="74" t="s">
        <v>212</v>
      </c>
      <c r="AB30" s="87" t="s">
        <v>607</v>
      </c>
      <c r="AC30" s="88">
        <f>IFERROR((HOU_P193[[#This Row],[R]]*9)/HOU_P193[[#This Row],[IP]],0)</f>
        <v>6.7487948580610597</v>
      </c>
      <c r="AD30" s="28">
        <v>1</v>
      </c>
      <c r="AE30" s="74">
        <v>3</v>
      </c>
      <c r="AF30" s="28">
        <v>18</v>
      </c>
      <c r="AG30" s="584">
        <v>18.670000000000002</v>
      </c>
      <c r="AH30" s="28">
        <v>25</v>
      </c>
      <c r="AI30" s="28">
        <v>14</v>
      </c>
      <c r="AJ30" s="28">
        <v>10</v>
      </c>
      <c r="AK30" s="28">
        <v>25</v>
      </c>
      <c r="AL30" s="28">
        <v>6</v>
      </c>
      <c r="AM30" s="106">
        <f>IFERROR((HOU_P193[[#This Row],[BB]]+HOU_P193[[#This Row],[H]])/HOU_P193[[#This Row],[IP]],0)</f>
        <v>1.8746652383502944</v>
      </c>
      <c r="AN30" s="77">
        <v>0</v>
      </c>
      <c r="AO30" s="90">
        <v>0</v>
      </c>
      <c r="AP30" s="28">
        <v>0</v>
      </c>
      <c r="AQ30" s="74">
        <v>0</v>
      </c>
      <c r="AR30" s="615">
        <v>10</v>
      </c>
      <c r="AY30" s="609" t="s">
        <v>580</v>
      </c>
      <c r="AZ30" s="74" t="s">
        <v>212</v>
      </c>
      <c r="BA30" s="71" t="s">
        <v>607</v>
      </c>
      <c r="BB30" s="88">
        <f>IFERROR((HOU_P179[[#This Row],[R]]*9)/HOU_P179[[#This Row],[IP]],0)</f>
        <v>1.8</v>
      </c>
      <c r="BC30" s="28">
        <v>2</v>
      </c>
      <c r="BD30" s="74">
        <v>1</v>
      </c>
      <c r="BE30" s="28">
        <v>19</v>
      </c>
      <c r="BF30" s="584">
        <v>20</v>
      </c>
      <c r="BG30" s="28">
        <v>16</v>
      </c>
      <c r="BH30" s="28">
        <v>4</v>
      </c>
      <c r="BI30" s="28">
        <v>7</v>
      </c>
      <c r="BJ30" s="28">
        <v>28</v>
      </c>
      <c r="BK30" s="76">
        <v>12</v>
      </c>
      <c r="BL30" s="106">
        <f>IFERROR((HOU_P179[[#This Row],[BB]]+HOU_P179[[#This Row],[H]])/HOU_P179[[#This Row],[IP]],0)</f>
        <v>1.1499999999999999</v>
      </c>
      <c r="BM30" s="77">
        <v>0</v>
      </c>
      <c r="BN30" s="90">
        <v>0</v>
      </c>
      <c r="BO30" s="28">
        <v>0</v>
      </c>
      <c r="BP30" s="74">
        <v>0</v>
      </c>
      <c r="BQ30" s="615">
        <v>10</v>
      </c>
    </row>
    <row r="31" spans="1:73" s="28" customFormat="1" ht="17" thickBot="1">
      <c r="A31" s="786"/>
      <c r="B31" s="660"/>
      <c r="C31" s="787"/>
      <c r="D31" s="665">
        <f>(HOU_P[[#Totals],[R]]*9)/HOU_P[[#Totals],[IP]]</f>
        <v>3.7011481563259006</v>
      </c>
      <c r="E31" s="658">
        <f>SUBTOTAL(109,HOU_P[W])</f>
        <v>25</v>
      </c>
      <c r="F31" s="660">
        <f>SUBTOTAL(109,HOU_P[L])</f>
        <v>15</v>
      </c>
      <c r="G31" s="658"/>
      <c r="H31" s="666">
        <f>SUBTOTAL(109,HOU_P[IP])</f>
        <v>362.31999999999994</v>
      </c>
      <c r="I31" s="659">
        <f>SUBTOTAL(109,HOU_P[H])</f>
        <v>322</v>
      </c>
      <c r="J31" s="658">
        <f>SUBTOTAL(109,HOU_P[R])</f>
        <v>149</v>
      </c>
      <c r="K31" s="658">
        <f>SUBTOTAL(109,HOU_P[BB])</f>
        <v>136</v>
      </c>
      <c r="L31" s="658">
        <f>SUBTOTAL(109,HOU_P[K])</f>
        <v>367</v>
      </c>
      <c r="M31" s="658">
        <f>SUBTOTAL(109,HOU_P[SV])</f>
        <v>9</v>
      </c>
      <c r="N31" s="667">
        <f>(HOU_P[[#Totals],[H]]+HOU_P[[#Totals],[BB]])/HOU_P[[#Totals],[IP]]</f>
        <v>1.2640759549569445</v>
      </c>
      <c r="O31" s="661">
        <f>SUBTOTAL(109,HOU_P[QS])</f>
        <v>26</v>
      </c>
      <c r="P31" s="750">
        <f>SUBTOTAL(109,HOU_P[UQ])</f>
        <v>12</v>
      </c>
      <c r="Q31" s="658">
        <f>SUBTOTAL(109,HOU_P[CG])</f>
        <v>2</v>
      </c>
      <c r="R31" s="788">
        <f>SUBTOTAL(109,HOU_P[SH])</f>
        <v>1</v>
      </c>
      <c r="S31" s="662"/>
      <c r="Z31" s="786"/>
      <c r="AA31" s="660"/>
      <c r="AB31" s="787"/>
      <c r="AC31" s="665">
        <f>(HOU_P193[[#Totals],[R]]*9)/HOU_P193[[#Totals],[IP]]</f>
        <v>4.2060782448088654</v>
      </c>
      <c r="AD31" s="658">
        <f>SUBTOTAL(109,HOU_P193[W])</f>
        <v>20</v>
      </c>
      <c r="AE31" s="660">
        <f>SUBTOTAL(109,HOU_P193[L])</f>
        <v>20</v>
      </c>
      <c r="AF31" s="658"/>
      <c r="AG31" s="666">
        <f>SUBTOTAL(109,HOU_P193[IP])</f>
        <v>357.34000000000003</v>
      </c>
      <c r="AH31" s="658">
        <f>SUBTOTAL(109,HOU_P193[H])</f>
        <v>323</v>
      </c>
      <c r="AI31" s="658">
        <f>SUBTOTAL(109,HOU_P193[R])</f>
        <v>167</v>
      </c>
      <c r="AJ31" s="658">
        <f>SUBTOTAL(109,HOU_P193[BB])</f>
        <v>142</v>
      </c>
      <c r="AK31" s="660">
        <f>SUBTOTAL(109,HOU_P193[K])</f>
        <v>391</v>
      </c>
      <c r="AL31" s="658">
        <f>SUBTOTAL(109,HOU_P193[SV])</f>
        <v>9</v>
      </c>
      <c r="AM31" s="667">
        <f>(HOU_P193[[#Totals],[H]]+HOU_P193[[#Totals],[BB]])/HOU_P193[[#Totals],[IP]]</f>
        <v>1.3012816925057367</v>
      </c>
      <c r="AN31" s="661">
        <f>SUBTOTAL(109,HOU_P193[QS])</f>
        <v>26</v>
      </c>
      <c r="AO31" s="750">
        <f>SUBTOTAL(109,HOU_P193[UQ])</f>
        <v>16</v>
      </c>
      <c r="AP31" s="658">
        <f>SUBTOTAL(109,HOU_P193[CG])</f>
        <v>3</v>
      </c>
      <c r="AQ31" s="660">
        <f>SUBTOTAL(109,HOU_P193[SH])</f>
        <v>3</v>
      </c>
      <c r="AR31" s="734"/>
      <c r="AY31" s="652"/>
      <c r="AZ31" s="653"/>
      <c r="BA31" s="654" t="s">
        <v>195</v>
      </c>
      <c r="BB31" s="665">
        <f>(BH31*9)/BF31</f>
        <v>4.3467143952953213</v>
      </c>
      <c r="BC31" s="658">
        <f>SUBTOTAL(109,HOU_P179[W])</f>
        <v>25</v>
      </c>
      <c r="BD31" s="660">
        <f>SUBTOTAL(109,HOU_P179[L])</f>
        <v>15</v>
      </c>
      <c r="BE31" s="658"/>
      <c r="BF31" s="666">
        <f>SUBTOTAL(109,HOU_P179[IP])</f>
        <v>351.98999999999995</v>
      </c>
      <c r="BG31" s="659">
        <f>SUBTOTAL(109,HOU_P179[H])</f>
        <v>307</v>
      </c>
      <c r="BH31" s="658">
        <f>SUBTOTAL(109,HOU_P179[R])</f>
        <v>170</v>
      </c>
      <c r="BI31" s="658">
        <f>SUBTOTAL(109,HOU_P179[BB])</f>
        <v>146</v>
      </c>
      <c r="BJ31" s="658">
        <f>SUBTOTAL(109,HOU_P179[K])</f>
        <v>401</v>
      </c>
      <c r="BK31" s="658">
        <f>SUBTOTAL(109,HOU_P179[SV])</f>
        <v>14</v>
      </c>
      <c r="BL31" s="667">
        <f>(BI31+BG31)/BF31</f>
        <v>1.2869683797835167</v>
      </c>
      <c r="BM31" s="690">
        <f>SUBTOTAL(109,HOU_P179[QS])</f>
        <v>23</v>
      </c>
      <c r="BN31" s="669">
        <f>SUBTOTAL(109,HOU_P179[UQ])</f>
        <v>13</v>
      </c>
      <c r="BO31" s="670">
        <f>SUM(BO21:BO30)</f>
        <v>3</v>
      </c>
      <c r="BP31" s="671">
        <f>SUM(BP21:BP30)</f>
        <v>3</v>
      </c>
      <c r="BQ31" s="662"/>
    </row>
    <row r="32" spans="1:73" ht="17" thickBot="1"/>
    <row r="33" spans="1:73" ht="24" thickBot="1">
      <c r="A33" s="1015" t="s">
        <v>608</v>
      </c>
      <c r="B33" s="1016"/>
      <c r="C33" s="1016"/>
      <c r="D33" s="1016"/>
      <c r="E33" s="1016"/>
      <c r="F33" s="1016"/>
      <c r="G33" s="1016"/>
      <c r="H33" s="1016"/>
      <c r="I33" s="1016"/>
      <c r="J33" s="1016"/>
      <c r="K33" s="1016"/>
      <c r="L33" s="1016"/>
      <c r="M33" s="1016"/>
      <c r="N33" s="1016"/>
      <c r="O33" s="1016"/>
      <c r="P33" s="1016"/>
      <c r="Q33" s="1016"/>
      <c r="R33" s="1016"/>
      <c r="S33" s="1016"/>
      <c r="T33" s="1016"/>
      <c r="U33" s="1016"/>
      <c r="V33" s="1016"/>
      <c r="W33" s="1017"/>
      <c r="Z33" s="1015" t="s">
        <v>609</v>
      </c>
      <c r="AA33" s="1016"/>
      <c r="AB33" s="1016"/>
      <c r="AC33" s="1016"/>
      <c r="AD33" s="1016"/>
      <c r="AE33" s="1016"/>
      <c r="AF33" s="1016"/>
      <c r="AG33" s="1016"/>
      <c r="AH33" s="1016"/>
      <c r="AI33" s="1016"/>
      <c r="AJ33" s="1016"/>
      <c r="AK33" s="1016"/>
      <c r="AL33" s="1016"/>
      <c r="AM33" s="1016"/>
      <c r="AN33" s="1016"/>
      <c r="AO33" s="1016"/>
      <c r="AP33" s="1016"/>
      <c r="AQ33" s="1016"/>
      <c r="AR33" s="1016"/>
      <c r="AS33" s="1016"/>
      <c r="AT33" s="1016"/>
      <c r="AU33" s="1016"/>
      <c r="AV33" s="1017"/>
      <c r="AY33" s="1015" t="s">
        <v>610</v>
      </c>
      <c r="AZ33" s="1016"/>
      <c r="BA33" s="1016"/>
      <c r="BB33" s="1016"/>
      <c r="BC33" s="1016"/>
      <c r="BD33" s="1016"/>
      <c r="BE33" s="1016"/>
      <c r="BF33" s="1016"/>
      <c r="BG33" s="1016"/>
      <c r="BH33" s="1016"/>
      <c r="BI33" s="1016"/>
      <c r="BJ33" s="1016"/>
      <c r="BK33" s="1016"/>
      <c r="BL33" s="1016"/>
      <c r="BM33" s="1016"/>
      <c r="BN33" s="1016"/>
      <c r="BO33" s="1016"/>
      <c r="BP33" s="1016"/>
      <c r="BQ33" s="1016"/>
      <c r="BR33" s="1016"/>
      <c r="BS33" s="1016"/>
      <c r="BT33" s="1016"/>
      <c r="BU33" s="1017"/>
    </row>
    <row r="34" spans="1:73" s="108" customFormat="1" ht="15" thickBot="1">
      <c r="A34" s="605" t="s">
        <v>143</v>
      </c>
      <c r="B34" s="606" t="s">
        <v>144</v>
      </c>
      <c r="C34" s="606" t="s">
        <v>145</v>
      </c>
      <c r="D34" s="606" t="s">
        <v>146</v>
      </c>
      <c r="E34" s="606" t="s">
        <v>147</v>
      </c>
      <c r="F34" s="606" t="s">
        <v>148</v>
      </c>
      <c r="G34" s="606" t="s">
        <v>149</v>
      </c>
      <c r="H34" s="606" t="s">
        <v>150</v>
      </c>
      <c r="I34" s="606" t="s">
        <v>151</v>
      </c>
      <c r="J34" s="606" t="s">
        <v>152</v>
      </c>
      <c r="K34" s="606" t="s">
        <v>153</v>
      </c>
      <c r="L34" s="606" t="s">
        <v>154</v>
      </c>
      <c r="M34" s="606" t="s">
        <v>155</v>
      </c>
      <c r="N34" s="606" t="s">
        <v>156</v>
      </c>
      <c r="O34" s="606" t="s">
        <v>157</v>
      </c>
      <c r="P34" s="606" t="s">
        <v>158</v>
      </c>
      <c r="Q34" s="606" t="s">
        <v>159</v>
      </c>
      <c r="R34" s="606" t="s">
        <v>160</v>
      </c>
      <c r="S34" s="606" t="s">
        <v>16</v>
      </c>
      <c r="T34" s="606" t="s">
        <v>161</v>
      </c>
      <c r="U34" s="606" t="s">
        <v>162</v>
      </c>
      <c r="V34" s="606" t="s">
        <v>163</v>
      </c>
      <c r="W34" s="607" t="s">
        <v>164</v>
      </c>
      <c r="Z34" s="605" t="s">
        <v>143</v>
      </c>
      <c r="AA34" s="606" t="s">
        <v>144</v>
      </c>
      <c r="AB34" s="606" t="s">
        <v>145</v>
      </c>
      <c r="AC34" s="606" t="s">
        <v>146</v>
      </c>
      <c r="AD34" s="606" t="s">
        <v>147</v>
      </c>
      <c r="AE34" s="606" t="s">
        <v>148</v>
      </c>
      <c r="AF34" s="606" t="s">
        <v>149</v>
      </c>
      <c r="AG34" s="606" t="s">
        <v>150</v>
      </c>
      <c r="AH34" s="606" t="s">
        <v>151</v>
      </c>
      <c r="AI34" s="606" t="s">
        <v>152</v>
      </c>
      <c r="AJ34" s="606" t="s">
        <v>153</v>
      </c>
      <c r="AK34" s="606" t="s">
        <v>154</v>
      </c>
      <c r="AL34" s="606" t="s">
        <v>155</v>
      </c>
      <c r="AM34" s="606" t="s">
        <v>156</v>
      </c>
      <c r="AN34" s="606" t="s">
        <v>157</v>
      </c>
      <c r="AO34" s="606" t="s">
        <v>158</v>
      </c>
      <c r="AP34" s="606" t="s">
        <v>159</v>
      </c>
      <c r="AQ34" s="606" t="s">
        <v>160</v>
      </c>
      <c r="AR34" s="606" t="s">
        <v>16</v>
      </c>
      <c r="AS34" s="606" t="s">
        <v>161</v>
      </c>
      <c r="AT34" s="606" t="s">
        <v>162</v>
      </c>
      <c r="AU34" s="606" t="s">
        <v>163</v>
      </c>
      <c r="AV34" s="607" t="s">
        <v>164</v>
      </c>
      <c r="AY34" s="605" t="s">
        <v>143</v>
      </c>
      <c r="AZ34" s="606" t="s">
        <v>144</v>
      </c>
      <c r="BA34" s="606" t="s">
        <v>145</v>
      </c>
      <c r="BB34" s="606" t="s">
        <v>146</v>
      </c>
      <c r="BC34" s="606" t="s">
        <v>147</v>
      </c>
      <c r="BD34" s="606" t="s">
        <v>148</v>
      </c>
      <c r="BE34" s="606" t="s">
        <v>149</v>
      </c>
      <c r="BF34" s="606" t="s">
        <v>150</v>
      </c>
      <c r="BG34" s="606" t="s">
        <v>151</v>
      </c>
      <c r="BH34" s="606" t="s">
        <v>152</v>
      </c>
      <c r="BI34" s="606" t="s">
        <v>153</v>
      </c>
      <c r="BJ34" s="606" t="s">
        <v>154</v>
      </c>
      <c r="BK34" s="606" t="s">
        <v>155</v>
      </c>
      <c r="BL34" s="606" t="s">
        <v>156</v>
      </c>
      <c r="BM34" s="606" t="s">
        <v>157</v>
      </c>
      <c r="BN34" s="606" t="s">
        <v>158</v>
      </c>
      <c r="BO34" s="606" t="s">
        <v>159</v>
      </c>
      <c r="BP34" s="606" t="s">
        <v>160</v>
      </c>
      <c r="BQ34" s="606" t="s">
        <v>16</v>
      </c>
      <c r="BR34" s="606" t="s">
        <v>161</v>
      </c>
      <c r="BS34" s="606" t="s">
        <v>162</v>
      </c>
      <c r="BT34" s="606" t="s">
        <v>163</v>
      </c>
      <c r="BU34" s="607" t="s">
        <v>164</v>
      </c>
    </row>
    <row r="35" spans="1:73">
      <c r="A35" s="650" t="s">
        <v>611</v>
      </c>
      <c r="B35" s="597" t="s">
        <v>179</v>
      </c>
      <c r="C35" s="673" t="s">
        <v>621</v>
      </c>
      <c r="D35" s="706">
        <f>IFERROR(SEA_H[[#This Row],[H]]/SEA_H[[#This Row],[AB]],0)</f>
        <v>0.1875</v>
      </c>
      <c r="E35" s="598">
        <f>IFERROR((SEA_H[[#This Row],[H]]+SEA_H[[#This Row],[BB]])/(SEA_H[[#This Row],[BB]]+SEA_H[[#This Row],[AB]]),0)</f>
        <v>0.24637681159420291</v>
      </c>
      <c r="F35" s="599">
        <f>IFERROR(((SEA_H[[#This Row],[H]]-SEA_H[[#This Row],[2B]]-SEA_H[[#This Row],[3B]]-SEA_H[[#This Row],[HR]])+(SEA_H[[#This Row],[2B]]*2)+(SEA_H[[#This Row],[3B]]*3)+(SEA_H[[#This Row],[HR]]*4))/SEA_H[[#This Row],[AB]],0)</f>
        <v>0.375</v>
      </c>
      <c r="G35" s="600">
        <v>36</v>
      </c>
      <c r="H35" s="600">
        <v>128</v>
      </c>
      <c r="I35" s="600">
        <v>12</v>
      </c>
      <c r="J35" s="600">
        <v>24</v>
      </c>
      <c r="K35" s="600">
        <v>4</v>
      </c>
      <c r="L35" s="600">
        <v>1</v>
      </c>
      <c r="M35" s="600">
        <v>6</v>
      </c>
      <c r="N35" s="600">
        <v>13</v>
      </c>
      <c r="O35" s="600">
        <v>10</v>
      </c>
      <c r="P35" s="604">
        <v>43</v>
      </c>
      <c r="Q35" s="600">
        <v>0</v>
      </c>
      <c r="R35" s="600">
        <v>0</v>
      </c>
      <c r="S35" s="604">
        <v>5</v>
      </c>
      <c r="T35" s="600">
        <f>IFERROR((SEA_H[[#This Row],[H]]-SEA_H[[#This Row],[2B]]-SEA_H[[#This Row],[3B]]-SEA_H[[#This Row],[HR]])+(SEA_H[[#This Row],[2B]]*2)+(SEA_H[[#This Row],[3B]]*3)+(SEA_H[[#This Row],[HR]]*4),0)</f>
        <v>48</v>
      </c>
      <c r="U35" s="598">
        <f>SEA_H[[#This Row],[OBP]]+SEA_H[[#This Row],[SLG]]</f>
        <v>0.62137681159420288</v>
      </c>
      <c r="V35" s="604">
        <v>1</v>
      </c>
      <c r="W35" s="614">
        <v>1</v>
      </c>
      <c r="Z35" s="650" t="s">
        <v>611</v>
      </c>
      <c r="AA35" s="597" t="s">
        <v>179</v>
      </c>
      <c r="AB35" s="597" t="s">
        <v>621</v>
      </c>
      <c r="AC35" s="598">
        <f>IFERROR(SEA_H201[[#This Row],[H]]/SEA_H201[[#This Row],[AB]],0)</f>
        <v>0.2153846153846154</v>
      </c>
      <c r="AD35" s="598">
        <f>IFERROR((SEA_H201[[#This Row],[H]]+SEA_H201[[#This Row],[BB]])/(SEA_H201[[#This Row],[BB]]+SEA_H201[[#This Row],[AB]]),0)</f>
        <v>0.32</v>
      </c>
      <c r="AE35" s="599">
        <f>IFERROR(((SEA_H201[[#This Row],[H]]-SEA_H201[[#This Row],[2B]]-SEA_H201[[#This Row],[3B]]-SEA_H201[[#This Row],[HR]])+(SEA_H201[[#This Row],[2B]]*2)+(SEA_H201[[#This Row],[3B]]*3)+(SEA_H201[[#This Row],[HR]]*4))/SEA_H201[[#This Row],[AB]],0)</f>
        <v>0.40769230769230769</v>
      </c>
      <c r="AF35" s="600">
        <v>37</v>
      </c>
      <c r="AG35" s="600">
        <v>130</v>
      </c>
      <c r="AH35" s="600">
        <v>15</v>
      </c>
      <c r="AI35" s="600">
        <v>28</v>
      </c>
      <c r="AJ35" s="600">
        <v>7</v>
      </c>
      <c r="AK35" s="600">
        <v>0</v>
      </c>
      <c r="AL35" s="600">
        <v>6</v>
      </c>
      <c r="AM35" s="600">
        <v>17</v>
      </c>
      <c r="AN35" s="600">
        <v>20</v>
      </c>
      <c r="AO35" s="604">
        <v>42</v>
      </c>
      <c r="AP35" s="600">
        <v>0</v>
      </c>
      <c r="AQ35" s="600">
        <v>0</v>
      </c>
      <c r="AR35" s="604">
        <v>8</v>
      </c>
      <c r="AS35" s="600">
        <f>IFERROR((SEA_H201[[#This Row],[H]]-SEA_H201[[#This Row],[2B]]-SEA_H201[[#This Row],[3B]]-SEA_H201[[#This Row],[HR]])+(SEA_H201[[#This Row],[2B]]*2)+(SEA_H201[[#This Row],[3B]]*3)+(SEA_H201[[#This Row],[HR]]*4),0)</f>
        <v>53</v>
      </c>
      <c r="AT35" s="598">
        <f>SEA_H201[[#This Row],[OBP]]+SEA_H201[[#This Row],[SLG]]</f>
        <v>0.72769230769230764</v>
      </c>
      <c r="AU35" s="604">
        <v>1</v>
      </c>
      <c r="AV35" s="614">
        <v>1</v>
      </c>
      <c r="AY35" s="650" t="s">
        <v>611</v>
      </c>
      <c r="AZ35" s="604" t="s">
        <v>179</v>
      </c>
      <c r="BA35" s="597" t="s">
        <v>624</v>
      </c>
      <c r="BB35" s="598">
        <f>IFERROR(SEA_H187[[#This Row],[H]]/SEA_H187[[#This Row],[AB]],0)</f>
        <v>0.21052631578947367</v>
      </c>
      <c r="BC35" s="598">
        <f>IFERROR((SEA_H187[[#This Row],[BB]]+SEA_H187[[#This Row],[H]])/(SEA_H187[[#This Row],[AB]]+SEA_H187[[#This Row],[BB]]),0)</f>
        <v>0.2857142857142857</v>
      </c>
      <c r="BD35" s="599">
        <f>IFERROR(((SEA_H187[[#This Row],[H]]-SEA_H187[[#This Row],[2B]]-SEA_H187[[#This Row],[3B]]-SEA_H187[[#This Row],[HR]])+(SEA_H187[[#This Row],[2B]]*2)+(SEA_H187[[#This Row],[3B]]*3)+(SEA_H187[[#This Row],[HR]]*4))/SEA_H187[[#This Row],[AB]],0)</f>
        <v>0.2982456140350877</v>
      </c>
      <c r="BE35" s="600">
        <v>34</v>
      </c>
      <c r="BF35" s="600">
        <v>114</v>
      </c>
      <c r="BG35" s="600">
        <v>11</v>
      </c>
      <c r="BH35" s="600">
        <v>24</v>
      </c>
      <c r="BI35" s="600">
        <v>4</v>
      </c>
      <c r="BJ35" s="600">
        <v>0</v>
      </c>
      <c r="BK35" s="600">
        <v>2</v>
      </c>
      <c r="BL35" s="600">
        <v>11</v>
      </c>
      <c r="BM35" s="600">
        <v>12</v>
      </c>
      <c r="BN35" s="604">
        <v>28</v>
      </c>
      <c r="BO35" s="600">
        <v>0</v>
      </c>
      <c r="BP35" s="600">
        <v>1</v>
      </c>
      <c r="BQ35" s="604">
        <v>6</v>
      </c>
      <c r="BR35" s="600">
        <f>(SEA_H187[[#This Row],[H]]-SEA_H187[[#This Row],[2B]]-SEA_H187[[#This Row],[3B]]-SEA_H187[[#This Row],[HR]])+(SEA_H187[[#This Row],[2B]]*2)+(SEA_H187[[#This Row],[3B]]*3)+(SEA_H187[[#This Row],[HR]]*4)</f>
        <v>34</v>
      </c>
      <c r="BS35" s="598">
        <f>IFERROR(SEA_H187[[#This Row],[OBP]]+SEA_H187[[#This Row],[SLG]],0)</f>
        <v>0.58395989974937335</v>
      </c>
      <c r="BT35" s="604">
        <v>1</v>
      </c>
      <c r="BU35" s="614">
        <v>1</v>
      </c>
    </row>
    <row r="36" spans="1:73">
      <c r="A36" s="651" t="s">
        <v>611</v>
      </c>
      <c r="B36" s="71" t="s">
        <v>154</v>
      </c>
      <c r="C36" s="77" t="s">
        <v>620</v>
      </c>
      <c r="D36" s="130">
        <f>IFERROR(SEA_H[[#This Row],[H]]/SEA_H[[#This Row],[AB]],0)</f>
        <v>0.23529411764705882</v>
      </c>
      <c r="E36" s="72">
        <f>IFERROR((SEA_H[[#This Row],[H]]+SEA_H[[#This Row],[BB]])/(SEA_H[[#This Row],[BB]]+SEA_H[[#This Row],[AB]]),0)</f>
        <v>0.29251700680272108</v>
      </c>
      <c r="F36" s="73">
        <f>IFERROR(((SEA_H[[#This Row],[H]]-SEA_H[[#This Row],[2B]]-SEA_H[[#This Row],[3B]]-SEA_H[[#This Row],[HR]])+(SEA_H[[#This Row],[2B]]*2)+(SEA_H[[#This Row],[3B]]*3)+(SEA_H[[#This Row],[HR]]*4))/SEA_H[[#This Row],[AB]],0)</f>
        <v>0.47058823529411764</v>
      </c>
      <c r="G36" s="28">
        <v>36</v>
      </c>
      <c r="H36" s="28">
        <v>136</v>
      </c>
      <c r="I36" s="28">
        <v>16</v>
      </c>
      <c r="J36" s="28">
        <v>32</v>
      </c>
      <c r="K36" s="28">
        <v>11</v>
      </c>
      <c r="L36" s="28">
        <v>0</v>
      </c>
      <c r="M36" s="28">
        <v>7</v>
      </c>
      <c r="N36" s="28">
        <v>12</v>
      </c>
      <c r="O36" s="28">
        <v>11</v>
      </c>
      <c r="P36" s="74">
        <v>42</v>
      </c>
      <c r="Q36" s="28">
        <v>0</v>
      </c>
      <c r="R36" s="28">
        <v>0</v>
      </c>
      <c r="S36" s="74">
        <v>4</v>
      </c>
      <c r="T36" s="28">
        <f>IFERROR((SEA_H[[#This Row],[H]]-SEA_H[[#This Row],[2B]]-SEA_H[[#This Row],[3B]]-SEA_H[[#This Row],[HR]])+(SEA_H[[#This Row],[2B]]*2)+(SEA_H[[#This Row],[3B]]*3)+(SEA_H[[#This Row],[HR]]*4),0)</f>
        <v>64</v>
      </c>
      <c r="U36" s="72">
        <f>SEA_H[[#This Row],[OBP]]+SEA_H[[#This Row],[SLG]]</f>
        <v>0.76310524209683872</v>
      </c>
      <c r="V36" s="74">
        <v>2</v>
      </c>
      <c r="W36" s="615">
        <v>2</v>
      </c>
      <c r="Z36" s="651" t="s">
        <v>611</v>
      </c>
      <c r="AA36" s="71" t="s">
        <v>154</v>
      </c>
      <c r="AB36" s="71" t="s">
        <v>623</v>
      </c>
      <c r="AC36" s="72">
        <f>IFERROR(SEA_H201[[#This Row],[H]]/SEA_H201[[#This Row],[AB]],0)</f>
        <v>0.21698113207547171</v>
      </c>
      <c r="AD36" s="72">
        <f>IFERROR((SEA_H201[[#This Row],[H]]+SEA_H201[[#This Row],[BB]])/(SEA_H201[[#This Row],[BB]]+SEA_H201[[#This Row],[AB]]),0)</f>
        <v>0.29059829059829062</v>
      </c>
      <c r="AE36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0.39622641509433965</v>
      </c>
      <c r="AF36" s="28">
        <v>28</v>
      </c>
      <c r="AG36" s="28">
        <v>106</v>
      </c>
      <c r="AH36" s="28">
        <v>12</v>
      </c>
      <c r="AI36" s="28">
        <v>23</v>
      </c>
      <c r="AJ36" s="28">
        <v>4</v>
      </c>
      <c r="AK36" s="28">
        <v>0</v>
      </c>
      <c r="AL36" s="28">
        <v>5</v>
      </c>
      <c r="AM36" s="28">
        <v>15</v>
      </c>
      <c r="AN36" s="28">
        <v>11</v>
      </c>
      <c r="AO36" s="74">
        <v>25</v>
      </c>
      <c r="AP36" s="28">
        <v>0</v>
      </c>
      <c r="AQ36" s="28">
        <v>2</v>
      </c>
      <c r="AR36" s="74">
        <v>4</v>
      </c>
      <c r="AS36" s="28">
        <f>IFERROR((SEA_H201[[#This Row],[H]]-SEA_H201[[#This Row],[2B]]-SEA_H201[[#This Row],[3B]]-SEA_H201[[#This Row],[HR]])+(SEA_H201[[#This Row],[2B]]*2)+(SEA_H201[[#This Row],[3B]]*3)+(SEA_H201[[#This Row],[HR]]*4),0)</f>
        <v>42</v>
      </c>
      <c r="AT36" s="72">
        <f>SEA_H201[[#This Row],[OBP]]+SEA_H201[[#This Row],[SLG]]</f>
        <v>0.68682470569263021</v>
      </c>
      <c r="AU36" s="74">
        <v>1</v>
      </c>
      <c r="AV36" s="615">
        <v>2</v>
      </c>
      <c r="AY36" s="651" t="s">
        <v>611</v>
      </c>
      <c r="AZ36" s="74" t="s">
        <v>154</v>
      </c>
      <c r="BA36" s="71" t="s">
        <v>623</v>
      </c>
      <c r="BB36" s="72">
        <f>IFERROR(SEA_H187[[#This Row],[H]]/SEA_H187[[#This Row],[AB]],0)</f>
        <v>0.22807017543859648</v>
      </c>
      <c r="BC36" s="72">
        <f>IFERROR((SEA_H187[[#This Row],[BB]]+SEA_H187[[#This Row],[H]])/(SEA_H187[[#This Row],[AB]]+SEA_H187[[#This Row],[BB]]),0)</f>
        <v>0.3125</v>
      </c>
      <c r="BD36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0.30701754385964913</v>
      </c>
      <c r="BE36" s="28">
        <v>32</v>
      </c>
      <c r="BF36" s="28">
        <v>114</v>
      </c>
      <c r="BG36" s="28">
        <v>7</v>
      </c>
      <c r="BH36" s="28">
        <v>26</v>
      </c>
      <c r="BI36" s="28">
        <v>3</v>
      </c>
      <c r="BJ36" s="28">
        <v>0</v>
      </c>
      <c r="BK36" s="28">
        <v>2</v>
      </c>
      <c r="BL36" s="28">
        <v>12</v>
      </c>
      <c r="BM36" s="28">
        <v>14</v>
      </c>
      <c r="BN36" s="74">
        <v>27</v>
      </c>
      <c r="BO36" s="28">
        <v>0</v>
      </c>
      <c r="BP36" s="28">
        <v>5</v>
      </c>
      <c r="BQ36" s="74">
        <v>5</v>
      </c>
      <c r="BR36" s="28">
        <f>(SEA_H187[[#This Row],[H]]-SEA_H187[[#This Row],[2B]]-SEA_H187[[#This Row],[3B]]-SEA_H187[[#This Row],[HR]])+(SEA_H187[[#This Row],[2B]]*2)+(SEA_H187[[#This Row],[3B]]*3)+(SEA_H187[[#This Row],[HR]]*4)</f>
        <v>35</v>
      </c>
      <c r="BS36" s="72">
        <f>IFERROR(SEA_H187[[#This Row],[OBP]]+SEA_H187[[#This Row],[SLG]],0)</f>
        <v>0.61951754385964919</v>
      </c>
      <c r="BT36" s="74">
        <v>3</v>
      </c>
      <c r="BU36" s="615">
        <v>2</v>
      </c>
    </row>
    <row r="37" spans="1:73">
      <c r="A37" s="651" t="s">
        <v>611</v>
      </c>
      <c r="B37" s="71" t="s">
        <v>172</v>
      </c>
      <c r="C37" s="77" t="s">
        <v>622</v>
      </c>
      <c r="D37" s="130">
        <f>IFERROR(SEA_H[[#This Row],[H]]/SEA_H[[#This Row],[AB]],0)</f>
        <v>0.22580645161290322</v>
      </c>
      <c r="E37" s="72">
        <f>IFERROR((SEA_H[[#This Row],[H]]+SEA_H[[#This Row],[BB]])/(SEA_H[[#This Row],[BB]]+SEA_H[[#This Row],[AB]]),0)</f>
        <v>0.31428571428571428</v>
      </c>
      <c r="F37" s="73">
        <f>IFERROR(((SEA_H[[#This Row],[H]]-SEA_H[[#This Row],[2B]]-SEA_H[[#This Row],[3B]]-SEA_H[[#This Row],[HR]])+(SEA_H[[#This Row],[2B]]*2)+(SEA_H[[#This Row],[3B]]*3)+(SEA_H[[#This Row],[HR]]*4))/SEA_H[[#This Row],[AB]],0)</f>
        <v>0.43548387096774194</v>
      </c>
      <c r="G37" s="28">
        <v>37</v>
      </c>
      <c r="H37" s="28">
        <v>124</v>
      </c>
      <c r="I37" s="28">
        <v>19</v>
      </c>
      <c r="J37" s="28">
        <v>28</v>
      </c>
      <c r="K37" s="28">
        <v>4</v>
      </c>
      <c r="L37" s="28">
        <v>2</v>
      </c>
      <c r="M37" s="28">
        <v>6</v>
      </c>
      <c r="N37" s="28">
        <v>15</v>
      </c>
      <c r="O37" s="28">
        <v>16</v>
      </c>
      <c r="P37" s="74">
        <v>32</v>
      </c>
      <c r="Q37" s="28">
        <v>0</v>
      </c>
      <c r="R37" s="28">
        <v>0</v>
      </c>
      <c r="S37" s="74">
        <v>7</v>
      </c>
      <c r="T37" s="28">
        <f>IFERROR((SEA_H[[#This Row],[H]]-SEA_H[[#This Row],[2B]]-SEA_H[[#This Row],[3B]]-SEA_H[[#This Row],[HR]])+(SEA_H[[#This Row],[2B]]*2)+(SEA_H[[#This Row],[3B]]*3)+(SEA_H[[#This Row],[HR]]*4),0)</f>
        <v>54</v>
      </c>
      <c r="U37" s="72">
        <f>SEA_H[[#This Row],[OBP]]+SEA_H[[#This Row],[SLG]]</f>
        <v>0.74976958525345627</v>
      </c>
      <c r="V37" s="74">
        <v>2</v>
      </c>
      <c r="W37" s="615">
        <v>3</v>
      </c>
      <c r="Z37" s="651" t="s">
        <v>611</v>
      </c>
      <c r="AA37" s="71" t="s">
        <v>172</v>
      </c>
      <c r="AB37" s="71" t="s">
        <v>622</v>
      </c>
      <c r="AC37" s="72">
        <f>IFERROR(SEA_H201[[#This Row],[H]]/SEA_H201[[#This Row],[AB]],0)</f>
        <v>0.22142857142857142</v>
      </c>
      <c r="AD37" s="72">
        <f>IFERROR((SEA_H201[[#This Row],[H]]+SEA_H201[[#This Row],[BB]])/(SEA_H201[[#This Row],[BB]]+SEA_H201[[#This Row],[AB]]),0)</f>
        <v>0.310126582278481</v>
      </c>
      <c r="AE37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0.33571428571428569</v>
      </c>
      <c r="AF37" s="28">
        <v>40</v>
      </c>
      <c r="AG37" s="28">
        <v>140</v>
      </c>
      <c r="AH37" s="28">
        <v>14</v>
      </c>
      <c r="AI37" s="28">
        <v>31</v>
      </c>
      <c r="AJ37" s="28">
        <v>8</v>
      </c>
      <c r="AK37" s="28">
        <v>1</v>
      </c>
      <c r="AL37" s="28">
        <v>2</v>
      </c>
      <c r="AM37" s="28">
        <v>9</v>
      </c>
      <c r="AN37" s="28">
        <v>18</v>
      </c>
      <c r="AO37" s="74">
        <v>33</v>
      </c>
      <c r="AP37" s="28">
        <v>0</v>
      </c>
      <c r="AQ37" s="28">
        <v>0</v>
      </c>
      <c r="AR37" s="74">
        <v>7</v>
      </c>
      <c r="AS37" s="28">
        <f>IFERROR((SEA_H201[[#This Row],[H]]-SEA_H201[[#This Row],[2B]]-SEA_H201[[#This Row],[3B]]-SEA_H201[[#This Row],[HR]])+(SEA_H201[[#This Row],[2B]]*2)+(SEA_H201[[#This Row],[3B]]*3)+(SEA_H201[[#This Row],[HR]]*4),0)</f>
        <v>47</v>
      </c>
      <c r="AT37" s="72">
        <f>SEA_H201[[#This Row],[OBP]]+SEA_H201[[#This Row],[SLG]]</f>
        <v>0.64584086799276674</v>
      </c>
      <c r="AU37" s="74">
        <v>0</v>
      </c>
      <c r="AV37" s="615">
        <v>3</v>
      </c>
      <c r="AY37" s="651" t="s">
        <v>611</v>
      </c>
      <c r="AZ37" s="74" t="s">
        <v>172</v>
      </c>
      <c r="BA37" s="71" t="s">
        <v>622</v>
      </c>
      <c r="BB37" s="72">
        <f>IFERROR(SEA_H187[[#This Row],[H]]/SEA_H187[[#This Row],[AB]],0)</f>
        <v>0.25190839694656486</v>
      </c>
      <c r="BC37" s="72">
        <f>IFERROR((SEA_H187[[#This Row],[BB]]+SEA_H187[[#This Row],[H]])/(SEA_H187[[#This Row],[AB]]+SEA_H187[[#This Row],[BB]]),0)</f>
        <v>0.3</v>
      </c>
      <c r="BD37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0.3282442748091603</v>
      </c>
      <c r="BE37" s="28">
        <v>40</v>
      </c>
      <c r="BF37" s="28">
        <v>131</v>
      </c>
      <c r="BG37" s="28">
        <v>14</v>
      </c>
      <c r="BH37" s="28">
        <v>33</v>
      </c>
      <c r="BI37" s="28">
        <v>6</v>
      </c>
      <c r="BJ37" s="28">
        <v>2</v>
      </c>
      <c r="BK37" s="28">
        <v>0</v>
      </c>
      <c r="BL37" s="28">
        <v>8</v>
      </c>
      <c r="BM37" s="28">
        <v>9</v>
      </c>
      <c r="BN37" s="74">
        <v>28</v>
      </c>
      <c r="BO37" s="28">
        <v>0</v>
      </c>
      <c r="BP37" s="28">
        <v>4</v>
      </c>
      <c r="BQ37" s="74">
        <v>4</v>
      </c>
      <c r="BR37" s="28">
        <f>(SEA_H187[[#This Row],[H]]-SEA_H187[[#This Row],[2B]]-SEA_H187[[#This Row],[3B]]-SEA_H187[[#This Row],[HR]])+(SEA_H187[[#This Row],[2B]]*2)+(SEA_H187[[#This Row],[3B]]*3)+(SEA_H187[[#This Row],[HR]]*4)</f>
        <v>43</v>
      </c>
      <c r="BS37" s="72">
        <f>IFERROR(SEA_H187[[#This Row],[OBP]]+SEA_H187[[#This Row],[SLG]],0)</f>
        <v>0.62824427480916034</v>
      </c>
      <c r="BT37" s="74">
        <v>0</v>
      </c>
      <c r="BU37" s="615">
        <v>3</v>
      </c>
    </row>
    <row r="38" spans="1:73">
      <c r="A38" s="651" t="s">
        <v>611</v>
      </c>
      <c r="B38" s="345" t="s">
        <v>153</v>
      </c>
      <c r="C38" s="77" t="s">
        <v>612</v>
      </c>
      <c r="D38" s="130">
        <f>IFERROR(SEA_H[[#This Row],[H]]/SEA_H[[#This Row],[AB]],0)</f>
        <v>0.33939393939393941</v>
      </c>
      <c r="E38" s="72">
        <f>IFERROR((SEA_H[[#This Row],[H]]+SEA_H[[#This Row],[BB]])/(SEA_H[[#This Row],[BB]]+SEA_H[[#This Row],[AB]]),0)</f>
        <v>0.37714285714285717</v>
      </c>
      <c r="F38" s="73">
        <f>IFERROR(((SEA_H[[#This Row],[H]]-SEA_H[[#This Row],[2B]]-SEA_H[[#This Row],[3B]]-SEA_H[[#This Row],[HR]])+(SEA_H[[#This Row],[2B]]*2)+(SEA_H[[#This Row],[3B]]*3)+(SEA_H[[#This Row],[HR]]*4))/SEA_H[[#This Row],[AB]],0)</f>
        <v>0.65454545454545454</v>
      </c>
      <c r="G38" s="28">
        <v>39</v>
      </c>
      <c r="H38" s="28">
        <v>165</v>
      </c>
      <c r="I38" s="28">
        <v>34</v>
      </c>
      <c r="J38" s="28">
        <v>56</v>
      </c>
      <c r="K38" s="28">
        <v>16</v>
      </c>
      <c r="L38" s="28">
        <v>0</v>
      </c>
      <c r="M38" s="28">
        <v>12</v>
      </c>
      <c r="N38" s="28">
        <v>27</v>
      </c>
      <c r="O38" s="28">
        <v>10</v>
      </c>
      <c r="P38" s="74">
        <v>32</v>
      </c>
      <c r="Q38" s="28">
        <v>0</v>
      </c>
      <c r="R38" s="28">
        <v>5</v>
      </c>
      <c r="S38" s="74">
        <v>9</v>
      </c>
      <c r="T38" s="76">
        <f>IFERROR((SEA_H[[#This Row],[H]]-SEA_H[[#This Row],[2B]]-SEA_H[[#This Row],[3B]]-SEA_H[[#This Row],[HR]])+(SEA_H[[#This Row],[2B]]*2)+(SEA_H[[#This Row],[3B]]*3)+(SEA_H[[#This Row],[HR]]*4),0)</f>
        <v>108</v>
      </c>
      <c r="U38" s="72">
        <f>SEA_H[[#This Row],[OBP]]+SEA_H[[#This Row],[SLG]]</f>
        <v>1.0316883116883118</v>
      </c>
      <c r="V38" s="74">
        <v>3</v>
      </c>
      <c r="W38" s="615">
        <v>4</v>
      </c>
      <c r="Z38" s="651" t="s">
        <v>611</v>
      </c>
      <c r="AA38" s="71" t="s">
        <v>153</v>
      </c>
      <c r="AB38" s="71" t="s">
        <v>612</v>
      </c>
      <c r="AC38" s="72">
        <f>IFERROR(SEA_H201[[#This Row],[H]]/SEA_H201[[#This Row],[AB]],0)</f>
        <v>0.30994152046783624</v>
      </c>
      <c r="AD38" s="72">
        <f>IFERROR((SEA_H201[[#This Row],[H]]+SEA_H201[[#This Row],[BB]])/(SEA_H201[[#This Row],[BB]]+SEA_H201[[#This Row],[AB]]),0)</f>
        <v>0.3551912568306011</v>
      </c>
      <c r="AE38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0.47368421052631576</v>
      </c>
      <c r="AF38" s="28">
        <v>39</v>
      </c>
      <c r="AG38" s="28">
        <v>171</v>
      </c>
      <c r="AH38" s="28">
        <v>23</v>
      </c>
      <c r="AI38" s="28">
        <v>53</v>
      </c>
      <c r="AJ38" s="28">
        <v>10</v>
      </c>
      <c r="AK38" s="28">
        <v>0</v>
      </c>
      <c r="AL38" s="28">
        <v>6</v>
      </c>
      <c r="AM38" s="28">
        <v>19</v>
      </c>
      <c r="AN38" s="28">
        <v>12</v>
      </c>
      <c r="AO38" s="74">
        <v>24</v>
      </c>
      <c r="AP38" s="28">
        <v>0</v>
      </c>
      <c r="AQ38" s="28">
        <v>1</v>
      </c>
      <c r="AR38" s="74">
        <v>9</v>
      </c>
      <c r="AS38" s="28">
        <f>IFERROR((SEA_H201[[#This Row],[H]]-SEA_H201[[#This Row],[2B]]-SEA_H201[[#This Row],[3B]]-SEA_H201[[#This Row],[HR]])+(SEA_H201[[#This Row],[2B]]*2)+(SEA_H201[[#This Row],[3B]]*3)+(SEA_H201[[#This Row],[HR]]*4),0)</f>
        <v>81</v>
      </c>
      <c r="AT38" s="72">
        <f>SEA_H201[[#This Row],[OBP]]+SEA_H201[[#This Row],[SLG]]</f>
        <v>0.82887546735691686</v>
      </c>
      <c r="AU38" s="74">
        <v>3</v>
      </c>
      <c r="AV38" s="615">
        <v>4</v>
      </c>
      <c r="AY38" s="651" t="s">
        <v>611</v>
      </c>
      <c r="AZ38" s="74" t="s">
        <v>153</v>
      </c>
      <c r="BA38" s="71" t="s">
        <v>612</v>
      </c>
      <c r="BB38" s="72">
        <f>IFERROR(SEA_H187[[#This Row],[H]]/SEA_H187[[#This Row],[AB]],0)</f>
        <v>0.23030303030303031</v>
      </c>
      <c r="BC38" s="72">
        <f>IFERROR((SEA_H187[[#This Row],[BB]]+SEA_H187[[#This Row],[H]])/(SEA_H187[[#This Row],[AB]]+SEA_H187[[#This Row],[BB]]),0)</f>
        <v>0.26162790697674421</v>
      </c>
      <c r="BD38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0.33939393939393941</v>
      </c>
      <c r="BE38" s="28">
        <v>39</v>
      </c>
      <c r="BF38" s="28">
        <v>165</v>
      </c>
      <c r="BG38" s="28">
        <v>21</v>
      </c>
      <c r="BH38" s="28">
        <v>38</v>
      </c>
      <c r="BI38" s="28">
        <v>9</v>
      </c>
      <c r="BJ38" s="28">
        <v>0</v>
      </c>
      <c r="BK38" s="28">
        <v>3</v>
      </c>
      <c r="BL38" s="28">
        <v>15</v>
      </c>
      <c r="BM38" s="28">
        <v>7</v>
      </c>
      <c r="BN38" s="74">
        <v>31</v>
      </c>
      <c r="BO38" s="28">
        <v>0</v>
      </c>
      <c r="BP38" s="28">
        <v>2</v>
      </c>
      <c r="BQ38" s="74">
        <v>6</v>
      </c>
      <c r="BR38" s="28">
        <f>(SEA_H187[[#This Row],[H]]-SEA_H187[[#This Row],[2B]]-SEA_H187[[#This Row],[3B]]-SEA_H187[[#This Row],[HR]])+(SEA_H187[[#This Row],[2B]]*2)+(SEA_H187[[#This Row],[3B]]*3)+(SEA_H187[[#This Row],[HR]]*4)</f>
        <v>56</v>
      </c>
      <c r="BS38" s="72">
        <f>IFERROR(SEA_H187[[#This Row],[OBP]]+SEA_H187[[#This Row],[SLG]],0)</f>
        <v>0.60102184637068357</v>
      </c>
      <c r="BT38" s="74">
        <v>1</v>
      </c>
      <c r="BU38" s="615">
        <v>4</v>
      </c>
    </row>
    <row r="39" spans="1:73">
      <c r="A39" s="651" t="s">
        <v>611</v>
      </c>
      <c r="B39" s="71" t="s">
        <v>177</v>
      </c>
      <c r="C39" s="77" t="s">
        <v>615</v>
      </c>
      <c r="D39" s="130">
        <f>IFERROR(SEA_H[[#This Row],[H]]/SEA_H[[#This Row],[AB]],0)</f>
        <v>0.27814569536423839</v>
      </c>
      <c r="E39" s="72">
        <f>IFERROR((SEA_H[[#This Row],[H]]+SEA_H[[#This Row],[BB]])/(SEA_H[[#This Row],[BB]]+SEA_H[[#This Row],[AB]]),0)</f>
        <v>0.34337349397590361</v>
      </c>
      <c r="F39" s="73">
        <f>IFERROR(((SEA_H[[#This Row],[H]]-SEA_H[[#This Row],[2B]]-SEA_H[[#This Row],[3B]]-SEA_H[[#This Row],[HR]])+(SEA_H[[#This Row],[2B]]*2)+(SEA_H[[#This Row],[3B]]*3)+(SEA_H[[#This Row],[HR]]*4))/SEA_H[[#This Row],[AB]],0)</f>
        <v>0.54966887417218546</v>
      </c>
      <c r="G39" s="28">
        <v>37</v>
      </c>
      <c r="H39" s="28">
        <v>151</v>
      </c>
      <c r="I39" s="28">
        <v>21</v>
      </c>
      <c r="J39" s="28">
        <v>42</v>
      </c>
      <c r="K39" s="28">
        <v>11</v>
      </c>
      <c r="L39" s="28">
        <v>0</v>
      </c>
      <c r="M39" s="28">
        <v>10</v>
      </c>
      <c r="N39" s="28">
        <v>22</v>
      </c>
      <c r="O39" s="28">
        <v>15</v>
      </c>
      <c r="P39" s="74">
        <v>34</v>
      </c>
      <c r="Q39" s="28">
        <v>0</v>
      </c>
      <c r="R39" s="28">
        <v>1</v>
      </c>
      <c r="S39" s="74">
        <v>14</v>
      </c>
      <c r="T39" s="28">
        <f>IFERROR((SEA_H[[#This Row],[H]]-SEA_H[[#This Row],[2B]]-SEA_H[[#This Row],[3B]]-SEA_H[[#This Row],[HR]])+(SEA_H[[#This Row],[2B]]*2)+(SEA_H[[#This Row],[3B]]*3)+(SEA_H[[#This Row],[HR]]*4),0)</f>
        <v>83</v>
      </c>
      <c r="U39" s="72">
        <f>SEA_H[[#This Row],[OBP]]+SEA_H[[#This Row],[SLG]]</f>
        <v>0.89304236814808902</v>
      </c>
      <c r="V39" s="74">
        <v>2</v>
      </c>
      <c r="W39" s="615">
        <v>5</v>
      </c>
      <c r="Z39" s="651" t="s">
        <v>611</v>
      </c>
      <c r="AA39" s="71" t="s">
        <v>177</v>
      </c>
      <c r="AB39" s="71" t="s">
        <v>615</v>
      </c>
      <c r="AC39" s="72">
        <f>IFERROR(SEA_H201[[#This Row],[H]]/SEA_H201[[#This Row],[AB]],0)</f>
        <v>0.24489795918367346</v>
      </c>
      <c r="AD39" s="72">
        <f>IFERROR((SEA_H201[[#This Row],[H]]+SEA_H201[[#This Row],[BB]])/(SEA_H201[[#This Row],[BB]]+SEA_H201[[#This Row],[AB]]),0)</f>
        <v>0.31481481481481483</v>
      </c>
      <c r="AE39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0.5714285714285714</v>
      </c>
      <c r="AF39" s="28">
        <v>26</v>
      </c>
      <c r="AG39" s="28">
        <v>98</v>
      </c>
      <c r="AH39" s="28">
        <v>14</v>
      </c>
      <c r="AI39" s="28">
        <v>24</v>
      </c>
      <c r="AJ39" s="28">
        <v>8</v>
      </c>
      <c r="AK39" s="28">
        <v>0</v>
      </c>
      <c r="AL39" s="28">
        <v>8</v>
      </c>
      <c r="AM39" s="28">
        <v>19</v>
      </c>
      <c r="AN39" s="28">
        <v>10</v>
      </c>
      <c r="AO39" s="74">
        <v>26</v>
      </c>
      <c r="AP39" s="28">
        <v>0</v>
      </c>
      <c r="AQ39" s="28">
        <v>10</v>
      </c>
      <c r="AR39" s="74">
        <v>10</v>
      </c>
      <c r="AS39" s="28">
        <f>IFERROR((SEA_H201[[#This Row],[H]]-SEA_H201[[#This Row],[2B]]-SEA_H201[[#This Row],[3B]]-SEA_H201[[#This Row],[HR]])+(SEA_H201[[#This Row],[2B]]*2)+(SEA_H201[[#This Row],[3B]]*3)+(SEA_H201[[#This Row],[HR]]*4),0)</f>
        <v>56</v>
      </c>
      <c r="AT39" s="72">
        <f>SEA_H201[[#This Row],[OBP]]+SEA_H201[[#This Row],[SLG]]</f>
        <v>0.88624338624338628</v>
      </c>
      <c r="AU39" s="74">
        <v>3</v>
      </c>
      <c r="AV39" s="615">
        <v>5</v>
      </c>
      <c r="AY39" s="651" t="s">
        <v>611</v>
      </c>
      <c r="AZ39" s="74" t="s">
        <v>177</v>
      </c>
      <c r="BA39" s="71" t="s">
        <v>618</v>
      </c>
      <c r="BB39" s="72">
        <f>IFERROR(SEA_H187[[#This Row],[H]]/SEA_H187[[#This Row],[AB]],0)</f>
        <v>0.24285714285714285</v>
      </c>
      <c r="BC39" s="72">
        <f>IFERROR((SEA_H187[[#This Row],[BB]]+SEA_H187[[#This Row],[H]])/(SEA_H187[[#This Row],[AB]]+SEA_H187[[#This Row],[BB]]),0)</f>
        <v>0.32051282051282054</v>
      </c>
      <c r="BD39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0.41428571428571431</v>
      </c>
      <c r="BE39" s="28">
        <v>38</v>
      </c>
      <c r="BF39" s="28">
        <v>140</v>
      </c>
      <c r="BG39" s="28">
        <v>19</v>
      </c>
      <c r="BH39" s="28">
        <v>34</v>
      </c>
      <c r="BI39" s="28">
        <v>6</v>
      </c>
      <c r="BJ39" s="28">
        <v>0</v>
      </c>
      <c r="BK39" s="28">
        <v>6</v>
      </c>
      <c r="BL39" s="28">
        <v>21</v>
      </c>
      <c r="BM39" s="28">
        <v>16</v>
      </c>
      <c r="BN39" s="74">
        <v>35</v>
      </c>
      <c r="BO39" s="28">
        <v>0</v>
      </c>
      <c r="BP39" s="28">
        <v>1</v>
      </c>
      <c r="BQ39" s="74">
        <v>7</v>
      </c>
      <c r="BR39" s="28">
        <f>(SEA_H187[[#This Row],[H]]-SEA_H187[[#This Row],[2B]]-SEA_H187[[#This Row],[3B]]-SEA_H187[[#This Row],[HR]])+(SEA_H187[[#This Row],[2B]]*2)+(SEA_H187[[#This Row],[3B]]*3)+(SEA_H187[[#This Row],[HR]]*4)</f>
        <v>58</v>
      </c>
      <c r="BS39" s="72">
        <f>IFERROR(SEA_H187[[#This Row],[OBP]]+SEA_H187[[#This Row],[SLG]],0)</f>
        <v>0.73479853479853485</v>
      </c>
      <c r="BT39" s="74">
        <v>2</v>
      </c>
      <c r="BU39" s="615">
        <v>5</v>
      </c>
    </row>
    <row r="40" spans="1:73">
      <c r="A40" s="651" t="s">
        <v>611</v>
      </c>
      <c r="B40" s="71" t="s">
        <v>174</v>
      </c>
      <c r="C40" s="77" t="s">
        <v>617</v>
      </c>
      <c r="D40" s="130">
        <f>IFERROR(SEA_H[[#This Row],[H]]/SEA_H[[#This Row],[AB]],0)</f>
        <v>0.25899280575539568</v>
      </c>
      <c r="E40" s="72">
        <f>IFERROR((SEA_H[[#This Row],[H]]+SEA_H[[#This Row],[BB]])/(SEA_H[[#This Row],[BB]]+SEA_H[[#This Row],[AB]]),0)</f>
        <v>0.32236842105263158</v>
      </c>
      <c r="F40" s="73">
        <f>IFERROR(((SEA_H[[#This Row],[H]]-SEA_H[[#This Row],[2B]]-SEA_H[[#This Row],[3B]]-SEA_H[[#This Row],[HR]])+(SEA_H[[#This Row],[2B]]*2)+(SEA_H[[#This Row],[3B]]*3)+(SEA_H[[#This Row],[HR]]*4))/SEA_H[[#This Row],[AB]],0)</f>
        <v>0.51798561151079137</v>
      </c>
      <c r="G40" s="28">
        <v>37</v>
      </c>
      <c r="H40" s="28">
        <v>139</v>
      </c>
      <c r="I40" s="28">
        <v>20</v>
      </c>
      <c r="J40" s="28">
        <v>36</v>
      </c>
      <c r="K40" s="28">
        <v>6</v>
      </c>
      <c r="L40" s="28">
        <v>0</v>
      </c>
      <c r="M40" s="28">
        <v>10</v>
      </c>
      <c r="N40" s="28">
        <v>27</v>
      </c>
      <c r="O40" s="28">
        <v>13</v>
      </c>
      <c r="P40" s="74">
        <v>38</v>
      </c>
      <c r="Q40" s="28">
        <v>0</v>
      </c>
      <c r="R40" s="28">
        <v>2</v>
      </c>
      <c r="S40" s="74">
        <v>13</v>
      </c>
      <c r="T40" s="28">
        <f>IFERROR((SEA_H[[#This Row],[H]]-SEA_H[[#This Row],[2B]]-SEA_H[[#This Row],[3B]]-SEA_H[[#This Row],[HR]])+(SEA_H[[#This Row],[2B]]*2)+(SEA_H[[#This Row],[3B]]*3)+(SEA_H[[#This Row],[HR]]*4),0)</f>
        <v>72</v>
      </c>
      <c r="U40" s="72">
        <f>SEA_H[[#This Row],[OBP]]+SEA_H[[#This Row],[SLG]]</f>
        <v>0.84035403256342289</v>
      </c>
      <c r="V40" s="74">
        <v>4</v>
      </c>
      <c r="W40" s="615">
        <v>6</v>
      </c>
      <c r="Z40" s="651" t="s">
        <v>611</v>
      </c>
      <c r="AA40" s="71" t="s">
        <v>174</v>
      </c>
      <c r="AB40" s="71" t="s">
        <v>617</v>
      </c>
      <c r="AC40" s="72">
        <f>IFERROR(SEA_H201[[#This Row],[H]]/SEA_H201[[#This Row],[AB]],0)</f>
        <v>0.23178807947019867</v>
      </c>
      <c r="AD40" s="72">
        <f>IFERROR((SEA_H201[[#This Row],[H]]+SEA_H201[[#This Row],[BB]])/(SEA_H201[[#This Row],[BB]]+SEA_H201[[#This Row],[AB]]),0)</f>
        <v>0.32558139534883723</v>
      </c>
      <c r="AE40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0.43046357615894038</v>
      </c>
      <c r="AF40" s="28">
        <v>39</v>
      </c>
      <c r="AG40" s="28">
        <v>151</v>
      </c>
      <c r="AH40" s="28">
        <v>22</v>
      </c>
      <c r="AI40" s="28">
        <v>35</v>
      </c>
      <c r="AJ40" s="28">
        <v>10</v>
      </c>
      <c r="AK40" s="28">
        <v>1</v>
      </c>
      <c r="AL40" s="28">
        <v>6</v>
      </c>
      <c r="AM40" s="28">
        <v>19</v>
      </c>
      <c r="AN40" s="28">
        <v>21</v>
      </c>
      <c r="AO40" s="74">
        <v>47</v>
      </c>
      <c r="AP40" s="28">
        <v>0</v>
      </c>
      <c r="AQ40" s="28">
        <v>5</v>
      </c>
      <c r="AR40" s="74">
        <v>7</v>
      </c>
      <c r="AS40" s="28">
        <f>IFERROR((SEA_H201[[#This Row],[H]]-SEA_H201[[#This Row],[2B]]-SEA_H201[[#This Row],[3B]]-SEA_H201[[#This Row],[HR]])+(SEA_H201[[#This Row],[2B]]*2)+(SEA_H201[[#This Row],[3B]]*3)+(SEA_H201[[#This Row],[HR]]*4),0)</f>
        <v>65</v>
      </c>
      <c r="AT40" s="72">
        <f>SEA_H201[[#This Row],[OBP]]+SEA_H201[[#This Row],[SLG]]</f>
        <v>0.75604497150777761</v>
      </c>
      <c r="AU40" s="74">
        <v>2</v>
      </c>
      <c r="AV40" s="615">
        <v>6</v>
      </c>
      <c r="AY40" s="651" t="s">
        <v>611</v>
      </c>
      <c r="AZ40" s="74" t="s">
        <v>174</v>
      </c>
      <c r="BA40" s="71" t="s">
        <v>617</v>
      </c>
      <c r="BB40" s="72">
        <f>IFERROR(SEA_H187[[#This Row],[H]]/SEA_H187[[#This Row],[AB]],0)</f>
        <v>0.23809523809523808</v>
      </c>
      <c r="BC40" s="72">
        <f>IFERROR((SEA_H187[[#This Row],[BB]]+SEA_H187[[#This Row],[H]])/(SEA_H187[[#This Row],[AB]]+SEA_H187[[#This Row],[BB]]),0)</f>
        <v>0.30935251798561153</v>
      </c>
      <c r="BD40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0.46825396825396826</v>
      </c>
      <c r="BE40" s="28">
        <v>34</v>
      </c>
      <c r="BF40" s="28">
        <v>126</v>
      </c>
      <c r="BG40" s="28">
        <v>16</v>
      </c>
      <c r="BH40" s="28">
        <v>30</v>
      </c>
      <c r="BI40" s="28">
        <v>12</v>
      </c>
      <c r="BJ40" s="28">
        <v>1</v>
      </c>
      <c r="BK40" s="28">
        <v>5</v>
      </c>
      <c r="BL40" s="28">
        <v>14</v>
      </c>
      <c r="BM40" s="28">
        <v>13</v>
      </c>
      <c r="BN40" s="74">
        <v>34</v>
      </c>
      <c r="BO40" s="28">
        <v>0</v>
      </c>
      <c r="BP40" s="28">
        <v>3</v>
      </c>
      <c r="BQ40" s="74">
        <v>7</v>
      </c>
      <c r="BR40" s="28">
        <f>(SEA_H187[[#This Row],[H]]-SEA_H187[[#This Row],[2B]]-SEA_H187[[#This Row],[3B]]-SEA_H187[[#This Row],[HR]])+(SEA_H187[[#This Row],[2B]]*2)+(SEA_H187[[#This Row],[3B]]*3)+(SEA_H187[[#This Row],[HR]]*4)</f>
        <v>59</v>
      </c>
      <c r="BS40" s="72">
        <f>IFERROR(SEA_H187[[#This Row],[OBP]]+SEA_H187[[#This Row],[SLG]],0)</f>
        <v>0.77760648623957973</v>
      </c>
      <c r="BT40" s="74">
        <v>2</v>
      </c>
      <c r="BU40" s="615">
        <v>6</v>
      </c>
    </row>
    <row r="41" spans="1:73">
      <c r="A41" s="651" t="s">
        <v>611</v>
      </c>
      <c r="B41" s="71" t="s">
        <v>181</v>
      </c>
      <c r="C41" s="77" t="s">
        <v>614</v>
      </c>
      <c r="D41" s="130">
        <f>IFERROR(SEA_H[[#This Row],[H]]/SEA_H[[#This Row],[AB]],0)</f>
        <v>0.26623376623376621</v>
      </c>
      <c r="E41" s="72">
        <f>IFERROR((SEA_H[[#This Row],[H]]+SEA_H[[#This Row],[BB]])/(SEA_H[[#This Row],[BB]]+SEA_H[[#This Row],[AB]]),0)</f>
        <v>0.36871508379888268</v>
      </c>
      <c r="F41" s="73">
        <f>IFERROR(((SEA_H[[#This Row],[H]]-SEA_H[[#This Row],[2B]]-SEA_H[[#This Row],[3B]]-SEA_H[[#This Row],[HR]])+(SEA_H[[#This Row],[2B]]*2)+(SEA_H[[#This Row],[3B]]*3)+(SEA_H[[#This Row],[HR]]*4))/SEA_H[[#This Row],[AB]],0)</f>
        <v>0.5</v>
      </c>
      <c r="G41" s="28">
        <v>40</v>
      </c>
      <c r="H41" s="28">
        <v>154</v>
      </c>
      <c r="I41" s="28">
        <v>26</v>
      </c>
      <c r="J41" s="28">
        <v>41</v>
      </c>
      <c r="K41" s="28">
        <v>9</v>
      </c>
      <c r="L41" s="28">
        <v>0</v>
      </c>
      <c r="M41" s="28">
        <v>9</v>
      </c>
      <c r="N41" s="28">
        <v>28</v>
      </c>
      <c r="O41" s="28">
        <v>25</v>
      </c>
      <c r="P41" s="74">
        <v>28</v>
      </c>
      <c r="Q41" s="28">
        <v>0</v>
      </c>
      <c r="R41" s="28">
        <v>1</v>
      </c>
      <c r="S41" s="74">
        <v>7</v>
      </c>
      <c r="T41" s="28">
        <f>IFERROR((SEA_H[[#This Row],[H]]-SEA_H[[#This Row],[2B]]-SEA_H[[#This Row],[3B]]-SEA_H[[#This Row],[HR]])+(SEA_H[[#This Row],[2B]]*2)+(SEA_H[[#This Row],[3B]]*3)+(SEA_H[[#This Row],[HR]]*4),0)</f>
        <v>77</v>
      </c>
      <c r="U41" s="72">
        <f>SEA_H[[#This Row],[OBP]]+SEA_H[[#This Row],[SLG]]</f>
        <v>0.86871508379888263</v>
      </c>
      <c r="V41" s="74">
        <v>3</v>
      </c>
      <c r="W41" s="615">
        <v>7</v>
      </c>
      <c r="Z41" s="651" t="s">
        <v>611</v>
      </c>
      <c r="AA41" s="71" t="s">
        <v>181</v>
      </c>
      <c r="AB41" s="71" t="s">
        <v>614</v>
      </c>
      <c r="AC41" s="72">
        <f>IFERROR(SEA_H201[[#This Row],[H]]/SEA_H201[[#This Row],[AB]],0)</f>
        <v>0.26219512195121952</v>
      </c>
      <c r="AD41" s="72">
        <f>IFERROR((SEA_H201[[#This Row],[H]]+SEA_H201[[#This Row],[BB]])/(SEA_H201[[#This Row],[BB]]+SEA_H201[[#This Row],[AB]]),0)</f>
        <v>0.34594594594594597</v>
      </c>
      <c r="AE41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0.47560975609756095</v>
      </c>
      <c r="AF41" s="28">
        <v>40</v>
      </c>
      <c r="AG41" s="28">
        <v>164</v>
      </c>
      <c r="AH41" s="28">
        <v>25</v>
      </c>
      <c r="AI41" s="28">
        <v>43</v>
      </c>
      <c r="AJ41" s="28">
        <v>8</v>
      </c>
      <c r="AK41" s="28">
        <v>0</v>
      </c>
      <c r="AL41" s="28">
        <v>9</v>
      </c>
      <c r="AM41" s="28">
        <v>24</v>
      </c>
      <c r="AN41" s="28">
        <v>21</v>
      </c>
      <c r="AO41" s="74">
        <v>38</v>
      </c>
      <c r="AP41" s="28">
        <v>0</v>
      </c>
      <c r="AQ41" s="28">
        <v>0</v>
      </c>
      <c r="AR41" s="74">
        <v>5</v>
      </c>
      <c r="AS41" s="28">
        <f>IFERROR((SEA_H201[[#This Row],[H]]-SEA_H201[[#This Row],[2B]]-SEA_H201[[#This Row],[3B]]-SEA_H201[[#This Row],[HR]])+(SEA_H201[[#This Row],[2B]]*2)+(SEA_H201[[#This Row],[3B]]*3)+(SEA_H201[[#This Row],[HR]]*4),0)</f>
        <v>78</v>
      </c>
      <c r="AT41" s="72">
        <f>SEA_H201[[#This Row],[OBP]]+SEA_H201[[#This Row],[SLG]]</f>
        <v>0.82155570204350692</v>
      </c>
      <c r="AU41" s="74">
        <v>3</v>
      </c>
      <c r="AV41" s="615">
        <v>7</v>
      </c>
      <c r="AY41" s="651" t="s">
        <v>611</v>
      </c>
      <c r="AZ41" s="74" t="s">
        <v>181</v>
      </c>
      <c r="BA41" s="71" t="s">
        <v>614</v>
      </c>
      <c r="BB41" s="72">
        <f>IFERROR(SEA_H187[[#This Row],[H]]/SEA_H187[[#This Row],[AB]],0)</f>
        <v>0.31372549019607843</v>
      </c>
      <c r="BC41" s="72">
        <f>IFERROR((SEA_H187[[#This Row],[BB]]+SEA_H187[[#This Row],[H]])/(SEA_H187[[#This Row],[AB]]+SEA_H187[[#This Row],[BB]]),0)</f>
        <v>0.36746987951807231</v>
      </c>
      <c r="BD41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0.56862745098039214</v>
      </c>
      <c r="BE41" s="28">
        <v>39</v>
      </c>
      <c r="BF41" s="28">
        <v>153</v>
      </c>
      <c r="BG41" s="28">
        <v>18</v>
      </c>
      <c r="BH41" s="28">
        <v>48</v>
      </c>
      <c r="BI41" s="28">
        <v>9</v>
      </c>
      <c r="BJ41" s="28">
        <v>0</v>
      </c>
      <c r="BK41" s="28">
        <v>10</v>
      </c>
      <c r="BL41" s="28">
        <v>28</v>
      </c>
      <c r="BM41" s="28">
        <v>13</v>
      </c>
      <c r="BN41" s="74">
        <v>34</v>
      </c>
      <c r="BO41" s="28">
        <v>1</v>
      </c>
      <c r="BP41" s="28">
        <v>0</v>
      </c>
      <c r="BQ41" s="74">
        <v>12</v>
      </c>
      <c r="BR41" s="28">
        <f>(SEA_H187[[#This Row],[H]]-SEA_H187[[#This Row],[2B]]-SEA_H187[[#This Row],[3B]]-SEA_H187[[#This Row],[HR]])+(SEA_H187[[#This Row],[2B]]*2)+(SEA_H187[[#This Row],[3B]]*3)+(SEA_H187[[#This Row],[HR]]*4)</f>
        <v>87</v>
      </c>
      <c r="BS41" s="72">
        <f>IFERROR(SEA_H187[[#This Row],[OBP]]+SEA_H187[[#This Row],[SLG]],0)</f>
        <v>0.93609733049846444</v>
      </c>
      <c r="BT41" s="74">
        <v>6</v>
      </c>
      <c r="BU41" s="615">
        <v>7</v>
      </c>
    </row>
    <row r="42" spans="1:73">
      <c r="A42" s="651" t="s">
        <v>611</v>
      </c>
      <c r="B42" s="71" t="s">
        <v>166</v>
      </c>
      <c r="C42" s="77" t="s">
        <v>616</v>
      </c>
      <c r="D42" s="130">
        <f>IFERROR(SEA_H[[#This Row],[H]]/SEA_H[[#This Row],[AB]],0)</f>
        <v>0.26111111111111113</v>
      </c>
      <c r="E42" s="72">
        <f>IFERROR((SEA_H[[#This Row],[H]]+SEA_H[[#This Row],[BB]])/(SEA_H[[#This Row],[BB]]+SEA_H[[#This Row],[AB]]),0)</f>
        <v>0.29255319148936171</v>
      </c>
      <c r="F42" s="73">
        <f>IFERROR(((SEA_H[[#This Row],[H]]-SEA_H[[#This Row],[2B]]-SEA_H[[#This Row],[3B]]-SEA_H[[#This Row],[HR]])+(SEA_H[[#This Row],[2B]]*2)+(SEA_H[[#This Row],[3B]]*3)+(SEA_H[[#This Row],[HR]]*4))/SEA_H[[#This Row],[AB]],0)</f>
        <v>0.36666666666666664</v>
      </c>
      <c r="G42" s="28">
        <v>40</v>
      </c>
      <c r="H42" s="76">
        <v>180</v>
      </c>
      <c r="I42" s="28">
        <v>25</v>
      </c>
      <c r="J42" s="28">
        <v>47</v>
      </c>
      <c r="K42" s="28">
        <v>7</v>
      </c>
      <c r="L42" s="28">
        <v>0</v>
      </c>
      <c r="M42" s="28">
        <v>4</v>
      </c>
      <c r="N42" s="28">
        <v>18</v>
      </c>
      <c r="O42" s="28">
        <v>8</v>
      </c>
      <c r="P42" s="74">
        <v>47</v>
      </c>
      <c r="Q42" s="28">
        <v>8</v>
      </c>
      <c r="R42" s="28">
        <v>2</v>
      </c>
      <c r="S42" s="74">
        <v>11</v>
      </c>
      <c r="T42" s="28">
        <f>IFERROR((SEA_H[[#This Row],[H]]-SEA_H[[#This Row],[2B]]-SEA_H[[#This Row],[3B]]-SEA_H[[#This Row],[HR]])+(SEA_H[[#This Row],[2B]]*2)+(SEA_H[[#This Row],[3B]]*3)+(SEA_H[[#This Row],[HR]]*4),0)</f>
        <v>66</v>
      </c>
      <c r="U42" s="72">
        <f>SEA_H[[#This Row],[OBP]]+SEA_H[[#This Row],[SLG]]</f>
        <v>0.65921985815602835</v>
      </c>
      <c r="V42" s="74">
        <v>2</v>
      </c>
      <c r="W42" s="615">
        <v>8</v>
      </c>
      <c r="Z42" s="651" t="s">
        <v>611</v>
      </c>
      <c r="AA42" s="71" t="s">
        <v>166</v>
      </c>
      <c r="AB42" s="77" t="s">
        <v>616</v>
      </c>
      <c r="AC42" s="130">
        <f>IFERROR(SEA_H201[[#This Row],[H]]/SEA_H201[[#This Row],[AB]],0)</f>
        <v>0.2247191011235955</v>
      </c>
      <c r="AD42" s="72">
        <f>IFERROR((SEA_H201[[#This Row],[H]]+SEA_H201[[#This Row],[BB]])/(SEA_H201[[#This Row],[BB]]+SEA_H201[[#This Row],[AB]]),0)</f>
        <v>0.26203208556149732</v>
      </c>
      <c r="AE42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0.42134831460674155</v>
      </c>
      <c r="AF42" s="28">
        <v>40</v>
      </c>
      <c r="AG42" s="28">
        <v>178</v>
      </c>
      <c r="AH42" s="28">
        <v>22</v>
      </c>
      <c r="AI42" s="28">
        <v>40</v>
      </c>
      <c r="AJ42" s="28">
        <v>11</v>
      </c>
      <c r="AK42" s="28">
        <v>0</v>
      </c>
      <c r="AL42" s="28">
        <v>8</v>
      </c>
      <c r="AM42" s="28">
        <v>15</v>
      </c>
      <c r="AN42" s="28">
        <v>9</v>
      </c>
      <c r="AO42" s="74">
        <v>46</v>
      </c>
      <c r="AP42" s="28">
        <v>4</v>
      </c>
      <c r="AQ42" s="28">
        <v>1</v>
      </c>
      <c r="AR42" s="74">
        <v>4</v>
      </c>
      <c r="AS42" s="28">
        <f>IFERROR((SEA_H201[[#This Row],[H]]-SEA_H201[[#This Row],[2B]]-SEA_H201[[#This Row],[3B]]-SEA_H201[[#This Row],[HR]])+(SEA_H201[[#This Row],[2B]]*2)+(SEA_H201[[#This Row],[3B]]*3)+(SEA_H201[[#This Row],[HR]]*4),0)</f>
        <v>75</v>
      </c>
      <c r="AT42" s="72">
        <f>SEA_H201[[#This Row],[OBP]]+SEA_H201[[#This Row],[SLG]]</f>
        <v>0.68338040016823887</v>
      </c>
      <c r="AU42" s="74">
        <v>2</v>
      </c>
      <c r="AV42" s="615">
        <v>8</v>
      </c>
      <c r="AY42" s="651" t="s">
        <v>611</v>
      </c>
      <c r="AZ42" s="74" t="s">
        <v>240</v>
      </c>
      <c r="BA42" s="71" t="s">
        <v>616</v>
      </c>
      <c r="BB42" s="72">
        <f>IFERROR(SEA_H187[[#This Row],[H]]/SEA_H187[[#This Row],[AB]],0)</f>
        <v>0.26315789473684209</v>
      </c>
      <c r="BC42" s="72">
        <f>IFERROR((SEA_H187[[#This Row],[BB]]+SEA_H187[[#This Row],[H]])/(SEA_H187[[#This Row],[AB]]+SEA_H187[[#This Row],[BB]]),0)</f>
        <v>0.32800000000000001</v>
      </c>
      <c r="BD42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0.53508771929824561</v>
      </c>
      <c r="BE42" s="28">
        <v>30</v>
      </c>
      <c r="BF42" s="28">
        <v>114</v>
      </c>
      <c r="BG42" s="28">
        <v>18</v>
      </c>
      <c r="BH42" s="28">
        <v>30</v>
      </c>
      <c r="BI42" s="28">
        <v>10</v>
      </c>
      <c r="BJ42" s="28">
        <v>0</v>
      </c>
      <c r="BK42" s="28">
        <v>7</v>
      </c>
      <c r="BL42" s="28">
        <v>17</v>
      </c>
      <c r="BM42" s="28">
        <v>11</v>
      </c>
      <c r="BN42" s="74">
        <v>36</v>
      </c>
      <c r="BO42" s="28">
        <v>9</v>
      </c>
      <c r="BP42" s="28">
        <v>0</v>
      </c>
      <c r="BQ42" s="74">
        <v>6</v>
      </c>
      <c r="BR42" s="28">
        <f>(SEA_H187[[#This Row],[H]]-SEA_H187[[#This Row],[2B]]-SEA_H187[[#This Row],[3B]]-SEA_H187[[#This Row],[HR]])+(SEA_H187[[#This Row],[2B]]*2)+(SEA_H187[[#This Row],[3B]]*3)+(SEA_H187[[#This Row],[HR]]*4)</f>
        <v>61</v>
      </c>
      <c r="BS42" s="72">
        <f>IFERROR(SEA_H187[[#This Row],[OBP]]+SEA_H187[[#This Row],[SLG]],0)</f>
        <v>0.86308771929824557</v>
      </c>
      <c r="BT42" s="74">
        <v>2</v>
      </c>
      <c r="BU42" s="615">
        <v>8</v>
      </c>
    </row>
    <row r="43" spans="1:73">
      <c r="A43" s="651" t="s">
        <v>611</v>
      </c>
      <c r="B43" s="71" t="s">
        <v>168</v>
      </c>
      <c r="C43" s="77" t="s">
        <v>613</v>
      </c>
      <c r="D43" s="130">
        <f>IFERROR(SEA_H[[#This Row],[H]]/SEA_H[[#This Row],[AB]],0)</f>
        <v>0.32894736842105265</v>
      </c>
      <c r="E43" s="72">
        <f>IFERROR((SEA_H[[#This Row],[H]]+SEA_H[[#This Row],[BB]])/(SEA_H[[#This Row],[BB]]+SEA_H[[#This Row],[AB]]),0)</f>
        <v>0.40350877192982454</v>
      </c>
      <c r="F43" s="73">
        <f>IFERROR(((SEA_H[[#This Row],[H]]-SEA_H[[#This Row],[2B]]-SEA_H[[#This Row],[3B]]-SEA_H[[#This Row],[HR]])+(SEA_H[[#This Row],[2B]]*2)+(SEA_H[[#This Row],[3B]]*3)+(SEA_H[[#This Row],[HR]]*4))/SEA_H[[#This Row],[AB]],0)</f>
        <v>0.51973684210526316</v>
      </c>
      <c r="G43" s="28">
        <v>40</v>
      </c>
      <c r="H43" s="28">
        <v>152</v>
      </c>
      <c r="I43" s="28">
        <v>23</v>
      </c>
      <c r="J43" s="28">
        <v>50</v>
      </c>
      <c r="K43" s="28">
        <v>11</v>
      </c>
      <c r="L43" s="28">
        <v>0</v>
      </c>
      <c r="M43" s="28">
        <v>6</v>
      </c>
      <c r="N43" s="28">
        <v>32</v>
      </c>
      <c r="O43" s="28">
        <v>19</v>
      </c>
      <c r="P43" s="74">
        <v>33</v>
      </c>
      <c r="Q43" s="28">
        <v>0</v>
      </c>
      <c r="R43" s="28">
        <v>3</v>
      </c>
      <c r="S43" s="74">
        <v>6</v>
      </c>
      <c r="T43" s="28">
        <f>IFERROR((SEA_H[[#This Row],[H]]-SEA_H[[#This Row],[2B]]-SEA_H[[#This Row],[3B]]-SEA_H[[#This Row],[HR]])+(SEA_H[[#This Row],[2B]]*2)+(SEA_H[[#This Row],[3B]]*3)+(SEA_H[[#This Row],[HR]]*4),0)</f>
        <v>79</v>
      </c>
      <c r="U43" s="72">
        <f>SEA_H[[#This Row],[OBP]]+SEA_H[[#This Row],[SLG]]</f>
        <v>0.92324561403508776</v>
      </c>
      <c r="V43" s="74">
        <v>3</v>
      </c>
      <c r="W43" s="615">
        <v>9</v>
      </c>
      <c r="Z43" s="651" t="s">
        <v>611</v>
      </c>
      <c r="AA43" s="71" t="s">
        <v>168</v>
      </c>
      <c r="AB43" s="71" t="s">
        <v>613</v>
      </c>
      <c r="AC43" s="72">
        <f>IFERROR(SEA_H201[[#This Row],[H]]/SEA_H201[[#This Row],[AB]],0)</f>
        <v>0.34193548387096773</v>
      </c>
      <c r="AD43" s="72">
        <f>IFERROR((SEA_H201[[#This Row],[H]]+SEA_H201[[#This Row],[BB]])/(SEA_H201[[#This Row],[BB]]+SEA_H201[[#This Row],[AB]]),0)</f>
        <v>0.42372881355932202</v>
      </c>
      <c r="AE43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0.55483870967741933</v>
      </c>
      <c r="AF43" s="28">
        <v>39</v>
      </c>
      <c r="AG43" s="28">
        <v>155</v>
      </c>
      <c r="AH43" s="28">
        <v>23</v>
      </c>
      <c r="AI43" s="28">
        <v>53</v>
      </c>
      <c r="AJ43" s="28">
        <v>15</v>
      </c>
      <c r="AK43" s="28">
        <v>0</v>
      </c>
      <c r="AL43" s="28">
        <v>6</v>
      </c>
      <c r="AM43" s="28">
        <v>28</v>
      </c>
      <c r="AN43" s="28">
        <v>22</v>
      </c>
      <c r="AO43" s="74">
        <v>25</v>
      </c>
      <c r="AP43" s="28">
        <v>0</v>
      </c>
      <c r="AQ43" s="28">
        <v>0</v>
      </c>
      <c r="AR43" s="74">
        <v>11</v>
      </c>
      <c r="AS43" s="28">
        <f>IFERROR((SEA_H201[[#This Row],[H]]-SEA_H201[[#This Row],[2B]]-SEA_H201[[#This Row],[3B]]-SEA_H201[[#This Row],[HR]])+(SEA_H201[[#This Row],[2B]]*2)+(SEA_H201[[#This Row],[3B]]*3)+(SEA_H201[[#This Row],[HR]]*4),0)</f>
        <v>86</v>
      </c>
      <c r="AT43" s="72">
        <f>SEA_H201[[#This Row],[OBP]]+SEA_H201[[#This Row],[SLG]]</f>
        <v>0.97856752323674134</v>
      </c>
      <c r="AU43" s="74">
        <v>5</v>
      </c>
      <c r="AV43" s="615">
        <v>9</v>
      </c>
      <c r="AY43" s="651" t="s">
        <v>611</v>
      </c>
      <c r="AZ43" s="74" t="s">
        <v>168</v>
      </c>
      <c r="BA43" s="71" t="s">
        <v>615</v>
      </c>
      <c r="BB43" s="72">
        <f>IFERROR(SEA_H187[[#This Row],[H]]/SEA_H187[[#This Row],[AB]],0)</f>
        <v>0.2807017543859649</v>
      </c>
      <c r="BC43" s="72">
        <f>IFERROR((SEA_H187[[#This Row],[BB]]+SEA_H187[[#This Row],[H]])/(SEA_H187[[#This Row],[AB]]+SEA_H187[[#This Row],[BB]]),0)</f>
        <v>0.359375</v>
      </c>
      <c r="BD43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0.42105263157894735</v>
      </c>
      <c r="BE43" s="28">
        <v>31</v>
      </c>
      <c r="BF43" s="28">
        <v>114</v>
      </c>
      <c r="BG43" s="28">
        <v>12</v>
      </c>
      <c r="BH43" s="28">
        <v>32</v>
      </c>
      <c r="BI43" s="28">
        <v>4</v>
      </c>
      <c r="BJ43" s="28">
        <v>0</v>
      </c>
      <c r="BK43" s="28">
        <v>4</v>
      </c>
      <c r="BL43" s="28">
        <v>10</v>
      </c>
      <c r="BM43" s="28">
        <v>14</v>
      </c>
      <c r="BN43" s="74">
        <v>29</v>
      </c>
      <c r="BO43" s="28">
        <v>0</v>
      </c>
      <c r="BP43" s="28">
        <v>0</v>
      </c>
      <c r="BQ43" s="74">
        <v>5</v>
      </c>
      <c r="BR43" s="28">
        <f>(SEA_H187[[#This Row],[H]]-SEA_H187[[#This Row],[2B]]-SEA_H187[[#This Row],[3B]]-SEA_H187[[#This Row],[HR]])+(SEA_H187[[#This Row],[2B]]*2)+(SEA_H187[[#This Row],[3B]]*3)+(SEA_H187[[#This Row],[HR]]*4)</f>
        <v>48</v>
      </c>
      <c r="BS43" s="72">
        <f>IFERROR(SEA_H187[[#This Row],[OBP]]+SEA_H187[[#This Row],[SLG]],0)</f>
        <v>0.78042763157894735</v>
      </c>
      <c r="BT43" s="74">
        <v>0</v>
      </c>
      <c r="BU43" s="615">
        <v>9</v>
      </c>
    </row>
    <row r="44" spans="1:73">
      <c r="A44" s="651" t="s">
        <v>611</v>
      </c>
      <c r="B44" s="71" t="s">
        <v>179</v>
      </c>
      <c r="C44" s="77" t="s">
        <v>624</v>
      </c>
      <c r="D44" s="130">
        <f>IFERROR(SEA_H[[#This Row],[H]]/SEA_H[[#This Row],[AB]],0)</f>
        <v>0.26315789473684209</v>
      </c>
      <c r="E44" s="72">
        <f>IFERROR((SEA_H[[#This Row],[H]]+SEA_H[[#This Row],[BB]])/(SEA_H[[#This Row],[BB]]+SEA_H[[#This Row],[AB]]),0)</f>
        <v>0.3</v>
      </c>
      <c r="F44" s="73">
        <f>IFERROR(((SEA_H[[#This Row],[H]]-SEA_H[[#This Row],[2B]]-SEA_H[[#This Row],[3B]]-SEA_H[[#This Row],[HR]])+(SEA_H[[#This Row],[2B]]*2)+(SEA_H[[#This Row],[3B]]*3)+(SEA_H[[#This Row],[HR]]*4))/SEA_H[[#This Row],[AB]],0)</f>
        <v>0.47368421052631576</v>
      </c>
      <c r="G44" s="28">
        <v>5</v>
      </c>
      <c r="H44" s="28">
        <v>19</v>
      </c>
      <c r="I44" s="28">
        <v>3</v>
      </c>
      <c r="J44" s="28">
        <v>5</v>
      </c>
      <c r="K44" s="28">
        <v>1</v>
      </c>
      <c r="L44" s="28">
        <v>0</v>
      </c>
      <c r="M44" s="28">
        <v>1</v>
      </c>
      <c r="N44" s="28">
        <v>6</v>
      </c>
      <c r="O44" s="28">
        <v>1</v>
      </c>
      <c r="P44" s="74">
        <v>4</v>
      </c>
      <c r="Q44" s="28">
        <v>0</v>
      </c>
      <c r="R44" s="28">
        <v>4</v>
      </c>
      <c r="S44" s="74">
        <v>4</v>
      </c>
      <c r="T44" s="28">
        <f>IFERROR((SEA_H[[#This Row],[H]]-SEA_H[[#This Row],[2B]]-SEA_H[[#This Row],[3B]]-SEA_H[[#This Row],[HR]])+(SEA_H[[#This Row],[2B]]*2)+(SEA_H[[#This Row],[3B]]*3)+(SEA_H[[#This Row],[HR]]*4),0)</f>
        <v>9</v>
      </c>
      <c r="U44" s="72">
        <f>SEA_H[[#This Row],[OBP]]+SEA_H[[#This Row],[SLG]]</f>
        <v>0.77368421052631575</v>
      </c>
      <c r="V44" s="74">
        <v>1</v>
      </c>
      <c r="W44" s="615">
        <v>10</v>
      </c>
      <c r="Z44" s="651" t="s">
        <v>611</v>
      </c>
      <c r="AA44" s="71" t="s">
        <v>179</v>
      </c>
      <c r="AB44" s="71" t="s">
        <v>624</v>
      </c>
      <c r="AC44" s="72">
        <f>IFERROR(SEA_H201[[#This Row],[H]]/SEA_H201[[#This Row],[AB]],0)</f>
        <v>0.4</v>
      </c>
      <c r="AD44" s="72">
        <f>IFERROR((SEA_H201[[#This Row],[H]]+SEA_H201[[#This Row],[BB]])/(SEA_H201[[#This Row],[BB]]+SEA_H201[[#This Row],[AB]]),0)</f>
        <v>0.5</v>
      </c>
      <c r="AE44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0.8</v>
      </c>
      <c r="AF44" s="28">
        <v>3</v>
      </c>
      <c r="AG44" s="28">
        <v>10</v>
      </c>
      <c r="AH44" s="28">
        <v>1</v>
      </c>
      <c r="AI44" s="28">
        <v>4</v>
      </c>
      <c r="AJ44" s="28">
        <v>1</v>
      </c>
      <c r="AK44" s="28">
        <v>0</v>
      </c>
      <c r="AL44" s="28">
        <v>1</v>
      </c>
      <c r="AM44" s="28">
        <v>3</v>
      </c>
      <c r="AN44" s="28">
        <v>2</v>
      </c>
      <c r="AO44" s="74">
        <v>1</v>
      </c>
      <c r="AP44" s="28">
        <v>0</v>
      </c>
      <c r="AQ44" s="28">
        <v>3</v>
      </c>
      <c r="AR44" s="74">
        <v>3</v>
      </c>
      <c r="AS44" s="28">
        <f>IFERROR((SEA_H201[[#This Row],[H]]-SEA_H201[[#This Row],[2B]]-SEA_H201[[#This Row],[3B]]-SEA_H201[[#This Row],[HR]])+(SEA_H201[[#This Row],[2B]]*2)+(SEA_H201[[#This Row],[3B]]*3)+(SEA_H201[[#This Row],[HR]]*4),0)</f>
        <v>8</v>
      </c>
      <c r="AT44" s="72">
        <f>SEA_H201[[#This Row],[OBP]]+SEA_H201[[#This Row],[SLG]]</f>
        <v>1.3</v>
      </c>
      <c r="AU44" s="74">
        <v>1</v>
      </c>
      <c r="AV44" s="615">
        <v>10</v>
      </c>
      <c r="AY44" s="651" t="s">
        <v>611</v>
      </c>
      <c r="AZ44" s="74" t="s">
        <v>308</v>
      </c>
      <c r="BA44" s="71" t="s">
        <v>621</v>
      </c>
      <c r="BB44" s="72">
        <f>IFERROR(SEA_H187[[#This Row],[H]]/SEA_H187[[#This Row],[AB]],0)</f>
        <v>0.25</v>
      </c>
      <c r="BC44" s="72">
        <f>IFERROR((SEA_H187[[#This Row],[BB]]+SEA_H187[[#This Row],[H]])/(SEA_H187[[#This Row],[AB]]+SEA_H187[[#This Row],[BB]]),0)</f>
        <v>0.4</v>
      </c>
      <c r="BD44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0.4</v>
      </c>
      <c r="BE44" s="28">
        <v>9</v>
      </c>
      <c r="BF44" s="28">
        <v>20</v>
      </c>
      <c r="BG44" s="28">
        <v>1</v>
      </c>
      <c r="BH44" s="28">
        <v>5</v>
      </c>
      <c r="BI44" s="28">
        <v>0</v>
      </c>
      <c r="BJ44" s="28">
        <v>0</v>
      </c>
      <c r="BK44" s="28">
        <v>1</v>
      </c>
      <c r="BL44" s="28">
        <v>0</v>
      </c>
      <c r="BM44" s="28">
        <v>5</v>
      </c>
      <c r="BN44" s="74">
        <v>5</v>
      </c>
      <c r="BO44" s="28">
        <v>0</v>
      </c>
      <c r="BP44" s="28">
        <v>1</v>
      </c>
      <c r="BQ44" s="74">
        <v>3</v>
      </c>
      <c r="BR44" s="28">
        <f>(SEA_H187[[#This Row],[H]]-SEA_H187[[#This Row],[2B]]-SEA_H187[[#This Row],[3B]]-SEA_H187[[#This Row],[HR]])+(SEA_H187[[#This Row],[2B]]*2)+(SEA_H187[[#This Row],[3B]]*3)+(SEA_H187[[#This Row],[HR]]*4)</f>
        <v>8</v>
      </c>
      <c r="BS44" s="72">
        <f>IFERROR(SEA_H187[[#This Row],[OBP]]+SEA_H187[[#This Row],[SLG]],0)</f>
        <v>0.8</v>
      </c>
      <c r="BT44" s="74">
        <v>0</v>
      </c>
      <c r="BU44" s="615">
        <v>10</v>
      </c>
    </row>
    <row r="45" spans="1:73">
      <c r="A45" s="651" t="s">
        <v>611</v>
      </c>
      <c r="B45" s="71" t="s">
        <v>187</v>
      </c>
      <c r="C45" s="77" t="s">
        <v>618</v>
      </c>
      <c r="D45" s="130">
        <f>IFERROR(SEA_H[[#This Row],[H]]/SEA_H[[#This Row],[AB]],0)</f>
        <v>0.375</v>
      </c>
      <c r="E45" s="72">
        <f>IFERROR((SEA_H[[#This Row],[H]]+SEA_H[[#This Row],[BB]])/(SEA_H[[#This Row],[BB]]+SEA_H[[#This Row],[AB]]),0)</f>
        <v>0.4</v>
      </c>
      <c r="F45" s="73">
        <f>IFERROR(((SEA_H[[#This Row],[H]]-SEA_H[[#This Row],[2B]]-SEA_H[[#This Row],[3B]]-SEA_H[[#This Row],[HR]])+(SEA_H[[#This Row],[2B]]*2)+(SEA_H[[#This Row],[3B]]*3)+(SEA_H[[#This Row],[HR]]*4))/SEA_H[[#This Row],[AB]],0)</f>
        <v>0.625</v>
      </c>
      <c r="G45" s="28">
        <v>6</v>
      </c>
      <c r="H45" s="28">
        <v>24</v>
      </c>
      <c r="I45" s="28">
        <v>4</v>
      </c>
      <c r="J45" s="28">
        <v>9</v>
      </c>
      <c r="K45" s="28">
        <v>0</v>
      </c>
      <c r="L45" s="28">
        <v>0</v>
      </c>
      <c r="M45" s="28">
        <v>2</v>
      </c>
      <c r="N45" s="28">
        <v>6</v>
      </c>
      <c r="O45" s="28">
        <v>1</v>
      </c>
      <c r="P45" s="74">
        <v>3</v>
      </c>
      <c r="Q45" s="28">
        <v>0</v>
      </c>
      <c r="R45" s="28">
        <v>3</v>
      </c>
      <c r="S45" s="74">
        <v>3</v>
      </c>
      <c r="T45" s="28">
        <f>IFERROR((SEA_H[[#This Row],[H]]-SEA_H[[#This Row],[2B]]-SEA_H[[#This Row],[3B]]-SEA_H[[#This Row],[HR]])+(SEA_H[[#This Row],[2B]]*2)+(SEA_H[[#This Row],[3B]]*3)+(SEA_H[[#This Row],[HR]]*4),0)</f>
        <v>15</v>
      </c>
      <c r="U45" s="72">
        <f>SEA_H[[#This Row],[OBP]]+SEA_H[[#This Row],[SLG]]</f>
        <v>1.0249999999999999</v>
      </c>
      <c r="V45" s="74">
        <v>1</v>
      </c>
      <c r="W45" s="615">
        <v>11</v>
      </c>
      <c r="Z45" s="651" t="s">
        <v>611</v>
      </c>
      <c r="AA45" s="71" t="s">
        <v>187</v>
      </c>
      <c r="AB45" s="71" t="s">
        <v>618</v>
      </c>
      <c r="AC45" s="72">
        <f>IFERROR(SEA_H201[[#This Row],[H]]/SEA_H201[[#This Row],[AB]],0)</f>
        <v>0.17857142857142858</v>
      </c>
      <c r="AD45" s="72">
        <f>IFERROR((SEA_H201[[#This Row],[H]]+SEA_H201[[#This Row],[BB]])/(SEA_H201[[#This Row],[BB]]+SEA_H201[[#This Row],[AB]]),0)</f>
        <v>0.22033898305084745</v>
      </c>
      <c r="AE45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0.29464285714285715</v>
      </c>
      <c r="AF45" s="28">
        <v>27</v>
      </c>
      <c r="AG45" s="28">
        <v>112</v>
      </c>
      <c r="AH45" s="28">
        <v>6</v>
      </c>
      <c r="AI45" s="28">
        <v>20</v>
      </c>
      <c r="AJ45" s="28">
        <v>4</v>
      </c>
      <c r="AK45" s="28">
        <v>0</v>
      </c>
      <c r="AL45" s="28">
        <v>3</v>
      </c>
      <c r="AM45" s="28">
        <v>8</v>
      </c>
      <c r="AN45" s="28">
        <v>6</v>
      </c>
      <c r="AO45" s="74">
        <v>32</v>
      </c>
      <c r="AP45" s="28">
        <v>0</v>
      </c>
      <c r="AQ45" s="28">
        <v>1</v>
      </c>
      <c r="AR45" s="74">
        <v>10</v>
      </c>
      <c r="AS45" s="28">
        <f>IFERROR((SEA_H201[[#This Row],[H]]-SEA_H201[[#This Row],[2B]]-SEA_H201[[#This Row],[3B]]-SEA_H201[[#This Row],[HR]])+(SEA_H201[[#This Row],[2B]]*2)+(SEA_H201[[#This Row],[3B]]*3)+(SEA_H201[[#This Row],[HR]]*4),0)</f>
        <v>33</v>
      </c>
      <c r="AT45" s="72">
        <f>SEA_H201[[#This Row],[OBP]]+SEA_H201[[#This Row],[SLG]]</f>
        <v>0.51498184019370463</v>
      </c>
      <c r="AU45" s="74">
        <v>1</v>
      </c>
      <c r="AV45" s="615">
        <v>11</v>
      </c>
      <c r="AY45" s="651" t="s">
        <v>611</v>
      </c>
      <c r="AZ45" s="74" t="s">
        <v>187</v>
      </c>
      <c r="BA45" s="71" t="s">
        <v>629</v>
      </c>
      <c r="BB45" s="72">
        <f>IFERROR(SEA_H187[[#This Row],[H]]/SEA_H187[[#This Row],[AB]],0)</f>
        <v>0.125</v>
      </c>
      <c r="BC45" s="72">
        <f>IFERROR((SEA_H187[[#This Row],[BB]]+SEA_H187[[#This Row],[H]])/(SEA_H187[[#This Row],[AB]]+SEA_H187[[#This Row],[BB]]),0)</f>
        <v>0.22222222222222221</v>
      </c>
      <c r="BD45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0.125</v>
      </c>
      <c r="BE45" s="28">
        <v>2</v>
      </c>
      <c r="BF45" s="28">
        <v>8</v>
      </c>
      <c r="BG45" s="28">
        <v>1</v>
      </c>
      <c r="BH45" s="28">
        <v>1</v>
      </c>
      <c r="BI45" s="28">
        <v>0</v>
      </c>
      <c r="BJ45" s="28">
        <v>0</v>
      </c>
      <c r="BK45" s="28">
        <v>0</v>
      </c>
      <c r="BL45" s="28">
        <v>0</v>
      </c>
      <c r="BM45" s="28">
        <v>1</v>
      </c>
      <c r="BN45" s="74">
        <v>1</v>
      </c>
      <c r="BO45" s="28">
        <v>0</v>
      </c>
      <c r="BP45" s="28">
        <v>1</v>
      </c>
      <c r="BQ45" s="74">
        <v>1</v>
      </c>
      <c r="BR45" s="28">
        <f>(SEA_H187[[#This Row],[H]]-SEA_H187[[#This Row],[2B]]-SEA_H187[[#This Row],[3B]]-SEA_H187[[#This Row],[HR]])+(SEA_H187[[#This Row],[2B]]*2)+(SEA_H187[[#This Row],[3B]]*3)+(SEA_H187[[#This Row],[HR]]*4)</f>
        <v>1</v>
      </c>
      <c r="BS45" s="72">
        <f>IFERROR(SEA_H187[[#This Row],[OBP]]+SEA_H187[[#This Row],[SLG]],0)</f>
        <v>0.34722222222222221</v>
      </c>
      <c r="BT45" s="74">
        <v>0</v>
      </c>
      <c r="BU45" s="615">
        <v>11</v>
      </c>
    </row>
    <row r="46" spans="1:73">
      <c r="A46" s="651" t="s">
        <v>611</v>
      </c>
      <c r="B46" s="71" t="s">
        <v>187</v>
      </c>
      <c r="C46" s="77" t="s">
        <v>625</v>
      </c>
      <c r="D46" s="130">
        <f>IFERROR(SEA_H[[#This Row],[H]]/SEA_H[[#This Row],[AB]],0)</f>
        <v>0.23076923076923078</v>
      </c>
      <c r="E46" s="72">
        <f>IFERROR((SEA_H[[#This Row],[H]]+SEA_H[[#This Row],[BB]])/(SEA_H[[#This Row],[BB]]+SEA_H[[#This Row],[AB]]),0)</f>
        <v>0.375</v>
      </c>
      <c r="F46" s="73">
        <f>IFERROR(((SEA_H[[#This Row],[H]]-SEA_H[[#This Row],[2B]]-SEA_H[[#This Row],[3B]]-SEA_H[[#This Row],[HR]])+(SEA_H[[#This Row],[2B]]*2)+(SEA_H[[#This Row],[3B]]*3)+(SEA_H[[#This Row],[HR]]*4))/SEA_H[[#This Row],[AB]],0)</f>
        <v>0.46153846153846156</v>
      </c>
      <c r="G46" s="28">
        <v>4</v>
      </c>
      <c r="H46" s="28">
        <v>13</v>
      </c>
      <c r="I46" s="28">
        <v>2</v>
      </c>
      <c r="J46" s="28">
        <v>3</v>
      </c>
      <c r="K46" s="28">
        <v>3</v>
      </c>
      <c r="L46" s="28">
        <v>0</v>
      </c>
      <c r="M46" s="28">
        <v>0</v>
      </c>
      <c r="N46" s="28">
        <v>0</v>
      </c>
      <c r="O46" s="28">
        <v>3</v>
      </c>
      <c r="P46" s="74">
        <v>7</v>
      </c>
      <c r="Q46" s="28">
        <v>0</v>
      </c>
      <c r="R46" s="28">
        <v>2</v>
      </c>
      <c r="S46" s="74">
        <v>2</v>
      </c>
      <c r="T46" s="28">
        <f>IFERROR((SEA_H[[#This Row],[H]]-SEA_H[[#This Row],[2B]]-SEA_H[[#This Row],[3B]]-SEA_H[[#This Row],[HR]])+(SEA_H[[#This Row],[2B]]*2)+(SEA_H[[#This Row],[3B]]*3)+(SEA_H[[#This Row],[HR]]*4),0)</f>
        <v>6</v>
      </c>
      <c r="U46" s="72">
        <f>SEA_H[[#This Row],[OBP]]+SEA_H[[#This Row],[SLG]]</f>
        <v>0.83653846153846156</v>
      </c>
      <c r="V46" s="74">
        <v>0</v>
      </c>
      <c r="W46" s="615">
        <v>12</v>
      </c>
      <c r="Z46" s="651" t="s">
        <v>611</v>
      </c>
      <c r="AA46" s="71" t="s">
        <v>187</v>
      </c>
      <c r="AB46" s="71" t="s">
        <v>625</v>
      </c>
      <c r="AC46" s="72">
        <f>IFERROR(SEA_H201[[#This Row],[H]]/SEA_H201[[#This Row],[AB]],0)</f>
        <v>0</v>
      </c>
      <c r="AD46" s="72">
        <f>IFERROR((SEA_H201[[#This Row],[H]]+SEA_H201[[#This Row],[BB]])/(SEA_H201[[#This Row],[BB]]+SEA_H201[[#This Row],[AB]]),0)</f>
        <v>0.25</v>
      </c>
      <c r="AE46" s="73">
        <f>IFERROR(((SEA_H201[[#This Row],[H]]-SEA_H201[[#This Row],[2B]]-SEA_H201[[#This Row],[3B]]-SEA_H201[[#This Row],[HR]])+(SEA_H201[[#This Row],[2B]]*2)+(SEA_H201[[#This Row],[3B]]*3)+(SEA_H201[[#This Row],[HR]]*4))/SEA_H201[[#This Row],[AB]],0)</f>
        <v>0</v>
      </c>
      <c r="AF46" s="28">
        <v>2</v>
      </c>
      <c r="AG46" s="28">
        <v>3</v>
      </c>
      <c r="AH46" s="28">
        <v>1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1</v>
      </c>
      <c r="AO46" s="74">
        <v>2</v>
      </c>
      <c r="AP46" s="28">
        <v>0</v>
      </c>
      <c r="AQ46" s="28">
        <v>0</v>
      </c>
      <c r="AR46" s="74">
        <v>0</v>
      </c>
      <c r="AS46" s="28">
        <f>IFERROR((SEA_H201[[#This Row],[H]]-SEA_H201[[#This Row],[2B]]-SEA_H201[[#This Row],[3B]]-SEA_H201[[#This Row],[HR]])+(SEA_H201[[#This Row],[2B]]*2)+(SEA_H201[[#This Row],[3B]]*3)+(SEA_H201[[#This Row],[HR]]*4),0)</f>
        <v>0</v>
      </c>
      <c r="AT46" s="72">
        <f>SEA_H201[[#This Row],[OBP]]+SEA_H201[[#This Row],[SLG]]</f>
        <v>0.25</v>
      </c>
      <c r="AU46" s="74">
        <v>0</v>
      </c>
      <c r="AV46" s="615">
        <v>12</v>
      </c>
      <c r="AY46" s="651" t="s">
        <v>611</v>
      </c>
      <c r="AZ46" s="74" t="s">
        <v>192</v>
      </c>
      <c r="BA46" s="71" t="s">
        <v>625</v>
      </c>
      <c r="BB46" s="72">
        <f>IFERROR(SEA_H187[[#This Row],[H]]/SEA_H187[[#This Row],[AB]],0)</f>
        <v>0.1111111111111111</v>
      </c>
      <c r="BC46" s="72">
        <f>IFERROR((SEA_H187[[#This Row],[BB]]+SEA_H187[[#This Row],[H]])/(SEA_H187[[#This Row],[AB]]+SEA_H187[[#This Row],[BB]]),0)</f>
        <v>0.17241379310344829</v>
      </c>
      <c r="BD46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0.1111111111111111</v>
      </c>
      <c r="BE46" s="28">
        <v>9</v>
      </c>
      <c r="BF46" s="28">
        <v>27</v>
      </c>
      <c r="BG46" s="28">
        <v>1</v>
      </c>
      <c r="BH46" s="28">
        <v>3</v>
      </c>
      <c r="BI46" s="28">
        <v>0</v>
      </c>
      <c r="BJ46" s="28">
        <v>0</v>
      </c>
      <c r="BK46" s="28">
        <v>0</v>
      </c>
      <c r="BL46" s="28">
        <v>4</v>
      </c>
      <c r="BM46" s="28">
        <v>2</v>
      </c>
      <c r="BN46" s="74">
        <v>13</v>
      </c>
      <c r="BO46" s="28">
        <v>0</v>
      </c>
      <c r="BP46" s="28">
        <v>0</v>
      </c>
      <c r="BQ46" s="74">
        <v>1</v>
      </c>
      <c r="BR46" s="28">
        <f>(SEA_H187[[#This Row],[H]]-SEA_H187[[#This Row],[2B]]-SEA_H187[[#This Row],[3B]]-SEA_H187[[#This Row],[HR]])+(SEA_H187[[#This Row],[2B]]*2)+(SEA_H187[[#This Row],[3B]]*3)+(SEA_H187[[#This Row],[HR]]*4)</f>
        <v>3</v>
      </c>
      <c r="BS46" s="72">
        <f>IFERROR(SEA_H187[[#This Row],[OBP]]+SEA_H187[[#This Row],[SLG]],0)</f>
        <v>0.28352490421455939</v>
      </c>
      <c r="BT46" s="74">
        <v>0</v>
      </c>
      <c r="BU46" s="615">
        <v>12</v>
      </c>
    </row>
    <row r="47" spans="1:73">
      <c r="A47" s="651" t="s">
        <v>611</v>
      </c>
      <c r="B47" s="71" t="s">
        <v>186</v>
      </c>
      <c r="C47" s="77" t="s">
        <v>626</v>
      </c>
      <c r="D47" s="130">
        <f>IFERROR(SEA_H[[#This Row],[H]]/SEA_H[[#This Row],[AB]],0)</f>
        <v>0.15384615384615385</v>
      </c>
      <c r="E47" s="72">
        <f>IFERROR((SEA_H[[#This Row],[H]]+SEA_H[[#This Row],[BB]])/(SEA_H[[#This Row],[BB]]+SEA_H[[#This Row],[AB]]),0)</f>
        <v>0.15384615384615385</v>
      </c>
      <c r="F47" s="73">
        <f>IFERROR(((SEA_H[[#This Row],[H]]-SEA_H[[#This Row],[2B]]-SEA_H[[#This Row],[3B]]-SEA_H[[#This Row],[HR]])+(SEA_H[[#This Row],[2B]]*2)+(SEA_H[[#This Row],[3B]]*3)+(SEA_H[[#This Row],[HR]]*4))/SEA_H[[#This Row],[AB]],0)</f>
        <v>0.15384615384615385</v>
      </c>
      <c r="G47" s="28">
        <v>6</v>
      </c>
      <c r="H47" s="28">
        <v>13</v>
      </c>
      <c r="I47" s="28">
        <v>1</v>
      </c>
      <c r="J47" s="28">
        <v>2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74">
        <v>2</v>
      </c>
      <c r="Q47" s="28">
        <v>0</v>
      </c>
      <c r="R47" s="28">
        <v>0</v>
      </c>
      <c r="S47" s="74">
        <v>1</v>
      </c>
      <c r="T47" s="28">
        <f>IFERROR((SEA_H[[#This Row],[H]]-SEA_H[[#This Row],[2B]]-SEA_H[[#This Row],[3B]]-SEA_H[[#This Row],[HR]])+(SEA_H[[#This Row],[2B]]*2)+(SEA_H[[#This Row],[3B]]*3)+(SEA_H[[#This Row],[HR]]*4),0)</f>
        <v>2</v>
      </c>
      <c r="U47" s="72">
        <f>SEA_H[[#This Row],[OBP]]+SEA_H[[#This Row],[SLG]]</f>
        <v>0.30769230769230771</v>
      </c>
      <c r="V47" s="74">
        <v>0</v>
      </c>
      <c r="W47" s="615">
        <v>13</v>
      </c>
      <c r="Z47" s="651" t="s">
        <v>611</v>
      </c>
      <c r="AA47" s="71" t="s">
        <v>186</v>
      </c>
      <c r="AB47" s="71" t="s">
        <v>626</v>
      </c>
      <c r="AC47" s="72">
        <f>IFERROR(SEA_H201[[#This Row],[H]]/SEA_H201[[#This Row],[AB]],0)</f>
        <v>0.16666666666666666</v>
      </c>
      <c r="AD47" s="72">
        <f>IFERROR((SEA_H201[[#This Row],[H]]+SEA_H201[[#This Row],[BB]])/(SEA_H201[[#This Row],[BB]]+SEA_H201[[#This Row],[AB]]),0)</f>
        <v>0.2857142857142857</v>
      </c>
      <c r="AE47" s="73">
        <f>IFERROR(((SEA_H201[[#This Row],[H]]-SEA_H201[[#This Row],[2B]]-SEA_H201[[#This Row],[3B]]-SEA_H201[[#This Row],[HR]])+(SEA_H201[[#This Row],[2B]]*2)+(SEA_H201[[#This Row],[3B]]*3)+(SEA_H201[[#This Row],[HR]]*4))/SEA_H201[[#This Row],[AB]],0)</f>
        <v>0.16666666666666666</v>
      </c>
      <c r="AF47" s="28">
        <v>2</v>
      </c>
      <c r="AG47" s="28">
        <v>6</v>
      </c>
      <c r="AH47" s="28">
        <v>0</v>
      </c>
      <c r="AI47" s="28">
        <v>1</v>
      </c>
      <c r="AJ47" s="28">
        <v>0</v>
      </c>
      <c r="AK47" s="28">
        <v>0</v>
      </c>
      <c r="AL47" s="28">
        <v>0</v>
      </c>
      <c r="AM47" s="28">
        <v>0</v>
      </c>
      <c r="AN47" s="28">
        <v>1</v>
      </c>
      <c r="AO47" s="74">
        <v>2</v>
      </c>
      <c r="AP47" s="28">
        <v>0</v>
      </c>
      <c r="AQ47" s="28">
        <v>0</v>
      </c>
      <c r="AR47" s="74">
        <v>1</v>
      </c>
      <c r="AS47" s="28">
        <f>IFERROR((SEA_H201[[#This Row],[H]]-SEA_H201[[#This Row],[2B]]-SEA_H201[[#This Row],[3B]]-SEA_H201[[#This Row],[HR]])+(SEA_H201[[#This Row],[2B]]*2)+(SEA_H201[[#This Row],[3B]]*3)+(SEA_H201[[#This Row],[HR]]*4),0)</f>
        <v>1</v>
      </c>
      <c r="AT47" s="72">
        <f>SEA_H201[[#This Row],[OBP]]+SEA_H201[[#This Row],[SLG]]</f>
        <v>0.45238095238095233</v>
      </c>
      <c r="AU47" s="74">
        <v>0</v>
      </c>
      <c r="AV47" s="615">
        <v>13</v>
      </c>
      <c r="AY47" s="651" t="s">
        <v>611</v>
      </c>
      <c r="AZ47" s="74" t="s">
        <v>184</v>
      </c>
      <c r="BA47" s="71" t="s">
        <v>626</v>
      </c>
      <c r="BB47" s="72">
        <f>IFERROR(SEA_H187[[#This Row],[H]]/SEA_H187[[#This Row],[AB]],0)</f>
        <v>0.10714285714285714</v>
      </c>
      <c r="BC47" s="72">
        <f>IFERROR((SEA_H187[[#This Row],[BB]]+SEA_H187[[#This Row],[H]])/(SEA_H187[[#This Row],[AB]]+SEA_H187[[#This Row],[BB]]),0)</f>
        <v>0.19354838709677419</v>
      </c>
      <c r="BD47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0.10714285714285714</v>
      </c>
      <c r="BE47" s="28">
        <v>8</v>
      </c>
      <c r="BF47" s="28">
        <v>28</v>
      </c>
      <c r="BG47" s="28">
        <v>2</v>
      </c>
      <c r="BH47" s="28">
        <v>3</v>
      </c>
      <c r="BI47" s="28">
        <v>0</v>
      </c>
      <c r="BJ47" s="28">
        <v>0</v>
      </c>
      <c r="BK47" s="28">
        <v>0</v>
      </c>
      <c r="BL47" s="28">
        <v>0</v>
      </c>
      <c r="BM47" s="28">
        <v>3</v>
      </c>
      <c r="BN47" s="74">
        <v>10</v>
      </c>
      <c r="BO47" s="28">
        <v>1</v>
      </c>
      <c r="BP47" s="28">
        <v>0</v>
      </c>
      <c r="BQ47" s="74">
        <v>2</v>
      </c>
      <c r="BR47" s="28">
        <f>(SEA_H187[[#This Row],[H]]-SEA_H187[[#This Row],[2B]]-SEA_H187[[#This Row],[3B]]-SEA_H187[[#This Row],[HR]])+(SEA_H187[[#This Row],[2B]]*2)+(SEA_H187[[#This Row],[3B]]*3)+(SEA_H187[[#This Row],[HR]]*4)</f>
        <v>3</v>
      </c>
      <c r="BS47" s="72">
        <f>IFERROR(SEA_H187[[#This Row],[OBP]]+SEA_H187[[#This Row],[SLG]],0)</f>
        <v>0.30069124423963134</v>
      </c>
      <c r="BT47" s="74">
        <v>0</v>
      </c>
      <c r="BU47" s="615">
        <v>13</v>
      </c>
    </row>
    <row r="48" spans="1:73" ht="17" thickBot="1">
      <c r="A48" s="651" t="s">
        <v>611</v>
      </c>
      <c r="B48" s="71" t="s">
        <v>184</v>
      </c>
      <c r="C48" s="77" t="s">
        <v>627</v>
      </c>
      <c r="D48" s="710">
        <f>IFERROR(SEA_H[[#This Row],[H]]/SEA_H[[#This Row],[AB]],0)</f>
        <v>0</v>
      </c>
      <c r="E48" s="72">
        <f>IFERROR((SEA_H[[#This Row],[H]]+SEA_H[[#This Row],[BB]])/(SEA_H[[#This Row],[BB]]+SEA_H[[#This Row],[AB]]),0)</f>
        <v>0</v>
      </c>
      <c r="F48" s="73">
        <f>IFERROR(((SEA_H[[#This Row],[H]]-SEA_H[[#This Row],[2B]]-SEA_H[[#This Row],[3B]]-SEA_H[[#This Row],[HR]])+(SEA_H[[#This Row],[2B]]*2)+(SEA_H[[#This Row],[3B]]*3)+(SEA_H[[#This Row],[HR]]*4))/SEA_H[[#This Row],[AB]],0)</f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74">
        <v>0</v>
      </c>
      <c r="Q48" s="28">
        <v>0</v>
      </c>
      <c r="R48" s="28">
        <v>0</v>
      </c>
      <c r="S48" s="74">
        <v>0</v>
      </c>
      <c r="T48" s="28">
        <f>IFERROR((SEA_H[[#This Row],[H]]-SEA_H[[#This Row],[2B]]-SEA_H[[#This Row],[3B]]-SEA_H[[#This Row],[HR]])+(SEA_H[[#This Row],[2B]]*2)+(SEA_H[[#This Row],[3B]]*3)+(SEA_H[[#This Row],[HR]]*4),0)</f>
        <v>0</v>
      </c>
      <c r="U48" s="72">
        <f>SEA_H[[#This Row],[OBP]]+SEA_H[[#This Row],[SLG]]</f>
        <v>0</v>
      </c>
      <c r="V48" s="74">
        <v>0</v>
      </c>
      <c r="W48" s="615">
        <v>14</v>
      </c>
      <c r="Z48" s="651" t="s">
        <v>611</v>
      </c>
      <c r="AA48" s="71" t="s">
        <v>184</v>
      </c>
      <c r="AB48" s="71" t="s">
        <v>628</v>
      </c>
      <c r="AC48" s="72">
        <f>IFERROR(SEA_H201[[#This Row],[H]]/SEA_H201[[#This Row],[AB]],0)</f>
        <v>0</v>
      </c>
      <c r="AD48" s="72">
        <f>IFERROR((SEA_H201[[#This Row],[H]]+SEA_H201[[#This Row],[BB]])/(SEA_H201[[#This Row],[BB]]+SEA_H201[[#This Row],[AB]]),0)</f>
        <v>0</v>
      </c>
      <c r="AE48" s="73">
        <f>IFERROR(((SEA_H201[[#This Row],[H]]-SEA_H201[[#This Row],[2B]]-SEA_H201[[#This Row],[3B]]-SEA_H201[[#This Row],[HR]])+(SEA_H201[[#This Row],[2B]]*2)+(SEA_H201[[#This Row],[3B]]*3)+(SEA_H201[[#This Row],[HR]]*4))/SEA_H201[[#This Row],[AB]],0)</f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74">
        <v>0</v>
      </c>
      <c r="AP48" s="28">
        <v>0</v>
      </c>
      <c r="AQ48" s="28">
        <v>0</v>
      </c>
      <c r="AR48" s="74">
        <v>0</v>
      </c>
      <c r="AS48" s="28">
        <f>IFERROR((SEA_H201[[#This Row],[H]]-SEA_H201[[#This Row],[2B]]-SEA_H201[[#This Row],[3B]]-SEA_H201[[#This Row],[HR]])+(SEA_H201[[#This Row],[2B]]*2)+(SEA_H201[[#This Row],[3B]]*3)+(SEA_H201[[#This Row],[HR]]*4),0)</f>
        <v>0</v>
      </c>
      <c r="AT48" s="72">
        <f>SEA_H201[[#This Row],[OBP]]+SEA_H201[[#This Row],[SLG]]</f>
        <v>0</v>
      </c>
      <c r="AU48" s="74">
        <v>0</v>
      </c>
      <c r="AV48" s="615">
        <v>14</v>
      </c>
      <c r="AY48" s="651" t="s">
        <v>611</v>
      </c>
      <c r="AZ48" s="74" t="s">
        <v>186</v>
      </c>
      <c r="BA48" s="71" t="s">
        <v>619</v>
      </c>
      <c r="BB48" s="72">
        <f>IFERROR(SEA_H187[[#This Row],[H]]/SEA_H187[[#This Row],[AB]],0)</f>
        <v>0.30097087378640774</v>
      </c>
      <c r="BC48" s="72">
        <f>IFERROR((SEA_H187[[#This Row],[BB]]+SEA_H187[[#This Row],[H]])/(SEA_H187[[#This Row],[AB]]+SEA_H187[[#This Row],[BB]]),0)</f>
        <v>0.36283185840707965</v>
      </c>
      <c r="BD48" s="73">
        <f>IFERROR(((SEA_H187[[#This Row],[H]]-SEA_H187[[#This Row],[2B]]-SEA_H187[[#This Row],[3B]]-SEA_H187[[#This Row],[HR]])+(SEA_H187[[#This Row],[2B]]*2)+(SEA_H187[[#This Row],[3B]]*3)+(SEA_H187[[#This Row],[HR]]*4))/SEA_H187[[#This Row],[AB]],0)</f>
        <v>0.47572815533980584</v>
      </c>
      <c r="BE48" s="28">
        <v>25</v>
      </c>
      <c r="BF48" s="28">
        <v>103</v>
      </c>
      <c r="BG48" s="28">
        <v>13</v>
      </c>
      <c r="BH48" s="28">
        <v>31</v>
      </c>
      <c r="BI48" s="28">
        <v>6</v>
      </c>
      <c r="BJ48" s="28">
        <v>0</v>
      </c>
      <c r="BK48" s="28">
        <v>4</v>
      </c>
      <c r="BL48" s="28">
        <v>14</v>
      </c>
      <c r="BM48" s="28">
        <v>10</v>
      </c>
      <c r="BN48" s="74">
        <v>36</v>
      </c>
      <c r="BO48" s="28">
        <v>0</v>
      </c>
      <c r="BP48" s="28">
        <v>6</v>
      </c>
      <c r="BQ48" s="74">
        <v>9</v>
      </c>
      <c r="BR48" s="28">
        <f>(SEA_H187[[#This Row],[H]]-SEA_H187[[#This Row],[2B]]-SEA_H187[[#This Row],[3B]]-SEA_H187[[#This Row],[HR]])+(SEA_H187[[#This Row],[2B]]*2)+(SEA_H187[[#This Row],[3B]]*3)+(SEA_H187[[#This Row],[HR]]*4)</f>
        <v>49</v>
      </c>
      <c r="BS48" s="72">
        <f>IFERROR(SEA_H187[[#This Row],[OBP]]+SEA_H187[[#This Row],[SLG]],0)</f>
        <v>0.83856001374688549</v>
      </c>
      <c r="BT48" s="74">
        <v>3</v>
      </c>
      <c r="BU48" s="615">
        <v>14</v>
      </c>
    </row>
    <row r="49" spans="1:73" ht="17" thickBot="1">
      <c r="A49" s="789"/>
      <c r="B49" s="790"/>
      <c r="C49" s="791" t="s">
        <v>195</v>
      </c>
      <c r="D49" s="792">
        <f>J49/H49</f>
        <v>0.26824034334763946</v>
      </c>
      <c r="E49" s="792">
        <f>(J49+O49)/(H49+O49)</f>
        <v>0.33137254901960783</v>
      </c>
      <c r="F49" s="793">
        <f>((J49-K49-L49-M49)+(K49*2)+(L49*3)+(M49*4))/H49</f>
        <v>0.48855507868383402</v>
      </c>
      <c r="G49" s="794"/>
      <c r="H49" s="794">
        <f>SUBTOTAL(109,SEA_H[AB])</f>
        <v>1398</v>
      </c>
      <c r="I49" s="794">
        <f>SUBTOTAL(109,SEA_H[R])</f>
        <v>206</v>
      </c>
      <c r="J49" s="794">
        <f>SUBTOTAL(109,SEA_H[H])</f>
        <v>375</v>
      </c>
      <c r="K49" s="794">
        <f>SUBTOTAL(109,SEA_H[2B])</f>
        <v>83</v>
      </c>
      <c r="L49" s="794">
        <f>SUBTOTAL(109,SEA_H[3B])</f>
        <v>3</v>
      </c>
      <c r="M49" s="795">
        <f>SUBTOTAL(109,SEA_H[HR])</f>
        <v>73</v>
      </c>
      <c r="N49" s="794">
        <f>SUBTOTAL(109,SEA_H[RBI])</f>
        <v>206</v>
      </c>
      <c r="O49" s="794">
        <f>SUBTOTAL(109,SEA_H[BB])</f>
        <v>132</v>
      </c>
      <c r="P49" s="796">
        <f>SUBTOTAL(109,SEA_H[K])</f>
        <v>345</v>
      </c>
      <c r="Q49" s="794">
        <f>SUBTOTAL(109,SEA_H[SB])</f>
        <v>8</v>
      </c>
      <c r="R49" s="794"/>
      <c r="S49" s="796"/>
      <c r="T49" s="794">
        <f>SUBTOTAL(109,SEA_H[TB])</f>
        <v>683</v>
      </c>
      <c r="U49" s="792">
        <f>E49+F49</f>
        <v>0.81992762770344185</v>
      </c>
      <c r="V49" s="796">
        <f>SUBTOTAL(109,SEA_H[*])</f>
        <v>24</v>
      </c>
      <c r="W49" s="797"/>
      <c r="Z49" s="789"/>
      <c r="AA49" s="790"/>
      <c r="AB49" s="791" t="s">
        <v>195</v>
      </c>
      <c r="AC49" s="792">
        <f>AI49/AG49</f>
        <v>0.24929775280898878</v>
      </c>
      <c r="AD49" s="792">
        <f>(AI49+AN49)/(AG49+AN49)</f>
        <v>0.32256020278833969</v>
      </c>
      <c r="AE49" s="793">
        <f>((AI49-AJ49-AK49-AL49)+(AJ49*2)+(AK49*3)+(AL49*4))/AG49</f>
        <v>0.43890449438202245</v>
      </c>
      <c r="AF49" s="794"/>
      <c r="AG49" s="794">
        <f>SUBTOTAL(109,SEA_H201[AB])</f>
        <v>1424</v>
      </c>
      <c r="AH49" s="794">
        <f>SUBTOTAL(109,SEA_H201[R])</f>
        <v>178</v>
      </c>
      <c r="AI49" s="794">
        <f>SUBTOTAL(109,SEA_H201[H])</f>
        <v>355</v>
      </c>
      <c r="AJ49" s="794">
        <f>SUBTOTAL(109,SEA_H201[2B])</f>
        <v>86</v>
      </c>
      <c r="AK49" s="794">
        <f>SUBTOTAL(109,SEA_H201[3B])</f>
        <v>2</v>
      </c>
      <c r="AL49" s="794">
        <f>SUBTOTAL(109,SEA_H201[HR])</f>
        <v>60</v>
      </c>
      <c r="AM49" s="794">
        <f>SUBTOTAL(109,SEA_H201[RBI])</f>
        <v>176</v>
      </c>
      <c r="AN49" s="794">
        <f>SUBTOTAL(109,SEA_H201[BB])</f>
        <v>154</v>
      </c>
      <c r="AO49" s="796">
        <f>SUBTOTAL(109,SEA_H201[K])</f>
        <v>343</v>
      </c>
      <c r="AP49" s="794">
        <f>SUBTOTAL(109,SEA_H201[SB])</f>
        <v>4</v>
      </c>
      <c r="AQ49" s="794"/>
      <c r="AR49" s="796"/>
      <c r="AS49" s="794">
        <f>SUBTOTAL(109,SEA_H201[TB])</f>
        <v>625</v>
      </c>
      <c r="AT49" s="792">
        <f>AD49+AE49</f>
        <v>0.76146469717036214</v>
      </c>
      <c r="AU49" s="796">
        <f>SUBTOTAL(109,SEA_H201[*])</f>
        <v>22</v>
      </c>
      <c r="AV49" s="797"/>
      <c r="AY49" s="789"/>
      <c r="AZ49" s="790"/>
      <c r="BA49" s="791" t="s">
        <v>195</v>
      </c>
      <c r="BB49" s="792">
        <f>BH49/BF49</f>
        <v>0.24907885040530583</v>
      </c>
      <c r="BC49" s="792">
        <f>(BM49+BH49)/(BF49+BM49)</f>
        <v>0.31472763954270344</v>
      </c>
      <c r="BD49" s="793">
        <f>((BH49-BI49-BJ49-BK49)+(BI49*2)+(BJ49*3)+(BK49*4))/BF49</f>
        <v>0.40162122328666178</v>
      </c>
      <c r="BE49" s="794"/>
      <c r="BF49" s="794">
        <f>SUBTOTAL(109,SEA_H187[AB])</f>
        <v>1357</v>
      </c>
      <c r="BG49" s="794">
        <f>SUBTOTAL(109,SEA_H187[R])</f>
        <v>154</v>
      </c>
      <c r="BH49" s="794">
        <f>SUBTOTAL(109,SEA_H187[H])</f>
        <v>338</v>
      </c>
      <c r="BI49" s="794">
        <f>SUBTOTAL(109,SEA_H187[2B])</f>
        <v>69</v>
      </c>
      <c r="BJ49" s="794">
        <f>SUBTOTAL(109,SEA_H187[3B])</f>
        <v>3</v>
      </c>
      <c r="BK49" s="794">
        <f>SUBTOTAL(109,SEA_H187[HR])</f>
        <v>44</v>
      </c>
      <c r="BL49" s="794">
        <f>SUBTOTAL(109,SEA_H187[RBI])</f>
        <v>154</v>
      </c>
      <c r="BM49" s="794">
        <f>SUBTOTAL(109,SEA_H187[BB])</f>
        <v>130</v>
      </c>
      <c r="BN49" s="796">
        <f>SUBTOTAL(109,SEA_H187[K])</f>
        <v>347</v>
      </c>
      <c r="BO49" s="794">
        <f>SUBTOTAL(109,SEA_H187[SB])</f>
        <v>11</v>
      </c>
      <c r="BP49" s="794"/>
      <c r="BQ49" s="796"/>
      <c r="BR49" s="794">
        <f>SUBTOTAL(109,SEA_H187[TB])</f>
        <v>545</v>
      </c>
      <c r="BS49" s="792">
        <f>BC49+BD49</f>
        <v>0.71634886282936527</v>
      </c>
      <c r="BT49" s="796">
        <f>SUBTOTAL(109,SEA_H187[*])</f>
        <v>20</v>
      </c>
      <c r="BU49" s="797"/>
    </row>
    <row r="50" spans="1:73" ht="17" thickBot="1"/>
    <row r="51" spans="1:73" s="108" customFormat="1" ht="15" thickBot="1">
      <c r="A51" s="605" t="s">
        <v>143</v>
      </c>
      <c r="B51" s="606" t="s">
        <v>144</v>
      </c>
      <c r="C51" s="606" t="s">
        <v>145</v>
      </c>
      <c r="D51" s="606" t="s">
        <v>196</v>
      </c>
      <c r="E51" s="606" t="s">
        <v>197</v>
      </c>
      <c r="F51" s="606" t="s">
        <v>198</v>
      </c>
      <c r="G51" s="606" t="s">
        <v>149</v>
      </c>
      <c r="H51" s="606" t="s">
        <v>199</v>
      </c>
      <c r="I51" s="606" t="s">
        <v>152</v>
      </c>
      <c r="J51" s="606" t="s">
        <v>151</v>
      </c>
      <c r="K51" s="606" t="s">
        <v>157</v>
      </c>
      <c r="L51" s="606" t="s">
        <v>158</v>
      </c>
      <c r="M51" s="606" t="s">
        <v>200</v>
      </c>
      <c r="N51" s="606" t="s">
        <v>201</v>
      </c>
      <c r="O51" s="606" t="s">
        <v>202</v>
      </c>
      <c r="P51" s="606" t="s">
        <v>203</v>
      </c>
      <c r="Q51" s="606" t="s">
        <v>204</v>
      </c>
      <c r="R51" s="606" t="s">
        <v>205</v>
      </c>
      <c r="S51" s="607" t="s">
        <v>164</v>
      </c>
      <c r="Z51" s="605" t="s">
        <v>143</v>
      </c>
      <c r="AA51" s="606" t="s">
        <v>144</v>
      </c>
      <c r="AB51" s="606" t="s">
        <v>145</v>
      </c>
      <c r="AC51" s="606" t="s">
        <v>196</v>
      </c>
      <c r="AD51" s="606" t="s">
        <v>197</v>
      </c>
      <c r="AE51" s="606" t="s">
        <v>198</v>
      </c>
      <c r="AF51" s="606" t="s">
        <v>149</v>
      </c>
      <c r="AG51" s="606" t="s">
        <v>199</v>
      </c>
      <c r="AH51" s="606" t="s">
        <v>152</v>
      </c>
      <c r="AI51" s="606" t="s">
        <v>151</v>
      </c>
      <c r="AJ51" s="606" t="s">
        <v>157</v>
      </c>
      <c r="AK51" s="606" t="s">
        <v>158</v>
      </c>
      <c r="AL51" s="606" t="s">
        <v>200</v>
      </c>
      <c r="AM51" s="606" t="s">
        <v>201</v>
      </c>
      <c r="AN51" s="606" t="s">
        <v>202</v>
      </c>
      <c r="AO51" s="606" t="s">
        <v>203</v>
      </c>
      <c r="AP51" s="606" t="s">
        <v>204</v>
      </c>
      <c r="AQ51" s="606" t="s">
        <v>205</v>
      </c>
      <c r="AR51" s="607" t="s">
        <v>164</v>
      </c>
      <c r="AY51" s="605" t="s">
        <v>143</v>
      </c>
      <c r="AZ51" s="606" t="s">
        <v>144</v>
      </c>
      <c r="BA51" s="606" t="s">
        <v>145</v>
      </c>
      <c r="BB51" s="606" t="s">
        <v>196</v>
      </c>
      <c r="BC51" s="606" t="s">
        <v>197</v>
      </c>
      <c r="BD51" s="606" t="s">
        <v>198</v>
      </c>
      <c r="BE51" s="606" t="s">
        <v>149</v>
      </c>
      <c r="BF51" s="606" t="s">
        <v>199</v>
      </c>
      <c r="BG51" s="606" t="s">
        <v>152</v>
      </c>
      <c r="BH51" s="606" t="s">
        <v>151</v>
      </c>
      <c r="BI51" s="606" t="s">
        <v>157</v>
      </c>
      <c r="BJ51" s="606" t="s">
        <v>158</v>
      </c>
      <c r="BK51" s="606" t="s">
        <v>200</v>
      </c>
      <c r="BL51" s="606" t="s">
        <v>201</v>
      </c>
      <c r="BM51" s="606" t="s">
        <v>202</v>
      </c>
      <c r="BN51" s="606" t="s">
        <v>203</v>
      </c>
      <c r="BO51" s="606" t="s">
        <v>204</v>
      </c>
      <c r="BP51" s="606" t="s">
        <v>205</v>
      </c>
      <c r="BQ51" s="607" t="s">
        <v>164</v>
      </c>
    </row>
    <row r="52" spans="1:73">
      <c r="A52" s="650" t="s">
        <v>611</v>
      </c>
      <c r="B52" s="604" t="s">
        <v>206</v>
      </c>
      <c r="C52" s="597" t="s">
        <v>630</v>
      </c>
      <c r="D52" s="663">
        <f>IFERROR((SEA_P[[#This Row],[R]]*9)/SEA_P[[#This Row],[IP]],0)</f>
        <v>3.5278154681139755</v>
      </c>
      <c r="E52" s="600">
        <v>2</v>
      </c>
      <c r="F52" s="604">
        <v>4</v>
      </c>
      <c r="G52" s="600">
        <v>10</v>
      </c>
      <c r="H52" s="630">
        <v>66.33</v>
      </c>
      <c r="I52" s="600">
        <v>78</v>
      </c>
      <c r="J52" s="600">
        <v>26</v>
      </c>
      <c r="K52" s="600">
        <v>22</v>
      </c>
      <c r="L52" s="600">
        <v>58</v>
      </c>
      <c r="M52" s="600">
        <v>0</v>
      </c>
      <c r="N52" s="631">
        <f>IFERROR((SEA_P[[#This Row],[BB]]+SEA_P[[#This Row],[H]])/SEA_P[[#This Row],[IP]],0)</f>
        <v>1.5076134479119554</v>
      </c>
      <c r="O52" s="600">
        <v>6</v>
      </c>
      <c r="P52" s="601">
        <v>5</v>
      </c>
      <c r="Q52" s="600">
        <v>1</v>
      </c>
      <c r="R52" s="604">
        <v>1</v>
      </c>
      <c r="S52" s="614">
        <v>1</v>
      </c>
      <c r="Z52" s="650" t="s">
        <v>611</v>
      </c>
      <c r="AA52" s="604" t="s">
        <v>206</v>
      </c>
      <c r="AB52" s="597" t="s">
        <v>630</v>
      </c>
      <c r="AC52" s="663">
        <f>IFERROR((SEA_P200[[#This Row],[R]]*9)/SEA_P200[[#This Row],[IP]],0)</f>
        <v>2.9711497057557055</v>
      </c>
      <c r="AD52" s="600">
        <v>5</v>
      </c>
      <c r="AE52" s="604">
        <v>4</v>
      </c>
      <c r="AF52" s="600">
        <v>10</v>
      </c>
      <c r="AG52" s="630">
        <v>69.67</v>
      </c>
      <c r="AH52" s="600">
        <v>61</v>
      </c>
      <c r="AI52" s="600">
        <v>23</v>
      </c>
      <c r="AJ52" s="600">
        <v>21</v>
      </c>
      <c r="AK52" s="600">
        <v>54</v>
      </c>
      <c r="AL52" s="600">
        <v>0</v>
      </c>
      <c r="AM52" s="631">
        <f>IFERROR((SEA_P200[[#This Row],[BB]]+SEA_P200[[#This Row],[H]])/SEA_P200[[#This Row],[IP]],0)</f>
        <v>1.1769771781254486</v>
      </c>
      <c r="AN52" s="600">
        <v>9</v>
      </c>
      <c r="AO52" s="601">
        <v>5</v>
      </c>
      <c r="AP52" s="600">
        <v>1</v>
      </c>
      <c r="AQ52" s="604">
        <v>1</v>
      </c>
      <c r="AR52" s="614">
        <v>1</v>
      </c>
      <c r="AY52" s="650" t="s">
        <v>611</v>
      </c>
      <c r="AZ52" s="604" t="s">
        <v>206</v>
      </c>
      <c r="BA52" s="597" t="s">
        <v>630</v>
      </c>
      <c r="BB52" s="663">
        <f>IFERROR((SEA_P186[[#This Row],[R]]*9)/SEA_P186[[#This Row],[IP]],0)</f>
        <v>2.7692307692307692</v>
      </c>
      <c r="BC52" s="600">
        <v>4</v>
      </c>
      <c r="BD52" s="604">
        <v>5</v>
      </c>
      <c r="BE52" s="600">
        <v>10</v>
      </c>
      <c r="BF52" s="784">
        <v>78</v>
      </c>
      <c r="BG52" s="600">
        <v>55</v>
      </c>
      <c r="BH52" s="600">
        <v>24</v>
      </c>
      <c r="BI52" s="600">
        <v>28</v>
      </c>
      <c r="BJ52" s="600">
        <v>74</v>
      </c>
      <c r="BK52" s="600">
        <v>0</v>
      </c>
      <c r="BL52" s="631">
        <f>IFERROR((SEA_P186[[#This Row],[BB]]+SEA_P186[[#This Row],[H]])/SEA_P186[[#This Row],[IP]],0)</f>
        <v>1.0641025641025641</v>
      </c>
      <c r="BM52" s="600">
        <v>7</v>
      </c>
      <c r="BN52" s="602">
        <v>7</v>
      </c>
      <c r="BO52" s="708">
        <v>4</v>
      </c>
      <c r="BP52" s="632">
        <v>2</v>
      </c>
      <c r="BQ52" s="614">
        <v>1</v>
      </c>
    </row>
    <row r="53" spans="1:73">
      <c r="A53" s="651" t="s">
        <v>611</v>
      </c>
      <c r="B53" s="74" t="s">
        <v>206</v>
      </c>
      <c r="C53" s="87" t="s">
        <v>631</v>
      </c>
      <c r="D53" s="88">
        <f>IFERROR((SEA_P[[#This Row],[R]]*9)/SEA_P[[#This Row],[IP]],0)</f>
        <v>2.6441935982681306</v>
      </c>
      <c r="E53" s="28">
        <v>6</v>
      </c>
      <c r="F53" s="74">
        <v>2</v>
      </c>
      <c r="G53" s="28">
        <v>10</v>
      </c>
      <c r="H53" s="584">
        <v>64.67</v>
      </c>
      <c r="I53" s="28">
        <v>62</v>
      </c>
      <c r="J53" s="28">
        <v>19</v>
      </c>
      <c r="K53" s="28">
        <v>22</v>
      </c>
      <c r="L53" s="28">
        <v>61</v>
      </c>
      <c r="M53" s="28">
        <v>0</v>
      </c>
      <c r="N53" s="89">
        <f>IFERROR((SEA_P[[#This Row],[BB]]+SEA_P[[#This Row],[H]])/SEA_P[[#This Row],[IP]],0)</f>
        <v>1.2989021184475027</v>
      </c>
      <c r="O53" s="28">
        <v>7</v>
      </c>
      <c r="P53" s="90">
        <v>3</v>
      </c>
      <c r="Q53" s="28">
        <v>1</v>
      </c>
      <c r="R53" s="74">
        <v>1</v>
      </c>
      <c r="S53" s="615">
        <v>2</v>
      </c>
      <c r="Z53" s="651" t="s">
        <v>611</v>
      </c>
      <c r="AA53" s="74" t="s">
        <v>206</v>
      </c>
      <c r="AB53" s="87" t="s">
        <v>632</v>
      </c>
      <c r="AC53" s="88">
        <f>IFERROR((SEA_P200[[#This Row],[R]]*9)/SEA_P200[[#This Row],[IP]],0)</f>
        <v>5.4339622641509431</v>
      </c>
      <c r="AD53" s="28">
        <v>1</v>
      </c>
      <c r="AE53" s="74">
        <v>3</v>
      </c>
      <c r="AF53" s="28">
        <v>10</v>
      </c>
      <c r="AG53" s="584">
        <v>53</v>
      </c>
      <c r="AH53" s="28">
        <v>61</v>
      </c>
      <c r="AI53" s="28">
        <v>32</v>
      </c>
      <c r="AJ53" s="28">
        <v>24</v>
      </c>
      <c r="AK53" s="28">
        <v>61</v>
      </c>
      <c r="AL53" s="28">
        <v>0</v>
      </c>
      <c r="AM53" s="89">
        <f>IFERROR((SEA_P200[[#This Row],[BB]]+SEA_P200[[#This Row],[H]])/SEA_P200[[#This Row],[IP]],0)</f>
        <v>1.6037735849056605</v>
      </c>
      <c r="AN53" s="28">
        <v>2</v>
      </c>
      <c r="AO53" s="90">
        <v>1</v>
      </c>
      <c r="AP53" s="28">
        <v>0</v>
      </c>
      <c r="AQ53" s="74">
        <v>0</v>
      </c>
      <c r="AR53" s="615">
        <v>2</v>
      </c>
      <c r="AY53" s="651" t="s">
        <v>611</v>
      </c>
      <c r="AZ53" s="74" t="s">
        <v>206</v>
      </c>
      <c r="BA53" s="71" t="s">
        <v>633</v>
      </c>
      <c r="BB53" s="88">
        <f>IFERROR((SEA_P186[[#This Row],[R]]*9)/SEA_P186[[#This Row],[IP]],0)</f>
        <v>4.1114664230242122</v>
      </c>
      <c r="BC53" s="28">
        <v>3</v>
      </c>
      <c r="BD53" s="74">
        <v>4</v>
      </c>
      <c r="BE53" s="28">
        <v>10</v>
      </c>
      <c r="BF53" s="584">
        <v>65.67</v>
      </c>
      <c r="BG53" s="28">
        <v>58</v>
      </c>
      <c r="BH53" s="28">
        <v>30</v>
      </c>
      <c r="BI53" s="28">
        <v>15</v>
      </c>
      <c r="BJ53" s="28">
        <v>57</v>
      </c>
      <c r="BK53" s="28">
        <v>0</v>
      </c>
      <c r="BL53" s="89">
        <f>IFERROR((SEA_P186[[#This Row],[BB]]+SEA_P186[[#This Row],[H]])/SEA_P186[[#This Row],[IP]],0)</f>
        <v>1.1116186995583981</v>
      </c>
      <c r="BM53" s="28">
        <v>6</v>
      </c>
      <c r="BN53" s="90">
        <v>4</v>
      </c>
      <c r="BO53" s="28">
        <v>1</v>
      </c>
      <c r="BP53" s="74">
        <v>1</v>
      </c>
      <c r="BQ53" s="615">
        <v>2</v>
      </c>
    </row>
    <row r="54" spans="1:73">
      <c r="A54" s="651" t="s">
        <v>611</v>
      </c>
      <c r="B54" s="74" t="s">
        <v>206</v>
      </c>
      <c r="C54" s="87" t="s">
        <v>634</v>
      </c>
      <c r="D54" s="88">
        <f>IFERROR((SEA_P[[#This Row],[R]]*9)/SEA_P[[#This Row],[IP]],0)</f>
        <v>2.6998650067496626</v>
      </c>
      <c r="E54" s="28">
        <v>5</v>
      </c>
      <c r="F54" s="74">
        <v>4</v>
      </c>
      <c r="G54" s="28">
        <v>10</v>
      </c>
      <c r="H54" s="584">
        <v>66.67</v>
      </c>
      <c r="I54" s="28">
        <v>64</v>
      </c>
      <c r="J54" s="28">
        <v>20</v>
      </c>
      <c r="K54" s="28">
        <v>6</v>
      </c>
      <c r="L54" s="28">
        <v>63</v>
      </c>
      <c r="M54" s="28">
        <v>0</v>
      </c>
      <c r="N54" s="89">
        <f>IFERROR((SEA_P[[#This Row],[BB]]+SEA_P[[#This Row],[H]])/SEA_P[[#This Row],[IP]],0)</f>
        <v>1.0499475026248688</v>
      </c>
      <c r="O54" s="76">
        <v>9</v>
      </c>
      <c r="P54" s="90">
        <v>5</v>
      </c>
      <c r="Q54" s="28">
        <v>1</v>
      </c>
      <c r="R54" s="74">
        <v>1</v>
      </c>
      <c r="S54" s="615">
        <v>3</v>
      </c>
      <c r="Z54" s="651" t="s">
        <v>611</v>
      </c>
      <c r="AA54" s="74" t="s">
        <v>206</v>
      </c>
      <c r="AB54" s="87" t="s">
        <v>631</v>
      </c>
      <c r="AC54" s="88">
        <f>IFERROR((SEA_P200[[#This Row],[R]]*9)/SEA_P200[[#This Row],[IP]],0)</f>
        <v>3.3576869267837712</v>
      </c>
      <c r="AD54" s="28">
        <v>4</v>
      </c>
      <c r="AE54" s="74">
        <v>4</v>
      </c>
      <c r="AF54" s="28">
        <v>10</v>
      </c>
      <c r="AG54" s="584">
        <v>64.33</v>
      </c>
      <c r="AH54" s="28">
        <v>62</v>
      </c>
      <c r="AI54" s="28">
        <v>24</v>
      </c>
      <c r="AJ54" s="28">
        <v>19</v>
      </c>
      <c r="AK54" s="28">
        <v>55</v>
      </c>
      <c r="AL54" s="28">
        <v>0</v>
      </c>
      <c r="AM54" s="89">
        <f>IFERROR((SEA_P200[[#This Row],[BB]]+SEA_P200[[#This Row],[H]])/SEA_P200[[#This Row],[IP]],0)</f>
        <v>1.2591325975439143</v>
      </c>
      <c r="AN54" s="28">
        <v>7</v>
      </c>
      <c r="AO54" s="90">
        <v>3</v>
      </c>
      <c r="AP54" s="28">
        <v>1</v>
      </c>
      <c r="AQ54" s="74">
        <v>1</v>
      </c>
      <c r="AR54" s="615">
        <v>3</v>
      </c>
      <c r="AY54" s="651" t="s">
        <v>611</v>
      </c>
      <c r="AZ54" s="74" t="s">
        <v>206</v>
      </c>
      <c r="BA54" s="71" t="s">
        <v>635</v>
      </c>
      <c r="BB54" s="88">
        <f>IFERROR((SEA_P186[[#This Row],[R]]*9)/SEA_P186[[#This Row],[IP]],0)</f>
        <v>5.1984348798211286</v>
      </c>
      <c r="BC54" s="28">
        <v>4</v>
      </c>
      <c r="BD54" s="74">
        <v>3</v>
      </c>
      <c r="BE54" s="28">
        <v>9</v>
      </c>
      <c r="BF54" s="584">
        <v>53.67</v>
      </c>
      <c r="BG54" s="28">
        <v>57</v>
      </c>
      <c r="BH54" s="28">
        <v>31</v>
      </c>
      <c r="BI54" s="28">
        <v>19</v>
      </c>
      <c r="BJ54" s="28">
        <v>46</v>
      </c>
      <c r="BK54" s="28">
        <v>0</v>
      </c>
      <c r="BL54" s="89">
        <f>IFERROR((SEA_P186[[#This Row],[BB]]+SEA_P186[[#This Row],[H]])/SEA_P186[[#This Row],[IP]],0)</f>
        <v>1.4160611142165083</v>
      </c>
      <c r="BM54" s="28">
        <v>5</v>
      </c>
      <c r="BN54" s="90">
        <v>3</v>
      </c>
      <c r="BO54" s="28">
        <v>0</v>
      </c>
      <c r="BP54" s="74">
        <v>0</v>
      </c>
      <c r="BQ54" s="615">
        <v>3</v>
      </c>
    </row>
    <row r="55" spans="1:73">
      <c r="A55" s="651" t="s">
        <v>611</v>
      </c>
      <c r="B55" s="74" t="s">
        <v>206</v>
      </c>
      <c r="C55" s="87" t="s">
        <v>632</v>
      </c>
      <c r="D55" s="88">
        <f>IFERROR((SEA_P[[#This Row],[R]]*9)/SEA_P[[#This Row],[IP]],0)</f>
        <v>5.2363636363636363</v>
      </c>
      <c r="E55" s="28">
        <v>4</v>
      </c>
      <c r="F55" s="74">
        <v>1</v>
      </c>
      <c r="G55" s="28">
        <v>10</v>
      </c>
      <c r="H55" s="584">
        <v>55</v>
      </c>
      <c r="I55" s="28">
        <v>64</v>
      </c>
      <c r="J55" s="28">
        <v>32</v>
      </c>
      <c r="K55" s="28">
        <v>22</v>
      </c>
      <c r="L55" s="28">
        <v>80</v>
      </c>
      <c r="M55" s="28">
        <v>0</v>
      </c>
      <c r="N55" s="89">
        <f>IFERROR((SEA_P[[#This Row],[BB]]+SEA_P[[#This Row],[H]])/SEA_P[[#This Row],[IP]],0)</f>
        <v>1.5636363636363637</v>
      </c>
      <c r="O55" s="28">
        <v>3</v>
      </c>
      <c r="P55" s="90">
        <v>1</v>
      </c>
      <c r="Q55" s="28">
        <v>0</v>
      </c>
      <c r="R55" s="74">
        <v>0</v>
      </c>
      <c r="S55" s="615">
        <v>4</v>
      </c>
      <c r="Z55" s="651" t="s">
        <v>611</v>
      </c>
      <c r="AA55" s="74" t="s">
        <v>365</v>
      </c>
      <c r="AB55" s="87" t="s">
        <v>634</v>
      </c>
      <c r="AC55" s="88">
        <f>IFERROR((SEA_P200[[#This Row],[R]]*9)/SEA_P200[[#This Row],[IP]],0)</f>
        <v>3.6816089994886654</v>
      </c>
      <c r="AD55" s="28">
        <v>5</v>
      </c>
      <c r="AE55" s="74">
        <v>0</v>
      </c>
      <c r="AF55" s="28">
        <v>10</v>
      </c>
      <c r="AG55" s="584">
        <v>58.67</v>
      </c>
      <c r="AH55" s="28">
        <v>60</v>
      </c>
      <c r="AI55" s="28">
        <v>24</v>
      </c>
      <c r="AJ55" s="28">
        <v>16</v>
      </c>
      <c r="AK55" s="28">
        <v>61</v>
      </c>
      <c r="AL55" s="28">
        <v>0</v>
      </c>
      <c r="AM55" s="89">
        <f>IFERROR((SEA_P200[[#This Row],[BB]]+SEA_P200[[#This Row],[H]])/SEA_P200[[#This Row],[IP]],0)</f>
        <v>1.2953809442645303</v>
      </c>
      <c r="AN55" s="28">
        <v>5</v>
      </c>
      <c r="AO55" s="90">
        <v>3</v>
      </c>
      <c r="AP55" s="28">
        <v>0</v>
      </c>
      <c r="AQ55" s="74">
        <v>0</v>
      </c>
      <c r="AR55" s="615">
        <v>4</v>
      </c>
      <c r="AY55" s="651" t="s">
        <v>611</v>
      </c>
      <c r="AZ55" s="74" t="s">
        <v>206</v>
      </c>
      <c r="BA55" s="71" t="s">
        <v>636</v>
      </c>
      <c r="BB55" s="88">
        <f>IFERROR((SEA_P186[[#This Row],[R]]*9)/SEA_P186[[#This Row],[IP]],0)</f>
        <v>3.2891731384193696</v>
      </c>
      <c r="BC55" s="28">
        <v>4</v>
      </c>
      <c r="BD55" s="74">
        <v>4</v>
      </c>
      <c r="BE55" s="28">
        <v>9</v>
      </c>
      <c r="BF55" s="584">
        <v>65.67</v>
      </c>
      <c r="BG55" s="28">
        <v>57</v>
      </c>
      <c r="BH55" s="28">
        <v>24</v>
      </c>
      <c r="BI55" s="28">
        <v>8</v>
      </c>
      <c r="BJ55" s="28">
        <v>56</v>
      </c>
      <c r="BK55" s="28">
        <v>0</v>
      </c>
      <c r="BL55" s="89">
        <f>IFERROR((SEA_P186[[#This Row],[BB]]+SEA_P186[[#This Row],[H]])/SEA_P186[[#This Row],[IP]],0)</f>
        <v>0.98979747220953251</v>
      </c>
      <c r="BM55" s="28">
        <v>6</v>
      </c>
      <c r="BN55" s="90">
        <v>3</v>
      </c>
      <c r="BO55" s="28">
        <v>1</v>
      </c>
      <c r="BP55" s="74">
        <v>1</v>
      </c>
      <c r="BQ55" s="615">
        <v>4</v>
      </c>
    </row>
    <row r="56" spans="1:73">
      <c r="A56" s="651" t="s">
        <v>611</v>
      </c>
      <c r="B56" s="74" t="s">
        <v>212</v>
      </c>
      <c r="C56" s="87" t="s">
        <v>633</v>
      </c>
      <c r="D56" s="88">
        <f>IFERROR((SEA_P[[#This Row],[R]]*9)/SEA_P[[#This Row],[IP]],0)</f>
        <v>6</v>
      </c>
      <c r="E56" s="28">
        <v>0</v>
      </c>
      <c r="F56" s="74">
        <v>0</v>
      </c>
      <c r="G56" s="28">
        <v>6</v>
      </c>
      <c r="H56" s="584">
        <v>12</v>
      </c>
      <c r="I56" s="28">
        <v>18</v>
      </c>
      <c r="J56" s="28">
        <v>8</v>
      </c>
      <c r="K56" s="28">
        <v>2</v>
      </c>
      <c r="L56" s="28">
        <v>9</v>
      </c>
      <c r="M56" s="28">
        <v>0</v>
      </c>
      <c r="N56" s="89">
        <f>IFERROR((SEA_P[[#This Row],[BB]]+SEA_P[[#This Row],[H]])/SEA_P[[#This Row],[IP]],0)</f>
        <v>1.6666666666666667</v>
      </c>
      <c r="O56" s="28">
        <v>0</v>
      </c>
      <c r="P56" s="90">
        <v>0</v>
      </c>
      <c r="Q56" s="28">
        <v>0</v>
      </c>
      <c r="R56" s="74">
        <v>0</v>
      </c>
      <c r="S56" s="615">
        <v>5</v>
      </c>
      <c r="Z56" s="651" t="s">
        <v>611</v>
      </c>
      <c r="AA56" s="74" t="s">
        <v>212</v>
      </c>
      <c r="AB56" s="87" t="s">
        <v>633</v>
      </c>
      <c r="AC56" s="88">
        <f>IFERROR((SEA_P200[[#This Row],[R]]*9)/SEA_P200[[#This Row],[IP]],0)</f>
        <v>5.0632911392405067</v>
      </c>
      <c r="AD56" s="28">
        <v>0</v>
      </c>
      <c r="AE56" s="74">
        <v>1</v>
      </c>
      <c r="AF56" s="28">
        <v>8</v>
      </c>
      <c r="AG56" s="584">
        <v>21.33</v>
      </c>
      <c r="AH56" s="28">
        <v>22</v>
      </c>
      <c r="AI56" s="28">
        <v>12</v>
      </c>
      <c r="AJ56" s="28">
        <v>7</v>
      </c>
      <c r="AK56" s="28">
        <v>18</v>
      </c>
      <c r="AL56" s="28">
        <v>0</v>
      </c>
      <c r="AM56" s="89">
        <f>IFERROR((SEA_P200[[#This Row],[BB]]+SEA_P200[[#This Row],[H]])/SEA_P200[[#This Row],[IP]],0)</f>
        <v>1.3595874355368027</v>
      </c>
      <c r="AN56" s="28">
        <v>0</v>
      </c>
      <c r="AO56" s="90">
        <v>0</v>
      </c>
      <c r="AP56" s="28">
        <v>0</v>
      </c>
      <c r="AQ56" s="74">
        <v>0</v>
      </c>
      <c r="AR56" s="615">
        <v>5</v>
      </c>
      <c r="AY56" s="651" t="s">
        <v>611</v>
      </c>
      <c r="AZ56" s="74" t="s">
        <v>215</v>
      </c>
      <c r="BA56" s="71" t="s">
        <v>631</v>
      </c>
      <c r="BB56" s="88">
        <f>IFERROR((SEA_P186[[#This Row],[R]]*9)/SEA_P186[[#This Row],[IP]],0)</f>
        <v>4.2</v>
      </c>
      <c r="BC56" s="28">
        <v>3</v>
      </c>
      <c r="BD56" s="74">
        <v>0</v>
      </c>
      <c r="BE56" s="28">
        <v>13</v>
      </c>
      <c r="BF56" s="584">
        <v>30</v>
      </c>
      <c r="BG56" s="28">
        <v>28</v>
      </c>
      <c r="BH56" s="28">
        <v>14</v>
      </c>
      <c r="BI56" s="28">
        <v>14</v>
      </c>
      <c r="BJ56" s="28">
        <v>29</v>
      </c>
      <c r="BK56" s="28">
        <v>0</v>
      </c>
      <c r="BL56" s="89">
        <f>IFERROR((SEA_P186[[#This Row],[BB]]+SEA_P186[[#This Row],[H]])/SEA_P186[[#This Row],[IP]],0)</f>
        <v>1.4</v>
      </c>
      <c r="BM56" s="28">
        <v>0</v>
      </c>
      <c r="BN56" s="90">
        <v>0</v>
      </c>
      <c r="BO56" s="28">
        <v>0</v>
      </c>
      <c r="BP56" s="74">
        <v>0</v>
      </c>
      <c r="BQ56" s="615">
        <v>5</v>
      </c>
    </row>
    <row r="57" spans="1:73">
      <c r="A57" s="651" t="s">
        <v>611</v>
      </c>
      <c r="B57" s="74" t="s">
        <v>215</v>
      </c>
      <c r="C57" s="87" t="s">
        <v>637</v>
      </c>
      <c r="D57" s="88">
        <f>IFERROR((SEA_P[[#This Row],[R]]*9)/SEA_P[[#This Row],[IP]],0)</f>
        <v>5.1903114186851216</v>
      </c>
      <c r="E57" s="28">
        <v>0</v>
      </c>
      <c r="F57" s="74">
        <v>0</v>
      </c>
      <c r="G57" s="28">
        <v>7</v>
      </c>
      <c r="H57" s="584">
        <v>8.67</v>
      </c>
      <c r="I57" s="28">
        <v>9</v>
      </c>
      <c r="J57" s="28">
        <v>5</v>
      </c>
      <c r="K57" s="28">
        <v>2</v>
      </c>
      <c r="L57" s="28">
        <v>6</v>
      </c>
      <c r="M57" s="28">
        <v>0</v>
      </c>
      <c r="N57" s="89">
        <f>IFERROR((SEA_P[[#This Row],[BB]]+SEA_P[[#This Row],[H]])/SEA_P[[#This Row],[IP]],0)</f>
        <v>1.2687427912341407</v>
      </c>
      <c r="O57" s="28">
        <v>0</v>
      </c>
      <c r="P57" s="90">
        <v>0</v>
      </c>
      <c r="Q57" s="28">
        <v>0</v>
      </c>
      <c r="R57" s="74">
        <v>0</v>
      </c>
      <c r="S57" s="615">
        <v>6</v>
      </c>
      <c r="Z57" s="651" t="s">
        <v>611</v>
      </c>
      <c r="AA57" s="74" t="s">
        <v>212</v>
      </c>
      <c r="AB57" s="87" t="s">
        <v>636</v>
      </c>
      <c r="AC57" s="88">
        <f>IFERROR((SEA_P200[[#This Row],[R]]*9)/SEA_P200[[#This Row],[IP]],0)</f>
        <v>0</v>
      </c>
      <c r="AD57" s="28">
        <v>0</v>
      </c>
      <c r="AE57" s="74">
        <v>0</v>
      </c>
      <c r="AF57" s="28">
        <v>0</v>
      </c>
      <c r="AG57" s="584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89">
        <f>IFERROR((SEA_P200[[#This Row],[BB]]+SEA_P200[[#This Row],[H]])/SEA_P200[[#This Row],[IP]],0)</f>
        <v>0</v>
      </c>
      <c r="AN57" s="28">
        <v>0</v>
      </c>
      <c r="AO57" s="90">
        <v>0</v>
      </c>
      <c r="AP57" s="28">
        <v>0</v>
      </c>
      <c r="AQ57" s="74">
        <v>0</v>
      </c>
      <c r="AR57" s="615">
        <v>6</v>
      </c>
      <c r="AY57" s="651" t="s">
        <v>611</v>
      </c>
      <c r="AZ57" s="74" t="s">
        <v>212</v>
      </c>
      <c r="BA57" s="71" t="s">
        <v>638</v>
      </c>
      <c r="BB57" s="88">
        <f>IFERROR((SEA_P186[[#This Row],[R]]*9)/SEA_P186[[#This Row],[IP]],0)</f>
        <v>4.6535677352637022</v>
      </c>
      <c r="BC57" s="28">
        <v>0</v>
      </c>
      <c r="BD57" s="74">
        <v>0</v>
      </c>
      <c r="BE57" s="28">
        <v>8</v>
      </c>
      <c r="BF57" s="584">
        <v>9.67</v>
      </c>
      <c r="BG57" s="28">
        <v>14</v>
      </c>
      <c r="BH57" s="28">
        <v>5</v>
      </c>
      <c r="BI57" s="28">
        <v>3</v>
      </c>
      <c r="BJ57" s="28">
        <v>11</v>
      </c>
      <c r="BK57" s="28">
        <v>0</v>
      </c>
      <c r="BL57" s="89">
        <f>IFERROR((SEA_P186[[#This Row],[BB]]+SEA_P186[[#This Row],[H]])/SEA_P186[[#This Row],[IP]],0)</f>
        <v>1.7580144777662876</v>
      </c>
      <c r="BM57" s="28">
        <v>0</v>
      </c>
      <c r="BN57" s="90">
        <v>0</v>
      </c>
      <c r="BO57" s="28">
        <v>0</v>
      </c>
      <c r="BP57" s="74">
        <v>0</v>
      </c>
      <c r="BQ57" s="615">
        <v>6</v>
      </c>
    </row>
    <row r="58" spans="1:73">
      <c r="A58" s="651" t="s">
        <v>611</v>
      </c>
      <c r="B58" s="74" t="s">
        <v>212</v>
      </c>
      <c r="C58" s="87" t="s">
        <v>635</v>
      </c>
      <c r="D58" s="88">
        <f>IFERROR((SEA_P[[#This Row],[R]]*9)/SEA_P[[#This Row],[IP]],0)</f>
        <v>9.6428571428571423</v>
      </c>
      <c r="E58" s="28">
        <v>0</v>
      </c>
      <c r="F58" s="74">
        <v>2</v>
      </c>
      <c r="G58" s="28">
        <v>9</v>
      </c>
      <c r="H58" s="584">
        <v>14</v>
      </c>
      <c r="I58" s="28">
        <v>24</v>
      </c>
      <c r="J58" s="28">
        <v>15</v>
      </c>
      <c r="K58" s="28">
        <v>7</v>
      </c>
      <c r="L58" s="28">
        <v>9</v>
      </c>
      <c r="M58" s="28">
        <v>0</v>
      </c>
      <c r="N58" s="89">
        <f>IFERROR((SEA_P[[#This Row],[BB]]+SEA_P[[#This Row],[H]])/SEA_P[[#This Row],[IP]],0)</f>
        <v>2.2142857142857144</v>
      </c>
      <c r="O58" s="28">
        <v>0</v>
      </c>
      <c r="P58" s="90">
        <v>0</v>
      </c>
      <c r="Q58" s="28">
        <v>0</v>
      </c>
      <c r="R58" s="74">
        <v>0</v>
      </c>
      <c r="S58" s="615">
        <v>7</v>
      </c>
      <c r="Z58" s="651" t="s">
        <v>611</v>
      </c>
      <c r="AA58" s="74" t="s">
        <v>212</v>
      </c>
      <c r="AB58" s="87" t="s">
        <v>635</v>
      </c>
      <c r="AC58" s="88">
        <f>IFERROR((SEA_P200[[#This Row],[R]]*9)/SEA_P200[[#This Row],[IP]],0)</f>
        <v>8.7378640776699026</v>
      </c>
      <c r="AD58" s="28">
        <v>1</v>
      </c>
      <c r="AE58" s="74">
        <v>2</v>
      </c>
      <c r="AF58" s="28">
        <v>7</v>
      </c>
      <c r="AG58" s="584">
        <v>11.33</v>
      </c>
      <c r="AH58" s="28">
        <v>15</v>
      </c>
      <c r="AI58" s="28">
        <v>11</v>
      </c>
      <c r="AJ58" s="28">
        <v>6</v>
      </c>
      <c r="AK58" s="28">
        <v>11</v>
      </c>
      <c r="AL58" s="28">
        <v>0</v>
      </c>
      <c r="AM58" s="89">
        <f>IFERROR((SEA_P200[[#This Row],[BB]]+SEA_P200[[#This Row],[H]])/SEA_P200[[#This Row],[IP]],0)</f>
        <v>1.8534863195057369</v>
      </c>
      <c r="AN58" s="28">
        <v>0</v>
      </c>
      <c r="AO58" s="90">
        <v>0</v>
      </c>
      <c r="AP58" s="28">
        <v>0</v>
      </c>
      <c r="AQ58" s="74">
        <v>0</v>
      </c>
      <c r="AR58" s="615">
        <v>7</v>
      </c>
      <c r="AY58" s="651" t="s">
        <v>611</v>
      </c>
      <c r="AZ58" s="74" t="s">
        <v>212</v>
      </c>
      <c r="BA58" s="71" t="s">
        <v>639</v>
      </c>
      <c r="BB58" s="88">
        <f>IFERROR((SEA_P186[[#This Row],[R]]*9)/SEA_P186[[#This Row],[IP]],0)</f>
        <v>4.0479760119940034</v>
      </c>
      <c r="BC58" s="28">
        <v>0</v>
      </c>
      <c r="BD58" s="74">
        <v>0</v>
      </c>
      <c r="BE58" s="28">
        <v>5</v>
      </c>
      <c r="BF58" s="584">
        <v>6.67</v>
      </c>
      <c r="BG58" s="28">
        <v>7</v>
      </c>
      <c r="BH58" s="28">
        <v>3</v>
      </c>
      <c r="BI58" s="28">
        <v>4</v>
      </c>
      <c r="BJ58" s="28">
        <v>7</v>
      </c>
      <c r="BK58" s="28">
        <v>0</v>
      </c>
      <c r="BL58" s="89">
        <f>IFERROR((SEA_P186[[#This Row],[BB]]+SEA_P186[[#This Row],[H]])/SEA_P186[[#This Row],[IP]],0)</f>
        <v>1.6491754122938531</v>
      </c>
      <c r="BM58" s="28">
        <v>0</v>
      </c>
      <c r="BN58" s="90">
        <v>0</v>
      </c>
      <c r="BO58" s="28">
        <v>0</v>
      </c>
      <c r="BP58" s="74">
        <v>0</v>
      </c>
      <c r="BQ58" s="615">
        <v>7</v>
      </c>
    </row>
    <row r="59" spans="1:73">
      <c r="A59" s="651" t="s">
        <v>611</v>
      </c>
      <c r="B59" s="74" t="s">
        <v>215</v>
      </c>
      <c r="C59" s="71" t="s">
        <v>640</v>
      </c>
      <c r="D59" s="88">
        <f>IFERROR((SEA_P[[#This Row],[R]]*9)/SEA_P[[#This Row],[IP]],0)</f>
        <v>5.6603773584905657</v>
      </c>
      <c r="E59" s="28">
        <v>0</v>
      </c>
      <c r="F59" s="74">
        <v>0</v>
      </c>
      <c r="G59" s="28">
        <v>14</v>
      </c>
      <c r="H59" s="584">
        <v>20.67</v>
      </c>
      <c r="I59" s="28">
        <v>22</v>
      </c>
      <c r="J59" s="28">
        <v>13</v>
      </c>
      <c r="K59" s="28">
        <v>9</v>
      </c>
      <c r="L59" s="28">
        <v>14</v>
      </c>
      <c r="M59" s="28">
        <v>0</v>
      </c>
      <c r="N59" s="89">
        <f>IFERROR((SEA_P[[#This Row],[BB]]+SEA_P[[#This Row],[H]])/SEA_P[[#This Row],[IP]],0)</f>
        <v>1.4997581035316883</v>
      </c>
      <c r="O59" s="28">
        <v>0</v>
      </c>
      <c r="P59" s="90">
        <v>0</v>
      </c>
      <c r="Q59" s="28">
        <v>0</v>
      </c>
      <c r="R59" s="74">
        <v>0</v>
      </c>
      <c r="S59" s="615">
        <v>8</v>
      </c>
      <c r="Z59" s="651" t="s">
        <v>611</v>
      </c>
      <c r="AA59" s="74" t="s">
        <v>212</v>
      </c>
      <c r="AB59" s="87" t="s">
        <v>643</v>
      </c>
      <c r="AC59" s="88">
        <f>IFERROR((SEA_P200[[#This Row],[R]]*9)/SEA_P200[[#This Row],[IP]],0)</f>
        <v>3.1153846153846154</v>
      </c>
      <c r="AD59" s="28">
        <v>2</v>
      </c>
      <c r="AE59" s="74">
        <v>2</v>
      </c>
      <c r="AF59" s="28">
        <v>20</v>
      </c>
      <c r="AG59" s="584">
        <v>26</v>
      </c>
      <c r="AH59" s="28">
        <v>15</v>
      </c>
      <c r="AI59" s="28">
        <v>9</v>
      </c>
      <c r="AJ59" s="28">
        <v>14</v>
      </c>
      <c r="AK59" s="28">
        <v>31</v>
      </c>
      <c r="AL59" s="28">
        <v>0</v>
      </c>
      <c r="AM59" s="89">
        <f>IFERROR((SEA_P200[[#This Row],[BB]]+SEA_P200[[#This Row],[H]])/SEA_P200[[#This Row],[IP]],0)</f>
        <v>1.1153846153846154</v>
      </c>
      <c r="AN59" s="28">
        <v>0</v>
      </c>
      <c r="AO59" s="90">
        <v>0</v>
      </c>
      <c r="AP59" s="28">
        <v>0</v>
      </c>
      <c r="AQ59" s="74">
        <v>0</v>
      </c>
      <c r="AR59" s="615">
        <v>8</v>
      </c>
      <c r="AY59" s="651" t="s">
        <v>611</v>
      </c>
      <c r="AZ59" s="74" t="s">
        <v>212</v>
      </c>
      <c r="BA59" s="71" t="s">
        <v>642</v>
      </c>
      <c r="BB59" s="88">
        <f>IFERROR((SEA_P186[[#This Row],[R]]*9)/SEA_P186[[#This Row],[IP]],0)</f>
        <v>5.8670143415906129</v>
      </c>
      <c r="BC59" s="28">
        <v>0</v>
      </c>
      <c r="BD59" s="74">
        <v>1</v>
      </c>
      <c r="BE59" s="28">
        <v>2</v>
      </c>
      <c r="BF59" s="584">
        <v>7.67</v>
      </c>
      <c r="BG59" s="28">
        <v>9</v>
      </c>
      <c r="BH59" s="28">
        <v>5</v>
      </c>
      <c r="BI59" s="28">
        <v>4</v>
      </c>
      <c r="BJ59" s="28">
        <v>4</v>
      </c>
      <c r="BK59" s="28">
        <v>0</v>
      </c>
      <c r="BL59" s="89">
        <f>IFERROR((SEA_P186[[#This Row],[BB]]+SEA_P186[[#This Row],[H]])/SEA_P186[[#This Row],[IP]],0)</f>
        <v>1.6949152542372881</v>
      </c>
      <c r="BM59" s="28">
        <v>0</v>
      </c>
      <c r="BN59" s="90">
        <v>0</v>
      </c>
      <c r="BO59" s="28">
        <v>0</v>
      </c>
      <c r="BP59" s="74">
        <v>0</v>
      </c>
      <c r="BQ59" s="615">
        <v>8</v>
      </c>
    </row>
    <row r="60" spans="1:73">
      <c r="A60" s="651" t="s">
        <v>611</v>
      </c>
      <c r="B60" s="74" t="s">
        <v>212</v>
      </c>
      <c r="C60" s="87" t="s">
        <v>641</v>
      </c>
      <c r="D60" s="88">
        <f>IFERROR((SEA_P[[#This Row],[R]]*9)/SEA_P[[#This Row],[IP]],0)</f>
        <v>6.1526775541207748</v>
      </c>
      <c r="E60" s="28">
        <v>6</v>
      </c>
      <c r="F60" s="74">
        <v>1</v>
      </c>
      <c r="G60" s="28">
        <v>23</v>
      </c>
      <c r="H60" s="584">
        <v>26.33</v>
      </c>
      <c r="I60" s="28">
        <v>31</v>
      </c>
      <c r="J60" s="28">
        <v>18</v>
      </c>
      <c r="K60" s="28">
        <v>12</v>
      </c>
      <c r="L60" s="28">
        <v>34</v>
      </c>
      <c r="M60" s="28">
        <v>0</v>
      </c>
      <c r="N60" s="89">
        <f>IFERROR((SEA_P[[#This Row],[BB]]+SEA_P[[#This Row],[H]])/SEA_P[[#This Row],[IP]],0)</f>
        <v>1.6331181162172428</v>
      </c>
      <c r="O60" s="28">
        <v>0</v>
      </c>
      <c r="P60" s="90">
        <v>0</v>
      </c>
      <c r="Q60" s="28">
        <v>0</v>
      </c>
      <c r="R60" s="74">
        <v>0</v>
      </c>
      <c r="S60" s="615">
        <v>9</v>
      </c>
      <c r="Z60" s="651" t="s">
        <v>611</v>
      </c>
      <c r="AA60" s="74" t="s">
        <v>215</v>
      </c>
      <c r="AB60" s="87" t="s">
        <v>641</v>
      </c>
      <c r="AC60" s="88">
        <f>IFERROR((SEA_P200[[#This Row],[R]]*9)/SEA_P200[[#This Row],[IP]],0)</f>
        <v>3.3473840813290354</v>
      </c>
      <c r="AD60" s="28">
        <v>3</v>
      </c>
      <c r="AE60" s="74">
        <v>1</v>
      </c>
      <c r="AF60" s="28">
        <v>23</v>
      </c>
      <c r="AG60" s="584">
        <v>40.33</v>
      </c>
      <c r="AH60" s="28">
        <v>30</v>
      </c>
      <c r="AI60" s="28">
        <v>15</v>
      </c>
      <c r="AJ60" s="28">
        <v>20</v>
      </c>
      <c r="AK60" s="28">
        <v>49</v>
      </c>
      <c r="AL60" s="28">
        <v>0</v>
      </c>
      <c r="AM60" s="89">
        <f>IFERROR((SEA_P200[[#This Row],[BB]]+SEA_P200[[#This Row],[H]])/SEA_P200[[#This Row],[IP]],0)</f>
        <v>1.2397718819737169</v>
      </c>
      <c r="AN60" s="28">
        <v>0</v>
      </c>
      <c r="AO60" s="90">
        <v>0</v>
      </c>
      <c r="AP60" s="28">
        <v>0</v>
      </c>
      <c r="AQ60" s="74">
        <v>0</v>
      </c>
      <c r="AR60" s="615">
        <v>9</v>
      </c>
      <c r="AY60" s="651" t="s">
        <v>611</v>
      </c>
      <c r="AZ60" s="74" t="s">
        <v>212</v>
      </c>
      <c r="BA60" s="71" t="s">
        <v>643</v>
      </c>
      <c r="BB60" s="88">
        <f>IFERROR((SEA_P186[[#This Row],[R]]*9)/SEA_P186[[#This Row],[IP]],0)</f>
        <v>3.1764705882352939</v>
      </c>
      <c r="BC60" s="28">
        <v>1</v>
      </c>
      <c r="BD60" s="74">
        <v>0</v>
      </c>
      <c r="BE60" s="28">
        <v>18</v>
      </c>
      <c r="BF60" s="584">
        <v>17</v>
      </c>
      <c r="BG60" s="28">
        <v>12</v>
      </c>
      <c r="BH60" s="28">
        <v>6</v>
      </c>
      <c r="BI60" s="28">
        <v>9</v>
      </c>
      <c r="BJ60" s="28">
        <v>21</v>
      </c>
      <c r="BK60" s="28">
        <v>1</v>
      </c>
      <c r="BL60" s="89">
        <f>IFERROR((SEA_P186[[#This Row],[BB]]+SEA_P186[[#This Row],[H]])/SEA_P186[[#This Row],[IP]],0)</f>
        <v>1.2352941176470589</v>
      </c>
      <c r="BM60" s="28">
        <v>0</v>
      </c>
      <c r="BN60" s="90">
        <v>0</v>
      </c>
      <c r="BO60" s="28">
        <v>0</v>
      </c>
      <c r="BP60" s="74">
        <v>0</v>
      </c>
      <c r="BQ60" s="615">
        <v>9</v>
      </c>
    </row>
    <row r="61" spans="1:73" ht="17" thickBot="1">
      <c r="A61" s="651" t="s">
        <v>611</v>
      </c>
      <c r="B61" s="74" t="s">
        <v>215</v>
      </c>
      <c r="C61" s="87" t="s">
        <v>644</v>
      </c>
      <c r="D61" s="88">
        <f>IFERROR((SEA_P[[#This Row],[R]]*9)/SEA_P[[#This Row],[IP]],0)</f>
        <v>2.1318594551914729</v>
      </c>
      <c r="E61" s="28">
        <v>1</v>
      </c>
      <c r="F61" s="74">
        <v>2</v>
      </c>
      <c r="G61" s="28">
        <v>21</v>
      </c>
      <c r="H61" s="584">
        <v>25.33</v>
      </c>
      <c r="I61" s="28">
        <v>15</v>
      </c>
      <c r="J61" s="28">
        <v>6</v>
      </c>
      <c r="K61" s="28">
        <v>17</v>
      </c>
      <c r="L61" s="28">
        <v>31</v>
      </c>
      <c r="M61" s="76">
        <v>11</v>
      </c>
      <c r="N61" s="89">
        <f>IFERROR((SEA_P[[#This Row],[BB]]+SEA_P[[#This Row],[H]])/SEA_P[[#This Row],[IP]],0)</f>
        <v>1.2633241215949469</v>
      </c>
      <c r="O61" s="28">
        <v>0</v>
      </c>
      <c r="P61" s="90">
        <v>0</v>
      </c>
      <c r="Q61" s="28">
        <v>0</v>
      </c>
      <c r="R61" s="74">
        <v>0</v>
      </c>
      <c r="S61" s="615">
        <v>10</v>
      </c>
      <c r="Z61" s="651" t="s">
        <v>611</v>
      </c>
      <c r="AA61" s="74" t="s">
        <v>212</v>
      </c>
      <c r="AB61" s="87" t="s">
        <v>645</v>
      </c>
      <c r="AC61" s="88">
        <f>IFERROR((SEA_P200[[#This Row],[R]]*9)/SEA_P200[[#This Row],[IP]],0)</f>
        <v>4.2434633519074154</v>
      </c>
      <c r="AD61" s="28">
        <v>1</v>
      </c>
      <c r="AE61" s="74">
        <v>1</v>
      </c>
      <c r="AF61" s="28">
        <v>20</v>
      </c>
      <c r="AG61" s="584">
        <v>23.33</v>
      </c>
      <c r="AH61" s="28">
        <v>23</v>
      </c>
      <c r="AI61" s="28">
        <v>11</v>
      </c>
      <c r="AJ61" s="28">
        <v>4</v>
      </c>
      <c r="AK61" s="28">
        <v>34</v>
      </c>
      <c r="AL61" s="28">
        <v>7</v>
      </c>
      <c r="AM61" s="89">
        <f>IFERROR((SEA_P200[[#This Row],[BB]]+SEA_P200[[#This Row],[H]])/SEA_P200[[#This Row],[IP]],0)</f>
        <v>1.1573081868838406</v>
      </c>
      <c r="AN61" s="28">
        <v>0</v>
      </c>
      <c r="AO61" s="90">
        <v>0</v>
      </c>
      <c r="AP61" s="28">
        <v>0</v>
      </c>
      <c r="AQ61" s="74">
        <v>0</v>
      </c>
      <c r="AR61" s="615">
        <v>10</v>
      </c>
      <c r="AY61" s="651" t="s">
        <v>611</v>
      </c>
      <c r="AZ61" s="74" t="s">
        <v>212</v>
      </c>
      <c r="BA61" s="71" t="s">
        <v>646</v>
      </c>
      <c r="BB61" s="88">
        <f>IFERROR((SEA_P186[[#This Row],[R]]*9)/SEA_P186[[#This Row],[IP]],0)</f>
        <v>5.3989202159568084</v>
      </c>
      <c r="BC61" s="28">
        <v>1</v>
      </c>
      <c r="BD61" s="74">
        <v>3</v>
      </c>
      <c r="BE61" s="28">
        <v>16</v>
      </c>
      <c r="BF61" s="584">
        <v>16.670000000000002</v>
      </c>
      <c r="BG61" s="28">
        <v>18</v>
      </c>
      <c r="BH61" s="28">
        <v>10</v>
      </c>
      <c r="BI61" s="28">
        <v>9</v>
      </c>
      <c r="BJ61" s="28">
        <v>15</v>
      </c>
      <c r="BK61" s="28">
        <v>7</v>
      </c>
      <c r="BL61" s="89">
        <f>IFERROR((SEA_P186[[#This Row],[BB]]+SEA_P186[[#This Row],[H]])/SEA_P186[[#This Row],[IP]],0)</f>
        <v>1.6196760647870425</v>
      </c>
      <c r="BM61" s="28">
        <v>0</v>
      </c>
      <c r="BN61" s="90">
        <v>0</v>
      </c>
      <c r="BO61" s="28">
        <v>0</v>
      </c>
      <c r="BP61" s="74">
        <v>0</v>
      </c>
      <c r="BQ61" s="615">
        <v>10</v>
      </c>
    </row>
    <row r="62" spans="1:73" ht="17" thickBot="1">
      <c r="A62" s="789"/>
      <c r="B62" s="790"/>
      <c r="C62" s="791" t="s">
        <v>195</v>
      </c>
      <c r="D62" s="798">
        <f>(J62*9)/H62</f>
        <v>4.0537159062473931</v>
      </c>
      <c r="E62" s="794">
        <f>SUBTOTAL(109,SEA_P[W])</f>
        <v>24</v>
      </c>
      <c r="F62" s="796">
        <f>SUBTOTAL(109,SEA_P[L])</f>
        <v>16</v>
      </c>
      <c r="G62" s="794"/>
      <c r="H62" s="799">
        <f>SUBTOTAL(109,SEA_P[IP])</f>
        <v>359.67</v>
      </c>
      <c r="I62" s="794">
        <f>SUBTOTAL(109,SEA_P[H])</f>
        <v>387</v>
      </c>
      <c r="J62" s="794">
        <f>SUBTOTAL(109,SEA_P[R])</f>
        <v>162</v>
      </c>
      <c r="K62" s="794">
        <f>SUBTOTAL(109,SEA_P[BB])</f>
        <v>121</v>
      </c>
      <c r="L62" s="794">
        <f>SUBTOTAL(109,SEA_P[K])</f>
        <v>365</v>
      </c>
      <c r="M62" s="794">
        <f>SUBTOTAL(109,SEA_P[SV])</f>
        <v>11</v>
      </c>
      <c r="N62" s="800">
        <f>(K62+I62)/H62</f>
        <v>1.4124058164428503</v>
      </c>
      <c r="O62" s="801">
        <f>SUBTOTAL(109,SEA_P[QS])</f>
        <v>25</v>
      </c>
      <c r="P62" s="802">
        <f>SUBTOTAL(109,SEA_P[UQ])</f>
        <v>14</v>
      </c>
      <c r="Q62" s="803">
        <f>SUBTOTAL(109,SEA_P[CG])</f>
        <v>3</v>
      </c>
      <c r="R62" s="804">
        <f>SUBTOTAL(109,SEA_P[SH])</f>
        <v>3</v>
      </c>
      <c r="S62" s="797"/>
      <c r="Z62" s="789"/>
      <c r="AA62" s="790"/>
      <c r="AB62" s="791" t="s">
        <v>195</v>
      </c>
      <c r="AC62" s="798">
        <f>(AI62*9)/AG62</f>
        <v>3.9376070001902232</v>
      </c>
      <c r="AD62" s="794">
        <f>SUBTOTAL(109,SEA_P200[W])</f>
        <v>22</v>
      </c>
      <c r="AE62" s="796">
        <f>SUBTOTAL(109,SEA_P200[L])</f>
        <v>18</v>
      </c>
      <c r="AF62" s="794"/>
      <c r="AG62" s="799">
        <f>SUBTOTAL(109,SEA_P200[IP])</f>
        <v>367.98999999999995</v>
      </c>
      <c r="AH62" s="794">
        <f>SUBTOTAL(109,SEA_P200[H])</f>
        <v>349</v>
      </c>
      <c r="AI62" s="794">
        <f>SUBTOTAL(109,SEA_P200[R])</f>
        <v>161</v>
      </c>
      <c r="AJ62" s="794">
        <f>SUBTOTAL(109,SEA_P200[BB])</f>
        <v>131</v>
      </c>
      <c r="AK62" s="794">
        <f>SUBTOTAL(109,SEA_P200[K])</f>
        <v>374</v>
      </c>
      <c r="AL62" s="794">
        <f>SUBTOTAL(109,SEA_P200[SV])</f>
        <v>7</v>
      </c>
      <c r="AM62" s="800">
        <f>(AJ62+AH62)/AG62</f>
        <v>1.304383271284546</v>
      </c>
      <c r="AN62" s="801">
        <f>SUBTOTAL(109,SEA_P200[QS])</f>
        <v>23</v>
      </c>
      <c r="AO62" s="802">
        <f>SUBTOTAL(109,SEA_P200[UQ])</f>
        <v>12</v>
      </c>
      <c r="AP62" s="813">
        <f>SUBTOTAL(109,SEA_P200[CG])</f>
        <v>2</v>
      </c>
      <c r="AQ62" s="814">
        <f>SUBTOTAL(109,SEA_P200[SH])</f>
        <v>2</v>
      </c>
      <c r="AR62" s="797"/>
      <c r="AY62" s="789"/>
      <c r="AZ62" s="790"/>
      <c r="BA62" s="791" t="s">
        <v>195</v>
      </c>
      <c r="BB62" s="819">
        <f>(BH62*9)/BF62</f>
        <v>3.9008811200775599</v>
      </c>
      <c r="BC62" s="794">
        <f>SUBTOTAL(109,SEA_P186[W])</f>
        <v>20</v>
      </c>
      <c r="BD62" s="796">
        <f>SUBTOTAL(109,SEA_P186[L])</f>
        <v>20</v>
      </c>
      <c r="BE62" s="794"/>
      <c r="BF62" s="799">
        <f>SUBTOTAL(109,SEA_P186[IP])</f>
        <v>350.69000000000011</v>
      </c>
      <c r="BG62" s="794">
        <f>SUBTOTAL(109,SEA_P186[H])</f>
        <v>315</v>
      </c>
      <c r="BH62" s="795">
        <f>SUM(BH52:BH61)</f>
        <v>152</v>
      </c>
      <c r="BI62" s="794">
        <f>SUBTOTAL(109,SEA_P186[BB])</f>
        <v>113</v>
      </c>
      <c r="BJ62" s="794">
        <f>SUBTOTAL(109,SEA_P186[K])</f>
        <v>320</v>
      </c>
      <c r="BK62" s="794">
        <f>SUBTOTAL(109,SEA_P186[SV])</f>
        <v>8</v>
      </c>
      <c r="BL62" s="820">
        <f>(BI62+BG62)/BF62</f>
        <v>1.2204511106675406</v>
      </c>
      <c r="BM62" s="801">
        <f>SUBTOTAL(109,SEA_P186[QS])</f>
        <v>24</v>
      </c>
      <c r="BN62" s="821">
        <f>SUBTOTAL(109,SEA_P186[UQ])</f>
        <v>17</v>
      </c>
      <c r="BO62" s="822">
        <f>SUM(BO52:BO61)</f>
        <v>6</v>
      </c>
      <c r="BP62" s="804">
        <f>SUM(BP52:BP61)</f>
        <v>4</v>
      </c>
      <c r="BQ62" s="797"/>
    </row>
    <row r="63" spans="1:73" ht="17" thickBot="1"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</row>
    <row r="64" spans="1:73" ht="24" thickBot="1">
      <c r="A64" s="1024" t="s">
        <v>647</v>
      </c>
      <c r="B64" s="1025"/>
      <c r="C64" s="1025"/>
      <c r="D64" s="1025"/>
      <c r="E64" s="1025"/>
      <c r="F64" s="1025"/>
      <c r="G64" s="1025"/>
      <c r="H64" s="1025"/>
      <c r="I64" s="1025"/>
      <c r="J64" s="1025"/>
      <c r="K64" s="1025"/>
      <c r="L64" s="1025"/>
      <c r="M64" s="1025"/>
      <c r="N64" s="1025"/>
      <c r="O64" s="1025"/>
      <c r="P64" s="1025"/>
      <c r="Q64" s="1025"/>
      <c r="R64" s="1025"/>
      <c r="S64" s="1025"/>
      <c r="T64" s="1025"/>
      <c r="U64" s="1025"/>
      <c r="V64" s="1025"/>
      <c r="W64" s="1026"/>
      <c r="Z64" s="1024" t="s">
        <v>648</v>
      </c>
      <c r="AA64" s="1025"/>
      <c r="AB64" s="1025"/>
      <c r="AC64" s="1025"/>
      <c r="AD64" s="1025"/>
      <c r="AE64" s="1025"/>
      <c r="AF64" s="1025"/>
      <c r="AG64" s="1025"/>
      <c r="AH64" s="1025"/>
      <c r="AI64" s="1025"/>
      <c r="AJ64" s="1025"/>
      <c r="AK64" s="1025"/>
      <c r="AL64" s="1025"/>
      <c r="AM64" s="1025"/>
      <c r="AN64" s="1025"/>
      <c r="AO64" s="1025"/>
      <c r="AP64" s="1025"/>
      <c r="AQ64" s="1025"/>
      <c r="AR64" s="1025"/>
      <c r="AS64" s="1025"/>
      <c r="AT64" s="1025"/>
      <c r="AU64" s="1025"/>
      <c r="AV64" s="1026"/>
      <c r="AY64" s="1024" t="s">
        <v>649</v>
      </c>
      <c r="AZ64" s="1025"/>
      <c r="BA64" s="1025"/>
      <c r="BB64" s="1025"/>
      <c r="BC64" s="1025"/>
      <c r="BD64" s="1025"/>
      <c r="BE64" s="1025"/>
      <c r="BF64" s="1025"/>
      <c r="BG64" s="1025"/>
      <c r="BH64" s="1025"/>
      <c r="BI64" s="1025"/>
      <c r="BJ64" s="1025"/>
      <c r="BK64" s="1025"/>
      <c r="BL64" s="1025"/>
      <c r="BM64" s="1025"/>
      <c r="BN64" s="1025"/>
      <c r="BO64" s="1025"/>
      <c r="BP64" s="1025"/>
      <c r="BQ64" s="1025"/>
      <c r="BR64" s="1025"/>
      <c r="BS64" s="1025"/>
      <c r="BT64" s="1025"/>
      <c r="BU64" s="1026"/>
    </row>
    <row r="65" spans="1:73" s="108" customFormat="1" ht="15" thickBot="1">
      <c r="A65" s="605" t="s">
        <v>143</v>
      </c>
      <c r="B65" s="606" t="s">
        <v>144</v>
      </c>
      <c r="C65" s="606" t="s">
        <v>145</v>
      </c>
      <c r="D65" s="606" t="s">
        <v>146</v>
      </c>
      <c r="E65" s="606" t="s">
        <v>147</v>
      </c>
      <c r="F65" s="606" t="s">
        <v>148</v>
      </c>
      <c r="G65" s="606" t="s">
        <v>149</v>
      </c>
      <c r="H65" s="606" t="s">
        <v>150</v>
      </c>
      <c r="I65" s="606" t="s">
        <v>151</v>
      </c>
      <c r="J65" s="606" t="s">
        <v>152</v>
      </c>
      <c r="K65" s="606" t="s">
        <v>153</v>
      </c>
      <c r="L65" s="606" t="s">
        <v>154</v>
      </c>
      <c r="M65" s="606" t="s">
        <v>155</v>
      </c>
      <c r="N65" s="606" t="s">
        <v>156</v>
      </c>
      <c r="O65" s="606" t="s">
        <v>157</v>
      </c>
      <c r="P65" s="606" t="s">
        <v>158</v>
      </c>
      <c r="Q65" s="606" t="s">
        <v>159</v>
      </c>
      <c r="R65" s="606" t="s">
        <v>160</v>
      </c>
      <c r="S65" s="606" t="s">
        <v>16</v>
      </c>
      <c r="T65" s="606" t="s">
        <v>161</v>
      </c>
      <c r="U65" s="606" t="s">
        <v>162</v>
      </c>
      <c r="V65" s="606" t="s">
        <v>163</v>
      </c>
      <c r="W65" s="607" t="s">
        <v>164</v>
      </c>
      <c r="Z65" s="605" t="s">
        <v>143</v>
      </c>
      <c r="AA65" s="606" t="s">
        <v>144</v>
      </c>
      <c r="AB65" s="606" t="s">
        <v>145</v>
      </c>
      <c r="AC65" s="606" t="s">
        <v>146</v>
      </c>
      <c r="AD65" s="606" t="s">
        <v>147</v>
      </c>
      <c r="AE65" s="606" t="s">
        <v>148</v>
      </c>
      <c r="AF65" s="606" t="s">
        <v>149</v>
      </c>
      <c r="AG65" s="606" t="s">
        <v>150</v>
      </c>
      <c r="AH65" s="606" t="s">
        <v>151</v>
      </c>
      <c r="AI65" s="606" t="s">
        <v>152</v>
      </c>
      <c r="AJ65" s="606" t="s">
        <v>153</v>
      </c>
      <c r="AK65" s="606" t="s">
        <v>154</v>
      </c>
      <c r="AL65" s="606" t="s">
        <v>155</v>
      </c>
      <c r="AM65" s="606" t="s">
        <v>156</v>
      </c>
      <c r="AN65" s="606" t="s">
        <v>157</v>
      </c>
      <c r="AO65" s="606" t="s">
        <v>158</v>
      </c>
      <c r="AP65" s="606" t="s">
        <v>159</v>
      </c>
      <c r="AQ65" s="606" t="s">
        <v>160</v>
      </c>
      <c r="AR65" s="606" t="s">
        <v>16</v>
      </c>
      <c r="AS65" s="606" t="s">
        <v>161</v>
      </c>
      <c r="AT65" s="606" t="s">
        <v>162</v>
      </c>
      <c r="AU65" s="606" t="s">
        <v>163</v>
      </c>
      <c r="AV65" s="607" t="s">
        <v>164</v>
      </c>
      <c r="AY65" s="605" t="s">
        <v>143</v>
      </c>
      <c r="AZ65" s="606" t="s">
        <v>144</v>
      </c>
      <c r="BA65" s="606" t="s">
        <v>145</v>
      </c>
      <c r="BB65" s="606" t="s">
        <v>146</v>
      </c>
      <c r="BC65" s="606" t="s">
        <v>147</v>
      </c>
      <c r="BD65" s="606" t="s">
        <v>148</v>
      </c>
      <c r="BE65" s="606" t="s">
        <v>149</v>
      </c>
      <c r="BF65" s="606" t="s">
        <v>150</v>
      </c>
      <c r="BG65" s="606" t="s">
        <v>151</v>
      </c>
      <c r="BH65" s="606" t="s">
        <v>152</v>
      </c>
      <c r="BI65" s="606" t="s">
        <v>153</v>
      </c>
      <c r="BJ65" s="606" t="s">
        <v>154</v>
      </c>
      <c r="BK65" s="606" t="s">
        <v>155</v>
      </c>
      <c r="BL65" s="606" t="s">
        <v>156</v>
      </c>
      <c r="BM65" s="606" t="s">
        <v>157</v>
      </c>
      <c r="BN65" s="606" t="s">
        <v>158</v>
      </c>
      <c r="BO65" s="606" t="s">
        <v>159</v>
      </c>
      <c r="BP65" s="606" t="s">
        <v>160</v>
      </c>
      <c r="BQ65" s="606" t="s">
        <v>16</v>
      </c>
      <c r="BR65" s="606" t="s">
        <v>161</v>
      </c>
      <c r="BS65" s="606" t="s">
        <v>162</v>
      </c>
      <c r="BT65" s="606" t="s">
        <v>163</v>
      </c>
      <c r="BU65" s="607" t="s">
        <v>164</v>
      </c>
    </row>
    <row r="66" spans="1:73">
      <c r="A66" s="650" t="s">
        <v>650</v>
      </c>
      <c r="B66" s="597" t="s">
        <v>179</v>
      </c>
      <c r="C66" s="673" t="s">
        <v>657</v>
      </c>
      <c r="D66" s="598">
        <f>IFERROR(TEX_H[[#This Row],[H]]/TEX_H[[#This Row],[AB]],0)</f>
        <v>0.23026315789473684</v>
      </c>
      <c r="E66" s="598">
        <f>IFERROR((TEX_H[[#This Row],[H]]+TEX_H[[#This Row],[BB]])/(TEX_H[[#This Row],[BB]]+TEX_H[[#This Row],[AB]]),0)</f>
        <v>0.26874999999999999</v>
      </c>
      <c r="F66" s="599">
        <f>IFERROR(((TEX_H[[#This Row],[H]]-TEX_H[[#This Row],[2B]]-TEX_H[[#This Row],[3B]]-TEX_H[[#This Row],[HR]])+(TEX_H[[#This Row],[2B]]*2)+(TEX_H[[#This Row],[3B]]*3)+(TEX_H[[#This Row],[HR]]*4))/TEX_H[[#This Row],[AB]],0)</f>
        <v>0.39473684210526316</v>
      </c>
      <c r="G66" s="600">
        <v>36</v>
      </c>
      <c r="H66" s="600">
        <v>152</v>
      </c>
      <c r="I66" s="600">
        <v>18</v>
      </c>
      <c r="J66" s="600">
        <v>35</v>
      </c>
      <c r="K66" s="600">
        <v>4</v>
      </c>
      <c r="L66" s="600">
        <v>0</v>
      </c>
      <c r="M66" s="600">
        <v>7</v>
      </c>
      <c r="N66" s="600">
        <v>14</v>
      </c>
      <c r="O66" s="600">
        <v>8</v>
      </c>
      <c r="P66" s="604">
        <v>23</v>
      </c>
      <c r="Q66" s="600">
        <v>0</v>
      </c>
      <c r="R66" s="600">
        <v>0</v>
      </c>
      <c r="S66" s="604">
        <v>9</v>
      </c>
      <c r="T66" s="600">
        <f>IFERROR((TEX_H[[#This Row],[H]]-TEX_H[[#This Row],[2B]]-TEX_H[[#This Row],[3B]]-TEX_H[[#This Row],[HR]])+(TEX_H[[#This Row],[2B]]*2)+(TEX_H[[#This Row],[3B]]*3)+(TEX_H[[#This Row],[HR]]*4),0)</f>
        <v>60</v>
      </c>
      <c r="U66" s="598">
        <f>TEX_H[[#This Row],[OBP]]+TEX_H[[#This Row],[SLG]]</f>
        <v>0.6634868421052631</v>
      </c>
      <c r="V66" s="604">
        <v>1</v>
      </c>
      <c r="W66" s="614">
        <v>1</v>
      </c>
      <c r="Z66" s="650" t="s">
        <v>650</v>
      </c>
      <c r="AA66" s="597" t="s">
        <v>179</v>
      </c>
      <c r="AB66" s="673" t="s">
        <v>657</v>
      </c>
      <c r="AC66" s="706">
        <f>IFERROR(TEX_H199[[#This Row],[H]]/TEX_H199[[#This Row],[AB]],0)</f>
        <v>0.19863013698630136</v>
      </c>
      <c r="AD66" s="598">
        <f>IFERROR((TEX_H199[[#This Row],[H]]+TEX_H199[[#This Row],[BB]])/(TEX_H199[[#This Row],[BB]]+TEX_H199[[#This Row],[AB]]),0)</f>
        <v>0.24025974025974026</v>
      </c>
      <c r="AE66" s="599">
        <f>IFERROR(((TEX_H199[[#This Row],[H]]-TEX_H199[[#This Row],[2B]]-TEX_H199[[#This Row],[3B]]-TEX_H199[[#This Row],[HR]])+(TEX_H199[[#This Row],[2B]]*2)+(TEX_H199[[#This Row],[3B]]*3)+(TEX_H199[[#This Row],[HR]]*4))/TEX_H199[[#This Row],[AB]],0)</f>
        <v>0.34246575342465752</v>
      </c>
      <c r="AF66" s="600">
        <v>37</v>
      </c>
      <c r="AG66" s="600">
        <v>146</v>
      </c>
      <c r="AH66" s="600">
        <v>14</v>
      </c>
      <c r="AI66" s="600">
        <v>29</v>
      </c>
      <c r="AJ66" s="600">
        <v>7</v>
      </c>
      <c r="AK66" s="600">
        <v>1</v>
      </c>
      <c r="AL66" s="600">
        <v>4</v>
      </c>
      <c r="AM66" s="600">
        <v>13</v>
      </c>
      <c r="AN66" s="600">
        <v>8</v>
      </c>
      <c r="AO66" s="604">
        <v>33</v>
      </c>
      <c r="AP66" s="600">
        <v>0</v>
      </c>
      <c r="AQ66" s="600">
        <v>0</v>
      </c>
      <c r="AR66" s="604">
        <v>6</v>
      </c>
      <c r="AS66" s="600">
        <f>IFERROR((TEX_H199[[#This Row],[H]]-TEX_H199[[#This Row],[2B]]-TEX_H199[[#This Row],[3B]]-TEX_H199[[#This Row],[HR]])+(TEX_H199[[#This Row],[2B]]*2)+(TEX_H199[[#This Row],[3B]]*3)+(TEX_H199[[#This Row],[HR]]*4),0)</f>
        <v>50</v>
      </c>
      <c r="AT66" s="598">
        <f>TEX_H199[[#This Row],[OBP]]+TEX_H199[[#This Row],[SLG]]</f>
        <v>0.58272549368439774</v>
      </c>
      <c r="AU66" s="604">
        <v>1</v>
      </c>
      <c r="AV66" s="614">
        <v>1</v>
      </c>
      <c r="AY66" s="650" t="s">
        <v>650</v>
      </c>
      <c r="AZ66" s="604" t="s">
        <v>179</v>
      </c>
      <c r="BA66" s="597" t="s">
        <v>661</v>
      </c>
      <c r="BB66" s="598">
        <f>IFERROR(TEX_H185[[#This Row],[H]]/TEX_H185[[#This Row],[AB]],0)</f>
        <v>0.25287356321839083</v>
      </c>
      <c r="BC66" s="598">
        <f>IFERROR((TEX_H185[[#This Row],[H]]+TEX_H185[[#This Row],[BB]])/(TEX_H185[[#This Row],[AB]]+TEX_H185[[#This Row],[BB]]),0)</f>
        <v>0.2857142857142857</v>
      </c>
      <c r="BD66" s="599">
        <f>IFERROR(((TEX_H185[[#This Row],[H]]-TEX_H185[[#This Row],[2B]]-TEX_H185[[#This Row],[3B]]-TEX_H185[[#This Row],[HR]])+(TEX_H185[[#This Row],[2B]]*2)+(TEX_H185[[#This Row],[3B]]*3)+(TEX_H185[[#This Row],[HR]]*4))/TEX_H185[[#This Row],[AB]],0)</f>
        <v>0.42528735632183906</v>
      </c>
      <c r="BE66" s="600">
        <v>25</v>
      </c>
      <c r="BF66" s="600">
        <v>87</v>
      </c>
      <c r="BG66" s="600">
        <v>9</v>
      </c>
      <c r="BH66" s="600">
        <v>22</v>
      </c>
      <c r="BI66" s="600">
        <v>3</v>
      </c>
      <c r="BJ66" s="600">
        <v>0</v>
      </c>
      <c r="BK66" s="600">
        <v>4</v>
      </c>
      <c r="BL66" s="600">
        <v>10</v>
      </c>
      <c r="BM66" s="600">
        <v>4</v>
      </c>
      <c r="BN66" s="604">
        <v>22</v>
      </c>
      <c r="BO66" s="600">
        <v>0</v>
      </c>
      <c r="BP66" s="600">
        <v>0</v>
      </c>
      <c r="BQ66" s="604">
        <v>6</v>
      </c>
      <c r="BR66" s="600">
        <f>IFERROR((TEX_H185[[#This Row],[H]]-TEX_H185[[#This Row],[2B]]-TEX_H185[[#This Row],[3B]]-TEX_H185[[#This Row],[HR]])+(TEX_H185[[#This Row],[2B]]*2)+(TEX_H185[[#This Row],[3B]]*3)+(TEX_H185[[#This Row],[HR]]*4),0)</f>
        <v>37</v>
      </c>
      <c r="BS66" s="598">
        <f>IFERROR(TEX_H185[[#This Row],[OBP]]+TEX_H185[[#This Row],[SLG]],0)</f>
        <v>0.7110016420361247</v>
      </c>
      <c r="BT66" s="604">
        <v>1</v>
      </c>
      <c r="BU66" s="614">
        <v>1</v>
      </c>
    </row>
    <row r="67" spans="1:73">
      <c r="A67" s="651" t="s">
        <v>650</v>
      </c>
      <c r="B67" s="71" t="s">
        <v>154</v>
      </c>
      <c r="C67" s="71" t="s">
        <v>655</v>
      </c>
      <c r="D67" s="72">
        <f>IFERROR(TEX_H[[#This Row],[H]]/TEX_H[[#This Row],[AB]],0)</f>
        <v>0.28947368421052633</v>
      </c>
      <c r="E67" s="72">
        <f>IFERROR((TEX_H[[#This Row],[H]]+TEX_H[[#This Row],[BB]])/(TEX_H[[#This Row],[BB]]+TEX_H[[#This Row],[AB]]),0)</f>
        <v>0.3532934131736527</v>
      </c>
      <c r="F67" s="73">
        <f>IFERROR(((TEX_H[[#This Row],[H]]-TEX_H[[#This Row],[2B]]-TEX_H[[#This Row],[3B]]-TEX_H[[#This Row],[HR]])+(TEX_H[[#This Row],[2B]]*2)+(TEX_H[[#This Row],[3B]]*3)+(TEX_H[[#This Row],[HR]]*4))/TEX_H[[#This Row],[AB]],0)</f>
        <v>0.42105263157894735</v>
      </c>
      <c r="G67" s="28">
        <v>38</v>
      </c>
      <c r="H67" s="28">
        <v>152</v>
      </c>
      <c r="I67" s="28">
        <v>17</v>
      </c>
      <c r="J67" s="28">
        <v>44</v>
      </c>
      <c r="K67" s="28">
        <v>5</v>
      </c>
      <c r="L67" s="28">
        <v>0</v>
      </c>
      <c r="M67" s="28">
        <v>5</v>
      </c>
      <c r="N67" s="28">
        <v>18</v>
      </c>
      <c r="O67" s="28">
        <v>15</v>
      </c>
      <c r="P67" s="74">
        <v>33</v>
      </c>
      <c r="Q67" s="28">
        <v>0</v>
      </c>
      <c r="R67" s="28">
        <v>1</v>
      </c>
      <c r="S67" s="74">
        <v>5</v>
      </c>
      <c r="T67" s="28">
        <f>IFERROR((TEX_H[[#This Row],[H]]-TEX_H[[#This Row],[2B]]-TEX_H[[#This Row],[3B]]-TEX_H[[#This Row],[HR]])+(TEX_H[[#This Row],[2B]]*2)+(TEX_H[[#This Row],[3B]]*3)+(TEX_H[[#This Row],[HR]]*4),0)</f>
        <v>64</v>
      </c>
      <c r="U67" s="72">
        <f>TEX_H[[#This Row],[OBP]]+TEX_H[[#This Row],[SLG]]</f>
        <v>0.77434604475260005</v>
      </c>
      <c r="V67" s="74">
        <v>1</v>
      </c>
      <c r="W67" s="615">
        <v>2</v>
      </c>
      <c r="Z67" s="651" t="s">
        <v>650</v>
      </c>
      <c r="AA67" s="71" t="s">
        <v>154</v>
      </c>
      <c r="AB67" s="71" t="s">
        <v>655</v>
      </c>
      <c r="AC67" s="72">
        <f>IFERROR(TEX_H199[[#This Row],[H]]/TEX_H199[[#This Row],[AB]],0)</f>
        <v>0.29192546583850931</v>
      </c>
      <c r="AD67" s="72">
        <f>IFERROR((TEX_H199[[#This Row],[H]]+TEX_H199[[#This Row],[BB]])/(TEX_H199[[#This Row],[BB]]+TEX_H199[[#This Row],[AB]]),0)</f>
        <v>0.31736526946107785</v>
      </c>
      <c r="AE67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0.453416149068323</v>
      </c>
      <c r="AF67" s="28">
        <v>39</v>
      </c>
      <c r="AG67" s="28">
        <v>161</v>
      </c>
      <c r="AH67" s="28">
        <v>18</v>
      </c>
      <c r="AI67" s="28">
        <v>47</v>
      </c>
      <c r="AJ67" s="28">
        <v>8</v>
      </c>
      <c r="AK67" s="28">
        <v>0</v>
      </c>
      <c r="AL67" s="28">
        <v>6</v>
      </c>
      <c r="AM67" s="28">
        <v>20</v>
      </c>
      <c r="AN67" s="28">
        <v>6</v>
      </c>
      <c r="AO67" s="74">
        <v>27</v>
      </c>
      <c r="AP67" s="28">
        <v>0</v>
      </c>
      <c r="AQ67" s="28">
        <v>6</v>
      </c>
      <c r="AR67" s="74">
        <v>6</v>
      </c>
      <c r="AS67" s="28">
        <f>IFERROR((TEX_H199[[#This Row],[H]]-TEX_H199[[#This Row],[2B]]-TEX_H199[[#This Row],[3B]]-TEX_H199[[#This Row],[HR]])+(TEX_H199[[#This Row],[2B]]*2)+(TEX_H199[[#This Row],[3B]]*3)+(TEX_H199[[#This Row],[HR]]*4),0)</f>
        <v>73</v>
      </c>
      <c r="AT67" s="72">
        <f>TEX_H199[[#This Row],[OBP]]+TEX_H199[[#This Row],[SLG]]</f>
        <v>0.77078141852940085</v>
      </c>
      <c r="AU67" s="74">
        <v>2</v>
      </c>
      <c r="AV67" s="615">
        <v>2</v>
      </c>
      <c r="AY67" s="651" t="s">
        <v>650</v>
      </c>
      <c r="AZ67" s="74" t="s">
        <v>154</v>
      </c>
      <c r="BA67" s="71" t="s">
        <v>655</v>
      </c>
      <c r="BB67" s="72">
        <f>IFERROR(TEX_H185[[#This Row],[H]]/TEX_H185[[#This Row],[AB]],0)</f>
        <v>0.24503311258278146</v>
      </c>
      <c r="BC67" s="72">
        <f>IFERROR((TEX_H185[[#This Row],[H]]+TEX_H185[[#This Row],[BB]])/(TEX_H185[[#This Row],[AB]]+TEX_H185[[#This Row],[BB]]),0)</f>
        <v>0.31325301204819278</v>
      </c>
      <c r="BD67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0.37748344370860926</v>
      </c>
      <c r="BE67" s="28">
        <v>38</v>
      </c>
      <c r="BF67" s="28">
        <v>151</v>
      </c>
      <c r="BG67" s="28">
        <v>11</v>
      </c>
      <c r="BH67" s="28">
        <v>37</v>
      </c>
      <c r="BI67" s="28">
        <v>5</v>
      </c>
      <c r="BJ67" s="28">
        <v>0</v>
      </c>
      <c r="BK67" s="28">
        <v>5</v>
      </c>
      <c r="BL67" s="28">
        <v>24</v>
      </c>
      <c r="BM67" s="28">
        <v>15</v>
      </c>
      <c r="BN67" s="74">
        <v>30</v>
      </c>
      <c r="BO67" s="28">
        <v>0</v>
      </c>
      <c r="BP67" s="28">
        <v>4</v>
      </c>
      <c r="BQ67" s="74">
        <v>7</v>
      </c>
      <c r="BR67" s="28">
        <f>IFERROR((TEX_H185[[#This Row],[H]]-TEX_H185[[#This Row],[2B]]-TEX_H185[[#This Row],[3B]]-TEX_H185[[#This Row],[HR]])+(TEX_H185[[#This Row],[2B]]*2)+(TEX_H185[[#This Row],[3B]]*3)+(TEX_H185[[#This Row],[HR]]*4),0)</f>
        <v>57</v>
      </c>
      <c r="BS67" s="72">
        <f>IFERROR(TEX_H185[[#This Row],[OBP]]+TEX_H185[[#This Row],[SLG]],0)</f>
        <v>0.69073645575680209</v>
      </c>
      <c r="BT67" s="74">
        <v>0</v>
      </c>
      <c r="BU67" s="615">
        <v>2</v>
      </c>
    </row>
    <row r="68" spans="1:73">
      <c r="A68" s="651" t="s">
        <v>650</v>
      </c>
      <c r="B68" s="77" t="s">
        <v>172</v>
      </c>
      <c r="C68" s="77" t="s">
        <v>651</v>
      </c>
      <c r="D68" s="996">
        <f>IFERROR(TEX_H[[#This Row],[H]]/TEX_H[[#This Row],[AB]],0)</f>
        <v>0.27972027972027974</v>
      </c>
      <c r="E68" s="72">
        <f>IFERROR((TEX_H[[#This Row],[H]]+TEX_H[[#This Row],[BB]])/(TEX_H[[#This Row],[BB]]+TEX_H[[#This Row],[AB]]),0)</f>
        <v>0.34394904458598724</v>
      </c>
      <c r="F68" s="73">
        <f>IFERROR(((TEX_H[[#This Row],[H]]-TEX_H[[#This Row],[2B]]-TEX_H[[#This Row],[3B]]-TEX_H[[#This Row],[HR]])+(TEX_H[[#This Row],[2B]]*2)+(TEX_H[[#This Row],[3B]]*3)+(TEX_H[[#This Row],[HR]]*4))/TEX_H[[#This Row],[AB]],0)</f>
        <v>0.5174825174825175</v>
      </c>
      <c r="G68" s="28">
        <v>35</v>
      </c>
      <c r="H68" s="28">
        <v>143</v>
      </c>
      <c r="I68" s="28">
        <v>20</v>
      </c>
      <c r="J68" s="28">
        <v>40</v>
      </c>
      <c r="K68" s="28">
        <v>16</v>
      </c>
      <c r="L68" s="28">
        <v>0</v>
      </c>
      <c r="M68" s="28">
        <v>6</v>
      </c>
      <c r="N68" s="28">
        <v>17</v>
      </c>
      <c r="O68" s="28">
        <v>14</v>
      </c>
      <c r="P68" s="74">
        <v>32</v>
      </c>
      <c r="Q68" s="28">
        <v>0</v>
      </c>
      <c r="R68" s="28">
        <v>2</v>
      </c>
      <c r="S68" s="74">
        <v>6</v>
      </c>
      <c r="T68" s="28">
        <f>IFERROR((TEX_H[[#This Row],[H]]-TEX_H[[#This Row],[2B]]-TEX_H[[#This Row],[3B]]-TEX_H[[#This Row],[HR]])+(TEX_H[[#This Row],[2B]]*2)+(TEX_H[[#This Row],[3B]]*3)+(TEX_H[[#This Row],[HR]]*4),0)</f>
        <v>74</v>
      </c>
      <c r="U68" s="72">
        <f>TEX_H[[#This Row],[OBP]]+TEX_H[[#This Row],[SLG]]</f>
        <v>0.86143156206850469</v>
      </c>
      <c r="V68" s="74">
        <v>2</v>
      </c>
      <c r="W68" s="615">
        <v>3</v>
      </c>
      <c r="Z68" s="651" t="s">
        <v>650</v>
      </c>
      <c r="AA68" s="71" t="s">
        <v>172</v>
      </c>
      <c r="AB68" s="77" t="s">
        <v>651</v>
      </c>
      <c r="AC68" s="130">
        <f>IFERROR(TEX_H199[[#This Row],[H]]/TEX_H199[[#This Row],[AB]],0)</f>
        <v>0.2986111111111111</v>
      </c>
      <c r="AD68" s="72">
        <f>IFERROR((TEX_H199[[#This Row],[H]]+TEX_H199[[#This Row],[BB]])/(TEX_H199[[#This Row],[BB]]+TEX_H199[[#This Row],[AB]]),0)</f>
        <v>0.35668789808917195</v>
      </c>
      <c r="AE68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0.4375</v>
      </c>
      <c r="AF68" s="28">
        <v>36</v>
      </c>
      <c r="AG68" s="28">
        <v>144</v>
      </c>
      <c r="AH68" s="28">
        <v>20</v>
      </c>
      <c r="AI68" s="28">
        <v>43</v>
      </c>
      <c r="AJ68" s="28">
        <v>11</v>
      </c>
      <c r="AK68" s="28">
        <v>0</v>
      </c>
      <c r="AL68" s="28">
        <v>3</v>
      </c>
      <c r="AM68" s="28">
        <v>13</v>
      </c>
      <c r="AN68" s="28">
        <v>13</v>
      </c>
      <c r="AO68" s="74">
        <v>32</v>
      </c>
      <c r="AP68" s="28">
        <v>0</v>
      </c>
      <c r="AQ68" s="28">
        <v>3</v>
      </c>
      <c r="AR68" s="74">
        <v>13</v>
      </c>
      <c r="AS68" s="28">
        <f>IFERROR((TEX_H199[[#This Row],[H]]-TEX_H199[[#This Row],[2B]]-TEX_H199[[#This Row],[3B]]-TEX_H199[[#This Row],[HR]])+(TEX_H199[[#This Row],[2B]]*2)+(TEX_H199[[#This Row],[3B]]*3)+(TEX_H199[[#This Row],[HR]]*4),0)</f>
        <v>63</v>
      </c>
      <c r="AT68" s="72">
        <f>TEX_H199[[#This Row],[OBP]]+TEX_H199[[#This Row],[SLG]]</f>
        <v>0.7941878980891719</v>
      </c>
      <c r="AU68" s="74">
        <v>1</v>
      </c>
      <c r="AV68" s="615">
        <v>3</v>
      </c>
      <c r="AY68" s="651" t="s">
        <v>650</v>
      </c>
      <c r="AZ68" s="74" t="s">
        <v>172</v>
      </c>
      <c r="BA68" s="71" t="s">
        <v>660</v>
      </c>
      <c r="BB68" s="72">
        <f>IFERROR(TEX_H185[[#This Row],[H]]/TEX_H185[[#This Row],[AB]],0)</f>
        <v>0.25409836065573771</v>
      </c>
      <c r="BC68" s="72">
        <f>IFERROR((TEX_H185[[#This Row],[H]]+TEX_H185[[#This Row],[BB]])/(TEX_H185[[#This Row],[AB]]+TEX_H185[[#This Row],[BB]]),0)</f>
        <v>0.29457364341085274</v>
      </c>
      <c r="BD68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0.31967213114754101</v>
      </c>
      <c r="BE68" s="28">
        <v>34</v>
      </c>
      <c r="BF68" s="28">
        <v>122</v>
      </c>
      <c r="BG68" s="28">
        <v>12</v>
      </c>
      <c r="BH68" s="28">
        <v>31</v>
      </c>
      <c r="BI68" s="28">
        <v>5</v>
      </c>
      <c r="BJ68" s="28">
        <v>0</v>
      </c>
      <c r="BK68" s="28">
        <v>1</v>
      </c>
      <c r="BL68" s="28">
        <v>13</v>
      </c>
      <c r="BM68" s="28">
        <v>7</v>
      </c>
      <c r="BN68" s="74">
        <v>28</v>
      </c>
      <c r="BO68" s="28">
        <v>1</v>
      </c>
      <c r="BP68" s="28">
        <v>7</v>
      </c>
      <c r="BQ68" s="74">
        <v>7</v>
      </c>
      <c r="BR68" s="28">
        <f>IFERROR((TEX_H185[[#This Row],[H]]-TEX_H185[[#This Row],[2B]]-TEX_H185[[#This Row],[3B]]-TEX_H185[[#This Row],[HR]])+(TEX_H185[[#This Row],[2B]]*2)+(TEX_H185[[#This Row],[3B]]*3)+(TEX_H185[[#This Row],[HR]]*4),0)</f>
        <v>39</v>
      </c>
      <c r="BS68" s="72">
        <f>IFERROR(TEX_H185[[#This Row],[OBP]]+TEX_H185[[#This Row],[SLG]],0)</f>
        <v>0.6142457745583938</v>
      </c>
      <c r="BT68" s="74">
        <v>2</v>
      </c>
      <c r="BU68" s="615">
        <v>3</v>
      </c>
    </row>
    <row r="69" spans="1:73">
      <c r="A69" s="651" t="s">
        <v>650</v>
      </c>
      <c r="B69" s="71" t="s">
        <v>153</v>
      </c>
      <c r="C69" s="71" t="s">
        <v>274</v>
      </c>
      <c r="D69" s="72">
        <f>IFERROR(TEX_H[[#This Row],[H]]/TEX_H[[#This Row],[AB]],0)</f>
        <v>0.20155038759689922</v>
      </c>
      <c r="E69" s="72">
        <f>IFERROR((TEX_H[[#This Row],[H]]+TEX_H[[#This Row],[BB]])/(TEX_H[[#This Row],[BB]]+TEX_H[[#This Row],[AB]]),0)</f>
        <v>0.27464788732394368</v>
      </c>
      <c r="F69" s="73">
        <f>IFERROR(((TEX_H[[#This Row],[H]]-TEX_H[[#This Row],[2B]]-TEX_H[[#This Row],[3B]]-TEX_H[[#This Row],[HR]])+(TEX_H[[#This Row],[2B]]*2)+(TEX_H[[#This Row],[3B]]*3)+(TEX_H[[#This Row],[HR]]*4))/TEX_H[[#This Row],[AB]],0)</f>
        <v>0.37984496124031009</v>
      </c>
      <c r="G69" s="28">
        <v>33</v>
      </c>
      <c r="H69" s="28">
        <v>129</v>
      </c>
      <c r="I69" s="28">
        <v>15</v>
      </c>
      <c r="J69" s="28">
        <v>26</v>
      </c>
      <c r="K69" s="28">
        <v>8</v>
      </c>
      <c r="L69" s="28">
        <v>0</v>
      </c>
      <c r="M69" s="28">
        <v>5</v>
      </c>
      <c r="N69" s="28">
        <v>20</v>
      </c>
      <c r="O69" s="28">
        <v>13</v>
      </c>
      <c r="P69" s="74">
        <v>34</v>
      </c>
      <c r="Q69" s="28">
        <v>0</v>
      </c>
      <c r="R69" s="28">
        <v>1</v>
      </c>
      <c r="S69" s="74">
        <v>6</v>
      </c>
      <c r="T69" s="28">
        <f>IFERROR((TEX_H[[#This Row],[H]]-TEX_H[[#This Row],[2B]]-TEX_H[[#This Row],[3B]]-TEX_H[[#This Row],[HR]])+(TEX_H[[#This Row],[2B]]*2)+(TEX_H[[#This Row],[3B]]*3)+(TEX_H[[#This Row],[HR]]*4),0)</f>
        <v>49</v>
      </c>
      <c r="U69" s="72">
        <f>TEX_H[[#This Row],[OBP]]+TEX_H[[#This Row],[SLG]]</f>
        <v>0.65449284856425383</v>
      </c>
      <c r="V69" s="74">
        <v>3</v>
      </c>
      <c r="W69" s="615">
        <v>4</v>
      </c>
      <c r="Z69" s="651" t="s">
        <v>650</v>
      </c>
      <c r="AA69" s="71" t="s">
        <v>153</v>
      </c>
      <c r="AB69" s="71" t="s">
        <v>274</v>
      </c>
      <c r="AC69" s="72">
        <f>IFERROR(TEX_H199[[#This Row],[H]]/TEX_H199[[#This Row],[AB]],0)</f>
        <v>0.26277372262773724</v>
      </c>
      <c r="AD69" s="72">
        <f>IFERROR((TEX_H199[[#This Row],[H]]+TEX_H199[[#This Row],[BB]])/(TEX_H199[[#This Row],[BB]]+TEX_H199[[#This Row],[AB]]),0)</f>
        <v>0.35256410256410259</v>
      </c>
      <c r="AE69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0.43065693430656932</v>
      </c>
      <c r="AF69" s="28">
        <v>38</v>
      </c>
      <c r="AG69" s="28">
        <v>137</v>
      </c>
      <c r="AH69" s="28">
        <v>18</v>
      </c>
      <c r="AI69" s="28">
        <v>36</v>
      </c>
      <c r="AJ69" s="28">
        <v>11</v>
      </c>
      <c r="AK69" s="28">
        <v>3</v>
      </c>
      <c r="AL69" s="28">
        <v>2</v>
      </c>
      <c r="AM69" s="28">
        <v>9</v>
      </c>
      <c r="AN69" s="28">
        <v>19</v>
      </c>
      <c r="AO69" s="74">
        <v>30</v>
      </c>
      <c r="AP69" s="28">
        <v>0</v>
      </c>
      <c r="AQ69" s="28">
        <v>3</v>
      </c>
      <c r="AR69" s="74">
        <v>3</v>
      </c>
      <c r="AS69" s="28">
        <f>IFERROR((TEX_H199[[#This Row],[H]]-TEX_H199[[#This Row],[2B]]-TEX_H199[[#This Row],[3B]]-TEX_H199[[#This Row],[HR]])+(TEX_H199[[#This Row],[2B]]*2)+(TEX_H199[[#This Row],[3B]]*3)+(TEX_H199[[#This Row],[HR]]*4),0)</f>
        <v>59</v>
      </c>
      <c r="AT69" s="72">
        <f>TEX_H199[[#This Row],[OBP]]+TEX_H199[[#This Row],[SLG]]</f>
        <v>0.78322103687067191</v>
      </c>
      <c r="AU69" s="74">
        <v>1</v>
      </c>
      <c r="AV69" s="615">
        <v>4</v>
      </c>
      <c r="AY69" s="651" t="s">
        <v>650</v>
      </c>
      <c r="AZ69" s="74" t="s">
        <v>153</v>
      </c>
      <c r="BA69" s="71" t="s">
        <v>666</v>
      </c>
      <c r="BB69" s="72">
        <f>IFERROR(TEX_H185[[#This Row],[H]]/TEX_H185[[#This Row],[AB]],0)</f>
        <v>0.1744186046511628</v>
      </c>
      <c r="BC69" s="72">
        <f>IFERROR((TEX_H185[[#This Row],[H]]+TEX_H185[[#This Row],[BB]])/(TEX_H185[[#This Row],[AB]]+TEX_H185[[#This Row],[BB]]),0)</f>
        <v>0.24468085106382978</v>
      </c>
      <c r="BD69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0.23255813953488372</v>
      </c>
      <c r="BE69" s="28">
        <v>27</v>
      </c>
      <c r="BF69" s="28">
        <v>86</v>
      </c>
      <c r="BG69" s="28">
        <v>11</v>
      </c>
      <c r="BH69" s="28">
        <v>15</v>
      </c>
      <c r="BI69" s="28">
        <v>5</v>
      </c>
      <c r="BJ69" s="28">
        <v>0</v>
      </c>
      <c r="BK69" s="28">
        <v>0</v>
      </c>
      <c r="BL69" s="28">
        <v>1</v>
      </c>
      <c r="BM69" s="28">
        <v>8</v>
      </c>
      <c r="BN69" s="74">
        <v>19</v>
      </c>
      <c r="BO69" s="28">
        <v>0</v>
      </c>
      <c r="BP69" s="28">
        <v>0</v>
      </c>
      <c r="BQ69" s="74">
        <v>3</v>
      </c>
      <c r="BR69" s="28">
        <f>IFERROR((TEX_H185[[#This Row],[H]]-TEX_H185[[#This Row],[2B]]-TEX_H185[[#This Row],[3B]]-TEX_H185[[#This Row],[HR]])+(TEX_H185[[#This Row],[2B]]*2)+(TEX_H185[[#This Row],[3B]]*3)+(TEX_H185[[#This Row],[HR]]*4),0)</f>
        <v>20</v>
      </c>
      <c r="BS69" s="72">
        <f>IFERROR(TEX_H185[[#This Row],[OBP]]+TEX_H185[[#This Row],[SLG]],0)</f>
        <v>0.4772389905987135</v>
      </c>
      <c r="BT69" s="74">
        <v>0</v>
      </c>
      <c r="BU69" s="615">
        <v>4</v>
      </c>
    </row>
    <row r="70" spans="1:73">
      <c r="A70" s="651" t="s">
        <v>650</v>
      </c>
      <c r="B70" s="71" t="s">
        <v>177</v>
      </c>
      <c r="C70" s="71" t="s">
        <v>652</v>
      </c>
      <c r="D70" s="72">
        <f>IFERROR(TEX_H[[#This Row],[H]]/TEX_H[[#This Row],[AB]],0)</f>
        <v>0.28813559322033899</v>
      </c>
      <c r="E70" s="72">
        <f>IFERROR((TEX_H[[#This Row],[H]]+TEX_H[[#This Row],[BB]])/(TEX_H[[#This Row],[BB]]+TEX_H[[#This Row],[AB]]),0)</f>
        <v>0.37777777777777777</v>
      </c>
      <c r="F70" s="73">
        <f>IFERROR(((TEX_H[[#This Row],[H]]-TEX_H[[#This Row],[2B]]-TEX_H[[#This Row],[3B]]-TEX_H[[#This Row],[HR]])+(TEX_H[[#This Row],[2B]]*2)+(TEX_H[[#This Row],[3B]]*3)+(TEX_H[[#This Row],[HR]]*4))/TEX_H[[#This Row],[AB]],0)</f>
        <v>0.40677966101694918</v>
      </c>
      <c r="G70" s="28">
        <v>33</v>
      </c>
      <c r="H70" s="28">
        <v>118</v>
      </c>
      <c r="I70" s="28">
        <v>8</v>
      </c>
      <c r="J70" s="28">
        <v>34</v>
      </c>
      <c r="K70" s="28">
        <v>8</v>
      </c>
      <c r="L70" s="28">
        <v>0</v>
      </c>
      <c r="M70" s="28">
        <v>2</v>
      </c>
      <c r="N70" s="28">
        <v>14</v>
      </c>
      <c r="O70" s="28">
        <v>17</v>
      </c>
      <c r="P70" s="74">
        <v>31</v>
      </c>
      <c r="Q70" s="28">
        <v>0</v>
      </c>
      <c r="R70" s="28">
        <v>4</v>
      </c>
      <c r="S70" s="74">
        <v>7</v>
      </c>
      <c r="T70" s="28">
        <f>IFERROR((TEX_H[[#This Row],[H]]-TEX_H[[#This Row],[2B]]-TEX_H[[#This Row],[3B]]-TEX_H[[#This Row],[HR]])+(TEX_H[[#This Row],[2B]]*2)+(TEX_H[[#This Row],[3B]]*3)+(TEX_H[[#This Row],[HR]]*4),0)</f>
        <v>48</v>
      </c>
      <c r="U70" s="72">
        <f>TEX_H[[#This Row],[OBP]]+TEX_H[[#This Row],[SLG]]</f>
        <v>0.78455743879472695</v>
      </c>
      <c r="V70" s="74">
        <v>2</v>
      </c>
      <c r="W70" s="615">
        <v>5</v>
      </c>
      <c r="Z70" s="651" t="s">
        <v>650</v>
      </c>
      <c r="AA70" s="345" t="s">
        <v>177</v>
      </c>
      <c r="AB70" s="71" t="s">
        <v>652</v>
      </c>
      <c r="AC70" s="72">
        <f>IFERROR(TEX_H199[[#This Row],[H]]/TEX_H199[[#This Row],[AB]],0)</f>
        <v>0.32</v>
      </c>
      <c r="AD70" s="72">
        <f>IFERROR((TEX_H199[[#This Row],[H]]+TEX_H199[[#This Row],[BB]])/(TEX_H199[[#This Row],[BB]]+TEX_H199[[#This Row],[AB]]),0)</f>
        <v>0.39644970414201186</v>
      </c>
      <c r="AE70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0.53333333333333333</v>
      </c>
      <c r="AF70" s="28">
        <v>39</v>
      </c>
      <c r="AG70" s="28">
        <v>150</v>
      </c>
      <c r="AH70" s="28">
        <v>21</v>
      </c>
      <c r="AI70" s="28">
        <v>48</v>
      </c>
      <c r="AJ70" s="28">
        <v>6</v>
      </c>
      <c r="AK70" s="28">
        <v>1</v>
      </c>
      <c r="AL70" s="28">
        <v>8</v>
      </c>
      <c r="AM70" s="28">
        <v>21</v>
      </c>
      <c r="AN70" s="28">
        <v>19</v>
      </c>
      <c r="AO70" s="74">
        <v>41</v>
      </c>
      <c r="AP70" s="28">
        <v>0</v>
      </c>
      <c r="AQ70" s="28">
        <v>1</v>
      </c>
      <c r="AR70" s="74">
        <v>14</v>
      </c>
      <c r="AS70" s="28">
        <f>IFERROR((TEX_H199[[#This Row],[H]]-TEX_H199[[#This Row],[2B]]-TEX_H199[[#This Row],[3B]]-TEX_H199[[#This Row],[HR]])+(TEX_H199[[#This Row],[2B]]*2)+(TEX_H199[[#This Row],[3B]]*3)+(TEX_H199[[#This Row],[HR]]*4),0)</f>
        <v>80</v>
      </c>
      <c r="AT70" s="72">
        <f>TEX_H199[[#This Row],[OBP]]+TEX_H199[[#This Row],[SLG]]</f>
        <v>0.92978303747534519</v>
      </c>
      <c r="AU70" s="74">
        <v>1</v>
      </c>
      <c r="AV70" s="615">
        <v>5</v>
      </c>
      <c r="AY70" s="651" t="s">
        <v>650</v>
      </c>
      <c r="AZ70" s="74" t="s">
        <v>177</v>
      </c>
      <c r="BA70" s="71" t="s">
        <v>652</v>
      </c>
      <c r="BB70" s="72">
        <f>IFERROR(TEX_H185[[#This Row],[H]]/TEX_H185[[#This Row],[AB]],0)</f>
        <v>0.22818791946308725</v>
      </c>
      <c r="BC70" s="72">
        <f>IFERROR((TEX_H185[[#This Row],[H]]+TEX_H185[[#This Row],[BB]])/(TEX_H185[[#This Row],[AB]]+TEX_H185[[#This Row],[BB]]),0)</f>
        <v>0.27215189873417722</v>
      </c>
      <c r="BD70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0.41610738255033558</v>
      </c>
      <c r="BE70" s="28">
        <v>38</v>
      </c>
      <c r="BF70" s="28">
        <v>149</v>
      </c>
      <c r="BG70" s="28">
        <v>14</v>
      </c>
      <c r="BH70" s="28">
        <v>34</v>
      </c>
      <c r="BI70" s="28">
        <v>7</v>
      </c>
      <c r="BJ70" s="28">
        <v>0</v>
      </c>
      <c r="BK70" s="28">
        <v>7</v>
      </c>
      <c r="BL70" s="28">
        <v>11</v>
      </c>
      <c r="BM70" s="28">
        <v>9</v>
      </c>
      <c r="BN70" s="74">
        <v>38</v>
      </c>
      <c r="BO70" s="28">
        <v>0</v>
      </c>
      <c r="BP70" s="28">
        <v>0</v>
      </c>
      <c r="BQ70" s="74">
        <v>5</v>
      </c>
      <c r="BR70" s="28">
        <f>IFERROR((TEX_H185[[#This Row],[H]]-TEX_H185[[#This Row],[2B]]-TEX_H185[[#This Row],[3B]]-TEX_H185[[#This Row],[HR]])+(TEX_H185[[#This Row],[2B]]*2)+(TEX_H185[[#This Row],[3B]]*3)+(TEX_H185[[#This Row],[HR]]*4),0)</f>
        <v>62</v>
      </c>
      <c r="BS70" s="72">
        <f>IFERROR(TEX_H185[[#This Row],[OBP]]+TEX_H185[[#This Row],[SLG]],0)</f>
        <v>0.68825928128451275</v>
      </c>
      <c r="BT70" s="74">
        <v>1</v>
      </c>
      <c r="BU70" s="615">
        <v>5</v>
      </c>
    </row>
    <row r="71" spans="1:73">
      <c r="A71" s="651" t="s">
        <v>650</v>
      </c>
      <c r="B71" s="71" t="s">
        <v>234</v>
      </c>
      <c r="C71" s="71" t="s">
        <v>659</v>
      </c>
      <c r="D71" s="72">
        <f>IFERROR(TEX_H[[#This Row],[H]]/TEX_H[[#This Row],[AB]],0)</f>
        <v>0.21167883211678831</v>
      </c>
      <c r="E71" s="72">
        <f>IFERROR((TEX_H[[#This Row],[H]]+TEX_H[[#This Row],[BB]])/(TEX_H[[#This Row],[BB]]+TEX_H[[#This Row],[AB]]),0)</f>
        <v>0.26530612244897961</v>
      </c>
      <c r="F71" s="73">
        <f>IFERROR(((TEX_H[[#This Row],[H]]-TEX_H[[#This Row],[2B]]-TEX_H[[#This Row],[3B]]-TEX_H[[#This Row],[HR]])+(TEX_H[[#This Row],[2B]]*2)+(TEX_H[[#This Row],[3B]]*3)+(TEX_H[[#This Row],[HR]]*4))/TEX_H[[#This Row],[AB]],0)</f>
        <v>0.41605839416058393</v>
      </c>
      <c r="G71" s="28">
        <v>37</v>
      </c>
      <c r="H71" s="28">
        <v>137</v>
      </c>
      <c r="I71" s="28">
        <v>18</v>
      </c>
      <c r="J71" s="28">
        <v>29</v>
      </c>
      <c r="K71" s="28">
        <v>8</v>
      </c>
      <c r="L71" s="28">
        <v>1</v>
      </c>
      <c r="M71" s="28">
        <v>6</v>
      </c>
      <c r="N71" s="28">
        <v>11</v>
      </c>
      <c r="O71" s="28">
        <v>10</v>
      </c>
      <c r="P71" s="74">
        <v>42</v>
      </c>
      <c r="Q71" s="28">
        <v>0</v>
      </c>
      <c r="R71" s="28">
        <v>0</v>
      </c>
      <c r="S71" s="74">
        <v>5</v>
      </c>
      <c r="T71" s="28">
        <f>IFERROR((TEX_H[[#This Row],[H]]-TEX_H[[#This Row],[2B]]-TEX_H[[#This Row],[3B]]-TEX_H[[#This Row],[HR]])+(TEX_H[[#This Row],[2B]]*2)+(TEX_H[[#This Row],[3B]]*3)+(TEX_H[[#This Row],[HR]]*4),0)</f>
        <v>57</v>
      </c>
      <c r="U71" s="72">
        <f>TEX_H[[#This Row],[OBP]]+TEX_H[[#This Row],[SLG]]</f>
        <v>0.68136451660956354</v>
      </c>
      <c r="V71" s="74">
        <v>2</v>
      </c>
      <c r="W71" s="615">
        <v>6</v>
      </c>
      <c r="Z71" s="651" t="s">
        <v>650</v>
      </c>
      <c r="AA71" s="71" t="s">
        <v>174</v>
      </c>
      <c r="AB71" s="71" t="s">
        <v>656</v>
      </c>
      <c r="AC71" s="72">
        <f>IFERROR(TEX_H199[[#This Row],[H]]/TEX_H199[[#This Row],[AB]],0)</f>
        <v>0.26543209876543211</v>
      </c>
      <c r="AD71" s="72">
        <f>IFERROR((TEX_H199[[#This Row],[H]]+TEX_H199[[#This Row],[BB]])/(TEX_H199[[#This Row],[BB]]+TEX_H199[[#This Row],[AB]]),0)</f>
        <v>0.32386363636363635</v>
      </c>
      <c r="AE71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0.44444444444444442</v>
      </c>
      <c r="AF71" s="28">
        <v>39</v>
      </c>
      <c r="AG71" s="28">
        <v>162</v>
      </c>
      <c r="AH71" s="28">
        <v>17</v>
      </c>
      <c r="AI71" s="28">
        <v>43</v>
      </c>
      <c r="AJ71" s="28">
        <v>11</v>
      </c>
      <c r="AK71" s="28">
        <v>0</v>
      </c>
      <c r="AL71" s="28">
        <v>6</v>
      </c>
      <c r="AM71" s="28">
        <v>20</v>
      </c>
      <c r="AN71" s="28">
        <v>14</v>
      </c>
      <c r="AO71" s="74">
        <v>43</v>
      </c>
      <c r="AP71" s="28">
        <v>0</v>
      </c>
      <c r="AQ71" s="28">
        <v>5</v>
      </c>
      <c r="AR71" s="74">
        <v>6</v>
      </c>
      <c r="AS71" s="28">
        <f>IFERROR((TEX_H199[[#This Row],[H]]-TEX_H199[[#This Row],[2B]]-TEX_H199[[#This Row],[3B]]-TEX_H199[[#This Row],[HR]])+(TEX_H199[[#This Row],[2B]]*2)+(TEX_H199[[#This Row],[3B]]*3)+(TEX_H199[[#This Row],[HR]]*4),0)</f>
        <v>72</v>
      </c>
      <c r="AT71" s="72">
        <f>TEX_H199[[#This Row],[OBP]]+TEX_H199[[#This Row],[SLG]]</f>
        <v>0.76830808080808077</v>
      </c>
      <c r="AU71" s="74">
        <v>2</v>
      </c>
      <c r="AV71" s="615">
        <v>6</v>
      </c>
      <c r="AY71" s="651" t="s">
        <v>650</v>
      </c>
      <c r="AZ71" s="74" t="s">
        <v>174</v>
      </c>
      <c r="BA71" s="71" t="s">
        <v>656</v>
      </c>
      <c r="BB71" s="72">
        <f>IFERROR(TEX_H185[[#This Row],[H]]/TEX_H185[[#This Row],[AB]],0)</f>
        <v>0.25786163522012578</v>
      </c>
      <c r="BC71" s="72">
        <f>IFERROR((TEX_H185[[#This Row],[H]]+TEX_H185[[#This Row],[BB]])/(TEX_H185[[#This Row],[AB]]+TEX_H185[[#This Row],[BB]]),0)</f>
        <v>0.28915662650602408</v>
      </c>
      <c r="BD71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0.45283018867924529</v>
      </c>
      <c r="BE71" s="28">
        <v>39</v>
      </c>
      <c r="BF71" s="28">
        <v>159</v>
      </c>
      <c r="BG71" s="28">
        <v>19</v>
      </c>
      <c r="BH71" s="28">
        <v>41</v>
      </c>
      <c r="BI71" s="28">
        <v>9</v>
      </c>
      <c r="BJ71" s="28">
        <v>2</v>
      </c>
      <c r="BK71" s="28">
        <v>6</v>
      </c>
      <c r="BL71" s="28">
        <v>24</v>
      </c>
      <c r="BM71" s="28">
        <v>7</v>
      </c>
      <c r="BN71" s="74">
        <v>34</v>
      </c>
      <c r="BO71" s="28">
        <v>2</v>
      </c>
      <c r="BP71" s="28">
        <v>1</v>
      </c>
      <c r="BQ71" s="74">
        <v>4</v>
      </c>
      <c r="BR71" s="28">
        <f>IFERROR((TEX_H185[[#This Row],[H]]-TEX_H185[[#This Row],[2B]]-TEX_H185[[#This Row],[3B]]-TEX_H185[[#This Row],[HR]])+(TEX_H185[[#This Row],[2B]]*2)+(TEX_H185[[#This Row],[3B]]*3)+(TEX_H185[[#This Row],[HR]]*4),0)</f>
        <v>72</v>
      </c>
      <c r="BS71" s="72">
        <f>IFERROR(TEX_H185[[#This Row],[OBP]]+TEX_H185[[#This Row],[SLG]],0)</f>
        <v>0.74198681518526932</v>
      </c>
      <c r="BT71" s="74">
        <v>4</v>
      </c>
      <c r="BU71" s="615">
        <v>6</v>
      </c>
    </row>
    <row r="72" spans="1:73">
      <c r="A72" s="651" t="s">
        <v>650</v>
      </c>
      <c r="B72" s="71" t="s">
        <v>181</v>
      </c>
      <c r="C72" s="71" t="s">
        <v>654</v>
      </c>
      <c r="D72" s="72">
        <f>IFERROR(TEX_H[[#This Row],[H]]/TEX_H[[#This Row],[AB]],0)</f>
        <v>0.26</v>
      </c>
      <c r="E72" s="72">
        <f>IFERROR((TEX_H[[#This Row],[H]]+TEX_H[[#This Row],[BB]])/(TEX_H[[#This Row],[BB]]+TEX_H[[#This Row],[AB]]),0)</f>
        <v>0.28387096774193549</v>
      </c>
      <c r="F72" s="73">
        <f>IFERROR(((TEX_H[[#This Row],[H]]-TEX_H[[#This Row],[2B]]-TEX_H[[#This Row],[3B]]-TEX_H[[#This Row],[HR]])+(TEX_H[[#This Row],[2B]]*2)+(TEX_H[[#This Row],[3B]]*3)+(TEX_H[[#This Row],[HR]]*4))/TEX_H[[#This Row],[AB]],0)</f>
        <v>0.43333333333333335</v>
      </c>
      <c r="G72" s="28">
        <v>37</v>
      </c>
      <c r="H72" s="28">
        <v>150</v>
      </c>
      <c r="I72" s="28">
        <v>14</v>
      </c>
      <c r="J72" s="28">
        <v>39</v>
      </c>
      <c r="K72" s="28">
        <v>6</v>
      </c>
      <c r="L72" s="28">
        <v>1</v>
      </c>
      <c r="M72" s="28">
        <v>6</v>
      </c>
      <c r="N72" s="28">
        <v>21</v>
      </c>
      <c r="O72" s="28">
        <v>5</v>
      </c>
      <c r="P72" s="74">
        <v>52</v>
      </c>
      <c r="Q72" s="28">
        <v>1</v>
      </c>
      <c r="R72" s="28">
        <v>1</v>
      </c>
      <c r="S72" s="74">
        <v>11</v>
      </c>
      <c r="T72" s="28">
        <f>IFERROR((TEX_H[[#This Row],[H]]-TEX_H[[#This Row],[2B]]-TEX_H[[#This Row],[3B]]-TEX_H[[#This Row],[HR]])+(TEX_H[[#This Row],[2B]]*2)+(TEX_H[[#This Row],[3B]]*3)+(TEX_H[[#This Row],[HR]]*4),0)</f>
        <v>65</v>
      </c>
      <c r="U72" s="72">
        <f>TEX_H[[#This Row],[OBP]]+TEX_H[[#This Row],[SLG]]</f>
        <v>0.71720430107526889</v>
      </c>
      <c r="V72" s="74">
        <v>1</v>
      </c>
      <c r="W72" s="615">
        <v>7</v>
      </c>
      <c r="Z72" s="651" t="s">
        <v>650</v>
      </c>
      <c r="AA72" s="71" t="s">
        <v>181</v>
      </c>
      <c r="AB72" s="71" t="s">
        <v>654</v>
      </c>
      <c r="AC72" s="72">
        <f>IFERROR(TEX_H199[[#This Row],[H]]/TEX_H199[[#This Row],[AB]],0)</f>
        <v>0.16788321167883211</v>
      </c>
      <c r="AD72" s="72">
        <f>IFERROR((TEX_H199[[#This Row],[H]]+TEX_H199[[#This Row],[BB]])/(TEX_H199[[#This Row],[BB]]+TEX_H199[[#This Row],[AB]]),0)</f>
        <v>0.22972972972972974</v>
      </c>
      <c r="AE72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0.30656934306569344</v>
      </c>
      <c r="AF72" s="28">
        <v>39</v>
      </c>
      <c r="AG72" s="28">
        <v>137</v>
      </c>
      <c r="AH72" s="28">
        <v>13</v>
      </c>
      <c r="AI72" s="28">
        <v>23</v>
      </c>
      <c r="AJ72" s="28">
        <v>4</v>
      </c>
      <c r="AK72" s="28">
        <v>0</v>
      </c>
      <c r="AL72" s="28">
        <v>5</v>
      </c>
      <c r="AM72" s="28">
        <v>17</v>
      </c>
      <c r="AN72" s="28">
        <v>11</v>
      </c>
      <c r="AO72" s="74">
        <v>48</v>
      </c>
      <c r="AP72" s="28">
        <v>0</v>
      </c>
      <c r="AQ72" s="28">
        <v>0</v>
      </c>
      <c r="AR72" s="74">
        <v>3</v>
      </c>
      <c r="AS72" s="28">
        <f>IFERROR((TEX_H199[[#This Row],[H]]-TEX_H199[[#This Row],[2B]]-TEX_H199[[#This Row],[3B]]-TEX_H199[[#This Row],[HR]])+(TEX_H199[[#This Row],[2B]]*2)+(TEX_H199[[#This Row],[3B]]*3)+(TEX_H199[[#This Row],[HR]]*4),0)</f>
        <v>42</v>
      </c>
      <c r="AT72" s="72">
        <f>TEX_H199[[#This Row],[OBP]]+TEX_H199[[#This Row],[SLG]]</f>
        <v>0.53629907279542322</v>
      </c>
      <c r="AU72" s="74">
        <v>1</v>
      </c>
      <c r="AV72" s="615">
        <v>7</v>
      </c>
      <c r="AY72" s="651" t="s">
        <v>650</v>
      </c>
      <c r="AZ72" s="74" t="s">
        <v>181</v>
      </c>
      <c r="BA72" s="71" t="s">
        <v>654</v>
      </c>
      <c r="BB72" s="72">
        <f>IFERROR(TEX_H185[[#This Row],[H]]/TEX_H185[[#This Row],[AB]],0)</f>
        <v>0.19090909090909092</v>
      </c>
      <c r="BC72" s="72">
        <f>IFERROR((TEX_H185[[#This Row],[H]]+TEX_H185[[#This Row],[BB]])/(TEX_H185[[#This Row],[AB]]+TEX_H185[[#This Row],[BB]]),0)</f>
        <v>0.24576271186440679</v>
      </c>
      <c r="BD72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0.32727272727272727</v>
      </c>
      <c r="BE72" s="28">
        <v>31</v>
      </c>
      <c r="BF72" s="28">
        <v>110</v>
      </c>
      <c r="BG72" s="28">
        <v>12</v>
      </c>
      <c r="BH72" s="28">
        <v>21</v>
      </c>
      <c r="BI72" s="28">
        <v>3</v>
      </c>
      <c r="BJ72" s="28">
        <v>0</v>
      </c>
      <c r="BK72" s="28">
        <v>4</v>
      </c>
      <c r="BL72" s="28">
        <v>8</v>
      </c>
      <c r="BM72" s="28">
        <v>8</v>
      </c>
      <c r="BN72" s="74">
        <v>50</v>
      </c>
      <c r="BO72" s="28">
        <v>1</v>
      </c>
      <c r="BP72" s="28">
        <v>2</v>
      </c>
      <c r="BQ72" s="74">
        <v>4</v>
      </c>
      <c r="BR72" s="28">
        <f>IFERROR((TEX_H185[[#This Row],[H]]-TEX_H185[[#This Row],[2B]]-TEX_H185[[#This Row],[3B]]-TEX_H185[[#This Row],[HR]])+(TEX_H185[[#This Row],[2B]]*2)+(TEX_H185[[#This Row],[3B]]*3)+(TEX_H185[[#This Row],[HR]]*4),0)</f>
        <v>36</v>
      </c>
      <c r="BS72" s="72">
        <f>IFERROR(TEX_H185[[#This Row],[OBP]]+TEX_H185[[#This Row],[SLG]],0)</f>
        <v>0.57303543913713406</v>
      </c>
      <c r="BT72" s="74">
        <v>0</v>
      </c>
      <c r="BU72" s="615">
        <v>7</v>
      </c>
    </row>
    <row r="73" spans="1:73">
      <c r="A73" s="651" t="s">
        <v>650</v>
      </c>
      <c r="B73" s="71" t="s">
        <v>166</v>
      </c>
      <c r="C73" s="71" t="s">
        <v>658</v>
      </c>
      <c r="D73" s="72">
        <f>IFERROR(TEX_H[[#This Row],[H]]/TEX_H[[#This Row],[AB]],0)</f>
        <v>0.17105263157894737</v>
      </c>
      <c r="E73" s="72">
        <f>IFERROR((TEX_H[[#This Row],[H]]+TEX_H[[#This Row],[BB]])/(TEX_H[[#This Row],[BB]]+TEX_H[[#This Row],[AB]]),0)</f>
        <v>0.26744186046511625</v>
      </c>
      <c r="F73" s="73">
        <f>IFERROR(((TEX_H[[#This Row],[H]]-TEX_H[[#This Row],[2B]]-TEX_H[[#This Row],[3B]]-TEX_H[[#This Row],[HR]])+(TEX_H[[#This Row],[2B]]*2)+(TEX_H[[#This Row],[3B]]*3)+(TEX_H[[#This Row],[HR]]*4))/TEX_H[[#This Row],[AB]],0)</f>
        <v>0.26315789473684209</v>
      </c>
      <c r="G73" s="28">
        <v>22</v>
      </c>
      <c r="H73" s="28">
        <v>76</v>
      </c>
      <c r="I73" s="28">
        <v>6</v>
      </c>
      <c r="J73" s="28">
        <v>13</v>
      </c>
      <c r="K73" s="28">
        <v>1</v>
      </c>
      <c r="L73" s="28">
        <v>0</v>
      </c>
      <c r="M73" s="28">
        <v>2</v>
      </c>
      <c r="N73" s="28">
        <v>8</v>
      </c>
      <c r="O73" s="28">
        <v>10</v>
      </c>
      <c r="P73" s="74">
        <v>29</v>
      </c>
      <c r="Q73" s="28">
        <v>0</v>
      </c>
      <c r="R73" s="28">
        <v>0</v>
      </c>
      <c r="S73" s="74">
        <v>2</v>
      </c>
      <c r="T73" s="28">
        <f>IFERROR((TEX_H[[#This Row],[H]]-TEX_H[[#This Row],[2B]]-TEX_H[[#This Row],[3B]]-TEX_H[[#This Row],[HR]])+(TEX_H[[#This Row],[2B]]*2)+(TEX_H[[#This Row],[3B]]*3)+(TEX_H[[#This Row],[HR]]*4),0)</f>
        <v>20</v>
      </c>
      <c r="U73" s="72">
        <f>TEX_H[[#This Row],[OBP]]+TEX_H[[#This Row],[SLG]]</f>
        <v>0.53059975520195835</v>
      </c>
      <c r="V73" s="74">
        <v>1</v>
      </c>
      <c r="W73" s="615">
        <v>8</v>
      </c>
      <c r="Z73" s="651" t="s">
        <v>650</v>
      </c>
      <c r="AA73" s="71" t="s">
        <v>166</v>
      </c>
      <c r="AB73" s="71" t="s">
        <v>658</v>
      </c>
      <c r="AC73" s="72">
        <f>IFERROR(TEX_H199[[#This Row],[H]]/TEX_H199[[#This Row],[AB]],0)</f>
        <v>0.1875</v>
      </c>
      <c r="AD73" s="72">
        <f>IFERROR((TEX_H199[[#This Row],[H]]+TEX_H199[[#This Row],[BB]])/(TEX_H199[[#This Row],[BB]]+TEX_H199[[#This Row],[AB]]),0)</f>
        <v>0.28767123287671231</v>
      </c>
      <c r="AE73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0.359375</v>
      </c>
      <c r="AF73" s="28">
        <v>36</v>
      </c>
      <c r="AG73" s="28">
        <v>128</v>
      </c>
      <c r="AH73" s="28">
        <v>16</v>
      </c>
      <c r="AI73" s="28">
        <v>24</v>
      </c>
      <c r="AJ73" s="28">
        <v>4</v>
      </c>
      <c r="AK73" s="28">
        <v>0</v>
      </c>
      <c r="AL73" s="28">
        <v>6</v>
      </c>
      <c r="AM73" s="28">
        <v>16</v>
      </c>
      <c r="AN73" s="28">
        <v>18</v>
      </c>
      <c r="AO73" s="74">
        <v>48</v>
      </c>
      <c r="AP73" s="28">
        <v>0</v>
      </c>
      <c r="AQ73" s="28">
        <v>0</v>
      </c>
      <c r="AR73" s="74">
        <v>3</v>
      </c>
      <c r="AS73" s="28">
        <f>IFERROR((TEX_H199[[#This Row],[H]]-TEX_H199[[#This Row],[2B]]-TEX_H199[[#This Row],[3B]]-TEX_H199[[#This Row],[HR]])+(TEX_H199[[#This Row],[2B]]*2)+(TEX_H199[[#This Row],[3B]]*3)+(TEX_H199[[#This Row],[HR]]*4),0)</f>
        <v>46</v>
      </c>
      <c r="AT73" s="72">
        <f>TEX_H199[[#This Row],[OBP]]+TEX_H199[[#This Row],[SLG]]</f>
        <v>0.64704623287671237</v>
      </c>
      <c r="AU73" s="74">
        <v>2</v>
      </c>
      <c r="AV73" s="615">
        <v>8</v>
      </c>
      <c r="AY73" s="651" t="s">
        <v>650</v>
      </c>
      <c r="AZ73" s="74" t="s">
        <v>166</v>
      </c>
      <c r="BA73" s="71" t="s">
        <v>658</v>
      </c>
      <c r="BB73" s="72">
        <f>IFERROR(TEX_H185[[#This Row],[H]]/TEX_H185[[#This Row],[AB]],0)</f>
        <v>0.19852941176470587</v>
      </c>
      <c r="BC73" s="72">
        <f>IFERROR((TEX_H185[[#This Row],[H]]+TEX_H185[[#This Row],[BB]])/(TEX_H185[[#This Row],[AB]]+TEX_H185[[#This Row],[BB]]),0)</f>
        <v>0.27333333333333332</v>
      </c>
      <c r="BD73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0.41911764705882354</v>
      </c>
      <c r="BE73" s="28">
        <v>38</v>
      </c>
      <c r="BF73" s="28">
        <v>136</v>
      </c>
      <c r="BG73" s="28">
        <v>16</v>
      </c>
      <c r="BH73" s="28">
        <v>27</v>
      </c>
      <c r="BI73" s="28">
        <v>3</v>
      </c>
      <c r="BJ73" s="28">
        <v>0</v>
      </c>
      <c r="BK73" s="28">
        <v>9</v>
      </c>
      <c r="BL73" s="28">
        <v>21</v>
      </c>
      <c r="BM73" s="28">
        <v>14</v>
      </c>
      <c r="BN73" s="74">
        <v>48</v>
      </c>
      <c r="BO73" s="28">
        <v>0</v>
      </c>
      <c r="BP73" s="28">
        <v>1</v>
      </c>
      <c r="BQ73" s="74">
        <v>6</v>
      </c>
      <c r="BR73" s="28">
        <f>IFERROR((TEX_H185[[#This Row],[H]]-TEX_H185[[#This Row],[2B]]-TEX_H185[[#This Row],[3B]]-TEX_H185[[#This Row],[HR]])+(TEX_H185[[#This Row],[2B]]*2)+(TEX_H185[[#This Row],[3B]]*3)+(TEX_H185[[#This Row],[HR]]*4),0)</f>
        <v>57</v>
      </c>
      <c r="BS73" s="72">
        <f>IFERROR(TEX_H185[[#This Row],[OBP]]+TEX_H185[[#This Row],[SLG]],0)</f>
        <v>0.6924509803921568</v>
      </c>
      <c r="BT73" s="74">
        <v>2</v>
      </c>
      <c r="BU73" s="615">
        <v>8</v>
      </c>
    </row>
    <row r="74" spans="1:73">
      <c r="A74" s="651" t="s">
        <v>650</v>
      </c>
      <c r="B74" s="71" t="s">
        <v>168</v>
      </c>
      <c r="C74" s="71" t="s">
        <v>656</v>
      </c>
      <c r="D74" s="72">
        <f>IFERROR(TEX_H[[#This Row],[H]]/TEX_H[[#This Row],[AB]],0)</f>
        <v>0.27559055118110237</v>
      </c>
      <c r="E74" s="72">
        <f>IFERROR((TEX_H[[#This Row],[H]]+TEX_H[[#This Row],[BB]])/(TEX_H[[#This Row],[BB]]+TEX_H[[#This Row],[AB]]),0)</f>
        <v>0.32846715328467152</v>
      </c>
      <c r="F74" s="73">
        <f>IFERROR(((TEX_H[[#This Row],[H]]-TEX_H[[#This Row],[2B]]-TEX_H[[#This Row],[3B]]-TEX_H[[#This Row],[HR]])+(TEX_H[[#This Row],[2B]]*2)+(TEX_H[[#This Row],[3B]]*3)+(TEX_H[[#This Row],[HR]]*4))/TEX_H[[#This Row],[AB]],0)</f>
        <v>0.45669291338582679</v>
      </c>
      <c r="G74" s="28">
        <v>33</v>
      </c>
      <c r="H74" s="28">
        <v>127</v>
      </c>
      <c r="I74" s="28">
        <v>17</v>
      </c>
      <c r="J74" s="28">
        <v>35</v>
      </c>
      <c r="K74" s="28">
        <v>8</v>
      </c>
      <c r="L74" s="28">
        <v>0</v>
      </c>
      <c r="M74" s="28">
        <v>5</v>
      </c>
      <c r="N74" s="28">
        <v>20</v>
      </c>
      <c r="O74" s="28">
        <v>10</v>
      </c>
      <c r="P74" s="74">
        <v>36</v>
      </c>
      <c r="Q74" s="28">
        <v>0</v>
      </c>
      <c r="R74" s="28">
        <v>0</v>
      </c>
      <c r="S74" s="74">
        <v>10</v>
      </c>
      <c r="T74" s="28">
        <f>IFERROR((TEX_H[[#This Row],[H]]-TEX_H[[#This Row],[2B]]-TEX_H[[#This Row],[3B]]-TEX_H[[#This Row],[HR]])+(TEX_H[[#This Row],[2B]]*2)+(TEX_H[[#This Row],[3B]]*3)+(TEX_H[[#This Row],[HR]]*4),0)</f>
        <v>58</v>
      </c>
      <c r="U74" s="72">
        <f>TEX_H[[#This Row],[OBP]]+TEX_H[[#This Row],[SLG]]</f>
        <v>0.78516006667049831</v>
      </c>
      <c r="V74" s="74">
        <v>2</v>
      </c>
      <c r="W74" s="615">
        <v>9</v>
      </c>
      <c r="Z74" s="651" t="s">
        <v>650</v>
      </c>
      <c r="AA74" s="71" t="s">
        <v>168</v>
      </c>
      <c r="AB74" s="71" t="s">
        <v>653</v>
      </c>
      <c r="AC74" s="72">
        <f>IFERROR(TEX_H199[[#This Row],[H]]/TEX_H199[[#This Row],[AB]],0)</f>
        <v>0.23376623376623376</v>
      </c>
      <c r="AD74" s="72">
        <f>IFERROR((TEX_H199[[#This Row],[H]]+TEX_H199[[#This Row],[BB]])/(TEX_H199[[#This Row],[BB]]+TEX_H199[[#This Row],[AB]]),0)</f>
        <v>0.28484848484848485</v>
      </c>
      <c r="AE74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0.39610389610389612</v>
      </c>
      <c r="AF74" s="28">
        <v>38</v>
      </c>
      <c r="AG74" s="28">
        <v>154</v>
      </c>
      <c r="AH74" s="28">
        <v>20</v>
      </c>
      <c r="AI74" s="28">
        <v>36</v>
      </c>
      <c r="AJ74" s="28">
        <v>4</v>
      </c>
      <c r="AK74" s="28">
        <v>0</v>
      </c>
      <c r="AL74" s="28">
        <v>7</v>
      </c>
      <c r="AM74" s="28">
        <v>25</v>
      </c>
      <c r="AN74" s="28">
        <v>11</v>
      </c>
      <c r="AO74" s="74">
        <v>34</v>
      </c>
      <c r="AP74" s="28">
        <v>0</v>
      </c>
      <c r="AQ74" s="28">
        <v>0</v>
      </c>
      <c r="AR74" s="74">
        <v>5</v>
      </c>
      <c r="AS74" s="28">
        <f>IFERROR((TEX_H199[[#This Row],[H]]-TEX_H199[[#This Row],[2B]]-TEX_H199[[#This Row],[3B]]-TEX_H199[[#This Row],[HR]])+(TEX_H199[[#This Row],[2B]]*2)+(TEX_H199[[#This Row],[3B]]*3)+(TEX_H199[[#This Row],[HR]]*4),0)</f>
        <v>61</v>
      </c>
      <c r="AT74" s="72">
        <f>TEX_H199[[#This Row],[OBP]]+TEX_H199[[#This Row],[SLG]]</f>
        <v>0.68095238095238098</v>
      </c>
      <c r="AU74" s="74">
        <v>3</v>
      </c>
      <c r="AV74" s="615">
        <v>9</v>
      </c>
      <c r="AY74" s="651" t="s">
        <v>650</v>
      </c>
      <c r="AZ74" s="74" t="s">
        <v>168</v>
      </c>
      <c r="BA74" s="71" t="s">
        <v>653</v>
      </c>
      <c r="BB74" s="72">
        <f>IFERROR(TEX_H185[[#This Row],[H]]/TEX_H185[[#This Row],[AB]],0)</f>
        <v>0.23225806451612904</v>
      </c>
      <c r="BC74" s="72">
        <f>IFERROR((TEX_H185[[#This Row],[H]]+TEX_H185[[#This Row],[BB]])/(TEX_H185[[#This Row],[AB]]+TEX_H185[[#This Row],[BB]]),0)</f>
        <v>0.25624999999999998</v>
      </c>
      <c r="BD74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0.47096774193548385</v>
      </c>
      <c r="BE74" s="28">
        <v>39</v>
      </c>
      <c r="BF74" s="28">
        <v>155</v>
      </c>
      <c r="BG74" s="28">
        <v>15</v>
      </c>
      <c r="BH74" s="28">
        <v>36</v>
      </c>
      <c r="BI74" s="28">
        <v>7</v>
      </c>
      <c r="BJ74" s="28">
        <v>0</v>
      </c>
      <c r="BK74" s="28">
        <v>10</v>
      </c>
      <c r="BL74" s="28">
        <v>18</v>
      </c>
      <c r="BM74" s="28">
        <v>5</v>
      </c>
      <c r="BN74" s="74">
        <v>39</v>
      </c>
      <c r="BO74" s="28">
        <v>0</v>
      </c>
      <c r="BP74" s="28">
        <v>1</v>
      </c>
      <c r="BQ74" s="74">
        <v>4</v>
      </c>
      <c r="BR74" s="28">
        <f>IFERROR((TEX_H185[[#This Row],[H]]-TEX_H185[[#This Row],[2B]]-TEX_H185[[#This Row],[3B]]-TEX_H185[[#This Row],[HR]])+(TEX_H185[[#This Row],[2B]]*2)+(TEX_H185[[#This Row],[3B]]*3)+(TEX_H185[[#This Row],[HR]]*4),0)</f>
        <v>73</v>
      </c>
      <c r="BS74" s="72">
        <f>IFERROR(TEX_H185[[#This Row],[OBP]]+TEX_H185[[#This Row],[SLG]],0)</f>
        <v>0.72721774193548383</v>
      </c>
      <c r="BT74" s="74">
        <v>2</v>
      </c>
      <c r="BU74" s="615">
        <v>9</v>
      </c>
    </row>
    <row r="75" spans="1:73">
      <c r="A75" s="651" t="s">
        <v>650</v>
      </c>
      <c r="B75" s="71" t="s">
        <v>179</v>
      </c>
      <c r="C75" s="71" t="s">
        <v>661</v>
      </c>
      <c r="D75" s="72">
        <f>IFERROR(TEX_H[[#This Row],[H]]/TEX_H[[#This Row],[AB]],0)</f>
        <v>0.28125</v>
      </c>
      <c r="E75" s="72">
        <f>IFERROR((TEX_H[[#This Row],[H]]+TEX_H[[#This Row],[BB]])/(TEX_H[[#This Row],[BB]]+TEX_H[[#This Row],[AB]]),0)</f>
        <v>0.3235294117647059</v>
      </c>
      <c r="F75" s="73">
        <f>IFERROR(((TEX_H[[#This Row],[H]]-TEX_H[[#This Row],[2B]]-TEX_H[[#This Row],[3B]]-TEX_H[[#This Row],[HR]])+(TEX_H[[#This Row],[2B]]*2)+(TEX_H[[#This Row],[3B]]*3)+(TEX_H[[#This Row],[HR]]*4))/TEX_H[[#This Row],[AB]],0)</f>
        <v>0.34375</v>
      </c>
      <c r="G75" s="28">
        <v>9</v>
      </c>
      <c r="H75" s="28">
        <v>32</v>
      </c>
      <c r="I75" s="28">
        <v>4</v>
      </c>
      <c r="J75" s="28">
        <v>9</v>
      </c>
      <c r="K75" s="28">
        <v>2</v>
      </c>
      <c r="L75" s="28">
        <v>0</v>
      </c>
      <c r="M75" s="28">
        <v>0</v>
      </c>
      <c r="N75" s="28">
        <v>0</v>
      </c>
      <c r="O75" s="28">
        <v>2</v>
      </c>
      <c r="P75" s="74">
        <v>11</v>
      </c>
      <c r="Q75" s="28">
        <v>0</v>
      </c>
      <c r="R75" s="28">
        <v>6</v>
      </c>
      <c r="S75" s="74">
        <v>6</v>
      </c>
      <c r="T75" s="28">
        <f>IFERROR((TEX_H[[#This Row],[H]]-TEX_H[[#This Row],[2B]]-TEX_H[[#This Row],[3B]]-TEX_H[[#This Row],[HR]])+(TEX_H[[#This Row],[2B]]*2)+(TEX_H[[#This Row],[3B]]*3)+(TEX_H[[#This Row],[HR]]*4),0)</f>
        <v>11</v>
      </c>
      <c r="U75" s="72">
        <f>TEX_H[[#This Row],[OBP]]+TEX_H[[#This Row],[SLG]]</f>
        <v>0.66727941176470584</v>
      </c>
      <c r="V75" s="74">
        <v>0</v>
      </c>
      <c r="W75" s="615">
        <v>10</v>
      </c>
      <c r="Z75" s="651" t="s">
        <v>650</v>
      </c>
      <c r="AA75" s="71" t="s">
        <v>179</v>
      </c>
      <c r="AB75" s="71" t="s">
        <v>661</v>
      </c>
      <c r="AC75" s="72">
        <f>IFERROR(TEX_H199[[#This Row],[H]]/TEX_H199[[#This Row],[AB]],0)</f>
        <v>0.35714285714285715</v>
      </c>
      <c r="AD75" s="72">
        <f>IFERROR((TEX_H199[[#This Row],[H]]+TEX_H199[[#This Row],[BB]])/(TEX_H199[[#This Row],[BB]]+TEX_H199[[#This Row],[AB]]),0)</f>
        <v>0.47058823529411764</v>
      </c>
      <c r="AE75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0.42857142857142855</v>
      </c>
      <c r="AF75" s="28">
        <v>5</v>
      </c>
      <c r="AG75" s="28">
        <v>14</v>
      </c>
      <c r="AH75" s="28">
        <v>0</v>
      </c>
      <c r="AI75" s="28">
        <v>5</v>
      </c>
      <c r="AJ75" s="28">
        <v>1</v>
      </c>
      <c r="AK75" s="28">
        <v>0</v>
      </c>
      <c r="AL75" s="28">
        <v>0</v>
      </c>
      <c r="AM75" s="28">
        <v>2</v>
      </c>
      <c r="AN75" s="28">
        <v>3</v>
      </c>
      <c r="AO75" s="74">
        <v>2</v>
      </c>
      <c r="AP75" s="28">
        <v>0</v>
      </c>
      <c r="AQ75" s="28">
        <v>2</v>
      </c>
      <c r="AR75" s="74">
        <v>2</v>
      </c>
      <c r="AS75" s="28">
        <f>IFERROR((TEX_H199[[#This Row],[H]]-TEX_H199[[#This Row],[2B]]-TEX_H199[[#This Row],[3B]]-TEX_H199[[#This Row],[HR]])+(TEX_H199[[#This Row],[2B]]*2)+(TEX_H199[[#This Row],[3B]]*3)+(TEX_H199[[#This Row],[HR]]*4),0)</f>
        <v>6</v>
      </c>
      <c r="AT75" s="72">
        <f>TEX_H199[[#This Row],[OBP]]+TEX_H199[[#This Row],[SLG]]</f>
        <v>0.89915966386554613</v>
      </c>
      <c r="AU75" s="74">
        <v>1</v>
      </c>
      <c r="AV75" s="615">
        <v>10</v>
      </c>
      <c r="AY75" s="651" t="s">
        <v>650</v>
      </c>
      <c r="AZ75" s="74" t="s">
        <v>308</v>
      </c>
      <c r="BA75" s="71" t="s">
        <v>663</v>
      </c>
      <c r="BB75" s="72">
        <f>IFERROR(TEX_H185[[#This Row],[H]]/TEX_H185[[#This Row],[AB]],0)</f>
        <v>0.22641509433962265</v>
      </c>
      <c r="BC75" s="72">
        <f>IFERROR((TEX_H185[[#This Row],[H]]+TEX_H185[[#This Row],[BB]])/(TEX_H185[[#This Row],[AB]]+TEX_H185[[#This Row],[BB]]),0)</f>
        <v>0.36923076923076925</v>
      </c>
      <c r="BD75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0.45283018867924529</v>
      </c>
      <c r="BE75" s="28">
        <v>18</v>
      </c>
      <c r="BF75" s="28">
        <v>53</v>
      </c>
      <c r="BG75" s="28">
        <v>11</v>
      </c>
      <c r="BH75" s="28">
        <v>12</v>
      </c>
      <c r="BI75" s="28">
        <v>6</v>
      </c>
      <c r="BJ75" s="28">
        <v>0</v>
      </c>
      <c r="BK75" s="28">
        <v>2</v>
      </c>
      <c r="BL75" s="28">
        <v>5</v>
      </c>
      <c r="BM75" s="28">
        <v>12</v>
      </c>
      <c r="BN75" s="74">
        <v>17</v>
      </c>
      <c r="BO75" s="28">
        <v>0</v>
      </c>
      <c r="BP75" s="28">
        <v>0</v>
      </c>
      <c r="BQ75" s="74">
        <v>2</v>
      </c>
      <c r="BR75" s="28">
        <f>IFERROR((TEX_H185[[#This Row],[H]]-TEX_H185[[#This Row],[2B]]-TEX_H185[[#This Row],[3B]]-TEX_H185[[#This Row],[HR]])+(TEX_H185[[#This Row],[2B]]*2)+(TEX_H185[[#This Row],[3B]]*3)+(TEX_H185[[#This Row],[HR]]*4),0)</f>
        <v>24</v>
      </c>
      <c r="BS75" s="72">
        <f>IFERROR(TEX_H185[[#This Row],[OBP]]+TEX_H185[[#This Row],[SLG]],0)</f>
        <v>0.82206095791001454</v>
      </c>
      <c r="BT75" s="74">
        <v>0</v>
      </c>
      <c r="BU75" s="615">
        <v>10</v>
      </c>
    </row>
    <row r="76" spans="1:73">
      <c r="A76" s="651" t="s">
        <v>650</v>
      </c>
      <c r="B76" s="71" t="s">
        <v>187</v>
      </c>
      <c r="C76" s="71" t="s">
        <v>665</v>
      </c>
      <c r="D76" s="72">
        <f>IFERROR(TEX_H[[#This Row],[H]]/TEX_H[[#This Row],[AB]],0)</f>
        <v>0.37777777777777777</v>
      </c>
      <c r="E76" s="72">
        <f>IFERROR((TEX_H[[#This Row],[H]]+TEX_H[[#This Row],[BB]])/(TEX_H[[#This Row],[BB]]+TEX_H[[#This Row],[AB]]),0)</f>
        <v>0.40425531914893614</v>
      </c>
      <c r="F76" s="73">
        <f>IFERROR(((TEX_H[[#This Row],[H]]-TEX_H[[#This Row],[2B]]-TEX_H[[#This Row],[3B]]-TEX_H[[#This Row],[HR]])+(TEX_H[[#This Row],[2B]]*2)+(TEX_H[[#This Row],[3B]]*3)+(TEX_H[[#This Row],[HR]]*4))/TEX_H[[#This Row],[AB]],0)</f>
        <v>0.57777777777777772</v>
      </c>
      <c r="G76" s="28">
        <v>12</v>
      </c>
      <c r="H76" s="28">
        <v>45</v>
      </c>
      <c r="I76" s="28">
        <v>7</v>
      </c>
      <c r="J76" s="28">
        <v>17</v>
      </c>
      <c r="K76" s="28">
        <v>0</v>
      </c>
      <c r="L76" s="28">
        <v>0</v>
      </c>
      <c r="M76" s="28">
        <v>3</v>
      </c>
      <c r="N76" s="28">
        <v>4</v>
      </c>
      <c r="O76" s="28">
        <v>2</v>
      </c>
      <c r="P76" s="74">
        <v>7</v>
      </c>
      <c r="Q76" s="28">
        <v>0</v>
      </c>
      <c r="R76" s="28">
        <v>11</v>
      </c>
      <c r="S76" s="74">
        <v>11</v>
      </c>
      <c r="T76" s="28">
        <f>IFERROR((TEX_H[[#This Row],[H]]-TEX_H[[#This Row],[2B]]-TEX_H[[#This Row],[3B]]-TEX_H[[#This Row],[HR]])+(TEX_H[[#This Row],[2B]]*2)+(TEX_H[[#This Row],[3B]]*3)+(TEX_H[[#This Row],[HR]]*4),0)</f>
        <v>26</v>
      </c>
      <c r="U76" s="72">
        <f>TEX_H[[#This Row],[OBP]]+TEX_H[[#This Row],[SLG]]</f>
        <v>0.98203309692671392</v>
      </c>
      <c r="V76" s="74">
        <v>0</v>
      </c>
      <c r="W76" s="615">
        <v>11</v>
      </c>
      <c r="Z76" s="651" t="s">
        <v>650</v>
      </c>
      <c r="AA76" s="71" t="s">
        <v>192</v>
      </c>
      <c r="AB76" s="71" t="s">
        <v>665</v>
      </c>
      <c r="AC76" s="72">
        <f>IFERROR(TEX_H199[[#This Row],[H]]/TEX_H199[[#This Row],[AB]],0)</f>
        <v>0.2</v>
      </c>
      <c r="AD76" s="72">
        <f>IFERROR((TEX_H199[[#This Row],[H]]+TEX_H199[[#This Row],[BB]])/(TEX_H199[[#This Row],[BB]]+TEX_H199[[#This Row],[AB]]),0)</f>
        <v>0.2857142857142857</v>
      </c>
      <c r="AE76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0.4</v>
      </c>
      <c r="AF76" s="28">
        <v>7</v>
      </c>
      <c r="AG76" s="28">
        <v>25</v>
      </c>
      <c r="AH76" s="28">
        <v>2</v>
      </c>
      <c r="AI76" s="28">
        <v>5</v>
      </c>
      <c r="AJ76" s="28">
        <v>2</v>
      </c>
      <c r="AK76" s="28">
        <v>0</v>
      </c>
      <c r="AL76" s="28">
        <v>1</v>
      </c>
      <c r="AM76" s="28">
        <v>1</v>
      </c>
      <c r="AN76" s="28">
        <v>3</v>
      </c>
      <c r="AO76" s="74">
        <v>7</v>
      </c>
      <c r="AP76" s="28">
        <v>0</v>
      </c>
      <c r="AQ76" s="28">
        <v>1</v>
      </c>
      <c r="AR76" s="74">
        <v>2</v>
      </c>
      <c r="AS76" s="28">
        <f>IFERROR((TEX_H199[[#This Row],[H]]-TEX_H199[[#This Row],[2B]]-TEX_H199[[#This Row],[3B]]-TEX_H199[[#This Row],[HR]])+(TEX_H199[[#This Row],[2B]]*2)+(TEX_H199[[#This Row],[3B]]*3)+(TEX_H199[[#This Row],[HR]]*4),0)</f>
        <v>10</v>
      </c>
      <c r="AT76" s="72">
        <f>TEX_H199[[#This Row],[OBP]]+TEX_H199[[#This Row],[SLG]]</f>
        <v>0.68571428571428572</v>
      </c>
      <c r="AU76" s="74">
        <v>0</v>
      </c>
      <c r="AV76" s="615">
        <v>11</v>
      </c>
      <c r="AY76" s="651" t="s">
        <v>650</v>
      </c>
      <c r="AZ76" s="74" t="s">
        <v>192</v>
      </c>
      <c r="BA76" s="71" t="s">
        <v>668</v>
      </c>
      <c r="BB76" s="72">
        <f>IFERROR(TEX_H185[[#This Row],[H]]/TEX_H185[[#This Row],[AB]],0)</f>
        <v>0.125</v>
      </c>
      <c r="BC76" s="72">
        <f>IFERROR((TEX_H185[[#This Row],[H]]+TEX_H185[[#This Row],[BB]])/(TEX_H185[[#This Row],[AB]]+TEX_H185[[#This Row],[BB]]),0)</f>
        <v>0.16</v>
      </c>
      <c r="BD76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0.125</v>
      </c>
      <c r="BE76" s="28">
        <v>8</v>
      </c>
      <c r="BF76" s="28">
        <v>24</v>
      </c>
      <c r="BG76" s="28">
        <v>1</v>
      </c>
      <c r="BH76" s="28">
        <v>3</v>
      </c>
      <c r="BI76" s="28">
        <v>0</v>
      </c>
      <c r="BJ76" s="28">
        <v>0</v>
      </c>
      <c r="BK76" s="28">
        <v>0</v>
      </c>
      <c r="BL76" s="28">
        <v>0</v>
      </c>
      <c r="BM76" s="28">
        <v>1</v>
      </c>
      <c r="BN76" s="74">
        <v>9</v>
      </c>
      <c r="BO76" s="28">
        <v>0</v>
      </c>
      <c r="BP76" s="28">
        <v>2</v>
      </c>
      <c r="BQ76" s="74">
        <v>2</v>
      </c>
      <c r="BR76" s="28">
        <f>IFERROR((TEX_H185[[#This Row],[H]]-TEX_H185[[#This Row],[2B]]-TEX_H185[[#This Row],[3B]]-TEX_H185[[#This Row],[HR]])+(TEX_H185[[#This Row],[2B]]*2)+(TEX_H185[[#This Row],[3B]]*3)+(TEX_H185[[#This Row],[HR]]*4),0)</f>
        <v>3</v>
      </c>
      <c r="BS76" s="72">
        <f>IFERROR(TEX_H185[[#This Row],[OBP]]+TEX_H185[[#This Row],[SLG]],0)</f>
        <v>0.28500000000000003</v>
      </c>
      <c r="BT76" s="74">
        <v>0</v>
      </c>
      <c r="BU76" s="615">
        <v>11</v>
      </c>
    </row>
    <row r="77" spans="1:73">
      <c r="A77" s="651" t="s">
        <v>650</v>
      </c>
      <c r="B77" s="71" t="s">
        <v>187</v>
      </c>
      <c r="C77" s="71" t="s">
        <v>662</v>
      </c>
      <c r="D77" s="72">
        <f>IFERROR(TEX_H[[#This Row],[H]]/TEX_H[[#This Row],[AB]],0)</f>
        <v>0.27397260273972601</v>
      </c>
      <c r="E77" s="72">
        <f>IFERROR((TEX_H[[#This Row],[H]]+TEX_H[[#This Row],[BB]])/(TEX_H[[#This Row],[BB]]+TEX_H[[#This Row],[AB]]),0)</f>
        <v>0.30263157894736842</v>
      </c>
      <c r="F77" s="73">
        <f>IFERROR(((TEX_H[[#This Row],[H]]-TEX_H[[#This Row],[2B]]-TEX_H[[#This Row],[3B]]-TEX_H[[#This Row],[HR]])+(TEX_H[[#This Row],[2B]]*2)+(TEX_H[[#This Row],[3B]]*3)+(TEX_H[[#This Row],[HR]]*4))/TEX_H[[#This Row],[AB]],0)</f>
        <v>0.38356164383561642</v>
      </c>
      <c r="G77" s="28">
        <v>19</v>
      </c>
      <c r="H77" s="28">
        <v>73</v>
      </c>
      <c r="I77" s="28">
        <v>6</v>
      </c>
      <c r="J77" s="28">
        <v>20</v>
      </c>
      <c r="K77" s="28">
        <v>2</v>
      </c>
      <c r="L77" s="28">
        <v>0</v>
      </c>
      <c r="M77" s="28">
        <v>2</v>
      </c>
      <c r="N77" s="28">
        <v>9</v>
      </c>
      <c r="O77" s="28">
        <v>3</v>
      </c>
      <c r="P77" s="74">
        <v>18</v>
      </c>
      <c r="Q77" s="28">
        <v>0</v>
      </c>
      <c r="R77" s="28">
        <v>0</v>
      </c>
      <c r="S77" s="74">
        <v>7</v>
      </c>
      <c r="T77" s="28">
        <f>IFERROR((TEX_H[[#This Row],[H]]-TEX_H[[#This Row],[2B]]-TEX_H[[#This Row],[3B]]-TEX_H[[#This Row],[HR]])+(TEX_H[[#This Row],[2B]]*2)+(TEX_H[[#This Row],[3B]]*3)+(TEX_H[[#This Row],[HR]]*4),0)</f>
        <v>28</v>
      </c>
      <c r="U77" s="72">
        <f>TEX_H[[#This Row],[OBP]]+TEX_H[[#This Row],[SLG]]</f>
        <v>0.68619322278298478</v>
      </c>
      <c r="V77" s="74">
        <v>0</v>
      </c>
      <c r="W77" s="615">
        <v>12</v>
      </c>
      <c r="Z77" s="651" t="s">
        <v>650</v>
      </c>
      <c r="AA77" s="71" t="s">
        <v>187</v>
      </c>
      <c r="AB77" s="71" t="s">
        <v>662</v>
      </c>
      <c r="AC77" s="72">
        <f>IFERROR(TEX_H199[[#This Row],[H]]/TEX_H199[[#This Row],[AB]],0)</f>
        <v>0.25</v>
      </c>
      <c r="AD77" s="72">
        <f>IFERROR((TEX_H199[[#This Row],[H]]+TEX_H199[[#This Row],[BB]])/(TEX_H199[[#This Row],[BB]]+TEX_H199[[#This Row],[AB]]),0)</f>
        <v>0.25</v>
      </c>
      <c r="AE77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0.5</v>
      </c>
      <c r="AF77" s="28">
        <v>4</v>
      </c>
      <c r="AG77" s="28">
        <v>12</v>
      </c>
      <c r="AH77" s="28">
        <v>1</v>
      </c>
      <c r="AI77" s="28">
        <v>3</v>
      </c>
      <c r="AJ77" s="28">
        <v>0</v>
      </c>
      <c r="AK77" s="28">
        <v>0</v>
      </c>
      <c r="AL77" s="28">
        <v>1</v>
      </c>
      <c r="AM77" s="28">
        <v>2</v>
      </c>
      <c r="AN77" s="28">
        <v>0</v>
      </c>
      <c r="AO77" s="74">
        <v>3</v>
      </c>
      <c r="AP77" s="28">
        <v>0</v>
      </c>
      <c r="AQ77" s="28">
        <v>3</v>
      </c>
      <c r="AR77" s="74">
        <v>3</v>
      </c>
      <c r="AS77" s="28">
        <f>IFERROR((TEX_H199[[#This Row],[H]]-TEX_H199[[#This Row],[2B]]-TEX_H199[[#This Row],[3B]]-TEX_H199[[#This Row],[HR]])+(TEX_H199[[#This Row],[2B]]*2)+(TEX_H199[[#This Row],[3B]]*3)+(TEX_H199[[#This Row],[HR]]*4),0)</f>
        <v>6</v>
      </c>
      <c r="AT77" s="72">
        <f>TEX_H199[[#This Row],[OBP]]+TEX_H199[[#This Row],[SLG]]</f>
        <v>0.75</v>
      </c>
      <c r="AU77" s="74">
        <v>0</v>
      </c>
      <c r="AV77" s="615">
        <v>12</v>
      </c>
      <c r="AY77" s="651" t="s">
        <v>650</v>
      </c>
      <c r="AZ77" s="74" t="s">
        <v>2169</v>
      </c>
      <c r="BA77" s="71" t="s">
        <v>662</v>
      </c>
      <c r="BB77" s="72">
        <f>IFERROR(TEX_H185[[#This Row],[H]]/TEX_H185[[#This Row],[AB]],0)</f>
        <v>0.25</v>
      </c>
      <c r="BC77" s="72">
        <f>IFERROR((TEX_H185[[#This Row],[H]]+TEX_H185[[#This Row],[BB]])/(TEX_H185[[#This Row],[AB]]+TEX_H185[[#This Row],[BB]]),0)</f>
        <v>0.3</v>
      </c>
      <c r="BD77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0.39285714285714285</v>
      </c>
      <c r="BE77" s="28">
        <v>21</v>
      </c>
      <c r="BF77" s="28">
        <v>56</v>
      </c>
      <c r="BG77" s="28">
        <v>9</v>
      </c>
      <c r="BH77" s="28">
        <v>14</v>
      </c>
      <c r="BI77" s="28">
        <v>3</v>
      </c>
      <c r="BJ77" s="28">
        <v>1</v>
      </c>
      <c r="BK77" s="28">
        <v>1</v>
      </c>
      <c r="BL77" s="28">
        <v>8</v>
      </c>
      <c r="BM77" s="28">
        <v>4</v>
      </c>
      <c r="BN77" s="74">
        <v>15</v>
      </c>
      <c r="BO77" s="28">
        <v>0</v>
      </c>
      <c r="BP77" s="28">
        <v>0</v>
      </c>
      <c r="BQ77" s="74">
        <v>2</v>
      </c>
      <c r="BR77" s="28">
        <f>IFERROR((TEX_H185[[#This Row],[H]]-TEX_H185[[#This Row],[2B]]-TEX_H185[[#This Row],[3B]]-TEX_H185[[#This Row],[HR]])+(TEX_H185[[#This Row],[2B]]*2)+(TEX_H185[[#This Row],[3B]]*3)+(TEX_H185[[#This Row],[HR]]*4),0)</f>
        <v>22</v>
      </c>
      <c r="BS77" s="72">
        <f>IFERROR(TEX_H185[[#This Row],[OBP]]+TEX_H185[[#This Row],[SLG]],0)</f>
        <v>0.69285714285714284</v>
      </c>
      <c r="BT77" s="74">
        <v>1</v>
      </c>
      <c r="BU77" s="615">
        <v>12</v>
      </c>
    </row>
    <row r="78" spans="1:73">
      <c r="A78" s="651" t="s">
        <v>650</v>
      </c>
      <c r="B78" s="71" t="s">
        <v>187</v>
      </c>
      <c r="C78" s="77" t="s">
        <v>660</v>
      </c>
      <c r="D78" s="72">
        <f>IFERROR(TEX_H[[#This Row],[H]]/TEX_H[[#This Row],[AB]],0)</f>
        <v>0.19230769230769232</v>
      </c>
      <c r="E78" s="72">
        <f>IFERROR((TEX_H[[#This Row],[H]]+TEX_H[[#This Row],[BB]])/(TEX_H[[#This Row],[BB]]+TEX_H[[#This Row],[AB]]),0)</f>
        <v>0.22222222222222221</v>
      </c>
      <c r="F78" s="73">
        <f>IFERROR(((TEX_H[[#This Row],[H]]-TEX_H[[#This Row],[2B]]-TEX_H[[#This Row],[3B]]-TEX_H[[#This Row],[HR]])+(TEX_H[[#This Row],[2B]]*2)+(TEX_H[[#This Row],[3B]]*3)+(TEX_H[[#This Row],[HR]]*4))/TEX_H[[#This Row],[AB]],0)</f>
        <v>0.19230769230769232</v>
      </c>
      <c r="G78" s="28">
        <v>8</v>
      </c>
      <c r="H78" s="28">
        <v>26</v>
      </c>
      <c r="I78" s="28">
        <v>3</v>
      </c>
      <c r="J78" s="28">
        <v>5</v>
      </c>
      <c r="K78" s="28">
        <v>0</v>
      </c>
      <c r="L78" s="28">
        <v>0</v>
      </c>
      <c r="M78" s="28">
        <v>0</v>
      </c>
      <c r="N78" s="28">
        <v>1</v>
      </c>
      <c r="O78" s="28">
        <v>1</v>
      </c>
      <c r="P78" s="74">
        <v>7</v>
      </c>
      <c r="Q78" s="28">
        <v>0</v>
      </c>
      <c r="R78" s="28">
        <v>0</v>
      </c>
      <c r="S78" s="74">
        <v>2</v>
      </c>
      <c r="T78" s="28">
        <f>IFERROR((TEX_H[[#This Row],[H]]-TEX_H[[#This Row],[2B]]-TEX_H[[#This Row],[3B]]-TEX_H[[#This Row],[HR]])+(TEX_H[[#This Row],[2B]]*2)+(TEX_H[[#This Row],[3B]]*3)+(TEX_H[[#This Row],[HR]]*4),0)</f>
        <v>5</v>
      </c>
      <c r="U78" s="72">
        <f>TEX_H[[#This Row],[OBP]]+TEX_H[[#This Row],[SLG]]</f>
        <v>0.4145299145299145</v>
      </c>
      <c r="V78" s="74">
        <v>0</v>
      </c>
      <c r="W78" s="615">
        <v>13</v>
      </c>
      <c r="Z78" s="651" t="s">
        <v>650</v>
      </c>
      <c r="AA78" s="71" t="s">
        <v>187</v>
      </c>
      <c r="AB78" s="77" t="s">
        <v>660</v>
      </c>
      <c r="AC78" s="130">
        <f>IFERROR(TEX_H199[[#This Row],[H]]/TEX_H199[[#This Row],[AB]],0)</f>
        <v>0.14285714285714285</v>
      </c>
      <c r="AD78" s="72">
        <f>IFERROR((TEX_H199[[#This Row],[H]]+TEX_H199[[#This Row],[BB]])/(TEX_H199[[#This Row],[BB]]+TEX_H199[[#This Row],[AB]]),0)</f>
        <v>0.29411764705882354</v>
      </c>
      <c r="AE78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0.14285714285714285</v>
      </c>
      <c r="AF78" s="28">
        <v>5</v>
      </c>
      <c r="AG78" s="28">
        <v>14</v>
      </c>
      <c r="AH78" s="28">
        <v>1</v>
      </c>
      <c r="AI78" s="28">
        <v>2</v>
      </c>
      <c r="AJ78" s="28">
        <v>0</v>
      </c>
      <c r="AK78" s="28">
        <v>0</v>
      </c>
      <c r="AL78" s="28">
        <v>0</v>
      </c>
      <c r="AM78" s="28">
        <v>0</v>
      </c>
      <c r="AN78" s="28">
        <v>3</v>
      </c>
      <c r="AO78" s="74">
        <v>1</v>
      </c>
      <c r="AP78" s="28">
        <v>0</v>
      </c>
      <c r="AQ78" s="28">
        <v>1</v>
      </c>
      <c r="AR78" s="74">
        <v>1</v>
      </c>
      <c r="AS78" s="28">
        <f>IFERROR((TEX_H199[[#This Row],[H]]-TEX_H199[[#This Row],[2B]]-TEX_H199[[#This Row],[3B]]-TEX_H199[[#This Row],[HR]])+(TEX_H199[[#This Row],[2B]]*2)+(TEX_H199[[#This Row],[3B]]*3)+(TEX_H199[[#This Row],[HR]]*4),0)</f>
        <v>2</v>
      </c>
      <c r="AT78" s="72">
        <f>TEX_H199[[#This Row],[OBP]]+TEX_H199[[#This Row],[SLG]]</f>
        <v>0.43697478991596639</v>
      </c>
      <c r="AU78" s="74">
        <v>0</v>
      </c>
      <c r="AV78" s="615">
        <v>13</v>
      </c>
      <c r="AY78" s="651" t="s">
        <v>650</v>
      </c>
      <c r="AZ78" s="74" t="s">
        <v>186</v>
      </c>
      <c r="BA78" s="71" t="s">
        <v>667</v>
      </c>
      <c r="BB78" s="72">
        <f>IFERROR(TEX_H185[[#This Row],[H]]/TEX_H185[[#This Row],[AB]],0)</f>
        <v>0.10810810810810811</v>
      </c>
      <c r="BC78" s="72">
        <f>IFERROR((TEX_H185[[#This Row],[H]]+TEX_H185[[#This Row],[BB]])/(TEX_H185[[#This Row],[AB]]+TEX_H185[[#This Row],[BB]]),0)</f>
        <v>0.25</v>
      </c>
      <c r="BD78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0.10810810810810811</v>
      </c>
      <c r="BE78" s="28">
        <v>11</v>
      </c>
      <c r="BF78" s="28">
        <v>37</v>
      </c>
      <c r="BG78" s="28">
        <v>2</v>
      </c>
      <c r="BH78" s="28">
        <v>4</v>
      </c>
      <c r="BI78" s="28">
        <v>0</v>
      </c>
      <c r="BJ78" s="28">
        <v>0</v>
      </c>
      <c r="BK78" s="28">
        <v>0</v>
      </c>
      <c r="BL78" s="28">
        <v>0</v>
      </c>
      <c r="BM78" s="28">
        <v>7</v>
      </c>
      <c r="BN78" s="74">
        <v>12</v>
      </c>
      <c r="BO78" s="28">
        <v>0</v>
      </c>
      <c r="BP78" s="28">
        <v>0</v>
      </c>
      <c r="BQ78" s="74">
        <v>2</v>
      </c>
      <c r="BR78" s="28">
        <f>IFERROR((TEX_H185[[#This Row],[H]]-TEX_H185[[#This Row],[2B]]-TEX_H185[[#This Row],[3B]]-TEX_H185[[#This Row],[HR]])+(TEX_H185[[#This Row],[2B]]*2)+(TEX_H185[[#This Row],[3B]]*3)+(TEX_H185[[#This Row],[HR]]*4),0)</f>
        <v>4</v>
      </c>
      <c r="BS78" s="72">
        <f>IFERROR(TEX_H185[[#This Row],[OBP]]+TEX_H185[[#This Row],[SLG]],0)</f>
        <v>0.35810810810810811</v>
      </c>
      <c r="BT78" s="74">
        <v>0</v>
      </c>
      <c r="BU78" s="615">
        <v>13</v>
      </c>
    </row>
    <row r="79" spans="1:73" ht="17" thickBot="1">
      <c r="A79" s="651" t="s">
        <v>650</v>
      </c>
      <c r="B79" s="71" t="s">
        <v>186</v>
      </c>
      <c r="C79" s="77" t="s">
        <v>664</v>
      </c>
      <c r="D79" s="72">
        <f>IFERROR(TEX_H[[#This Row],[H]]/TEX_H[[#This Row],[AB]],0)</f>
        <v>0.41860465116279072</v>
      </c>
      <c r="E79" s="72">
        <f>IFERROR((TEX_H[[#This Row],[H]]+TEX_H[[#This Row],[BB]])/(TEX_H[[#This Row],[BB]]+TEX_H[[#This Row],[AB]]),0)</f>
        <v>0.44444444444444442</v>
      </c>
      <c r="F79" s="73">
        <f>IFERROR(((TEX_H[[#This Row],[H]]-TEX_H[[#This Row],[2B]]-TEX_H[[#This Row],[3B]]-TEX_H[[#This Row],[HR]])+(TEX_H[[#This Row],[2B]]*2)+(TEX_H[[#This Row],[3B]]*3)+(TEX_H[[#This Row],[HR]]*4))/TEX_H[[#This Row],[AB]],0)</f>
        <v>0.65116279069767447</v>
      </c>
      <c r="G79" s="28">
        <v>12</v>
      </c>
      <c r="H79" s="28">
        <v>43</v>
      </c>
      <c r="I79" s="28">
        <v>8</v>
      </c>
      <c r="J79" s="28">
        <v>18</v>
      </c>
      <c r="K79" s="28">
        <v>5</v>
      </c>
      <c r="L79" s="28">
        <v>1</v>
      </c>
      <c r="M79" s="28">
        <v>1</v>
      </c>
      <c r="N79" s="28">
        <v>4</v>
      </c>
      <c r="O79" s="28">
        <v>2</v>
      </c>
      <c r="P79" s="74">
        <v>10</v>
      </c>
      <c r="Q79" s="28">
        <v>4</v>
      </c>
      <c r="R79" s="28">
        <v>8</v>
      </c>
      <c r="S79" s="74">
        <v>8</v>
      </c>
      <c r="T79" s="28">
        <f>IFERROR((TEX_H[[#This Row],[H]]-TEX_H[[#This Row],[2B]]-TEX_H[[#This Row],[3B]]-TEX_H[[#This Row],[HR]])+(TEX_H[[#This Row],[2B]]*2)+(TEX_H[[#This Row],[3B]]*3)+(TEX_H[[#This Row],[HR]]*4),0)</f>
        <v>28</v>
      </c>
      <c r="U79" s="72">
        <f>TEX_H[[#This Row],[OBP]]+TEX_H[[#This Row],[SLG]]</f>
        <v>1.0956072351421189</v>
      </c>
      <c r="V79" s="74">
        <v>0</v>
      </c>
      <c r="W79" s="615">
        <v>14</v>
      </c>
      <c r="Z79" s="651" t="s">
        <v>650</v>
      </c>
      <c r="AA79" s="71" t="s">
        <v>186</v>
      </c>
      <c r="AB79" s="77" t="s">
        <v>664</v>
      </c>
      <c r="AC79" s="130">
        <f>IFERROR(TEX_H199[[#This Row],[H]]/TEX_H199[[#This Row],[AB]],0)</f>
        <v>0.13043478260869565</v>
      </c>
      <c r="AD79" s="72">
        <f>IFERROR((TEX_H199[[#This Row],[H]]+TEX_H199[[#This Row],[BB]])/(TEX_H199[[#This Row],[BB]]+TEX_H199[[#This Row],[AB]]),0)</f>
        <v>0.13043478260869565</v>
      </c>
      <c r="AE79" s="73">
        <f>IFERROR(((TEX_H199[[#This Row],[H]]-TEX_H199[[#This Row],[2B]]-TEX_H199[[#This Row],[3B]]-TEX_H199[[#This Row],[HR]])+(TEX_H199[[#This Row],[2B]]*2)+(TEX_H199[[#This Row],[3B]]*3)+(TEX_H199[[#This Row],[HR]]*4))/TEX_H199[[#This Row],[AB]],0)</f>
        <v>0.17391304347826086</v>
      </c>
      <c r="AF79" s="28">
        <v>7</v>
      </c>
      <c r="AG79" s="28">
        <v>23</v>
      </c>
      <c r="AH79" s="28">
        <v>0</v>
      </c>
      <c r="AI79" s="28">
        <v>3</v>
      </c>
      <c r="AJ79" s="28">
        <v>1</v>
      </c>
      <c r="AK79" s="28">
        <v>0</v>
      </c>
      <c r="AL79" s="28">
        <v>0</v>
      </c>
      <c r="AM79" s="28">
        <v>1</v>
      </c>
      <c r="AN79" s="28">
        <v>0</v>
      </c>
      <c r="AO79" s="74">
        <v>10</v>
      </c>
      <c r="AP79" s="28">
        <v>0</v>
      </c>
      <c r="AQ79" s="28">
        <v>2</v>
      </c>
      <c r="AR79" s="74">
        <v>2</v>
      </c>
      <c r="AS79" s="28">
        <f>IFERROR((TEX_H199[[#This Row],[H]]-TEX_H199[[#This Row],[2B]]-TEX_H199[[#This Row],[3B]]-TEX_H199[[#This Row],[HR]])+(TEX_H199[[#This Row],[2B]]*2)+(TEX_H199[[#This Row],[3B]]*3)+(TEX_H199[[#This Row],[HR]]*4),0)</f>
        <v>4</v>
      </c>
      <c r="AT79" s="72">
        <f>TEX_H199[[#This Row],[OBP]]+TEX_H199[[#This Row],[SLG]]</f>
        <v>0.30434782608695654</v>
      </c>
      <c r="AU79" s="74">
        <v>0</v>
      </c>
      <c r="AV79" s="615">
        <v>14</v>
      </c>
      <c r="AY79" s="651" t="s">
        <v>650</v>
      </c>
      <c r="AZ79" s="74" t="s">
        <v>184</v>
      </c>
      <c r="BA79" s="71" t="s">
        <v>664</v>
      </c>
      <c r="BB79" s="72">
        <f>IFERROR(TEX_H185[[#This Row],[H]]/TEX_H185[[#This Row],[AB]],0)</f>
        <v>0.47058823529411764</v>
      </c>
      <c r="BC79" s="72">
        <f>IFERROR((TEX_H185[[#This Row],[H]]+TEX_H185[[#This Row],[BB]])/(TEX_H185[[#This Row],[AB]]+TEX_H185[[#This Row],[BB]]),0)</f>
        <v>0.52631578947368418</v>
      </c>
      <c r="BD79" s="73">
        <f>IFERROR(((TEX_H185[[#This Row],[H]]-TEX_H185[[#This Row],[2B]]-TEX_H185[[#This Row],[3B]]-TEX_H185[[#This Row],[HR]])+(TEX_H185[[#This Row],[2B]]*2)+(TEX_H185[[#This Row],[3B]]*3)+(TEX_H185[[#This Row],[HR]]*4))/TEX_H185[[#This Row],[AB]],0)</f>
        <v>0.70588235294117652</v>
      </c>
      <c r="BE79" s="28">
        <v>4</v>
      </c>
      <c r="BF79" s="28">
        <v>17</v>
      </c>
      <c r="BG79" s="28">
        <v>4</v>
      </c>
      <c r="BH79" s="28">
        <v>8</v>
      </c>
      <c r="BI79" s="28">
        <v>1</v>
      </c>
      <c r="BJ79" s="28">
        <v>0</v>
      </c>
      <c r="BK79" s="28">
        <v>1</v>
      </c>
      <c r="BL79" s="28">
        <v>1</v>
      </c>
      <c r="BM79" s="28">
        <v>2</v>
      </c>
      <c r="BN79" s="74">
        <v>2</v>
      </c>
      <c r="BO79" s="28">
        <v>0</v>
      </c>
      <c r="BP79" s="28">
        <v>4</v>
      </c>
      <c r="BQ79" s="74">
        <v>4</v>
      </c>
      <c r="BR79" s="28">
        <f>IFERROR((TEX_H185[[#This Row],[H]]-TEX_H185[[#This Row],[2B]]-TEX_H185[[#This Row],[3B]]-TEX_H185[[#This Row],[HR]])+(TEX_H185[[#This Row],[2B]]*2)+(TEX_H185[[#This Row],[3B]]*3)+(TEX_H185[[#This Row],[HR]]*4),0)</f>
        <v>12</v>
      </c>
      <c r="BS79" s="72">
        <f>IFERROR(TEX_H185[[#This Row],[OBP]]+TEX_H185[[#This Row],[SLG]],0)</f>
        <v>1.2321981424148607</v>
      </c>
      <c r="BT79" s="74">
        <v>0</v>
      </c>
      <c r="BU79" s="615">
        <v>14</v>
      </c>
    </row>
    <row r="80" spans="1:73" ht="17" thickBot="1">
      <c r="A80" s="805"/>
      <c r="B80" s="806"/>
      <c r="C80" s="676" t="s">
        <v>195</v>
      </c>
      <c r="D80" s="677">
        <f>J80/H80</f>
        <v>0.25944404846756952</v>
      </c>
      <c r="E80" s="677">
        <f>(J80+O80)/(H80+O80)</f>
        <v>0.31419141914191417</v>
      </c>
      <c r="F80" s="739">
        <f>((J80-K80-L80-M80)+(K80*2)+(L80*3)+(M80*4))/H80</f>
        <v>0.42266571632216676</v>
      </c>
      <c r="G80" s="679"/>
      <c r="H80" s="679">
        <f>SUBTOTAL(109,TEX_H[AB])</f>
        <v>1403</v>
      </c>
      <c r="I80" s="679">
        <f>SUBTOTAL(109,TEX_H[R])</f>
        <v>161</v>
      </c>
      <c r="J80" s="679">
        <f>SUBTOTAL(109,TEX_H[H])</f>
        <v>364</v>
      </c>
      <c r="K80" s="679">
        <f>SUBTOTAL(109,TEX_H[2B])</f>
        <v>73</v>
      </c>
      <c r="L80" s="679">
        <f>SUBTOTAL(109,TEX_H[3B])</f>
        <v>3</v>
      </c>
      <c r="M80" s="679">
        <f>SUBTOTAL(109,TEX_H[HR])</f>
        <v>50</v>
      </c>
      <c r="N80" s="679">
        <f>SUBTOTAL(109,TEX_H[RBI])</f>
        <v>161</v>
      </c>
      <c r="O80" s="679">
        <f>SUBTOTAL(109,TEX_H[BB])</f>
        <v>112</v>
      </c>
      <c r="P80" s="680">
        <f>SUBTOTAL(109,TEX_H[K])</f>
        <v>365</v>
      </c>
      <c r="Q80" s="679">
        <f>SUBTOTAL(109,TEX_H[SB])</f>
        <v>5</v>
      </c>
      <c r="R80" s="679"/>
      <c r="S80" s="680"/>
      <c r="T80" s="679">
        <f>SUBTOTAL(109,TEX_H[TB])</f>
        <v>593</v>
      </c>
      <c r="U80" s="677">
        <f>E80+F80</f>
        <v>0.73685713546408094</v>
      </c>
      <c r="V80" s="680">
        <f>SUBTOTAL(109,TEX_H[*])</f>
        <v>15</v>
      </c>
      <c r="W80" s="807"/>
      <c r="Z80" s="805"/>
      <c r="AA80" s="806"/>
      <c r="AB80" s="676" t="s">
        <v>195</v>
      </c>
      <c r="AC80" s="677">
        <f>AI80/AG80</f>
        <v>0.24662402274342574</v>
      </c>
      <c r="AD80" s="677">
        <f>(AI80+AN80)/(AG80+AN80)</f>
        <v>0.30944625407166126</v>
      </c>
      <c r="AE80" s="739">
        <f>((AI80-AJ80-AK80-AL80)+(AJ80*2)+(AK80*3)+(AL80*4))/AG80</f>
        <v>0.4079601990049751</v>
      </c>
      <c r="AF80" s="679"/>
      <c r="AG80" s="679">
        <f>SUBTOTAL(109,TEX_H199[AB])</f>
        <v>1407</v>
      </c>
      <c r="AH80" s="679">
        <f>SUBTOTAL(109,TEX_H199[R])</f>
        <v>161</v>
      </c>
      <c r="AI80" s="679">
        <f>SUBTOTAL(109,TEX_H199[H])</f>
        <v>347</v>
      </c>
      <c r="AJ80" s="679">
        <f>SUBTOTAL(109,TEX_H199[2B])</f>
        <v>70</v>
      </c>
      <c r="AK80" s="679">
        <f>SUBTOTAL(109,TEX_H199[3B])</f>
        <v>5</v>
      </c>
      <c r="AL80" s="679">
        <f>SUBTOTAL(109,TEX_H199[HR])</f>
        <v>49</v>
      </c>
      <c r="AM80" s="679">
        <f>SUBTOTAL(109,TEX_H199[RBI])</f>
        <v>160</v>
      </c>
      <c r="AN80" s="679">
        <f>SUBTOTAL(109,TEX_H199[BB])</f>
        <v>128</v>
      </c>
      <c r="AO80" s="680">
        <f>SUBTOTAL(109,TEX_H199[K])</f>
        <v>359</v>
      </c>
      <c r="AP80" s="679">
        <f>SUBTOTAL(109,TEX_H199[SB])</f>
        <v>0</v>
      </c>
      <c r="AQ80" s="679"/>
      <c r="AR80" s="680"/>
      <c r="AS80" s="679">
        <f>SUBTOTAL(109,TEX_H199[TB])</f>
        <v>574</v>
      </c>
      <c r="AT80" s="677">
        <f>AD80+AE80</f>
        <v>0.71740645307663642</v>
      </c>
      <c r="AU80" s="680">
        <f>SUBTOTAL(109,TEX_H199[*])</f>
        <v>15</v>
      </c>
      <c r="AV80" s="807"/>
      <c r="AY80" s="805"/>
      <c r="AZ80" s="806"/>
      <c r="BA80" s="676" t="s">
        <v>195</v>
      </c>
      <c r="BB80" s="677">
        <f>BH80/BF80</f>
        <v>0.22727272727272727</v>
      </c>
      <c r="BC80" s="677">
        <f>(BH80+BM80)/(BF80+BM80)</f>
        <v>0.28235294117647058</v>
      </c>
      <c r="BD80" s="739">
        <f>((BH80-BI80-BJ80-BK80)+(BI80*2)+(BJ80*3)+(BK80*4))/BF80</f>
        <v>0.38599105812220569</v>
      </c>
      <c r="BE80" s="679"/>
      <c r="BF80" s="679">
        <f>SUBTOTAL(109,TEX_H185[AB])</f>
        <v>1342</v>
      </c>
      <c r="BG80" s="679">
        <f>SUBTOTAL(109,TEX_H185[R])</f>
        <v>146</v>
      </c>
      <c r="BH80" s="679">
        <f>SUBTOTAL(109,TEX_H185[H])</f>
        <v>305</v>
      </c>
      <c r="BI80" s="679">
        <f>SUBTOTAL(109,TEX_H185[2B])</f>
        <v>57</v>
      </c>
      <c r="BJ80" s="679">
        <f>SUBTOTAL(109,TEX_H185[3B])</f>
        <v>3</v>
      </c>
      <c r="BK80" s="679">
        <f>SUBTOTAL(109,TEX_H185[HR])</f>
        <v>50</v>
      </c>
      <c r="BL80" s="679">
        <f>SUBTOTAL(109,TEX_H185[RBI])</f>
        <v>144</v>
      </c>
      <c r="BM80" s="679">
        <f>SUBTOTAL(109,TEX_H185[BB])</f>
        <v>103</v>
      </c>
      <c r="BN80" s="680">
        <f>SUBTOTAL(109,TEX_H185[K])</f>
        <v>363</v>
      </c>
      <c r="BO80" s="679">
        <f>SUBTOTAL(109,TEX_H185[SB])</f>
        <v>4</v>
      </c>
      <c r="BP80" s="679"/>
      <c r="BQ80" s="680"/>
      <c r="BR80" s="679">
        <f>(BH80-BI80-BJ80-BK80)+(BI80*2)+(BJ80*3)+(BK80*4)</f>
        <v>518</v>
      </c>
      <c r="BS80" s="677">
        <f>BC80+BD80</f>
        <v>0.66834399929867627</v>
      </c>
      <c r="BT80" s="680">
        <f>SUBTOTAL(109,TEX_H185[*])</f>
        <v>13</v>
      </c>
      <c r="BU80" s="807"/>
    </row>
    <row r="81" spans="1:73" ht="17" thickBot="1"/>
    <row r="82" spans="1:73" s="108" customFormat="1" ht="15" thickBot="1">
      <c r="A82" s="605" t="s">
        <v>143</v>
      </c>
      <c r="B82" s="606" t="s">
        <v>144</v>
      </c>
      <c r="C82" s="606" t="s">
        <v>145</v>
      </c>
      <c r="D82" s="606" t="s">
        <v>196</v>
      </c>
      <c r="E82" s="606" t="s">
        <v>197</v>
      </c>
      <c r="F82" s="606" t="s">
        <v>198</v>
      </c>
      <c r="G82" s="606" t="s">
        <v>149</v>
      </c>
      <c r="H82" s="606" t="s">
        <v>199</v>
      </c>
      <c r="I82" s="606" t="s">
        <v>152</v>
      </c>
      <c r="J82" s="606" t="s">
        <v>151</v>
      </c>
      <c r="K82" s="606" t="s">
        <v>157</v>
      </c>
      <c r="L82" s="606" t="s">
        <v>158</v>
      </c>
      <c r="M82" s="606" t="s">
        <v>200</v>
      </c>
      <c r="N82" s="606" t="s">
        <v>201</v>
      </c>
      <c r="O82" s="606" t="s">
        <v>202</v>
      </c>
      <c r="P82" s="606" t="s">
        <v>203</v>
      </c>
      <c r="Q82" s="606" t="s">
        <v>204</v>
      </c>
      <c r="R82" s="606" t="s">
        <v>205</v>
      </c>
      <c r="S82" s="607" t="s">
        <v>164</v>
      </c>
      <c r="Z82" s="605" t="s">
        <v>143</v>
      </c>
      <c r="AA82" s="606" t="s">
        <v>144</v>
      </c>
      <c r="AB82" s="606" t="s">
        <v>145</v>
      </c>
      <c r="AC82" s="606" t="s">
        <v>196</v>
      </c>
      <c r="AD82" s="606" t="s">
        <v>197</v>
      </c>
      <c r="AE82" s="606" t="s">
        <v>198</v>
      </c>
      <c r="AF82" s="606" t="s">
        <v>149</v>
      </c>
      <c r="AG82" s="606" t="s">
        <v>199</v>
      </c>
      <c r="AH82" s="606" t="s">
        <v>152</v>
      </c>
      <c r="AI82" s="606" t="s">
        <v>151</v>
      </c>
      <c r="AJ82" s="606" t="s">
        <v>157</v>
      </c>
      <c r="AK82" s="606" t="s">
        <v>158</v>
      </c>
      <c r="AL82" s="606" t="s">
        <v>200</v>
      </c>
      <c r="AM82" s="606" t="s">
        <v>201</v>
      </c>
      <c r="AN82" s="606" t="s">
        <v>202</v>
      </c>
      <c r="AO82" s="606" t="s">
        <v>203</v>
      </c>
      <c r="AP82" s="606" t="s">
        <v>204</v>
      </c>
      <c r="AQ82" s="606" t="s">
        <v>205</v>
      </c>
      <c r="AR82" s="607" t="s">
        <v>164</v>
      </c>
      <c r="AY82" s="605" t="s">
        <v>143</v>
      </c>
      <c r="AZ82" s="606" t="s">
        <v>144</v>
      </c>
      <c r="BA82" s="606" t="s">
        <v>145</v>
      </c>
      <c r="BB82" s="606" t="s">
        <v>196</v>
      </c>
      <c r="BC82" s="606" t="s">
        <v>197</v>
      </c>
      <c r="BD82" s="606" t="s">
        <v>198</v>
      </c>
      <c r="BE82" s="606" t="s">
        <v>149</v>
      </c>
      <c r="BF82" s="606" t="s">
        <v>199</v>
      </c>
      <c r="BG82" s="606" t="s">
        <v>152</v>
      </c>
      <c r="BH82" s="606" t="s">
        <v>151</v>
      </c>
      <c r="BI82" s="606" t="s">
        <v>157</v>
      </c>
      <c r="BJ82" s="606" t="s">
        <v>158</v>
      </c>
      <c r="BK82" s="606" t="s">
        <v>200</v>
      </c>
      <c r="BL82" s="606" t="s">
        <v>201</v>
      </c>
      <c r="BM82" s="606" t="s">
        <v>202</v>
      </c>
      <c r="BN82" s="606" t="s">
        <v>203</v>
      </c>
      <c r="BO82" s="606" t="s">
        <v>204</v>
      </c>
      <c r="BP82" s="606" t="s">
        <v>205</v>
      </c>
      <c r="BQ82" s="607" t="s">
        <v>164</v>
      </c>
    </row>
    <row r="83" spans="1:73">
      <c r="A83" s="650" t="s">
        <v>650</v>
      </c>
      <c r="B83" s="604" t="s">
        <v>206</v>
      </c>
      <c r="C83" s="682" t="s">
        <v>251</v>
      </c>
      <c r="D83" s="663">
        <f>IFERROR((TEX_P[[#This Row],[R]]*9)/TEX_P[[#This Row],[IP]],0)</f>
        <v>3.8769230769230769</v>
      </c>
      <c r="E83" s="600">
        <v>4</v>
      </c>
      <c r="F83" s="604">
        <v>5</v>
      </c>
      <c r="G83" s="600">
        <v>10</v>
      </c>
      <c r="H83" s="630">
        <v>65</v>
      </c>
      <c r="I83" s="600">
        <v>71</v>
      </c>
      <c r="J83" s="600">
        <v>28</v>
      </c>
      <c r="K83" s="600">
        <v>16</v>
      </c>
      <c r="L83" s="600">
        <v>56</v>
      </c>
      <c r="M83" s="600">
        <v>0</v>
      </c>
      <c r="N83" s="631">
        <f>IFERROR((TEX_P[[#This Row],[BB]]+TEX_P[[#This Row],[H]])/TEX_P[[#This Row],[IP]],0)</f>
        <v>1.3384615384615384</v>
      </c>
      <c r="O83" s="600">
        <v>6</v>
      </c>
      <c r="P83" s="601">
        <v>4</v>
      </c>
      <c r="Q83" s="600">
        <v>0</v>
      </c>
      <c r="R83" s="604">
        <v>0</v>
      </c>
      <c r="S83" s="614">
        <v>1</v>
      </c>
      <c r="Z83" s="650" t="s">
        <v>650</v>
      </c>
      <c r="AA83" s="604" t="s">
        <v>206</v>
      </c>
      <c r="AB83" s="682" t="s">
        <v>251</v>
      </c>
      <c r="AC83" s="663">
        <f>IFERROR((TEX_P198[[#This Row],[R]]*9)/TEX_P198[[#This Row],[IP]],0)</f>
        <v>4.8318332543818094</v>
      </c>
      <c r="AD83" s="600">
        <v>1</v>
      </c>
      <c r="AE83" s="604">
        <v>6</v>
      </c>
      <c r="AF83" s="600">
        <v>10</v>
      </c>
      <c r="AG83" s="630">
        <v>63.33</v>
      </c>
      <c r="AH83" s="600">
        <v>73</v>
      </c>
      <c r="AI83" s="600">
        <v>34</v>
      </c>
      <c r="AJ83" s="600">
        <v>10</v>
      </c>
      <c r="AK83" s="600">
        <v>55</v>
      </c>
      <c r="AL83" s="600">
        <v>0</v>
      </c>
      <c r="AM83" s="631">
        <f>IFERROR((TEX_P198[[#This Row],[BB]]+TEX_P198[[#This Row],[H]])/TEX_P198[[#This Row],[IP]],0)</f>
        <v>1.3105952944891837</v>
      </c>
      <c r="AN83" s="600">
        <v>5</v>
      </c>
      <c r="AO83" s="601">
        <v>2</v>
      </c>
      <c r="AP83" s="600">
        <v>0</v>
      </c>
      <c r="AQ83" s="604">
        <v>0</v>
      </c>
      <c r="AR83" s="614">
        <v>1</v>
      </c>
      <c r="AY83" s="650" t="s">
        <v>650</v>
      </c>
      <c r="AZ83" s="604" t="s">
        <v>206</v>
      </c>
      <c r="BA83" s="597" t="s">
        <v>452</v>
      </c>
      <c r="BB83" s="663">
        <f>IFERROR((TEX_P184[[#This Row],[R]]*9)/TEX_P184[[#This Row],[IP]],0)</f>
        <v>5.6181723599791917</v>
      </c>
      <c r="BC83" s="600">
        <v>2</v>
      </c>
      <c r="BD83" s="632">
        <v>7</v>
      </c>
      <c r="BE83" s="600">
        <v>10</v>
      </c>
      <c r="BF83" s="630">
        <v>57.67</v>
      </c>
      <c r="BG83" s="600">
        <v>60</v>
      </c>
      <c r="BH83" s="600">
        <v>36</v>
      </c>
      <c r="BI83" s="600">
        <v>32</v>
      </c>
      <c r="BJ83" s="600">
        <v>48</v>
      </c>
      <c r="BK83" s="600">
        <v>0</v>
      </c>
      <c r="BL83" s="631">
        <f>IFERROR((TEX_P184[[#This Row],[BB]]+TEX_P184[[#This Row],[H]])/TEX_P184[[#This Row],[IP]],0)</f>
        <v>1.5952835096237212</v>
      </c>
      <c r="BM83" s="600">
        <v>3</v>
      </c>
      <c r="BN83" s="601">
        <v>0</v>
      </c>
      <c r="BO83" s="600">
        <v>0</v>
      </c>
      <c r="BP83" s="604">
        <v>0</v>
      </c>
      <c r="BQ83" s="614">
        <v>1</v>
      </c>
    </row>
    <row r="84" spans="1:73">
      <c r="A84" s="651" t="s">
        <v>650</v>
      </c>
      <c r="B84" s="74" t="s">
        <v>206</v>
      </c>
      <c r="C84" s="87" t="s">
        <v>364</v>
      </c>
      <c r="D84" s="88">
        <f>IFERROR((TEX_P[[#This Row],[R]]*9)/TEX_P[[#This Row],[IP]],0)</f>
        <v>3.5714285714285716</v>
      </c>
      <c r="E84" s="28">
        <v>3</v>
      </c>
      <c r="F84" s="74">
        <v>2</v>
      </c>
      <c r="G84" s="28">
        <v>10</v>
      </c>
      <c r="H84" s="584">
        <v>63</v>
      </c>
      <c r="I84" s="28">
        <v>62</v>
      </c>
      <c r="J84" s="28">
        <v>25</v>
      </c>
      <c r="K84" s="28">
        <v>16</v>
      </c>
      <c r="L84" s="28">
        <v>72</v>
      </c>
      <c r="M84" s="28">
        <v>0</v>
      </c>
      <c r="N84" s="89">
        <f>IFERROR((TEX_P[[#This Row],[BB]]+TEX_P[[#This Row],[H]])/TEX_P[[#This Row],[IP]],0)</f>
        <v>1.2380952380952381</v>
      </c>
      <c r="O84" s="28">
        <v>7</v>
      </c>
      <c r="P84" s="90">
        <v>5</v>
      </c>
      <c r="Q84" s="28">
        <v>0</v>
      </c>
      <c r="R84" s="74">
        <v>0</v>
      </c>
      <c r="S84" s="615">
        <v>2</v>
      </c>
      <c r="Z84" s="651" t="s">
        <v>650</v>
      </c>
      <c r="AA84" s="74" t="s">
        <v>206</v>
      </c>
      <c r="AB84" s="87" t="s">
        <v>669</v>
      </c>
      <c r="AC84" s="88">
        <f>IFERROR((TEX_P198[[#This Row],[R]]*9)/TEX_P198[[#This Row],[IP]],0)</f>
        <v>3.3210332103321032</v>
      </c>
      <c r="AD84" s="28">
        <v>4</v>
      </c>
      <c r="AE84" s="74">
        <v>3</v>
      </c>
      <c r="AF84" s="28">
        <v>10</v>
      </c>
      <c r="AG84" s="584">
        <v>62.33</v>
      </c>
      <c r="AH84" s="28">
        <v>60</v>
      </c>
      <c r="AI84" s="28">
        <v>23</v>
      </c>
      <c r="AJ84" s="28">
        <v>19</v>
      </c>
      <c r="AK84" s="28">
        <v>48</v>
      </c>
      <c r="AL84" s="28">
        <v>0</v>
      </c>
      <c r="AM84" s="89">
        <f>IFERROR((TEX_P198[[#This Row],[BB]]+TEX_P198[[#This Row],[H]])/TEX_P198[[#This Row],[IP]],0)</f>
        <v>1.2674474570832666</v>
      </c>
      <c r="AN84" s="28">
        <v>7</v>
      </c>
      <c r="AO84" s="90">
        <v>4</v>
      </c>
      <c r="AP84" s="28">
        <v>1</v>
      </c>
      <c r="AQ84" s="74">
        <v>1</v>
      </c>
      <c r="AR84" s="615">
        <v>2</v>
      </c>
      <c r="AY84" s="651" t="s">
        <v>650</v>
      </c>
      <c r="AZ84" s="74" t="s">
        <v>206</v>
      </c>
      <c r="BA84" s="71" t="s">
        <v>669</v>
      </c>
      <c r="BB84" s="88">
        <f>IFERROR((TEX_P184[[#This Row],[R]]*9)/TEX_P184[[#This Row],[IP]],0)</f>
        <v>5.2790346907993966</v>
      </c>
      <c r="BC84" s="28">
        <v>3</v>
      </c>
      <c r="BD84" s="74">
        <v>5</v>
      </c>
      <c r="BE84" s="28">
        <v>10</v>
      </c>
      <c r="BF84" s="584">
        <v>59.67</v>
      </c>
      <c r="BG84" s="28">
        <v>65</v>
      </c>
      <c r="BH84" s="28">
        <v>35</v>
      </c>
      <c r="BI84" s="28">
        <v>28</v>
      </c>
      <c r="BJ84" s="28">
        <v>57</v>
      </c>
      <c r="BK84" s="28">
        <v>0</v>
      </c>
      <c r="BL84" s="89">
        <f>IFERROR((TEX_P184[[#This Row],[BB]]+TEX_P184[[#This Row],[H]])/TEX_P184[[#This Row],[IP]],0)</f>
        <v>1.5585721468074409</v>
      </c>
      <c r="BM84" s="28">
        <v>5</v>
      </c>
      <c r="BN84" s="90">
        <v>1</v>
      </c>
      <c r="BO84" s="28">
        <v>0</v>
      </c>
      <c r="BP84" s="74">
        <v>0</v>
      </c>
      <c r="BQ84" s="615">
        <v>2</v>
      </c>
    </row>
    <row r="85" spans="1:73">
      <c r="A85" s="651" t="s">
        <v>650</v>
      </c>
      <c r="B85" s="74" t="s">
        <v>206</v>
      </c>
      <c r="C85" s="87" t="s">
        <v>669</v>
      </c>
      <c r="D85" s="88">
        <f>IFERROR((TEX_P[[#This Row],[R]]*9)/TEX_P[[#This Row],[IP]],0)</f>
        <v>4.5508174616551491</v>
      </c>
      <c r="E85" s="28">
        <v>3</v>
      </c>
      <c r="F85" s="74">
        <v>3</v>
      </c>
      <c r="G85" s="28">
        <v>10</v>
      </c>
      <c r="H85" s="584">
        <v>59.33</v>
      </c>
      <c r="I85" s="28">
        <v>58</v>
      </c>
      <c r="J85" s="28">
        <v>30</v>
      </c>
      <c r="K85" s="28">
        <v>22</v>
      </c>
      <c r="L85" s="28">
        <v>46</v>
      </c>
      <c r="M85" s="28">
        <v>0</v>
      </c>
      <c r="N85" s="89">
        <f>IFERROR((TEX_P[[#This Row],[BB]]+TEX_P[[#This Row],[H]])/TEX_P[[#This Row],[IP]],0)</f>
        <v>1.3483903590089332</v>
      </c>
      <c r="O85" s="28">
        <v>5</v>
      </c>
      <c r="P85" s="90">
        <v>2</v>
      </c>
      <c r="Q85" s="28">
        <v>0</v>
      </c>
      <c r="R85" s="74">
        <v>0</v>
      </c>
      <c r="S85" s="615">
        <v>3</v>
      </c>
      <c r="Z85" s="651" t="s">
        <v>650</v>
      </c>
      <c r="AA85" s="74" t="s">
        <v>206</v>
      </c>
      <c r="AB85" s="87" t="s">
        <v>670</v>
      </c>
      <c r="AC85" s="88">
        <f>IFERROR((TEX_P198[[#This Row],[R]]*9)/TEX_P198[[#This Row],[IP]],0)</f>
        <v>4.209677419354839</v>
      </c>
      <c r="AD85" s="28">
        <v>2</v>
      </c>
      <c r="AE85" s="74">
        <v>3</v>
      </c>
      <c r="AF85" s="28">
        <v>10</v>
      </c>
      <c r="AG85" s="584">
        <v>62</v>
      </c>
      <c r="AH85" s="28">
        <v>68</v>
      </c>
      <c r="AI85" s="28">
        <v>29</v>
      </c>
      <c r="AJ85" s="28">
        <v>12</v>
      </c>
      <c r="AK85" s="28">
        <v>40</v>
      </c>
      <c r="AL85" s="28">
        <v>0</v>
      </c>
      <c r="AM85" s="89">
        <f>IFERROR((TEX_P198[[#This Row],[BB]]+TEX_P198[[#This Row],[H]])/TEX_P198[[#This Row],[IP]],0)</f>
        <v>1.2903225806451613</v>
      </c>
      <c r="AN85" s="28">
        <v>4</v>
      </c>
      <c r="AO85" s="90">
        <v>2</v>
      </c>
      <c r="AP85" s="28">
        <v>0</v>
      </c>
      <c r="AQ85" s="74">
        <v>0</v>
      </c>
      <c r="AR85" s="615">
        <v>3</v>
      </c>
      <c r="AY85" s="651" t="s">
        <v>650</v>
      </c>
      <c r="AZ85" s="74" t="s">
        <v>206</v>
      </c>
      <c r="BA85" s="71" t="s">
        <v>670</v>
      </c>
      <c r="BB85" s="88">
        <f>IFERROR((TEX_P184[[#This Row],[R]]*9)/TEX_P184[[#This Row],[IP]],0)</f>
        <v>5.3092870385976738</v>
      </c>
      <c r="BC85" s="28">
        <v>4</v>
      </c>
      <c r="BD85" s="74">
        <v>5</v>
      </c>
      <c r="BE85" s="28">
        <v>10</v>
      </c>
      <c r="BF85" s="584">
        <v>59.33</v>
      </c>
      <c r="BG85" s="28">
        <v>84</v>
      </c>
      <c r="BH85" s="28">
        <v>35</v>
      </c>
      <c r="BI85" s="28">
        <v>20</v>
      </c>
      <c r="BJ85" s="28">
        <v>44</v>
      </c>
      <c r="BK85" s="28">
        <v>0</v>
      </c>
      <c r="BL85" s="89">
        <f>IFERROR((TEX_P184[[#This Row],[BB]]+TEX_P184[[#This Row],[H]])/TEX_P184[[#This Row],[IP]],0)</f>
        <v>1.7529074667116131</v>
      </c>
      <c r="BM85" s="28">
        <v>4</v>
      </c>
      <c r="BN85" s="90">
        <v>2</v>
      </c>
      <c r="BO85" s="28">
        <v>1</v>
      </c>
      <c r="BP85" s="74">
        <v>1</v>
      </c>
      <c r="BQ85" s="615">
        <v>3</v>
      </c>
    </row>
    <row r="86" spans="1:73">
      <c r="A86" s="651" t="s">
        <v>650</v>
      </c>
      <c r="B86" s="74" t="s">
        <v>206</v>
      </c>
      <c r="C86" s="87" t="s">
        <v>671</v>
      </c>
      <c r="D86" s="88">
        <f>IFERROR((TEX_P[[#This Row],[R]]*9)/TEX_P[[#This Row],[IP]],0)</f>
        <v>6.7918277194919936</v>
      </c>
      <c r="E86" s="28">
        <v>1</v>
      </c>
      <c r="F86" s="74">
        <v>6</v>
      </c>
      <c r="G86" s="28">
        <v>10</v>
      </c>
      <c r="H86" s="584">
        <v>54.33</v>
      </c>
      <c r="I86" s="28">
        <v>62</v>
      </c>
      <c r="J86" s="28">
        <v>41</v>
      </c>
      <c r="K86" s="28">
        <v>27</v>
      </c>
      <c r="L86" s="28">
        <v>62</v>
      </c>
      <c r="M86" s="28">
        <v>0</v>
      </c>
      <c r="N86" s="89">
        <f>IFERROR((TEX_P[[#This Row],[BB]]+TEX_P[[#This Row],[H]])/TEX_P[[#This Row],[IP]],0)</f>
        <v>1.6381373090373643</v>
      </c>
      <c r="O86" s="28">
        <v>2</v>
      </c>
      <c r="P86" s="90">
        <v>0</v>
      </c>
      <c r="Q86" s="28">
        <v>0</v>
      </c>
      <c r="R86" s="74">
        <v>0</v>
      </c>
      <c r="S86" s="615">
        <v>4</v>
      </c>
      <c r="Z86" s="651" t="s">
        <v>650</v>
      </c>
      <c r="AA86" s="74" t="s">
        <v>206</v>
      </c>
      <c r="AB86" s="87" t="s">
        <v>671</v>
      </c>
      <c r="AC86" s="88">
        <f>IFERROR((TEX_P198[[#This Row],[R]]*9)/TEX_P198[[#This Row],[IP]],0)</f>
        <v>9</v>
      </c>
      <c r="AD86" s="28">
        <v>2</v>
      </c>
      <c r="AE86" s="74">
        <v>5</v>
      </c>
      <c r="AF86" s="28">
        <v>10</v>
      </c>
      <c r="AG86" s="584">
        <v>43</v>
      </c>
      <c r="AH86" s="28">
        <v>67</v>
      </c>
      <c r="AI86" s="28">
        <v>43</v>
      </c>
      <c r="AJ86" s="28">
        <v>25</v>
      </c>
      <c r="AK86" s="28">
        <v>40</v>
      </c>
      <c r="AL86" s="28">
        <v>0</v>
      </c>
      <c r="AM86" s="89">
        <f>IFERROR((TEX_P198[[#This Row],[BB]]+TEX_P198[[#This Row],[H]])/TEX_P198[[#This Row],[IP]],0)</f>
        <v>2.13953488372093</v>
      </c>
      <c r="AN86" s="28">
        <v>3</v>
      </c>
      <c r="AO86" s="90">
        <v>0</v>
      </c>
      <c r="AP86" s="28">
        <v>0</v>
      </c>
      <c r="AQ86" s="74">
        <v>0</v>
      </c>
      <c r="AR86" s="615">
        <v>4</v>
      </c>
      <c r="AY86" s="651" t="s">
        <v>650</v>
      </c>
      <c r="AZ86" s="74" t="s">
        <v>206</v>
      </c>
      <c r="BA86" s="71" t="s">
        <v>671</v>
      </c>
      <c r="BB86" s="88">
        <f>IFERROR((TEX_P184[[#This Row],[R]]*9)/TEX_P184[[#This Row],[IP]],0)</f>
        <v>4.7649606930851922</v>
      </c>
      <c r="BC86" s="28">
        <v>2</v>
      </c>
      <c r="BD86" s="74">
        <v>6</v>
      </c>
      <c r="BE86" s="28">
        <v>10</v>
      </c>
      <c r="BF86" s="584">
        <v>62.33</v>
      </c>
      <c r="BG86" s="28">
        <v>69</v>
      </c>
      <c r="BH86" s="28">
        <v>33</v>
      </c>
      <c r="BI86" s="28">
        <v>33</v>
      </c>
      <c r="BJ86" s="28">
        <v>52</v>
      </c>
      <c r="BK86" s="28">
        <v>0</v>
      </c>
      <c r="BL86" s="89">
        <f>IFERROR((TEX_P184[[#This Row],[BB]]+TEX_P184[[#This Row],[H]])/TEX_P184[[#This Row],[IP]],0)</f>
        <v>1.6364511471201668</v>
      </c>
      <c r="BM86" s="28">
        <v>3</v>
      </c>
      <c r="BN86" s="90">
        <v>2</v>
      </c>
      <c r="BO86" s="28">
        <v>0</v>
      </c>
      <c r="BP86" s="74">
        <v>0</v>
      </c>
      <c r="BQ86" s="615">
        <v>4</v>
      </c>
    </row>
    <row r="87" spans="1:73">
      <c r="A87" s="651" t="s">
        <v>650</v>
      </c>
      <c r="B87" s="74" t="s">
        <v>215</v>
      </c>
      <c r="C87" s="87" t="s">
        <v>672</v>
      </c>
      <c r="D87" s="88">
        <f>IFERROR((TEX_P[[#This Row],[R]]*9)/TEX_P[[#This Row],[IP]],0)</f>
        <v>4.5</v>
      </c>
      <c r="E87" s="28">
        <v>1</v>
      </c>
      <c r="F87" s="74">
        <v>2</v>
      </c>
      <c r="G87" s="28">
        <v>9</v>
      </c>
      <c r="H87" s="584">
        <v>18</v>
      </c>
      <c r="I87" s="28">
        <v>19</v>
      </c>
      <c r="J87" s="28">
        <v>9</v>
      </c>
      <c r="K87" s="28">
        <v>7</v>
      </c>
      <c r="L87" s="28">
        <v>21</v>
      </c>
      <c r="M87" s="28">
        <v>0</v>
      </c>
      <c r="N87" s="89">
        <f>IFERROR((TEX_P[[#This Row],[BB]]+TEX_P[[#This Row],[H]])/TEX_P[[#This Row],[IP]],0)</f>
        <v>1.4444444444444444</v>
      </c>
      <c r="O87" s="28">
        <v>0</v>
      </c>
      <c r="P87" s="90">
        <v>0</v>
      </c>
      <c r="Q87" s="28">
        <v>0</v>
      </c>
      <c r="R87" s="74">
        <v>0</v>
      </c>
      <c r="S87" s="615">
        <v>5</v>
      </c>
      <c r="Z87" s="651" t="s">
        <v>650</v>
      </c>
      <c r="AA87" s="74" t="s">
        <v>212</v>
      </c>
      <c r="AB87" s="87" t="s">
        <v>674</v>
      </c>
      <c r="AC87" s="88">
        <f>IFERROR((TEX_P198[[#This Row],[R]]*9)/TEX_P198[[#This Row],[IP]],0)</f>
        <v>5.5857253685027146</v>
      </c>
      <c r="AD87" s="28">
        <v>0</v>
      </c>
      <c r="AE87" s="74">
        <v>4</v>
      </c>
      <c r="AF87" s="28">
        <v>18</v>
      </c>
      <c r="AG87" s="584">
        <v>38.67</v>
      </c>
      <c r="AH87" s="28">
        <v>44</v>
      </c>
      <c r="AI87" s="28">
        <v>24</v>
      </c>
      <c r="AJ87" s="28">
        <v>23</v>
      </c>
      <c r="AK87" s="28">
        <v>30</v>
      </c>
      <c r="AL87" s="28">
        <v>0</v>
      </c>
      <c r="AM87" s="89">
        <f>IFERROR((TEX_P198[[#This Row],[BB]]+TEX_P198[[#This Row],[H]])/TEX_P198[[#This Row],[IP]],0)</f>
        <v>1.7326092578226013</v>
      </c>
      <c r="AN87" s="28">
        <v>0</v>
      </c>
      <c r="AO87" s="90">
        <v>0</v>
      </c>
      <c r="AP87" s="28">
        <v>0</v>
      </c>
      <c r="AQ87" s="74">
        <v>0</v>
      </c>
      <c r="AR87" s="615">
        <v>5</v>
      </c>
      <c r="AY87" s="651" t="s">
        <v>650</v>
      </c>
      <c r="AZ87" s="74" t="s">
        <v>212</v>
      </c>
      <c r="BA87" s="71" t="s">
        <v>674</v>
      </c>
      <c r="BB87" s="88">
        <f>IFERROR((TEX_P184[[#This Row],[R]]*9)/TEX_P184[[#This Row],[IP]],0)</f>
        <v>4.6086320409656185</v>
      </c>
      <c r="BC87" s="28">
        <v>0</v>
      </c>
      <c r="BD87" s="74">
        <v>0</v>
      </c>
      <c r="BE87" s="28">
        <v>8</v>
      </c>
      <c r="BF87" s="584">
        <v>13.67</v>
      </c>
      <c r="BG87" s="28">
        <v>14</v>
      </c>
      <c r="BH87" s="28">
        <v>7</v>
      </c>
      <c r="BI87" s="28">
        <v>7</v>
      </c>
      <c r="BJ87" s="28">
        <v>10</v>
      </c>
      <c r="BK87" s="28">
        <v>0</v>
      </c>
      <c r="BL87" s="89">
        <f>IFERROR((TEX_P184[[#This Row],[BB]]+TEX_P184[[#This Row],[H]])/TEX_P184[[#This Row],[IP]],0)</f>
        <v>1.5362106803218727</v>
      </c>
      <c r="BM87" s="28">
        <v>0</v>
      </c>
      <c r="BN87" s="90">
        <v>0</v>
      </c>
      <c r="BO87" s="28">
        <v>0</v>
      </c>
      <c r="BP87" s="74">
        <v>0</v>
      </c>
      <c r="BQ87" s="615">
        <v>5</v>
      </c>
    </row>
    <row r="88" spans="1:73">
      <c r="A88" s="651" t="s">
        <v>650</v>
      </c>
      <c r="B88" s="74" t="s">
        <v>215</v>
      </c>
      <c r="C88" s="74" t="s">
        <v>675</v>
      </c>
      <c r="D88" s="88">
        <f>IFERROR((TEX_P[[#This Row],[R]]*9)/TEX_P[[#This Row],[IP]],0)</f>
        <v>5.4</v>
      </c>
      <c r="E88" s="28">
        <v>0</v>
      </c>
      <c r="F88" s="74">
        <v>0</v>
      </c>
      <c r="G88" s="28">
        <v>6</v>
      </c>
      <c r="H88" s="584">
        <v>10</v>
      </c>
      <c r="I88" s="28">
        <v>8</v>
      </c>
      <c r="J88" s="28">
        <v>6</v>
      </c>
      <c r="K88" s="28">
        <v>4</v>
      </c>
      <c r="L88" s="28">
        <v>10</v>
      </c>
      <c r="M88" s="28">
        <v>0</v>
      </c>
      <c r="N88" s="89">
        <f>IFERROR((TEX_P[[#This Row],[BB]]+TEX_P[[#This Row],[H]])/TEX_P[[#This Row],[IP]],0)</f>
        <v>1.2</v>
      </c>
      <c r="O88" s="28">
        <v>0</v>
      </c>
      <c r="P88" s="90">
        <v>0</v>
      </c>
      <c r="Q88" s="28">
        <v>0</v>
      </c>
      <c r="R88" s="74">
        <v>0</v>
      </c>
      <c r="S88" s="615">
        <v>6</v>
      </c>
      <c r="Z88" s="651" t="s">
        <v>650</v>
      </c>
      <c r="AA88" s="74" t="s">
        <v>212</v>
      </c>
      <c r="AB88" s="74" t="s">
        <v>680</v>
      </c>
      <c r="AC88" s="88">
        <f>IFERROR((TEX_P198[[#This Row],[R]]*9)/TEX_P198[[#This Row],[IP]],0)</f>
        <v>0.91509913573970503</v>
      </c>
      <c r="AD88" s="28">
        <v>1</v>
      </c>
      <c r="AE88" s="74">
        <v>0</v>
      </c>
      <c r="AF88" s="28">
        <v>13</v>
      </c>
      <c r="AG88" s="584">
        <v>19.670000000000002</v>
      </c>
      <c r="AH88" s="28">
        <v>9</v>
      </c>
      <c r="AI88" s="28">
        <v>2</v>
      </c>
      <c r="AJ88" s="28">
        <v>8</v>
      </c>
      <c r="AK88" s="28">
        <v>12</v>
      </c>
      <c r="AL88" s="28">
        <v>0</v>
      </c>
      <c r="AM88" s="89">
        <f>IFERROR((TEX_P198[[#This Row],[BB]]+TEX_P198[[#This Row],[H]])/TEX_P198[[#This Row],[IP]],0)</f>
        <v>0.864260294865277</v>
      </c>
      <c r="AN88" s="28">
        <v>0</v>
      </c>
      <c r="AO88" s="90">
        <v>0</v>
      </c>
      <c r="AP88" s="28">
        <v>0</v>
      </c>
      <c r="AQ88" s="74">
        <v>0</v>
      </c>
      <c r="AR88" s="615">
        <v>6</v>
      </c>
      <c r="AY88" s="651" t="s">
        <v>650</v>
      </c>
      <c r="AZ88" s="74" t="s">
        <v>212</v>
      </c>
      <c r="BA88" s="71" t="s">
        <v>677</v>
      </c>
      <c r="BB88" s="88">
        <f>IFERROR((TEX_P184[[#This Row],[R]]*9)/TEX_P184[[#This Row],[IP]],0)</f>
        <v>4.8</v>
      </c>
      <c r="BC88" s="28">
        <v>0</v>
      </c>
      <c r="BD88" s="74">
        <v>0</v>
      </c>
      <c r="BE88" s="28">
        <v>12</v>
      </c>
      <c r="BF88" s="584">
        <v>15</v>
      </c>
      <c r="BG88" s="28">
        <v>15</v>
      </c>
      <c r="BH88" s="28">
        <v>8</v>
      </c>
      <c r="BI88" s="28">
        <v>4</v>
      </c>
      <c r="BJ88" s="28">
        <v>10</v>
      </c>
      <c r="BK88" s="28">
        <v>0</v>
      </c>
      <c r="BL88" s="89">
        <f>IFERROR((TEX_P184[[#This Row],[BB]]+TEX_P184[[#This Row],[H]])/TEX_P184[[#This Row],[IP]],0)</f>
        <v>1.2666666666666666</v>
      </c>
      <c r="BM88" s="28">
        <v>0</v>
      </c>
      <c r="BN88" s="90">
        <v>0</v>
      </c>
      <c r="BO88" s="28">
        <v>0</v>
      </c>
      <c r="BP88" s="74">
        <v>0</v>
      </c>
      <c r="BQ88" s="615">
        <v>6</v>
      </c>
    </row>
    <row r="89" spans="1:73">
      <c r="A89" s="651" t="s">
        <v>650</v>
      </c>
      <c r="B89" s="74" t="s">
        <v>215</v>
      </c>
      <c r="C89" s="87" t="s">
        <v>678</v>
      </c>
      <c r="D89" s="88">
        <f>IFERROR((TEX_P[[#This Row],[R]]*9)/TEX_P[[#This Row],[IP]],0)</f>
        <v>6.882352941176471</v>
      </c>
      <c r="E89" s="28">
        <v>0</v>
      </c>
      <c r="F89" s="74">
        <v>1</v>
      </c>
      <c r="G89" s="28">
        <v>13</v>
      </c>
      <c r="H89" s="584">
        <v>17</v>
      </c>
      <c r="I89" s="28">
        <v>22</v>
      </c>
      <c r="J89" s="28">
        <v>13</v>
      </c>
      <c r="K89" s="28">
        <v>6</v>
      </c>
      <c r="L89" s="28">
        <v>13</v>
      </c>
      <c r="M89" s="28">
        <v>1</v>
      </c>
      <c r="N89" s="89">
        <f>IFERROR((TEX_P[[#This Row],[BB]]+TEX_P[[#This Row],[H]])/TEX_P[[#This Row],[IP]],0)</f>
        <v>1.6470588235294117</v>
      </c>
      <c r="O89" s="28">
        <v>0</v>
      </c>
      <c r="P89" s="90">
        <v>0</v>
      </c>
      <c r="Q89" s="28">
        <v>0</v>
      </c>
      <c r="R89" s="74">
        <v>0</v>
      </c>
      <c r="S89" s="615">
        <v>7</v>
      </c>
      <c r="Z89" s="651" t="s">
        <v>650</v>
      </c>
      <c r="AA89" s="74" t="s">
        <v>212</v>
      </c>
      <c r="AB89" s="87" t="s">
        <v>673</v>
      </c>
      <c r="AC89" s="88">
        <f>IFERROR((TEX_P198[[#This Row],[R]]*9)/TEX_P198[[#This Row],[IP]],0)</f>
        <v>0</v>
      </c>
      <c r="AD89" s="28">
        <v>0</v>
      </c>
      <c r="AE89" s="74">
        <v>0</v>
      </c>
      <c r="AF89" s="28">
        <v>2</v>
      </c>
      <c r="AG89" s="584">
        <v>4</v>
      </c>
      <c r="AH89" s="28">
        <v>2</v>
      </c>
      <c r="AI89" s="28">
        <v>0</v>
      </c>
      <c r="AJ89" s="28">
        <v>3</v>
      </c>
      <c r="AK89" s="28">
        <v>3</v>
      </c>
      <c r="AL89" s="28">
        <v>0</v>
      </c>
      <c r="AM89" s="89">
        <f>IFERROR((TEX_P198[[#This Row],[BB]]+TEX_P198[[#This Row],[H]])/TEX_P198[[#This Row],[IP]],0)</f>
        <v>1.25</v>
      </c>
      <c r="AN89" s="28">
        <v>0</v>
      </c>
      <c r="AO89" s="90">
        <v>0</v>
      </c>
      <c r="AP89" s="28">
        <v>0</v>
      </c>
      <c r="AQ89" s="74">
        <v>0</v>
      </c>
      <c r="AR89" s="615">
        <v>7</v>
      </c>
      <c r="AY89" s="651" t="s">
        <v>650</v>
      </c>
      <c r="AZ89" s="74" t="s">
        <v>215</v>
      </c>
      <c r="BA89" s="71" t="s">
        <v>673</v>
      </c>
      <c r="BB89" s="88">
        <f>IFERROR((TEX_P184[[#This Row],[R]]*9)/TEX_P184[[#This Row],[IP]],0)</f>
        <v>4.5</v>
      </c>
      <c r="BC89" s="28">
        <v>0</v>
      </c>
      <c r="BD89" s="74">
        <v>2</v>
      </c>
      <c r="BE89" s="28">
        <v>12</v>
      </c>
      <c r="BF89" s="584">
        <v>14</v>
      </c>
      <c r="BG89" s="28">
        <v>10</v>
      </c>
      <c r="BH89" s="28">
        <v>7</v>
      </c>
      <c r="BI89" s="28">
        <v>1</v>
      </c>
      <c r="BJ89" s="28">
        <v>5</v>
      </c>
      <c r="BK89" s="28">
        <v>0</v>
      </c>
      <c r="BL89" s="89">
        <f>IFERROR((TEX_P184[[#This Row],[BB]]+TEX_P184[[#This Row],[H]])/TEX_P184[[#This Row],[IP]],0)</f>
        <v>0.7857142857142857</v>
      </c>
      <c r="BM89" s="28">
        <v>0</v>
      </c>
      <c r="BN89" s="90">
        <v>0</v>
      </c>
      <c r="BO89" s="28">
        <v>0</v>
      </c>
      <c r="BP89" s="74">
        <v>0</v>
      </c>
      <c r="BQ89" s="615">
        <v>7</v>
      </c>
    </row>
    <row r="90" spans="1:73">
      <c r="A90" s="651" t="s">
        <v>650</v>
      </c>
      <c r="B90" s="74" t="s">
        <v>212</v>
      </c>
      <c r="C90" s="87" t="s">
        <v>674</v>
      </c>
      <c r="D90" s="88">
        <f>IFERROR((TEX_P[[#This Row],[R]]*9)/TEX_P[[#This Row],[IP]],0)</f>
        <v>8.3370092633436261</v>
      </c>
      <c r="E90" s="28">
        <v>2</v>
      </c>
      <c r="F90" s="74">
        <v>3</v>
      </c>
      <c r="G90" s="28">
        <v>17</v>
      </c>
      <c r="H90" s="584">
        <v>22.67</v>
      </c>
      <c r="I90" s="28">
        <v>24</v>
      </c>
      <c r="J90" s="28">
        <v>21</v>
      </c>
      <c r="K90" s="28">
        <v>14</v>
      </c>
      <c r="L90" s="28">
        <v>15</v>
      </c>
      <c r="M90" s="28">
        <v>0</v>
      </c>
      <c r="N90" s="89">
        <f>IFERROR((TEX_P[[#This Row],[BB]]+TEX_P[[#This Row],[H]])/TEX_P[[#This Row],[IP]],0)</f>
        <v>1.6762240846934273</v>
      </c>
      <c r="O90" s="28">
        <v>0</v>
      </c>
      <c r="P90" s="90">
        <v>0</v>
      </c>
      <c r="Q90" s="28">
        <v>0</v>
      </c>
      <c r="R90" s="74">
        <v>0</v>
      </c>
      <c r="S90" s="615">
        <v>8</v>
      </c>
      <c r="Z90" s="651" t="s">
        <v>650</v>
      </c>
      <c r="AA90" s="74" t="s">
        <v>212</v>
      </c>
      <c r="AB90" s="87" t="s">
        <v>679</v>
      </c>
      <c r="AC90" s="88">
        <f>IFERROR((TEX_P198[[#This Row],[R]]*9)/TEX_P198[[#This Row],[IP]],0)</f>
        <v>3.4220532319391634</v>
      </c>
      <c r="AD90" s="28">
        <v>1</v>
      </c>
      <c r="AE90" s="74">
        <v>1</v>
      </c>
      <c r="AF90" s="28">
        <v>19</v>
      </c>
      <c r="AG90" s="584">
        <v>23.67</v>
      </c>
      <c r="AH90" s="28">
        <v>23</v>
      </c>
      <c r="AI90" s="28">
        <v>9</v>
      </c>
      <c r="AJ90" s="28">
        <v>5</v>
      </c>
      <c r="AK90" s="28">
        <v>24</v>
      </c>
      <c r="AL90" s="28">
        <v>0</v>
      </c>
      <c r="AM90" s="89">
        <f>IFERROR((TEX_P198[[#This Row],[BB]]+TEX_P198[[#This Row],[H]])/TEX_P198[[#This Row],[IP]],0)</f>
        <v>1.1829319814110688</v>
      </c>
      <c r="AN90" s="28">
        <v>0</v>
      </c>
      <c r="AO90" s="90">
        <v>0</v>
      </c>
      <c r="AP90" s="28">
        <v>0</v>
      </c>
      <c r="AQ90" s="74">
        <v>0</v>
      </c>
      <c r="AR90" s="615">
        <v>8</v>
      </c>
      <c r="AY90" s="651" t="s">
        <v>650</v>
      </c>
      <c r="AZ90" s="74" t="s">
        <v>212</v>
      </c>
      <c r="BA90" s="71" t="s">
        <v>679</v>
      </c>
      <c r="BB90" s="88">
        <f>IFERROR((TEX_P184[[#This Row],[R]]*9)/TEX_P184[[#This Row],[IP]],0)</f>
        <v>4.2637189103829458</v>
      </c>
      <c r="BC90" s="28">
        <v>0</v>
      </c>
      <c r="BD90" s="74">
        <v>1</v>
      </c>
      <c r="BE90" s="28">
        <v>24</v>
      </c>
      <c r="BF90" s="584">
        <v>25.33</v>
      </c>
      <c r="BG90" s="28">
        <v>24</v>
      </c>
      <c r="BH90" s="28">
        <v>12</v>
      </c>
      <c r="BI90" s="28">
        <v>13</v>
      </c>
      <c r="BJ90" s="28">
        <v>31</v>
      </c>
      <c r="BK90" s="28">
        <v>1</v>
      </c>
      <c r="BL90" s="89">
        <f>IFERROR((TEX_P184[[#This Row],[BB]]+TEX_P184[[#This Row],[H]])/TEX_P184[[#This Row],[IP]],0)</f>
        <v>1.4607185155941573</v>
      </c>
      <c r="BM90" s="28">
        <v>0</v>
      </c>
      <c r="BN90" s="90">
        <v>0</v>
      </c>
      <c r="BO90" s="28">
        <v>0</v>
      </c>
      <c r="BP90" s="74">
        <v>0</v>
      </c>
      <c r="BQ90" s="615">
        <v>8</v>
      </c>
    </row>
    <row r="91" spans="1:73">
      <c r="A91" s="651" t="s">
        <v>650</v>
      </c>
      <c r="B91" s="74" t="s">
        <v>212</v>
      </c>
      <c r="C91" s="87" t="s">
        <v>679</v>
      </c>
      <c r="D91" s="88">
        <f>IFERROR((TEX_P[[#This Row],[R]]*9)/TEX_P[[#This Row],[IP]],0)</f>
        <v>6.0456784594715636</v>
      </c>
      <c r="E91" s="28">
        <v>1</v>
      </c>
      <c r="F91" s="74">
        <v>1</v>
      </c>
      <c r="G91" s="28">
        <v>23</v>
      </c>
      <c r="H91" s="584">
        <v>22.33</v>
      </c>
      <c r="I91" s="28">
        <v>20</v>
      </c>
      <c r="J91" s="28">
        <v>15</v>
      </c>
      <c r="K91" s="28">
        <v>14</v>
      </c>
      <c r="L91" s="28">
        <v>23</v>
      </c>
      <c r="M91" s="28">
        <v>2</v>
      </c>
      <c r="N91" s="89">
        <f>IFERROR((TEX_P[[#This Row],[BB]]+TEX_P[[#This Row],[H]])/TEX_P[[#This Row],[IP]],0)</f>
        <v>1.5226153157187641</v>
      </c>
      <c r="O91" s="28">
        <v>0</v>
      </c>
      <c r="P91" s="90">
        <v>0</v>
      </c>
      <c r="Q91" s="28">
        <v>0</v>
      </c>
      <c r="R91" s="74">
        <v>0</v>
      </c>
      <c r="S91" s="615">
        <v>9</v>
      </c>
      <c r="Z91" s="651" t="s">
        <v>650</v>
      </c>
      <c r="AA91" s="74" t="s">
        <v>212</v>
      </c>
      <c r="AB91" s="87" t="s">
        <v>676</v>
      </c>
      <c r="AC91" s="88">
        <f>IFERROR((TEX_P198[[#This Row],[R]]*9)/TEX_P198[[#This Row],[IP]],0)</f>
        <v>3.8076923076923075</v>
      </c>
      <c r="AD91" s="28">
        <v>1</v>
      </c>
      <c r="AE91" s="74">
        <v>0</v>
      </c>
      <c r="AF91" s="28">
        <v>20</v>
      </c>
      <c r="AG91" s="584">
        <v>26</v>
      </c>
      <c r="AH91" s="28">
        <v>25</v>
      </c>
      <c r="AI91" s="28">
        <v>11</v>
      </c>
      <c r="AJ91" s="28">
        <v>11</v>
      </c>
      <c r="AK91" s="28">
        <v>29</v>
      </c>
      <c r="AL91" s="28">
        <v>0</v>
      </c>
      <c r="AM91" s="89">
        <f>IFERROR((TEX_P198[[#This Row],[BB]]+TEX_P198[[#This Row],[H]])/TEX_P198[[#This Row],[IP]],0)</f>
        <v>1.3846153846153846</v>
      </c>
      <c r="AN91" s="28">
        <v>0</v>
      </c>
      <c r="AO91" s="90">
        <v>0</v>
      </c>
      <c r="AP91" s="28">
        <v>0</v>
      </c>
      <c r="AQ91" s="74">
        <v>0</v>
      </c>
      <c r="AR91" s="615">
        <v>9</v>
      </c>
      <c r="AY91" s="651" t="s">
        <v>650</v>
      </c>
      <c r="AZ91" s="74" t="s">
        <v>212</v>
      </c>
      <c r="BA91" s="71" t="s">
        <v>676</v>
      </c>
      <c r="BB91" s="88">
        <f>IFERROR((TEX_P184[[#This Row],[R]]*9)/TEX_P184[[#This Row],[IP]],0)</f>
        <v>5.0150021431633096</v>
      </c>
      <c r="BC91" s="28">
        <v>1</v>
      </c>
      <c r="BD91" s="74">
        <v>1</v>
      </c>
      <c r="BE91" s="28">
        <v>24</v>
      </c>
      <c r="BF91" s="584">
        <v>23.33</v>
      </c>
      <c r="BG91" s="28">
        <v>24</v>
      </c>
      <c r="BH91" s="28">
        <v>13</v>
      </c>
      <c r="BI91" s="28">
        <v>10</v>
      </c>
      <c r="BJ91" s="28">
        <v>23</v>
      </c>
      <c r="BK91" s="28">
        <v>0</v>
      </c>
      <c r="BL91" s="89">
        <f>IFERROR((TEX_P184[[#This Row],[BB]]+TEX_P184[[#This Row],[H]])/TEX_P184[[#This Row],[IP]],0)</f>
        <v>1.4573510501500215</v>
      </c>
      <c r="BM91" s="28">
        <v>0</v>
      </c>
      <c r="BN91" s="90">
        <v>0</v>
      </c>
      <c r="BO91" s="28">
        <v>0</v>
      </c>
      <c r="BP91" s="74">
        <v>0</v>
      </c>
      <c r="BQ91" s="615">
        <v>9</v>
      </c>
    </row>
    <row r="92" spans="1:73" ht="17" thickBot="1">
      <c r="A92" s="651" t="s">
        <v>650</v>
      </c>
      <c r="B92" s="74" t="s">
        <v>212</v>
      </c>
      <c r="C92" s="116" t="s">
        <v>676</v>
      </c>
      <c r="D92" s="88">
        <f>IFERROR((TEX_P[[#This Row],[R]]*9)/TEX_P[[#This Row],[IP]],0)</f>
        <v>7.2548141513658759</v>
      </c>
      <c r="E92" s="28">
        <v>0</v>
      </c>
      <c r="F92" s="74">
        <v>2</v>
      </c>
      <c r="G92" s="28">
        <v>21</v>
      </c>
      <c r="H92" s="584">
        <v>22.33</v>
      </c>
      <c r="I92" s="28">
        <v>30</v>
      </c>
      <c r="J92" s="28">
        <v>18</v>
      </c>
      <c r="K92" s="28">
        <v>7</v>
      </c>
      <c r="L92" s="28">
        <v>29</v>
      </c>
      <c r="M92" s="28">
        <v>4</v>
      </c>
      <c r="N92" s="89">
        <f>IFERROR((TEX_P[[#This Row],[BB]]+TEX_P[[#This Row],[H]])/TEX_P[[#This Row],[IP]],0)</f>
        <v>1.6569637259292433</v>
      </c>
      <c r="O92" s="28">
        <v>0</v>
      </c>
      <c r="P92" s="90">
        <v>0</v>
      </c>
      <c r="Q92" s="28">
        <v>0</v>
      </c>
      <c r="R92" s="74">
        <v>0</v>
      </c>
      <c r="S92" s="615">
        <v>10</v>
      </c>
      <c r="Z92" s="651" t="s">
        <v>650</v>
      </c>
      <c r="AA92" s="74" t="s">
        <v>212</v>
      </c>
      <c r="AB92" s="116" t="s">
        <v>681</v>
      </c>
      <c r="AC92" s="88">
        <f>IFERROR((TEX_P198[[#This Row],[R]]*9)/TEX_P198[[#This Row],[IP]],0)</f>
        <v>6.3829787234042561</v>
      </c>
      <c r="AD92" s="28">
        <v>3</v>
      </c>
      <c r="AE92" s="74">
        <v>3</v>
      </c>
      <c r="AF92" s="28">
        <v>17</v>
      </c>
      <c r="AG92" s="584">
        <v>18.329999999999998</v>
      </c>
      <c r="AH92" s="28">
        <v>18</v>
      </c>
      <c r="AI92" s="28">
        <v>13</v>
      </c>
      <c r="AJ92" s="28">
        <v>14</v>
      </c>
      <c r="AK92" s="28">
        <v>24</v>
      </c>
      <c r="AL92" s="28">
        <v>3</v>
      </c>
      <c r="AM92" s="89">
        <f>IFERROR((TEX_P198[[#This Row],[BB]]+TEX_P198[[#This Row],[H]])/TEX_P198[[#This Row],[IP]],0)</f>
        <v>1.7457719585379161</v>
      </c>
      <c r="AN92" s="28">
        <v>0</v>
      </c>
      <c r="AO92" s="90">
        <v>0</v>
      </c>
      <c r="AP92" s="28">
        <v>0</v>
      </c>
      <c r="AQ92" s="74">
        <v>0</v>
      </c>
      <c r="AR92" s="615">
        <v>10</v>
      </c>
      <c r="AY92" s="651" t="s">
        <v>650</v>
      </c>
      <c r="AZ92" s="74" t="s">
        <v>212</v>
      </c>
      <c r="BA92" s="71" t="s">
        <v>680</v>
      </c>
      <c r="BB92" s="88">
        <f>IFERROR((TEX_P184[[#This Row],[R]]*9)/TEX_P184[[#This Row],[IP]],0)</f>
        <v>4.05</v>
      </c>
      <c r="BC92" s="28">
        <v>1</v>
      </c>
      <c r="BD92" s="74">
        <v>0</v>
      </c>
      <c r="BE92" s="28">
        <v>19</v>
      </c>
      <c r="BF92" s="584">
        <v>20</v>
      </c>
      <c r="BG92" s="28">
        <v>17</v>
      </c>
      <c r="BH92" s="28">
        <v>9</v>
      </c>
      <c r="BI92" s="28">
        <v>5</v>
      </c>
      <c r="BJ92" s="28">
        <v>23</v>
      </c>
      <c r="BK92" s="28">
        <v>5</v>
      </c>
      <c r="BL92" s="89">
        <f>IFERROR((TEX_P184[[#This Row],[BB]]+TEX_P184[[#This Row],[H]])/TEX_P184[[#This Row],[IP]],0)</f>
        <v>1.1000000000000001</v>
      </c>
      <c r="BM92" s="28">
        <v>0</v>
      </c>
      <c r="BN92" s="90">
        <v>0</v>
      </c>
      <c r="BO92" s="28">
        <v>0</v>
      </c>
      <c r="BP92" s="74">
        <v>0</v>
      </c>
      <c r="BQ92" s="615">
        <v>10</v>
      </c>
    </row>
    <row r="93" spans="1:73" ht="17" thickBot="1">
      <c r="A93" s="805"/>
      <c r="B93" s="806"/>
      <c r="C93" s="676" t="s">
        <v>195</v>
      </c>
      <c r="D93" s="683">
        <f>(J93*9)/H93</f>
        <v>5.2374360857651352</v>
      </c>
      <c r="E93" s="679">
        <f>SUBTOTAL(109,TEX_P[W])</f>
        <v>15</v>
      </c>
      <c r="F93" s="680">
        <f>SUBTOTAL(109,TEX_P[L])</f>
        <v>25</v>
      </c>
      <c r="G93" s="679"/>
      <c r="H93" s="684">
        <f>SUBTOTAL(109,TEX_P[IP])</f>
        <v>353.98999999999995</v>
      </c>
      <c r="I93" s="679">
        <f>SUBTOTAL(109,TEX_P[H])</f>
        <v>376</v>
      </c>
      <c r="J93" s="679">
        <f>SUBTOTAL(109,TEX_P[R])</f>
        <v>206</v>
      </c>
      <c r="K93" s="679">
        <f>SUBTOTAL(109,TEX_P[BB])</f>
        <v>133</v>
      </c>
      <c r="L93" s="679">
        <f>SUBTOTAL(109,TEX_P[K])</f>
        <v>347</v>
      </c>
      <c r="M93" s="679">
        <f>SUBTOTAL(109,TEX_P[SV])</f>
        <v>7</v>
      </c>
      <c r="N93" s="741">
        <f>(I93+K93)/H93</f>
        <v>1.4378937258114637</v>
      </c>
      <c r="O93" s="742">
        <f>SUBTOTAL(109,TEX_P[QS])</f>
        <v>20</v>
      </c>
      <c r="P93" s="687">
        <f>SUBTOTAL(109,TEX_P[UQ])</f>
        <v>11</v>
      </c>
      <c r="Q93" s="686">
        <f>SUBTOTAL(109,TEX_P[CG])</f>
        <v>0</v>
      </c>
      <c r="R93" s="688">
        <f>SUBTOTAL(109,TEX_P[SH])</f>
        <v>0</v>
      </c>
      <c r="S93" s="808"/>
      <c r="Z93" s="805"/>
      <c r="AA93" s="806"/>
      <c r="AB93" s="676" t="s">
        <v>195</v>
      </c>
      <c r="AC93" s="683">
        <f>(AI93*9)/AG93</f>
        <v>4.6869806094182822</v>
      </c>
      <c r="AD93" s="679">
        <f>SUBTOTAL(109,TEX_P198[W])</f>
        <v>15</v>
      </c>
      <c r="AE93" s="680">
        <f>SUBTOTAL(109,TEX_P198[L])</f>
        <v>25</v>
      </c>
      <c r="AF93" s="679"/>
      <c r="AG93" s="684">
        <f>SUBTOTAL(109,TEX_P198[IP])</f>
        <v>361</v>
      </c>
      <c r="AH93" s="679">
        <f>SUBTOTAL(109,TEX_P198[H])</f>
        <v>389</v>
      </c>
      <c r="AI93" s="679">
        <f>SUBTOTAL(109,TEX_P198[R])</f>
        <v>188</v>
      </c>
      <c r="AJ93" s="679">
        <f>SUBTOTAL(109,TEX_P198[BB])</f>
        <v>130</v>
      </c>
      <c r="AK93" s="679">
        <f>SUBTOTAL(109,TEX_P198[K])</f>
        <v>305</v>
      </c>
      <c r="AL93" s="679">
        <f>SUBTOTAL(109,TEX_P198[SV])</f>
        <v>3</v>
      </c>
      <c r="AM93" s="741">
        <f>(AH93+AJ93)/AG93</f>
        <v>1.4376731301939059</v>
      </c>
      <c r="AN93" s="742">
        <f>SUBTOTAL(109,TEX_P198[QS])</f>
        <v>19</v>
      </c>
      <c r="AO93" s="687">
        <f>SUBTOTAL(109,TEX_P198[UQ])</f>
        <v>8</v>
      </c>
      <c r="AP93" s="686">
        <f>SUBTOTAL(109,TEX_P198[CG])</f>
        <v>1</v>
      </c>
      <c r="AQ93" s="688">
        <f>SUBTOTAL(109,TEX_P198[SH])</f>
        <v>1</v>
      </c>
      <c r="AR93" s="808"/>
      <c r="AY93" s="805"/>
      <c r="AZ93" s="806"/>
      <c r="BA93" s="676" t="s">
        <v>195</v>
      </c>
      <c r="BB93" s="683">
        <f>(BH93*9)/BF93</f>
        <v>5.0095624125824232</v>
      </c>
      <c r="BC93" s="679">
        <f>SUBTOTAL(109,TEX_P184[W])</f>
        <v>13</v>
      </c>
      <c r="BD93" s="680">
        <f>SUBTOTAL(109,TEX_P184[L])</f>
        <v>27</v>
      </c>
      <c r="BE93" s="679"/>
      <c r="BF93" s="684">
        <f>SUBTOTAL(109,TEX_P184[IP])</f>
        <v>350.32999999999993</v>
      </c>
      <c r="BG93" s="679">
        <f>SUBTOTAL(109,TEX_P184[H])</f>
        <v>382</v>
      </c>
      <c r="BH93" s="679">
        <f>SUBTOTAL(109,TEX_P184[R])</f>
        <v>195</v>
      </c>
      <c r="BI93" s="679">
        <f>SUBTOTAL(109,TEX_P184[BB])</f>
        <v>153</v>
      </c>
      <c r="BJ93" s="679">
        <f>SUBTOTAL(109,TEX_P184[K])</f>
        <v>303</v>
      </c>
      <c r="BK93" s="679">
        <f>SUBTOTAL(109,TEX_P184[SV])</f>
        <v>6</v>
      </c>
      <c r="BL93" s="741">
        <f>(BI93+BG93)/BF93</f>
        <v>1.5271315616704253</v>
      </c>
      <c r="BM93" s="742">
        <f>SUBTOTAL(109,TEX_P184[QS])</f>
        <v>15</v>
      </c>
      <c r="BN93" s="687">
        <f>SUBTOTAL(109,TEX_P184[UQ])</f>
        <v>5</v>
      </c>
      <c r="BO93" s="686">
        <f>SUM(BO83:BO92)</f>
        <v>1</v>
      </c>
      <c r="BP93" s="688">
        <f>SUM(BP83:BP92)</f>
        <v>1</v>
      </c>
      <c r="BQ93" s="808"/>
    </row>
    <row r="94" spans="1:73" ht="17" thickBot="1"/>
    <row r="95" spans="1:73" ht="24" thickBot="1">
      <c r="A95" s="1012" t="s">
        <v>682</v>
      </c>
      <c r="B95" s="1013"/>
      <c r="C95" s="1013"/>
      <c r="D95" s="1013"/>
      <c r="E95" s="1013"/>
      <c r="F95" s="1013"/>
      <c r="G95" s="1013"/>
      <c r="H95" s="1013"/>
      <c r="I95" s="1013"/>
      <c r="J95" s="1013"/>
      <c r="K95" s="1013"/>
      <c r="L95" s="1013"/>
      <c r="M95" s="1013"/>
      <c r="N95" s="1013"/>
      <c r="O95" s="1013"/>
      <c r="P95" s="1013"/>
      <c r="Q95" s="1013"/>
      <c r="R95" s="1013"/>
      <c r="S95" s="1013"/>
      <c r="T95" s="1013"/>
      <c r="U95" s="1013"/>
      <c r="V95" s="1013"/>
      <c r="W95" s="1014"/>
      <c r="Z95" s="1012" t="s">
        <v>683</v>
      </c>
      <c r="AA95" s="1013"/>
      <c r="AB95" s="1013"/>
      <c r="AC95" s="1013"/>
      <c r="AD95" s="1013"/>
      <c r="AE95" s="1013"/>
      <c r="AF95" s="1013"/>
      <c r="AG95" s="1013"/>
      <c r="AH95" s="1013"/>
      <c r="AI95" s="1013"/>
      <c r="AJ95" s="1013"/>
      <c r="AK95" s="1013"/>
      <c r="AL95" s="1013"/>
      <c r="AM95" s="1013"/>
      <c r="AN95" s="1013"/>
      <c r="AO95" s="1013"/>
      <c r="AP95" s="1013"/>
      <c r="AQ95" s="1013"/>
      <c r="AR95" s="1013"/>
      <c r="AS95" s="1013"/>
      <c r="AT95" s="1013"/>
      <c r="AU95" s="1013"/>
      <c r="AV95" s="1014"/>
      <c r="AY95" s="1012" t="s">
        <v>684</v>
      </c>
      <c r="AZ95" s="1013"/>
      <c r="BA95" s="1013"/>
      <c r="BB95" s="1013"/>
      <c r="BC95" s="1013"/>
      <c r="BD95" s="1013"/>
      <c r="BE95" s="1013"/>
      <c r="BF95" s="1013"/>
      <c r="BG95" s="1013"/>
      <c r="BH95" s="1013"/>
      <c r="BI95" s="1013"/>
      <c r="BJ95" s="1013"/>
      <c r="BK95" s="1013"/>
      <c r="BL95" s="1013"/>
      <c r="BM95" s="1013"/>
      <c r="BN95" s="1013"/>
      <c r="BO95" s="1013"/>
      <c r="BP95" s="1013"/>
      <c r="BQ95" s="1013"/>
      <c r="BR95" s="1013"/>
      <c r="BS95" s="1013"/>
      <c r="BT95" s="1013"/>
      <c r="BU95" s="1014"/>
    </row>
    <row r="96" spans="1:73" s="108" customFormat="1" ht="15" thickBot="1">
      <c r="A96" s="605" t="s">
        <v>143</v>
      </c>
      <c r="B96" s="606" t="s">
        <v>144</v>
      </c>
      <c r="C96" s="606" t="s">
        <v>145</v>
      </c>
      <c r="D96" s="606" t="s">
        <v>146</v>
      </c>
      <c r="E96" s="606" t="s">
        <v>147</v>
      </c>
      <c r="F96" s="606" t="s">
        <v>148</v>
      </c>
      <c r="G96" s="606" t="s">
        <v>149</v>
      </c>
      <c r="H96" s="606" t="s">
        <v>150</v>
      </c>
      <c r="I96" s="606" t="s">
        <v>151</v>
      </c>
      <c r="J96" s="606" t="s">
        <v>152</v>
      </c>
      <c r="K96" s="606" t="s">
        <v>153</v>
      </c>
      <c r="L96" s="606" t="s">
        <v>154</v>
      </c>
      <c r="M96" s="606" t="s">
        <v>155</v>
      </c>
      <c r="N96" s="606" t="s">
        <v>156</v>
      </c>
      <c r="O96" s="606" t="s">
        <v>157</v>
      </c>
      <c r="P96" s="606" t="s">
        <v>158</v>
      </c>
      <c r="Q96" s="606" t="s">
        <v>159</v>
      </c>
      <c r="R96" s="606" t="s">
        <v>160</v>
      </c>
      <c r="S96" s="606" t="s">
        <v>16</v>
      </c>
      <c r="T96" s="606" t="s">
        <v>161</v>
      </c>
      <c r="U96" s="606" t="s">
        <v>162</v>
      </c>
      <c r="V96" s="606" t="s">
        <v>163</v>
      </c>
      <c r="W96" s="607" t="s">
        <v>164</v>
      </c>
      <c r="Z96" s="605" t="s">
        <v>143</v>
      </c>
      <c r="AA96" s="606" t="s">
        <v>144</v>
      </c>
      <c r="AB96" s="606" t="s">
        <v>145</v>
      </c>
      <c r="AC96" s="606" t="s">
        <v>146</v>
      </c>
      <c r="AD96" s="606" t="s">
        <v>147</v>
      </c>
      <c r="AE96" s="606" t="s">
        <v>148</v>
      </c>
      <c r="AF96" s="606" t="s">
        <v>149</v>
      </c>
      <c r="AG96" s="606" t="s">
        <v>150</v>
      </c>
      <c r="AH96" s="606" t="s">
        <v>151</v>
      </c>
      <c r="AI96" s="606" t="s">
        <v>152</v>
      </c>
      <c r="AJ96" s="606" t="s">
        <v>153</v>
      </c>
      <c r="AK96" s="606" t="s">
        <v>154</v>
      </c>
      <c r="AL96" s="606" t="s">
        <v>155</v>
      </c>
      <c r="AM96" s="606" t="s">
        <v>156</v>
      </c>
      <c r="AN96" s="606" t="s">
        <v>157</v>
      </c>
      <c r="AO96" s="606" t="s">
        <v>158</v>
      </c>
      <c r="AP96" s="606" t="s">
        <v>159</v>
      </c>
      <c r="AQ96" s="606" t="s">
        <v>160</v>
      </c>
      <c r="AR96" s="606" t="s">
        <v>16</v>
      </c>
      <c r="AS96" s="606" t="s">
        <v>161</v>
      </c>
      <c r="AT96" s="606" t="s">
        <v>162</v>
      </c>
      <c r="AU96" s="606" t="s">
        <v>163</v>
      </c>
      <c r="AV96" s="607" t="s">
        <v>164</v>
      </c>
      <c r="AY96" s="605" t="s">
        <v>143</v>
      </c>
      <c r="AZ96" s="606" t="s">
        <v>144</v>
      </c>
      <c r="BA96" s="606" t="s">
        <v>145</v>
      </c>
      <c r="BB96" s="606" t="s">
        <v>146</v>
      </c>
      <c r="BC96" s="606" t="s">
        <v>147</v>
      </c>
      <c r="BD96" s="606" t="s">
        <v>148</v>
      </c>
      <c r="BE96" s="606" t="s">
        <v>149</v>
      </c>
      <c r="BF96" s="606" t="s">
        <v>150</v>
      </c>
      <c r="BG96" s="606" t="s">
        <v>151</v>
      </c>
      <c r="BH96" s="606" t="s">
        <v>152</v>
      </c>
      <c r="BI96" s="606" t="s">
        <v>153</v>
      </c>
      <c r="BJ96" s="606" t="s">
        <v>154</v>
      </c>
      <c r="BK96" s="606" t="s">
        <v>155</v>
      </c>
      <c r="BL96" s="606" t="s">
        <v>156</v>
      </c>
      <c r="BM96" s="606" t="s">
        <v>157</v>
      </c>
      <c r="BN96" s="606" t="s">
        <v>158</v>
      </c>
      <c r="BO96" s="606" t="s">
        <v>159</v>
      </c>
      <c r="BP96" s="606" t="s">
        <v>160</v>
      </c>
      <c r="BQ96" s="606" t="s">
        <v>16</v>
      </c>
      <c r="BR96" s="606" t="s">
        <v>161</v>
      </c>
      <c r="BS96" s="606" t="s">
        <v>162</v>
      </c>
      <c r="BT96" s="606" t="s">
        <v>163</v>
      </c>
      <c r="BU96" s="607" t="s">
        <v>164</v>
      </c>
    </row>
    <row r="97" spans="1:73">
      <c r="A97" s="650" t="s">
        <v>685</v>
      </c>
      <c r="B97" s="596" t="s">
        <v>179</v>
      </c>
      <c r="C97" s="597" t="s">
        <v>689</v>
      </c>
      <c r="D97" s="598">
        <f>IFERROR(LAA_H[[#This Row],[H]]/LAA_H[[#This Row],[AB]],0)</f>
        <v>0.25827814569536423</v>
      </c>
      <c r="E97" s="598">
        <f>IFERROR((LAA_H[[#This Row],[H]]+LAA_H[[#This Row],[BB]])/(LAA_H[[#This Row],[BB]]+LAA_H[[#This Row],[AB]]),0)</f>
        <v>0.30434782608695654</v>
      </c>
      <c r="F97" s="599">
        <f>IFERROR(((LAA_H[[#This Row],[H]]-LAA_H[[#This Row],[2B]]-LAA_H[[#This Row],[3B]]-LAA_H[[#This Row],[HR]])+(LAA_H[[#This Row],[2B]]*2)+(LAA_H[[#This Row],[3B]]*3)+(LAA_H[[#This Row],[HR]]*4))/LAA_H[[#This Row],[AB]],0)</f>
        <v>0.57615894039735094</v>
      </c>
      <c r="G97" s="600">
        <v>40</v>
      </c>
      <c r="H97" s="600">
        <v>151</v>
      </c>
      <c r="I97" s="600">
        <v>24</v>
      </c>
      <c r="J97" s="600">
        <v>39</v>
      </c>
      <c r="K97" s="600">
        <v>3</v>
      </c>
      <c r="L97" s="600">
        <v>0</v>
      </c>
      <c r="M97" s="627">
        <v>15</v>
      </c>
      <c r="N97" s="600">
        <v>21</v>
      </c>
      <c r="O97" s="600">
        <v>10</v>
      </c>
      <c r="P97" s="604">
        <v>52</v>
      </c>
      <c r="Q97" s="600">
        <v>0</v>
      </c>
      <c r="R97" s="600">
        <v>0</v>
      </c>
      <c r="S97" s="604">
        <v>4</v>
      </c>
      <c r="T97" s="600">
        <f>IFERROR((LAA_H[[#This Row],[H]]-LAA_H[[#This Row],[2B]]-LAA_H[[#This Row],[3B]]-LAA_H[[#This Row],[HR]])+(LAA_H[[#This Row],[2B]]*2)+(LAA_H[[#This Row],[3B]]*3)+(LAA_H[[#This Row],[HR]]*4),0)</f>
        <v>87</v>
      </c>
      <c r="U97" s="598">
        <f>LAA_H[[#This Row],[OBP]]+LAA_H[[#This Row],[SLG]]</f>
        <v>0.88050676648430748</v>
      </c>
      <c r="V97" s="604">
        <v>1</v>
      </c>
      <c r="W97" s="614">
        <v>1</v>
      </c>
      <c r="Z97" s="650" t="s">
        <v>685</v>
      </c>
      <c r="AA97" s="597" t="s">
        <v>308</v>
      </c>
      <c r="AB97" s="597" t="s">
        <v>689</v>
      </c>
      <c r="AC97" s="598">
        <f>IFERROR(LAA_H196[[#This Row],[H]]/LAA_H196[[#This Row],[AB]],0)</f>
        <v>0.16326530612244897</v>
      </c>
      <c r="AD97" s="598">
        <f>IFERROR((LAA_H196[[#This Row],[H]]+LAA_H196[[#This Row],[BB]])/(LAA_H196[[#This Row],[BB]]+LAA_H196[[#This Row],[AB]]),0)</f>
        <v>0.21656050955414013</v>
      </c>
      <c r="AE97" s="599">
        <f>IFERROR(((LAA_H196[[#This Row],[H]]-LAA_H196[[#This Row],[2B]]-LAA_H196[[#This Row],[3B]]-LAA_H196[[#This Row],[HR]])+(LAA_H196[[#This Row],[2B]]*2)+(LAA_H196[[#This Row],[3B]]*3)+(LAA_H196[[#This Row],[HR]]*4))/LAA_H196[[#This Row],[AB]],0)</f>
        <v>0.25850340136054423</v>
      </c>
      <c r="AF97" s="600">
        <v>40</v>
      </c>
      <c r="AG97" s="600">
        <v>147</v>
      </c>
      <c r="AH97" s="600">
        <v>12</v>
      </c>
      <c r="AI97" s="600">
        <v>24</v>
      </c>
      <c r="AJ97" s="600">
        <v>2</v>
      </c>
      <c r="AK97" s="600">
        <v>0</v>
      </c>
      <c r="AL97" s="600">
        <v>4</v>
      </c>
      <c r="AM97" s="600">
        <v>11</v>
      </c>
      <c r="AN97" s="600">
        <v>10</v>
      </c>
      <c r="AO97" s="604">
        <v>43</v>
      </c>
      <c r="AP97" s="600">
        <v>0</v>
      </c>
      <c r="AQ97" s="600">
        <v>4</v>
      </c>
      <c r="AR97" s="604">
        <v>4</v>
      </c>
      <c r="AS97" s="600">
        <f>IFERROR((LAA_H196[[#This Row],[H]]-LAA_H196[[#This Row],[2B]]-LAA_H196[[#This Row],[3B]]-LAA_H196[[#This Row],[HR]])+(LAA_H196[[#This Row],[2B]]*2)+(LAA_H196[[#This Row],[3B]]*3)+(LAA_H196[[#This Row],[HR]]*4),0)</f>
        <v>38</v>
      </c>
      <c r="AT97" s="598">
        <f>LAA_H196[[#This Row],[OBP]]+LAA_H196[[#This Row],[SLG]]</f>
        <v>0.47506391091468436</v>
      </c>
      <c r="AU97" s="604">
        <v>1</v>
      </c>
      <c r="AV97" s="614">
        <v>1</v>
      </c>
      <c r="AY97" s="650" t="s">
        <v>685</v>
      </c>
      <c r="AZ97" s="604" t="s">
        <v>179</v>
      </c>
      <c r="BA97" s="597" t="s">
        <v>695</v>
      </c>
      <c r="BB97" s="598">
        <f>IFERROR(LAA_H182[[#This Row],[H]]/LAA_H182[[#This Row],[AB]],0)</f>
        <v>0.18518518518518517</v>
      </c>
      <c r="BC97" s="598">
        <f>IFERROR((LAA_H182[[#This Row],[BB]]+LAA_H182[[#This Row],[H]])/(LAA_H182[[#This Row],[AB]]+LAA_H182[[#This Row],[BB]]),0)</f>
        <v>0.29487179487179488</v>
      </c>
      <c r="BD97" s="599">
        <f>IFERROR(((LAA_H182[[#This Row],[H]]-LAA_H182[[#This Row],[2B]]-LAA_H182[[#This Row],[3B]]-LAA_H182[[#This Row],[HR]])+(LAA_H182[[#This Row],[2B]]*2)+(LAA_H182[[#This Row],[3B]]*3)+(LAA_H182[[#This Row],[HR]]*4))/LAA_H182[[#This Row],[AB]],0)</f>
        <v>0.37037037037037035</v>
      </c>
      <c r="BE97" s="600">
        <v>40</v>
      </c>
      <c r="BF97" s="600">
        <v>135</v>
      </c>
      <c r="BG97" s="600">
        <v>14</v>
      </c>
      <c r="BH97" s="600">
        <v>25</v>
      </c>
      <c r="BI97" s="600">
        <v>4</v>
      </c>
      <c r="BJ97" s="600">
        <v>0</v>
      </c>
      <c r="BK97" s="600">
        <v>7</v>
      </c>
      <c r="BL97" s="600">
        <v>20</v>
      </c>
      <c r="BM97" s="600">
        <v>21</v>
      </c>
      <c r="BN97" s="604">
        <v>42</v>
      </c>
      <c r="BO97" s="600">
        <v>0</v>
      </c>
      <c r="BP97" s="600">
        <v>0</v>
      </c>
      <c r="BQ97" s="604">
        <v>4</v>
      </c>
      <c r="BR97" s="600">
        <f>(LAA_H182[[#This Row],[H]]-LAA_H182[[#This Row],[2B]]-LAA_H182[[#This Row],[3B]]-LAA_H182[[#This Row],[HR]])+(LAA_H182[[#This Row],[2B]]*2)+(LAA_H182[[#This Row],[3B]]*3)+(LAA_H182[[#This Row],[HR]]*4)</f>
        <v>50</v>
      </c>
      <c r="BS97" s="598">
        <f>IFERROR(LAA_H182[[#This Row],[OBP]]+LAA_H182[[#This Row],[SLG]],0)</f>
        <v>0.66524216524216517</v>
      </c>
      <c r="BT97" s="604">
        <v>2</v>
      </c>
      <c r="BU97" s="614">
        <v>1</v>
      </c>
    </row>
    <row r="98" spans="1:73">
      <c r="A98" s="651" t="s">
        <v>685</v>
      </c>
      <c r="B98" s="71" t="s">
        <v>154</v>
      </c>
      <c r="C98" s="71" t="s">
        <v>690</v>
      </c>
      <c r="D98" s="72">
        <f>IFERROR(LAA_H[[#This Row],[H]]/LAA_H[[#This Row],[AB]],0)</f>
        <v>0.25</v>
      </c>
      <c r="E98" s="72">
        <f>IFERROR((LAA_H[[#This Row],[H]]+LAA_H[[#This Row],[BB]])/(LAA_H[[#This Row],[BB]]+LAA_H[[#This Row],[AB]]),0)</f>
        <v>0.32317073170731708</v>
      </c>
      <c r="F98" s="73">
        <f>IFERROR(((LAA_H[[#This Row],[H]]-LAA_H[[#This Row],[2B]]-LAA_H[[#This Row],[3B]]-LAA_H[[#This Row],[HR]])+(LAA_H[[#This Row],[2B]]*2)+(LAA_H[[#This Row],[3B]]*3)+(LAA_H[[#This Row],[HR]]*4))/LAA_H[[#This Row],[AB]],0)</f>
        <v>0.38513513513513514</v>
      </c>
      <c r="G98" s="28">
        <v>39</v>
      </c>
      <c r="H98" s="28">
        <v>148</v>
      </c>
      <c r="I98" s="28">
        <v>13</v>
      </c>
      <c r="J98" s="28">
        <v>37</v>
      </c>
      <c r="K98" s="28">
        <v>8</v>
      </c>
      <c r="L98" s="28">
        <v>0</v>
      </c>
      <c r="M98" s="28">
        <v>4</v>
      </c>
      <c r="N98" s="28">
        <v>21</v>
      </c>
      <c r="O98" s="28">
        <v>16</v>
      </c>
      <c r="P98" s="74">
        <v>36</v>
      </c>
      <c r="Q98" s="28">
        <v>0</v>
      </c>
      <c r="R98" s="28">
        <v>14</v>
      </c>
      <c r="S98" s="74">
        <v>14</v>
      </c>
      <c r="T98" s="28">
        <f>IFERROR((LAA_H[[#This Row],[H]]-LAA_H[[#This Row],[2B]]-LAA_H[[#This Row],[3B]]-LAA_H[[#This Row],[HR]])+(LAA_H[[#This Row],[2B]]*2)+(LAA_H[[#This Row],[3B]]*3)+(LAA_H[[#This Row],[HR]]*4),0)</f>
        <v>57</v>
      </c>
      <c r="U98" s="72">
        <f>LAA_H[[#This Row],[OBP]]+LAA_H[[#This Row],[SLG]]</f>
        <v>0.70830586684245223</v>
      </c>
      <c r="V98" s="74">
        <v>2</v>
      </c>
      <c r="W98" s="615">
        <v>2</v>
      </c>
      <c r="Z98" s="651" t="s">
        <v>685</v>
      </c>
      <c r="AA98" s="71" t="s">
        <v>154</v>
      </c>
      <c r="AB98" s="71" t="s">
        <v>690</v>
      </c>
      <c r="AC98" s="72">
        <f>IFERROR(LAA_H196[[#This Row],[H]]/LAA_H196[[#This Row],[AB]],0)</f>
        <v>0.2389937106918239</v>
      </c>
      <c r="AD98" s="72">
        <f>IFERROR((LAA_H196[[#This Row],[H]]+LAA_H196[[#This Row],[BB]])/(LAA_H196[[#This Row],[BB]]+LAA_H196[[#This Row],[AB]]),0)</f>
        <v>0.27108433734939757</v>
      </c>
      <c r="AE98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0.40251572327044027</v>
      </c>
      <c r="AF98" s="28">
        <v>40</v>
      </c>
      <c r="AG98" s="28">
        <v>159</v>
      </c>
      <c r="AH98" s="28">
        <v>13</v>
      </c>
      <c r="AI98" s="28">
        <v>38</v>
      </c>
      <c r="AJ98" s="28">
        <v>12</v>
      </c>
      <c r="AK98" s="28">
        <v>1</v>
      </c>
      <c r="AL98" s="28">
        <v>4</v>
      </c>
      <c r="AM98" s="28">
        <v>12</v>
      </c>
      <c r="AN98" s="28">
        <v>7</v>
      </c>
      <c r="AO98" s="74">
        <v>40</v>
      </c>
      <c r="AP98" s="28">
        <v>0</v>
      </c>
      <c r="AQ98" s="28">
        <v>0</v>
      </c>
      <c r="AR98" s="74">
        <v>8</v>
      </c>
      <c r="AS98" s="28">
        <f>IFERROR((LAA_H196[[#This Row],[H]]-LAA_H196[[#This Row],[2B]]-LAA_H196[[#This Row],[3B]]-LAA_H196[[#This Row],[HR]])+(LAA_H196[[#This Row],[2B]]*2)+(LAA_H196[[#This Row],[3B]]*3)+(LAA_H196[[#This Row],[HR]]*4),0)</f>
        <v>64</v>
      </c>
      <c r="AT98" s="72">
        <f>LAA_H196[[#This Row],[OBP]]+LAA_H196[[#This Row],[SLG]]</f>
        <v>0.67360006061983779</v>
      </c>
      <c r="AU98" s="74">
        <v>2</v>
      </c>
      <c r="AV98" s="615">
        <v>2</v>
      </c>
      <c r="AY98" s="651" t="s">
        <v>685</v>
      </c>
      <c r="AZ98" s="74" t="s">
        <v>154</v>
      </c>
      <c r="BA98" s="71" t="s">
        <v>690</v>
      </c>
      <c r="BB98" s="72">
        <f>IFERROR(LAA_H182[[#This Row],[H]]/LAA_H182[[#This Row],[AB]],0)</f>
        <v>0.26315789473684209</v>
      </c>
      <c r="BC98" s="72">
        <f>IFERROR((LAA_H182[[#This Row],[BB]]+LAA_H182[[#This Row],[H]])/(LAA_H182[[#This Row],[AB]]+LAA_H182[[#This Row],[BB]]),0)</f>
        <v>0.34502923976608185</v>
      </c>
      <c r="BD98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0.44736842105263158</v>
      </c>
      <c r="BE98" s="28">
        <v>40</v>
      </c>
      <c r="BF98" s="28">
        <v>152</v>
      </c>
      <c r="BG98" s="28">
        <v>21</v>
      </c>
      <c r="BH98" s="28">
        <v>40</v>
      </c>
      <c r="BI98" s="28">
        <v>10</v>
      </c>
      <c r="BJ98" s="28">
        <v>0</v>
      </c>
      <c r="BK98" s="28">
        <v>6</v>
      </c>
      <c r="BL98" s="28">
        <v>21</v>
      </c>
      <c r="BM98" s="28">
        <v>19</v>
      </c>
      <c r="BN98" s="74">
        <v>28</v>
      </c>
      <c r="BO98" s="28">
        <v>0</v>
      </c>
      <c r="BP98" s="28">
        <v>3</v>
      </c>
      <c r="BQ98" s="74">
        <v>4</v>
      </c>
      <c r="BR98" s="28">
        <f>(LAA_H182[[#This Row],[H]]-LAA_H182[[#This Row],[2B]]-LAA_H182[[#This Row],[3B]]-LAA_H182[[#This Row],[HR]])+(LAA_H182[[#This Row],[2B]]*2)+(LAA_H182[[#This Row],[3B]]*3)+(LAA_H182[[#This Row],[HR]]*4)</f>
        <v>68</v>
      </c>
      <c r="BS98" s="72">
        <f>IFERROR(LAA_H182[[#This Row],[OBP]]+LAA_H182[[#This Row],[SLG]],0)</f>
        <v>0.79239766081871343</v>
      </c>
      <c r="BT98" s="74">
        <v>3</v>
      </c>
      <c r="BU98" s="615">
        <v>2</v>
      </c>
    </row>
    <row r="99" spans="1:73">
      <c r="A99" s="651" t="s">
        <v>685</v>
      </c>
      <c r="B99" s="71" t="s">
        <v>235</v>
      </c>
      <c r="C99" s="71" t="s">
        <v>693</v>
      </c>
      <c r="D99" s="72">
        <f>IFERROR(LAA_H[[#This Row],[H]]/LAA_H[[#This Row],[AB]],0)</f>
        <v>0.26495726495726496</v>
      </c>
      <c r="E99" s="72">
        <f>IFERROR((LAA_H[[#This Row],[H]]+LAA_H[[#This Row],[BB]])/(LAA_H[[#This Row],[BB]]+LAA_H[[#This Row],[AB]]),0)</f>
        <v>0.34351145038167941</v>
      </c>
      <c r="F99" s="73">
        <f>IFERROR(((LAA_H[[#This Row],[H]]-LAA_H[[#This Row],[2B]]-LAA_H[[#This Row],[3B]]-LAA_H[[#This Row],[HR]])+(LAA_H[[#This Row],[2B]]*2)+(LAA_H[[#This Row],[3B]]*3)+(LAA_H[[#This Row],[HR]]*4))/LAA_H[[#This Row],[AB]],0)</f>
        <v>0.53846153846153844</v>
      </c>
      <c r="G99" s="28">
        <v>34</v>
      </c>
      <c r="H99" s="28">
        <v>117</v>
      </c>
      <c r="I99" s="28">
        <v>23</v>
      </c>
      <c r="J99" s="28">
        <v>31</v>
      </c>
      <c r="K99" s="28">
        <v>8</v>
      </c>
      <c r="L99" s="28">
        <v>0</v>
      </c>
      <c r="M99" s="28">
        <v>8</v>
      </c>
      <c r="N99" s="28">
        <v>13</v>
      </c>
      <c r="O99" s="28">
        <v>14</v>
      </c>
      <c r="P99" s="74">
        <v>27</v>
      </c>
      <c r="Q99" s="28">
        <v>0</v>
      </c>
      <c r="R99" s="28">
        <v>3</v>
      </c>
      <c r="S99" s="74">
        <v>6</v>
      </c>
      <c r="T99" s="28">
        <f>IFERROR((LAA_H[[#This Row],[H]]-LAA_H[[#This Row],[2B]]-LAA_H[[#This Row],[3B]]-LAA_H[[#This Row],[HR]])+(LAA_H[[#This Row],[2B]]*2)+(LAA_H[[#This Row],[3B]]*3)+(LAA_H[[#This Row],[HR]]*4),0)</f>
        <v>63</v>
      </c>
      <c r="U99" s="72">
        <f>LAA_H[[#This Row],[OBP]]+LAA_H[[#This Row],[SLG]]</f>
        <v>0.88197298884321784</v>
      </c>
      <c r="V99" s="74">
        <v>1</v>
      </c>
      <c r="W99" s="615">
        <v>3</v>
      </c>
      <c r="Z99" s="651" t="s">
        <v>685</v>
      </c>
      <c r="AA99" s="71" t="s">
        <v>172</v>
      </c>
      <c r="AB99" s="71" t="s">
        <v>697</v>
      </c>
      <c r="AC99" s="72">
        <f>IFERROR(LAA_H196[[#This Row],[H]]/LAA_H196[[#This Row],[AB]],0)</f>
        <v>0.18181818181818182</v>
      </c>
      <c r="AD99" s="72">
        <f>IFERROR((LAA_H196[[#This Row],[H]]+LAA_H196[[#This Row],[BB]])/(LAA_H196[[#This Row],[BB]]+LAA_H196[[#This Row],[AB]]),0)</f>
        <v>0.22857142857142856</v>
      </c>
      <c r="AE99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0.26515151515151514</v>
      </c>
      <c r="AF99" s="28">
        <v>38</v>
      </c>
      <c r="AG99" s="28">
        <v>132</v>
      </c>
      <c r="AH99" s="28">
        <v>14</v>
      </c>
      <c r="AI99" s="28">
        <v>24</v>
      </c>
      <c r="AJ99" s="28">
        <v>3</v>
      </c>
      <c r="AK99" s="28">
        <v>1</v>
      </c>
      <c r="AL99" s="28">
        <v>2</v>
      </c>
      <c r="AM99" s="28">
        <v>8</v>
      </c>
      <c r="AN99" s="28">
        <v>8</v>
      </c>
      <c r="AO99" s="74">
        <v>28</v>
      </c>
      <c r="AP99" s="28">
        <v>0</v>
      </c>
      <c r="AQ99" s="28">
        <v>1</v>
      </c>
      <c r="AR99" s="74">
        <v>2</v>
      </c>
      <c r="AS99" s="28">
        <f>IFERROR((LAA_H196[[#This Row],[H]]-LAA_H196[[#This Row],[2B]]-LAA_H196[[#This Row],[3B]]-LAA_H196[[#This Row],[HR]])+(LAA_H196[[#This Row],[2B]]*2)+(LAA_H196[[#This Row],[3B]]*3)+(LAA_H196[[#This Row],[HR]]*4),0)</f>
        <v>35</v>
      </c>
      <c r="AT99" s="72">
        <f>LAA_H196[[#This Row],[OBP]]+LAA_H196[[#This Row],[SLG]]</f>
        <v>0.49372294372294367</v>
      </c>
      <c r="AU99" s="74">
        <v>0</v>
      </c>
      <c r="AV99" s="615">
        <v>3</v>
      </c>
      <c r="AY99" s="651" t="s">
        <v>685</v>
      </c>
      <c r="AZ99" s="74" t="s">
        <v>172</v>
      </c>
      <c r="BA99" s="71" t="s">
        <v>697</v>
      </c>
      <c r="BB99" s="72">
        <f>IFERROR(LAA_H182[[#This Row],[H]]/LAA_H182[[#This Row],[AB]],0)</f>
        <v>0.2932330827067669</v>
      </c>
      <c r="BC99" s="72">
        <f>IFERROR((LAA_H182[[#This Row],[BB]]+LAA_H182[[#This Row],[H]])/(LAA_H182[[#This Row],[AB]]+LAA_H182[[#This Row],[BB]]),0)</f>
        <v>0.32857142857142857</v>
      </c>
      <c r="BD99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0.37593984962406013</v>
      </c>
      <c r="BE99" s="28">
        <v>40</v>
      </c>
      <c r="BF99" s="28">
        <v>133</v>
      </c>
      <c r="BG99" s="28">
        <v>20</v>
      </c>
      <c r="BH99" s="28">
        <v>39</v>
      </c>
      <c r="BI99" s="28">
        <v>5</v>
      </c>
      <c r="BJ99" s="28">
        <v>0</v>
      </c>
      <c r="BK99" s="28">
        <v>2</v>
      </c>
      <c r="BL99" s="28">
        <v>18</v>
      </c>
      <c r="BM99" s="28">
        <v>7</v>
      </c>
      <c r="BN99" s="74">
        <v>21</v>
      </c>
      <c r="BO99" s="28">
        <v>0</v>
      </c>
      <c r="BP99" s="28">
        <v>4</v>
      </c>
      <c r="BQ99" s="74">
        <v>4</v>
      </c>
      <c r="BR99" s="28">
        <f>(LAA_H182[[#This Row],[H]]-LAA_H182[[#This Row],[2B]]-LAA_H182[[#This Row],[3B]]-LAA_H182[[#This Row],[HR]])+(LAA_H182[[#This Row],[2B]]*2)+(LAA_H182[[#This Row],[3B]]*3)+(LAA_H182[[#This Row],[HR]]*4)</f>
        <v>50</v>
      </c>
      <c r="BS99" s="72">
        <f>IFERROR(LAA_H182[[#This Row],[OBP]]+LAA_H182[[#This Row],[SLG]],0)</f>
        <v>0.70451127819548875</v>
      </c>
      <c r="BT99" s="74">
        <v>3</v>
      </c>
      <c r="BU99" s="615">
        <v>3</v>
      </c>
    </row>
    <row r="100" spans="1:73">
      <c r="A100" s="651" t="s">
        <v>685</v>
      </c>
      <c r="B100" s="71" t="s">
        <v>311</v>
      </c>
      <c r="C100" s="71" t="s">
        <v>698</v>
      </c>
      <c r="D100" s="72">
        <f>IFERROR(LAA_H[[#This Row],[H]]/LAA_H[[#This Row],[AB]],0)</f>
        <v>0.24096385542168675</v>
      </c>
      <c r="E100" s="72">
        <f>IFERROR((LAA_H[[#This Row],[H]]+LAA_H[[#This Row],[BB]])/(LAA_H[[#This Row],[BB]]+LAA_H[[#This Row],[AB]]),0)</f>
        <v>0.27586206896551724</v>
      </c>
      <c r="F100" s="73">
        <f>IFERROR(((LAA_H[[#This Row],[H]]-LAA_H[[#This Row],[2B]]-LAA_H[[#This Row],[3B]]-LAA_H[[#This Row],[HR]])+(LAA_H[[#This Row],[2B]]*2)+(LAA_H[[#This Row],[3B]]*3)+(LAA_H[[#This Row],[HR]]*4))/LAA_H[[#This Row],[AB]],0)</f>
        <v>0.43373493975903615</v>
      </c>
      <c r="G100" s="28">
        <v>23</v>
      </c>
      <c r="H100" s="28">
        <v>83</v>
      </c>
      <c r="I100" s="28">
        <v>11</v>
      </c>
      <c r="J100" s="28">
        <v>20</v>
      </c>
      <c r="K100" s="28">
        <v>1</v>
      </c>
      <c r="L100" s="28">
        <v>0</v>
      </c>
      <c r="M100" s="28">
        <v>5</v>
      </c>
      <c r="N100" s="28">
        <v>7</v>
      </c>
      <c r="O100" s="28">
        <v>4</v>
      </c>
      <c r="P100" s="74">
        <v>26</v>
      </c>
      <c r="Q100" s="28">
        <v>0</v>
      </c>
      <c r="R100" s="28">
        <v>0</v>
      </c>
      <c r="S100" s="74">
        <v>4</v>
      </c>
      <c r="T100" s="28">
        <f>IFERROR((LAA_H[[#This Row],[H]]-LAA_H[[#This Row],[2B]]-LAA_H[[#This Row],[3B]]-LAA_H[[#This Row],[HR]])+(LAA_H[[#This Row],[2B]]*2)+(LAA_H[[#This Row],[3B]]*3)+(LAA_H[[#This Row],[HR]]*4),0)</f>
        <v>36</v>
      </c>
      <c r="U100" s="72">
        <f>LAA_H[[#This Row],[OBP]]+LAA_H[[#This Row],[SLG]]</f>
        <v>0.70959700872455334</v>
      </c>
      <c r="V100" s="74">
        <v>1</v>
      </c>
      <c r="W100" s="615">
        <v>4</v>
      </c>
      <c r="Z100" s="651" t="s">
        <v>685</v>
      </c>
      <c r="AA100" s="71" t="s">
        <v>153</v>
      </c>
      <c r="AB100" s="71" t="s">
        <v>696</v>
      </c>
      <c r="AC100" s="72">
        <f>IFERROR(LAA_H196[[#This Row],[H]]/LAA_H196[[#This Row],[AB]],0)</f>
        <v>0.24444444444444444</v>
      </c>
      <c r="AD100" s="72">
        <f>IFERROR((LAA_H196[[#This Row],[H]]+LAA_H196[[#This Row],[BB]])/(LAA_H196[[#This Row],[BB]]+LAA_H196[[#This Row],[AB]]),0)</f>
        <v>0.30136986301369861</v>
      </c>
      <c r="AE100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0.2814814814814815</v>
      </c>
      <c r="AF100" s="28">
        <v>38</v>
      </c>
      <c r="AG100" s="28">
        <v>135</v>
      </c>
      <c r="AH100" s="28">
        <v>13</v>
      </c>
      <c r="AI100" s="28">
        <v>33</v>
      </c>
      <c r="AJ100" s="28">
        <v>2</v>
      </c>
      <c r="AK100" s="28">
        <v>0</v>
      </c>
      <c r="AL100" s="28">
        <v>1</v>
      </c>
      <c r="AM100" s="28">
        <v>13</v>
      </c>
      <c r="AN100" s="28">
        <v>11</v>
      </c>
      <c r="AO100" s="74">
        <v>18</v>
      </c>
      <c r="AP100" s="28">
        <v>0</v>
      </c>
      <c r="AQ100" s="28">
        <v>1</v>
      </c>
      <c r="AR100" s="74">
        <v>10</v>
      </c>
      <c r="AS100" s="28">
        <f>IFERROR((LAA_H196[[#This Row],[H]]-LAA_H196[[#This Row],[2B]]-LAA_H196[[#This Row],[3B]]-LAA_H196[[#This Row],[HR]])+(LAA_H196[[#This Row],[2B]]*2)+(LAA_H196[[#This Row],[3B]]*3)+(LAA_H196[[#This Row],[HR]]*4),0)</f>
        <v>38</v>
      </c>
      <c r="AT100" s="72">
        <f>LAA_H196[[#This Row],[OBP]]+LAA_H196[[#This Row],[SLG]]</f>
        <v>0.58285134449518017</v>
      </c>
      <c r="AU100" s="74">
        <v>0</v>
      </c>
      <c r="AV100" s="615">
        <v>4</v>
      </c>
      <c r="AY100" s="651" t="s">
        <v>685</v>
      </c>
      <c r="AZ100" s="74" t="s">
        <v>153</v>
      </c>
      <c r="BA100" s="71" t="s">
        <v>696</v>
      </c>
      <c r="BB100" s="72">
        <f>IFERROR(LAA_H182[[#This Row],[H]]/LAA_H182[[#This Row],[AB]],0)</f>
        <v>0.27611940298507465</v>
      </c>
      <c r="BC100" s="72">
        <f>IFERROR((LAA_H182[[#This Row],[BB]]+LAA_H182[[#This Row],[H]])/(LAA_H182[[#This Row],[AB]]+LAA_H182[[#This Row],[BB]]),0)</f>
        <v>0.3263888888888889</v>
      </c>
      <c r="BD100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0.35820895522388058</v>
      </c>
      <c r="BE100" s="28">
        <v>37</v>
      </c>
      <c r="BF100" s="28">
        <v>134</v>
      </c>
      <c r="BG100" s="28">
        <v>15</v>
      </c>
      <c r="BH100" s="28">
        <v>37</v>
      </c>
      <c r="BI100" s="28">
        <v>6</v>
      </c>
      <c r="BJ100" s="28">
        <v>1</v>
      </c>
      <c r="BK100" s="28">
        <v>1</v>
      </c>
      <c r="BL100" s="28">
        <v>9</v>
      </c>
      <c r="BM100" s="28">
        <v>10</v>
      </c>
      <c r="BN100" s="74">
        <v>19</v>
      </c>
      <c r="BO100" s="28">
        <v>0</v>
      </c>
      <c r="BP100" s="28">
        <v>2</v>
      </c>
      <c r="BQ100" s="74">
        <v>8</v>
      </c>
      <c r="BR100" s="28">
        <f>(LAA_H182[[#This Row],[H]]-LAA_H182[[#This Row],[2B]]-LAA_H182[[#This Row],[3B]]-LAA_H182[[#This Row],[HR]])+(LAA_H182[[#This Row],[2B]]*2)+(LAA_H182[[#This Row],[3B]]*3)+(LAA_H182[[#This Row],[HR]]*4)</f>
        <v>48</v>
      </c>
      <c r="BS100" s="72">
        <f>IFERROR(LAA_H182[[#This Row],[OBP]]+LAA_H182[[#This Row],[SLG]],0)</f>
        <v>0.68459784411276947</v>
      </c>
      <c r="BT100" s="74">
        <v>0</v>
      </c>
      <c r="BU100" s="615">
        <v>4</v>
      </c>
    </row>
    <row r="101" spans="1:73">
      <c r="A101" s="651" t="s">
        <v>685</v>
      </c>
      <c r="B101" s="71" t="s">
        <v>177</v>
      </c>
      <c r="C101" s="71" t="s">
        <v>699</v>
      </c>
      <c r="D101" s="72">
        <f>IFERROR(LAA_H[[#This Row],[H]]/LAA_H[[#This Row],[AB]],0)</f>
        <v>0.14814814814814814</v>
      </c>
      <c r="E101" s="72">
        <f>IFERROR((LAA_H[[#This Row],[H]]+LAA_H[[#This Row],[BB]])/(LAA_H[[#This Row],[BB]]+LAA_H[[#This Row],[AB]]),0)</f>
        <v>0.2247191011235955</v>
      </c>
      <c r="F101" s="73">
        <f>IFERROR(((LAA_H[[#This Row],[H]]-LAA_H[[#This Row],[2B]]-LAA_H[[#This Row],[3B]]-LAA_H[[#This Row],[HR]])+(LAA_H[[#This Row],[2B]]*2)+(LAA_H[[#This Row],[3B]]*3)+(LAA_H[[#This Row],[HR]]*4))/LAA_H[[#This Row],[AB]],0)</f>
        <v>0.22222222222222221</v>
      </c>
      <c r="G101" s="28">
        <v>22</v>
      </c>
      <c r="H101" s="28">
        <v>81</v>
      </c>
      <c r="I101" s="28">
        <v>5</v>
      </c>
      <c r="J101" s="28">
        <v>12</v>
      </c>
      <c r="K101" s="28">
        <v>3</v>
      </c>
      <c r="L101" s="28">
        <v>0</v>
      </c>
      <c r="M101" s="28">
        <v>1</v>
      </c>
      <c r="N101" s="28">
        <v>5</v>
      </c>
      <c r="O101" s="28">
        <v>8</v>
      </c>
      <c r="P101" s="74">
        <v>27</v>
      </c>
      <c r="Q101" s="28">
        <v>0</v>
      </c>
      <c r="R101" s="28">
        <v>0</v>
      </c>
      <c r="S101" s="74">
        <v>3</v>
      </c>
      <c r="T101" s="28">
        <f>IFERROR((LAA_H[[#This Row],[H]]-LAA_H[[#This Row],[2B]]-LAA_H[[#This Row],[3B]]-LAA_H[[#This Row],[HR]])+(LAA_H[[#This Row],[2B]]*2)+(LAA_H[[#This Row],[3B]]*3)+(LAA_H[[#This Row],[HR]]*4),0)</f>
        <v>18</v>
      </c>
      <c r="U101" s="72">
        <f>LAA_H[[#This Row],[OBP]]+LAA_H[[#This Row],[SLG]]</f>
        <v>0.44694132334581771</v>
      </c>
      <c r="V101" s="74">
        <v>0</v>
      </c>
      <c r="W101" s="615">
        <v>5</v>
      </c>
      <c r="Z101" s="651" t="s">
        <v>685</v>
      </c>
      <c r="AA101" s="71" t="s">
        <v>177</v>
      </c>
      <c r="AB101" s="71" t="s">
        <v>688</v>
      </c>
      <c r="AC101" s="72">
        <f>IFERROR(LAA_H196[[#This Row],[H]]/LAA_H196[[#This Row],[AB]],0)</f>
        <v>0.17834394904458598</v>
      </c>
      <c r="AD101" s="72">
        <f>IFERROR((LAA_H196[[#This Row],[H]]+LAA_H196[[#This Row],[BB]])/(LAA_H196[[#This Row],[BB]]+LAA_H196[[#This Row],[AB]]),0)</f>
        <v>0.23214285714285715</v>
      </c>
      <c r="AE101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0.35668789808917195</v>
      </c>
      <c r="AF101" s="28">
        <v>39</v>
      </c>
      <c r="AG101" s="28">
        <v>157</v>
      </c>
      <c r="AH101" s="28">
        <v>18</v>
      </c>
      <c r="AI101" s="28">
        <v>28</v>
      </c>
      <c r="AJ101" s="28">
        <v>7</v>
      </c>
      <c r="AK101" s="28">
        <v>0</v>
      </c>
      <c r="AL101" s="28">
        <v>7</v>
      </c>
      <c r="AM101" s="28">
        <v>25</v>
      </c>
      <c r="AN101" s="28">
        <v>11</v>
      </c>
      <c r="AO101" s="74">
        <v>28</v>
      </c>
      <c r="AP101" s="28">
        <v>0</v>
      </c>
      <c r="AQ101" s="28">
        <v>0</v>
      </c>
      <c r="AR101" s="74">
        <v>6</v>
      </c>
      <c r="AS101" s="28">
        <f>IFERROR((LAA_H196[[#This Row],[H]]-LAA_H196[[#This Row],[2B]]-LAA_H196[[#This Row],[3B]]-LAA_H196[[#This Row],[HR]])+(LAA_H196[[#This Row],[2B]]*2)+(LAA_H196[[#This Row],[3B]]*3)+(LAA_H196[[#This Row],[HR]]*4),0)</f>
        <v>56</v>
      </c>
      <c r="AT101" s="72">
        <f>LAA_H196[[#This Row],[OBP]]+LAA_H196[[#This Row],[SLG]]</f>
        <v>0.5888307552320291</v>
      </c>
      <c r="AU101" s="74">
        <v>2</v>
      </c>
      <c r="AV101" s="615">
        <v>5</v>
      </c>
      <c r="AY101" s="651" t="s">
        <v>685</v>
      </c>
      <c r="AZ101" s="74" t="s">
        <v>177</v>
      </c>
      <c r="BA101" s="71" t="s">
        <v>688</v>
      </c>
      <c r="BB101" s="72">
        <f>IFERROR(LAA_H182[[#This Row],[H]]/LAA_H182[[#This Row],[AB]],0)</f>
        <v>0.3081761006289308</v>
      </c>
      <c r="BC101" s="72">
        <f>IFERROR((LAA_H182[[#This Row],[BB]]+LAA_H182[[#This Row],[H]])/(LAA_H182[[#This Row],[AB]]+LAA_H182[[#This Row],[BB]]),0)</f>
        <v>0.36046511627906974</v>
      </c>
      <c r="BD101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0.5220125786163522</v>
      </c>
      <c r="BE101" s="28">
        <v>40</v>
      </c>
      <c r="BF101" s="28">
        <v>159</v>
      </c>
      <c r="BG101" s="28">
        <v>24</v>
      </c>
      <c r="BH101" s="28">
        <v>49</v>
      </c>
      <c r="BI101" s="28">
        <v>13</v>
      </c>
      <c r="BJ101" s="28">
        <v>0</v>
      </c>
      <c r="BK101" s="28">
        <v>7</v>
      </c>
      <c r="BL101" s="28">
        <v>30</v>
      </c>
      <c r="BM101" s="28">
        <v>13</v>
      </c>
      <c r="BN101" s="74">
        <v>18</v>
      </c>
      <c r="BO101" s="28">
        <v>0</v>
      </c>
      <c r="BP101" s="28">
        <v>4</v>
      </c>
      <c r="BQ101" s="74">
        <v>13</v>
      </c>
      <c r="BR101" s="28">
        <f>(LAA_H182[[#This Row],[H]]-LAA_H182[[#This Row],[2B]]-LAA_H182[[#This Row],[3B]]-LAA_H182[[#This Row],[HR]])+(LAA_H182[[#This Row],[2B]]*2)+(LAA_H182[[#This Row],[3B]]*3)+(LAA_H182[[#This Row],[HR]]*4)</f>
        <v>83</v>
      </c>
      <c r="BS101" s="72">
        <f>IFERROR(LAA_H182[[#This Row],[OBP]]+LAA_H182[[#This Row],[SLG]],0)</f>
        <v>0.88247769489542194</v>
      </c>
      <c r="BT101" s="74">
        <v>3</v>
      </c>
      <c r="BU101" s="615">
        <v>5</v>
      </c>
    </row>
    <row r="102" spans="1:73">
      <c r="A102" s="651" t="s">
        <v>685</v>
      </c>
      <c r="B102" s="71" t="s">
        <v>174</v>
      </c>
      <c r="C102" s="71" t="s">
        <v>692</v>
      </c>
      <c r="D102" s="72">
        <f>IFERROR(LAA_H[[#This Row],[H]]/LAA_H[[#This Row],[AB]],0)</f>
        <v>0.26451612903225807</v>
      </c>
      <c r="E102" s="72">
        <f>IFERROR((LAA_H[[#This Row],[H]]+LAA_H[[#This Row],[BB]])/(LAA_H[[#This Row],[BB]]+LAA_H[[#This Row],[AB]]),0)</f>
        <v>0.32941176470588235</v>
      </c>
      <c r="F102" s="73">
        <f>IFERROR(((LAA_H[[#This Row],[H]]-LAA_H[[#This Row],[2B]]-LAA_H[[#This Row],[3B]]-LAA_H[[#This Row],[HR]])+(LAA_H[[#This Row],[2B]]*2)+(LAA_H[[#This Row],[3B]]*3)+(LAA_H[[#This Row],[HR]]*4))/LAA_H[[#This Row],[AB]],0)</f>
        <v>0.45161290322580644</v>
      </c>
      <c r="G102" s="28">
        <v>40</v>
      </c>
      <c r="H102" s="28">
        <v>155</v>
      </c>
      <c r="I102" s="28">
        <v>17</v>
      </c>
      <c r="J102" s="28">
        <v>41</v>
      </c>
      <c r="K102" s="28">
        <v>14</v>
      </c>
      <c r="L102" s="28">
        <v>0</v>
      </c>
      <c r="M102" s="28">
        <v>5</v>
      </c>
      <c r="N102" s="28">
        <v>22</v>
      </c>
      <c r="O102" s="28">
        <v>15</v>
      </c>
      <c r="P102" s="74">
        <v>45</v>
      </c>
      <c r="Q102" s="28">
        <v>0</v>
      </c>
      <c r="R102" s="28">
        <v>0</v>
      </c>
      <c r="S102" s="74">
        <v>12</v>
      </c>
      <c r="T102" s="28">
        <f>IFERROR((LAA_H[[#This Row],[H]]-LAA_H[[#This Row],[2B]]-LAA_H[[#This Row],[3B]]-LAA_H[[#This Row],[HR]])+(LAA_H[[#This Row],[2B]]*2)+(LAA_H[[#This Row],[3B]]*3)+(LAA_H[[#This Row],[HR]]*4),0)</f>
        <v>70</v>
      </c>
      <c r="U102" s="72">
        <f>LAA_H[[#This Row],[OBP]]+LAA_H[[#This Row],[SLG]]</f>
        <v>0.78102466793168879</v>
      </c>
      <c r="V102" s="74">
        <v>1</v>
      </c>
      <c r="W102" s="615">
        <v>6</v>
      </c>
      <c r="Z102" s="651" t="s">
        <v>685</v>
      </c>
      <c r="AA102" s="71" t="s">
        <v>174</v>
      </c>
      <c r="AB102" s="71" t="s">
        <v>691</v>
      </c>
      <c r="AC102" s="72">
        <f>IFERROR(LAA_H196[[#This Row],[H]]/LAA_H196[[#This Row],[AB]],0)</f>
        <v>0.216</v>
      </c>
      <c r="AD102" s="72">
        <f>IFERROR((LAA_H196[[#This Row],[H]]+LAA_H196[[#This Row],[BB]])/(LAA_H196[[#This Row],[BB]]+LAA_H196[[#This Row],[AB]]),0)</f>
        <v>0.28467153284671531</v>
      </c>
      <c r="AE102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0.376</v>
      </c>
      <c r="AF102" s="28">
        <v>34</v>
      </c>
      <c r="AG102" s="28">
        <v>125</v>
      </c>
      <c r="AH102" s="28">
        <v>15</v>
      </c>
      <c r="AI102" s="28">
        <v>27</v>
      </c>
      <c r="AJ102" s="28">
        <v>5</v>
      </c>
      <c r="AK102" s="28">
        <v>0</v>
      </c>
      <c r="AL102" s="28">
        <v>5</v>
      </c>
      <c r="AM102" s="28">
        <v>14</v>
      </c>
      <c r="AN102" s="28">
        <v>12</v>
      </c>
      <c r="AO102" s="74">
        <v>29</v>
      </c>
      <c r="AP102" s="28">
        <v>0</v>
      </c>
      <c r="AQ102" s="28">
        <v>1</v>
      </c>
      <c r="AR102" s="74">
        <v>3</v>
      </c>
      <c r="AS102" s="28">
        <f>IFERROR((LAA_H196[[#This Row],[H]]-LAA_H196[[#This Row],[2B]]-LAA_H196[[#This Row],[3B]]-LAA_H196[[#This Row],[HR]])+(LAA_H196[[#This Row],[2B]]*2)+(LAA_H196[[#This Row],[3B]]*3)+(LAA_H196[[#This Row],[HR]]*4),0)</f>
        <v>47</v>
      </c>
      <c r="AT102" s="72">
        <f>LAA_H196[[#This Row],[OBP]]+LAA_H196[[#This Row],[SLG]]</f>
        <v>0.66067153284671531</v>
      </c>
      <c r="AU102" s="74">
        <v>1</v>
      </c>
      <c r="AV102" s="615">
        <v>6</v>
      </c>
      <c r="AY102" s="651" t="s">
        <v>685</v>
      </c>
      <c r="AZ102" s="74" t="s">
        <v>174</v>
      </c>
      <c r="BA102" s="71" t="s">
        <v>691</v>
      </c>
      <c r="BB102" s="72">
        <f>IFERROR(LAA_H182[[#This Row],[H]]/LAA_H182[[#This Row],[AB]],0)</f>
        <v>0.25517241379310346</v>
      </c>
      <c r="BC102" s="72">
        <f>IFERROR((LAA_H182[[#This Row],[BB]]+LAA_H182[[#This Row],[H]])/(LAA_H182[[#This Row],[AB]]+LAA_H182[[#This Row],[BB]]),0)</f>
        <v>0.32919254658385094</v>
      </c>
      <c r="BD102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0.53103448275862064</v>
      </c>
      <c r="BE102" s="28">
        <v>40</v>
      </c>
      <c r="BF102" s="28">
        <v>145</v>
      </c>
      <c r="BG102" s="28">
        <v>20</v>
      </c>
      <c r="BH102" s="28">
        <v>37</v>
      </c>
      <c r="BI102" s="28">
        <v>8</v>
      </c>
      <c r="BJ102" s="28">
        <v>1</v>
      </c>
      <c r="BK102" s="28">
        <v>10</v>
      </c>
      <c r="BL102" s="28">
        <v>27</v>
      </c>
      <c r="BM102" s="28">
        <v>16</v>
      </c>
      <c r="BN102" s="74">
        <v>43</v>
      </c>
      <c r="BO102" s="28">
        <v>0</v>
      </c>
      <c r="BP102" s="28">
        <v>0</v>
      </c>
      <c r="BQ102" s="74">
        <v>10</v>
      </c>
      <c r="BR102" s="28">
        <f>(LAA_H182[[#This Row],[H]]-LAA_H182[[#This Row],[2B]]-LAA_H182[[#This Row],[3B]]-LAA_H182[[#This Row],[HR]])+(LAA_H182[[#This Row],[2B]]*2)+(LAA_H182[[#This Row],[3B]]*3)+(LAA_H182[[#This Row],[HR]]*4)</f>
        <v>77</v>
      </c>
      <c r="BS102" s="72">
        <f>IFERROR(LAA_H182[[#This Row],[OBP]]+LAA_H182[[#This Row],[SLG]],0)</f>
        <v>0.86022702934247164</v>
      </c>
      <c r="BT102" s="74">
        <v>2</v>
      </c>
      <c r="BU102" s="615">
        <v>6</v>
      </c>
    </row>
    <row r="103" spans="1:73">
      <c r="A103" s="651" t="s">
        <v>685</v>
      </c>
      <c r="B103" s="345" t="s">
        <v>181</v>
      </c>
      <c r="C103" s="71" t="s">
        <v>686</v>
      </c>
      <c r="D103" s="72">
        <f>IFERROR(LAA_H[[#This Row],[H]]/LAA_H[[#This Row],[AB]],0)</f>
        <v>0.33548387096774196</v>
      </c>
      <c r="E103" s="72">
        <f>IFERROR((LAA_H[[#This Row],[H]]+LAA_H[[#This Row],[BB]])/(LAA_H[[#This Row],[BB]]+LAA_H[[#This Row],[AB]]),0)</f>
        <v>0.43406593406593408</v>
      </c>
      <c r="F103" s="346">
        <f>IFERROR(((LAA_H[[#This Row],[H]]-LAA_H[[#This Row],[2B]]-LAA_H[[#This Row],[3B]]-LAA_H[[#This Row],[HR]])+(LAA_H[[#This Row],[2B]]*2)+(LAA_H[[#This Row],[3B]]*3)+(LAA_H[[#This Row],[HR]]*4))/LAA_H[[#This Row],[AB]],0)</f>
        <v>0.67741935483870963</v>
      </c>
      <c r="G103" s="28">
        <v>40</v>
      </c>
      <c r="H103" s="28">
        <v>155</v>
      </c>
      <c r="I103" s="28">
        <v>26</v>
      </c>
      <c r="J103" s="28">
        <v>52</v>
      </c>
      <c r="K103" s="28">
        <v>9</v>
      </c>
      <c r="L103" s="28">
        <v>1</v>
      </c>
      <c r="M103" s="28">
        <v>14</v>
      </c>
      <c r="N103" s="28">
        <v>32</v>
      </c>
      <c r="O103" s="28">
        <v>27</v>
      </c>
      <c r="P103" s="74">
        <v>47</v>
      </c>
      <c r="Q103" s="28">
        <v>7</v>
      </c>
      <c r="R103" s="28">
        <v>2</v>
      </c>
      <c r="S103" s="74">
        <v>8</v>
      </c>
      <c r="T103" s="28">
        <f>IFERROR((LAA_H[[#This Row],[H]]-LAA_H[[#This Row],[2B]]-LAA_H[[#This Row],[3B]]-LAA_H[[#This Row],[HR]])+(LAA_H[[#This Row],[2B]]*2)+(LAA_H[[#This Row],[3B]]*3)+(LAA_H[[#This Row],[HR]]*4),0)</f>
        <v>105</v>
      </c>
      <c r="U103" s="594">
        <f>LAA_H[[#This Row],[OBP]]+LAA_H[[#This Row],[SLG]]</f>
        <v>1.1114852889046438</v>
      </c>
      <c r="V103" s="74">
        <v>5</v>
      </c>
      <c r="W103" s="615">
        <v>7</v>
      </c>
      <c r="Z103" s="651" t="s">
        <v>685</v>
      </c>
      <c r="AA103" s="71" t="s">
        <v>181</v>
      </c>
      <c r="AB103" s="71" t="s">
        <v>686</v>
      </c>
      <c r="AC103" s="72">
        <f>IFERROR(LAA_H196[[#This Row],[H]]/LAA_H196[[#This Row],[AB]],0)</f>
        <v>0.24698795180722891</v>
      </c>
      <c r="AD103" s="72">
        <f>IFERROR((LAA_H196[[#This Row],[H]]+LAA_H196[[#This Row],[BB]])/(LAA_H196[[#This Row],[BB]]+LAA_H196[[#This Row],[AB]]),0)</f>
        <v>0.30939226519337015</v>
      </c>
      <c r="AE103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0.44578313253012047</v>
      </c>
      <c r="AF103" s="28">
        <v>40</v>
      </c>
      <c r="AG103" s="28">
        <v>166</v>
      </c>
      <c r="AH103" s="28">
        <v>28</v>
      </c>
      <c r="AI103" s="28">
        <v>41</v>
      </c>
      <c r="AJ103" s="28">
        <v>6</v>
      </c>
      <c r="AK103" s="28">
        <v>0</v>
      </c>
      <c r="AL103" s="28">
        <v>9</v>
      </c>
      <c r="AM103" s="28">
        <v>28</v>
      </c>
      <c r="AN103" s="28">
        <v>15</v>
      </c>
      <c r="AO103" s="74">
        <v>53</v>
      </c>
      <c r="AP103" s="28">
        <v>4</v>
      </c>
      <c r="AQ103" s="28">
        <v>0</v>
      </c>
      <c r="AR103" s="74">
        <v>8</v>
      </c>
      <c r="AS103" s="28">
        <f>IFERROR((LAA_H196[[#This Row],[H]]-LAA_H196[[#This Row],[2B]]-LAA_H196[[#This Row],[3B]]-LAA_H196[[#This Row],[HR]])+(LAA_H196[[#This Row],[2B]]*2)+(LAA_H196[[#This Row],[3B]]*3)+(LAA_H196[[#This Row],[HR]]*4),0)</f>
        <v>74</v>
      </c>
      <c r="AT103" s="72">
        <f>LAA_H196[[#This Row],[OBP]]+LAA_H196[[#This Row],[SLG]]</f>
        <v>0.75517539772349063</v>
      </c>
      <c r="AU103" s="104">
        <v>7</v>
      </c>
      <c r="AV103" s="615">
        <v>7</v>
      </c>
      <c r="AY103" s="651" t="s">
        <v>685</v>
      </c>
      <c r="AZ103" s="104" t="s">
        <v>181</v>
      </c>
      <c r="BA103" s="71" t="s">
        <v>686</v>
      </c>
      <c r="BB103" s="72">
        <f>IFERROR(LAA_H182[[#This Row],[H]]/LAA_H182[[#This Row],[AB]],0)</f>
        <v>0.33112582781456956</v>
      </c>
      <c r="BC103" s="72">
        <f>IFERROR((LAA_H182[[#This Row],[BB]]+LAA_H182[[#This Row],[H]])/(LAA_H182[[#This Row],[AB]]+LAA_H182[[#This Row],[BB]]),0)</f>
        <v>0.36075949367088606</v>
      </c>
      <c r="BD103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0.5629139072847682</v>
      </c>
      <c r="BE103" s="28">
        <v>40</v>
      </c>
      <c r="BF103" s="28">
        <v>151</v>
      </c>
      <c r="BG103" s="28">
        <v>27</v>
      </c>
      <c r="BH103" s="28">
        <v>50</v>
      </c>
      <c r="BI103" s="28">
        <v>8</v>
      </c>
      <c r="BJ103" s="28">
        <v>0</v>
      </c>
      <c r="BK103" s="28">
        <v>9</v>
      </c>
      <c r="BL103" s="28">
        <v>27</v>
      </c>
      <c r="BM103" s="28">
        <v>7</v>
      </c>
      <c r="BN103" s="74">
        <v>36</v>
      </c>
      <c r="BO103" s="28">
        <v>16</v>
      </c>
      <c r="BP103" s="28">
        <v>1</v>
      </c>
      <c r="BQ103" s="74">
        <v>16</v>
      </c>
      <c r="BR103" s="28">
        <f>(LAA_H182[[#This Row],[H]]-LAA_H182[[#This Row],[2B]]-LAA_H182[[#This Row],[3B]]-LAA_H182[[#This Row],[HR]])+(LAA_H182[[#This Row],[2B]]*2)+(LAA_H182[[#This Row],[3B]]*3)+(LAA_H182[[#This Row],[HR]]*4)</f>
        <v>85</v>
      </c>
      <c r="BS103" s="72">
        <f>IFERROR(LAA_H182[[#This Row],[OBP]]+LAA_H182[[#This Row],[SLG]],0)</f>
        <v>0.9236734009556542</v>
      </c>
      <c r="BT103" s="74">
        <v>2</v>
      </c>
      <c r="BU103" s="615">
        <v>7</v>
      </c>
    </row>
    <row r="104" spans="1:73">
      <c r="A104" s="651" t="s">
        <v>685</v>
      </c>
      <c r="B104" s="71" t="s">
        <v>166</v>
      </c>
      <c r="C104" s="71" t="s">
        <v>694</v>
      </c>
      <c r="D104" s="72">
        <f>IFERROR(LAA_H[[#This Row],[H]]/LAA_H[[#This Row],[AB]],0)</f>
        <v>0.28828828828828829</v>
      </c>
      <c r="E104" s="72">
        <f>IFERROR((LAA_H[[#This Row],[H]]+LAA_H[[#This Row],[BB]])/(LAA_H[[#This Row],[BB]]+LAA_H[[#This Row],[AB]]),0)</f>
        <v>0.3247863247863248</v>
      </c>
      <c r="F104" s="73">
        <f>IFERROR(((LAA_H[[#This Row],[H]]-LAA_H[[#This Row],[2B]]-LAA_H[[#This Row],[3B]]-LAA_H[[#This Row],[HR]])+(LAA_H[[#This Row],[2B]]*2)+(LAA_H[[#This Row],[3B]]*3)+(LAA_H[[#This Row],[HR]]*4))/LAA_H[[#This Row],[AB]],0)</f>
        <v>0.52252252252252251</v>
      </c>
      <c r="G104" s="28">
        <v>27</v>
      </c>
      <c r="H104" s="28">
        <v>111</v>
      </c>
      <c r="I104" s="28">
        <v>12</v>
      </c>
      <c r="J104" s="28">
        <v>32</v>
      </c>
      <c r="K104" s="28">
        <v>4</v>
      </c>
      <c r="L104" s="28">
        <v>2</v>
      </c>
      <c r="M104" s="28">
        <v>6</v>
      </c>
      <c r="N104" s="28">
        <v>17</v>
      </c>
      <c r="O104" s="28">
        <v>6</v>
      </c>
      <c r="P104" s="74">
        <v>38</v>
      </c>
      <c r="Q104" s="28">
        <v>0</v>
      </c>
      <c r="R104" s="28">
        <v>1</v>
      </c>
      <c r="S104" s="74">
        <v>11</v>
      </c>
      <c r="T104" s="28">
        <f>IFERROR((LAA_H[[#This Row],[H]]-LAA_H[[#This Row],[2B]]-LAA_H[[#This Row],[3B]]-LAA_H[[#This Row],[HR]])+(LAA_H[[#This Row],[2B]]*2)+(LAA_H[[#This Row],[3B]]*3)+(LAA_H[[#This Row],[HR]]*4),0)</f>
        <v>58</v>
      </c>
      <c r="U104" s="72">
        <f>LAA_H[[#This Row],[OBP]]+LAA_H[[#This Row],[SLG]]</f>
        <v>0.84730884730884726</v>
      </c>
      <c r="V104" s="74">
        <v>3</v>
      </c>
      <c r="W104" s="615">
        <v>8</v>
      </c>
      <c r="Z104" s="651" t="s">
        <v>685</v>
      </c>
      <c r="AA104" s="71" t="s">
        <v>166</v>
      </c>
      <c r="AB104" s="71" t="s">
        <v>687</v>
      </c>
      <c r="AC104" s="72">
        <f>IFERROR(LAA_H196[[#This Row],[H]]/LAA_H196[[#This Row],[AB]],0)</f>
        <v>0.27710843373493976</v>
      </c>
      <c r="AD104" s="72">
        <f>IFERROR((LAA_H196[[#This Row],[H]]+LAA_H196[[#This Row],[BB]])/(LAA_H196[[#This Row],[BB]]+LAA_H196[[#This Row],[AB]]),0)</f>
        <v>0.33333333333333331</v>
      </c>
      <c r="AE104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0.52409638554216864</v>
      </c>
      <c r="AF104" s="28">
        <v>40</v>
      </c>
      <c r="AG104" s="28">
        <v>166</v>
      </c>
      <c r="AH104" s="28">
        <v>21</v>
      </c>
      <c r="AI104" s="28">
        <v>46</v>
      </c>
      <c r="AJ104" s="28">
        <v>13</v>
      </c>
      <c r="AK104" s="28">
        <v>2</v>
      </c>
      <c r="AL104" s="28">
        <v>8</v>
      </c>
      <c r="AM104" s="28">
        <v>27</v>
      </c>
      <c r="AN104" s="28">
        <v>14</v>
      </c>
      <c r="AO104" s="74">
        <v>48</v>
      </c>
      <c r="AP104" s="28">
        <v>7</v>
      </c>
      <c r="AQ104" s="28">
        <v>1</v>
      </c>
      <c r="AR104" s="74">
        <v>11</v>
      </c>
      <c r="AS104" s="28">
        <f>IFERROR((LAA_H196[[#This Row],[H]]-LAA_H196[[#This Row],[2B]]-LAA_H196[[#This Row],[3B]]-LAA_H196[[#This Row],[HR]])+(LAA_H196[[#This Row],[2B]]*2)+(LAA_H196[[#This Row],[3B]]*3)+(LAA_H196[[#This Row],[HR]]*4),0)</f>
        <v>87</v>
      </c>
      <c r="AT104" s="72">
        <f>LAA_H196[[#This Row],[OBP]]+LAA_H196[[#This Row],[SLG]]</f>
        <v>0.85742971887550201</v>
      </c>
      <c r="AU104" s="74">
        <v>4</v>
      </c>
      <c r="AV104" s="615">
        <v>8</v>
      </c>
      <c r="AY104" s="651" t="s">
        <v>685</v>
      </c>
      <c r="AZ104" s="74" t="s">
        <v>166</v>
      </c>
      <c r="BA104" s="71" t="s">
        <v>700</v>
      </c>
      <c r="BB104" s="72">
        <f>IFERROR(LAA_H182[[#This Row],[H]]/LAA_H182[[#This Row],[AB]],0)</f>
        <v>0.15044247787610621</v>
      </c>
      <c r="BC104" s="72">
        <f>IFERROR((LAA_H182[[#This Row],[BB]]+LAA_H182[[#This Row],[H]])/(LAA_H182[[#This Row],[AB]]+LAA_H182[[#This Row],[BB]]),0)</f>
        <v>0.21951219512195122</v>
      </c>
      <c r="BD104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0.24778761061946902</v>
      </c>
      <c r="BE104" s="28">
        <v>32</v>
      </c>
      <c r="BF104" s="28">
        <v>113</v>
      </c>
      <c r="BG104" s="28">
        <v>9</v>
      </c>
      <c r="BH104" s="28">
        <v>17</v>
      </c>
      <c r="BI104" s="28">
        <v>5</v>
      </c>
      <c r="BJ104" s="28">
        <v>0</v>
      </c>
      <c r="BK104" s="28">
        <v>2</v>
      </c>
      <c r="BL104" s="28">
        <v>6</v>
      </c>
      <c r="BM104" s="28">
        <v>10</v>
      </c>
      <c r="BN104" s="74">
        <v>37</v>
      </c>
      <c r="BO104" s="28">
        <v>0</v>
      </c>
      <c r="BP104" s="28">
        <v>0</v>
      </c>
      <c r="BQ104" s="74">
        <v>4</v>
      </c>
      <c r="BR104" s="28">
        <f>(LAA_H182[[#This Row],[H]]-LAA_H182[[#This Row],[2B]]-LAA_H182[[#This Row],[3B]]-LAA_H182[[#This Row],[HR]])+(LAA_H182[[#This Row],[2B]]*2)+(LAA_H182[[#This Row],[3B]]*3)+(LAA_H182[[#This Row],[HR]]*4)</f>
        <v>28</v>
      </c>
      <c r="BS104" s="72">
        <f>IFERROR(LAA_H182[[#This Row],[OBP]]+LAA_H182[[#This Row],[SLG]],0)</f>
        <v>0.46729980574142027</v>
      </c>
      <c r="BT104" s="74">
        <v>0</v>
      </c>
      <c r="BU104" s="615">
        <v>8</v>
      </c>
    </row>
    <row r="105" spans="1:73">
      <c r="A105" s="651" t="s">
        <v>685</v>
      </c>
      <c r="B105" s="71" t="s">
        <v>168</v>
      </c>
      <c r="C105" s="71" t="s">
        <v>687</v>
      </c>
      <c r="D105" s="72">
        <f>IFERROR(LAA_H[[#This Row],[H]]/LAA_H[[#This Row],[AB]],0)</f>
        <v>0.28235294117647058</v>
      </c>
      <c r="E105" s="72">
        <f>IFERROR((LAA_H[[#This Row],[H]]+LAA_H[[#This Row],[BB]])/(LAA_H[[#This Row],[BB]]+LAA_H[[#This Row],[AB]]),0)</f>
        <v>0.33333333333333331</v>
      </c>
      <c r="F105" s="73">
        <f>IFERROR(((LAA_H[[#This Row],[H]]-LAA_H[[#This Row],[2B]]-LAA_H[[#This Row],[3B]]-LAA_H[[#This Row],[HR]])+(LAA_H[[#This Row],[2B]]*2)+(LAA_H[[#This Row],[3B]]*3)+(LAA_H[[#This Row],[HR]]*4))/LAA_H[[#This Row],[AB]],0)</f>
        <v>0.58235294117647063</v>
      </c>
      <c r="G105" s="28">
        <v>40</v>
      </c>
      <c r="H105" s="28">
        <v>170</v>
      </c>
      <c r="I105" s="28">
        <v>34</v>
      </c>
      <c r="J105" s="28">
        <v>48</v>
      </c>
      <c r="K105" s="28">
        <v>11</v>
      </c>
      <c r="L105" s="28">
        <v>2</v>
      </c>
      <c r="M105" s="28">
        <v>12</v>
      </c>
      <c r="N105" s="28">
        <v>31</v>
      </c>
      <c r="O105" s="28">
        <v>13</v>
      </c>
      <c r="P105" s="74">
        <v>49</v>
      </c>
      <c r="Q105" s="28">
        <v>1</v>
      </c>
      <c r="R105" s="28">
        <v>1</v>
      </c>
      <c r="S105" s="74">
        <v>8</v>
      </c>
      <c r="T105" s="28">
        <f>IFERROR((LAA_H[[#This Row],[H]]-LAA_H[[#This Row],[2B]]-LAA_H[[#This Row],[3B]]-LAA_H[[#This Row],[HR]])+(LAA_H[[#This Row],[2B]]*2)+(LAA_H[[#This Row],[3B]]*3)+(LAA_H[[#This Row],[HR]]*4),0)</f>
        <v>99</v>
      </c>
      <c r="U105" s="72">
        <f>LAA_H[[#This Row],[OBP]]+LAA_H[[#This Row],[SLG]]</f>
        <v>0.915686274509804</v>
      </c>
      <c r="V105" s="74">
        <v>2</v>
      </c>
      <c r="W105" s="615">
        <v>9</v>
      </c>
      <c r="Z105" s="651" t="s">
        <v>685</v>
      </c>
      <c r="AA105" s="71" t="s">
        <v>168</v>
      </c>
      <c r="AB105" s="71" t="s">
        <v>699</v>
      </c>
      <c r="AC105" s="72">
        <f>IFERROR(LAA_H196[[#This Row],[H]]/LAA_H196[[#This Row],[AB]],0)</f>
        <v>0.22857142857142856</v>
      </c>
      <c r="AD105" s="72">
        <f>IFERROR((LAA_H196[[#This Row],[H]]+LAA_H196[[#This Row],[BB]])/(LAA_H196[[#This Row],[BB]]+LAA_H196[[#This Row],[AB]]),0)</f>
        <v>0.28000000000000003</v>
      </c>
      <c r="AE105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0.51428571428571423</v>
      </c>
      <c r="AF105" s="28">
        <v>18</v>
      </c>
      <c r="AG105" s="28">
        <v>70</v>
      </c>
      <c r="AH105" s="28">
        <v>14</v>
      </c>
      <c r="AI105" s="28">
        <v>16</v>
      </c>
      <c r="AJ105" s="28">
        <v>5</v>
      </c>
      <c r="AK105" s="28">
        <v>0</v>
      </c>
      <c r="AL105" s="28">
        <v>5</v>
      </c>
      <c r="AM105" s="28">
        <v>15</v>
      </c>
      <c r="AN105" s="28">
        <v>5</v>
      </c>
      <c r="AO105" s="74">
        <v>17</v>
      </c>
      <c r="AP105" s="28">
        <v>0</v>
      </c>
      <c r="AQ105" s="28">
        <v>0</v>
      </c>
      <c r="AR105" s="74">
        <v>5</v>
      </c>
      <c r="AS105" s="28">
        <f>IFERROR((LAA_H196[[#This Row],[H]]-LAA_H196[[#This Row],[2B]]-LAA_H196[[#This Row],[3B]]-LAA_H196[[#This Row],[HR]])+(LAA_H196[[#This Row],[2B]]*2)+(LAA_H196[[#This Row],[3B]]*3)+(LAA_H196[[#This Row],[HR]]*4),0)</f>
        <v>36</v>
      </c>
      <c r="AT105" s="72">
        <f>LAA_H196[[#This Row],[OBP]]+LAA_H196[[#This Row],[SLG]]</f>
        <v>0.79428571428571426</v>
      </c>
      <c r="AU105" s="74">
        <v>1</v>
      </c>
      <c r="AV105" s="615">
        <v>9</v>
      </c>
      <c r="AY105" s="651" t="s">
        <v>685</v>
      </c>
      <c r="AZ105" s="74" t="s">
        <v>168</v>
      </c>
      <c r="BA105" s="71" t="s">
        <v>687</v>
      </c>
      <c r="BB105" s="72">
        <f>IFERROR(LAA_H182[[#This Row],[H]]/LAA_H182[[#This Row],[AB]],0)</f>
        <v>0.22727272727272727</v>
      </c>
      <c r="BC105" s="72">
        <f>IFERROR((LAA_H182[[#This Row],[BB]]+LAA_H182[[#This Row],[H]])/(LAA_H182[[#This Row],[AB]]+LAA_H182[[#This Row],[BB]]),0)</f>
        <v>0.34254143646408841</v>
      </c>
      <c r="BD105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0.48051948051948051</v>
      </c>
      <c r="BE105" s="28">
        <v>40</v>
      </c>
      <c r="BF105" s="28">
        <v>154</v>
      </c>
      <c r="BG105" s="28">
        <v>31</v>
      </c>
      <c r="BH105" s="28">
        <v>35</v>
      </c>
      <c r="BI105" s="28">
        <v>9</v>
      </c>
      <c r="BJ105" s="28">
        <v>0</v>
      </c>
      <c r="BK105" s="28">
        <v>10</v>
      </c>
      <c r="BL105" s="28">
        <v>22</v>
      </c>
      <c r="BM105" s="28">
        <v>27</v>
      </c>
      <c r="BN105" s="74">
        <v>58</v>
      </c>
      <c r="BO105" s="28">
        <v>3</v>
      </c>
      <c r="BP105" s="28">
        <v>3</v>
      </c>
      <c r="BQ105" s="74">
        <v>5</v>
      </c>
      <c r="BR105" s="28">
        <f>(LAA_H182[[#This Row],[H]]-LAA_H182[[#This Row],[2B]]-LAA_H182[[#This Row],[3B]]-LAA_H182[[#This Row],[HR]])+(LAA_H182[[#This Row],[2B]]*2)+(LAA_H182[[#This Row],[3B]]*3)+(LAA_H182[[#This Row],[HR]]*4)</f>
        <v>74</v>
      </c>
      <c r="BS105" s="72">
        <f>IFERROR(LAA_H182[[#This Row],[OBP]]+LAA_H182[[#This Row],[SLG]],0)</f>
        <v>0.82306091698356898</v>
      </c>
      <c r="BT105" s="74">
        <v>7</v>
      </c>
      <c r="BU105" s="615">
        <v>9</v>
      </c>
    </row>
    <row r="106" spans="1:73">
      <c r="A106" s="651" t="s">
        <v>685</v>
      </c>
      <c r="B106" s="71" t="s">
        <v>187</v>
      </c>
      <c r="C106" s="71" t="s">
        <v>696</v>
      </c>
      <c r="D106" s="72">
        <f>IFERROR(LAA_H[[#This Row],[H]]/LAA_H[[#This Row],[AB]],0)</f>
        <v>0.18867924528301888</v>
      </c>
      <c r="E106" s="72">
        <f>IFERROR((LAA_H[[#This Row],[H]]+LAA_H[[#This Row],[BB]])/(LAA_H[[#This Row],[BB]]+LAA_H[[#This Row],[AB]]),0)</f>
        <v>0.21818181818181817</v>
      </c>
      <c r="F106" s="73">
        <f>IFERROR(((LAA_H[[#This Row],[H]]-LAA_H[[#This Row],[2B]]-LAA_H[[#This Row],[3B]]-LAA_H[[#This Row],[HR]])+(LAA_H[[#This Row],[2B]]*2)+(LAA_H[[#This Row],[3B]]*3)+(LAA_H[[#This Row],[HR]]*4))/LAA_H[[#This Row],[AB]],0)</f>
        <v>0.28301886792452829</v>
      </c>
      <c r="G106" s="28">
        <v>15</v>
      </c>
      <c r="H106" s="28">
        <v>53</v>
      </c>
      <c r="I106" s="28">
        <v>5</v>
      </c>
      <c r="J106" s="28">
        <v>10</v>
      </c>
      <c r="K106" s="28">
        <v>1</v>
      </c>
      <c r="L106" s="28">
        <v>2</v>
      </c>
      <c r="M106" s="28">
        <v>0</v>
      </c>
      <c r="N106" s="28">
        <v>1</v>
      </c>
      <c r="O106" s="28">
        <v>2</v>
      </c>
      <c r="P106" s="74">
        <v>11</v>
      </c>
      <c r="Q106" s="28">
        <v>0</v>
      </c>
      <c r="R106" s="28">
        <v>0</v>
      </c>
      <c r="S106" s="74">
        <v>7</v>
      </c>
      <c r="T106" s="28">
        <f>IFERROR((LAA_H[[#This Row],[H]]-LAA_H[[#This Row],[2B]]-LAA_H[[#This Row],[3B]]-LAA_H[[#This Row],[HR]])+(LAA_H[[#This Row],[2B]]*2)+(LAA_H[[#This Row],[3B]]*3)+(LAA_H[[#This Row],[HR]]*4),0)</f>
        <v>15</v>
      </c>
      <c r="U106" s="72">
        <f>LAA_H[[#This Row],[OBP]]+LAA_H[[#This Row],[SLG]]</f>
        <v>0.50120068610634649</v>
      </c>
      <c r="V106" s="74">
        <v>0</v>
      </c>
      <c r="W106" s="615">
        <v>10</v>
      </c>
      <c r="Z106" s="651" t="s">
        <v>685</v>
      </c>
      <c r="AA106" s="71" t="s">
        <v>187</v>
      </c>
      <c r="AB106" s="71" t="s">
        <v>701</v>
      </c>
      <c r="AC106" s="72">
        <f>IFERROR(LAA_H196[[#This Row],[H]]/LAA_H196[[#This Row],[AB]],0)</f>
        <v>0</v>
      </c>
      <c r="AD106" s="72">
        <f>IFERROR((LAA_H196[[#This Row],[H]]+LAA_H196[[#This Row],[BB]])/(LAA_H196[[#This Row],[BB]]+LAA_H196[[#This Row],[AB]]),0)</f>
        <v>0.2</v>
      </c>
      <c r="AE106" s="73">
        <f>IFERROR(((LAA_H196[[#This Row],[H]]-LAA_H196[[#This Row],[2B]]-LAA_H196[[#This Row],[3B]]-LAA_H196[[#This Row],[HR]])+(LAA_H196[[#This Row],[2B]]*2)+(LAA_H196[[#This Row],[3B]]*3)+(LAA_H196[[#This Row],[HR]]*4))/LAA_H196[[#This Row],[AB]],0)</f>
        <v>0</v>
      </c>
      <c r="AF106" s="28">
        <v>3</v>
      </c>
      <c r="AG106" s="28">
        <v>4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1</v>
      </c>
      <c r="AO106" s="74">
        <v>0</v>
      </c>
      <c r="AP106" s="28">
        <v>0</v>
      </c>
      <c r="AQ106" s="28">
        <v>0</v>
      </c>
      <c r="AR106" s="74">
        <v>0</v>
      </c>
      <c r="AS106" s="28">
        <f>IFERROR((LAA_H196[[#This Row],[H]]-LAA_H196[[#This Row],[2B]]-LAA_H196[[#This Row],[3B]]-LAA_H196[[#This Row],[HR]])+(LAA_H196[[#This Row],[2B]]*2)+(LAA_H196[[#This Row],[3B]]*3)+(LAA_H196[[#This Row],[HR]]*4),0)</f>
        <v>0</v>
      </c>
      <c r="AT106" s="72">
        <f>LAA_H196[[#This Row],[OBP]]+LAA_H196[[#This Row],[SLG]]</f>
        <v>0.2</v>
      </c>
      <c r="AU106" s="74">
        <v>0</v>
      </c>
      <c r="AV106" s="615">
        <v>10</v>
      </c>
      <c r="AY106" s="651" t="s">
        <v>685</v>
      </c>
      <c r="AZ106" s="74" t="s">
        <v>187</v>
      </c>
      <c r="BA106" s="71" t="s">
        <v>701</v>
      </c>
      <c r="BB106" s="72">
        <f>IFERROR(LAA_H182[[#This Row],[H]]/LAA_H182[[#This Row],[AB]],0)</f>
        <v>0.13333333333333333</v>
      </c>
      <c r="BC106" s="72">
        <f>IFERROR((LAA_H182[[#This Row],[BB]]+LAA_H182[[#This Row],[H]])/(LAA_H182[[#This Row],[AB]]+LAA_H182[[#This Row],[BB]]),0)</f>
        <v>0.1875</v>
      </c>
      <c r="BD106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0.13333333333333333</v>
      </c>
      <c r="BE106" s="28">
        <v>7</v>
      </c>
      <c r="BF106" s="28">
        <v>15</v>
      </c>
      <c r="BG106" s="28">
        <v>0</v>
      </c>
      <c r="BH106" s="28">
        <v>2</v>
      </c>
      <c r="BI106" s="28">
        <v>0</v>
      </c>
      <c r="BJ106" s="28">
        <v>0</v>
      </c>
      <c r="BK106" s="28">
        <v>0</v>
      </c>
      <c r="BL106" s="28">
        <v>1</v>
      </c>
      <c r="BM106" s="28">
        <v>1</v>
      </c>
      <c r="BN106" s="74">
        <v>3</v>
      </c>
      <c r="BO106" s="28">
        <v>0</v>
      </c>
      <c r="BP106" s="28">
        <v>0</v>
      </c>
      <c r="BQ106" s="74">
        <v>1</v>
      </c>
      <c r="BR106" s="28">
        <f>(LAA_H182[[#This Row],[H]]-LAA_H182[[#This Row],[2B]]-LAA_H182[[#This Row],[3B]]-LAA_H182[[#This Row],[HR]])+(LAA_H182[[#This Row],[2B]]*2)+(LAA_H182[[#This Row],[3B]]*3)+(LAA_H182[[#This Row],[HR]]*4)</f>
        <v>2</v>
      </c>
      <c r="BS106" s="72">
        <f>IFERROR(LAA_H182[[#This Row],[OBP]]+LAA_H182[[#This Row],[SLG]],0)</f>
        <v>0.3208333333333333</v>
      </c>
      <c r="BT106" s="74">
        <v>0</v>
      </c>
      <c r="BU106" s="615">
        <v>10</v>
      </c>
    </row>
    <row r="107" spans="1:73">
      <c r="A107" s="651" t="s">
        <v>685</v>
      </c>
      <c r="B107" s="71" t="s">
        <v>187</v>
      </c>
      <c r="C107" s="71" t="s">
        <v>700</v>
      </c>
      <c r="D107" s="72">
        <f>IFERROR(LAA_H[[#This Row],[H]]/LAA_H[[#This Row],[AB]],0)</f>
        <v>0.15686274509803921</v>
      </c>
      <c r="E107" s="72">
        <f>IFERROR((LAA_H[[#This Row],[H]]+LAA_H[[#This Row],[BB]])/(LAA_H[[#This Row],[BB]]+LAA_H[[#This Row],[AB]]),0)</f>
        <v>0.21818181818181817</v>
      </c>
      <c r="F107" s="73">
        <f>IFERROR(((LAA_H[[#This Row],[H]]-LAA_H[[#This Row],[2B]]-LAA_H[[#This Row],[3B]]-LAA_H[[#This Row],[HR]])+(LAA_H[[#This Row],[2B]]*2)+(LAA_H[[#This Row],[3B]]*3)+(LAA_H[[#This Row],[HR]]*4))/LAA_H[[#This Row],[AB]],0)</f>
        <v>0.21568627450980393</v>
      </c>
      <c r="G107" s="28">
        <v>14</v>
      </c>
      <c r="H107" s="28">
        <v>51</v>
      </c>
      <c r="I107" s="28">
        <v>2</v>
      </c>
      <c r="J107" s="28">
        <v>8</v>
      </c>
      <c r="K107" s="28">
        <v>0</v>
      </c>
      <c r="L107" s="28">
        <v>0</v>
      </c>
      <c r="M107" s="28">
        <v>1</v>
      </c>
      <c r="N107" s="28">
        <v>4</v>
      </c>
      <c r="O107" s="28">
        <v>4</v>
      </c>
      <c r="P107" s="74">
        <v>10</v>
      </c>
      <c r="Q107" s="28">
        <v>0</v>
      </c>
      <c r="R107" s="28">
        <v>0</v>
      </c>
      <c r="S107" s="74">
        <v>4</v>
      </c>
      <c r="T107" s="28">
        <f>IFERROR((LAA_H[[#This Row],[H]]-LAA_H[[#This Row],[2B]]-LAA_H[[#This Row],[3B]]-LAA_H[[#This Row],[HR]])+(LAA_H[[#This Row],[2B]]*2)+(LAA_H[[#This Row],[3B]]*3)+(LAA_H[[#This Row],[HR]]*4),0)</f>
        <v>11</v>
      </c>
      <c r="U107" s="72">
        <f>LAA_H[[#This Row],[OBP]]+LAA_H[[#This Row],[SLG]]</f>
        <v>0.43386809269162208</v>
      </c>
      <c r="V107" s="74">
        <v>0</v>
      </c>
      <c r="W107" s="615">
        <v>11</v>
      </c>
      <c r="Z107" s="651" t="s">
        <v>685</v>
      </c>
      <c r="AA107" s="71" t="s">
        <v>187</v>
      </c>
      <c r="AB107" s="71" t="s">
        <v>700</v>
      </c>
      <c r="AC107" s="72">
        <f>IFERROR(LAA_H196[[#This Row],[H]]/LAA_H196[[#This Row],[AB]],0)</f>
        <v>0.21917808219178081</v>
      </c>
      <c r="AD107" s="72">
        <f>IFERROR((LAA_H196[[#This Row],[H]]+LAA_H196[[#This Row],[BB]])/(LAA_H196[[#This Row],[BB]]+LAA_H196[[#This Row],[AB]]),0)</f>
        <v>0.26923076923076922</v>
      </c>
      <c r="AE107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0.32876712328767121</v>
      </c>
      <c r="AF107" s="28">
        <v>20</v>
      </c>
      <c r="AG107" s="28">
        <v>73</v>
      </c>
      <c r="AH107" s="28">
        <v>8</v>
      </c>
      <c r="AI107" s="28">
        <v>16</v>
      </c>
      <c r="AJ107" s="28">
        <v>0</v>
      </c>
      <c r="AK107" s="28">
        <v>1</v>
      </c>
      <c r="AL107" s="28">
        <v>2</v>
      </c>
      <c r="AM107" s="28">
        <v>4</v>
      </c>
      <c r="AN107" s="28">
        <v>5</v>
      </c>
      <c r="AO107" s="74">
        <v>23</v>
      </c>
      <c r="AP107" s="28">
        <v>0</v>
      </c>
      <c r="AQ107" s="28">
        <v>7</v>
      </c>
      <c r="AR107" s="74">
        <v>7</v>
      </c>
      <c r="AS107" s="28">
        <f>IFERROR((LAA_H196[[#This Row],[H]]-LAA_H196[[#This Row],[2B]]-LAA_H196[[#This Row],[3B]]-LAA_H196[[#This Row],[HR]])+(LAA_H196[[#This Row],[2B]]*2)+(LAA_H196[[#This Row],[3B]]*3)+(LAA_H196[[#This Row],[HR]]*4),0)</f>
        <v>24</v>
      </c>
      <c r="AT107" s="72">
        <f>LAA_H196[[#This Row],[OBP]]+LAA_H196[[#This Row],[SLG]]</f>
        <v>0.59799789251844038</v>
      </c>
      <c r="AU107" s="74">
        <v>1</v>
      </c>
      <c r="AV107" s="615">
        <v>11</v>
      </c>
      <c r="AY107" s="651" t="s">
        <v>685</v>
      </c>
      <c r="AZ107" s="74" t="s">
        <v>187</v>
      </c>
      <c r="BA107" s="71" t="s">
        <v>699</v>
      </c>
      <c r="BB107" s="72">
        <f>IFERROR(LAA_H182[[#This Row],[H]]/LAA_H182[[#This Row],[AB]],0)</f>
        <v>8.3333333333333329E-2</v>
      </c>
      <c r="BC107" s="72">
        <f>IFERROR((LAA_H182[[#This Row],[BB]]+LAA_H182[[#This Row],[H]])/(LAA_H182[[#This Row],[AB]]+LAA_H182[[#This Row],[BB]]),0)</f>
        <v>0.15384615384615385</v>
      </c>
      <c r="BD107" s="73">
        <f>IFERROR(((LAA_H182[[#This Row],[H]]-LAA_H182[[#This Row],[2B]]-LAA_H182[[#This Row],[3B]]-LAA_H182[[#This Row],[HR]])+(LAA_H182[[#This Row],[2B]]*2)+(LAA_H182[[#This Row],[3B]]*3)+(LAA_H182[[#This Row],[HR]]*4))/LAA_H182[[#This Row],[AB]],0)</f>
        <v>8.3333333333333329E-2</v>
      </c>
      <c r="BE107" s="28">
        <v>8</v>
      </c>
      <c r="BF107" s="28">
        <v>12</v>
      </c>
      <c r="BG107" s="28">
        <v>0</v>
      </c>
      <c r="BH107" s="28">
        <v>1</v>
      </c>
      <c r="BI107" s="28">
        <v>0</v>
      </c>
      <c r="BJ107" s="28">
        <v>0</v>
      </c>
      <c r="BK107" s="28">
        <v>0</v>
      </c>
      <c r="BL107" s="28">
        <v>0</v>
      </c>
      <c r="BM107" s="28">
        <v>1</v>
      </c>
      <c r="BN107" s="74">
        <v>5</v>
      </c>
      <c r="BO107" s="28">
        <v>0</v>
      </c>
      <c r="BP107" s="28">
        <v>0</v>
      </c>
      <c r="BQ107" s="74">
        <v>1</v>
      </c>
      <c r="BR107" s="28">
        <f>(LAA_H182[[#This Row],[H]]-LAA_H182[[#This Row],[2B]]-LAA_H182[[#This Row],[3B]]-LAA_H182[[#This Row],[HR]])+(LAA_H182[[#This Row],[2B]]*2)+(LAA_H182[[#This Row],[3B]]*3)+(LAA_H182[[#This Row],[HR]]*4)</f>
        <v>1</v>
      </c>
      <c r="BS107" s="72">
        <f>IFERROR(LAA_H182[[#This Row],[OBP]]+LAA_H182[[#This Row],[SLG]],0)</f>
        <v>0.23717948717948717</v>
      </c>
      <c r="BT107" s="74">
        <v>0</v>
      </c>
      <c r="BU107" s="615">
        <v>11</v>
      </c>
    </row>
    <row r="108" spans="1:73">
      <c r="A108" s="651" t="s">
        <v>685</v>
      </c>
      <c r="B108" s="71" t="s">
        <v>187</v>
      </c>
      <c r="C108" s="71" t="s">
        <v>697</v>
      </c>
      <c r="D108" s="72">
        <f>IFERROR(LAA_H[[#This Row],[H]]/LAA_H[[#This Row],[AB]],0)</f>
        <v>0.20689655172413793</v>
      </c>
      <c r="E108" s="72">
        <f>IFERROR((LAA_H[[#This Row],[H]]+LAA_H[[#This Row],[BB]])/(LAA_H[[#This Row],[BB]]+LAA_H[[#This Row],[AB]]),0)</f>
        <v>0.25806451612903225</v>
      </c>
      <c r="F108" s="73">
        <f>IFERROR(((LAA_H[[#This Row],[H]]-LAA_H[[#This Row],[2B]]-LAA_H[[#This Row],[3B]]-LAA_H[[#This Row],[HR]])+(LAA_H[[#This Row],[2B]]*2)+(LAA_H[[#This Row],[3B]]*3)+(LAA_H[[#This Row],[HR]]*4))/LAA_H[[#This Row],[AB]],0)</f>
        <v>0.27586206896551724</v>
      </c>
      <c r="G108" s="28">
        <v>10</v>
      </c>
      <c r="H108" s="28">
        <v>29</v>
      </c>
      <c r="I108" s="28">
        <v>3</v>
      </c>
      <c r="J108" s="28">
        <v>6</v>
      </c>
      <c r="K108" s="28">
        <v>2</v>
      </c>
      <c r="L108" s="28">
        <v>0</v>
      </c>
      <c r="M108" s="28">
        <v>0</v>
      </c>
      <c r="N108" s="28">
        <v>0</v>
      </c>
      <c r="O108" s="28">
        <v>2</v>
      </c>
      <c r="P108" s="74">
        <v>5</v>
      </c>
      <c r="Q108" s="28">
        <v>0</v>
      </c>
      <c r="R108" s="28">
        <v>4</v>
      </c>
      <c r="S108" s="74">
        <v>4</v>
      </c>
      <c r="T108" s="28">
        <f>IFERROR((LAA_H[[#This Row],[H]]-LAA_H[[#This Row],[2B]]-LAA_H[[#This Row],[3B]]-LAA_H[[#This Row],[HR]])+(LAA_H[[#This Row],[2B]]*2)+(LAA_H[[#This Row],[3B]]*3)+(LAA_H[[#This Row],[HR]]*4),0)</f>
        <v>8</v>
      </c>
      <c r="U108" s="72">
        <f>LAA_H[[#This Row],[OBP]]+LAA_H[[#This Row],[SLG]]</f>
        <v>0.53392658509454949</v>
      </c>
      <c r="V108" s="74">
        <v>0</v>
      </c>
      <c r="W108" s="615">
        <v>12</v>
      </c>
      <c r="Z108" s="651" t="s">
        <v>685</v>
      </c>
      <c r="AA108" s="71" t="s">
        <v>186</v>
      </c>
      <c r="AB108" s="77" t="s">
        <v>692</v>
      </c>
      <c r="AC108" s="130">
        <f>IFERROR(LAA_H196[[#This Row],[H]]/LAA_H196[[#This Row],[AB]],0)</f>
        <v>0.14285714285714285</v>
      </c>
      <c r="AD108" s="72">
        <f>IFERROR((LAA_H196[[#This Row],[H]]+LAA_H196[[#This Row],[BB]])/(LAA_H196[[#This Row],[BB]]+LAA_H196[[#This Row],[AB]]),0)</f>
        <v>0.21739130434782608</v>
      </c>
      <c r="AE108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0.19047619047619047</v>
      </c>
      <c r="AF108" s="28">
        <v>5</v>
      </c>
      <c r="AG108" s="28">
        <v>21</v>
      </c>
      <c r="AH108" s="28">
        <v>3</v>
      </c>
      <c r="AI108" s="28">
        <v>3</v>
      </c>
      <c r="AJ108" s="28">
        <v>1</v>
      </c>
      <c r="AK108" s="28">
        <v>0</v>
      </c>
      <c r="AL108" s="28">
        <v>0</v>
      </c>
      <c r="AM108" s="28">
        <v>2</v>
      </c>
      <c r="AN108" s="28">
        <v>2</v>
      </c>
      <c r="AO108" s="74">
        <v>9</v>
      </c>
      <c r="AP108" s="28">
        <v>0</v>
      </c>
      <c r="AQ108" s="28">
        <v>0</v>
      </c>
      <c r="AR108" s="74">
        <v>2</v>
      </c>
      <c r="AS108" s="28">
        <f>IFERROR((LAA_H196[[#This Row],[H]]-LAA_H196[[#This Row],[2B]]-LAA_H196[[#This Row],[3B]]-LAA_H196[[#This Row],[HR]])+(LAA_H196[[#This Row],[2B]]*2)+(LAA_H196[[#This Row],[3B]]*3)+(LAA_H196[[#This Row],[HR]]*4),0)</f>
        <v>4</v>
      </c>
      <c r="AT108" s="72">
        <f>LAA_H196[[#This Row],[OBP]]+LAA_H196[[#This Row],[SLG]]</f>
        <v>0.40786749482401652</v>
      </c>
      <c r="AU108" s="74">
        <v>0</v>
      </c>
      <c r="AV108" s="615">
        <v>12</v>
      </c>
      <c r="AY108" s="651" t="s">
        <v>685</v>
      </c>
      <c r="AZ108" s="74" t="s">
        <v>184</v>
      </c>
      <c r="BA108" s="71" t="s">
        <v>692</v>
      </c>
      <c r="BB108" s="72">
        <f>IFERROR(LAA_H182[[#This Row],[H]]/LAA_H182[[#This Row],[AB]],0)</f>
        <v>0</v>
      </c>
      <c r="BC108" s="72">
        <f>IFERROR((LAA_H182[[#This Row],[BB]]+LAA_H182[[#This Row],[H]])/(LAA_H182[[#This Row],[AB]]+LAA_H182[[#This Row],[BB]]),0)</f>
        <v>0.25</v>
      </c>
      <c r="BD108" s="73">
        <f>IFERROR(((LAA_H182[[#This Row],[H]]-LAA_H182[[#This Row],[2B]]-LAA_H182[[#This Row],[3B]]-LAA_H182[[#This Row],[HR]])+(LAA_H182[[#This Row],[2B]]*2)+(LAA_H182[[#This Row],[3B]]*3)+(LAA_H182[[#This Row],[HR]]*4))/LAA_H182[[#This Row],[AB]],0)</f>
        <v>0</v>
      </c>
      <c r="BE108" s="28">
        <v>2</v>
      </c>
      <c r="BF108" s="28">
        <v>3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1</v>
      </c>
      <c r="BN108" s="74">
        <v>2</v>
      </c>
      <c r="BO108" s="28">
        <v>0</v>
      </c>
      <c r="BP108" s="28">
        <v>0</v>
      </c>
      <c r="BQ108" s="74">
        <v>0</v>
      </c>
      <c r="BR108" s="28">
        <f>(LAA_H182[[#This Row],[H]]-LAA_H182[[#This Row],[2B]]-LAA_H182[[#This Row],[3B]]-LAA_H182[[#This Row],[HR]])+(LAA_H182[[#This Row],[2B]]*2)+(LAA_H182[[#This Row],[3B]]*3)+(LAA_H182[[#This Row],[HR]]*4)</f>
        <v>0</v>
      </c>
      <c r="BS108" s="72">
        <f>IFERROR(LAA_H182[[#This Row],[OBP]]+LAA_H182[[#This Row],[SLG]],0)</f>
        <v>0.25</v>
      </c>
      <c r="BT108" s="74">
        <v>0</v>
      </c>
      <c r="BU108" s="615">
        <v>12</v>
      </c>
    </row>
    <row r="109" spans="1:73">
      <c r="A109" s="651" t="s">
        <v>685</v>
      </c>
      <c r="B109" s="71" t="s">
        <v>186</v>
      </c>
      <c r="C109" s="71" t="s">
        <v>691</v>
      </c>
      <c r="D109" s="72">
        <f>IFERROR(LAA_H[[#This Row],[H]]/LAA_H[[#This Row],[AB]],0)</f>
        <v>0.15789473684210525</v>
      </c>
      <c r="E109" s="72">
        <f>IFERROR((LAA_H[[#This Row],[H]]+LAA_H[[#This Row],[BB]])/(LAA_H[[#This Row],[BB]]+LAA_H[[#This Row],[AB]]),0)</f>
        <v>0.1864406779661017</v>
      </c>
      <c r="F109" s="73">
        <f>IFERROR(((LAA_H[[#This Row],[H]]-LAA_H[[#This Row],[2B]]-LAA_H[[#This Row],[3B]]-LAA_H[[#This Row],[HR]])+(LAA_H[[#This Row],[2B]]*2)+(LAA_H[[#This Row],[3B]]*3)+(LAA_H[[#This Row],[HR]]*4))/LAA_H[[#This Row],[AB]],0)</f>
        <v>0.22807017543859648</v>
      </c>
      <c r="G109" s="28">
        <v>14</v>
      </c>
      <c r="H109" s="28">
        <v>57</v>
      </c>
      <c r="I109" s="28">
        <v>2</v>
      </c>
      <c r="J109" s="28">
        <v>9</v>
      </c>
      <c r="K109" s="28">
        <v>2</v>
      </c>
      <c r="L109" s="28">
        <v>1</v>
      </c>
      <c r="M109" s="28">
        <v>0</v>
      </c>
      <c r="N109" s="28">
        <v>3</v>
      </c>
      <c r="O109" s="28">
        <v>2</v>
      </c>
      <c r="P109" s="74">
        <v>19</v>
      </c>
      <c r="Q109" s="28">
        <v>0</v>
      </c>
      <c r="R109" s="28">
        <v>0</v>
      </c>
      <c r="S109" s="74">
        <v>3</v>
      </c>
      <c r="T109" s="28">
        <f>IFERROR((LAA_H[[#This Row],[H]]-LAA_H[[#This Row],[2B]]-LAA_H[[#This Row],[3B]]-LAA_H[[#This Row],[HR]])+(LAA_H[[#This Row],[2B]]*2)+(LAA_H[[#This Row],[3B]]*3)+(LAA_H[[#This Row],[HR]]*4),0)</f>
        <v>13</v>
      </c>
      <c r="U109" s="72">
        <f>LAA_H[[#This Row],[OBP]]+LAA_H[[#This Row],[SLG]]</f>
        <v>0.41451085340469818</v>
      </c>
      <c r="V109" s="74">
        <v>0</v>
      </c>
      <c r="W109" s="615">
        <v>13</v>
      </c>
      <c r="Z109" s="651" t="s">
        <v>685</v>
      </c>
      <c r="AA109" s="71" t="s">
        <v>186</v>
      </c>
      <c r="AB109" s="71" t="s">
        <v>694</v>
      </c>
      <c r="AC109" s="72">
        <f>IFERROR(LAA_H196[[#This Row],[H]]/LAA_H196[[#This Row],[AB]],0)</f>
        <v>0</v>
      </c>
      <c r="AD109" s="72">
        <f>IFERROR((LAA_H196[[#This Row],[H]]+LAA_H196[[#This Row],[BB]])/(LAA_H196[[#This Row],[BB]]+LAA_H196[[#This Row],[AB]]),0)</f>
        <v>0</v>
      </c>
      <c r="AE109" s="73">
        <f>IFERROR(((LAA_H196[[#This Row],[H]]-LAA_H196[[#This Row],[2B]]-LAA_H196[[#This Row],[3B]]-LAA_H196[[#This Row],[HR]])+(LAA_H196[[#This Row],[2B]]*2)+(LAA_H196[[#This Row],[3B]]*3)+(LAA_H196[[#This Row],[HR]]*4))/LAA_H196[[#This Row],[AB]],0)</f>
        <v>0</v>
      </c>
      <c r="AF109" s="28">
        <v>4</v>
      </c>
      <c r="AG109" s="28">
        <v>14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74">
        <v>4</v>
      </c>
      <c r="AP109" s="28">
        <v>0</v>
      </c>
      <c r="AQ109" s="28">
        <v>0</v>
      </c>
      <c r="AR109" s="74">
        <v>0</v>
      </c>
      <c r="AS109" s="28">
        <f>IFERROR((LAA_H196[[#This Row],[H]]-LAA_H196[[#This Row],[2B]]-LAA_H196[[#This Row],[3B]]-LAA_H196[[#This Row],[HR]])+(LAA_H196[[#This Row],[2B]]*2)+(LAA_H196[[#This Row],[3B]]*3)+(LAA_H196[[#This Row],[HR]]*4),0)</f>
        <v>0</v>
      </c>
      <c r="AT109" s="72">
        <f>LAA_H196[[#This Row],[OBP]]+LAA_H196[[#This Row],[SLG]]</f>
        <v>0</v>
      </c>
      <c r="AU109" s="74">
        <v>0</v>
      </c>
      <c r="AV109" s="615">
        <v>13</v>
      </c>
      <c r="AY109" s="651" t="s">
        <v>685</v>
      </c>
      <c r="AZ109" s="74" t="s">
        <v>184</v>
      </c>
      <c r="BA109" s="71" t="s">
        <v>694</v>
      </c>
      <c r="BB109" s="72">
        <f>IFERROR(LAA_H182[[#This Row],[H]]/LAA_H182[[#This Row],[AB]],0)</f>
        <v>0.23255813953488372</v>
      </c>
      <c r="BC109" s="72">
        <f>IFERROR((LAA_H182[[#This Row],[BB]]+LAA_H182[[#This Row],[H]])/(LAA_H182[[#This Row],[AB]]+LAA_H182[[#This Row],[BB]]),0)</f>
        <v>0.3125</v>
      </c>
      <c r="BD109" s="73">
        <f>IFERROR(((LAA_H182[[#This Row],[H]]-LAA_H182[[#This Row],[2B]]-LAA_H182[[#This Row],[3B]]-LAA_H182[[#This Row],[HR]])+(LAA_H182[[#This Row],[2B]]*2)+(LAA_H182[[#This Row],[3B]]*3)+(LAA_H182[[#This Row],[HR]]*4))/LAA_H182[[#This Row],[AB]],0)</f>
        <v>0.30232558139534882</v>
      </c>
      <c r="BE109" s="28">
        <v>13</v>
      </c>
      <c r="BF109" s="28">
        <v>43</v>
      </c>
      <c r="BG109" s="28">
        <v>5</v>
      </c>
      <c r="BH109" s="28">
        <v>10</v>
      </c>
      <c r="BI109" s="28">
        <v>0</v>
      </c>
      <c r="BJ109" s="28">
        <v>0</v>
      </c>
      <c r="BK109" s="28">
        <v>1</v>
      </c>
      <c r="BL109" s="28">
        <v>4</v>
      </c>
      <c r="BM109" s="28">
        <v>5</v>
      </c>
      <c r="BN109" s="74">
        <v>15</v>
      </c>
      <c r="BO109" s="28">
        <v>3</v>
      </c>
      <c r="BP109" s="28">
        <v>2</v>
      </c>
      <c r="BQ109" s="74">
        <v>3</v>
      </c>
      <c r="BR109" s="28">
        <f>(LAA_H182[[#This Row],[H]]-LAA_H182[[#This Row],[2B]]-LAA_H182[[#This Row],[3B]]-LAA_H182[[#This Row],[HR]])+(LAA_H182[[#This Row],[2B]]*2)+(LAA_H182[[#This Row],[3B]]*3)+(LAA_H182[[#This Row],[HR]]*4)</f>
        <v>13</v>
      </c>
      <c r="BS109" s="72">
        <f>IFERROR(LAA_H182[[#This Row],[OBP]]+LAA_H182[[#This Row],[SLG]],0)</f>
        <v>0.61482558139534882</v>
      </c>
      <c r="BT109" s="74">
        <v>0</v>
      </c>
      <c r="BU109" s="615">
        <v>13</v>
      </c>
    </row>
    <row r="110" spans="1:73" ht="17" thickBot="1">
      <c r="A110" s="651" t="s">
        <v>685</v>
      </c>
      <c r="B110" s="71" t="s">
        <v>186</v>
      </c>
      <c r="C110" s="71" t="s">
        <v>702</v>
      </c>
      <c r="D110" s="72">
        <f>IFERROR(LAA_H[[#This Row],[H]]/LAA_H[[#This Row],[AB]],0)</f>
        <v>0.15384615384615385</v>
      </c>
      <c r="E110" s="72">
        <f>IFERROR((LAA_H[[#This Row],[H]]+LAA_H[[#This Row],[BB]])/(LAA_H[[#This Row],[BB]]+LAA_H[[#This Row],[AB]]),0)</f>
        <v>0.21428571428571427</v>
      </c>
      <c r="F110" s="73">
        <f>IFERROR(((LAA_H[[#This Row],[H]]-LAA_H[[#This Row],[2B]]-LAA_H[[#This Row],[3B]]-LAA_H[[#This Row],[HR]])+(LAA_H[[#This Row],[2B]]*2)+(LAA_H[[#This Row],[3B]]*3)+(LAA_H[[#This Row],[HR]]*4))/LAA_H[[#This Row],[AB]],0)</f>
        <v>0.19230769230769232</v>
      </c>
      <c r="G110" s="28">
        <v>9</v>
      </c>
      <c r="H110" s="28">
        <v>26</v>
      </c>
      <c r="I110" s="28">
        <v>1</v>
      </c>
      <c r="J110" s="28">
        <v>4</v>
      </c>
      <c r="K110" s="28">
        <v>1</v>
      </c>
      <c r="L110" s="28">
        <v>0</v>
      </c>
      <c r="M110" s="28">
        <v>0</v>
      </c>
      <c r="N110" s="28">
        <v>1</v>
      </c>
      <c r="O110" s="28">
        <v>2</v>
      </c>
      <c r="P110" s="74">
        <v>8</v>
      </c>
      <c r="Q110" s="28">
        <v>0</v>
      </c>
      <c r="R110" s="28">
        <v>0</v>
      </c>
      <c r="S110" s="74">
        <v>2</v>
      </c>
      <c r="T110" s="28">
        <f>IFERROR((LAA_H[[#This Row],[H]]-LAA_H[[#This Row],[2B]]-LAA_H[[#This Row],[3B]]-LAA_H[[#This Row],[HR]])+(LAA_H[[#This Row],[2B]]*2)+(LAA_H[[#This Row],[3B]]*3)+(LAA_H[[#This Row],[HR]]*4),0)</f>
        <v>5</v>
      </c>
      <c r="U110" s="72">
        <f>LAA_H[[#This Row],[OBP]]+LAA_H[[#This Row],[SLG]]</f>
        <v>0.40659340659340659</v>
      </c>
      <c r="V110" s="74">
        <v>0</v>
      </c>
      <c r="W110" s="615">
        <v>14</v>
      </c>
      <c r="Z110" s="651" t="s">
        <v>685</v>
      </c>
      <c r="AA110" s="71" t="s">
        <v>186</v>
      </c>
      <c r="AB110" s="71" t="s">
        <v>702</v>
      </c>
      <c r="AC110" s="72">
        <f>IFERROR(LAA_H196[[#This Row],[H]]/LAA_H196[[#This Row],[AB]],0)</f>
        <v>0.1</v>
      </c>
      <c r="AD110" s="72">
        <f>IFERROR((LAA_H196[[#This Row],[H]]+LAA_H196[[#This Row],[BB]])/(LAA_H196[[#This Row],[BB]]+LAA_H196[[#This Row],[AB]]),0)</f>
        <v>0.1</v>
      </c>
      <c r="AE110" s="73">
        <f>IFERROR(((LAA_H196[[#This Row],[H]]-LAA_H196[[#This Row],[2B]]-LAA_H196[[#This Row],[3B]]-LAA_H196[[#This Row],[HR]])+(LAA_H196[[#This Row],[2B]]*2)+(LAA_H196[[#This Row],[3B]]*3)+(LAA_H196[[#This Row],[HR]]*4))/LAA_H196[[#This Row],[AB]],0)</f>
        <v>0.1</v>
      </c>
      <c r="AF110" s="28">
        <v>6</v>
      </c>
      <c r="AG110" s="28">
        <v>20</v>
      </c>
      <c r="AH110" s="28">
        <v>0</v>
      </c>
      <c r="AI110" s="28">
        <v>2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74">
        <v>6</v>
      </c>
      <c r="AP110" s="28">
        <v>0</v>
      </c>
      <c r="AQ110" s="28">
        <v>0</v>
      </c>
      <c r="AR110" s="74">
        <v>1</v>
      </c>
      <c r="AS110" s="28">
        <f>IFERROR((LAA_H196[[#This Row],[H]]-LAA_H196[[#This Row],[2B]]-LAA_H196[[#This Row],[3B]]-LAA_H196[[#This Row],[HR]])+(LAA_H196[[#This Row],[2B]]*2)+(LAA_H196[[#This Row],[3B]]*3)+(LAA_H196[[#This Row],[HR]]*4),0)</f>
        <v>2</v>
      </c>
      <c r="AT110" s="72">
        <f>LAA_H196[[#This Row],[OBP]]+LAA_H196[[#This Row],[SLG]]</f>
        <v>0.2</v>
      </c>
      <c r="AU110" s="74">
        <v>0</v>
      </c>
      <c r="AV110" s="615">
        <v>14</v>
      </c>
      <c r="AY110" s="651" t="s">
        <v>685</v>
      </c>
      <c r="AZ110" s="74" t="s">
        <v>184</v>
      </c>
      <c r="BA110" s="71" t="s">
        <v>702</v>
      </c>
      <c r="BB110" s="72">
        <f>IFERROR(LAA_H182[[#This Row],[H]]/LAA_H182[[#This Row],[AB]],0)</f>
        <v>0</v>
      </c>
      <c r="BC110" s="72">
        <f>IFERROR((LAA_H182[[#This Row],[BB]]+LAA_H182[[#This Row],[H]])/(LAA_H182[[#This Row],[AB]]+LAA_H182[[#This Row],[BB]]),0)</f>
        <v>0</v>
      </c>
      <c r="BD110" s="73">
        <f>IFERROR(((LAA_H182[[#This Row],[H]]-LAA_H182[[#This Row],[2B]]-LAA_H182[[#This Row],[3B]]-LAA_H182[[#This Row],[HR]])+(LAA_H182[[#This Row],[2B]]*2)+(LAA_H182[[#This Row],[3B]]*3)+(LAA_H182[[#This Row],[HR]]*4))/LAA_H182[[#This Row],[AB]],0)</f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74">
        <v>0</v>
      </c>
      <c r="BO110" s="28">
        <v>0</v>
      </c>
      <c r="BP110" s="28">
        <v>0</v>
      </c>
      <c r="BQ110" s="74">
        <v>0</v>
      </c>
      <c r="BR110" s="28">
        <f>(LAA_H182[[#This Row],[H]]-LAA_H182[[#This Row],[2B]]-LAA_H182[[#This Row],[3B]]-LAA_H182[[#This Row],[HR]])+(LAA_H182[[#This Row],[2B]]*2)+(LAA_H182[[#This Row],[3B]]*3)+(LAA_H182[[#This Row],[HR]]*4)</f>
        <v>0</v>
      </c>
      <c r="BS110" s="72">
        <f>IFERROR(LAA_H182[[#This Row],[OBP]]+LAA_H182[[#This Row],[SLG]],0)</f>
        <v>0</v>
      </c>
      <c r="BT110" s="74">
        <v>0</v>
      </c>
      <c r="BU110" s="615">
        <v>14</v>
      </c>
    </row>
    <row r="111" spans="1:73" ht="17" thickBot="1">
      <c r="A111" s="809"/>
      <c r="B111" s="810"/>
      <c r="C111" s="654" t="s">
        <v>195</v>
      </c>
      <c r="D111" s="656">
        <f>J111/H111</f>
        <v>0.25162220620043257</v>
      </c>
      <c r="E111" s="656">
        <f>(J111+O111)/(H111+O111)</f>
        <v>0.31349206349206349</v>
      </c>
      <c r="F111" s="657">
        <f>((J111-K111-L111-M111)+(K111*2)+(L111*3)+(M111*4))/H111</f>
        <v>0.46503244412400863</v>
      </c>
      <c r="G111" s="658"/>
      <c r="H111" s="658">
        <f>SUBTOTAL(109,LAA_H[AB])</f>
        <v>1387</v>
      </c>
      <c r="I111" s="658">
        <f>SUBTOTAL(109,LAA_H[R])</f>
        <v>178</v>
      </c>
      <c r="J111" s="658">
        <f>SUBTOTAL(109,LAA_H[H])</f>
        <v>349</v>
      </c>
      <c r="K111" s="658">
        <f>SUBTOTAL(109,LAA_H[2B])</f>
        <v>67</v>
      </c>
      <c r="L111" s="658">
        <f>SUBTOTAL(109,LAA_H[3B])</f>
        <v>8</v>
      </c>
      <c r="M111" s="658">
        <f>SUBTOTAL(109,LAA_H[HR])</f>
        <v>71</v>
      </c>
      <c r="N111" s="658">
        <f>SUBTOTAL(109,LAA_H[RBI])</f>
        <v>178</v>
      </c>
      <c r="O111" s="658">
        <f>SUBTOTAL(109,LAA_H[BB])</f>
        <v>125</v>
      </c>
      <c r="P111" s="660">
        <f>SUBTOTAL(109,LAA_H[K])</f>
        <v>400</v>
      </c>
      <c r="Q111" s="658">
        <f>SUBTOTAL(109,LAA_H[SB])</f>
        <v>8</v>
      </c>
      <c r="R111" s="658"/>
      <c r="S111" s="660"/>
      <c r="T111" s="658">
        <f>SUBTOTAL(109,LAA_H[TB])</f>
        <v>645</v>
      </c>
      <c r="U111" s="656">
        <f>E111+F111</f>
        <v>0.77852450761607206</v>
      </c>
      <c r="V111" s="660">
        <f>SUBTOTAL(109,LAA_H[*])</f>
        <v>16</v>
      </c>
      <c r="W111" s="662"/>
      <c r="Z111" s="809"/>
      <c r="AA111" s="810"/>
      <c r="AB111" s="654" t="s">
        <v>195</v>
      </c>
      <c r="AC111" s="656">
        <f>AI111/AG111</f>
        <v>0.21454283657307416</v>
      </c>
      <c r="AD111" s="656">
        <f>(AI111+AN111)/(AG111+AN111)</f>
        <v>0.26778523489932887</v>
      </c>
      <c r="AE111" s="657">
        <f>((AI111-AJ111-AK111-AL111)+(AJ111*2)+(AK111*3)+(AL111*4))/AG111</f>
        <v>0.36357091432685384</v>
      </c>
      <c r="AF111" s="658"/>
      <c r="AG111" s="658">
        <f>SUBTOTAL(109,LAA_H196[AB])</f>
        <v>1389</v>
      </c>
      <c r="AH111" s="658">
        <f>SUBTOTAL(109,LAA_H196[R])</f>
        <v>159</v>
      </c>
      <c r="AI111" s="658">
        <f>SUBTOTAL(109,LAA_H196[H])</f>
        <v>298</v>
      </c>
      <c r="AJ111" s="658">
        <f>SUBTOTAL(109,LAA_H196[2B])</f>
        <v>56</v>
      </c>
      <c r="AK111" s="658">
        <f>SUBTOTAL(109,LAA_H196[3B])</f>
        <v>5</v>
      </c>
      <c r="AL111" s="658">
        <f>SUBTOTAL(109,LAA_H196[HR])</f>
        <v>47</v>
      </c>
      <c r="AM111" s="658">
        <f>SUBTOTAL(109,LAA_H196[RBI])</f>
        <v>159</v>
      </c>
      <c r="AN111" s="658">
        <f>SUBTOTAL(109,LAA_H196[BB])</f>
        <v>101</v>
      </c>
      <c r="AO111" s="660">
        <f>SUBTOTAL(109,LAA_H196[K])</f>
        <v>346</v>
      </c>
      <c r="AP111" s="658">
        <f>SUBTOTAL(109,LAA_H196[SB])</f>
        <v>11</v>
      </c>
      <c r="AQ111" s="658"/>
      <c r="AR111" s="660"/>
      <c r="AS111" s="658">
        <f>SUBTOTAL(109,LAA_H196[TB])</f>
        <v>505</v>
      </c>
      <c r="AT111" s="656">
        <f>AD111+AE111</f>
        <v>0.63135614922618277</v>
      </c>
      <c r="AU111" s="660">
        <f>SUBTOTAL(109,LAA_H196[*])</f>
        <v>19</v>
      </c>
      <c r="AV111" s="662"/>
      <c r="AY111" s="809"/>
      <c r="AZ111" s="810"/>
      <c r="BA111" s="654" t="s">
        <v>195</v>
      </c>
      <c r="BB111" s="656">
        <f>BH111/BF111</f>
        <v>0.25352112676056338</v>
      </c>
      <c r="BC111" s="656">
        <f>(BM111+BH111)/(BF111+BM111)</f>
        <v>0.32279757901815737</v>
      </c>
      <c r="BD111" s="657">
        <f>((BH111-BI111-BJ111-BK111)+(BI111*2)+(BJ111*3)+(BK111*4))/BF111</f>
        <v>0.42920681986656783</v>
      </c>
      <c r="BE111" s="658"/>
      <c r="BF111" s="658">
        <f>SUM(BF97:BF110)</f>
        <v>1349</v>
      </c>
      <c r="BG111" s="658">
        <f>SUM(BG97:BG110)</f>
        <v>186</v>
      </c>
      <c r="BH111" s="658">
        <f>SUBTOTAL(109,LAA_H182[H])</f>
        <v>342</v>
      </c>
      <c r="BI111" s="658">
        <f>SUBTOTAL(109,LAA_H182[2B])</f>
        <v>68</v>
      </c>
      <c r="BJ111" s="658">
        <f>SUBTOTAL(109,LAA_H182[3B])</f>
        <v>2</v>
      </c>
      <c r="BK111" s="658">
        <f>SUBTOTAL(109,LAA_H182[HR])</f>
        <v>55</v>
      </c>
      <c r="BL111" s="658">
        <f>SUBTOTAL(109,LAA_H182[RBI])</f>
        <v>185</v>
      </c>
      <c r="BM111" s="658">
        <f>SUBTOTAL(109,LAA_H182[BB])</f>
        <v>138</v>
      </c>
      <c r="BN111" s="660">
        <f>SUBTOTAL(109,LAA_H182[K])</f>
        <v>327</v>
      </c>
      <c r="BO111" s="658">
        <f>SUBTOTAL(109,LAA_H182[SB])</f>
        <v>22</v>
      </c>
      <c r="BP111" s="658"/>
      <c r="BQ111" s="660"/>
      <c r="BR111" s="658">
        <f>SUBTOTAL(109,LAA_H182[TB])</f>
        <v>579</v>
      </c>
      <c r="BS111" s="656">
        <f>BC111+BD111</f>
        <v>0.75200439888472514</v>
      </c>
      <c r="BT111" s="660">
        <f>SUBTOTAL(109,LAA_H182[*])</f>
        <v>22</v>
      </c>
      <c r="BU111" s="662"/>
    </row>
    <row r="112" spans="1:73" ht="17" thickBot="1"/>
    <row r="113" spans="1:73" s="108" customFormat="1" ht="15" thickBot="1">
      <c r="A113" s="605" t="s">
        <v>143</v>
      </c>
      <c r="B113" s="606" t="s">
        <v>144</v>
      </c>
      <c r="C113" s="606" t="s">
        <v>145</v>
      </c>
      <c r="D113" s="606" t="s">
        <v>196</v>
      </c>
      <c r="E113" s="606" t="s">
        <v>197</v>
      </c>
      <c r="F113" s="606" t="s">
        <v>198</v>
      </c>
      <c r="G113" s="606" t="s">
        <v>149</v>
      </c>
      <c r="H113" s="606" t="s">
        <v>199</v>
      </c>
      <c r="I113" s="606" t="s">
        <v>152</v>
      </c>
      <c r="J113" s="606" t="s">
        <v>151</v>
      </c>
      <c r="K113" s="606" t="s">
        <v>157</v>
      </c>
      <c r="L113" s="606" t="s">
        <v>158</v>
      </c>
      <c r="M113" s="606" t="s">
        <v>200</v>
      </c>
      <c r="N113" s="606" t="s">
        <v>201</v>
      </c>
      <c r="O113" s="606" t="s">
        <v>202</v>
      </c>
      <c r="P113" s="606" t="s">
        <v>203</v>
      </c>
      <c r="Q113" s="606" t="s">
        <v>204</v>
      </c>
      <c r="R113" s="606" t="s">
        <v>205</v>
      </c>
      <c r="S113" s="607" t="s">
        <v>164</v>
      </c>
      <c r="Z113" s="605" t="s">
        <v>143</v>
      </c>
      <c r="AA113" s="606" t="s">
        <v>144</v>
      </c>
      <c r="AB113" s="606" t="s">
        <v>145</v>
      </c>
      <c r="AC113" s="606" t="s">
        <v>196</v>
      </c>
      <c r="AD113" s="606" t="s">
        <v>197</v>
      </c>
      <c r="AE113" s="606" t="s">
        <v>198</v>
      </c>
      <c r="AF113" s="606" t="s">
        <v>149</v>
      </c>
      <c r="AG113" s="606" t="s">
        <v>199</v>
      </c>
      <c r="AH113" s="606" t="s">
        <v>152</v>
      </c>
      <c r="AI113" s="606" t="s">
        <v>151</v>
      </c>
      <c r="AJ113" s="606" t="s">
        <v>157</v>
      </c>
      <c r="AK113" s="606" t="s">
        <v>158</v>
      </c>
      <c r="AL113" s="606" t="s">
        <v>200</v>
      </c>
      <c r="AM113" s="606" t="s">
        <v>201</v>
      </c>
      <c r="AN113" s="606" t="s">
        <v>202</v>
      </c>
      <c r="AO113" s="606" t="s">
        <v>203</v>
      </c>
      <c r="AP113" s="606" t="s">
        <v>204</v>
      </c>
      <c r="AQ113" s="606" t="s">
        <v>205</v>
      </c>
      <c r="AR113" s="607" t="s">
        <v>164</v>
      </c>
      <c r="AY113" s="605" t="s">
        <v>143</v>
      </c>
      <c r="AZ113" s="606" t="s">
        <v>144</v>
      </c>
      <c r="BA113" s="606" t="s">
        <v>145</v>
      </c>
      <c r="BB113" s="606" t="s">
        <v>196</v>
      </c>
      <c r="BC113" s="606" t="s">
        <v>197</v>
      </c>
      <c r="BD113" s="606" t="s">
        <v>198</v>
      </c>
      <c r="BE113" s="606" t="s">
        <v>149</v>
      </c>
      <c r="BF113" s="606" t="s">
        <v>199</v>
      </c>
      <c r="BG113" s="606" t="s">
        <v>152</v>
      </c>
      <c r="BH113" s="606" t="s">
        <v>151</v>
      </c>
      <c r="BI113" s="606" t="s">
        <v>157</v>
      </c>
      <c r="BJ113" s="606" t="s">
        <v>158</v>
      </c>
      <c r="BK113" s="606" t="s">
        <v>200</v>
      </c>
      <c r="BL113" s="606" t="s">
        <v>201</v>
      </c>
      <c r="BM113" s="606" t="s">
        <v>202</v>
      </c>
      <c r="BN113" s="606" t="s">
        <v>203</v>
      </c>
      <c r="BO113" s="606" t="s">
        <v>204</v>
      </c>
      <c r="BP113" s="606" t="s">
        <v>205</v>
      </c>
      <c r="BQ113" s="607" t="s">
        <v>164</v>
      </c>
    </row>
    <row r="114" spans="1:73">
      <c r="A114" s="650" t="s">
        <v>685</v>
      </c>
      <c r="B114" s="604" t="s">
        <v>206</v>
      </c>
      <c r="C114" s="597" t="s">
        <v>687</v>
      </c>
      <c r="D114" s="663">
        <f>IFERROR((LAA_P[[#This Row],[R]]*9)/LAA_P[[#This Row],[IP]],0)</f>
        <v>3.4440532680238789</v>
      </c>
      <c r="E114" s="600">
        <v>4</v>
      </c>
      <c r="F114" s="604">
        <v>6</v>
      </c>
      <c r="G114" s="600">
        <v>10</v>
      </c>
      <c r="H114" s="630">
        <v>65.33</v>
      </c>
      <c r="I114" s="600">
        <v>60</v>
      </c>
      <c r="J114" s="600">
        <v>25</v>
      </c>
      <c r="K114" s="600">
        <v>24</v>
      </c>
      <c r="L114" s="600">
        <v>77</v>
      </c>
      <c r="M114" s="600">
        <v>0</v>
      </c>
      <c r="N114" s="744">
        <f>IFERROR((LAA_P[[#This Row],[BB]]+LAA_P[[#This Row],[H]])/LAA_P[[#This Row],[IP]],0)</f>
        <v>1.2857798867289147</v>
      </c>
      <c r="O114" s="673">
        <v>6</v>
      </c>
      <c r="P114" s="601">
        <v>4</v>
      </c>
      <c r="Q114" s="600">
        <v>1</v>
      </c>
      <c r="R114" s="604">
        <v>1</v>
      </c>
      <c r="S114" s="614">
        <v>1</v>
      </c>
      <c r="Z114" s="650" t="s">
        <v>685</v>
      </c>
      <c r="AA114" s="604" t="s">
        <v>206</v>
      </c>
      <c r="AB114" s="597" t="s">
        <v>687</v>
      </c>
      <c r="AC114" s="663">
        <f>IFERROR((LAA_P197[[#This Row],[R]]*9)/LAA_P197[[#This Row],[IP]],0)</f>
        <v>2.2880386424304056</v>
      </c>
      <c r="AD114" s="600">
        <v>5</v>
      </c>
      <c r="AE114" s="604">
        <v>3</v>
      </c>
      <c r="AF114" s="600">
        <v>10</v>
      </c>
      <c r="AG114" s="816">
        <v>78.67</v>
      </c>
      <c r="AH114" s="600">
        <v>63</v>
      </c>
      <c r="AI114" s="600">
        <v>20</v>
      </c>
      <c r="AJ114" s="600">
        <v>17</v>
      </c>
      <c r="AK114" s="600">
        <v>101</v>
      </c>
      <c r="AL114" s="600">
        <v>0</v>
      </c>
      <c r="AM114" s="744">
        <f>IFERROR((LAA_P197[[#This Row],[BB]]+LAA_P197[[#This Row],[H]])/LAA_P197[[#This Row],[IP]],0)</f>
        <v>1.0169060633024025</v>
      </c>
      <c r="AN114" s="673">
        <v>9</v>
      </c>
      <c r="AO114" s="602">
        <v>8</v>
      </c>
      <c r="AP114" s="600">
        <v>2</v>
      </c>
      <c r="AQ114" s="604">
        <v>1</v>
      </c>
      <c r="AR114" s="614">
        <v>1</v>
      </c>
      <c r="AY114" s="650" t="s">
        <v>685</v>
      </c>
      <c r="AZ114" s="604" t="s">
        <v>206</v>
      </c>
      <c r="BA114" s="597" t="s">
        <v>687</v>
      </c>
      <c r="BB114" s="663">
        <f>IFERROR((LAA_P183[[#This Row],[R]]*9)/LAA_P183[[#This Row],[IP]],0)</f>
        <v>2.1176470588235294</v>
      </c>
      <c r="BC114" s="600">
        <v>6</v>
      </c>
      <c r="BD114" s="604">
        <v>4</v>
      </c>
      <c r="BE114" s="600">
        <v>10</v>
      </c>
      <c r="BF114" s="630">
        <v>68</v>
      </c>
      <c r="BG114" s="600">
        <v>48</v>
      </c>
      <c r="BH114" s="600">
        <v>16</v>
      </c>
      <c r="BI114" s="600">
        <v>25</v>
      </c>
      <c r="BJ114" s="600">
        <v>76</v>
      </c>
      <c r="BK114" s="600">
        <v>0</v>
      </c>
      <c r="BL114" s="744">
        <f>IFERROR((LAA_P183[[#This Row],[BB]]+LAA_P183[[#This Row],[H]])/LAA_P183[[#This Row],[IP]],0)</f>
        <v>1.0735294117647058</v>
      </c>
      <c r="BM114" s="673">
        <v>8</v>
      </c>
      <c r="BN114" s="601">
        <v>5</v>
      </c>
      <c r="BO114" s="600">
        <v>1</v>
      </c>
      <c r="BP114" s="604">
        <v>1</v>
      </c>
      <c r="BQ114" s="614">
        <v>1</v>
      </c>
    </row>
    <row r="115" spans="1:73">
      <c r="A115" s="651" t="s">
        <v>685</v>
      </c>
      <c r="B115" s="74" t="s">
        <v>206</v>
      </c>
      <c r="C115" s="87" t="s">
        <v>703</v>
      </c>
      <c r="D115" s="88">
        <f>IFERROR((LAA_P[[#This Row],[R]]*9)/LAA_P[[#This Row],[IP]],0)</f>
        <v>4.4262295081967213</v>
      </c>
      <c r="E115" s="28">
        <v>2</v>
      </c>
      <c r="F115" s="74">
        <v>4</v>
      </c>
      <c r="G115" s="28">
        <v>10</v>
      </c>
      <c r="H115" s="584">
        <v>61</v>
      </c>
      <c r="I115" s="28">
        <v>73</v>
      </c>
      <c r="J115" s="28">
        <v>30</v>
      </c>
      <c r="K115" s="28">
        <v>22</v>
      </c>
      <c r="L115" s="28">
        <v>56</v>
      </c>
      <c r="M115" s="28">
        <v>0</v>
      </c>
      <c r="N115" s="106">
        <f>IFERROR((LAA_P[[#This Row],[BB]]+LAA_P[[#This Row],[H]])/LAA_P[[#This Row],[IP]],0)</f>
        <v>1.5573770491803278</v>
      </c>
      <c r="O115" s="77">
        <v>5</v>
      </c>
      <c r="P115" s="90">
        <v>3</v>
      </c>
      <c r="Q115" s="28">
        <v>0</v>
      </c>
      <c r="R115" s="74">
        <v>0</v>
      </c>
      <c r="S115" s="615">
        <v>2</v>
      </c>
      <c r="Z115" s="651" t="s">
        <v>685</v>
      </c>
      <c r="AA115" s="74" t="s">
        <v>206</v>
      </c>
      <c r="AB115" s="87" t="s">
        <v>703</v>
      </c>
      <c r="AC115" s="88">
        <f>IFERROR((LAA_P197[[#This Row],[R]]*9)/LAA_P197[[#This Row],[IP]],0)</f>
        <v>6.2441402587661727</v>
      </c>
      <c r="AD115" s="28">
        <v>4</v>
      </c>
      <c r="AE115" s="74">
        <v>4</v>
      </c>
      <c r="AF115" s="28">
        <v>10</v>
      </c>
      <c r="AG115" s="584">
        <v>53.33</v>
      </c>
      <c r="AH115" s="28">
        <v>57</v>
      </c>
      <c r="AI115" s="28">
        <v>37</v>
      </c>
      <c r="AJ115" s="28">
        <v>25</v>
      </c>
      <c r="AK115" s="28">
        <v>49</v>
      </c>
      <c r="AL115" s="28">
        <v>0</v>
      </c>
      <c r="AM115" s="106">
        <f>IFERROR((LAA_P197[[#This Row],[BB]]+LAA_P197[[#This Row],[H]])/LAA_P197[[#This Row],[IP]],0)</f>
        <v>1.5375960997562348</v>
      </c>
      <c r="AN115" s="77">
        <v>2</v>
      </c>
      <c r="AO115" s="90">
        <v>1</v>
      </c>
      <c r="AP115" s="28">
        <v>1</v>
      </c>
      <c r="AQ115" s="74">
        <v>1</v>
      </c>
      <c r="AR115" s="615">
        <v>2</v>
      </c>
      <c r="AY115" s="651" t="s">
        <v>685</v>
      </c>
      <c r="AZ115" s="74" t="s">
        <v>206</v>
      </c>
      <c r="BA115" s="71" t="s">
        <v>704</v>
      </c>
      <c r="BB115" s="88">
        <f>IFERROR((LAA_P183[[#This Row],[R]]*9)/LAA_P183[[#This Row],[IP]],0)</f>
        <v>4.6784494281895146</v>
      </c>
      <c r="BC115" s="28">
        <v>4</v>
      </c>
      <c r="BD115" s="74">
        <v>2</v>
      </c>
      <c r="BE115" s="28">
        <v>10</v>
      </c>
      <c r="BF115" s="584">
        <v>67.33</v>
      </c>
      <c r="BG115" s="28">
        <v>63</v>
      </c>
      <c r="BH115" s="28">
        <v>35</v>
      </c>
      <c r="BI115" s="28">
        <v>20</v>
      </c>
      <c r="BJ115" s="28">
        <v>63</v>
      </c>
      <c r="BK115" s="28">
        <v>0</v>
      </c>
      <c r="BL115" s="106">
        <f>IFERROR((LAA_P183[[#This Row],[BB]]+LAA_P183[[#This Row],[H]])/LAA_P183[[#This Row],[IP]],0)</f>
        <v>1.2327342937769197</v>
      </c>
      <c r="BM115" s="77">
        <v>6</v>
      </c>
      <c r="BN115" s="90">
        <v>2</v>
      </c>
      <c r="BO115" s="28">
        <v>0</v>
      </c>
      <c r="BP115" s="74">
        <v>0</v>
      </c>
      <c r="BQ115" s="615">
        <v>2</v>
      </c>
    </row>
    <row r="116" spans="1:73">
      <c r="A116" s="651" t="s">
        <v>685</v>
      </c>
      <c r="B116" s="74" t="s">
        <v>206</v>
      </c>
      <c r="C116" s="87" t="s">
        <v>705</v>
      </c>
      <c r="D116" s="88">
        <f>IFERROR((LAA_P[[#This Row],[R]]*9)/LAA_P[[#This Row],[IP]],0)</f>
        <v>4.9229239184485332</v>
      </c>
      <c r="E116" s="28">
        <v>2</v>
      </c>
      <c r="F116" s="74">
        <v>2</v>
      </c>
      <c r="G116" s="28">
        <v>10</v>
      </c>
      <c r="H116" s="584">
        <v>60.33</v>
      </c>
      <c r="I116" s="28">
        <v>63</v>
      </c>
      <c r="J116" s="28">
        <v>33</v>
      </c>
      <c r="K116" s="28">
        <v>28</v>
      </c>
      <c r="L116" s="28">
        <v>48</v>
      </c>
      <c r="M116" s="28">
        <v>0</v>
      </c>
      <c r="N116" s="106">
        <f>IFERROR((LAA_P[[#This Row],[BB]]+LAA_P[[#This Row],[H]])/LAA_P[[#This Row],[IP]],0)</f>
        <v>1.5083706282115035</v>
      </c>
      <c r="O116" s="77">
        <v>4</v>
      </c>
      <c r="P116" s="90">
        <v>2</v>
      </c>
      <c r="Q116" s="28">
        <v>0</v>
      </c>
      <c r="R116" s="74">
        <v>0</v>
      </c>
      <c r="S116" s="615">
        <v>3</v>
      </c>
      <c r="Z116" s="651" t="s">
        <v>685</v>
      </c>
      <c r="AA116" s="74" t="s">
        <v>206</v>
      </c>
      <c r="AB116" s="87" t="s">
        <v>705</v>
      </c>
      <c r="AC116" s="88">
        <f>IFERROR((LAA_P197[[#This Row],[R]]*9)/LAA_P197[[#This Row],[IP]],0)</f>
        <v>3.6374941706824191</v>
      </c>
      <c r="AD116" s="28">
        <v>4</v>
      </c>
      <c r="AE116" s="74">
        <v>2</v>
      </c>
      <c r="AF116" s="28">
        <v>10</v>
      </c>
      <c r="AG116" s="584">
        <v>64.33</v>
      </c>
      <c r="AH116" s="28">
        <v>58</v>
      </c>
      <c r="AI116" s="28">
        <v>26</v>
      </c>
      <c r="AJ116" s="28">
        <v>26</v>
      </c>
      <c r="AK116" s="28">
        <v>43</v>
      </c>
      <c r="AL116" s="28">
        <v>0</v>
      </c>
      <c r="AM116" s="106">
        <f>IFERROR((LAA_P197[[#This Row],[BB]]+LAA_P197[[#This Row],[H]])/LAA_P197[[#This Row],[IP]],0)</f>
        <v>1.3057671381936888</v>
      </c>
      <c r="AN116" s="77">
        <v>7</v>
      </c>
      <c r="AO116" s="90">
        <v>4</v>
      </c>
      <c r="AP116" s="28">
        <v>1</v>
      </c>
      <c r="AQ116" s="74">
        <v>0</v>
      </c>
      <c r="AR116" s="615">
        <v>3</v>
      </c>
      <c r="AY116" s="651" t="s">
        <v>685</v>
      </c>
      <c r="AZ116" s="74" t="s">
        <v>206</v>
      </c>
      <c r="BA116" s="71" t="s">
        <v>703</v>
      </c>
      <c r="BB116" s="88">
        <f>IFERROR((LAA_P183[[#This Row],[R]]*9)/LAA_P183[[#This Row],[IP]],0)</f>
        <v>7.0975484313389341</v>
      </c>
      <c r="BC116" s="28">
        <v>1</v>
      </c>
      <c r="BD116" s="104">
        <v>7</v>
      </c>
      <c r="BE116" s="28">
        <v>10</v>
      </c>
      <c r="BF116" s="584">
        <v>58.33</v>
      </c>
      <c r="BG116" s="28">
        <v>66</v>
      </c>
      <c r="BH116" s="28">
        <v>46</v>
      </c>
      <c r="BI116" s="28">
        <v>9</v>
      </c>
      <c r="BJ116" s="28">
        <v>63</v>
      </c>
      <c r="BK116" s="28">
        <v>0</v>
      </c>
      <c r="BL116" s="106">
        <f>IFERROR((LAA_P183[[#This Row],[BB]]+LAA_P183[[#This Row],[H]])/LAA_P183[[#This Row],[IP]],0)</f>
        <v>1.2857877593005316</v>
      </c>
      <c r="BM116" s="77">
        <v>2</v>
      </c>
      <c r="BN116" s="90">
        <v>0</v>
      </c>
      <c r="BO116" s="28">
        <v>0</v>
      </c>
      <c r="BP116" s="74">
        <v>0</v>
      </c>
      <c r="BQ116" s="615">
        <v>3</v>
      </c>
    </row>
    <row r="117" spans="1:73">
      <c r="A117" s="651" t="s">
        <v>685</v>
      </c>
      <c r="B117" s="74" t="s">
        <v>206</v>
      </c>
      <c r="C117" s="87" t="s">
        <v>704</v>
      </c>
      <c r="D117" s="88">
        <f>IFERROR((LAA_P[[#This Row],[R]]*9)/LAA_P[[#This Row],[IP]],0)</f>
        <v>8.3667863934079865</v>
      </c>
      <c r="E117" s="28">
        <v>5</v>
      </c>
      <c r="F117" s="74">
        <v>5</v>
      </c>
      <c r="G117" s="28">
        <v>10</v>
      </c>
      <c r="H117" s="584">
        <v>47.33</v>
      </c>
      <c r="I117" s="28">
        <v>71</v>
      </c>
      <c r="J117" s="28">
        <v>44</v>
      </c>
      <c r="K117" s="28">
        <v>22</v>
      </c>
      <c r="L117" s="28">
        <v>55</v>
      </c>
      <c r="M117" s="28">
        <v>0</v>
      </c>
      <c r="N117" s="106">
        <f>IFERROR((LAA_P[[#This Row],[BB]]+LAA_P[[#This Row],[H]])/LAA_P[[#This Row],[IP]],0)</f>
        <v>1.9649271075427848</v>
      </c>
      <c r="O117" s="77">
        <v>3</v>
      </c>
      <c r="P117" s="90">
        <v>1</v>
      </c>
      <c r="Q117" s="28">
        <v>0</v>
      </c>
      <c r="R117" s="74">
        <v>0</v>
      </c>
      <c r="S117" s="615">
        <v>4</v>
      </c>
      <c r="Z117" s="651" t="s">
        <v>685</v>
      </c>
      <c r="AA117" s="74" t="s">
        <v>206</v>
      </c>
      <c r="AB117" s="87" t="s">
        <v>706</v>
      </c>
      <c r="AC117" s="88">
        <f>IFERROR((LAA_P197[[#This Row],[R]]*9)/LAA_P197[[#This Row],[IP]],0)</f>
        <v>6.5816613538346145</v>
      </c>
      <c r="AD117" s="28">
        <v>1</v>
      </c>
      <c r="AE117" s="74">
        <v>5</v>
      </c>
      <c r="AF117" s="28">
        <v>10</v>
      </c>
      <c r="AG117" s="584">
        <v>53.33</v>
      </c>
      <c r="AH117" s="28">
        <v>58</v>
      </c>
      <c r="AI117" s="28">
        <v>39</v>
      </c>
      <c r="AJ117" s="28">
        <v>28</v>
      </c>
      <c r="AK117" s="28">
        <v>43</v>
      </c>
      <c r="AL117" s="28">
        <v>0</v>
      </c>
      <c r="AM117" s="106">
        <f>IFERROR((LAA_P197[[#This Row],[BB]]+LAA_P197[[#This Row],[H]])/LAA_P197[[#This Row],[IP]],0)</f>
        <v>1.6126007875492219</v>
      </c>
      <c r="AN117" s="77">
        <v>4</v>
      </c>
      <c r="AO117" s="90">
        <v>0</v>
      </c>
      <c r="AP117" s="28">
        <v>0</v>
      </c>
      <c r="AQ117" s="74">
        <v>0</v>
      </c>
      <c r="AR117" s="615">
        <v>4</v>
      </c>
      <c r="AY117" s="651" t="s">
        <v>685</v>
      </c>
      <c r="AZ117" s="74" t="s">
        <v>206</v>
      </c>
      <c r="BA117" s="71" t="s">
        <v>705</v>
      </c>
      <c r="BB117" s="88">
        <f>IFERROR((LAA_P183[[#This Row],[R]]*9)/LAA_P183[[#This Row],[IP]],0)</f>
        <v>3.2295105497344623</v>
      </c>
      <c r="BC117" s="28">
        <v>7</v>
      </c>
      <c r="BD117" s="74">
        <v>1</v>
      </c>
      <c r="BE117" s="28">
        <v>10</v>
      </c>
      <c r="BF117" s="584">
        <v>69.67</v>
      </c>
      <c r="BG117" s="28">
        <v>68</v>
      </c>
      <c r="BH117" s="28">
        <v>25</v>
      </c>
      <c r="BI117" s="28">
        <v>21</v>
      </c>
      <c r="BJ117" s="28">
        <v>56</v>
      </c>
      <c r="BK117" s="28">
        <v>0</v>
      </c>
      <c r="BL117" s="106">
        <f>IFERROR((LAA_P183[[#This Row],[BB]]+LAA_P183[[#This Row],[H]])/LAA_P183[[#This Row],[IP]],0)</f>
        <v>1.2774508396727429</v>
      </c>
      <c r="BM117" s="77">
        <v>8</v>
      </c>
      <c r="BN117" s="90">
        <v>5</v>
      </c>
      <c r="BO117" s="28">
        <v>2</v>
      </c>
      <c r="BP117" s="104">
        <v>2</v>
      </c>
      <c r="BQ117" s="615">
        <v>4</v>
      </c>
    </row>
    <row r="118" spans="1:73">
      <c r="A118" s="651" t="s">
        <v>685</v>
      </c>
      <c r="B118" s="74" t="s">
        <v>212</v>
      </c>
      <c r="C118" s="87" t="s">
        <v>706</v>
      </c>
      <c r="D118" s="88">
        <f>IFERROR((LAA_P[[#This Row],[R]]*9)/LAA_P[[#This Row],[IP]],0)</f>
        <v>8.5274378207658916</v>
      </c>
      <c r="E118" s="28">
        <v>0</v>
      </c>
      <c r="F118" s="74">
        <v>0</v>
      </c>
      <c r="G118" s="28">
        <v>17</v>
      </c>
      <c r="H118" s="584">
        <v>25.33</v>
      </c>
      <c r="I118" s="28">
        <v>36</v>
      </c>
      <c r="J118" s="28">
        <v>24</v>
      </c>
      <c r="K118" s="28">
        <v>17</v>
      </c>
      <c r="L118" s="28">
        <v>24</v>
      </c>
      <c r="M118" s="28">
        <v>0</v>
      </c>
      <c r="N118" s="106">
        <f>IFERROR((LAA_P[[#This Row],[BB]]+LAA_P[[#This Row],[H]])/LAA_P[[#This Row],[IP]],0)</f>
        <v>2.0923805763916308</v>
      </c>
      <c r="O118" s="77">
        <v>0</v>
      </c>
      <c r="P118" s="90">
        <v>0</v>
      </c>
      <c r="Q118" s="28">
        <v>0</v>
      </c>
      <c r="R118" s="74">
        <v>0</v>
      </c>
      <c r="S118" s="615">
        <v>5</v>
      </c>
      <c r="Z118" s="651" t="s">
        <v>685</v>
      </c>
      <c r="AA118" s="74" t="s">
        <v>212</v>
      </c>
      <c r="AB118" s="87" t="s">
        <v>704</v>
      </c>
      <c r="AC118" s="88">
        <f>IFERROR((LAA_P197[[#This Row],[R]]*9)/LAA_P197[[#This Row],[IP]],0)</f>
        <v>7.4688796680497926</v>
      </c>
      <c r="AD118" s="28">
        <v>1</v>
      </c>
      <c r="AE118" s="74">
        <v>2</v>
      </c>
      <c r="AF118" s="28">
        <v>15</v>
      </c>
      <c r="AG118" s="584">
        <v>31.33</v>
      </c>
      <c r="AH118" s="28">
        <v>41</v>
      </c>
      <c r="AI118" s="28">
        <v>26</v>
      </c>
      <c r="AJ118" s="28">
        <v>10</v>
      </c>
      <c r="AK118" s="28">
        <v>37</v>
      </c>
      <c r="AL118" s="28">
        <v>0</v>
      </c>
      <c r="AM118" s="106">
        <f>IFERROR((LAA_P197[[#This Row],[BB]]+LAA_P197[[#This Row],[H]])/LAA_P197[[#This Row],[IP]],0)</f>
        <v>1.6278327481646984</v>
      </c>
      <c r="AN118" s="77">
        <v>0</v>
      </c>
      <c r="AO118" s="90">
        <v>0</v>
      </c>
      <c r="AP118" s="28">
        <v>0</v>
      </c>
      <c r="AQ118" s="74">
        <v>0</v>
      </c>
      <c r="AR118" s="615">
        <v>5</v>
      </c>
      <c r="AY118" s="651" t="s">
        <v>685</v>
      </c>
      <c r="AZ118" s="74" t="s">
        <v>215</v>
      </c>
      <c r="BA118" s="71" t="s">
        <v>706</v>
      </c>
      <c r="BB118" s="88">
        <f>IFERROR((LAA_P183[[#This Row],[R]]*9)/LAA_P183[[#This Row],[IP]],0)</f>
        <v>2.7790030877812084</v>
      </c>
      <c r="BC118" s="28">
        <v>1</v>
      </c>
      <c r="BD118" s="74">
        <v>1</v>
      </c>
      <c r="BE118" s="28">
        <v>12</v>
      </c>
      <c r="BF118" s="584">
        <v>22.67</v>
      </c>
      <c r="BG118" s="28">
        <v>18</v>
      </c>
      <c r="BH118" s="28">
        <v>7</v>
      </c>
      <c r="BI118" s="28">
        <v>5</v>
      </c>
      <c r="BJ118" s="28">
        <v>22</v>
      </c>
      <c r="BK118" s="28">
        <v>1</v>
      </c>
      <c r="BL118" s="106">
        <f>IFERROR((LAA_P183[[#This Row],[BB]]+LAA_P183[[#This Row],[H]])/LAA_P183[[#This Row],[IP]],0)</f>
        <v>1.0145566828407586</v>
      </c>
      <c r="BM118" s="77">
        <v>0</v>
      </c>
      <c r="BN118" s="90">
        <v>0</v>
      </c>
      <c r="BO118" s="28">
        <v>0</v>
      </c>
      <c r="BP118" s="74">
        <v>0</v>
      </c>
      <c r="BQ118" s="615">
        <v>5</v>
      </c>
    </row>
    <row r="119" spans="1:73">
      <c r="A119" s="651" t="s">
        <v>685</v>
      </c>
      <c r="B119" s="74" t="s">
        <v>215</v>
      </c>
      <c r="C119" s="87" t="s">
        <v>708</v>
      </c>
      <c r="D119" s="88">
        <f>IFERROR((LAA_P[[#This Row],[R]]*9)/LAA_P[[#This Row],[IP]],0)</f>
        <v>6.1349693251533743</v>
      </c>
      <c r="E119" s="28">
        <v>0</v>
      </c>
      <c r="F119" s="74">
        <v>1</v>
      </c>
      <c r="G119" s="28">
        <v>8</v>
      </c>
      <c r="H119" s="584">
        <v>14.67</v>
      </c>
      <c r="I119" s="28">
        <v>14</v>
      </c>
      <c r="J119" s="28">
        <v>10</v>
      </c>
      <c r="K119" s="28">
        <v>3</v>
      </c>
      <c r="L119" s="28">
        <v>18</v>
      </c>
      <c r="M119" s="28">
        <v>0</v>
      </c>
      <c r="N119" s="106">
        <f>IFERROR((LAA_P[[#This Row],[BB]]+LAA_P[[#This Row],[H]])/LAA_P[[#This Row],[IP]],0)</f>
        <v>1.1588275391956373</v>
      </c>
      <c r="O119" s="77">
        <v>0</v>
      </c>
      <c r="P119" s="90">
        <v>0</v>
      </c>
      <c r="Q119" s="28">
        <v>0</v>
      </c>
      <c r="R119" s="74">
        <v>0</v>
      </c>
      <c r="S119" s="615">
        <v>6</v>
      </c>
      <c r="Z119" s="651" t="s">
        <v>685</v>
      </c>
      <c r="AA119" s="74" t="s">
        <v>212</v>
      </c>
      <c r="AB119" s="87" t="s">
        <v>709</v>
      </c>
      <c r="AC119" s="88">
        <f>IFERROR((LAA_P197[[#This Row],[R]]*9)/LAA_P197[[#This Row],[IP]],0)</f>
        <v>6</v>
      </c>
      <c r="AD119" s="28">
        <v>0</v>
      </c>
      <c r="AE119" s="74">
        <v>0</v>
      </c>
      <c r="AF119" s="28">
        <v>3</v>
      </c>
      <c r="AG119" s="584">
        <v>3</v>
      </c>
      <c r="AH119" s="28">
        <v>4</v>
      </c>
      <c r="AI119" s="28">
        <v>2</v>
      </c>
      <c r="AJ119" s="28">
        <v>0</v>
      </c>
      <c r="AK119" s="28">
        <v>2</v>
      </c>
      <c r="AL119" s="28">
        <v>0</v>
      </c>
      <c r="AM119" s="106">
        <f>IFERROR((LAA_P197[[#This Row],[BB]]+LAA_P197[[#This Row],[H]])/LAA_P197[[#This Row],[IP]],0)</f>
        <v>1.3333333333333333</v>
      </c>
      <c r="AN119" s="77">
        <v>0</v>
      </c>
      <c r="AO119" s="90">
        <v>0</v>
      </c>
      <c r="AP119" s="28">
        <v>0</v>
      </c>
      <c r="AQ119" s="74">
        <v>0</v>
      </c>
      <c r="AR119" s="615">
        <v>6</v>
      </c>
      <c r="AY119" s="651" t="s">
        <v>685</v>
      </c>
      <c r="AZ119" s="74" t="s">
        <v>212</v>
      </c>
      <c r="BA119" s="71" t="s">
        <v>709</v>
      </c>
      <c r="BB119" s="88">
        <f>IFERROR((LAA_P183[[#This Row],[R]]*9)/LAA_P183[[#This Row],[IP]],0)</f>
        <v>0</v>
      </c>
      <c r="BC119" s="28">
        <v>0</v>
      </c>
      <c r="BD119" s="74">
        <v>0</v>
      </c>
      <c r="BE119" s="28">
        <v>0</v>
      </c>
      <c r="BF119" s="584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106">
        <f>IFERROR((LAA_P183[[#This Row],[BB]]+LAA_P183[[#This Row],[H]])/LAA_P183[[#This Row],[IP]],0)</f>
        <v>0</v>
      </c>
      <c r="BM119" s="77">
        <v>0</v>
      </c>
      <c r="BN119" s="90">
        <v>0</v>
      </c>
      <c r="BO119" s="28">
        <v>0</v>
      </c>
      <c r="BP119" s="74">
        <v>0</v>
      </c>
      <c r="BQ119" s="615">
        <v>6</v>
      </c>
    </row>
    <row r="120" spans="1:73">
      <c r="A120" s="651" t="s">
        <v>685</v>
      </c>
      <c r="B120" s="74" t="s">
        <v>212</v>
      </c>
      <c r="C120" s="87" t="s">
        <v>707</v>
      </c>
      <c r="D120" s="88">
        <f>IFERROR((LAA_P[[#This Row],[R]]*9)/LAA_P[[#This Row],[IP]],0)</f>
        <v>7.7899596076168498</v>
      </c>
      <c r="E120" s="28">
        <v>1</v>
      </c>
      <c r="F120" s="74">
        <v>1</v>
      </c>
      <c r="G120" s="28">
        <v>8</v>
      </c>
      <c r="H120" s="584">
        <v>17.329999999999998</v>
      </c>
      <c r="I120" s="28">
        <v>21</v>
      </c>
      <c r="J120" s="28">
        <v>15</v>
      </c>
      <c r="K120" s="28">
        <v>7</v>
      </c>
      <c r="L120" s="28">
        <v>11</v>
      </c>
      <c r="M120" s="28">
        <v>0</v>
      </c>
      <c r="N120" s="106">
        <f>IFERROR((LAA_P[[#This Row],[BB]]+LAA_P[[#This Row],[H]])/LAA_P[[#This Row],[IP]],0)</f>
        <v>1.6156953260242355</v>
      </c>
      <c r="O120" s="77">
        <v>0</v>
      </c>
      <c r="P120" s="90">
        <v>0</v>
      </c>
      <c r="Q120" s="28">
        <v>0</v>
      </c>
      <c r="R120" s="74">
        <v>0</v>
      </c>
      <c r="S120" s="615">
        <v>7</v>
      </c>
      <c r="Z120" s="651" t="s">
        <v>685</v>
      </c>
      <c r="AA120" s="74" t="s">
        <v>212</v>
      </c>
      <c r="AB120" s="87" t="s">
        <v>707</v>
      </c>
      <c r="AC120" s="88">
        <f>IFERROR((LAA_P197[[#This Row],[R]]*9)/LAA_P197[[#This Row],[IP]],0)</f>
        <v>10.392609699769054</v>
      </c>
      <c r="AD120" s="28">
        <v>1</v>
      </c>
      <c r="AE120" s="74">
        <v>1</v>
      </c>
      <c r="AF120" s="28">
        <v>4</v>
      </c>
      <c r="AG120" s="584">
        <v>4.33</v>
      </c>
      <c r="AH120" s="28">
        <v>6</v>
      </c>
      <c r="AI120" s="28">
        <v>5</v>
      </c>
      <c r="AJ120" s="28">
        <v>5</v>
      </c>
      <c r="AK120" s="28">
        <v>1</v>
      </c>
      <c r="AL120" s="28">
        <v>0</v>
      </c>
      <c r="AM120" s="106">
        <f>IFERROR((LAA_P197[[#This Row],[BB]]+LAA_P197[[#This Row],[H]])/LAA_P197[[#This Row],[IP]],0)</f>
        <v>2.5404157043879909</v>
      </c>
      <c r="AN120" s="77">
        <v>0</v>
      </c>
      <c r="AO120" s="90">
        <v>0</v>
      </c>
      <c r="AP120" s="28">
        <v>0</v>
      </c>
      <c r="AQ120" s="74">
        <v>0</v>
      </c>
      <c r="AR120" s="615">
        <v>7</v>
      </c>
      <c r="AY120" s="651" t="s">
        <v>685</v>
      </c>
      <c r="AZ120" s="74" t="s">
        <v>215</v>
      </c>
      <c r="BA120" s="71" t="s">
        <v>707</v>
      </c>
      <c r="BB120" s="88">
        <f>IFERROR((LAA_P183[[#This Row],[R]]*9)/LAA_P183[[#This Row],[IP]],0)</f>
        <v>4.3963712491277045</v>
      </c>
      <c r="BC120" s="28">
        <v>0</v>
      </c>
      <c r="BD120" s="74">
        <v>1</v>
      </c>
      <c r="BE120" s="28">
        <v>8</v>
      </c>
      <c r="BF120" s="584">
        <v>14.33</v>
      </c>
      <c r="BG120" s="28">
        <v>15</v>
      </c>
      <c r="BH120" s="28">
        <v>7</v>
      </c>
      <c r="BI120" s="28">
        <v>6</v>
      </c>
      <c r="BJ120" s="28">
        <v>17</v>
      </c>
      <c r="BK120" s="28">
        <v>0</v>
      </c>
      <c r="BL120" s="106">
        <f>IFERROR((LAA_P183[[#This Row],[BB]]+LAA_P183[[#This Row],[H]])/LAA_P183[[#This Row],[IP]],0)</f>
        <v>1.4654570830425679</v>
      </c>
      <c r="BM120" s="77">
        <v>0</v>
      </c>
      <c r="BN120" s="90">
        <v>0</v>
      </c>
      <c r="BO120" s="28">
        <v>0</v>
      </c>
      <c r="BP120" s="74">
        <v>0</v>
      </c>
      <c r="BQ120" s="615">
        <v>7</v>
      </c>
    </row>
    <row r="121" spans="1:73">
      <c r="A121" s="651" t="s">
        <v>685</v>
      </c>
      <c r="B121" s="74" t="s">
        <v>212</v>
      </c>
      <c r="C121" s="87" t="s">
        <v>710</v>
      </c>
      <c r="D121" s="88">
        <f>IFERROR((LAA_P[[#This Row],[R]]*9)/LAA_P[[#This Row],[IP]],0)</f>
        <v>6.8632435180477875</v>
      </c>
      <c r="E121" s="28">
        <v>0</v>
      </c>
      <c r="F121" s="74">
        <v>1</v>
      </c>
      <c r="G121" s="28">
        <v>13</v>
      </c>
      <c r="H121" s="584">
        <v>19.670000000000002</v>
      </c>
      <c r="I121" s="28">
        <v>26</v>
      </c>
      <c r="J121" s="28">
        <v>15</v>
      </c>
      <c r="K121" s="28">
        <v>13</v>
      </c>
      <c r="L121" s="28">
        <v>16</v>
      </c>
      <c r="M121" s="28">
        <v>0</v>
      </c>
      <c r="N121" s="106">
        <f>IFERROR((LAA_P[[#This Row],[BB]]+LAA_P[[#This Row],[H]])/LAA_P[[#This Row],[IP]],0)</f>
        <v>1.9827147941026944</v>
      </c>
      <c r="O121" s="77">
        <v>0</v>
      </c>
      <c r="P121" s="90">
        <v>0</v>
      </c>
      <c r="Q121" s="28">
        <v>0</v>
      </c>
      <c r="R121" s="74">
        <v>0</v>
      </c>
      <c r="S121" s="615">
        <v>8</v>
      </c>
      <c r="Z121" s="651" t="s">
        <v>685</v>
      </c>
      <c r="AA121" s="74" t="s">
        <v>212</v>
      </c>
      <c r="AB121" s="87" t="s">
        <v>710</v>
      </c>
      <c r="AC121" s="88">
        <f>IFERROR((LAA_P197[[#This Row],[R]]*9)/LAA_P197[[#This Row],[IP]],0)</f>
        <v>3.0763387770603874</v>
      </c>
      <c r="AD121" s="28">
        <v>0</v>
      </c>
      <c r="AE121" s="74">
        <v>1</v>
      </c>
      <c r="AF121" s="28">
        <v>12</v>
      </c>
      <c r="AG121" s="584">
        <v>26.33</v>
      </c>
      <c r="AH121" s="28">
        <v>22</v>
      </c>
      <c r="AI121" s="28">
        <v>9</v>
      </c>
      <c r="AJ121" s="28">
        <v>15</v>
      </c>
      <c r="AK121" s="28">
        <v>29</v>
      </c>
      <c r="AL121" s="28">
        <v>0</v>
      </c>
      <c r="AM121" s="106">
        <f>IFERROR((LAA_P197[[#This Row],[BB]]+LAA_P197[[#This Row],[H]])/LAA_P197[[#This Row],[IP]],0)</f>
        <v>1.4052411697683251</v>
      </c>
      <c r="AN121" s="77">
        <v>0</v>
      </c>
      <c r="AO121" s="90">
        <v>0</v>
      </c>
      <c r="AP121" s="28">
        <v>0</v>
      </c>
      <c r="AQ121" s="74">
        <v>0</v>
      </c>
      <c r="AR121" s="615">
        <v>8</v>
      </c>
      <c r="AY121" s="651" t="s">
        <v>685</v>
      </c>
      <c r="AZ121" s="74" t="s">
        <v>212</v>
      </c>
      <c r="BA121" s="71" t="s">
        <v>710</v>
      </c>
      <c r="BB121" s="88">
        <f>IFERROR((LAA_P183[[#This Row],[R]]*9)/LAA_P183[[#This Row],[IP]],0)</f>
        <v>7.615384615384615</v>
      </c>
      <c r="BC121" s="28">
        <v>0</v>
      </c>
      <c r="BD121" s="74">
        <v>0</v>
      </c>
      <c r="BE121" s="28">
        <v>10</v>
      </c>
      <c r="BF121" s="584">
        <v>13</v>
      </c>
      <c r="BG121" s="28">
        <v>14</v>
      </c>
      <c r="BH121" s="28">
        <v>11</v>
      </c>
      <c r="BI121" s="28">
        <v>8</v>
      </c>
      <c r="BJ121" s="28">
        <v>15</v>
      </c>
      <c r="BK121" s="28">
        <v>0</v>
      </c>
      <c r="BL121" s="106">
        <f>IFERROR((LAA_P183[[#This Row],[BB]]+LAA_P183[[#This Row],[H]])/LAA_P183[[#This Row],[IP]],0)</f>
        <v>1.6923076923076923</v>
      </c>
      <c r="BM121" s="77">
        <v>0</v>
      </c>
      <c r="BN121" s="90">
        <v>0</v>
      </c>
      <c r="BO121" s="28">
        <v>0</v>
      </c>
      <c r="BP121" s="74">
        <v>0</v>
      </c>
      <c r="BQ121" s="615">
        <v>8</v>
      </c>
    </row>
    <row r="122" spans="1:73">
      <c r="A122" s="651" t="s">
        <v>685</v>
      </c>
      <c r="B122" s="74" t="s">
        <v>215</v>
      </c>
      <c r="C122" s="87" t="s">
        <v>711</v>
      </c>
      <c r="D122" s="88">
        <f>IFERROR((LAA_P[[#This Row],[R]]*9)/LAA_P[[#This Row],[IP]],0)</f>
        <v>6.6315789473684212</v>
      </c>
      <c r="E122" s="28">
        <v>1</v>
      </c>
      <c r="F122" s="74">
        <v>1</v>
      </c>
      <c r="G122" s="28">
        <v>16</v>
      </c>
      <c r="H122" s="584">
        <v>19</v>
      </c>
      <c r="I122" s="28">
        <v>21</v>
      </c>
      <c r="J122" s="28">
        <v>14</v>
      </c>
      <c r="K122" s="28">
        <v>12</v>
      </c>
      <c r="L122" s="28">
        <v>13</v>
      </c>
      <c r="M122" s="28">
        <v>0</v>
      </c>
      <c r="N122" s="106">
        <f>IFERROR((LAA_P[[#This Row],[BB]]+LAA_P[[#This Row],[H]])/LAA_P[[#This Row],[IP]],0)</f>
        <v>1.736842105263158</v>
      </c>
      <c r="O122" s="77">
        <v>0</v>
      </c>
      <c r="P122" s="90">
        <v>0</v>
      </c>
      <c r="Q122" s="28">
        <v>0</v>
      </c>
      <c r="R122" s="74">
        <v>0</v>
      </c>
      <c r="S122" s="615">
        <v>9</v>
      </c>
      <c r="Z122" s="651" t="s">
        <v>685</v>
      </c>
      <c r="AA122" s="74" t="s">
        <v>212</v>
      </c>
      <c r="AB122" s="87" t="s">
        <v>712</v>
      </c>
      <c r="AC122" s="88">
        <f>IFERROR((LAA_P197[[#This Row],[R]]*9)/LAA_P197[[#This Row],[IP]],0)</f>
        <v>3.239352129574085</v>
      </c>
      <c r="AD122" s="28">
        <v>1</v>
      </c>
      <c r="AE122" s="74">
        <v>1</v>
      </c>
      <c r="AF122" s="28">
        <v>13</v>
      </c>
      <c r="AG122" s="584">
        <v>16.670000000000002</v>
      </c>
      <c r="AH122" s="28">
        <v>15</v>
      </c>
      <c r="AI122" s="28">
        <v>6</v>
      </c>
      <c r="AJ122" s="28">
        <v>3</v>
      </c>
      <c r="AK122" s="28">
        <v>10</v>
      </c>
      <c r="AL122" s="28">
        <v>0</v>
      </c>
      <c r="AM122" s="106">
        <f>IFERROR((LAA_P197[[#This Row],[BB]]+LAA_P197[[#This Row],[H]])/LAA_P197[[#This Row],[IP]],0)</f>
        <v>1.0797840431913617</v>
      </c>
      <c r="AN122" s="77">
        <v>0</v>
      </c>
      <c r="AO122" s="90">
        <v>0</v>
      </c>
      <c r="AP122" s="28">
        <v>0</v>
      </c>
      <c r="AQ122" s="74">
        <v>0</v>
      </c>
      <c r="AR122" s="615">
        <v>9</v>
      </c>
      <c r="AY122" s="651" t="s">
        <v>685</v>
      </c>
      <c r="AZ122" s="74" t="s">
        <v>212</v>
      </c>
      <c r="BA122" s="71" t="s">
        <v>712</v>
      </c>
      <c r="BB122" s="88">
        <f>IFERROR((LAA_P183[[#This Row],[R]]*9)/LAA_P183[[#This Row],[IP]],0)</f>
        <v>3.8576939562794688</v>
      </c>
      <c r="BC122" s="28">
        <v>3</v>
      </c>
      <c r="BD122" s="74">
        <v>2</v>
      </c>
      <c r="BE122" s="28">
        <v>21</v>
      </c>
      <c r="BF122" s="584">
        <v>23.33</v>
      </c>
      <c r="BG122" s="28">
        <v>28</v>
      </c>
      <c r="BH122" s="28">
        <v>10</v>
      </c>
      <c r="BI122" s="28">
        <v>2</v>
      </c>
      <c r="BJ122" s="28">
        <v>18</v>
      </c>
      <c r="BK122" s="28">
        <v>0</v>
      </c>
      <c r="BL122" s="106">
        <f>IFERROR((LAA_P183[[#This Row],[BB]]+LAA_P183[[#This Row],[H]])/LAA_P183[[#This Row],[IP]],0)</f>
        <v>1.2858979854264896</v>
      </c>
      <c r="BM122" s="77">
        <v>0</v>
      </c>
      <c r="BN122" s="90">
        <v>0</v>
      </c>
      <c r="BO122" s="28">
        <v>0</v>
      </c>
      <c r="BP122" s="74">
        <v>0</v>
      </c>
      <c r="BQ122" s="615">
        <v>9</v>
      </c>
    </row>
    <row r="123" spans="1:73" ht="17" thickBot="1">
      <c r="A123" s="651" t="s">
        <v>685</v>
      </c>
      <c r="B123" s="74" t="s">
        <v>212</v>
      </c>
      <c r="C123" s="87" t="s">
        <v>713</v>
      </c>
      <c r="D123" s="88">
        <f>IFERROR((LAA_P[[#This Row],[R]]*9)/LAA_P[[#This Row],[IP]],0)</f>
        <v>7.1781238131409042</v>
      </c>
      <c r="E123" s="28">
        <v>1</v>
      </c>
      <c r="F123" s="74">
        <v>3</v>
      </c>
      <c r="G123" s="28">
        <v>22</v>
      </c>
      <c r="H123" s="584">
        <v>26.33</v>
      </c>
      <c r="I123" s="28">
        <v>30</v>
      </c>
      <c r="J123" s="28">
        <v>21</v>
      </c>
      <c r="K123" s="28">
        <v>9</v>
      </c>
      <c r="L123" s="28">
        <v>20</v>
      </c>
      <c r="M123" s="28">
        <v>6</v>
      </c>
      <c r="N123" s="106">
        <f>IFERROR((LAA_P[[#This Row],[BB]]+LAA_P[[#This Row],[H]])/LAA_P[[#This Row],[IP]],0)</f>
        <v>1.4812001519179645</v>
      </c>
      <c r="O123" s="77">
        <v>0</v>
      </c>
      <c r="P123" s="90">
        <v>0</v>
      </c>
      <c r="Q123" s="28">
        <v>0</v>
      </c>
      <c r="R123" s="74">
        <v>0</v>
      </c>
      <c r="S123" s="615">
        <v>10</v>
      </c>
      <c r="Z123" s="651" t="s">
        <v>685</v>
      </c>
      <c r="AA123" s="74" t="s">
        <v>212</v>
      </c>
      <c r="AB123" s="87" t="s">
        <v>713</v>
      </c>
      <c r="AC123" s="88">
        <f>IFERROR((LAA_P197[[#This Row],[R]]*9)/LAA_P197[[#This Row],[IP]],0)</f>
        <v>5.0618672665916753</v>
      </c>
      <c r="AD123" s="28">
        <v>2</v>
      </c>
      <c r="AE123" s="74">
        <v>2</v>
      </c>
      <c r="AF123" s="28">
        <v>20</v>
      </c>
      <c r="AG123" s="584">
        <v>26.67</v>
      </c>
      <c r="AH123" s="28">
        <v>33</v>
      </c>
      <c r="AI123" s="28">
        <v>15</v>
      </c>
      <c r="AJ123" s="28">
        <v>7</v>
      </c>
      <c r="AK123" s="28">
        <v>23</v>
      </c>
      <c r="AL123" s="28">
        <v>6</v>
      </c>
      <c r="AM123" s="106">
        <f>IFERROR((LAA_P197[[#This Row],[BB]]+LAA_P197[[#This Row],[H]])/LAA_P197[[#This Row],[IP]],0)</f>
        <v>1.4998125234345705</v>
      </c>
      <c r="AN123" s="77">
        <v>0</v>
      </c>
      <c r="AO123" s="90">
        <v>0</v>
      </c>
      <c r="AP123" s="28">
        <v>0</v>
      </c>
      <c r="AQ123" s="74">
        <v>0</v>
      </c>
      <c r="AR123" s="615">
        <v>10</v>
      </c>
      <c r="AY123" s="651" t="s">
        <v>685</v>
      </c>
      <c r="AZ123" s="74" t="s">
        <v>212</v>
      </c>
      <c r="BA123" s="71" t="s">
        <v>713</v>
      </c>
      <c r="BB123" s="88">
        <f>IFERROR((LAA_P183[[#This Row],[R]]*9)/LAA_P183[[#This Row],[IP]],0)</f>
        <v>2.4549918166939446</v>
      </c>
      <c r="BC123" s="28">
        <v>0</v>
      </c>
      <c r="BD123" s="74">
        <v>0</v>
      </c>
      <c r="BE123" s="28">
        <v>19</v>
      </c>
      <c r="BF123" s="584">
        <v>18.329999999999998</v>
      </c>
      <c r="BG123" s="28">
        <v>20</v>
      </c>
      <c r="BH123" s="28">
        <v>5</v>
      </c>
      <c r="BI123" s="28">
        <v>6</v>
      </c>
      <c r="BJ123" s="28">
        <v>20</v>
      </c>
      <c r="BK123" s="28">
        <v>7</v>
      </c>
      <c r="BL123" s="106">
        <f>IFERROR((LAA_P183[[#This Row],[BB]]+LAA_P183[[#This Row],[H]])/LAA_P183[[#This Row],[IP]],0)</f>
        <v>1.4184397163120568</v>
      </c>
      <c r="BM123" s="77">
        <v>0</v>
      </c>
      <c r="BN123" s="90">
        <v>0</v>
      </c>
      <c r="BO123" s="28">
        <v>0</v>
      </c>
      <c r="BP123" s="74">
        <v>0</v>
      </c>
      <c r="BQ123" s="615">
        <v>10</v>
      </c>
    </row>
    <row r="124" spans="1:73" ht="17" thickBot="1">
      <c r="A124" s="809"/>
      <c r="B124" s="810"/>
      <c r="C124" s="654" t="s">
        <v>195</v>
      </c>
      <c r="D124" s="665">
        <f>(J124*9)/H124</f>
        <v>5.8346430175123487</v>
      </c>
      <c r="E124" s="658">
        <f>SUBTOTAL(109,LAA_P[W])</f>
        <v>16</v>
      </c>
      <c r="F124" s="660">
        <f>SUBTOTAL(109,LAA_P[L])</f>
        <v>24</v>
      </c>
      <c r="G124" s="658"/>
      <c r="H124" s="666">
        <f>SUBTOTAL(109,LAA_P[IP])</f>
        <v>356.32</v>
      </c>
      <c r="I124" s="658">
        <f>SUBTOTAL(109,LAA_P[H])</f>
        <v>415</v>
      </c>
      <c r="J124" s="658">
        <f>SUBTOTAL(109,LAA_P[R])</f>
        <v>231</v>
      </c>
      <c r="K124" s="658">
        <f>SUBTOTAL(109,LAA_P[BB])</f>
        <v>157</v>
      </c>
      <c r="L124" s="658">
        <f>SUBTOTAL(109,LAA_P[K])</f>
        <v>338</v>
      </c>
      <c r="M124" s="658">
        <f>SUBTOTAL(109,LAA_P[SV])</f>
        <v>6</v>
      </c>
      <c r="N124" s="667">
        <f>(K124+I124)/H124</f>
        <v>1.6052986079928155</v>
      </c>
      <c r="O124" s="661">
        <f>SUBTOTAL(109,LAA_P[QS])</f>
        <v>18</v>
      </c>
      <c r="P124" s="750">
        <f>SUBTOTAL(109,LAA_P[UQ])</f>
        <v>10</v>
      </c>
      <c r="Q124" s="658">
        <f>SUBTOTAL(109,LAA_P[CG])</f>
        <v>1</v>
      </c>
      <c r="R124" s="660">
        <f>SUBTOTAL(109,LAA_P[SH])</f>
        <v>1</v>
      </c>
      <c r="S124" s="811"/>
      <c r="Z124" s="809"/>
      <c r="AA124" s="810"/>
      <c r="AB124" s="654" t="s">
        <v>195</v>
      </c>
      <c r="AC124" s="665">
        <f>(AI124*9)/AG124</f>
        <v>4.6509679041314014</v>
      </c>
      <c r="AD124" s="658">
        <f>SUBTOTAL(109,LAA_P197[W])</f>
        <v>19</v>
      </c>
      <c r="AE124" s="660">
        <f>SUBTOTAL(109,LAA_P197[L])</f>
        <v>21</v>
      </c>
      <c r="AF124" s="658"/>
      <c r="AG124" s="666">
        <f>SUBTOTAL(109,LAA_P197[IP])</f>
        <v>357.98999999999995</v>
      </c>
      <c r="AH124" s="658">
        <f>SUBTOTAL(109,LAA_P197[H])</f>
        <v>357</v>
      </c>
      <c r="AI124" s="658">
        <f>SUBTOTAL(109,LAA_P197[R])</f>
        <v>185</v>
      </c>
      <c r="AJ124" s="658">
        <f>SUBTOTAL(109,LAA_P197[BB])</f>
        <v>136</v>
      </c>
      <c r="AK124" s="658">
        <f>SUBTOTAL(109,LAA_P197[K])</f>
        <v>338</v>
      </c>
      <c r="AL124" s="658">
        <f>SUBTOTAL(109,LAA_P197[SV])</f>
        <v>6</v>
      </c>
      <c r="AM124" s="667">
        <f>(AJ124+AH124)/AG124</f>
        <v>1.37713343948155</v>
      </c>
      <c r="AN124" s="661">
        <f>SUBTOTAL(109,LAA_P197[QS])</f>
        <v>22</v>
      </c>
      <c r="AO124" s="750">
        <f>SUBTOTAL(109,LAA_P197[UQ])</f>
        <v>13</v>
      </c>
      <c r="AP124" s="658">
        <f>SUBTOTAL(109,LAA_P197[CG])</f>
        <v>4</v>
      </c>
      <c r="AQ124" s="660">
        <f>SUBTOTAL(109,LAA_P197[SH])</f>
        <v>2</v>
      </c>
      <c r="AR124" s="811"/>
      <c r="AY124" s="809"/>
      <c r="AZ124" s="810"/>
      <c r="BA124" s="654" t="s">
        <v>195</v>
      </c>
      <c r="BB124" s="665">
        <f>(BH124*9)/BF124</f>
        <v>4.1071579481112153</v>
      </c>
      <c r="BC124" s="658">
        <f>SUBTOTAL(109,LAA_P183[W])</f>
        <v>22</v>
      </c>
      <c r="BD124" s="660">
        <f>SUBTOTAL(109,LAA_P183[L])</f>
        <v>18</v>
      </c>
      <c r="BE124" s="658"/>
      <c r="BF124" s="666">
        <f>SUBTOTAL(109,LAA_P183[IP])</f>
        <v>354.98999999999995</v>
      </c>
      <c r="BG124" s="658">
        <f>SUBTOTAL(109,LAA_P183[H])</f>
        <v>340</v>
      </c>
      <c r="BH124" s="658">
        <f>SUBTOTAL(109,LAA_P183[R])</f>
        <v>162</v>
      </c>
      <c r="BI124" s="659">
        <f>SUBTOTAL(109,LAA_P183[BB])</f>
        <v>102</v>
      </c>
      <c r="BJ124" s="658">
        <f>SUBTOTAL(109,LAA_P183[K])</f>
        <v>350</v>
      </c>
      <c r="BK124" s="658">
        <f>SUBTOTAL(109,LAA_P183[SV])</f>
        <v>8</v>
      </c>
      <c r="BL124" s="667">
        <f>(BI124+BG124)/BF124</f>
        <v>1.245105495929463</v>
      </c>
      <c r="BM124" s="661">
        <f>SUBTOTAL(109,LAA_P183[QS])</f>
        <v>24</v>
      </c>
      <c r="BN124" s="750">
        <f>SUBTOTAL(109,LAA_P183[UQ])</f>
        <v>12</v>
      </c>
      <c r="BO124" s="658">
        <f>SUM(BO114:BO123)</f>
        <v>3</v>
      </c>
      <c r="BP124" s="660">
        <f>SUM(BP114:BP123)</f>
        <v>3</v>
      </c>
      <c r="BQ124" s="811"/>
    </row>
    <row r="125" spans="1:73" ht="17" thickBot="1"/>
    <row r="126" spans="1:73" ht="24" thickBot="1">
      <c r="A126" s="1015" t="s">
        <v>714</v>
      </c>
      <c r="B126" s="1016"/>
      <c r="C126" s="1016"/>
      <c r="D126" s="1016"/>
      <c r="E126" s="1016"/>
      <c r="F126" s="1016"/>
      <c r="G126" s="1016"/>
      <c r="H126" s="1016"/>
      <c r="I126" s="1016"/>
      <c r="J126" s="1016"/>
      <c r="K126" s="1016"/>
      <c r="L126" s="1016"/>
      <c r="M126" s="1016"/>
      <c r="N126" s="1016"/>
      <c r="O126" s="1016"/>
      <c r="P126" s="1016"/>
      <c r="Q126" s="1016"/>
      <c r="R126" s="1016"/>
      <c r="S126" s="1016"/>
      <c r="T126" s="1016"/>
      <c r="U126" s="1016"/>
      <c r="V126" s="1016"/>
      <c r="W126" s="1017"/>
      <c r="Z126" s="1015" t="s">
        <v>715</v>
      </c>
      <c r="AA126" s="1016"/>
      <c r="AB126" s="1016"/>
      <c r="AC126" s="1016"/>
      <c r="AD126" s="1016"/>
      <c r="AE126" s="1016"/>
      <c r="AF126" s="1016"/>
      <c r="AG126" s="1016"/>
      <c r="AH126" s="1016"/>
      <c r="AI126" s="1016"/>
      <c r="AJ126" s="1016"/>
      <c r="AK126" s="1016"/>
      <c r="AL126" s="1016"/>
      <c r="AM126" s="1016"/>
      <c r="AN126" s="1016"/>
      <c r="AO126" s="1016"/>
      <c r="AP126" s="1016"/>
      <c r="AQ126" s="1016"/>
      <c r="AR126" s="1016"/>
      <c r="AS126" s="1016"/>
      <c r="AT126" s="1016"/>
      <c r="AU126" s="1016"/>
      <c r="AV126" s="1017"/>
      <c r="AY126" s="1015" t="s">
        <v>716</v>
      </c>
      <c r="AZ126" s="1016"/>
      <c r="BA126" s="1016"/>
      <c r="BB126" s="1016"/>
      <c r="BC126" s="1016"/>
      <c r="BD126" s="1016"/>
      <c r="BE126" s="1016"/>
      <c r="BF126" s="1016"/>
      <c r="BG126" s="1016"/>
      <c r="BH126" s="1016"/>
      <c r="BI126" s="1016"/>
      <c r="BJ126" s="1016"/>
      <c r="BK126" s="1016"/>
      <c r="BL126" s="1016"/>
      <c r="BM126" s="1016"/>
      <c r="BN126" s="1016"/>
      <c r="BO126" s="1016"/>
      <c r="BP126" s="1016"/>
      <c r="BQ126" s="1016"/>
      <c r="BR126" s="1016"/>
      <c r="BS126" s="1016"/>
      <c r="BT126" s="1016"/>
      <c r="BU126" s="1017"/>
    </row>
    <row r="127" spans="1:73" s="108" customFormat="1" ht="15" thickBot="1">
      <c r="A127" s="605" t="s">
        <v>143</v>
      </c>
      <c r="B127" s="606" t="s">
        <v>144</v>
      </c>
      <c r="C127" s="606" t="s">
        <v>145</v>
      </c>
      <c r="D127" s="606" t="s">
        <v>146</v>
      </c>
      <c r="E127" s="606" t="s">
        <v>147</v>
      </c>
      <c r="F127" s="606" t="s">
        <v>148</v>
      </c>
      <c r="G127" s="606" t="s">
        <v>149</v>
      </c>
      <c r="H127" s="606" t="s">
        <v>150</v>
      </c>
      <c r="I127" s="606" t="s">
        <v>151</v>
      </c>
      <c r="J127" s="606" t="s">
        <v>152</v>
      </c>
      <c r="K127" s="606" t="s">
        <v>153</v>
      </c>
      <c r="L127" s="606" t="s">
        <v>154</v>
      </c>
      <c r="M127" s="606" t="s">
        <v>155</v>
      </c>
      <c r="N127" s="606" t="s">
        <v>156</v>
      </c>
      <c r="O127" s="606" t="s">
        <v>157</v>
      </c>
      <c r="P127" s="606" t="s">
        <v>158</v>
      </c>
      <c r="Q127" s="606" t="s">
        <v>159</v>
      </c>
      <c r="R127" s="606" t="s">
        <v>160</v>
      </c>
      <c r="S127" s="606" t="s">
        <v>16</v>
      </c>
      <c r="T127" s="606" t="s">
        <v>161</v>
      </c>
      <c r="U127" s="606" t="s">
        <v>162</v>
      </c>
      <c r="V127" s="606" t="s">
        <v>163</v>
      </c>
      <c r="W127" s="607" t="s">
        <v>164</v>
      </c>
      <c r="Z127" s="605" t="s">
        <v>143</v>
      </c>
      <c r="AA127" s="606" t="s">
        <v>144</v>
      </c>
      <c r="AB127" s="606" t="s">
        <v>145</v>
      </c>
      <c r="AC127" s="606" t="s">
        <v>146</v>
      </c>
      <c r="AD127" s="606" t="s">
        <v>147</v>
      </c>
      <c r="AE127" s="606" t="s">
        <v>148</v>
      </c>
      <c r="AF127" s="606" t="s">
        <v>149</v>
      </c>
      <c r="AG127" s="606" t="s">
        <v>150</v>
      </c>
      <c r="AH127" s="606" t="s">
        <v>151</v>
      </c>
      <c r="AI127" s="606" t="s">
        <v>152</v>
      </c>
      <c r="AJ127" s="606" t="s">
        <v>153</v>
      </c>
      <c r="AK127" s="606" t="s">
        <v>154</v>
      </c>
      <c r="AL127" s="606" t="s">
        <v>155</v>
      </c>
      <c r="AM127" s="606" t="s">
        <v>156</v>
      </c>
      <c r="AN127" s="606" t="s">
        <v>157</v>
      </c>
      <c r="AO127" s="606" t="s">
        <v>158</v>
      </c>
      <c r="AP127" s="606" t="s">
        <v>159</v>
      </c>
      <c r="AQ127" s="606" t="s">
        <v>160</v>
      </c>
      <c r="AR127" s="606" t="s">
        <v>16</v>
      </c>
      <c r="AS127" s="606" t="s">
        <v>161</v>
      </c>
      <c r="AT127" s="606" t="s">
        <v>162</v>
      </c>
      <c r="AU127" s="606" t="s">
        <v>163</v>
      </c>
      <c r="AV127" s="607" t="s">
        <v>164</v>
      </c>
      <c r="AY127" s="605" t="s">
        <v>143</v>
      </c>
      <c r="AZ127" s="606" t="s">
        <v>144</v>
      </c>
      <c r="BA127" s="606" t="s">
        <v>145</v>
      </c>
      <c r="BB127" s="606" t="s">
        <v>146</v>
      </c>
      <c r="BC127" s="606" t="s">
        <v>147</v>
      </c>
      <c r="BD127" s="606" t="s">
        <v>148</v>
      </c>
      <c r="BE127" s="606" t="s">
        <v>149</v>
      </c>
      <c r="BF127" s="606" t="s">
        <v>150</v>
      </c>
      <c r="BG127" s="606" t="s">
        <v>151</v>
      </c>
      <c r="BH127" s="606" t="s">
        <v>152</v>
      </c>
      <c r="BI127" s="606" t="s">
        <v>153</v>
      </c>
      <c r="BJ127" s="606" t="s">
        <v>154</v>
      </c>
      <c r="BK127" s="606" t="s">
        <v>155</v>
      </c>
      <c r="BL127" s="606" t="s">
        <v>156</v>
      </c>
      <c r="BM127" s="606" t="s">
        <v>157</v>
      </c>
      <c r="BN127" s="606" t="s">
        <v>158</v>
      </c>
      <c r="BO127" s="606" t="s">
        <v>159</v>
      </c>
      <c r="BP127" s="606" t="s">
        <v>160</v>
      </c>
      <c r="BQ127" s="606" t="s">
        <v>16</v>
      </c>
      <c r="BR127" s="606" t="s">
        <v>161</v>
      </c>
      <c r="BS127" s="606" t="s">
        <v>162</v>
      </c>
      <c r="BT127" s="606" t="s">
        <v>163</v>
      </c>
      <c r="BU127" s="607" t="s">
        <v>164</v>
      </c>
    </row>
    <row r="128" spans="1:73">
      <c r="A128" s="650" t="s">
        <v>717</v>
      </c>
      <c r="B128" s="597" t="s">
        <v>308</v>
      </c>
      <c r="C128" s="597" t="s">
        <v>733</v>
      </c>
      <c r="D128" s="598">
        <f>IFERROR(OAK_H[[#This Row],[H]]/OAK_H[[#This Row],[AB]],0)</f>
        <v>0.29411764705882354</v>
      </c>
      <c r="E128" s="598">
        <f>IFERROR((OAK_H[[#This Row],[H]]+OAK_H[[#This Row],[BB]])/(OAK_H[[#This Row],[BB]]+OAK_H[[#This Row],[AB]]),0)</f>
        <v>0.35483870967741937</v>
      </c>
      <c r="F128" s="599">
        <f>IFERROR(((OAK_H[[#This Row],[H]]-OAK_H[[#This Row],[2B]]-OAK_H[[#This Row],[3B]]-OAK_H[[#This Row],[HR]])+(OAK_H[[#This Row],[2B]]*2)+(OAK_H[[#This Row],[3B]]*3)+(OAK_H[[#This Row],[HR]]*4))/OAK_H[[#This Row],[AB]],0)</f>
        <v>0.49411764705882355</v>
      </c>
      <c r="G128" s="600">
        <v>24</v>
      </c>
      <c r="H128" s="600">
        <v>85</v>
      </c>
      <c r="I128" s="600">
        <v>15</v>
      </c>
      <c r="J128" s="600">
        <v>25</v>
      </c>
      <c r="K128" s="600">
        <v>2</v>
      </c>
      <c r="L128" s="600">
        <v>0</v>
      </c>
      <c r="M128" s="600">
        <v>5</v>
      </c>
      <c r="N128" s="600">
        <v>11</v>
      </c>
      <c r="O128" s="600">
        <v>8</v>
      </c>
      <c r="P128" s="604">
        <v>26</v>
      </c>
      <c r="Q128" s="600">
        <v>0</v>
      </c>
      <c r="R128" s="600">
        <v>1</v>
      </c>
      <c r="S128" s="604">
        <v>8</v>
      </c>
      <c r="T128" s="600">
        <f>IFERROR((OAK_H[[#This Row],[H]]-OAK_H[[#This Row],[2B]]-OAK_H[[#This Row],[3B]]-OAK_H[[#This Row],[HR]])+(OAK_H[[#This Row],[2B]]*2)+(OAK_H[[#This Row],[3B]]*3)+(OAK_H[[#This Row],[HR]]*4),0)</f>
        <v>42</v>
      </c>
      <c r="U128" s="598">
        <f>OAK_H[[#This Row],[OBP]]+OAK_H[[#This Row],[SLG]]</f>
        <v>0.84895635673624292</v>
      </c>
      <c r="V128" s="604">
        <v>1</v>
      </c>
      <c r="W128" s="614">
        <v>1</v>
      </c>
      <c r="Z128" s="650" t="s">
        <v>717</v>
      </c>
      <c r="AA128" s="597" t="s">
        <v>179</v>
      </c>
      <c r="AB128" s="597" t="s">
        <v>725</v>
      </c>
      <c r="AC128" s="598">
        <f>IFERROR(OAK_H194[[#This Row],[H]]/OAK_H194[[#This Row],[AB]],0)</f>
        <v>0.14516129032258066</v>
      </c>
      <c r="AD128" s="598">
        <f>IFERROR((OAK_H194[[#This Row],[H]]+OAK_H194[[#This Row],[BB]])/(OAK_H194[[#This Row],[BB]]+OAK_H194[[#This Row],[AB]]),0)</f>
        <v>0.2318840579710145</v>
      </c>
      <c r="AE128" s="599">
        <f>IFERROR(((OAK_H194[[#This Row],[H]]-OAK_H194[[#This Row],[2B]]-OAK_H194[[#This Row],[3B]]-OAK_H194[[#This Row],[HR]])+(OAK_H194[[#This Row],[2B]]*2)+(OAK_H194[[#This Row],[3B]]*3)+(OAK_H194[[#This Row],[HR]]*4))/OAK_H194[[#This Row],[AB]],0)</f>
        <v>0.29032258064516131</v>
      </c>
      <c r="AF128" s="600">
        <v>33</v>
      </c>
      <c r="AG128" s="600">
        <v>124</v>
      </c>
      <c r="AH128" s="600">
        <v>7</v>
      </c>
      <c r="AI128" s="600">
        <v>18</v>
      </c>
      <c r="AJ128" s="600">
        <v>6</v>
      </c>
      <c r="AK128" s="600">
        <v>0</v>
      </c>
      <c r="AL128" s="600">
        <v>4</v>
      </c>
      <c r="AM128" s="600">
        <v>10</v>
      </c>
      <c r="AN128" s="600">
        <v>14</v>
      </c>
      <c r="AO128" s="604">
        <v>44</v>
      </c>
      <c r="AP128" s="600">
        <v>0</v>
      </c>
      <c r="AQ128" s="600">
        <v>0</v>
      </c>
      <c r="AR128" s="604">
        <v>3</v>
      </c>
      <c r="AS128" s="600">
        <f>IFERROR((OAK_H194[[#This Row],[H]]-OAK_H194[[#This Row],[2B]]-OAK_H194[[#This Row],[3B]]-OAK_H194[[#This Row],[HR]])+(OAK_H194[[#This Row],[2B]]*2)+(OAK_H194[[#This Row],[3B]]*3)+(OAK_H194[[#This Row],[HR]]*4),0)</f>
        <v>36</v>
      </c>
      <c r="AT128" s="598">
        <f>OAK_H194[[#This Row],[OBP]]+OAK_H194[[#This Row],[SLG]]</f>
        <v>0.52220663861617578</v>
      </c>
      <c r="AU128" s="604">
        <v>1</v>
      </c>
      <c r="AV128" s="614">
        <v>1</v>
      </c>
      <c r="AY128" s="650" t="s">
        <v>717</v>
      </c>
      <c r="AZ128" s="604" t="s">
        <v>179</v>
      </c>
      <c r="BA128" s="597" t="s">
        <v>725</v>
      </c>
      <c r="BB128" s="598">
        <f>IFERROR(OAK_H180[[#This Row],[H]]/OAK_H180[[#This Row],[AB]],0)</f>
        <v>0.24031007751937986</v>
      </c>
      <c r="BC128" s="598">
        <f>IFERROR((OAK_H180[[#This Row],[BB]]+OAK_H180[[#This Row],[H]])/(OAK_H180[[#This Row],[AB]]+OAK_H180[[#This Row],[BB]]),0)</f>
        <v>0.32413793103448274</v>
      </c>
      <c r="BD128" s="599">
        <f>IFERROR(((OAK_H180[[#This Row],[H]]-OAK_H180[[#This Row],[2B]]-OAK_H180[[#This Row],[3B]]-OAK_H180[[#This Row],[HR]])+(OAK_H180[[#This Row],[2B]]*2)+(OAK_H180[[#This Row],[3B]]*3)+(OAK_H180[[#This Row],[HR]]*4))/OAK_H180[[#This Row],[AB]],0)</f>
        <v>0.51162790697674421</v>
      </c>
      <c r="BE128" s="600">
        <v>37</v>
      </c>
      <c r="BF128" s="600">
        <v>129</v>
      </c>
      <c r="BG128" s="600">
        <v>21</v>
      </c>
      <c r="BH128" s="600">
        <v>31</v>
      </c>
      <c r="BI128" s="600">
        <v>2</v>
      </c>
      <c r="BJ128" s="600">
        <v>0</v>
      </c>
      <c r="BK128" s="600">
        <v>11</v>
      </c>
      <c r="BL128" s="600">
        <v>18</v>
      </c>
      <c r="BM128" s="600">
        <v>16</v>
      </c>
      <c r="BN128" s="604">
        <v>26</v>
      </c>
      <c r="BO128" s="600">
        <v>0</v>
      </c>
      <c r="BP128" s="600">
        <v>2</v>
      </c>
      <c r="BQ128" s="604">
        <v>6</v>
      </c>
      <c r="BR128" s="600">
        <f>IFERROR((OAK_H180[[#This Row],[H]]-OAK_H180[[#This Row],[2B]]-OAK_H180[[#This Row],[3B]]-OAK_H180[[#This Row],[HR]])+(OAK_H180[[#This Row],[2B]]*2)+(OAK_H180[[#This Row],[3B]]*3)+(OAK_H180[[#This Row],[HR]]*4),0)</f>
        <v>66</v>
      </c>
      <c r="BS128" s="598">
        <f>IFERROR(OAK_H180[[#This Row],[OBP]]+OAK_H180[[#This Row],[SLG]],0)</f>
        <v>0.83576583801122695</v>
      </c>
      <c r="BT128" s="604">
        <v>2</v>
      </c>
      <c r="BU128" s="614">
        <v>1</v>
      </c>
    </row>
    <row r="129" spans="1:73">
      <c r="A129" s="651" t="s">
        <v>717</v>
      </c>
      <c r="B129" s="77" t="s">
        <v>349</v>
      </c>
      <c r="C129" s="77" t="s">
        <v>721</v>
      </c>
      <c r="D129" s="996">
        <f>IFERROR(OAK_H[[#This Row],[H]]/OAK_H[[#This Row],[AB]],0)</f>
        <v>0.29054054054054052</v>
      </c>
      <c r="E129" s="72">
        <f>IFERROR((OAK_H[[#This Row],[H]]+OAK_H[[#This Row],[BB]])/(OAK_H[[#This Row],[BB]]+OAK_H[[#This Row],[AB]]),0)</f>
        <v>0.34782608695652173</v>
      </c>
      <c r="F129" s="73">
        <f>IFERROR(((OAK_H[[#This Row],[H]]-OAK_H[[#This Row],[2B]]-OAK_H[[#This Row],[3B]]-OAK_H[[#This Row],[HR]])+(OAK_H[[#This Row],[2B]]*2)+(OAK_H[[#This Row],[3B]]*3)+(OAK_H[[#This Row],[HR]]*4))/OAK_H[[#This Row],[AB]],0)</f>
        <v>0.46621621621621623</v>
      </c>
      <c r="G129" s="28">
        <v>40</v>
      </c>
      <c r="H129" s="28">
        <v>148</v>
      </c>
      <c r="I129" s="28">
        <v>23</v>
      </c>
      <c r="J129" s="28">
        <v>43</v>
      </c>
      <c r="K129" s="28">
        <v>11</v>
      </c>
      <c r="L129" s="28">
        <v>0</v>
      </c>
      <c r="M129" s="28">
        <v>5</v>
      </c>
      <c r="N129" s="28">
        <v>17</v>
      </c>
      <c r="O129" s="28">
        <v>13</v>
      </c>
      <c r="P129" s="74">
        <v>27</v>
      </c>
      <c r="Q129" s="28">
        <v>0</v>
      </c>
      <c r="R129" s="28">
        <v>0</v>
      </c>
      <c r="S129" s="74">
        <v>7</v>
      </c>
      <c r="T129" s="28">
        <f>IFERROR((OAK_H[[#This Row],[H]]-OAK_H[[#This Row],[2B]]-OAK_H[[#This Row],[3B]]-OAK_H[[#This Row],[HR]])+(OAK_H[[#This Row],[2B]]*2)+(OAK_H[[#This Row],[3B]]*3)+(OAK_H[[#This Row],[HR]]*4),0)</f>
        <v>69</v>
      </c>
      <c r="U129" s="72">
        <f>OAK_H[[#This Row],[OBP]]+OAK_H[[#This Row],[SLG]]</f>
        <v>0.81404230317273796</v>
      </c>
      <c r="V129" s="74">
        <v>2</v>
      </c>
      <c r="W129" s="615">
        <v>2</v>
      </c>
      <c r="Z129" s="651" t="s">
        <v>717</v>
      </c>
      <c r="AA129" s="71" t="s">
        <v>154</v>
      </c>
      <c r="AB129" s="77" t="s">
        <v>719</v>
      </c>
      <c r="AC129" s="130">
        <f>IFERROR(OAK_H194[[#This Row],[H]]/OAK_H194[[#This Row],[AB]],0)</f>
        <v>0.3048780487804878</v>
      </c>
      <c r="AD129" s="72">
        <f>IFERROR((OAK_H194[[#This Row],[H]]+OAK_H194[[#This Row],[BB]])/(OAK_H194[[#This Row],[BB]]+OAK_H194[[#This Row],[AB]]),0)</f>
        <v>0.37016574585635359</v>
      </c>
      <c r="AE129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0.61585365853658536</v>
      </c>
      <c r="AF129" s="28">
        <v>40</v>
      </c>
      <c r="AG129" s="28">
        <v>164</v>
      </c>
      <c r="AH129" s="28">
        <v>15</v>
      </c>
      <c r="AI129" s="28">
        <v>50</v>
      </c>
      <c r="AJ129" s="28">
        <v>12</v>
      </c>
      <c r="AK129" s="28">
        <v>3</v>
      </c>
      <c r="AL129" s="28">
        <v>11</v>
      </c>
      <c r="AM129" s="28">
        <v>32</v>
      </c>
      <c r="AN129" s="28">
        <v>17</v>
      </c>
      <c r="AO129" s="74">
        <v>29</v>
      </c>
      <c r="AP129" s="28">
        <v>0</v>
      </c>
      <c r="AQ129" s="28">
        <v>7</v>
      </c>
      <c r="AR129" s="74">
        <v>7</v>
      </c>
      <c r="AS129" s="28">
        <f>IFERROR((OAK_H194[[#This Row],[H]]-OAK_H194[[#This Row],[2B]]-OAK_H194[[#This Row],[3B]]-OAK_H194[[#This Row],[HR]])+(OAK_H194[[#This Row],[2B]]*2)+(OAK_H194[[#This Row],[3B]]*3)+(OAK_H194[[#This Row],[HR]]*4),0)</f>
        <v>101</v>
      </c>
      <c r="AT129" s="72">
        <f>OAK_H194[[#This Row],[OBP]]+OAK_H194[[#This Row],[SLG]]</f>
        <v>0.98601940439293889</v>
      </c>
      <c r="AU129" s="74">
        <v>5</v>
      </c>
      <c r="AV129" s="615">
        <v>2</v>
      </c>
      <c r="AY129" s="651" t="s">
        <v>717</v>
      </c>
      <c r="AZ129" s="74" t="s">
        <v>154</v>
      </c>
      <c r="BA129" s="71" t="s">
        <v>277</v>
      </c>
      <c r="BB129" s="72">
        <f>IFERROR(OAK_H180[[#This Row],[H]]/OAK_H180[[#This Row],[AB]],0)</f>
        <v>0.21472392638036811</v>
      </c>
      <c r="BC129" s="72">
        <f>IFERROR((OAK_H180[[#This Row],[BB]]+OAK_H180[[#This Row],[H]])/(OAK_H180[[#This Row],[AB]]+OAK_H180[[#This Row],[BB]]),0)</f>
        <v>0.28491620111731841</v>
      </c>
      <c r="BD129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0.36809815950920244</v>
      </c>
      <c r="BE129" s="28">
        <v>40</v>
      </c>
      <c r="BF129" s="28">
        <v>163</v>
      </c>
      <c r="BG129" s="28">
        <v>17</v>
      </c>
      <c r="BH129" s="28">
        <v>35</v>
      </c>
      <c r="BI129" s="28">
        <v>8</v>
      </c>
      <c r="BJ129" s="28">
        <v>1</v>
      </c>
      <c r="BK129" s="28">
        <v>5</v>
      </c>
      <c r="BL129" s="28">
        <v>18</v>
      </c>
      <c r="BM129" s="28">
        <v>16</v>
      </c>
      <c r="BN129" s="74">
        <v>58</v>
      </c>
      <c r="BO129" s="28">
        <v>0</v>
      </c>
      <c r="BP129" s="28">
        <v>0</v>
      </c>
      <c r="BQ129" s="74">
        <v>7</v>
      </c>
      <c r="BR129" s="28">
        <f>IFERROR((OAK_H180[[#This Row],[H]]-OAK_H180[[#This Row],[2B]]-OAK_H180[[#This Row],[3B]]-OAK_H180[[#This Row],[HR]])+(OAK_H180[[#This Row],[2B]]*2)+(OAK_H180[[#This Row],[3B]]*3)+(OAK_H180[[#This Row],[HR]]*4),0)</f>
        <v>60</v>
      </c>
      <c r="BS129" s="72">
        <f>IFERROR(OAK_H180[[#This Row],[OBP]]+OAK_H180[[#This Row],[SLG]],0)</f>
        <v>0.65301436062652085</v>
      </c>
      <c r="BT129" s="74">
        <v>0</v>
      </c>
      <c r="BU129" s="615">
        <v>2</v>
      </c>
    </row>
    <row r="130" spans="1:73">
      <c r="A130" s="651" t="s">
        <v>717</v>
      </c>
      <c r="B130" s="71" t="s">
        <v>235</v>
      </c>
      <c r="C130" s="71" t="s">
        <v>726</v>
      </c>
      <c r="D130" s="72">
        <f>IFERROR(OAK_H[[#This Row],[H]]/OAK_H[[#This Row],[AB]],0)</f>
        <v>0.32575757575757575</v>
      </c>
      <c r="E130" s="72">
        <f>IFERROR((OAK_H[[#This Row],[H]]+OAK_H[[#This Row],[BB]])/(OAK_H[[#This Row],[BB]]+OAK_H[[#This Row],[AB]]),0)</f>
        <v>0.3776223776223776</v>
      </c>
      <c r="F130" s="73">
        <f>IFERROR(((OAK_H[[#This Row],[H]]-OAK_H[[#This Row],[2B]]-OAK_H[[#This Row],[3B]]-OAK_H[[#This Row],[HR]])+(OAK_H[[#This Row],[2B]]*2)+(OAK_H[[#This Row],[3B]]*3)+(OAK_H[[#This Row],[HR]]*4))/OAK_H[[#This Row],[AB]],0)</f>
        <v>0.51515151515151514</v>
      </c>
      <c r="G130" s="28">
        <v>36</v>
      </c>
      <c r="H130" s="28">
        <v>132</v>
      </c>
      <c r="I130" s="28">
        <v>16</v>
      </c>
      <c r="J130" s="28">
        <v>43</v>
      </c>
      <c r="K130" s="28">
        <v>10</v>
      </c>
      <c r="L130" s="28">
        <v>0</v>
      </c>
      <c r="M130" s="28">
        <v>5</v>
      </c>
      <c r="N130" s="28">
        <v>21</v>
      </c>
      <c r="O130" s="28">
        <v>11</v>
      </c>
      <c r="P130" s="74">
        <v>19</v>
      </c>
      <c r="Q130" s="28">
        <v>0</v>
      </c>
      <c r="R130" s="28">
        <v>6</v>
      </c>
      <c r="S130" s="74">
        <v>6</v>
      </c>
      <c r="T130" s="28">
        <f>IFERROR((OAK_H[[#This Row],[H]]-OAK_H[[#This Row],[2B]]-OAK_H[[#This Row],[3B]]-OAK_H[[#This Row],[HR]])+(OAK_H[[#This Row],[2B]]*2)+(OAK_H[[#This Row],[3B]]*3)+(OAK_H[[#This Row],[HR]]*4),0)</f>
        <v>68</v>
      </c>
      <c r="U130" s="72">
        <f>OAK_H[[#This Row],[OBP]]+OAK_H[[#This Row],[SLG]]</f>
        <v>0.89277389277389274</v>
      </c>
      <c r="V130" s="74">
        <v>2</v>
      </c>
      <c r="W130" s="615">
        <v>3</v>
      </c>
      <c r="Z130" s="651" t="s">
        <v>717</v>
      </c>
      <c r="AA130" s="71" t="s">
        <v>172</v>
      </c>
      <c r="AB130" s="77" t="s">
        <v>728</v>
      </c>
      <c r="AC130" s="130">
        <f>IFERROR(OAK_H194[[#This Row],[H]]/OAK_H194[[#This Row],[AB]],0)</f>
        <v>0.20833333333333334</v>
      </c>
      <c r="AD130" s="72">
        <f>IFERROR((OAK_H194[[#This Row],[H]]+OAK_H194[[#This Row],[BB]])/(OAK_H194[[#This Row],[BB]]+OAK_H194[[#This Row],[AB]]),0)</f>
        <v>0.25196850393700787</v>
      </c>
      <c r="AE130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0.30833333333333335</v>
      </c>
      <c r="AF130" s="28">
        <v>33</v>
      </c>
      <c r="AG130" s="28">
        <v>120</v>
      </c>
      <c r="AH130" s="28">
        <v>7</v>
      </c>
      <c r="AI130" s="28">
        <v>25</v>
      </c>
      <c r="AJ130" s="28">
        <v>4</v>
      </c>
      <c r="AK130" s="28">
        <v>1</v>
      </c>
      <c r="AL130" s="28">
        <v>2</v>
      </c>
      <c r="AM130" s="28">
        <v>10</v>
      </c>
      <c r="AN130" s="28">
        <v>7</v>
      </c>
      <c r="AO130" s="74">
        <v>23</v>
      </c>
      <c r="AP130" s="28">
        <v>0</v>
      </c>
      <c r="AQ130" s="28">
        <v>0</v>
      </c>
      <c r="AR130" s="74">
        <v>8</v>
      </c>
      <c r="AS130" s="28">
        <f>IFERROR((OAK_H194[[#This Row],[H]]-OAK_H194[[#This Row],[2B]]-OAK_H194[[#This Row],[3B]]-OAK_H194[[#This Row],[HR]])+(OAK_H194[[#This Row],[2B]]*2)+(OAK_H194[[#This Row],[3B]]*3)+(OAK_H194[[#This Row],[HR]]*4),0)</f>
        <v>37</v>
      </c>
      <c r="AT130" s="72">
        <f>OAK_H194[[#This Row],[OBP]]+OAK_H194[[#This Row],[SLG]]</f>
        <v>0.56030183727034122</v>
      </c>
      <c r="AU130" s="74">
        <v>0</v>
      </c>
      <c r="AV130" s="615">
        <v>3</v>
      </c>
      <c r="AY130" s="651" t="s">
        <v>717</v>
      </c>
      <c r="AZ130" s="74" t="s">
        <v>172</v>
      </c>
      <c r="BA130" s="71" t="s">
        <v>728</v>
      </c>
      <c r="BB130" s="72">
        <f>IFERROR(OAK_H180[[#This Row],[H]]/OAK_H180[[#This Row],[AB]],0)</f>
        <v>0.18018018018018017</v>
      </c>
      <c r="BC130" s="72">
        <f>IFERROR((OAK_H180[[#This Row],[BB]]+OAK_H180[[#This Row],[H]])/(OAK_H180[[#This Row],[AB]]+OAK_H180[[#This Row],[BB]]),0)</f>
        <v>0.2661290322580645</v>
      </c>
      <c r="BD130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0.2072072072072072</v>
      </c>
      <c r="BE130" s="28">
        <v>36</v>
      </c>
      <c r="BF130" s="28">
        <v>111</v>
      </c>
      <c r="BG130" s="28">
        <v>8</v>
      </c>
      <c r="BH130" s="28">
        <v>20</v>
      </c>
      <c r="BI130" s="28">
        <v>1</v>
      </c>
      <c r="BJ130" s="28">
        <v>1</v>
      </c>
      <c r="BK130" s="28">
        <v>0</v>
      </c>
      <c r="BL130" s="28">
        <v>2</v>
      </c>
      <c r="BM130" s="28">
        <v>13</v>
      </c>
      <c r="BN130" s="74">
        <v>27</v>
      </c>
      <c r="BO130" s="28">
        <v>5</v>
      </c>
      <c r="BP130" s="28">
        <v>1</v>
      </c>
      <c r="BQ130" s="74">
        <v>5</v>
      </c>
      <c r="BR130" s="28">
        <f>IFERROR((OAK_H180[[#This Row],[H]]-OAK_H180[[#This Row],[2B]]-OAK_H180[[#This Row],[3B]]-OAK_H180[[#This Row],[HR]])+(OAK_H180[[#This Row],[2B]]*2)+(OAK_H180[[#This Row],[3B]]*3)+(OAK_H180[[#This Row],[HR]]*4),0)</f>
        <v>23</v>
      </c>
      <c r="BS130" s="72">
        <f>IFERROR(OAK_H180[[#This Row],[OBP]]+OAK_H180[[#This Row],[SLG]],0)</f>
        <v>0.4733362394652717</v>
      </c>
      <c r="BT130" s="74">
        <v>1</v>
      </c>
      <c r="BU130" s="615">
        <v>3</v>
      </c>
    </row>
    <row r="131" spans="1:73">
      <c r="A131" s="651" t="s">
        <v>717</v>
      </c>
      <c r="B131" s="71" t="s">
        <v>153</v>
      </c>
      <c r="C131" s="71" t="s">
        <v>728</v>
      </c>
      <c r="D131" s="72">
        <f>IFERROR(OAK_H[[#This Row],[H]]/OAK_H[[#This Row],[AB]],0)</f>
        <v>0.2814814814814815</v>
      </c>
      <c r="E131" s="72">
        <f>IFERROR((OAK_H[[#This Row],[H]]+OAK_H[[#This Row],[BB]])/(OAK_H[[#This Row],[BB]]+OAK_H[[#This Row],[AB]]),0)</f>
        <v>0.31690140845070425</v>
      </c>
      <c r="F131" s="73">
        <f>IFERROR(((OAK_H[[#This Row],[H]]-OAK_H[[#This Row],[2B]]-OAK_H[[#This Row],[3B]]-OAK_H[[#This Row],[HR]])+(OAK_H[[#This Row],[2B]]*2)+(OAK_H[[#This Row],[3B]]*3)+(OAK_H[[#This Row],[HR]]*4))/OAK_H[[#This Row],[AB]],0)</f>
        <v>0.37777777777777777</v>
      </c>
      <c r="G131" s="28">
        <v>36</v>
      </c>
      <c r="H131" s="28">
        <v>135</v>
      </c>
      <c r="I131" s="28">
        <v>12</v>
      </c>
      <c r="J131" s="28">
        <v>38</v>
      </c>
      <c r="K131" s="28">
        <v>9</v>
      </c>
      <c r="L131" s="28">
        <v>2</v>
      </c>
      <c r="M131" s="28">
        <v>0</v>
      </c>
      <c r="N131" s="28">
        <v>21</v>
      </c>
      <c r="O131" s="28">
        <v>7</v>
      </c>
      <c r="P131" s="74">
        <v>28</v>
      </c>
      <c r="Q131" s="28">
        <v>4</v>
      </c>
      <c r="R131" s="28">
        <v>3</v>
      </c>
      <c r="S131" s="74">
        <v>7</v>
      </c>
      <c r="T131" s="28">
        <f>IFERROR((OAK_H[[#This Row],[H]]-OAK_H[[#This Row],[2B]]-OAK_H[[#This Row],[3B]]-OAK_H[[#This Row],[HR]])+(OAK_H[[#This Row],[2B]]*2)+(OAK_H[[#This Row],[3B]]*3)+(OAK_H[[#This Row],[HR]]*4),0)</f>
        <v>51</v>
      </c>
      <c r="U131" s="72">
        <f>OAK_H[[#This Row],[OBP]]+OAK_H[[#This Row],[SLG]]</f>
        <v>0.69467918622848202</v>
      </c>
      <c r="V131" s="74">
        <v>1</v>
      </c>
      <c r="W131" s="615">
        <v>4</v>
      </c>
      <c r="Z131" s="651" t="s">
        <v>717</v>
      </c>
      <c r="AA131" s="71" t="s">
        <v>153</v>
      </c>
      <c r="AB131" s="77" t="s">
        <v>731</v>
      </c>
      <c r="AC131" s="130">
        <f>IFERROR(OAK_H194[[#This Row],[H]]/OAK_H194[[#This Row],[AB]],0)</f>
        <v>0.22033898305084745</v>
      </c>
      <c r="AD131" s="72">
        <f>IFERROR((OAK_H194[[#This Row],[H]]+OAK_H194[[#This Row],[BB]])/(OAK_H194[[#This Row],[BB]]+OAK_H194[[#This Row],[AB]]),0)</f>
        <v>0.29770992366412213</v>
      </c>
      <c r="AE131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0.26271186440677968</v>
      </c>
      <c r="AF131" s="28">
        <v>32</v>
      </c>
      <c r="AG131" s="28">
        <v>118</v>
      </c>
      <c r="AH131" s="28">
        <v>8</v>
      </c>
      <c r="AI131" s="28">
        <v>26</v>
      </c>
      <c r="AJ131" s="28">
        <v>2</v>
      </c>
      <c r="AK131" s="28">
        <v>0</v>
      </c>
      <c r="AL131" s="28">
        <v>1</v>
      </c>
      <c r="AM131" s="28">
        <v>6</v>
      </c>
      <c r="AN131" s="28">
        <v>13</v>
      </c>
      <c r="AO131" s="74">
        <v>20</v>
      </c>
      <c r="AP131" s="28">
        <v>0</v>
      </c>
      <c r="AQ131" s="28">
        <v>2</v>
      </c>
      <c r="AR131" s="74">
        <v>9</v>
      </c>
      <c r="AS131" s="28">
        <f>IFERROR((OAK_H194[[#This Row],[H]]-OAK_H194[[#This Row],[2B]]-OAK_H194[[#This Row],[3B]]-OAK_H194[[#This Row],[HR]])+(OAK_H194[[#This Row],[2B]]*2)+(OAK_H194[[#This Row],[3B]]*3)+(OAK_H194[[#This Row],[HR]]*4),0)</f>
        <v>31</v>
      </c>
      <c r="AT131" s="72">
        <f>OAK_H194[[#This Row],[OBP]]+OAK_H194[[#This Row],[SLG]]</f>
        <v>0.56042178807090182</v>
      </c>
      <c r="AU131" s="74">
        <v>0</v>
      </c>
      <c r="AV131" s="615">
        <v>4</v>
      </c>
      <c r="AY131" s="651" t="s">
        <v>717</v>
      </c>
      <c r="AZ131" s="74" t="s">
        <v>153</v>
      </c>
      <c r="BA131" s="71" t="s">
        <v>731</v>
      </c>
      <c r="BB131" s="72">
        <f>IFERROR(OAK_H180[[#This Row],[H]]/OAK_H180[[#This Row],[AB]],0)</f>
        <v>0.2857142857142857</v>
      </c>
      <c r="BC131" s="72">
        <f>IFERROR((OAK_H180[[#This Row],[BB]]+OAK_H180[[#This Row],[H]])/(OAK_H180[[#This Row],[AB]]+OAK_H180[[#This Row],[BB]]),0)</f>
        <v>0.375</v>
      </c>
      <c r="BD131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0.38775510204081631</v>
      </c>
      <c r="BE131" s="28">
        <v>30</v>
      </c>
      <c r="BF131" s="28">
        <v>98</v>
      </c>
      <c r="BG131" s="28">
        <v>14</v>
      </c>
      <c r="BH131" s="28">
        <v>28</v>
      </c>
      <c r="BI131" s="28">
        <v>5</v>
      </c>
      <c r="BJ131" s="28">
        <v>1</v>
      </c>
      <c r="BK131" s="28">
        <v>1</v>
      </c>
      <c r="BL131" s="28">
        <v>11</v>
      </c>
      <c r="BM131" s="28">
        <v>14</v>
      </c>
      <c r="BN131" s="74">
        <v>23</v>
      </c>
      <c r="BO131" s="28">
        <v>0</v>
      </c>
      <c r="BP131" s="28">
        <v>2</v>
      </c>
      <c r="BQ131" s="74">
        <v>7</v>
      </c>
      <c r="BR131" s="28">
        <f>IFERROR((OAK_H180[[#This Row],[H]]-OAK_H180[[#This Row],[2B]]-OAK_H180[[#This Row],[3B]]-OAK_H180[[#This Row],[HR]])+(OAK_H180[[#This Row],[2B]]*2)+(OAK_H180[[#This Row],[3B]]*3)+(OAK_H180[[#This Row],[HR]]*4),0)</f>
        <v>38</v>
      </c>
      <c r="BS131" s="72">
        <f>IFERROR(OAK_H180[[#This Row],[OBP]]+OAK_H180[[#This Row],[SLG]],0)</f>
        <v>0.76275510204081631</v>
      </c>
      <c r="BT131" s="74">
        <v>2</v>
      </c>
      <c r="BU131" s="615">
        <v>4</v>
      </c>
    </row>
    <row r="132" spans="1:73">
      <c r="A132" s="651" t="s">
        <v>717</v>
      </c>
      <c r="B132" s="71" t="s">
        <v>177</v>
      </c>
      <c r="C132" s="71" t="s">
        <v>724</v>
      </c>
      <c r="D132" s="72">
        <f>IFERROR(OAK_H[[#This Row],[H]]/OAK_H[[#This Row],[AB]],0)</f>
        <v>0.25874125874125875</v>
      </c>
      <c r="E132" s="72">
        <f>IFERROR((OAK_H[[#This Row],[H]]+OAK_H[[#This Row],[BB]])/(OAK_H[[#This Row],[BB]]+OAK_H[[#This Row],[AB]]),0)</f>
        <v>0.39772727272727271</v>
      </c>
      <c r="F132" s="73">
        <f>IFERROR(((OAK_H[[#This Row],[H]]-OAK_H[[#This Row],[2B]]-OAK_H[[#This Row],[3B]]-OAK_H[[#This Row],[HR]])+(OAK_H[[#This Row],[2B]]*2)+(OAK_H[[#This Row],[3B]]*3)+(OAK_H[[#This Row],[HR]]*4))/OAK_H[[#This Row],[AB]],0)</f>
        <v>0.47552447552447552</v>
      </c>
      <c r="G132" s="28">
        <v>40</v>
      </c>
      <c r="H132" s="28">
        <v>143</v>
      </c>
      <c r="I132" s="28">
        <v>24</v>
      </c>
      <c r="J132" s="28">
        <v>37</v>
      </c>
      <c r="K132" s="28">
        <v>4</v>
      </c>
      <c r="L132" s="28">
        <v>0</v>
      </c>
      <c r="M132" s="28">
        <v>9</v>
      </c>
      <c r="N132" s="28">
        <v>22</v>
      </c>
      <c r="O132" s="28">
        <v>33</v>
      </c>
      <c r="P132" s="74">
        <v>30</v>
      </c>
      <c r="Q132" s="28">
        <v>0</v>
      </c>
      <c r="R132" s="28">
        <v>0</v>
      </c>
      <c r="S132" s="74">
        <v>5</v>
      </c>
      <c r="T132" s="28">
        <f>IFERROR((OAK_H[[#This Row],[H]]-OAK_H[[#This Row],[2B]]-OAK_H[[#This Row],[3B]]-OAK_H[[#This Row],[HR]])+(OAK_H[[#This Row],[2B]]*2)+(OAK_H[[#This Row],[3B]]*3)+(OAK_H[[#This Row],[HR]]*4),0)</f>
        <v>68</v>
      </c>
      <c r="U132" s="72">
        <f>OAK_H[[#This Row],[OBP]]+OAK_H[[#This Row],[SLG]]</f>
        <v>0.87325174825174823</v>
      </c>
      <c r="V132" s="74">
        <v>1</v>
      </c>
      <c r="W132" s="615">
        <v>5</v>
      </c>
      <c r="Z132" s="651" t="s">
        <v>717</v>
      </c>
      <c r="AA132" s="71" t="s">
        <v>177</v>
      </c>
      <c r="AB132" s="77" t="s">
        <v>732</v>
      </c>
      <c r="AC132" s="130">
        <f>IFERROR(OAK_H194[[#This Row],[H]]/OAK_H194[[#This Row],[AB]],0)</f>
        <v>0.19587628865979381</v>
      </c>
      <c r="AD132" s="72">
        <f>IFERROR((OAK_H194[[#This Row],[H]]+OAK_H194[[#This Row],[BB]])/(OAK_H194[[#This Row],[BB]]+OAK_H194[[#This Row],[AB]]),0)</f>
        <v>0.27777777777777779</v>
      </c>
      <c r="AE132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0.31958762886597936</v>
      </c>
      <c r="AF132" s="28">
        <v>26</v>
      </c>
      <c r="AG132" s="28">
        <v>97</v>
      </c>
      <c r="AH132" s="28">
        <v>8</v>
      </c>
      <c r="AI132" s="28">
        <v>19</v>
      </c>
      <c r="AJ132" s="28">
        <v>3</v>
      </c>
      <c r="AK132" s="28">
        <v>0</v>
      </c>
      <c r="AL132" s="28">
        <v>3</v>
      </c>
      <c r="AM132" s="28">
        <v>3</v>
      </c>
      <c r="AN132" s="28">
        <v>11</v>
      </c>
      <c r="AO132" s="74">
        <v>31</v>
      </c>
      <c r="AP132" s="28">
        <v>0</v>
      </c>
      <c r="AQ132" s="28">
        <v>0</v>
      </c>
      <c r="AR132" s="74">
        <v>4</v>
      </c>
      <c r="AS132" s="28">
        <f>IFERROR((OAK_H194[[#This Row],[H]]-OAK_H194[[#This Row],[2B]]-OAK_H194[[#This Row],[3B]]-OAK_H194[[#This Row],[HR]])+(OAK_H194[[#This Row],[2B]]*2)+(OAK_H194[[#This Row],[3B]]*3)+(OAK_H194[[#This Row],[HR]]*4),0)</f>
        <v>31</v>
      </c>
      <c r="AT132" s="72">
        <f>OAK_H194[[#This Row],[OBP]]+OAK_H194[[#This Row],[SLG]]</f>
        <v>0.59736540664375715</v>
      </c>
      <c r="AU132" s="74">
        <v>0</v>
      </c>
      <c r="AV132" s="615">
        <v>5</v>
      </c>
      <c r="AY132" s="651" t="s">
        <v>717</v>
      </c>
      <c r="AZ132" s="104" t="s">
        <v>177</v>
      </c>
      <c r="BA132" s="71" t="s">
        <v>720</v>
      </c>
      <c r="BB132" s="72">
        <f>IFERROR(OAK_H180[[#This Row],[H]]/OAK_H180[[#This Row],[AB]],0)</f>
        <v>0.32298136645962733</v>
      </c>
      <c r="BC132" s="72">
        <f>IFERROR((OAK_H180[[#This Row],[BB]]+OAK_H180[[#This Row],[H]])/(OAK_H180[[#This Row],[AB]]+OAK_H180[[#This Row],[BB]]),0)</f>
        <v>0.38068181818181818</v>
      </c>
      <c r="BD132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0.56521739130434778</v>
      </c>
      <c r="BE132" s="28">
        <v>40</v>
      </c>
      <c r="BF132" s="28">
        <v>161</v>
      </c>
      <c r="BG132" s="28">
        <v>22</v>
      </c>
      <c r="BH132" s="28">
        <v>52</v>
      </c>
      <c r="BI132" s="28">
        <v>9</v>
      </c>
      <c r="BJ132" s="28">
        <v>0</v>
      </c>
      <c r="BK132" s="28">
        <v>10</v>
      </c>
      <c r="BL132" s="28">
        <v>41</v>
      </c>
      <c r="BM132" s="28">
        <v>15</v>
      </c>
      <c r="BN132" s="74">
        <v>40</v>
      </c>
      <c r="BO132" s="28">
        <v>0</v>
      </c>
      <c r="BP132" s="28">
        <v>2</v>
      </c>
      <c r="BQ132" s="74">
        <v>7</v>
      </c>
      <c r="BR132" s="28">
        <f>IFERROR((OAK_H180[[#This Row],[H]]-OAK_H180[[#This Row],[2B]]-OAK_H180[[#This Row],[3B]]-OAK_H180[[#This Row],[HR]])+(OAK_H180[[#This Row],[2B]]*2)+(OAK_H180[[#This Row],[3B]]*3)+(OAK_H180[[#This Row],[HR]]*4),0)</f>
        <v>91</v>
      </c>
      <c r="BS132" s="72">
        <f>IFERROR(OAK_H180[[#This Row],[OBP]]+OAK_H180[[#This Row],[SLG]],0)</f>
        <v>0.94589920948616601</v>
      </c>
      <c r="BT132" s="74">
        <v>4</v>
      </c>
      <c r="BU132" s="615">
        <v>5</v>
      </c>
    </row>
    <row r="133" spans="1:73">
      <c r="A133" s="651" t="s">
        <v>717</v>
      </c>
      <c r="B133" s="71" t="s">
        <v>174</v>
      </c>
      <c r="C133" s="71" t="s">
        <v>722</v>
      </c>
      <c r="D133" s="72">
        <f>IFERROR(OAK_H[[#This Row],[H]]/OAK_H[[#This Row],[AB]],0)</f>
        <v>0.26708074534161491</v>
      </c>
      <c r="E133" s="72">
        <f>IFERROR((OAK_H[[#This Row],[H]]+OAK_H[[#This Row],[BB]])/(OAK_H[[#This Row],[BB]]+OAK_H[[#This Row],[AB]]),0)</f>
        <v>0.36898395721925131</v>
      </c>
      <c r="F133" s="73">
        <f>IFERROR(((OAK_H[[#This Row],[H]]-OAK_H[[#This Row],[2B]]-OAK_H[[#This Row],[3B]]-OAK_H[[#This Row],[HR]])+(OAK_H[[#This Row],[2B]]*2)+(OAK_H[[#This Row],[3B]]*3)+(OAK_H[[#This Row],[HR]]*4))/OAK_H[[#This Row],[AB]],0)</f>
        <v>0.40372670807453415</v>
      </c>
      <c r="G133" s="28">
        <v>40</v>
      </c>
      <c r="H133" s="28">
        <v>161</v>
      </c>
      <c r="I133" s="28">
        <v>24</v>
      </c>
      <c r="J133" s="28">
        <v>43</v>
      </c>
      <c r="K133" s="28">
        <v>7</v>
      </c>
      <c r="L133" s="28">
        <v>0</v>
      </c>
      <c r="M133" s="28">
        <v>5</v>
      </c>
      <c r="N133" s="28">
        <v>11</v>
      </c>
      <c r="O133" s="28">
        <v>26</v>
      </c>
      <c r="P133" s="74">
        <v>31</v>
      </c>
      <c r="Q133" s="76">
        <v>23</v>
      </c>
      <c r="R133" s="28">
        <v>1</v>
      </c>
      <c r="S133" s="74">
        <v>5</v>
      </c>
      <c r="T133" s="28">
        <f>IFERROR((OAK_H[[#This Row],[H]]-OAK_H[[#This Row],[2B]]-OAK_H[[#This Row],[3B]]-OAK_H[[#This Row],[HR]])+(OAK_H[[#This Row],[2B]]*2)+(OAK_H[[#This Row],[3B]]*3)+(OAK_H[[#This Row],[HR]]*4),0)</f>
        <v>65</v>
      </c>
      <c r="U133" s="72">
        <f>OAK_H[[#This Row],[OBP]]+OAK_H[[#This Row],[SLG]]</f>
        <v>0.7727106652937854</v>
      </c>
      <c r="V133" s="74">
        <v>1</v>
      </c>
      <c r="W133" s="615">
        <v>6</v>
      </c>
      <c r="Z133" s="651" t="s">
        <v>717</v>
      </c>
      <c r="AA133" s="71" t="s">
        <v>174</v>
      </c>
      <c r="AB133" s="77" t="s">
        <v>722</v>
      </c>
      <c r="AC133" s="130">
        <f>IFERROR(OAK_H194[[#This Row],[H]]/OAK_H194[[#This Row],[AB]],0)</f>
        <v>0.26315789473684209</v>
      </c>
      <c r="AD133" s="72">
        <f>IFERROR((OAK_H194[[#This Row],[H]]+OAK_H194[[#This Row],[BB]])/(OAK_H194[[#This Row],[BB]]+OAK_H194[[#This Row],[AB]]),0)</f>
        <v>0.34375</v>
      </c>
      <c r="AE133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0.391812865497076</v>
      </c>
      <c r="AF133" s="28">
        <v>40</v>
      </c>
      <c r="AG133" s="28">
        <v>171</v>
      </c>
      <c r="AH133" s="28">
        <v>28</v>
      </c>
      <c r="AI133" s="28">
        <v>45</v>
      </c>
      <c r="AJ133" s="28">
        <v>8</v>
      </c>
      <c r="AK133" s="28">
        <v>4</v>
      </c>
      <c r="AL133" s="28">
        <v>2</v>
      </c>
      <c r="AM133" s="28">
        <v>10</v>
      </c>
      <c r="AN133" s="28">
        <v>21</v>
      </c>
      <c r="AO133" s="74">
        <v>27</v>
      </c>
      <c r="AP133" s="76">
        <v>19</v>
      </c>
      <c r="AQ133" s="28">
        <v>1</v>
      </c>
      <c r="AR133" s="74">
        <v>9</v>
      </c>
      <c r="AS133" s="28">
        <f>IFERROR((OAK_H194[[#This Row],[H]]-OAK_H194[[#This Row],[2B]]-OAK_H194[[#This Row],[3B]]-OAK_H194[[#This Row],[HR]])+(OAK_H194[[#This Row],[2B]]*2)+(OAK_H194[[#This Row],[3B]]*3)+(OAK_H194[[#This Row],[HR]]*4),0)</f>
        <v>67</v>
      </c>
      <c r="AT133" s="72">
        <f>OAK_H194[[#This Row],[OBP]]+OAK_H194[[#This Row],[SLG]]</f>
        <v>0.73556286549707606</v>
      </c>
      <c r="AU133" s="74">
        <v>0</v>
      </c>
      <c r="AV133" s="615">
        <v>6</v>
      </c>
      <c r="AY133" s="651" t="s">
        <v>717</v>
      </c>
      <c r="AZ133" s="74" t="s">
        <v>174</v>
      </c>
      <c r="BA133" s="71" t="s">
        <v>722</v>
      </c>
      <c r="BB133" s="72">
        <f>IFERROR(OAK_H180[[#This Row],[H]]/OAK_H180[[#This Row],[AB]],0)</f>
        <v>0.23809523809523808</v>
      </c>
      <c r="BC133" s="72">
        <f>IFERROR((OAK_H180[[#This Row],[BB]]+OAK_H180[[#This Row],[H]])/(OAK_H180[[#This Row],[AB]]+OAK_H180[[#This Row],[BB]]),0)</f>
        <v>0.39459459459459462</v>
      </c>
      <c r="BD133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0.31292517006802723</v>
      </c>
      <c r="BE133" s="28">
        <v>40</v>
      </c>
      <c r="BF133" s="28">
        <v>147</v>
      </c>
      <c r="BG133" s="28">
        <v>28</v>
      </c>
      <c r="BH133" s="28">
        <v>35</v>
      </c>
      <c r="BI133" s="28">
        <v>6</v>
      </c>
      <c r="BJ133" s="28">
        <v>1</v>
      </c>
      <c r="BK133" s="28">
        <v>1</v>
      </c>
      <c r="BL133" s="28">
        <v>17</v>
      </c>
      <c r="BM133" s="76">
        <v>38</v>
      </c>
      <c r="BN133" s="74">
        <v>31</v>
      </c>
      <c r="BO133" s="586">
        <v>29</v>
      </c>
      <c r="BP133" s="28">
        <v>0</v>
      </c>
      <c r="BQ133" s="74">
        <v>4</v>
      </c>
      <c r="BR133" s="28">
        <f>IFERROR((OAK_H180[[#This Row],[H]]-OAK_H180[[#This Row],[2B]]-OAK_H180[[#This Row],[3B]]-OAK_H180[[#This Row],[HR]])+(OAK_H180[[#This Row],[2B]]*2)+(OAK_H180[[#This Row],[3B]]*3)+(OAK_H180[[#This Row],[HR]]*4),0)</f>
        <v>46</v>
      </c>
      <c r="BS133" s="72">
        <f>IFERROR(OAK_H180[[#This Row],[OBP]]+OAK_H180[[#This Row],[SLG]],0)</f>
        <v>0.7075197646626219</v>
      </c>
      <c r="BT133" s="74">
        <v>2</v>
      </c>
      <c r="BU133" s="615">
        <v>6</v>
      </c>
    </row>
    <row r="134" spans="1:73">
      <c r="A134" s="651" t="s">
        <v>717</v>
      </c>
      <c r="B134" s="71" t="s">
        <v>383</v>
      </c>
      <c r="C134" s="71" t="s">
        <v>730</v>
      </c>
      <c r="D134" s="72">
        <f>IFERROR(OAK_H[[#This Row],[H]]/OAK_H[[#This Row],[AB]],0)</f>
        <v>0.23376623376623376</v>
      </c>
      <c r="E134" s="72">
        <f>IFERROR((OAK_H[[#This Row],[H]]+OAK_H[[#This Row],[BB]])/(OAK_H[[#This Row],[BB]]+OAK_H[[#This Row],[AB]]),0)</f>
        <v>0.25786163522012578</v>
      </c>
      <c r="F134" s="73">
        <f>IFERROR(((OAK_H[[#This Row],[H]]-OAK_H[[#This Row],[2B]]-OAK_H[[#This Row],[3B]]-OAK_H[[#This Row],[HR]])+(OAK_H[[#This Row],[2B]]*2)+(OAK_H[[#This Row],[3B]]*3)+(OAK_H[[#This Row],[HR]]*4))/OAK_H[[#This Row],[AB]],0)</f>
        <v>0.42207792207792205</v>
      </c>
      <c r="G134" s="28">
        <v>35</v>
      </c>
      <c r="H134" s="28">
        <v>154</v>
      </c>
      <c r="I134" s="28">
        <v>15</v>
      </c>
      <c r="J134" s="28">
        <v>36</v>
      </c>
      <c r="K134" s="28">
        <v>7</v>
      </c>
      <c r="L134" s="28">
        <v>2</v>
      </c>
      <c r="M134" s="28">
        <v>6</v>
      </c>
      <c r="N134" s="28">
        <v>23</v>
      </c>
      <c r="O134" s="28">
        <v>5</v>
      </c>
      <c r="P134" s="74">
        <v>36</v>
      </c>
      <c r="Q134" s="28">
        <v>4</v>
      </c>
      <c r="R134" s="28">
        <v>0</v>
      </c>
      <c r="S134" s="74">
        <v>6</v>
      </c>
      <c r="T134" s="28">
        <f>IFERROR((OAK_H[[#This Row],[H]]-OAK_H[[#This Row],[2B]]-OAK_H[[#This Row],[3B]]-OAK_H[[#This Row],[HR]])+(OAK_H[[#This Row],[2B]]*2)+(OAK_H[[#This Row],[3B]]*3)+(OAK_H[[#This Row],[HR]]*4),0)</f>
        <v>65</v>
      </c>
      <c r="U134" s="72">
        <f>OAK_H[[#This Row],[OBP]]+OAK_H[[#This Row],[SLG]]</f>
        <v>0.67993955729804778</v>
      </c>
      <c r="V134" s="74">
        <v>2</v>
      </c>
      <c r="W134" s="615">
        <v>7</v>
      </c>
      <c r="Z134" s="651" t="s">
        <v>717</v>
      </c>
      <c r="AA134" s="71" t="s">
        <v>181</v>
      </c>
      <c r="AB134" s="77" t="s">
        <v>723</v>
      </c>
      <c r="AC134" s="130">
        <f>IFERROR(OAK_H194[[#This Row],[H]]/OAK_H194[[#This Row],[AB]],0)</f>
        <v>0.23030303030303031</v>
      </c>
      <c r="AD134" s="72">
        <f>IFERROR((OAK_H194[[#This Row],[H]]+OAK_H194[[#This Row],[BB]])/(OAK_H194[[#This Row],[BB]]+OAK_H194[[#This Row],[AB]]),0)</f>
        <v>0.28651685393258425</v>
      </c>
      <c r="AE134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0.32727272727272727</v>
      </c>
      <c r="AF134" s="28">
        <v>40</v>
      </c>
      <c r="AG134" s="28">
        <v>165</v>
      </c>
      <c r="AH134" s="28">
        <v>20</v>
      </c>
      <c r="AI134" s="28">
        <v>38</v>
      </c>
      <c r="AJ134" s="28">
        <v>2</v>
      </c>
      <c r="AK134" s="28">
        <v>1</v>
      </c>
      <c r="AL134" s="28">
        <v>4</v>
      </c>
      <c r="AM134" s="28">
        <v>24</v>
      </c>
      <c r="AN134" s="28">
        <v>13</v>
      </c>
      <c r="AO134" s="74">
        <v>48</v>
      </c>
      <c r="AP134" s="28">
        <v>5</v>
      </c>
      <c r="AQ134" s="28">
        <v>1</v>
      </c>
      <c r="AR134" s="74">
        <v>10</v>
      </c>
      <c r="AS134" s="28">
        <f>IFERROR((OAK_H194[[#This Row],[H]]-OAK_H194[[#This Row],[2B]]-OAK_H194[[#This Row],[3B]]-OAK_H194[[#This Row],[HR]])+(OAK_H194[[#This Row],[2B]]*2)+(OAK_H194[[#This Row],[3B]]*3)+(OAK_H194[[#This Row],[HR]]*4),0)</f>
        <v>54</v>
      </c>
      <c r="AT134" s="72">
        <f>OAK_H194[[#This Row],[OBP]]+OAK_H194[[#This Row],[SLG]]</f>
        <v>0.61378958120531157</v>
      </c>
      <c r="AU134" s="74">
        <v>2</v>
      </c>
      <c r="AV134" s="615">
        <v>7</v>
      </c>
      <c r="AY134" s="651" t="s">
        <v>717</v>
      </c>
      <c r="AZ134" s="74" t="s">
        <v>181</v>
      </c>
      <c r="BA134" s="71" t="s">
        <v>723</v>
      </c>
      <c r="BB134" s="72">
        <f>IFERROR(OAK_H180[[#This Row],[H]]/OAK_H180[[#This Row],[AB]],0)</f>
        <v>0.27058823529411763</v>
      </c>
      <c r="BC134" s="72">
        <f>IFERROR((OAK_H180[[#This Row],[BB]]+OAK_H180[[#This Row],[H]])/(OAK_H180[[#This Row],[AB]]+OAK_H180[[#This Row],[BB]]),0)</f>
        <v>0.31868131868131866</v>
      </c>
      <c r="BD134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0.41764705882352943</v>
      </c>
      <c r="BE134" s="28">
        <v>40</v>
      </c>
      <c r="BF134" s="28">
        <v>170</v>
      </c>
      <c r="BG134" s="28">
        <v>24</v>
      </c>
      <c r="BH134" s="28">
        <v>46</v>
      </c>
      <c r="BI134" s="28">
        <v>11</v>
      </c>
      <c r="BJ134" s="28">
        <v>1</v>
      </c>
      <c r="BK134" s="28">
        <v>4</v>
      </c>
      <c r="BL134" s="28">
        <v>16</v>
      </c>
      <c r="BM134" s="28">
        <v>12</v>
      </c>
      <c r="BN134" s="74">
        <v>39</v>
      </c>
      <c r="BO134" s="28">
        <v>15</v>
      </c>
      <c r="BP134" s="28">
        <v>0</v>
      </c>
      <c r="BQ134" s="74">
        <v>6</v>
      </c>
      <c r="BR134" s="28">
        <f>IFERROR((OAK_H180[[#This Row],[H]]-OAK_H180[[#This Row],[2B]]-OAK_H180[[#This Row],[3B]]-OAK_H180[[#This Row],[HR]])+(OAK_H180[[#This Row],[2B]]*2)+(OAK_H180[[#This Row],[3B]]*3)+(OAK_H180[[#This Row],[HR]]*4),0)</f>
        <v>71</v>
      </c>
      <c r="BS134" s="72">
        <f>IFERROR(OAK_H180[[#This Row],[OBP]]+OAK_H180[[#This Row],[SLG]],0)</f>
        <v>0.73632837750484814</v>
      </c>
      <c r="BT134" s="74">
        <v>1</v>
      </c>
      <c r="BU134" s="615">
        <v>7</v>
      </c>
    </row>
    <row r="135" spans="1:73">
      <c r="A135" s="651" t="s">
        <v>717</v>
      </c>
      <c r="B135" s="71" t="s">
        <v>166</v>
      </c>
      <c r="C135" s="71" t="s">
        <v>727</v>
      </c>
      <c r="D135" s="72">
        <f>IFERROR(OAK_H[[#This Row],[H]]/OAK_H[[#This Row],[AB]],0)</f>
        <v>0.19354838709677419</v>
      </c>
      <c r="E135" s="72">
        <f>IFERROR((OAK_H[[#This Row],[H]]+OAK_H[[#This Row],[BB]])/(OAK_H[[#This Row],[BB]]+OAK_H[[#This Row],[AB]]),0)</f>
        <v>0.27536231884057971</v>
      </c>
      <c r="F135" s="73">
        <f>IFERROR(((OAK_H[[#This Row],[H]]-OAK_H[[#This Row],[2B]]-OAK_H[[#This Row],[3B]]-OAK_H[[#This Row],[HR]])+(OAK_H[[#This Row],[2B]]*2)+(OAK_H[[#This Row],[3B]]*3)+(OAK_H[[#This Row],[HR]]*4))/OAK_H[[#This Row],[AB]],0)</f>
        <v>0.36290322580645162</v>
      </c>
      <c r="G135" s="28">
        <v>33</v>
      </c>
      <c r="H135" s="28">
        <v>124</v>
      </c>
      <c r="I135" s="28">
        <v>16</v>
      </c>
      <c r="J135" s="28">
        <v>24</v>
      </c>
      <c r="K135" s="28">
        <v>3</v>
      </c>
      <c r="L135" s="28">
        <v>0</v>
      </c>
      <c r="M135" s="28">
        <v>6</v>
      </c>
      <c r="N135" s="28">
        <v>11</v>
      </c>
      <c r="O135" s="28">
        <v>14</v>
      </c>
      <c r="P135" s="74">
        <v>37</v>
      </c>
      <c r="Q135" s="28">
        <v>0</v>
      </c>
      <c r="R135" s="28">
        <v>0</v>
      </c>
      <c r="S135" s="74">
        <v>7</v>
      </c>
      <c r="T135" s="28">
        <f>IFERROR((OAK_H[[#This Row],[H]]-OAK_H[[#This Row],[2B]]-OAK_H[[#This Row],[3B]]-OAK_H[[#This Row],[HR]])+(OAK_H[[#This Row],[2B]]*2)+(OAK_H[[#This Row],[3B]]*3)+(OAK_H[[#This Row],[HR]]*4),0)</f>
        <v>45</v>
      </c>
      <c r="U135" s="72">
        <f>OAK_H[[#This Row],[OBP]]+OAK_H[[#This Row],[SLG]]</f>
        <v>0.63826554464703134</v>
      </c>
      <c r="V135" s="74">
        <v>1</v>
      </c>
      <c r="W135" s="615">
        <v>8</v>
      </c>
      <c r="Z135" s="651" t="s">
        <v>717</v>
      </c>
      <c r="AA135" s="71" t="s">
        <v>166</v>
      </c>
      <c r="AB135" s="77" t="s">
        <v>727</v>
      </c>
      <c r="AC135" s="130">
        <f>IFERROR(OAK_H194[[#This Row],[H]]/OAK_H194[[#This Row],[AB]],0)</f>
        <v>0.2032520325203252</v>
      </c>
      <c r="AD135" s="72">
        <f>IFERROR((OAK_H194[[#This Row],[H]]+OAK_H194[[#This Row],[BB]])/(OAK_H194[[#This Row],[BB]]+OAK_H194[[#This Row],[AB]]),0)</f>
        <v>0.26865671641791045</v>
      </c>
      <c r="AE135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0.36585365853658536</v>
      </c>
      <c r="AF135" s="28">
        <v>32</v>
      </c>
      <c r="AG135" s="28">
        <v>123</v>
      </c>
      <c r="AH135" s="28">
        <v>14</v>
      </c>
      <c r="AI135" s="28">
        <v>25</v>
      </c>
      <c r="AJ135" s="28">
        <v>8</v>
      </c>
      <c r="AK135" s="28">
        <v>0</v>
      </c>
      <c r="AL135" s="28">
        <v>4</v>
      </c>
      <c r="AM135" s="28">
        <v>12</v>
      </c>
      <c r="AN135" s="28">
        <v>11</v>
      </c>
      <c r="AO135" s="74">
        <v>46</v>
      </c>
      <c r="AP135" s="28">
        <v>0</v>
      </c>
      <c r="AQ135" s="28">
        <v>0</v>
      </c>
      <c r="AR135" s="74">
        <v>3</v>
      </c>
      <c r="AS135" s="28">
        <f>IFERROR((OAK_H194[[#This Row],[H]]-OAK_H194[[#This Row],[2B]]-OAK_H194[[#This Row],[3B]]-OAK_H194[[#This Row],[HR]])+(OAK_H194[[#This Row],[2B]]*2)+(OAK_H194[[#This Row],[3B]]*3)+(OAK_H194[[#This Row],[HR]]*4),0)</f>
        <v>45</v>
      </c>
      <c r="AT135" s="72">
        <f>OAK_H194[[#This Row],[OBP]]+OAK_H194[[#This Row],[SLG]]</f>
        <v>0.6345103749544958</v>
      </c>
      <c r="AU135" s="74">
        <v>3</v>
      </c>
      <c r="AV135" s="615">
        <v>8</v>
      </c>
      <c r="AY135" s="651" t="s">
        <v>717</v>
      </c>
      <c r="AZ135" s="74" t="s">
        <v>166</v>
      </c>
      <c r="BA135" s="71" t="s">
        <v>727</v>
      </c>
      <c r="BB135" s="72">
        <f>IFERROR(OAK_H180[[#This Row],[H]]/OAK_H180[[#This Row],[AB]],0)</f>
        <v>0.32142857142857145</v>
      </c>
      <c r="BC135" s="72">
        <f>IFERROR((OAK_H180[[#This Row],[BB]]+OAK_H180[[#This Row],[H]])/(OAK_H180[[#This Row],[AB]]+OAK_H180[[#This Row],[BB]]),0)</f>
        <v>0.3559322033898305</v>
      </c>
      <c r="BD135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0.625</v>
      </c>
      <c r="BE135" s="28">
        <v>20</v>
      </c>
      <c r="BF135" s="28">
        <v>56</v>
      </c>
      <c r="BG135" s="28">
        <v>8</v>
      </c>
      <c r="BH135" s="28">
        <v>18</v>
      </c>
      <c r="BI135" s="28">
        <v>2</v>
      </c>
      <c r="BJ135" s="28">
        <v>0</v>
      </c>
      <c r="BK135" s="28">
        <v>5</v>
      </c>
      <c r="BL135" s="28">
        <v>10</v>
      </c>
      <c r="BM135" s="28">
        <v>3</v>
      </c>
      <c r="BN135" s="74">
        <v>17</v>
      </c>
      <c r="BO135" s="28">
        <v>0</v>
      </c>
      <c r="BP135" s="28">
        <v>0</v>
      </c>
      <c r="BQ135" s="74">
        <v>7</v>
      </c>
      <c r="BR135" s="28">
        <f>IFERROR((OAK_H180[[#This Row],[H]]-OAK_H180[[#This Row],[2B]]-OAK_H180[[#This Row],[3B]]-OAK_H180[[#This Row],[HR]])+(OAK_H180[[#This Row],[2B]]*2)+(OAK_H180[[#This Row],[3B]]*3)+(OAK_H180[[#This Row],[HR]]*4),0)</f>
        <v>35</v>
      </c>
      <c r="BS135" s="72">
        <f>IFERROR(OAK_H180[[#This Row],[OBP]]+OAK_H180[[#This Row],[SLG]],0)</f>
        <v>0.98093220338983045</v>
      </c>
      <c r="BT135" s="74">
        <v>2</v>
      </c>
      <c r="BU135" s="615">
        <v>8</v>
      </c>
    </row>
    <row r="136" spans="1:73">
      <c r="A136" s="651" t="s">
        <v>717</v>
      </c>
      <c r="B136" s="71" t="s">
        <v>168</v>
      </c>
      <c r="C136" s="71" t="s">
        <v>718</v>
      </c>
      <c r="D136" s="72">
        <f>IFERROR(OAK_H[[#This Row],[H]]/OAK_H[[#This Row],[AB]],0)</f>
        <v>0.24683544303797469</v>
      </c>
      <c r="E136" s="72">
        <f>IFERROR((OAK_H[[#This Row],[H]]+OAK_H[[#This Row],[BB]])/(OAK_H[[#This Row],[BB]]+OAK_H[[#This Row],[AB]]),0)</f>
        <v>0.31609195402298851</v>
      </c>
      <c r="F136" s="73">
        <f>IFERROR(((OAK_H[[#This Row],[H]]-OAK_H[[#This Row],[2B]]-OAK_H[[#This Row],[3B]]-OAK_H[[#This Row],[HR]])+(OAK_H[[#This Row],[2B]]*2)+(OAK_H[[#This Row],[3B]]*3)+(OAK_H[[#This Row],[HR]]*4))/OAK_H[[#This Row],[AB]],0)</f>
        <v>0.53164556962025311</v>
      </c>
      <c r="G136" s="28">
        <v>40</v>
      </c>
      <c r="H136" s="28">
        <v>158</v>
      </c>
      <c r="I136" s="28">
        <v>22</v>
      </c>
      <c r="J136" s="28">
        <v>39</v>
      </c>
      <c r="K136" s="28">
        <v>9</v>
      </c>
      <c r="L136" s="28">
        <v>0</v>
      </c>
      <c r="M136" s="28">
        <v>12</v>
      </c>
      <c r="N136" s="28">
        <v>27</v>
      </c>
      <c r="O136" s="28">
        <v>16</v>
      </c>
      <c r="P136" s="74">
        <v>46</v>
      </c>
      <c r="Q136" s="28">
        <v>0</v>
      </c>
      <c r="R136" s="28">
        <v>0</v>
      </c>
      <c r="S136" s="74">
        <v>5</v>
      </c>
      <c r="T136" s="28">
        <f>IFERROR((OAK_H[[#This Row],[H]]-OAK_H[[#This Row],[2B]]-OAK_H[[#This Row],[3B]]-OAK_H[[#This Row],[HR]])+(OAK_H[[#This Row],[2B]]*2)+(OAK_H[[#This Row],[3B]]*3)+(OAK_H[[#This Row],[HR]]*4),0)</f>
        <v>84</v>
      </c>
      <c r="U136" s="72">
        <f>OAK_H[[#This Row],[OBP]]+OAK_H[[#This Row],[SLG]]</f>
        <v>0.84773752364324162</v>
      </c>
      <c r="V136" s="74">
        <v>3</v>
      </c>
      <c r="W136" s="615">
        <v>9</v>
      </c>
      <c r="Z136" s="651" t="s">
        <v>717</v>
      </c>
      <c r="AA136" s="71" t="s">
        <v>168</v>
      </c>
      <c r="AB136" s="77" t="s">
        <v>718</v>
      </c>
      <c r="AC136" s="130">
        <f>IFERROR(OAK_H194[[#This Row],[H]]/OAK_H194[[#This Row],[AB]],0)</f>
        <v>0.15909090909090909</v>
      </c>
      <c r="AD136" s="72">
        <f>IFERROR((OAK_H194[[#This Row],[H]]+OAK_H194[[#This Row],[BB]])/(OAK_H194[[#This Row],[BB]]+OAK_H194[[#This Row],[AB]]),0)</f>
        <v>0.27450980392156865</v>
      </c>
      <c r="AE136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0.29545454545454547</v>
      </c>
      <c r="AF136" s="28">
        <v>25</v>
      </c>
      <c r="AG136" s="28">
        <v>88</v>
      </c>
      <c r="AH136" s="28">
        <v>12</v>
      </c>
      <c r="AI136" s="28">
        <v>14</v>
      </c>
      <c r="AJ136" s="28">
        <v>0</v>
      </c>
      <c r="AK136" s="28">
        <v>0</v>
      </c>
      <c r="AL136" s="28">
        <v>4</v>
      </c>
      <c r="AM136" s="28">
        <v>8</v>
      </c>
      <c r="AN136" s="28">
        <v>14</v>
      </c>
      <c r="AO136" s="74">
        <v>32</v>
      </c>
      <c r="AP136" s="28">
        <v>0</v>
      </c>
      <c r="AQ136" s="28">
        <v>0</v>
      </c>
      <c r="AR136" s="74">
        <v>4</v>
      </c>
      <c r="AS136" s="28">
        <f>IFERROR((OAK_H194[[#This Row],[H]]-OAK_H194[[#This Row],[2B]]-OAK_H194[[#This Row],[3B]]-OAK_H194[[#This Row],[HR]])+(OAK_H194[[#This Row],[2B]]*2)+(OAK_H194[[#This Row],[3B]]*3)+(OAK_H194[[#This Row],[HR]]*4),0)</f>
        <v>26</v>
      </c>
      <c r="AT136" s="72">
        <f>OAK_H194[[#This Row],[OBP]]+OAK_H194[[#This Row],[SLG]]</f>
        <v>0.56996434937611418</v>
      </c>
      <c r="AU136" s="74">
        <v>0</v>
      </c>
      <c r="AV136" s="615">
        <v>9</v>
      </c>
      <c r="AY136" s="651" t="s">
        <v>717</v>
      </c>
      <c r="AZ136" s="74" t="s">
        <v>168</v>
      </c>
      <c r="BA136" s="71" t="s">
        <v>718</v>
      </c>
      <c r="BB136" s="72">
        <f>IFERROR(OAK_H180[[#This Row],[H]]/OAK_H180[[#This Row],[AB]],0)</f>
        <v>0.21794871794871795</v>
      </c>
      <c r="BC136" s="72">
        <f>IFERROR((OAK_H180[[#This Row],[BB]]+OAK_H180[[#This Row],[H]])/(OAK_H180[[#This Row],[AB]]+OAK_H180[[#This Row],[BB]]),0)</f>
        <v>0.34408602150537637</v>
      </c>
      <c r="BD136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0.39743589743589741</v>
      </c>
      <c r="BE136" s="28">
        <v>24</v>
      </c>
      <c r="BF136" s="28">
        <v>78</v>
      </c>
      <c r="BG136" s="28">
        <v>8</v>
      </c>
      <c r="BH136" s="28">
        <v>17</v>
      </c>
      <c r="BI136" s="28">
        <v>5</v>
      </c>
      <c r="BJ136" s="28">
        <v>0</v>
      </c>
      <c r="BK136" s="28">
        <v>3</v>
      </c>
      <c r="BL136" s="28">
        <v>14</v>
      </c>
      <c r="BM136" s="28">
        <v>15</v>
      </c>
      <c r="BN136" s="74">
        <v>22</v>
      </c>
      <c r="BO136" s="28">
        <v>0</v>
      </c>
      <c r="BP136" s="28">
        <v>0</v>
      </c>
      <c r="BQ136" s="74">
        <v>3</v>
      </c>
      <c r="BR136" s="28">
        <f>IFERROR((OAK_H180[[#This Row],[H]]-OAK_H180[[#This Row],[2B]]-OAK_H180[[#This Row],[3B]]-OAK_H180[[#This Row],[HR]])+(OAK_H180[[#This Row],[2B]]*2)+(OAK_H180[[#This Row],[3B]]*3)+(OAK_H180[[#This Row],[HR]]*4),0)</f>
        <v>31</v>
      </c>
      <c r="BS136" s="72">
        <f>IFERROR(OAK_H180[[#This Row],[OBP]]+OAK_H180[[#This Row],[SLG]],0)</f>
        <v>0.74152191894127384</v>
      </c>
      <c r="BT136" s="74">
        <v>1</v>
      </c>
      <c r="BU136" s="615">
        <v>9</v>
      </c>
    </row>
    <row r="137" spans="1:73">
      <c r="A137" s="651" t="s">
        <v>717</v>
      </c>
      <c r="B137" s="71" t="s">
        <v>179</v>
      </c>
      <c r="C137" s="71" t="s">
        <v>734</v>
      </c>
      <c r="D137" s="72">
        <f>IFERROR(OAK_H[[#This Row],[H]]/OAK_H[[#This Row],[AB]],0)</f>
        <v>0.18518518518518517</v>
      </c>
      <c r="E137" s="72">
        <f>IFERROR((OAK_H[[#This Row],[H]]+OAK_H[[#This Row],[BB]])/(OAK_H[[#This Row],[BB]]+OAK_H[[#This Row],[AB]]),0)</f>
        <v>0.2413793103448276</v>
      </c>
      <c r="F137" s="73">
        <f>IFERROR(((OAK_H[[#This Row],[H]]-OAK_H[[#This Row],[2B]]-OAK_H[[#This Row],[3B]]-OAK_H[[#This Row],[HR]])+(OAK_H[[#This Row],[2B]]*2)+(OAK_H[[#This Row],[3B]]*3)+(OAK_H[[#This Row],[HR]]*4))/OAK_H[[#This Row],[AB]],0)</f>
        <v>0.30864197530864196</v>
      </c>
      <c r="G137" s="28">
        <v>22</v>
      </c>
      <c r="H137" s="28">
        <v>81</v>
      </c>
      <c r="I137" s="28">
        <v>9</v>
      </c>
      <c r="J137" s="28">
        <v>15</v>
      </c>
      <c r="K137" s="28">
        <v>4</v>
      </c>
      <c r="L137" s="28">
        <v>0</v>
      </c>
      <c r="M137" s="28">
        <v>2</v>
      </c>
      <c r="N137" s="28">
        <v>11</v>
      </c>
      <c r="O137" s="28">
        <v>6</v>
      </c>
      <c r="P137" s="74">
        <v>28</v>
      </c>
      <c r="Q137" s="28">
        <v>0</v>
      </c>
      <c r="R137" s="28">
        <v>0</v>
      </c>
      <c r="S137" s="74">
        <v>4</v>
      </c>
      <c r="T137" s="28">
        <f>IFERROR((OAK_H[[#This Row],[H]]-OAK_H[[#This Row],[2B]]-OAK_H[[#This Row],[3B]]-OAK_H[[#This Row],[HR]])+(OAK_H[[#This Row],[2B]]*2)+(OAK_H[[#This Row],[3B]]*3)+(OAK_H[[#This Row],[HR]]*4),0)</f>
        <v>25</v>
      </c>
      <c r="U137" s="72">
        <f>OAK_H[[#This Row],[OBP]]+OAK_H[[#This Row],[SLG]]</f>
        <v>0.55002128565346953</v>
      </c>
      <c r="V137" s="74">
        <v>1</v>
      </c>
      <c r="W137" s="615">
        <v>10</v>
      </c>
      <c r="Z137" s="651" t="s">
        <v>717</v>
      </c>
      <c r="AA137" s="71" t="s">
        <v>308</v>
      </c>
      <c r="AB137" s="77" t="s">
        <v>734</v>
      </c>
      <c r="AC137" s="130">
        <f>IFERROR(OAK_H194[[#This Row],[H]]/OAK_H194[[#This Row],[AB]],0)</f>
        <v>0.20689655172413793</v>
      </c>
      <c r="AD137" s="72">
        <f>IFERROR((OAK_H194[[#This Row],[H]]+OAK_H194[[#This Row],[BB]])/(OAK_H194[[#This Row],[BB]]+OAK_H194[[#This Row],[AB]]),0)</f>
        <v>0.25806451612903225</v>
      </c>
      <c r="AE137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0.37931034482758619</v>
      </c>
      <c r="AF137" s="28">
        <v>8</v>
      </c>
      <c r="AG137" s="28">
        <v>29</v>
      </c>
      <c r="AH137" s="28">
        <v>2</v>
      </c>
      <c r="AI137" s="28">
        <v>6</v>
      </c>
      <c r="AJ137" s="28">
        <v>2</v>
      </c>
      <c r="AK137" s="28">
        <v>0</v>
      </c>
      <c r="AL137" s="28">
        <v>1</v>
      </c>
      <c r="AM137" s="28">
        <v>4</v>
      </c>
      <c r="AN137" s="28">
        <v>2</v>
      </c>
      <c r="AO137" s="74">
        <v>5</v>
      </c>
      <c r="AP137" s="28">
        <v>0</v>
      </c>
      <c r="AQ137" s="28">
        <v>0</v>
      </c>
      <c r="AR137" s="74">
        <v>1</v>
      </c>
      <c r="AS137" s="28">
        <f>IFERROR((OAK_H194[[#This Row],[H]]-OAK_H194[[#This Row],[2B]]-OAK_H194[[#This Row],[3B]]-OAK_H194[[#This Row],[HR]])+(OAK_H194[[#This Row],[2B]]*2)+(OAK_H194[[#This Row],[3B]]*3)+(OAK_H194[[#This Row],[HR]]*4),0)</f>
        <v>11</v>
      </c>
      <c r="AT137" s="72">
        <f>OAK_H194[[#This Row],[OBP]]+OAK_H194[[#This Row],[SLG]]</f>
        <v>0.63737486095661844</v>
      </c>
      <c r="AU137" s="74">
        <v>1</v>
      </c>
      <c r="AV137" s="615">
        <v>10</v>
      </c>
      <c r="AY137" s="651" t="s">
        <v>717</v>
      </c>
      <c r="AZ137" s="74" t="s">
        <v>179</v>
      </c>
      <c r="BA137" s="71" t="s">
        <v>741</v>
      </c>
      <c r="BB137" s="72">
        <f>IFERROR(OAK_H180[[#This Row],[H]]/OAK_H180[[#This Row],[AB]],0)</f>
        <v>7.1428571428571425E-2</v>
      </c>
      <c r="BC137" s="72">
        <f>IFERROR((OAK_H180[[#This Row],[BB]]+OAK_H180[[#This Row],[H]])/(OAK_H180[[#This Row],[AB]]+OAK_H180[[#This Row],[BB]]),0)</f>
        <v>0.1875</v>
      </c>
      <c r="BD137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0.14285714285714285</v>
      </c>
      <c r="BE137" s="28">
        <v>6</v>
      </c>
      <c r="BF137" s="28">
        <v>14</v>
      </c>
      <c r="BG137" s="28">
        <v>1</v>
      </c>
      <c r="BH137" s="28">
        <v>1</v>
      </c>
      <c r="BI137" s="28">
        <v>1</v>
      </c>
      <c r="BJ137" s="28">
        <v>0</v>
      </c>
      <c r="BK137" s="28">
        <v>0</v>
      </c>
      <c r="BL137" s="28">
        <v>0</v>
      </c>
      <c r="BM137" s="28">
        <v>2</v>
      </c>
      <c r="BN137" s="74">
        <v>5</v>
      </c>
      <c r="BO137" s="28">
        <v>0</v>
      </c>
      <c r="BP137" s="28">
        <v>0</v>
      </c>
      <c r="BQ137" s="74">
        <v>1</v>
      </c>
      <c r="BR137" s="28">
        <f>IFERROR((OAK_H180[[#This Row],[H]]-OAK_H180[[#This Row],[2B]]-OAK_H180[[#This Row],[3B]]-OAK_H180[[#This Row],[HR]])+(OAK_H180[[#This Row],[2B]]*2)+(OAK_H180[[#This Row],[3B]]*3)+(OAK_H180[[#This Row],[HR]]*4),0)</f>
        <v>2</v>
      </c>
      <c r="BS137" s="72">
        <f>IFERROR(OAK_H180[[#This Row],[OBP]]+OAK_H180[[#This Row],[SLG]],0)</f>
        <v>0.33035714285714285</v>
      </c>
      <c r="BT137" s="74">
        <v>0</v>
      </c>
      <c r="BU137" s="615">
        <v>10</v>
      </c>
    </row>
    <row r="138" spans="1:73">
      <c r="A138" s="651" t="s">
        <v>717</v>
      </c>
      <c r="B138" s="71" t="s">
        <v>192</v>
      </c>
      <c r="C138" s="71" t="s">
        <v>737</v>
      </c>
      <c r="D138" s="72">
        <f>IFERROR(OAK_H[[#This Row],[H]]/OAK_H[[#This Row],[AB]],0)</f>
        <v>0</v>
      </c>
      <c r="E138" s="72">
        <f>IFERROR((OAK_H[[#This Row],[H]]+OAK_H[[#This Row],[BB]])/(OAK_H[[#This Row],[BB]]+OAK_H[[#This Row],[AB]]),0)</f>
        <v>0</v>
      </c>
      <c r="F138" s="73">
        <f>IFERROR(((OAK_H[[#This Row],[H]]-OAK_H[[#This Row],[2B]]-OAK_H[[#This Row],[3B]]-OAK_H[[#This Row],[HR]])+(OAK_H[[#This Row],[2B]]*2)+(OAK_H[[#This Row],[3B]]*3)+(OAK_H[[#This Row],[HR]]*4))/OAK_H[[#This Row],[AB]],0)</f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74">
        <v>0</v>
      </c>
      <c r="Q138" s="28">
        <v>0</v>
      </c>
      <c r="R138" s="28">
        <v>0</v>
      </c>
      <c r="S138" s="74">
        <v>0</v>
      </c>
      <c r="T138" s="28">
        <f>IFERROR((OAK_H[[#This Row],[H]]-OAK_H[[#This Row],[2B]]-OAK_H[[#This Row],[3B]]-OAK_H[[#This Row],[HR]])+(OAK_H[[#This Row],[2B]]*2)+(OAK_H[[#This Row],[3B]]*3)+(OAK_H[[#This Row],[HR]]*4),0)</f>
        <v>0</v>
      </c>
      <c r="U138" s="72">
        <f>OAK_H[[#This Row],[OBP]]+OAK_H[[#This Row],[SLG]]</f>
        <v>0</v>
      </c>
      <c r="V138" s="74">
        <v>0</v>
      </c>
      <c r="W138" s="615">
        <v>11</v>
      </c>
      <c r="Z138" s="651" t="s">
        <v>717</v>
      </c>
      <c r="AA138" s="71" t="s">
        <v>192</v>
      </c>
      <c r="AB138" s="77" t="s">
        <v>740</v>
      </c>
      <c r="AC138" s="130">
        <f>IFERROR(OAK_H194[[#This Row],[H]]/OAK_H194[[#This Row],[AB]],0)</f>
        <v>0.18518518518518517</v>
      </c>
      <c r="AD138" s="72">
        <f>IFERROR((OAK_H194[[#This Row],[H]]+OAK_H194[[#This Row],[BB]])/(OAK_H194[[#This Row],[BB]]+OAK_H194[[#This Row],[AB]]),0)</f>
        <v>0.29032258064516131</v>
      </c>
      <c r="AE138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0.18518518518518517</v>
      </c>
      <c r="AF138" s="28">
        <v>8</v>
      </c>
      <c r="AG138" s="28">
        <v>27</v>
      </c>
      <c r="AH138" s="28">
        <v>4</v>
      </c>
      <c r="AI138" s="28">
        <v>5</v>
      </c>
      <c r="AJ138" s="28">
        <v>0</v>
      </c>
      <c r="AK138" s="28">
        <v>0</v>
      </c>
      <c r="AL138" s="28">
        <v>0</v>
      </c>
      <c r="AM138" s="28">
        <v>0</v>
      </c>
      <c r="AN138" s="28">
        <v>4</v>
      </c>
      <c r="AO138" s="74">
        <v>4</v>
      </c>
      <c r="AP138" s="28">
        <v>0</v>
      </c>
      <c r="AQ138" s="28">
        <v>1</v>
      </c>
      <c r="AR138" s="74">
        <v>2</v>
      </c>
      <c r="AS138" s="28">
        <f>IFERROR((OAK_H194[[#This Row],[H]]-OAK_H194[[#This Row],[2B]]-OAK_H194[[#This Row],[3B]]-OAK_H194[[#This Row],[HR]])+(OAK_H194[[#This Row],[2B]]*2)+(OAK_H194[[#This Row],[3B]]*3)+(OAK_H194[[#This Row],[HR]]*4),0)</f>
        <v>5</v>
      </c>
      <c r="AT138" s="72">
        <f>OAK_H194[[#This Row],[OBP]]+OAK_H194[[#This Row],[SLG]]</f>
        <v>0.47550776583034648</v>
      </c>
      <c r="AU138" s="74">
        <v>0</v>
      </c>
      <c r="AV138" s="615">
        <v>11</v>
      </c>
      <c r="AY138" s="651" t="s">
        <v>717</v>
      </c>
      <c r="AZ138" s="74" t="s">
        <v>187</v>
      </c>
      <c r="BA138" s="71" t="s">
        <v>736</v>
      </c>
      <c r="BB138" s="72">
        <f>IFERROR(OAK_H180[[#This Row],[H]]/OAK_H180[[#This Row],[AB]],0)</f>
        <v>0.25806451612903225</v>
      </c>
      <c r="BC138" s="72">
        <f>IFERROR((OAK_H180[[#This Row],[BB]]+OAK_H180[[#This Row],[H]])/(OAK_H180[[#This Row],[AB]]+OAK_H180[[#This Row],[BB]]),0)</f>
        <v>0.29230769230769232</v>
      </c>
      <c r="BD138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0.40322580645161288</v>
      </c>
      <c r="BE138" s="28">
        <v>21</v>
      </c>
      <c r="BF138" s="28">
        <v>62</v>
      </c>
      <c r="BG138" s="28">
        <v>6</v>
      </c>
      <c r="BH138" s="28">
        <v>16</v>
      </c>
      <c r="BI138" s="28">
        <v>3</v>
      </c>
      <c r="BJ138" s="28">
        <v>0</v>
      </c>
      <c r="BK138" s="28">
        <v>2</v>
      </c>
      <c r="BL138" s="28">
        <v>8</v>
      </c>
      <c r="BM138" s="28">
        <v>3</v>
      </c>
      <c r="BN138" s="74">
        <v>21</v>
      </c>
      <c r="BO138" s="28">
        <v>0</v>
      </c>
      <c r="BP138" s="28">
        <v>2</v>
      </c>
      <c r="BQ138" s="74">
        <v>4</v>
      </c>
      <c r="BR138" s="28">
        <f>IFERROR((OAK_H180[[#This Row],[H]]-OAK_H180[[#This Row],[2B]]-OAK_H180[[#This Row],[3B]]-OAK_H180[[#This Row],[HR]])+(OAK_H180[[#This Row],[2B]]*2)+(OAK_H180[[#This Row],[3B]]*3)+(OAK_H180[[#This Row],[HR]]*4),0)</f>
        <v>25</v>
      </c>
      <c r="BS138" s="72">
        <f>IFERROR(OAK_H180[[#This Row],[OBP]]+OAK_H180[[#This Row],[SLG]],0)</f>
        <v>0.69553349875930515</v>
      </c>
      <c r="BT138" s="74">
        <v>0</v>
      </c>
      <c r="BU138" s="615">
        <v>11</v>
      </c>
    </row>
    <row r="139" spans="1:73">
      <c r="A139" s="651" t="s">
        <v>717</v>
      </c>
      <c r="B139" s="77" t="s">
        <v>187</v>
      </c>
      <c r="C139" s="77" t="s">
        <v>731</v>
      </c>
      <c r="D139" s="996">
        <f>IFERROR(OAK_H[[#This Row],[H]]/OAK_H[[#This Row],[AB]],0)</f>
        <v>0.125</v>
      </c>
      <c r="E139" s="72">
        <f>IFERROR((OAK_H[[#This Row],[H]]+OAK_H[[#This Row],[BB]])/(OAK_H[[#This Row],[BB]]+OAK_H[[#This Row],[AB]]),0)</f>
        <v>0.16</v>
      </c>
      <c r="F139" s="73">
        <f>IFERROR(((OAK_H[[#This Row],[H]]-OAK_H[[#This Row],[2B]]-OAK_H[[#This Row],[3B]]-OAK_H[[#This Row],[HR]])+(OAK_H[[#This Row],[2B]]*2)+(OAK_H[[#This Row],[3B]]*3)+(OAK_H[[#This Row],[HR]]*4))/OAK_H[[#This Row],[AB]],0)</f>
        <v>0.125</v>
      </c>
      <c r="G139" s="28">
        <v>7</v>
      </c>
      <c r="H139" s="28">
        <v>24</v>
      </c>
      <c r="I139" s="28">
        <v>1</v>
      </c>
      <c r="J139" s="28">
        <v>3</v>
      </c>
      <c r="K139" s="28">
        <v>0</v>
      </c>
      <c r="L139" s="28">
        <v>0</v>
      </c>
      <c r="M139" s="28">
        <v>0</v>
      </c>
      <c r="N139" s="28">
        <v>2</v>
      </c>
      <c r="O139" s="28">
        <v>1</v>
      </c>
      <c r="P139" s="74">
        <v>4</v>
      </c>
      <c r="Q139" s="28">
        <v>0</v>
      </c>
      <c r="R139" s="28">
        <v>0</v>
      </c>
      <c r="S139" s="74">
        <v>2</v>
      </c>
      <c r="T139" s="28">
        <f>IFERROR((OAK_H[[#This Row],[H]]-OAK_H[[#This Row],[2B]]-OAK_H[[#This Row],[3B]]-OAK_H[[#This Row],[HR]])+(OAK_H[[#This Row],[2B]]*2)+(OAK_H[[#This Row],[3B]]*3)+(OAK_H[[#This Row],[HR]]*4),0)</f>
        <v>3</v>
      </c>
      <c r="U139" s="72">
        <f>OAK_H[[#This Row],[OBP]]+OAK_H[[#This Row],[SLG]]</f>
        <v>0.28500000000000003</v>
      </c>
      <c r="V139" s="74">
        <v>0</v>
      </c>
      <c r="W139" s="615">
        <v>12</v>
      </c>
      <c r="Z139" s="651" t="s">
        <v>717</v>
      </c>
      <c r="AA139" s="71" t="s">
        <v>192</v>
      </c>
      <c r="AB139" s="77" t="s">
        <v>738</v>
      </c>
      <c r="AC139" s="130">
        <f>IFERROR(OAK_H194[[#This Row],[H]]/OAK_H194[[#This Row],[AB]],0)</f>
        <v>0.15384615384615385</v>
      </c>
      <c r="AD139" s="72">
        <f>IFERROR((OAK_H194[[#This Row],[H]]+OAK_H194[[#This Row],[BB]])/(OAK_H194[[#This Row],[BB]]+OAK_H194[[#This Row],[AB]]),0)</f>
        <v>0.2413793103448276</v>
      </c>
      <c r="AE139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0.19230769230769232</v>
      </c>
      <c r="AF139" s="28">
        <v>9</v>
      </c>
      <c r="AG139" s="28">
        <v>26</v>
      </c>
      <c r="AH139" s="28">
        <v>3</v>
      </c>
      <c r="AI139" s="28">
        <v>4</v>
      </c>
      <c r="AJ139" s="28">
        <v>1</v>
      </c>
      <c r="AK139" s="28">
        <v>0</v>
      </c>
      <c r="AL139" s="28">
        <v>0</v>
      </c>
      <c r="AM139" s="28">
        <v>1</v>
      </c>
      <c r="AN139" s="28">
        <v>3</v>
      </c>
      <c r="AO139" s="74">
        <v>4</v>
      </c>
      <c r="AP139" s="28">
        <v>0</v>
      </c>
      <c r="AQ139" s="28">
        <v>0</v>
      </c>
      <c r="AR139" s="74">
        <v>4</v>
      </c>
      <c r="AS139" s="28">
        <f>IFERROR((OAK_H194[[#This Row],[H]]-OAK_H194[[#This Row],[2B]]-OAK_H194[[#This Row],[3B]]-OAK_H194[[#This Row],[HR]])+(OAK_H194[[#This Row],[2B]]*2)+(OAK_H194[[#This Row],[3B]]*3)+(OAK_H194[[#This Row],[HR]]*4),0)</f>
        <v>5</v>
      </c>
      <c r="AT139" s="72">
        <f>OAK_H194[[#This Row],[OBP]]+OAK_H194[[#This Row],[SLG]]</f>
        <v>0.43368700265251992</v>
      </c>
      <c r="AU139" s="74">
        <v>0</v>
      </c>
      <c r="AV139" s="615">
        <v>12</v>
      </c>
      <c r="AY139" s="651" t="s">
        <v>717</v>
      </c>
      <c r="AZ139" s="74" t="s">
        <v>186</v>
      </c>
      <c r="BA139" s="71" t="s">
        <v>732</v>
      </c>
      <c r="BB139" s="72">
        <f>IFERROR(OAK_H180[[#This Row],[H]]/OAK_H180[[#This Row],[AB]],0)</f>
        <v>0.20370370370370369</v>
      </c>
      <c r="BC139" s="72">
        <f>IFERROR((OAK_H180[[#This Row],[BB]]+OAK_H180[[#This Row],[H]])/(OAK_H180[[#This Row],[AB]]+OAK_H180[[#This Row],[BB]]),0)</f>
        <v>0.21818181818181817</v>
      </c>
      <c r="BD139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0.42592592592592593</v>
      </c>
      <c r="BE139" s="28">
        <v>19</v>
      </c>
      <c r="BF139" s="28">
        <v>54</v>
      </c>
      <c r="BG139" s="28">
        <v>8</v>
      </c>
      <c r="BH139" s="28">
        <v>11</v>
      </c>
      <c r="BI139" s="28">
        <v>1</v>
      </c>
      <c r="BJ139" s="28">
        <v>1</v>
      </c>
      <c r="BK139" s="28">
        <v>3</v>
      </c>
      <c r="BL139" s="28">
        <v>7</v>
      </c>
      <c r="BM139" s="28">
        <v>1</v>
      </c>
      <c r="BN139" s="74">
        <v>15</v>
      </c>
      <c r="BO139" s="28">
        <v>0</v>
      </c>
      <c r="BP139" s="28">
        <v>0</v>
      </c>
      <c r="BQ139" s="74">
        <v>3</v>
      </c>
      <c r="BR139" s="28">
        <f>IFERROR((OAK_H180[[#This Row],[H]]-OAK_H180[[#This Row],[2B]]-OAK_H180[[#This Row],[3B]]-OAK_H180[[#This Row],[HR]])+(OAK_H180[[#This Row],[2B]]*2)+(OAK_H180[[#This Row],[3B]]*3)+(OAK_H180[[#This Row],[HR]]*4),0)</f>
        <v>23</v>
      </c>
      <c r="BS139" s="72">
        <f>IFERROR(OAK_H180[[#This Row],[OBP]]+OAK_H180[[#This Row],[SLG]],0)</f>
        <v>0.64410774410774407</v>
      </c>
      <c r="BT139" s="74">
        <v>0</v>
      </c>
      <c r="BU139" s="615">
        <v>12</v>
      </c>
    </row>
    <row r="140" spans="1:73">
      <c r="A140" s="651" t="s">
        <v>717</v>
      </c>
      <c r="B140" s="71" t="s">
        <v>186</v>
      </c>
      <c r="C140" s="71" t="s">
        <v>732</v>
      </c>
      <c r="D140" s="72">
        <f>IFERROR(OAK_H[[#This Row],[H]]/OAK_H[[#This Row],[AB]],0)</f>
        <v>0.13157894736842105</v>
      </c>
      <c r="E140" s="72">
        <f>IFERROR((OAK_H[[#This Row],[H]]+OAK_H[[#This Row],[BB]])/(OAK_H[[#This Row],[BB]]+OAK_H[[#This Row],[AB]]),0)</f>
        <v>0.15384615384615385</v>
      </c>
      <c r="F140" s="73">
        <f>IFERROR(((OAK_H[[#This Row],[H]]-OAK_H[[#This Row],[2B]]-OAK_H[[#This Row],[3B]]-OAK_H[[#This Row],[HR]])+(OAK_H[[#This Row],[2B]]*2)+(OAK_H[[#This Row],[3B]]*3)+(OAK_H[[#This Row],[HR]]*4))/OAK_H[[#This Row],[AB]],0)</f>
        <v>0.18421052631578946</v>
      </c>
      <c r="G140" s="28">
        <v>11</v>
      </c>
      <c r="H140" s="28">
        <v>38</v>
      </c>
      <c r="I140" s="28">
        <v>4</v>
      </c>
      <c r="J140" s="28">
        <v>5</v>
      </c>
      <c r="K140" s="28">
        <v>2</v>
      </c>
      <c r="L140" s="28">
        <v>0</v>
      </c>
      <c r="M140" s="28">
        <v>0</v>
      </c>
      <c r="N140" s="28">
        <v>4</v>
      </c>
      <c r="O140" s="28">
        <v>1</v>
      </c>
      <c r="P140" s="74">
        <v>14</v>
      </c>
      <c r="Q140" s="28">
        <v>0</v>
      </c>
      <c r="R140" s="28">
        <v>0</v>
      </c>
      <c r="S140" s="74">
        <v>2</v>
      </c>
      <c r="T140" s="28">
        <f>IFERROR((OAK_H[[#This Row],[H]]-OAK_H[[#This Row],[2B]]-OAK_H[[#This Row],[3B]]-OAK_H[[#This Row],[HR]])+(OAK_H[[#This Row],[2B]]*2)+(OAK_H[[#This Row],[3B]]*3)+(OAK_H[[#This Row],[HR]]*4),0)</f>
        <v>7</v>
      </c>
      <c r="U140" s="72">
        <f>OAK_H[[#This Row],[OBP]]+OAK_H[[#This Row],[SLG]]</f>
        <v>0.33805668016194335</v>
      </c>
      <c r="V140" s="74">
        <v>1</v>
      </c>
      <c r="W140" s="615">
        <v>13</v>
      </c>
      <c r="Z140" s="651" t="s">
        <v>717</v>
      </c>
      <c r="AA140" s="71" t="s">
        <v>186</v>
      </c>
      <c r="AB140" s="77" t="s">
        <v>735</v>
      </c>
      <c r="AC140" s="130">
        <f>IFERROR(OAK_H194[[#This Row],[H]]/OAK_H194[[#This Row],[AB]],0)</f>
        <v>0.15294117647058825</v>
      </c>
      <c r="AD140" s="72">
        <f>IFERROR((OAK_H194[[#This Row],[H]]+OAK_H194[[#This Row],[BB]])/(OAK_H194[[#This Row],[BB]]+OAK_H194[[#This Row],[AB]]),0)</f>
        <v>0.25</v>
      </c>
      <c r="AE140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0.27058823529411763</v>
      </c>
      <c r="AF140" s="28">
        <v>22</v>
      </c>
      <c r="AG140" s="28">
        <v>85</v>
      </c>
      <c r="AH140" s="28">
        <v>4</v>
      </c>
      <c r="AI140" s="28">
        <v>13</v>
      </c>
      <c r="AJ140" s="28">
        <v>1</v>
      </c>
      <c r="AK140" s="28">
        <v>0</v>
      </c>
      <c r="AL140" s="28">
        <v>3</v>
      </c>
      <c r="AM140" s="28">
        <v>9</v>
      </c>
      <c r="AN140" s="28">
        <v>11</v>
      </c>
      <c r="AO140" s="74">
        <v>29</v>
      </c>
      <c r="AP140" s="28">
        <v>0</v>
      </c>
      <c r="AQ140" s="28">
        <v>0</v>
      </c>
      <c r="AR140" s="74">
        <v>7</v>
      </c>
      <c r="AS140" s="28">
        <f>IFERROR((OAK_H194[[#This Row],[H]]-OAK_H194[[#This Row],[2B]]-OAK_H194[[#This Row],[3B]]-OAK_H194[[#This Row],[HR]])+(OAK_H194[[#This Row],[2B]]*2)+(OAK_H194[[#This Row],[3B]]*3)+(OAK_H194[[#This Row],[HR]]*4),0)</f>
        <v>23</v>
      </c>
      <c r="AT140" s="72">
        <f>OAK_H194[[#This Row],[OBP]]+OAK_H194[[#This Row],[SLG]]</f>
        <v>0.52058823529411757</v>
      </c>
      <c r="AU140" s="74">
        <v>1</v>
      </c>
      <c r="AV140" s="615">
        <v>13</v>
      </c>
      <c r="AY140" s="651" t="s">
        <v>717</v>
      </c>
      <c r="AZ140" s="74" t="s">
        <v>186</v>
      </c>
      <c r="BA140" s="71" t="s">
        <v>735</v>
      </c>
      <c r="BB140" s="72">
        <f>IFERROR(OAK_H180[[#This Row],[H]]/OAK_H180[[#This Row],[AB]],0)</f>
        <v>0.2318840579710145</v>
      </c>
      <c r="BC140" s="72">
        <f>IFERROR((OAK_H180[[#This Row],[BB]]+OAK_H180[[#This Row],[H]])/(OAK_H180[[#This Row],[AB]]+OAK_H180[[#This Row],[BB]]),0)</f>
        <v>0.30263157894736842</v>
      </c>
      <c r="BD140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0.34782608695652173</v>
      </c>
      <c r="BE140" s="28">
        <v>24</v>
      </c>
      <c r="BF140" s="28">
        <v>69</v>
      </c>
      <c r="BG140" s="28">
        <v>6</v>
      </c>
      <c r="BH140" s="28">
        <v>16</v>
      </c>
      <c r="BI140" s="28">
        <v>2</v>
      </c>
      <c r="BJ140" s="28">
        <v>0</v>
      </c>
      <c r="BK140" s="28">
        <v>2</v>
      </c>
      <c r="BL140" s="28">
        <v>6</v>
      </c>
      <c r="BM140" s="28">
        <v>7</v>
      </c>
      <c r="BN140" s="74">
        <v>28</v>
      </c>
      <c r="BO140" s="28">
        <v>0</v>
      </c>
      <c r="BP140" s="28">
        <v>1</v>
      </c>
      <c r="BQ140" s="74">
        <v>4</v>
      </c>
      <c r="BR140" s="28">
        <f>IFERROR((OAK_H180[[#This Row],[H]]-OAK_H180[[#This Row],[2B]]-OAK_H180[[#This Row],[3B]]-OAK_H180[[#This Row],[HR]])+(OAK_H180[[#This Row],[2B]]*2)+(OAK_H180[[#This Row],[3B]]*3)+(OAK_H180[[#This Row],[HR]]*4),0)</f>
        <v>24</v>
      </c>
      <c r="BS140" s="72">
        <f>IFERROR(OAK_H180[[#This Row],[OBP]]+OAK_H180[[#This Row],[SLG]],0)</f>
        <v>0.65045766590389009</v>
      </c>
      <c r="BT140" s="74">
        <v>0</v>
      </c>
      <c r="BU140" s="615">
        <v>13</v>
      </c>
    </row>
    <row r="141" spans="1:73" ht="17" thickBot="1">
      <c r="A141" s="651" t="s">
        <v>717</v>
      </c>
      <c r="B141" s="71" t="s">
        <v>184</v>
      </c>
      <c r="C141" s="71" t="s">
        <v>739</v>
      </c>
      <c r="D141" s="72">
        <f>IFERROR(OAK_H[[#This Row],[H]]/OAK_H[[#This Row],[AB]],0)</f>
        <v>0</v>
      </c>
      <c r="E141" s="72">
        <f>IFERROR((OAK_H[[#This Row],[H]]+OAK_H[[#This Row],[BB]])/(OAK_H[[#This Row],[BB]]+OAK_H[[#This Row],[AB]]),0)</f>
        <v>0</v>
      </c>
      <c r="F141" s="73">
        <f>IFERROR(((OAK_H[[#This Row],[H]]-OAK_H[[#This Row],[2B]]-OAK_H[[#This Row],[3B]]-OAK_H[[#This Row],[HR]])+(OAK_H[[#This Row],[2B]]*2)+(OAK_H[[#This Row],[3B]]*3)+(OAK_H[[#This Row],[HR]]*4))/OAK_H[[#This Row],[AB]],0)</f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74">
        <v>0</v>
      </c>
      <c r="Q141" s="28">
        <v>0</v>
      </c>
      <c r="R141" s="28">
        <v>0</v>
      </c>
      <c r="S141" s="74">
        <v>0</v>
      </c>
      <c r="T141" s="28">
        <f>IFERROR((OAK_H[[#This Row],[H]]-OAK_H[[#This Row],[2B]]-OAK_H[[#This Row],[3B]]-OAK_H[[#This Row],[HR]])+(OAK_H[[#This Row],[2B]]*2)+(OAK_H[[#This Row],[3B]]*3)+(OAK_H[[#This Row],[HR]]*4),0)</f>
        <v>0</v>
      </c>
      <c r="U141" s="72">
        <f>OAK_H[[#This Row],[OBP]]+OAK_H[[#This Row],[SLG]]</f>
        <v>0</v>
      </c>
      <c r="V141" s="74">
        <v>0</v>
      </c>
      <c r="W141" s="615">
        <v>14</v>
      </c>
      <c r="Z141" s="651" t="s">
        <v>717</v>
      </c>
      <c r="AA141" s="71" t="s">
        <v>186</v>
      </c>
      <c r="AB141" s="77" t="s">
        <v>729</v>
      </c>
      <c r="AC141" s="130">
        <f>IFERROR(OAK_H194[[#This Row],[H]]/OAK_H194[[#This Row],[AB]],0)</f>
        <v>0.16438356164383561</v>
      </c>
      <c r="AD141" s="72">
        <f>IFERROR((OAK_H194[[#This Row],[H]]+OAK_H194[[#This Row],[BB]])/(OAK_H194[[#This Row],[BB]]+OAK_H194[[#This Row],[AB]]),0)</f>
        <v>0.22784810126582278</v>
      </c>
      <c r="AE141" s="73">
        <f>IFERROR(((OAK_H194[[#This Row],[H]]-OAK_H194[[#This Row],[2B]]-OAK_H194[[#This Row],[3B]]-OAK_H194[[#This Row],[HR]])+(OAK_H194[[#This Row],[2B]]*2)+(OAK_H194[[#This Row],[3B]]*3)+(OAK_H194[[#This Row],[HR]]*4))/OAK_H194[[#This Row],[AB]],0)</f>
        <v>0.31506849315068491</v>
      </c>
      <c r="AF141" s="28">
        <v>19</v>
      </c>
      <c r="AG141" s="28">
        <v>73</v>
      </c>
      <c r="AH141" s="28">
        <v>7</v>
      </c>
      <c r="AI141" s="28">
        <v>12</v>
      </c>
      <c r="AJ141" s="28">
        <v>2</v>
      </c>
      <c r="AK141" s="28">
        <v>0</v>
      </c>
      <c r="AL141" s="28">
        <v>3</v>
      </c>
      <c r="AM141" s="28">
        <v>10</v>
      </c>
      <c r="AN141" s="28">
        <v>6</v>
      </c>
      <c r="AO141" s="74">
        <v>27</v>
      </c>
      <c r="AP141" s="28">
        <v>0</v>
      </c>
      <c r="AQ141" s="28">
        <v>0</v>
      </c>
      <c r="AR141" s="74">
        <v>3</v>
      </c>
      <c r="AS141" s="28">
        <f>IFERROR((OAK_H194[[#This Row],[H]]-OAK_H194[[#This Row],[2B]]-OAK_H194[[#This Row],[3B]]-OAK_H194[[#This Row],[HR]])+(OAK_H194[[#This Row],[2B]]*2)+(OAK_H194[[#This Row],[3B]]*3)+(OAK_H194[[#This Row],[HR]]*4),0)</f>
        <v>23</v>
      </c>
      <c r="AT141" s="72">
        <f>OAK_H194[[#This Row],[OBP]]+OAK_H194[[#This Row],[SLG]]</f>
        <v>0.54291659441650775</v>
      </c>
      <c r="AU141" s="74">
        <v>1</v>
      </c>
      <c r="AV141" s="615">
        <v>14</v>
      </c>
      <c r="AY141" s="651" t="s">
        <v>717</v>
      </c>
      <c r="AZ141" s="74" t="s">
        <v>186</v>
      </c>
      <c r="BA141" s="71" t="s">
        <v>729</v>
      </c>
      <c r="BB141" s="72">
        <f>IFERROR(OAK_H180[[#This Row],[H]]/OAK_H180[[#This Row],[AB]],0)</f>
        <v>0.34848484848484851</v>
      </c>
      <c r="BC141" s="72">
        <f>IFERROR((OAK_H180[[#This Row],[BB]]+OAK_H180[[#This Row],[H]])/(OAK_H180[[#This Row],[AB]]+OAK_H180[[#This Row],[BB]]),0)</f>
        <v>0.39436619718309857</v>
      </c>
      <c r="BD141" s="73">
        <f>IFERROR(((OAK_H180[[#This Row],[H]]-OAK_H180[[#This Row],[2B]]-OAK_H180[[#This Row],[3B]]-OAK_H180[[#This Row],[HR]])+(OAK_H180[[#This Row],[2B]]*2)+(OAK_H180[[#This Row],[3B]]*3)+(OAK_H180[[#This Row],[HR]]*4))/OAK_H180[[#This Row],[AB]],0)</f>
        <v>0.74242424242424243</v>
      </c>
      <c r="BE141" s="28">
        <v>22</v>
      </c>
      <c r="BF141" s="28">
        <v>66</v>
      </c>
      <c r="BG141" s="28">
        <v>10</v>
      </c>
      <c r="BH141" s="28">
        <v>23</v>
      </c>
      <c r="BI141" s="28">
        <v>6</v>
      </c>
      <c r="BJ141" s="28">
        <v>1</v>
      </c>
      <c r="BK141" s="28">
        <v>6</v>
      </c>
      <c r="BL141" s="28">
        <v>12</v>
      </c>
      <c r="BM141" s="28">
        <v>5</v>
      </c>
      <c r="BN141" s="74">
        <v>16</v>
      </c>
      <c r="BO141" s="28">
        <v>0</v>
      </c>
      <c r="BP141" s="28">
        <v>7</v>
      </c>
      <c r="BQ141" s="74">
        <v>7</v>
      </c>
      <c r="BR141" s="28">
        <f>IFERROR((OAK_H180[[#This Row],[H]]-OAK_H180[[#This Row],[2B]]-OAK_H180[[#This Row],[3B]]-OAK_H180[[#This Row],[HR]])+(OAK_H180[[#This Row],[2B]]*2)+(OAK_H180[[#This Row],[3B]]*3)+(OAK_H180[[#This Row],[HR]]*4),0)</f>
        <v>49</v>
      </c>
      <c r="BS141" s="72">
        <f>IFERROR(OAK_H180[[#This Row],[OBP]]+OAK_H180[[#This Row],[SLG]],0)</f>
        <v>1.1367904396073409</v>
      </c>
      <c r="BT141" s="74">
        <v>4</v>
      </c>
      <c r="BU141" s="615">
        <v>14</v>
      </c>
    </row>
    <row r="142" spans="1:73" ht="17" thickBot="1">
      <c r="A142" s="789"/>
      <c r="B142" s="790"/>
      <c r="C142" s="791" t="s">
        <v>195</v>
      </c>
      <c r="D142" s="792">
        <f>J142/H142</f>
        <v>0.25379609544468545</v>
      </c>
      <c r="E142" s="792">
        <f>(J142+O142)/(H142+O142)</f>
        <v>0.32283464566929132</v>
      </c>
      <c r="F142" s="793">
        <f>((J142-K142-L142-M142)+(K142*2)+(L142*3)+(M142*4))/H142</f>
        <v>0.42805495300072305</v>
      </c>
      <c r="G142" s="794"/>
      <c r="H142" s="794">
        <f>SUBTOTAL(109,OAK_H[AB])</f>
        <v>1383</v>
      </c>
      <c r="I142" s="794">
        <f>SUBTOTAL(109,OAK_H[R])</f>
        <v>181</v>
      </c>
      <c r="J142" s="794">
        <f>SUBTOTAL(109,OAK_H[H])</f>
        <v>351</v>
      </c>
      <c r="K142" s="794">
        <f>SUBTOTAL(109,OAK_H[2B])</f>
        <v>68</v>
      </c>
      <c r="L142" s="794">
        <f>SUBTOTAL(109,OAK_H[3B])</f>
        <v>4</v>
      </c>
      <c r="M142" s="794">
        <f>SUBTOTAL(109,OAK_H[HR])</f>
        <v>55</v>
      </c>
      <c r="N142" s="794">
        <f>SUBTOTAL(109,OAK_H[RBI])</f>
        <v>181</v>
      </c>
      <c r="O142" s="794">
        <f>SUBTOTAL(109,OAK_H[BB])</f>
        <v>141</v>
      </c>
      <c r="P142" s="796">
        <f>SUBTOTAL(109,OAK_H[K])</f>
        <v>326</v>
      </c>
      <c r="Q142" s="794">
        <f>SUBTOTAL(109,OAK_H[SB])</f>
        <v>31</v>
      </c>
      <c r="R142" s="794"/>
      <c r="S142" s="796"/>
      <c r="T142" s="794">
        <f>SUBTOTAL(109,OAK_H[TB])</f>
        <v>592</v>
      </c>
      <c r="U142" s="792">
        <f>F142+E142</f>
        <v>0.75088959867001437</v>
      </c>
      <c r="V142" s="796">
        <f>SUBTOTAL(109,OAK_H[*])</f>
        <v>16</v>
      </c>
      <c r="W142" s="797"/>
      <c r="Z142" s="789"/>
      <c r="AA142" s="790"/>
      <c r="AB142" s="791" t="s">
        <v>195</v>
      </c>
      <c r="AC142" s="792">
        <f>AI142/AG142</f>
        <v>0.21276595744680851</v>
      </c>
      <c r="AD142" s="792">
        <f>(AI142+AN142)/(AG142+AN142)</f>
        <v>0.28709055876685935</v>
      </c>
      <c r="AE142" s="793">
        <f>((AI142-AJ142-AK142-AL142)+(AJ142*2)+(AK142*3)+(AL142*4))/AG142</f>
        <v>0.35106382978723405</v>
      </c>
      <c r="AF142" s="794"/>
      <c r="AG142" s="794">
        <f>SUBTOTAL(109,OAK_H194[AB])</f>
        <v>1410</v>
      </c>
      <c r="AH142" s="794">
        <f>SUBTOTAL(109,OAK_H194[R])</f>
        <v>139</v>
      </c>
      <c r="AI142" s="794">
        <f>SUBTOTAL(109,OAK_H194[H])</f>
        <v>300</v>
      </c>
      <c r="AJ142" s="794">
        <f>SUBTOTAL(109,OAK_H194[2B])</f>
        <v>51</v>
      </c>
      <c r="AK142" s="794">
        <f>SUBTOTAL(109,OAK_H194[3B])</f>
        <v>9</v>
      </c>
      <c r="AL142" s="794">
        <f>SUBTOTAL(109,OAK_H194[HR])</f>
        <v>42</v>
      </c>
      <c r="AM142" s="794">
        <f>SUBTOTAL(109,OAK_H194[RBI])</f>
        <v>139</v>
      </c>
      <c r="AN142" s="794">
        <f>SUBTOTAL(109,OAK_H194[BB])</f>
        <v>147</v>
      </c>
      <c r="AO142" s="796">
        <f>SUBTOTAL(109,OAK_H194[K])</f>
        <v>369</v>
      </c>
      <c r="AP142" s="794">
        <f>SUBTOTAL(109,OAK_H194[SB])</f>
        <v>24</v>
      </c>
      <c r="AQ142" s="794"/>
      <c r="AR142" s="796"/>
      <c r="AS142" s="794">
        <f>SUBTOTAL(109,OAK_H194[TB])</f>
        <v>495</v>
      </c>
      <c r="AT142" s="792">
        <f>AE142+AD142</f>
        <v>0.63815438855409345</v>
      </c>
      <c r="AU142" s="796">
        <f>SUBTOTAL(109,OAK_H194[*])</f>
        <v>14</v>
      </c>
      <c r="AV142" s="797"/>
      <c r="AY142" s="789"/>
      <c r="AZ142" s="790"/>
      <c r="BA142" s="791" t="s">
        <v>195</v>
      </c>
      <c r="BB142" s="792">
        <f>BH142/BF142</f>
        <v>0.25326560232220607</v>
      </c>
      <c r="BC142" s="792">
        <f>(BM142+BH142)/(BF142+BM142)</f>
        <v>0.33094928478543562</v>
      </c>
      <c r="BD142" s="793">
        <f>((BH142-BI142-BJ142-BK142)+(BI142*2)+(BJ142*3)+(BK142*4))/BF142</f>
        <v>0.42380261248185774</v>
      </c>
      <c r="BE142" s="794"/>
      <c r="BF142" s="794">
        <f>SUBTOTAL(109,OAK_H180[AB])</f>
        <v>1378</v>
      </c>
      <c r="BG142" s="794">
        <f>SUBTOTAL(109,OAK_H180[R])</f>
        <v>181</v>
      </c>
      <c r="BH142" s="794">
        <f>SUBTOTAL(109,OAK_H180[H])</f>
        <v>349</v>
      </c>
      <c r="BI142" s="794">
        <f>SUBTOTAL(109,OAK_H180[2B])</f>
        <v>62</v>
      </c>
      <c r="BJ142" s="794">
        <f>SUBTOTAL(109,OAK_H180[3B])</f>
        <v>7</v>
      </c>
      <c r="BK142" s="794">
        <f>SUBTOTAL(109,OAK_H180[HR])</f>
        <v>53</v>
      </c>
      <c r="BL142" s="794">
        <f>SUBTOTAL(109,OAK_H180[RBI])</f>
        <v>180</v>
      </c>
      <c r="BM142" s="794">
        <f>SUBTOTAL(109,OAK_H180[BB])</f>
        <v>160</v>
      </c>
      <c r="BN142" s="796">
        <f>SUBTOTAL(109,OAK_H180[K])</f>
        <v>368</v>
      </c>
      <c r="BO142" s="795">
        <f>SUBTOTAL(109,OAK_H180[SB])</f>
        <v>49</v>
      </c>
      <c r="BP142" s="794"/>
      <c r="BQ142" s="796"/>
      <c r="BR142" s="794">
        <f>(BH142-BI142-BJ142-BK142)+(BI142*2)+(BJ142*3)+(BK142*4)</f>
        <v>584</v>
      </c>
      <c r="BS142" s="792">
        <f>BC142+BD142</f>
        <v>0.7547518972672933</v>
      </c>
      <c r="BT142" s="796">
        <f>SUBTOTAL(109,OAK_H180[*])</f>
        <v>19</v>
      </c>
      <c r="BU142" s="797"/>
    </row>
    <row r="143" spans="1:73" ht="17" thickBot="1"/>
    <row r="144" spans="1:73" s="108" customFormat="1" ht="15" thickBot="1">
      <c r="A144" s="605" t="s">
        <v>143</v>
      </c>
      <c r="B144" s="606" t="s">
        <v>144</v>
      </c>
      <c r="C144" s="606" t="s">
        <v>145</v>
      </c>
      <c r="D144" s="606" t="s">
        <v>196</v>
      </c>
      <c r="E144" s="606" t="s">
        <v>197</v>
      </c>
      <c r="F144" s="606" t="s">
        <v>198</v>
      </c>
      <c r="G144" s="606" t="s">
        <v>149</v>
      </c>
      <c r="H144" s="606" t="s">
        <v>199</v>
      </c>
      <c r="I144" s="606" t="s">
        <v>152</v>
      </c>
      <c r="J144" s="606" t="s">
        <v>151</v>
      </c>
      <c r="K144" s="606" t="s">
        <v>157</v>
      </c>
      <c r="L144" s="606" t="s">
        <v>158</v>
      </c>
      <c r="M144" s="606" t="s">
        <v>200</v>
      </c>
      <c r="N144" s="606" t="s">
        <v>201</v>
      </c>
      <c r="O144" s="606" t="s">
        <v>202</v>
      </c>
      <c r="P144" s="606" t="s">
        <v>203</v>
      </c>
      <c r="Q144" s="606" t="s">
        <v>204</v>
      </c>
      <c r="R144" s="606" t="s">
        <v>205</v>
      </c>
      <c r="S144" s="607" t="s">
        <v>164</v>
      </c>
      <c r="Z144" s="605" t="s">
        <v>143</v>
      </c>
      <c r="AA144" s="606" t="s">
        <v>144</v>
      </c>
      <c r="AB144" s="606" t="s">
        <v>145</v>
      </c>
      <c r="AC144" s="606" t="s">
        <v>196</v>
      </c>
      <c r="AD144" s="606" t="s">
        <v>197</v>
      </c>
      <c r="AE144" s="606" t="s">
        <v>198</v>
      </c>
      <c r="AF144" s="606" t="s">
        <v>149</v>
      </c>
      <c r="AG144" s="606" t="s">
        <v>199</v>
      </c>
      <c r="AH144" s="606" t="s">
        <v>152</v>
      </c>
      <c r="AI144" s="606" t="s">
        <v>151</v>
      </c>
      <c r="AJ144" s="606" t="s">
        <v>157</v>
      </c>
      <c r="AK144" s="606" t="s">
        <v>158</v>
      </c>
      <c r="AL144" s="606" t="s">
        <v>200</v>
      </c>
      <c r="AM144" s="606" t="s">
        <v>201</v>
      </c>
      <c r="AN144" s="606" t="s">
        <v>202</v>
      </c>
      <c r="AO144" s="606" t="s">
        <v>203</v>
      </c>
      <c r="AP144" s="606" t="s">
        <v>204</v>
      </c>
      <c r="AQ144" s="606" t="s">
        <v>205</v>
      </c>
      <c r="AR144" s="607" t="s">
        <v>164</v>
      </c>
      <c r="AY144" s="605" t="s">
        <v>143</v>
      </c>
      <c r="AZ144" s="606" t="s">
        <v>144</v>
      </c>
      <c r="BA144" s="606" t="s">
        <v>145</v>
      </c>
      <c r="BB144" s="606" t="s">
        <v>196</v>
      </c>
      <c r="BC144" s="606" t="s">
        <v>197</v>
      </c>
      <c r="BD144" s="606" t="s">
        <v>198</v>
      </c>
      <c r="BE144" s="606" t="s">
        <v>149</v>
      </c>
      <c r="BF144" s="606" t="s">
        <v>199</v>
      </c>
      <c r="BG144" s="606" t="s">
        <v>152</v>
      </c>
      <c r="BH144" s="606" t="s">
        <v>151</v>
      </c>
      <c r="BI144" s="606" t="s">
        <v>157</v>
      </c>
      <c r="BJ144" s="606" t="s">
        <v>158</v>
      </c>
      <c r="BK144" s="606" t="s">
        <v>200</v>
      </c>
      <c r="BL144" s="606" t="s">
        <v>201</v>
      </c>
      <c r="BM144" s="606" t="s">
        <v>202</v>
      </c>
      <c r="BN144" s="606" t="s">
        <v>203</v>
      </c>
      <c r="BO144" s="606" t="s">
        <v>204</v>
      </c>
      <c r="BP144" s="606" t="s">
        <v>205</v>
      </c>
      <c r="BQ144" s="607" t="s">
        <v>164</v>
      </c>
    </row>
    <row r="145" spans="1:73">
      <c r="A145" s="650" t="s">
        <v>717</v>
      </c>
      <c r="B145" s="597" t="s">
        <v>206</v>
      </c>
      <c r="C145" s="752" t="s">
        <v>742</v>
      </c>
      <c r="D145" s="631">
        <f>IFERROR((OAK_P[[#This Row],[R]]*9)/OAK_P[[#This Row],[IP]],0)</f>
        <v>4.937424995714041</v>
      </c>
      <c r="E145" s="600">
        <v>6</v>
      </c>
      <c r="F145" s="604">
        <v>4</v>
      </c>
      <c r="G145" s="600">
        <v>10</v>
      </c>
      <c r="H145" s="630">
        <v>58.33</v>
      </c>
      <c r="I145" s="600">
        <v>62</v>
      </c>
      <c r="J145" s="600">
        <v>32</v>
      </c>
      <c r="K145" s="600">
        <v>36</v>
      </c>
      <c r="L145" s="600">
        <v>69</v>
      </c>
      <c r="M145" s="600">
        <v>0</v>
      </c>
      <c r="N145" s="631">
        <f>IFERROR((OAK_P[[#This Row],[BB]]+OAK_P[[#This Row],[H]])/OAK_P[[#This Row],[IP]],0)</f>
        <v>1.6800960054860279</v>
      </c>
      <c r="O145" s="600">
        <v>3</v>
      </c>
      <c r="P145" s="601">
        <v>2</v>
      </c>
      <c r="Q145" s="600">
        <v>0</v>
      </c>
      <c r="R145" s="604">
        <v>0</v>
      </c>
      <c r="S145" s="614">
        <v>1</v>
      </c>
      <c r="Z145" s="650" t="s">
        <v>717</v>
      </c>
      <c r="AA145" s="597" t="s">
        <v>206</v>
      </c>
      <c r="AB145" s="597" t="s">
        <v>743</v>
      </c>
      <c r="AC145" s="631">
        <f>IFERROR((OAK_P195[[#This Row],[R]]*9)/OAK_P195[[#This Row],[IP]],0)</f>
        <v>5.5806938159879333</v>
      </c>
      <c r="AD145" s="600">
        <v>1</v>
      </c>
      <c r="AE145" s="604">
        <v>5</v>
      </c>
      <c r="AF145" s="600">
        <v>10</v>
      </c>
      <c r="AG145" s="630">
        <v>59.67</v>
      </c>
      <c r="AH145" s="600">
        <v>69</v>
      </c>
      <c r="AI145" s="600">
        <v>37</v>
      </c>
      <c r="AJ145" s="600">
        <v>27</v>
      </c>
      <c r="AK145" s="600">
        <v>59</v>
      </c>
      <c r="AL145" s="600">
        <v>0</v>
      </c>
      <c r="AM145" s="631">
        <f>IFERROR((OAK_P195[[#This Row],[BB]]+OAK_P195[[#This Row],[H]])/OAK_P195[[#This Row],[IP]],0)</f>
        <v>1.6088486676721971</v>
      </c>
      <c r="AN145" s="600">
        <v>3</v>
      </c>
      <c r="AO145" s="601">
        <v>3</v>
      </c>
      <c r="AP145" s="600">
        <v>0</v>
      </c>
      <c r="AQ145" s="604">
        <v>0</v>
      </c>
      <c r="AR145" s="614">
        <v>1</v>
      </c>
      <c r="AY145" s="650" t="s">
        <v>717</v>
      </c>
      <c r="AZ145" s="597" t="s">
        <v>206</v>
      </c>
      <c r="BA145" s="597" t="s">
        <v>743</v>
      </c>
      <c r="BB145" s="631">
        <f>IFERROR((OAK_P181[[#This Row],[R]]*9)/OAK_P181[[#This Row],[IP]],0)</f>
        <v>4.6132971506105838</v>
      </c>
      <c r="BC145" s="600">
        <v>4</v>
      </c>
      <c r="BD145" s="604">
        <v>4</v>
      </c>
      <c r="BE145" s="600">
        <v>10</v>
      </c>
      <c r="BF145" s="630">
        <v>66.33</v>
      </c>
      <c r="BG145" s="600">
        <v>64</v>
      </c>
      <c r="BH145" s="600">
        <v>34</v>
      </c>
      <c r="BI145" s="600">
        <v>25</v>
      </c>
      <c r="BJ145" s="600">
        <v>65</v>
      </c>
      <c r="BK145" s="600">
        <v>0</v>
      </c>
      <c r="BL145" s="631">
        <f>IFERROR((OAK_P181[[#This Row],[BB]]+OAK_P181[[#This Row],[H]])/OAK_P181[[#This Row],[IP]],0)</f>
        <v>1.3417759686416404</v>
      </c>
      <c r="BM145" s="600">
        <v>6</v>
      </c>
      <c r="BN145" s="601">
        <v>4</v>
      </c>
      <c r="BO145" s="600">
        <v>1</v>
      </c>
      <c r="BP145" s="604">
        <v>1</v>
      </c>
      <c r="BQ145" s="614">
        <v>1</v>
      </c>
    </row>
    <row r="146" spans="1:73">
      <c r="A146" s="651" t="s">
        <v>717</v>
      </c>
      <c r="B146" s="71" t="s">
        <v>206</v>
      </c>
      <c r="C146" s="87" t="s">
        <v>744</v>
      </c>
      <c r="D146" s="89">
        <f>IFERROR((OAK_P[[#This Row],[R]]*9)/OAK_P[[#This Row],[IP]],0)</f>
        <v>7.1897745428723594</v>
      </c>
      <c r="E146" s="28">
        <v>1</v>
      </c>
      <c r="F146" s="74">
        <v>6</v>
      </c>
      <c r="G146" s="28">
        <v>10</v>
      </c>
      <c r="H146" s="584">
        <v>56.33</v>
      </c>
      <c r="I146" s="28">
        <v>71</v>
      </c>
      <c r="J146" s="28">
        <v>45</v>
      </c>
      <c r="K146" s="28">
        <v>16</v>
      </c>
      <c r="L146" s="28">
        <v>58</v>
      </c>
      <c r="M146" s="28">
        <v>0</v>
      </c>
      <c r="N146" s="89">
        <f>IFERROR((OAK_P[[#This Row],[BB]]+OAK_P[[#This Row],[H]])/OAK_P[[#This Row],[IP]],0)</f>
        <v>1.5444700869873957</v>
      </c>
      <c r="O146" s="28">
        <v>2</v>
      </c>
      <c r="P146" s="90">
        <v>0</v>
      </c>
      <c r="Q146" s="28">
        <v>0</v>
      </c>
      <c r="R146" s="74">
        <v>0</v>
      </c>
      <c r="S146" s="615">
        <v>2</v>
      </c>
      <c r="Z146" s="651" t="s">
        <v>717</v>
      </c>
      <c r="AA146" s="71" t="s">
        <v>206</v>
      </c>
      <c r="AB146" s="71" t="s">
        <v>745</v>
      </c>
      <c r="AC146" s="89">
        <f>IFERROR((OAK_P195[[#This Row],[R]]*9)/OAK_P195[[#This Row],[IP]],0)</f>
        <v>6.0753797112319523</v>
      </c>
      <c r="AD146" s="28">
        <v>3</v>
      </c>
      <c r="AE146" s="74">
        <v>5</v>
      </c>
      <c r="AF146" s="28">
        <v>10</v>
      </c>
      <c r="AG146" s="584">
        <v>53.33</v>
      </c>
      <c r="AH146" s="28">
        <v>67</v>
      </c>
      <c r="AI146" s="28">
        <v>36</v>
      </c>
      <c r="AJ146" s="28">
        <v>20</v>
      </c>
      <c r="AK146" s="28">
        <v>57</v>
      </c>
      <c r="AL146" s="28">
        <v>0</v>
      </c>
      <c r="AM146" s="89">
        <f>IFERROR((OAK_P195[[#This Row],[BB]]+OAK_P195[[#This Row],[H]])/OAK_P195[[#This Row],[IP]],0)</f>
        <v>1.6313519594974686</v>
      </c>
      <c r="AN146" s="28">
        <v>4</v>
      </c>
      <c r="AO146" s="90">
        <v>1</v>
      </c>
      <c r="AP146" s="28">
        <v>1</v>
      </c>
      <c r="AQ146" s="74">
        <v>1</v>
      </c>
      <c r="AR146" s="615">
        <v>2</v>
      </c>
      <c r="AY146" s="651" t="s">
        <v>717</v>
      </c>
      <c r="AZ146" s="71" t="s">
        <v>206</v>
      </c>
      <c r="BA146" s="71" t="s">
        <v>745</v>
      </c>
      <c r="BB146" s="89">
        <f>IFERROR((OAK_P181[[#This Row],[R]]*9)/OAK_P181[[#This Row],[IP]],0)</f>
        <v>4.3197840107994603</v>
      </c>
      <c r="BC146" s="28">
        <v>5</v>
      </c>
      <c r="BD146" s="74">
        <v>4</v>
      </c>
      <c r="BE146" s="28">
        <v>10</v>
      </c>
      <c r="BF146" s="584">
        <v>66.67</v>
      </c>
      <c r="BG146" s="28">
        <v>68</v>
      </c>
      <c r="BH146" s="28">
        <v>32</v>
      </c>
      <c r="BI146" s="28">
        <v>20</v>
      </c>
      <c r="BJ146" s="28">
        <v>73</v>
      </c>
      <c r="BK146" s="28">
        <v>0</v>
      </c>
      <c r="BL146" s="89">
        <f>IFERROR((OAK_P181[[#This Row],[BB]]+OAK_P181[[#This Row],[H]])/OAK_P181[[#This Row],[IP]],0)</f>
        <v>1.319934003299835</v>
      </c>
      <c r="BM146" s="28">
        <v>6</v>
      </c>
      <c r="BN146" s="90">
        <v>2</v>
      </c>
      <c r="BO146" s="28">
        <v>1</v>
      </c>
      <c r="BP146" s="74">
        <v>1</v>
      </c>
      <c r="BQ146" s="615">
        <v>2</v>
      </c>
    </row>
    <row r="147" spans="1:73">
      <c r="A147" s="651" t="s">
        <v>717</v>
      </c>
      <c r="B147" s="71" t="s">
        <v>365</v>
      </c>
      <c r="C147" s="74" t="s">
        <v>746</v>
      </c>
      <c r="D147" s="89">
        <f>IFERROR((OAK_P[[#This Row],[R]]*9)/OAK_P[[#This Row],[IP]],0)</f>
        <v>4.365008083348302</v>
      </c>
      <c r="E147" s="28">
        <v>2</v>
      </c>
      <c r="F147" s="74">
        <v>3</v>
      </c>
      <c r="G147" s="28">
        <v>10</v>
      </c>
      <c r="H147" s="584">
        <v>55.67</v>
      </c>
      <c r="I147" s="28">
        <v>55</v>
      </c>
      <c r="J147" s="28">
        <v>27</v>
      </c>
      <c r="K147" s="28">
        <v>14</v>
      </c>
      <c r="L147" s="28">
        <v>43</v>
      </c>
      <c r="M147" s="28">
        <v>0</v>
      </c>
      <c r="N147" s="89">
        <f>IFERROR((OAK_P[[#This Row],[BB]]+OAK_P[[#This Row],[H]])/OAK_P[[#This Row],[IP]],0)</f>
        <v>1.2394467397161846</v>
      </c>
      <c r="O147" s="28">
        <v>4</v>
      </c>
      <c r="P147" s="90">
        <v>3</v>
      </c>
      <c r="Q147" s="28">
        <v>0</v>
      </c>
      <c r="R147" s="74">
        <v>0</v>
      </c>
      <c r="S147" s="615">
        <v>3</v>
      </c>
      <c r="Z147" s="651" t="s">
        <v>717</v>
      </c>
      <c r="AA147" s="71" t="s">
        <v>365</v>
      </c>
      <c r="AB147" s="87" t="s">
        <v>747</v>
      </c>
      <c r="AC147" s="89">
        <f>IFERROR((OAK_P195[[#This Row],[R]]*9)/OAK_P195[[#This Row],[IP]],0)</f>
        <v>3.2772672099878619</v>
      </c>
      <c r="AD147" s="28">
        <v>3</v>
      </c>
      <c r="AE147" s="74">
        <v>5</v>
      </c>
      <c r="AF147" s="28">
        <v>10</v>
      </c>
      <c r="AG147" s="584">
        <v>57.67</v>
      </c>
      <c r="AH147" s="28">
        <v>48</v>
      </c>
      <c r="AI147" s="28">
        <v>21</v>
      </c>
      <c r="AJ147" s="28">
        <v>35</v>
      </c>
      <c r="AK147" s="28">
        <v>47</v>
      </c>
      <c r="AL147" s="28">
        <v>0</v>
      </c>
      <c r="AM147" s="89">
        <f>IFERROR((OAK_P195[[#This Row],[BB]]+OAK_P195[[#This Row],[H]])/OAK_P195[[#This Row],[IP]],0)</f>
        <v>1.4392231662909658</v>
      </c>
      <c r="AN147" s="28">
        <v>6</v>
      </c>
      <c r="AO147" s="90">
        <v>4</v>
      </c>
      <c r="AP147" s="28">
        <v>0</v>
      </c>
      <c r="AQ147" s="74">
        <v>0</v>
      </c>
      <c r="AR147" s="615">
        <v>3</v>
      </c>
      <c r="AY147" s="651" t="s">
        <v>717</v>
      </c>
      <c r="AZ147" s="71" t="s">
        <v>206</v>
      </c>
      <c r="BA147" s="71" t="s">
        <v>748</v>
      </c>
      <c r="BB147" s="89">
        <f>IFERROR((OAK_P181[[#This Row],[R]]*9)/OAK_P181[[#This Row],[IP]],0)</f>
        <v>4.2406156745720116</v>
      </c>
      <c r="BC147" s="28">
        <v>4</v>
      </c>
      <c r="BD147" s="74">
        <v>2</v>
      </c>
      <c r="BE147" s="28">
        <v>10</v>
      </c>
      <c r="BF147" s="584">
        <v>63.67</v>
      </c>
      <c r="BG147" s="28">
        <v>71</v>
      </c>
      <c r="BH147" s="28">
        <v>30</v>
      </c>
      <c r="BI147" s="28">
        <v>19</v>
      </c>
      <c r="BJ147" s="28">
        <v>50</v>
      </c>
      <c r="BK147" s="28">
        <v>0</v>
      </c>
      <c r="BL147" s="89">
        <f>IFERROR((OAK_P181[[#This Row],[BB]]+OAK_P181[[#This Row],[H]])/OAK_P181[[#This Row],[IP]],0)</f>
        <v>1.4135385581906705</v>
      </c>
      <c r="BM147" s="76">
        <v>9</v>
      </c>
      <c r="BN147" s="90">
        <v>2</v>
      </c>
      <c r="BO147" s="28">
        <v>0</v>
      </c>
      <c r="BP147" s="74">
        <v>0</v>
      </c>
      <c r="BQ147" s="615">
        <v>3</v>
      </c>
    </row>
    <row r="148" spans="1:73">
      <c r="A148" s="651" t="s">
        <v>717</v>
      </c>
      <c r="B148" s="71" t="s">
        <v>206</v>
      </c>
      <c r="C148" s="116" t="s">
        <v>749</v>
      </c>
      <c r="D148" s="89">
        <f>IFERROR((OAK_P[[#This Row],[R]]*9)/OAK_P[[#This Row],[IP]],0)</f>
        <v>8.3239341303857444</v>
      </c>
      <c r="E148" s="28">
        <v>2</v>
      </c>
      <c r="F148" s="74">
        <v>6</v>
      </c>
      <c r="G148" s="28">
        <v>10</v>
      </c>
      <c r="H148" s="584">
        <v>44.33</v>
      </c>
      <c r="I148" s="28">
        <v>61</v>
      </c>
      <c r="J148" s="28">
        <v>41</v>
      </c>
      <c r="K148" s="28">
        <v>28</v>
      </c>
      <c r="L148" s="28">
        <v>40</v>
      </c>
      <c r="M148" s="28">
        <v>0</v>
      </c>
      <c r="N148" s="89">
        <f>IFERROR((OAK_P[[#This Row],[BB]]+OAK_P[[#This Row],[H]])/OAK_P[[#This Row],[IP]],0)</f>
        <v>2.0076697496052334</v>
      </c>
      <c r="O148" s="28">
        <v>1</v>
      </c>
      <c r="P148" s="90">
        <v>0</v>
      </c>
      <c r="Q148" s="28">
        <v>0</v>
      </c>
      <c r="R148" s="74">
        <v>0</v>
      </c>
      <c r="S148" s="615">
        <v>4</v>
      </c>
      <c r="Z148" s="651" t="s">
        <v>717</v>
      </c>
      <c r="AA148" s="71" t="s">
        <v>365</v>
      </c>
      <c r="AB148" s="87" t="s">
        <v>742</v>
      </c>
      <c r="AC148" s="89">
        <f>IFERROR((OAK_P195[[#This Row],[R]]*9)/OAK_P195[[#This Row],[IP]],0)</f>
        <v>5.1206896551724137</v>
      </c>
      <c r="AD148" s="28">
        <v>3</v>
      </c>
      <c r="AE148" s="74">
        <v>4</v>
      </c>
      <c r="AF148" s="28">
        <v>10</v>
      </c>
      <c r="AG148" s="584">
        <v>58</v>
      </c>
      <c r="AH148" s="28">
        <v>50</v>
      </c>
      <c r="AI148" s="28">
        <v>33</v>
      </c>
      <c r="AJ148" s="76">
        <v>37</v>
      </c>
      <c r="AK148" s="28">
        <v>60</v>
      </c>
      <c r="AL148" s="28">
        <v>0</v>
      </c>
      <c r="AM148" s="89">
        <f>IFERROR((OAK_P195[[#This Row],[BB]]+OAK_P195[[#This Row],[H]])/OAK_P195[[#This Row],[IP]],0)</f>
        <v>1.5</v>
      </c>
      <c r="AN148" s="28">
        <v>3</v>
      </c>
      <c r="AO148" s="90">
        <v>2</v>
      </c>
      <c r="AP148" s="28">
        <v>0</v>
      </c>
      <c r="AQ148" s="74">
        <v>0</v>
      </c>
      <c r="AR148" s="615">
        <v>4</v>
      </c>
      <c r="AY148" s="651" t="s">
        <v>717</v>
      </c>
      <c r="AZ148" s="71" t="s">
        <v>206</v>
      </c>
      <c r="BA148" s="71" t="s">
        <v>330</v>
      </c>
      <c r="BB148" s="89">
        <f>IFERROR((OAK_P181[[#This Row],[R]]*9)/OAK_P181[[#This Row],[IP]],0)</f>
        <v>6.5454545454545459</v>
      </c>
      <c r="BC148" s="28">
        <v>2</v>
      </c>
      <c r="BD148" s="74">
        <v>6</v>
      </c>
      <c r="BE148" s="28">
        <v>9</v>
      </c>
      <c r="BF148" s="584">
        <v>55</v>
      </c>
      <c r="BG148" s="28">
        <v>68</v>
      </c>
      <c r="BH148" s="28">
        <v>40</v>
      </c>
      <c r="BI148" s="28">
        <v>11</v>
      </c>
      <c r="BJ148" s="28">
        <v>27</v>
      </c>
      <c r="BK148" s="28">
        <v>0</v>
      </c>
      <c r="BL148" s="89">
        <f>IFERROR((OAK_P181[[#This Row],[BB]]+OAK_P181[[#This Row],[H]])/OAK_P181[[#This Row],[IP]],0)</f>
        <v>1.4363636363636363</v>
      </c>
      <c r="BM148" s="28">
        <v>4</v>
      </c>
      <c r="BN148" s="90">
        <v>0</v>
      </c>
      <c r="BO148" s="28">
        <v>0</v>
      </c>
      <c r="BP148" s="74">
        <v>0</v>
      </c>
      <c r="BQ148" s="615">
        <v>4</v>
      </c>
    </row>
    <row r="149" spans="1:73">
      <c r="A149" s="651" t="s">
        <v>717</v>
      </c>
      <c r="B149" s="71" t="s">
        <v>215</v>
      </c>
      <c r="C149" s="74" t="s">
        <v>750</v>
      </c>
      <c r="D149" s="89">
        <f>IFERROR((OAK_P[[#This Row],[R]]*9)/OAK_P[[#This Row],[IP]],0)</f>
        <v>2.0454545454545454</v>
      </c>
      <c r="E149" s="28">
        <v>0</v>
      </c>
      <c r="F149" s="74">
        <v>0</v>
      </c>
      <c r="G149" s="28">
        <v>9</v>
      </c>
      <c r="H149" s="584">
        <v>22</v>
      </c>
      <c r="I149" s="28">
        <v>16</v>
      </c>
      <c r="J149" s="28">
        <v>5</v>
      </c>
      <c r="K149" s="28">
        <v>7</v>
      </c>
      <c r="L149" s="28">
        <v>20</v>
      </c>
      <c r="M149" s="28">
        <v>1</v>
      </c>
      <c r="N149" s="89">
        <f>IFERROR((OAK_P[[#This Row],[BB]]+OAK_P[[#This Row],[H]])/OAK_P[[#This Row],[IP]],0)</f>
        <v>1.0454545454545454</v>
      </c>
      <c r="O149" s="28">
        <v>0</v>
      </c>
      <c r="P149" s="90">
        <v>0</v>
      </c>
      <c r="Q149" s="28">
        <v>0</v>
      </c>
      <c r="R149" s="74">
        <v>0</v>
      </c>
      <c r="S149" s="615">
        <v>5</v>
      </c>
      <c r="Z149" s="651" t="s">
        <v>717</v>
      </c>
      <c r="AA149" s="71" t="s">
        <v>212</v>
      </c>
      <c r="AB149" s="87" t="s">
        <v>744</v>
      </c>
      <c r="AC149" s="89">
        <f>IFERROR((OAK_P195[[#This Row],[R]]*9)/OAK_P195[[#This Row],[IP]],0)</f>
        <v>3.8211151995471271</v>
      </c>
      <c r="AD149" s="28">
        <v>1</v>
      </c>
      <c r="AE149" s="74">
        <v>2</v>
      </c>
      <c r="AF149" s="28">
        <v>11</v>
      </c>
      <c r="AG149" s="584">
        <v>35.33</v>
      </c>
      <c r="AH149" s="28">
        <v>28</v>
      </c>
      <c r="AI149" s="28">
        <v>15</v>
      </c>
      <c r="AJ149" s="28">
        <v>18</v>
      </c>
      <c r="AK149" s="28">
        <v>35</v>
      </c>
      <c r="AL149" s="28">
        <v>0</v>
      </c>
      <c r="AM149" s="89">
        <f>IFERROR((OAK_P195[[#This Row],[BB]]+OAK_P195[[#This Row],[H]])/OAK_P195[[#This Row],[IP]],0)</f>
        <v>1.3020096235493914</v>
      </c>
      <c r="AN149" s="28">
        <v>0</v>
      </c>
      <c r="AO149" s="90">
        <v>0</v>
      </c>
      <c r="AP149" s="28">
        <v>0</v>
      </c>
      <c r="AQ149" s="74">
        <v>0</v>
      </c>
      <c r="AR149" s="615">
        <v>5</v>
      </c>
      <c r="AY149" s="651" t="s">
        <v>717</v>
      </c>
      <c r="AZ149" s="71" t="s">
        <v>212</v>
      </c>
      <c r="BA149" s="71" t="s">
        <v>744</v>
      </c>
      <c r="BB149" s="89">
        <f>IFERROR((OAK_P181[[#This Row],[R]]*9)/OAK_P181[[#This Row],[IP]],0)</f>
        <v>7.7899596076168498</v>
      </c>
      <c r="BC149" s="28">
        <v>0</v>
      </c>
      <c r="BD149" s="74">
        <v>1</v>
      </c>
      <c r="BE149" s="28">
        <v>8</v>
      </c>
      <c r="BF149" s="584">
        <v>17.329999999999998</v>
      </c>
      <c r="BG149" s="28">
        <v>20</v>
      </c>
      <c r="BH149" s="28">
        <v>15</v>
      </c>
      <c r="BI149" s="28">
        <v>6</v>
      </c>
      <c r="BJ149" s="28">
        <v>10</v>
      </c>
      <c r="BK149" s="28">
        <v>0</v>
      </c>
      <c r="BL149" s="89">
        <f>IFERROR((OAK_P181[[#This Row],[BB]]+OAK_P181[[#This Row],[H]])/OAK_P181[[#This Row],[IP]],0)</f>
        <v>1.5002885170225044</v>
      </c>
      <c r="BM149" s="28">
        <v>0</v>
      </c>
      <c r="BN149" s="90">
        <v>0</v>
      </c>
      <c r="BO149" s="28">
        <v>0</v>
      </c>
      <c r="BP149" s="74">
        <v>0</v>
      </c>
      <c r="BQ149" s="615">
        <v>5</v>
      </c>
    </row>
    <row r="150" spans="1:73">
      <c r="A150" s="651" t="s">
        <v>717</v>
      </c>
      <c r="B150" s="71" t="s">
        <v>215</v>
      </c>
      <c r="C150" s="87" t="s">
        <v>751</v>
      </c>
      <c r="D150" s="89">
        <f>IFERROR((OAK_P[[#This Row],[R]]*9)/OAK_P[[#This Row],[IP]],0)</f>
        <v>10.8</v>
      </c>
      <c r="E150" s="28">
        <v>1</v>
      </c>
      <c r="F150" s="74">
        <v>0</v>
      </c>
      <c r="G150" s="28">
        <v>4</v>
      </c>
      <c r="H150" s="584">
        <v>10</v>
      </c>
      <c r="I150" s="28">
        <v>15</v>
      </c>
      <c r="J150" s="28">
        <v>12</v>
      </c>
      <c r="K150" s="28">
        <v>9</v>
      </c>
      <c r="L150" s="28">
        <v>9</v>
      </c>
      <c r="M150" s="28">
        <v>0</v>
      </c>
      <c r="N150" s="89">
        <f>IFERROR((OAK_P[[#This Row],[BB]]+OAK_P[[#This Row],[H]])/OAK_P[[#This Row],[IP]],0)</f>
        <v>2.4</v>
      </c>
      <c r="O150" s="28">
        <v>0</v>
      </c>
      <c r="P150" s="90">
        <v>0</v>
      </c>
      <c r="Q150" s="28">
        <v>0</v>
      </c>
      <c r="R150" s="74">
        <v>0</v>
      </c>
      <c r="S150" s="615">
        <v>6</v>
      </c>
      <c r="Z150" s="651" t="s">
        <v>717</v>
      </c>
      <c r="AA150" s="71" t="s">
        <v>212</v>
      </c>
      <c r="AB150" s="87" t="s">
        <v>752</v>
      </c>
      <c r="AC150" s="89">
        <f>IFERROR((OAK_P195[[#This Row],[R]]*9)/OAK_P195[[#This Row],[IP]],0)</f>
        <v>4.5</v>
      </c>
      <c r="AD150" s="28">
        <v>0</v>
      </c>
      <c r="AE150" s="74">
        <v>0</v>
      </c>
      <c r="AF150" s="28">
        <v>1</v>
      </c>
      <c r="AG150" s="584">
        <v>2</v>
      </c>
      <c r="AH150" s="28">
        <v>2</v>
      </c>
      <c r="AI150" s="28">
        <v>1</v>
      </c>
      <c r="AJ150" s="28">
        <v>1</v>
      </c>
      <c r="AK150" s="28">
        <v>0</v>
      </c>
      <c r="AL150" s="28">
        <v>0</v>
      </c>
      <c r="AM150" s="89">
        <f>IFERROR((OAK_P195[[#This Row],[BB]]+OAK_P195[[#This Row],[H]])/OAK_P195[[#This Row],[IP]],0)</f>
        <v>1.5</v>
      </c>
      <c r="AN150" s="28">
        <v>0</v>
      </c>
      <c r="AO150" s="90">
        <v>0</v>
      </c>
      <c r="AP150" s="28">
        <v>0</v>
      </c>
      <c r="AQ150" s="74">
        <v>0</v>
      </c>
      <c r="AR150" s="615">
        <v>6</v>
      </c>
      <c r="AY150" s="651" t="s">
        <v>717</v>
      </c>
      <c r="AZ150" s="71" t="s">
        <v>212</v>
      </c>
      <c r="BA150" s="87" t="s">
        <v>752</v>
      </c>
      <c r="BB150" s="89">
        <f>IFERROR((OAK_P181[[#This Row],[R]]*9)/OAK_P181[[#This Row],[IP]],0)</f>
        <v>9</v>
      </c>
      <c r="BC150" s="28">
        <v>0</v>
      </c>
      <c r="BD150" s="74">
        <v>0</v>
      </c>
      <c r="BE150" s="28">
        <v>3</v>
      </c>
      <c r="BF150" s="584">
        <v>3</v>
      </c>
      <c r="BG150" s="28">
        <v>3</v>
      </c>
      <c r="BH150" s="28">
        <v>3</v>
      </c>
      <c r="BI150" s="28">
        <v>1</v>
      </c>
      <c r="BJ150" s="28">
        <v>2</v>
      </c>
      <c r="BK150" s="28">
        <v>0</v>
      </c>
      <c r="BL150" s="89">
        <f>IFERROR((OAK_P181[[#This Row],[BB]]+OAK_P181[[#This Row],[H]])/OAK_P181[[#This Row],[IP]],0)</f>
        <v>1.3333333333333333</v>
      </c>
      <c r="BM150" s="28">
        <v>0</v>
      </c>
      <c r="BN150" s="90">
        <v>0</v>
      </c>
      <c r="BO150" s="28">
        <v>0</v>
      </c>
      <c r="BP150" s="74">
        <v>0</v>
      </c>
      <c r="BQ150" s="615">
        <v>6</v>
      </c>
    </row>
    <row r="151" spans="1:73">
      <c r="A151" s="651" t="s">
        <v>717</v>
      </c>
      <c r="B151" s="71" t="s">
        <v>212</v>
      </c>
      <c r="C151" s="116" t="s">
        <v>753</v>
      </c>
      <c r="D151" s="89">
        <f>IFERROR((OAK_P[[#This Row],[R]]*9)/OAK_P[[#This Row],[IP]],0)</f>
        <v>8.7082728592162546</v>
      </c>
      <c r="E151" s="28">
        <v>1</v>
      </c>
      <c r="F151" s="74">
        <v>0</v>
      </c>
      <c r="G151" s="28">
        <v>17</v>
      </c>
      <c r="H151" s="584">
        <v>20.67</v>
      </c>
      <c r="I151" s="28">
        <v>29</v>
      </c>
      <c r="J151" s="28">
        <v>20</v>
      </c>
      <c r="K151" s="28">
        <v>15</v>
      </c>
      <c r="L151" s="28">
        <v>22</v>
      </c>
      <c r="M151" s="28">
        <v>0</v>
      </c>
      <c r="N151" s="89">
        <f>IFERROR((OAK_P[[#This Row],[BB]]+OAK_P[[#This Row],[H]])/OAK_P[[#This Row],[IP]],0)</f>
        <v>2.1286889211417512</v>
      </c>
      <c r="O151" s="28">
        <v>0</v>
      </c>
      <c r="P151" s="90">
        <v>0</v>
      </c>
      <c r="Q151" s="28">
        <v>0</v>
      </c>
      <c r="R151" s="74">
        <v>0</v>
      </c>
      <c r="S151" s="615">
        <v>7</v>
      </c>
      <c r="Z151" s="651" t="s">
        <v>717</v>
      </c>
      <c r="AA151" s="71" t="s">
        <v>215</v>
      </c>
      <c r="AB151" s="87" t="s">
        <v>749</v>
      </c>
      <c r="AC151" s="89">
        <f>IFERROR((OAK_P195[[#This Row],[R]]*9)/OAK_P195[[#This Row],[IP]],0)</f>
        <v>2.8252528775723751</v>
      </c>
      <c r="AD151" s="28">
        <v>2</v>
      </c>
      <c r="AE151" s="74">
        <v>0</v>
      </c>
      <c r="AF151" s="28">
        <v>10</v>
      </c>
      <c r="AG151" s="584">
        <v>28.67</v>
      </c>
      <c r="AH151" s="28">
        <v>24</v>
      </c>
      <c r="AI151" s="28">
        <v>9</v>
      </c>
      <c r="AJ151" s="28">
        <v>8</v>
      </c>
      <c r="AK151" s="28">
        <v>17</v>
      </c>
      <c r="AL151" s="28">
        <v>0</v>
      </c>
      <c r="AM151" s="89">
        <f>IFERROR((OAK_P195[[#This Row],[BB]]+OAK_P195[[#This Row],[H]])/OAK_P195[[#This Row],[IP]],0)</f>
        <v>1.1161492849668642</v>
      </c>
      <c r="AN151" s="28">
        <v>0</v>
      </c>
      <c r="AO151" s="90">
        <v>0</v>
      </c>
      <c r="AP151" s="28">
        <v>0</v>
      </c>
      <c r="AQ151" s="74">
        <v>0</v>
      </c>
      <c r="AR151" s="615">
        <v>7</v>
      </c>
      <c r="AY151" s="651" t="s">
        <v>717</v>
      </c>
      <c r="AZ151" s="71" t="s">
        <v>212</v>
      </c>
      <c r="BA151" s="71" t="s">
        <v>753</v>
      </c>
      <c r="BB151" s="89">
        <f>IFERROR((OAK_P181[[#This Row],[R]]*9)/OAK_P181[[#This Row],[IP]],0)</f>
        <v>4.190377651319193</v>
      </c>
      <c r="BC151" s="28">
        <v>2</v>
      </c>
      <c r="BD151" s="74">
        <v>3</v>
      </c>
      <c r="BE151" s="28">
        <v>20</v>
      </c>
      <c r="BF151" s="584">
        <v>19.329999999999998</v>
      </c>
      <c r="BG151" s="28">
        <v>19</v>
      </c>
      <c r="BH151" s="28">
        <v>9</v>
      </c>
      <c r="BI151" s="28">
        <v>11</v>
      </c>
      <c r="BJ151" s="28">
        <v>20</v>
      </c>
      <c r="BK151" s="28">
        <v>0</v>
      </c>
      <c r="BL151" s="89">
        <f>IFERROR((OAK_P181[[#This Row],[BB]]+OAK_P181[[#This Row],[H]])/OAK_P181[[#This Row],[IP]],0)</f>
        <v>1.5519917227108124</v>
      </c>
      <c r="BM151" s="28">
        <v>0</v>
      </c>
      <c r="BN151" s="90">
        <v>0</v>
      </c>
      <c r="BO151" s="28">
        <v>0</v>
      </c>
      <c r="BP151" s="74">
        <v>0</v>
      </c>
      <c r="BQ151" s="615">
        <v>7</v>
      </c>
    </row>
    <row r="152" spans="1:73">
      <c r="A152" s="651" t="s">
        <v>717</v>
      </c>
      <c r="B152" s="71" t="s">
        <v>212</v>
      </c>
      <c r="C152" s="87" t="s">
        <v>754</v>
      </c>
      <c r="D152" s="89">
        <f>IFERROR((OAK_P[[#This Row],[R]]*9)/OAK_P[[#This Row],[IP]],0)</f>
        <v>5.0829509354041651</v>
      </c>
      <c r="E152" s="28">
        <v>1</v>
      </c>
      <c r="F152" s="74">
        <v>1</v>
      </c>
      <c r="G152" s="28">
        <v>24</v>
      </c>
      <c r="H152" s="584">
        <v>28.33</v>
      </c>
      <c r="I152" s="28">
        <v>23</v>
      </c>
      <c r="J152" s="28">
        <v>16</v>
      </c>
      <c r="K152" s="28">
        <v>16</v>
      </c>
      <c r="L152" s="28">
        <v>31</v>
      </c>
      <c r="M152" s="28">
        <v>0</v>
      </c>
      <c r="N152" s="89">
        <f>IFERROR((OAK_P[[#This Row],[BB]]+OAK_P[[#This Row],[H]])/OAK_P[[#This Row],[IP]],0)</f>
        <v>1.3766325450052947</v>
      </c>
      <c r="O152" s="28">
        <v>0</v>
      </c>
      <c r="P152" s="90">
        <v>0</v>
      </c>
      <c r="Q152" s="28">
        <v>0</v>
      </c>
      <c r="R152" s="74">
        <v>0</v>
      </c>
      <c r="S152" s="615">
        <v>8</v>
      </c>
      <c r="Z152" s="651" t="s">
        <v>717</v>
      </c>
      <c r="AA152" s="71" t="s">
        <v>212</v>
      </c>
      <c r="AB152" s="87" t="s">
        <v>753</v>
      </c>
      <c r="AC152" s="89">
        <f>IFERROR((OAK_P195[[#This Row],[R]]*9)/OAK_P195[[#This Row],[IP]],0)</f>
        <v>4.1756882152799264</v>
      </c>
      <c r="AD152" s="28">
        <v>1</v>
      </c>
      <c r="AE152" s="74">
        <v>2</v>
      </c>
      <c r="AF152" s="28">
        <v>23</v>
      </c>
      <c r="AG152" s="584">
        <v>32.33</v>
      </c>
      <c r="AH152" s="28">
        <v>34</v>
      </c>
      <c r="AI152" s="28">
        <v>15</v>
      </c>
      <c r="AJ152" s="28">
        <v>10</v>
      </c>
      <c r="AK152" s="28">
        <v>39</v>
      </c>
      <c r="AL152" s="28">
        <v>0</v>
      </c>
      <c r="AM152" s="89">
        <f>IFERROR((OAK_P195[[#This Row],[BB]]+OAK_P195[[#This Row],[H]])/OAK_P195[[#This Row],[IP]],0)</f>
        <v>1.360965047943087</v>
      </c>
      <c r="AN152" s="28">
        <v>0</v>
      </c>
      <c r="AO152" s="90">
        <v>0</v>
      </c>
      <c r="AP152" s="28">
        <v>0</v>
      </c>
      <c r="AQ152" s="74">
        <v>0</v>
      </c>
      <c r="AR152" s="615">
        <v>8</v>
      </c>
      <c r="AY152" s="651" t="s">
        <v>717</v>
      </c>
      <c r="AZ152" s="71" t="s">
        <v>215</v>
      </c>
      <c r="BA152" s="71" t="s">
        <v>754</v>
      </c>
      <c r="BB152" s="89">
        <f>IFERROR((OAK_P181[[#This Row],[R]]*9)/OAK_P181[[#This Row],[IP]],0)</f>
        <v>3.7792441511697659</v>
      </c>
      <c r="BC152" s="28">
        <v>1</v>
      </c>
      <c r="BD152" s="74">
        <v>0</v>
      </c>
      <c r="BE152" s="28">
        <v>16</v>
      </c>
      <c r="BF152" s="584">
        <v>16.670000000000002</v>
      </c>
      <c r="BG152" s="28">
        <v>20</v>
      </c>
      <c r="BH152" s="28">
        <v>7</v>
      </c>
      <c r="BI152" s="28">
        <v>6</v>
      </c>
      <c r="BJ152" s="28">
        <v>17</v>
      </c>
      <c r="BK152" s="28">
        <v>1</v>
      </c>
      <c r="BL152" s="89">
        <f>IFERROR((OAK_P181[[#This Row],[BB]]+OAK_P181[[#This Row],[H]])/OAK_P181[[#This Row],[IP]],0)</f>
        <v>1.5596880623875224</v>
      </c>
      <c r="BM152" s="28">
        <v>0</v>
      </c>
      <c r="BN152" s="90">
        <v>0</v>
      </c>
      <c r="BO152" s="28">
        <v>0</v>
      </c>
      <c r="BP152" s="74">
        <v>0</v>
      </c>
      <c r="BQ152" s="615">
        <v>8</v>
      </c>
    </row>
    <row r="153" spans="1:73">
      <c r="A153" s="651" t="s">
        <v>717</v>
      </c>
      <c r="B153" s="71" t="s">
        <v>212</v>
      </c>
      <c r="C153" s="87" t="s">
        <v>755</v>
      </c>
      <c r="D153" s="89">
        <f>IFERROR((OAK_P[[#This Row],[R]]*9)/OAK_P[[#This Row],[IP]],0)</f>
        <v>2.2768341163715213</v>
      </c>
      <c r="E153" s="28">
        <v>0</v>
      </c>
      <c r="F153" s="74">
        <v>2</v>
      </c>
      <c r="G153" s="28">
        <v>24</v>
      </c>
      <c r="H153" s="584">
        <v>27.67</v>
      </c>
      <c r="I153" s="28">
        <v>18</v>
      </c>
      <c r="J153" s="28">
        <v>7</v>
      </c>
      <c r="K153" s="28">
        <v>9</v>
      </c>
      <c r="L153" s="28">
        <v>31</v>
      </c>
      <c r="M153" s="28">
        <v>2</v>
      </c>
      <c r="N153" s="89">
        <f>IFERROR((OAK_P[[#This Row],[BB]]+OAK_P[[#This Row],[H]])/OAK_P[[#This Row],[IP]],0)</f>
        <v>0.97578604987350914</v>
      </c>
      <c r="O153" s="28">
        <v>0</v>
      </c>
      <c r="P153" s="90">
        <v>0</v>
      </c>
      <c r="Q153" s="28">
        <v>0</v>
      </c>
      <c r="R153" s="74">
        <v>0</v>
      </c>
      <c r="S153" s="615">
        <v>9</v>
      </c>
      <c r="Z153" s="651" t="s">
        <v>717</v>
      </c>
      <c r="AA153" s="71" t="s">
        <v>212</v>
      </c>
      <c r="AB153" s="87" t="s">
        <v>754</v>
      </c>
      <c r="AC153" s="89">
        <f>IFERROR((OAK_P195[[#This Row],[R]]*9)/OAK_P195[[#This Row],[IP]],0)</f>
        <v>4.8789302493675457</v>
      </c>
      <c r="AD153" s="28">
        <v>0</v>
      </c>
      <c r="AE153" s="74">
        <v>2</v>
      </c>
      <c r="AF153" s="28">
        <v>22</v>
      </c>
      <c r="AG153" s="584">
        <v>27.67</v>
      </c>
      <c r="AH153" s="28">
        <v>30</v>
      </c>
      <c r="AI153" s="28">
        <v>15</v>
      </c>
      <c r="AJ153" s="28">
        <v>12</v>
      </c>
      <c r="AK153" s="28">
        <v>42</v>
      </c>
      <c r="AL153" s="28">
        <v>0</v>
      </c>
      <c r="AM153" s="89">
        <f>IFERROR((OAK_P195[[#This Row],[BB]]+OAK_P195[[#This Row],[H]])/OAK_P195[[#This Row],[IP]],0)</f>
        <v>1.5178894109143475</v>
      </c>
      <c r="AN153" s="28">
        <v>0</v>
      </c>
      <c r="AO153" s="90">
        <v>0</v>
      </c>
      <c r="AP153" s="28">
        <v>0</v>
      </c>
      <c r="AQ153" s="74">
        <v>0</v>
      </c>
      <c r="AR153" s="615">
        <v>9</v>
      </c>
      <c r="AY153" s="651" t="s">
        <v>717</v>
      </c>
      <c r="AZ153" s="71" t="s">
        <v>212</v>
      </c>
      <c r="BA153" s="71" t="s">
        <v>755</v>
      </c>
      <c r="BB153" s="89">
        <f>IFERROR((OAK_P181[[#This Row],[R]]*9)/OAK_P181[[#This Row],[IP]],0)</f>
        <v>1.741654571843251</v>
      </c>
      <c r="BC153" s="28">
        <v>0</v>
      </c>
      <c r="BD153" s="74">
        <v>0</v>
      </c>
      <c r="BE153" s="28">
        <v>20</v>
      </c>
      <c r="BF153" s="584">
        <v>20.67</v>
      </c>
      <c r="BG153" s="28">
        <v>13</v>
      </c>
      <c r="BH153" s="28">
        <v>4</v>
      </c>
      <c r="BI153" s="28">
        <v>8</v>
      </c>
      <c r="BJ153" s="28">
        <v>21</v>
      </c>
      <c r="BK153" s="28">
        <v>1</v>
      </c>
      <c r="BL153" s="89">
        <f>IFERROR((OAK_P181[[#This Row],[BB]]+OAK_P181[[#This Row],[H]])/OAK_P181[[#This Row],[IP]],0)</f>
        <v>1.015965166908563</v>
      </c>
      <c r="BM153" s="28">
        <v>0</v>
      </c>
      <c r="BN153" s="90">
        <v>0</v>
      </c>
      <c r="BO153" s="28">
        <v>0</v>
      </c>
      <c r="BP153" s="74">
        <v>0</v>
      </c>
      <c r="BQ153" s="615">
        <v>9</v>
      </c>
    </row>
    <row r="154" spans="1:73" ht="17" thickBot="1">
      <c r="A154" s="651" t="s">
        <v>717</v>
      </c>
      <c r="B154" s="345" t="s">
        <v>215</v>
      </c>
      <c r="C154" s="104" t="s">
        <v>756</v>
      </c>
      <c r="D154" s="347">
        <f>IFERROR((OAK_P[[#This Row],[R]]*9)/OAK_P[[#This Row],[IP]],0)</f>
        <v>0.98792535675082338</v>
      </c>
      <c r="E154" s="28">
        <v>2</v>
      </c>
      <c r="F154" s="74">
        <v>2</v>
      </c>
      <c r="G154" s="28">
        <v>25</v>
      </c>
      <c r="H154" s="584">
        <v>27.33</v>
      </c>
      <c r="I154" s="28">
        <v>13</v>
      </c>
      <c r="J154" s="28">
        <v>3</v>
      </c>
      <c r="K154" s="28">
        <v>5</v>
      </c>
      <c r="L154" s="28">
        <v>46</v>
      </c>
      <c r="M154" s="28">
        <v>5</v>
      </c>
      <c r="N154" s="347">
        <f>IFERROR((OAK_P[[#This Row],[BB]]+OAK_P[[#This Row],[H]])/OAK_P[[#This Row],[IP]],0)</f>
        <v>0.65861690450054888</v>
      </c>
      <c r="O154" s="28">
        <v>0</v>
      </c>
      <c r="P154" s="90">
        <v>0</v>
      </c>
      <c r="Q154" s="28">
        <v>0</v>
      </c>
      <c r="R154" s="74">
        <v>0</v>
      </c>
      <c r="S154" s="615">
        <v>10</v>
      </c>
      <c r="Z154" s="651" t="s">
        <v>717</v>
      </c>
      <c r="AA154" s="71" t="s">
        <v>212</v>
      </c>
      <c r="AB154" s="87" t="s">
        <v>755</v>
      </c>
      <c r="AC154" s="89">
        <f>IFERROR((OAK_P195[[#This Row],[R]]*9)/OAK_P195[[#This Row],[IP]],0)</f>
        <v>4.2434633519074154</v>
      </c>
      <c r="AD154" s="28">
        <v>0</v>
      </c>
      <c r="AE154" s="74">
        <v>1</v>
      </c>
      <c r="AF154" s="28">
        <v>21</v>
      </c>
      <c r="AG154" s="584">
        <v>23.33</v>
      </c>
      <c r="AH154" s="28">
        <v>19</v>
      </c>
      <c r="AI154" s="28">
        <v>11</v>
      </c>
      <c r="AJ154" s="28">
        <v>8</v>
      </c>
      <c r="AK154" s="28">
        <v>33</v>
      </c>
      <c r="AL154" s="28">
        <v>7</v>
      </c>
      <c r="AM154" s="89">
        <f>IFERROR((OAK_P195[[#This Row],[BB]]+OAK_P195[[#This Row],[H]])/OAK_P195[[#This Row],[IP]],0)</f>
        <v>1.1573081868838406</v>
      </c>
      <c r="AN154" s="28">
        <v>0</v>
      </c>
      <c r="AO154" s="90">
        <v>0</v>
      </c>
      <c r="AP154" s="28">
        <v>0</v>
      </c>
      <c r="AQ154" s="74">
        <v>0</v>
      </c>
      <c r="AR154" s="615">
        <v>10</v>
      </c>
      <c r="AY154" s="651" t="s">
        <v>717</v>
      </c>
      <c r="AZ154" s="71" t="s">
        <v>212</v>
      </c>
      <c r="BA154" s="71" t="s">
        <v>757</v>
      </c>
      <c r="BB154" s="89">
        <f>IFERROR((OAK_P181[[#This Row],[R]]*9)/OAK_P181[[#This Row],[IP]],0)</f>
        <v>1.8240778273206322</v>
      </c>
      <c r="BC154" s="28">
        <v>1</v>
      </c>
      <c r="BD154" s="74">
        <v>1</v>
      </c>
      <c r="BE154" s="28">
        <v>23</v>
      </c>
      <c r="BF154" s="584">
        <v>24.67</v>
      </c>
      <c r="BG154" s="28">
        <v>14</v>
      </c>
      <c r="BH154" s="28">
        <v>5</v>
      </c>
      <c r="BI154" s="28">
        <v>12</v>
      </c>
      <c r="BJ154" s="28">
        <v>27</v>
      </c>
      <c r="BK154" s="28">
        <v>8</v>
      </c>
      <c r="BL154" s="89">
        <f>IFERROR((OAK_P181[[#This Row],[BB]]+OAK_P181[[#This Row],[H]])/OAK_P181[[#This Row],[IP]],0)</f>
        <v>1.0539116335630319</v>
      </c>
      <c r="BM154" s="28">
        <v>0</v>
      </c>
      <c r="BN154" s="90">
        <v>0</v>
      </c>
      <c r="BO154" s="28">
        <v>0</v>
      </c>
      <c r="BP154" s="74">
        <v>0</v>
      </c>
      <c r="BQ154" s="615">
        <v>10</v>
      </c>
    </row>
    <row r="155" spans="1:73" ht="17" thickBot="1">
      <c r="A155" s="789"/>
      <c r="B155" s="790"/>
      <c r="C155" s="791" t="s">
        <v>195</v>
      </c>
      <c r="D155" s="812">
        <f>(J155*9)/H155</f>
        <v>5.3385045343067361</v>
      </c>
      <c r="E155" s="794">
        <f>SUBTOTAL(109,OAK_P[W])</f>
        <v>16</v>
      </c>
      <c r="F155" s="796">
        <f>SUBTOTAL(109,OAK_P[L])</f>
        <v>24</v>
      </c>
      <c r="G155" s="794"/>
      <c r="H155" s="799">
        <f>SUBTOTAL(109,OAK_P[IP])</f>
        <v>350.65999999999997</v>
      </c>
      <c r="I155" s="794">
        <f>SUBTOTAL(109,OAK_P[H])</f>
        <v>363</v>
      </c>
      <c r="J155" s="794">
        <f>SUBTOTAL(109,OAK_P[R])</f>
        <v>208</v>
      </c>
      <c r="K155" s="794">
        <f>SUBTOTAL(109,OAK_P[BB])</f>
        <v>155</v>
      </c>
      <c r="L155" s="794">
        <f>SUBTOTAL(109,OAK_P[K])</f>
        <v>369</v>
      </c>
      <c r="M155" s="794">
        <f>SUBTOTAL(109,OAK_P[SV])</f>
        <v>8</v>
      </c>
      <c r="N155" s="800">
        <f>(K155+I155)/H155</f>
        <v>1.4772143957109451</v>
      </c>
      <c r="O155" s="801">
        <f>SUBTOTAL(109,OAK_P[QS])</f>
        <v>10</v>
      </c>
      <c r="P155" s="802">
        <f>SUBTOTAL(109,OAK_P[UQ])</f>
        <v>5</v>
      </c>
      <c r="Q155" s="813">
        <f>SUBTOTAL(109,OAK_P[CG])</f>
        <v>0</v>
      </c>
      <c r="R155" s="814">
        <f>SUBTOTAL(109,OAK_P[SH])</f>
        <v>0</v>
      </c>
      <c r="S155" s="797"/>
      <c r="Z155" s="789"/>
      <c r="AA155" s="790"/>
      <c r="AB155" s="791" t="s">
        <v>195</v>
      </c>
      <c r="AC155" s="812">
        <f>(AI155*9)/AG155</f>
        <v>4.5952380952380949</v>
      </c>
      <c r="AD155" s="794">
        <f>SUBTOTAL(109,OAK_P195[W])</f>
        <v>14</v>
      </c>
      <c r="AE155" s="796">
        <f>SUBTOTAL(109,OAK_P195[L])</f>
        <v>26</v>
      </c>
      <c r="AF155" s="794"/>
      <c r="AG155" s="817">
        <f>SUBTOTAL(109,OAK_P195[IP])</f>
        <v>378</v>
      </c>
      <c r="AH155" s="794">
        <f>SUBTOTAL(109,OAK_P195[H])</f>
        <v>371</v>
      </c>
      <c r="AI155" s="794">
        <f>SUBTOTAL(109,OAK_P195[R])</f>
        <v>193</v>
      </c>
      <c r="AJ155" s="794">
        <f>SUBTOTAL(109,OAK_P195[BB])</f>
        <v>176</v>
      </c>
      <c r="AK155" s="794">
        <f>SUBTOTAL(109,OAK_P195[K])</f>
        <v>389</v>
      </c>
      <c r="AL155" s="794">
        <f>SUBTOTAL(109,OAK_P195[SV])</f>
        <v>7</v>
      </c>
      <c r="AM155" s="800">
        <f>(AJ155+AH155)/AG155</f>
        <v>1.447089947089947</v>
      </c>
      <c r="AN155" s="801">
        <f>SUBTOTAL(109,OAK_P195[QS])</f>
        <v>16</v>
      </c>
      <c r="AO155" s="802">
        <f>SUBTOTAL(109,OAK_P195[UQ])</f>
        <v>10</v>
      </c>
      <c r="AP155" s="813">
        <f>SUBTOTAL(109,OAK_P195[CG])</f>
        <v>1</v>
      </c>
      <c r="AQ155" s="814">
        <f>SUBTOTAL(109,OAK_P195[SH])</f>
        <v>1</v>
      </c>
      <c r="AR155" s="797"/>
      <c r="AY155" s="789"/>
      <c r="AZ155" s="790"/>
      <c r="BA155" s="791" t="s">
        <v>195</v>
      </c>
      <c r="BB155" s="812">
        <f>(BH155*9)/BF155</f>
        <v>4.5593479368313803</v>
      </c>
      <c r="BC155" s="794">
        <f>SUBTOTAL(109,OAK_P181[W])</f>
        <v>19</v>
      </c>
      <c r="BD155" s="796">
        <f>SUBTOTAL(109,OAK_P181[L])</f>
        <v>21</v>
      </c>
      <c r="BE155" s="794"/>
      <c r="BF155" s="799">
        <f>SUBTOTAL(109,OAK_P181[IP])</f>
        <v>353.34000000000003</v>
      </c>
      <c r="BG155" s="794">
        <f>SUBTOTAL(109,OAK_P181[H])</f>
        <v>360</v>
      </c>
      <c r="BH155" s="794">
        <f>SUBTOTAL(109,OAK_P181[R])</f>
        <v>179</v>
      </c>
      <c r="BI155" s="794">
        <f>SUBTOTAL(109,OAK_P181[BB])</f>
        <v>119</v>
      </c>
      <c r="BJ155" s="794">
        <f>SUBTOTAL(109,OAK_P181[K])</f>
        <v>312</v>
      </c>
      <c r="BK155" s="794">
        <f>SUBTOTAL(109,OAK_P181[SV])</f>
        <v>10</v>
      </c>
      <c r="BL155" s="800">
        <f>(BI155+BG155)/BF155</f>
        <v>1.3556347993434086</v>
      </c>
      <c r="BM155" s="801">
        <f>SUBTOTAL(109,OAK_P181[QS])</f>
        <v>25</v>
      </c>
      <c r="BN155" s="802">
        <f>SUBTOTAL(109,OAK_P181[UQ])</f>
        <v>8</v>
      </c>
      <c r="BO155" s="813">
        <f>SUM(BO145:BO154)</f>
        <v>2</v>
      </c>
      <c r="BP155" s="814">
        <f>SUM(BP145:BP154)</f>
        <v>2</v>
      </c>
      <c r="BQ155" s="797"/>
    </row>
    <row r="156" spans="1:73" ht="17" thickBot="1"/>
    <row r="157" spans="1:73" ht="29" thickBot="1">
      <c r="A157" s="1018" t="s">
        <v>376</v>
      </c>
      <c r="B157" s="1019"/>
      <c r="C157" s="1019"/>
      <c r="D157" s="1019"/>
      <c r="E157" s="1019"/>
      <c r="F157" s="1019"/>
      <c r="G157" s="1019"/>
      <c r="H157" s="1019"/>
      <c r="I157" s="1019"/>
      <c r="J157" s="1019"/>
      <c r="K157" s="1019"/>
      <c r="L157" s="1019"/>
      <c r="M157" s="1019"/>
      <c r="N157" s="1019"/>
      <c r="O157" s="1019"/>
      <c r="P157" s="1019"/>
      <c r="Q157" s="1019"/>
      <c r="R157" s="1019"/>
      <c r="S157" s="1019"/>
      <c r="T157" s="1019"/>
      <c r="U157" s="1019"/>
      <c r="V157" s="1019"/>
      <c r="W157" s="1020"/>
      <c r="Z157" s="1018" t="s">
        <v>376</v>
      </c>
      <c r="AA157" s="1019"/>
      <c r="AB157" s="1019"/>
      <c r="AC157" s="1019"/>
      <c r="AD157" s="1019"/>
      <c r="AE157" s="1019"/>
      <c r="AF157" s="1019"/>
      <c r="AG157" s="1019"/>
      <c r="AH157" s="1019"/>
      <c r="AI157" s="1019"/>
      <c r="AJ157" s="1019"/>
      <c r="AK157" s="1019"/>
      <c r="AL157" s="1019"/>
      <c r="AM157" s="1019"/>
      <c r="AN157" s="1019"/>
      <c r="AO157" s="1019"/>
      <c r="AP157" s="1019"/>
      <c r="AQ157" s="1019"/>
      <c r="AR157" s="1019"/>
      <c r="AS157" s="1019"/>
      <c r="AT157" s="1019"/>
      <c r="AU157" s="1019"/>
      <c r="AV157" s="1020"/>
      <c r="AY157" s="1018" t="s">
        <v>376</v>
      </c>
      <c r="AZ157" s="1019"/>
      <c r="BA157" s="1019"/>
      <c r="BB157" s="1019"/>
      <c r="BC157" s="1019"/>
      <c r="BD157" s="1019"/>
      <c r="BE157" s="1019"/>
      <c r="BF157" s="1019"/>
      <c r="BG157" s="1019"/>
      <c r="BH157" s="1019"/>
      <c r="BI157" s="1019"/>
      <c r="BJ157" s="1019"/>
      <c r="BK157" s="1019"/>
      <c r="BL157" s="1019"/>
      <c r="BM157" s="1019"/>
      <c r="BN157" s="1019"/>
      <c r="BO157" s="1019"/>
      <c r="BP157" s="1019"/>
      <c r="BQ157" s="1019"/>
      <c r="BR157" s="1019"/>
      <c r="BS157" s="1019"/>
      <c r="BT157" s="1019"/>
      <c r="BU157" s="1020"/>
    </row>
    <row r="158" spans="1:73" ht="24" thickBot="1">
      <c r="A158" s="1012" t="s">
        <v>758</v>
      </c>
      <c r="B158" s="1013"/>
      <c r="C158" s="1013"/>
      <c r="D158" s="1013"/>
      <c r="E158" s="1013"/>
      <c r="F158" s="1013"/>
      <c r="G158" s="1013"/>
      <c r="H158" s="1013"/>
      <c r="I158" s="1013"/>
      <c r="J158" s="1013"/>
      <c r="K158" s="1013"/>
      <c r="L158" s="1013"/>
      <c r="M158" s="1013"/>
      <c r="N158" s="1013"/>
      <c r="O158" s="1013"/>
      <c r="P158" s="1013"/>
      <c r="Q158" s="1013"/>
      <c r="R158" s="1013"/>
      <c r="S158" s="1013"/>
      <c r="T158" s="1013"/>
      <c r="U158" s="1013"/>
      <c r="V158" s="1013"/>
      <c r="W158" s="1014"/>
      <c r="Z158" s="1015" t="s">
        <v>759</v>
      </c>
      <c r="AA158" s="1016"/>
      <c r="AB158" s="1016"/>
      <c r="AC158" s="1016"/>
      <c r="AD158" s="1016"/>
      <c r="AE158" s="1016"/>
      <c r="AF158" s="1016"/>
      <c r="AG158" s="1016"/>
      <c r="AH158" s="1016"/>
      <c r="AI158" s="1016"/>
      <c r="AJ158" s="1016"/>
      <c r="AK158" s="1016"/>
      <c r="AL158" s="1016"/>
      <c r="AM158" s="1016"/>
      <c r="AN158" s="1016"/>
      <c r="AO158" s="1016"/>
      <c r="AP158" s="1016"/>
      <c r="AQ158" s="1016"/>
      <c r="AR158" s="1016"/>
      <c r="AS158" s="1016"/>
      <c r="AT158" s="1016"/>
      <c r="AU158" s="1016"/>
      <c r="AV158" s="1017"/>
      <c r="AY158" s="1012" t="s">
        <v>760</v>
      </c>
      <c r="AZ158" s="1013"/>
      <c r="BA158" s="1013"/>
      <c r="BB158" s="1013"/>
      <c r="BC158" s="1013"/>
      <c r="BD158" s="1013"/>
      <c r="BE158" s="1013"/>
      <c r="BF158" s="1013"/>
      <c r="BG158" s="1013"/>
      <c r="BH158" s="1013"/>
      <c r="BI158" s="1013"/>
      <c r="BJ158" s="1013"/>
      <c r="BK158" s="1013"/>
      <c r="BL158" s="1013"/>
      <c r="BM158" s="1013"/>
      <c r="BN158" s="1013"/>
      <c r="BO158" s="1013"/>
      <c r="BP158" s="1013"/>
      <c r="BQ158" s="1013"/>
      <c r="BR158" s="1013"/>
      <c r="BS158" s="1013"/>
      <c r="BT158" s="1013"/>
      <c r="BU158" s="1014"/>
    </row>
    <row r="159" spans="1:73" s="108" customFormat="1" ht="15" thickBot="1">
      <c r="A159" s="605" t="s">
        <v>143</v>
      </c>
      <c r="B159" s="606" t="s">
        <v>144</v>
      </c>
      <c r="C159" s="606" t="s">
        <v>145</v>
      </c>
      <c r="D159" s="606" t="s">
        <v>146</v>
      </c>
      <c r="E159" s="606" t="s">
        <v>147</v>
      </c>
      <c r="F159" s="606" t="s">
        <v>148</v>
      </c>
      <c r="G159" s="606" t="s">
        <v>149</v>
      </c>
      <c r="H159" s="606" t="s">
        <v>150</v>
      </c>
      <c r="I159" s="606" t="s">
        <v>151</v>
      </c>
      <c r="J159" s="606" t="s">
        <v>152</v>
      </c>
      <c r="K159" s="606" t="s">
        <v>153</v>
      </c>
      <c r="L159" s="606" t="s">
        <v>154</v>
      </c>
      <c r="M159" s="606" t="s">
        <v>155</v>
      </c>
      <c r="N159" s="606" t="s">
        <v>156</v>
      </c>
      <c r="O159" s="606" t="s">
        <v>157</v>
      </c>
      <c r="P159" s="606" t="s">
        <v>158</v>
      </c>
      <c r="Q159" s="606" t="s">
        <v>159</v>
      </c>
      <c r="R159" s="606" t="s">
        <v>160</v>
      </c>
      <c r="S159" s="606" t="s">
        <v>16</v>
      </c>
      <c r="T159" s="606" t="s">
        <v>161</v>
      </c>
      <c r="U159" s="606" t="s">
        <v>162</v>
      </c>
      <c r="V159" s="606" t="s">
        <v>163</v>
      </c>
      <c r="W159" s="607" t="s">
        <v>164</v>
      </c>
      <c r="Z159" s="605" t="s">
        <v>143</v>
      </c>
      <c r="AA159" s="606" t="s">
        <v>144</v>
      </c>
      <c r="AB159" s="606" t="s">
        <v>145</v>
      </c>
      <c r="AC159" s="606" t="s">
        <v>146</v>
      </c>
      <c r="AD159" s="606" t="s">
        <v>147</v>
      </c>
      <c r="AE159" s="606" t="s">
        <v>148</v>
      </c>
      <c r="AF159" s="606" t="s">
        <v>149</v>
      </c>
      <c r="AG159" s="606" t="s">
        <v>150</v>
      </c>
      <c r="AH159" s="606" t="s">
        <v>151</v>
      </c>
      <c r="AI159" s="606" t="s">
        <v>152</v>
      </c>
      <c r="AJ159" s="606" t="s">
        <v>153</v>
      </c>
      <c r="AK159" s="606" t="s">
        <v>154</v>
      </c>
      <c r="AL159" s="606" t="s">
        <v>155</v>
      </c>
      <c r="AM159" s="606" t="s">
        <v>156</v>
      </c>
      <c r="AN159" s="606" t="s">
        <v>157</v>
      </c>
      <c r="AO159" s="606" t="s">
        <v>158</v>
      </c>
      <c r="AP159" s="606" t="s">
        <v>159</v>
      </c>
      <c r="AQ159" s="606" t="s">
        <v>160</v>
      </c>
      <c r="AR159" s="606" t="s">
        <v>16</v>
      </c>
      <c r="AS159" s="606" t="s">
        <v>161</v>
      </c>
      <c r="AT159" s="606" t="s">
        <v>162</v>
      </c>
      <c r="AU159" s="606" t="s">
        <v>163</v>
      </c>
      <c r="AV159" s="607" t="s">
        <v>164</v>
      </c>
      <c r="AY159" s="605" t="s">
        <v>143</v>
      </c>
      <c r="AZ159" s="606" t="s">
        <v>144</v>
      </c>
      <c r="BA159" s="606" t="s">
        <v>145</v>
      </c>
      <c r="BB159" s="606" t="s">
        <v>146</v>
      </c>
      <c r="BC159" s="606" t="s">
        <v>147</v>
      </c>
      <c r="BD159" s="606" t="s">
        <v>148</v>
      </c>
      <c r="BE159" s="606" t="s">
        <v>149</v>
      </c>
      <c r="BF159" s="606" t="s">
        <v>150</v>
      </c>
      <c r="BG159" s="606" t="s">
        <v>151</v>
      </c>
      <c r="BH159" s="606" t="s">
        <v>152</v>
      </c>
      <c r="BI159" s="606" t="s">
        <v>153</v>
      </c>
      <c r="BJ159" s="606" t="s">
        <v>154</v>
      </c>
      <c r="BK159" s="606" t="s">
        <v>155</v>
      </c>
      <c r="BL159" s="606" t="s">
        <v>156</v>
      </c>
      <c r="BM159" s="606" t="s">
        <v>157</v>
      </c>
      <c r="BN159" s="606" t="s">
        <v>158</v>
      </c>
      <c r="BO159" s="606" t="s">
        <v>159</v>
      </c>
      <c r="BP159" s="606" t="s">
        <v>160</v>
      </c>
      <c r="BQ159" s="606" t="s">
        <v>16</v>
      </c>
      <c r="BR159" s="606" t="s">
        <v>161</v>
      </c>
      <c r="BS159" s="606" t="s">
        <v>162</v>
      </c>
      <c r="BT159" s="606" t="s">
        <v>163</v>
      </c>
      <c r="BU159" s="607" t="s">
        <v>164</v>
      </c>
    </row>
    <row r="160" spans="1:73">
      <c r="A160" s="650" t="s">
        <v>580</v>
      </c>
      <c r="B160" s="597" t="s">
        <v>308</v>
      </c>
      <c r="C160" s="597" t="s">
        <v>587</v>
      </c>
      <c r="D160" s="598">
        <f>IFERROR(HOU_H76[[#This Row],[H]]/HOU_H76[[#This Row],[AB]],0)</f>
        <v>0.32558139534883723</v>
      </c>
      <c r="E160" s="598">
        <f>IFERROR((HOU_H76[[#This Row],[H]]+HOU_H76[[#This Row],[BB]])/(HOU_H76[[#This Row],[BB]]+HOU_H76[[#This Row],[AB]]),0)</f>
        <v>0.34090909090909088</v>
      </c>
      <c r="F160" s="599">
        <f>IFERROR(((HOU_H76[[#This Row],[H]]-HOU_H76[[#This Row],[2B]]-HOU_H76[[#This Row],[3B]]-HOU_H76[[#This Row],[HR]])+(HOU_H76[[#This Row],[2B]]*2)+(HOU_H76[[#This Row],[3B]]*3)+(HOU_H76[[#This Row],[HR]]*4))/HOU_H76[[#This Row],[AB]],0)</f>
        <v>0.62790697674418605</v>
      </c>
      <c r="G160" s="600">
        <v>12</v>
      </c>
      <c r="H160" s="600">
        <v>43</v>
      </c>
      <c r="I160" s="600">
        <v>4</v>
      </c>
      <c r="J160" s="600">
        <v>14</v>
      </c>
      <c r="K160" s="600">
        <v>4</v>
      </c>
      <c r="L160" s="600">
        <v>0</v>
      </c>
      <c r="M160" s="600">
        <v>3</v>
      </c>
      <c r="N160" s="600">
        <v>8</v>
      </c>
      <c r="O160" s="600">
        <v>1</v>
      </c>
      <c r="P160" s="604">
        <v>8</v>
      </c>
      <c r="Q160" s="600">
        <v>0</v>
      </c>
      <c r="R160" s="600">
        <v>9</v>
      </c>
      <c r="S160" s="604">
        <v>9</v>
      </c>
      <c r="T160" s="600">
        <f>IFERROR((HOU_H76[[#This Row],[H]]-HOU_H76[[#This Row],[2B]]-HOU_H76[[#This Row],[3B]]-HOU_H76[[#This Row],[HR]])+(HOU_H76[[#This Row],[2B]]*2)+(HOU_H76[[#This Row],[3B]]*3)+(HOU_H76[[#This Row],[HR]]*4),0)</f>
        <v>27</v>
      </c>
      <c r="U160" s="598">
        <f>HOU_H76[[#This Row],[OBP]]+HOU_H76[[#This Row],[SLG]]</f>
        <v>0.96881606765327688</v>
      </c>
      <c r="V160" s="604">
        <v>1</v>
      </c>
      <c r="W160" s="614">
        <v>1</v>
      </c>
      <c r="Z160" s="650" t="s">
        <v>611</v>
      </c>
      <c r="AA160" s="597" t="s">
        <v>179</v>
      </c>
      <c r="AB160" s="673" t="s">
        <v>621</v>
      </c>
      <c r="AC160" s="706">
        <f>IFERROR(SEA_H49[[#This Row],[H]]/SEA_H49[[#This Row],[AB]],0)</f>
        <v>9.0909090909090912E-2</v>
      </c>
      <c r="AD160" s="598">
        <f>IFERROR((SEA_H49[[#This Row],[H]]+SEA_H49[[#This Row],[BB]])/(SEA_H49[[#This Row],[BB]]+SEA_H49[[#This Row],[AB]]),0)</f>
        <v>0.16666666666666666</v>
      </c>
      <c r="AE160" s="599">
        <f>IFERROR(((SEA_H49[[#This Row],[H]]-SEA_H49[[#This Row],[2B]]-SEA_H49[[#This Row],[3B]]-SEA_H49[[#This Row],[HR]])+(SEA_H49[[#This Row],[2B]]*2)+(SEA_H49[[#This Row],[3B]]*3)+(SEA_H49[[#This Row],[HR]]*4))/SEA_H49[[#This Row],[AB]],0)</f>
        <v>0.36363636363636365</v>
      </c>
      <c r="AF160" s="600">
        <v>3</v>
      </c>
      <c r="AG160" s="600">
        <v>11</v>
      </c>
      <c r="AH160" s="600">
        <v>1</v>
      </c>
      <c r="AI160" s="600">
        <v>1</v>
      </c>
      <c r="AJ160" s="600">
        <v>0</v>
      </c>
      <c r="AK160" s="600">
        <v>0</v>
      </c>
      <c r="AL160" s="600">
        <v>1</v>
      </c>
      <c r="AM160" s="600">
        <v>1</v>
      </c>
      <c r="AN160" s="600">
        <v>1</v>
      </c>
      <c r="AO160" s="604">
        <v>4</v>
      </c>
      <c r="AP160" s="600">
        <v>0</v>
      </c>
      <c r="AQ160" s="600">
        <v>0</v>
      </c>
      <c r="AR160" s="604">
        <v>1</v>
      </c>
      <c r="AS160" s="600">
        <f>IFERROR((SEA_H49[[#This Row],[H]]-SEA_H49[[#This Row],[2B]]-SEA_H49[[#This Row],[3B]]-SEA_H49[[#This Row],[HR]])+(SEA_H49[[#This Row],[2B]]*2)+(SEA_H49[[#This Row],[3B]]*3)+(SEA_H49[[#This Row],[HR]]*4),0)</f>
        <v>4</v>
      </c>
      <c r="AT160" s="598">
        <f>SEA_H49[[#This Row],[OBP]]+SEA_H49[[#This Row],[SLG]]</f>
        <v>0.53030303030303028</v>
      </c>
      <c r="AU160" s="604">
        <v>0</v>
      </c>
      <c r="AV160" s="614">
        <v>1</v>
      </c>
      <c r="AY160" s="608" t="s">
        <v>580</v>
      </c>
      <c r="AZ160" s="604" t="s">
        <v>179</v>
      </c>
      <c r="BA160" s="597" t="s">
        <v>591</v>
      </c>
      <c r="BB160" s="598">
        <f>IFERROR(HOU_H109[[#This Row],[H]]/HOU_H109[[#This Row],[AB]],0)</f>
        <v>0.14893617021276595</v>
      </c>
      <c r="BC160" s="598">
        <f>IFERROR((HOU_H109[[#This Row],[BB]]+HOU_H109[[#This Row],[H]])/(HOU_H109[[#This Row],[AB]]+HOU_H109[[#This Row],[BB]]),0)</f>
        <v>0.21568627450980393</v>
      </c>
      <c r="BD160" s="599">
        <f>IFERROR(((HOU_H109[[#This Row],[H]]-HOU_H109[[#This Row],[2B]]-HOU_H109[[#This Row],[3B]]-HOU_H109[[#This Row],[HR]])+(HOU_H109[[#This Row],[2B]]*2)+(HOU_H109[[#This Row],[3B]]*3)+(HOU_H109[[#This Row],[HR]]*4))/HOU_H109[[#This Row],[AB]],0)</f>
        <v>0.23404255319148937</v>
      </c>
      <c r="BE160" s="600">
        <v>14</v>
      </c>
      <c r="BF160" s="600">
        <v>47</v>
      </c>
      <c r="BG160" s="600">
        <v>3</v>
      </c>
      <c r="BH160" s="600">
        <v>7</v>
      </c>
      <c r="BI160" s="600">
        <v>1</v>
      </c>
      <c r="BJ160" s="600">
        <v>0</v>
      </c>
      <c r="BK160" s="600">
        <v>1</v>
      </c>
      <c r="BL160" s="600">
        <v>4</v>
      </c>
      <c r="BM160" s="600">
        <v>4</v>
      </c>
      <c r="BN160" s="604">
        <v>14</v>
      </c>
      <c r="BO160" s="600">
        <v>0</v>
      </c>
      <c r="BP160" s="600">
        <v>0</v>
      </c>
      <c r="BQ160" s="604">
        <v>2</v>
      </c>
      <c r="BR160" s="600">
        <f>(HOU_H109[[#This Row],[H]]-HOU_H109[[#This Row],[2B]]-HOU_H109[[#This Row],[3B]]-HOU_H109[[#This Row],[HR]])+(HOU_H109[[#This Row],[2B]]*2)+(HOU_H109[[#This Row],[3B]]*3)+(HOU_H109[[#This Row],[HR]]*4)</f>
        <v>11</v>
      </c>
      <c r="BS160" s="598">
        <f>IFERROR(HOU_H109[[#This Row],[OBP]]+HOU_H109[[#This Row],[SLG]],0)</f>
        <v>0.4497288277012933</v>
      </c>
      <c r="BT160" s="604">
        <v>1</v>
      </c>
      <c r="BU160" s="614">
        <v>1</v>
      </c>
    </row>
    <row r="161" spans="1:73">
      <c r="A161" s="651" t="s">
        <v>580</v>
      </c>
      <c r="B161" s="71" t="s">
        <v>154</v>
      </c>
      <c r="C161" s="71" t="s">
        <v>582</v>
      </c>
      <c r="D161" s="72">
        <f>IFERROR(HOU_H76[[#This Row],[H]]/HOU_H76[[#This Row],[AB]],0)</f>
        <v>8.5106382978723402E-2</v>
      </c>
      <c r="E161" s="72">
        <f>IFERROR((HOU_H76[[#This Row],[H]]+HOU_H76[[#This Row],[BB]])/(HOU_H76[[#This Row],[BB]]+HOU_H76[[#This Row],[AB]]),0)</f>
        <v>0.15686274509803921</v>
      </c>
      <c r="F161" s="73">
        <f>IFERROR(((HOU_H76[[#This Row],[H]]-HOU_H76[[#This Row],[2B]]-HOU_H76[[#This Row],[3B]]-HOU_H76[[#This Row],[HR]])+(HOU_H76[[#This Row],[2B]]*2)+(HOU_H76[[#This Row],[3B]]*3)+(HOU_H76[[#This Row],[HR]]*4))/HOU_H76[[#This Row],[AB]],0)</f>
        <v>0.1276595744680851</v>
      </c>
      <c r="G161" s="28">
        <v>12</v>
      </c>
      <c r="H161" s="28">
        <v>47</v>
      </c>
      <c r="I161" s="28">
        <v>1</v>
      </c>
      <c r="J161" s="28">
        <v>4</v>
      </c>
      <c r="K161" s="28">
        <v>2</v>
      </c>
      <c r="L161" s="28">
        <v>0</v>
      </c>
      <c r="M161" s="28">
        <v>0</v>
      </c>
      <c r="N161" s="28">
        <v>2</v>
      </c>
      <c r="O161" s="28">
        <v>4</v>
      </c>
      <c r="P161" s="74">
        <v>14</v>
      </c>
      <c r="Q161" s="28">
        <v>0</v>
      </c>
      <c r="R161" s="28">
        <v>1</v>
      </c>
      <c r="S161" s="74">
        <v>2</v>
      </c>
      <c r="T161" s="28">
        <f>IFERROR((HOU_H76[[#This Row],[H]]-HOU_H76[[#This Row],[2B]]-HOU_H76[[#This Row],[3B]]-HOU_H76[[#This Row],[HR]])+(HOU_H76[[#This Row],[2B]]*2)+(HOU_H76[[#This Row],[3B]]*3)+(HOU_H76[[#This Row],[HR]]*4),0)</f>
        <v>6</v>
      </c>
      <c r="U161" s="72">
        <f>HOU_H76[[#This Row],[OBP]]+HOU_H76[[#This Row],[SLG]]</f>
        <v>0.28452231956612428</v>
      </c>
      <c r="V161" s="74">
        <v>0</v>
      </c>
      <c r="W161" s="615">
        <v>2</v>
      </c>
      <c r="Z161" s="651" t="s">
        <v>611</v>
      </c>
      <c r="AA161" s="71" t="s">
        <v>154</v>
      </c>
      <c r="AB161" s="71" t="s">
        <v>623</v>
      </c>
      <c r="AC161" s="72">
        <f>IFERROR(SEA_H49[[#This Row],[H]]/SEA_H49[[#This Row],[AB]],0)</f>
        <v>0.4</v>
      </c>
      <c r="AD161" s="72">
        <f>IFERROR((SEA_H49[[#This Row],[H]]+SEA_H49[[#This Row],[BB]])/(SEA_H49[[#This Row],[BB]]+SEA_H49[[#This Row],[AB]]),0)</f>
        <v>0.45454545454545453</v>
      </c>
      <c r="AE161" s="73">
        <f>IFERROR(((SEA_H49[[#This Row],[H]]-SEA_H49[[#This Row],[2B]]-SEA_H49[[#This Row],[3B]]-SEA_H49[[#This Row],[HR]])+(SEA_H49[[#This Row],[2B]]*2)+(SEA_H49[[#This Row],[3B]]*3)+(SEA_H49[[#This Row],[HR]]*4))/SEA_H49[[#This Row],[AB]],0)</f>
        <v>0.5</v>
      </c>
      <c r="AF161" s="28">
        <v>3</v>
      </c>
      <c r="AG161" s="28">
        <v>10</v>
      </c>
      <c r="AH161" s="28">
        <v>0</v>
      </c>
      <c r="AI161" s="28">
        <v>4</v>
      </c>
      <c r="AJ161" s="28">
        <v>1</v>
      </c>
      <c r="AK161" s="28">
        <v>0</v>
      </c>
      <c r="AL161" s="28">
        <v>0</v>
      </c>
      <c r="AM161" s="28">
        <v>1</v>
      </c>
      <c r="AN161" s="28">
        <v>1</v>
      </c>
      <c r="AO161" s="74">
        <v>1</v>
      </c>
      <c r="AP161" s="28">
        <v>0</v>
      </c>
      <c r="AQ161" s="28">
        <v>0</v>
      </c>
      <c r="AR161" s="74">
        <v>2</v>
      </c>
      <c r="AS161" s="28">
        <f>IFERROR((SEA_H49[[#This Row],[H]]-SEA_H49[[#This Row],[2B]]-SEA_H49[[#This Row],[3B]]-SEA_H49[[#This Row],[HR]])+(SEA_H49[[#This Row],[2B]]*2)+(SEA_H49[[#This Row],[3B]]*3)+(SEA_H49[[#This Row],[HR]]*4),0)</f>
        <v>5</v>
      </c>
      <c r="AT161" s="72">
        <f>SEA_H49[[#This Row],[OBP]]+SEA_H49[[#This Row],[SLG]]</f>
        <v>0.95454545454545459</v>
      </c>
      <c r="AU161" s="74">
        <v>0</v>
      </c>
      <c r="AV161" s="615">
        <v>2</v>
      </c>
      <c r="AY161" s="609" t="s">
        <v>580</v>
      </c>
      <c r="AZ161" s="74" t="s">
        <v>154</v>
      </c>
      <c r="BA161" s="71" t="s">
        <v>582</v>
      </c>
      <c r="BB161" s="72">
        <f>IFERROR(HOU_H109[[#This Row],[H]]/HOU_H109[[#This Row],[AB]],0)</f>
        <v>0.25</v>
      </c>
      <c r="BC161" s="72">
        <f>IFERROR((HOU_H109[[#This Row],[BB]]+HOU_H109[[#This Row],[H]])/(HOU_H109[[#This Row],[AB]]+HOU_H109[[#This Row],[BB]]),0)</f>
        <v>0.28813559322033899</v>
      </c>
      <c r="BD161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0.375</v>
      </c>
      <c r="BE161" s="28">
        <v>14</v>
      </c>
      <c r="BF161" s="28">
        <v>56</v>
      </c>
      <c r="BG161" s="28">
        <v>5</v>
      </c>
      <c r="BH161" s="28">
        <v>14</v>
      </c>
      <c r="BI161" s="28">
        <v>1</v>
      </c>
      <c r="BJ161" s="28">
        <v>0</v>
      </c>
      <c r="BK161" s="28">
        <v>2</v>
      </c>
      <c r="BL161" s="28">
        <v>7</v>
      </c>
      <c r="BM161" s="28">
        <v>3</v>
      </c>
      <c r="BN161" s="74">
        <v>9</v>
      </c>
      <c r="BO161" s="28">
        <v>0</v>
      </c>
      <c r="BP161" s="28">
        <v>3</v>
      </c>
      <c r="BQ161" s="74">
        <v>4</v>
      </c>
      <c r="BR161" s="28">
        <f>(HOU_H109[[#This Row],[H]]-HOU_H109[[#This Row],[2B]]-HOU_H109[[#This Row],[3B]]-HOU_H109[[#This Row],[HR]])+(HOU_H109[[#This Row],[2B]]*2)+(HOU_H109[[#This Row],[3B]]*3)+(HOU_H109[[#This Row],[HR]]*4)</f>
        <v>21</v>
      </c>
      <c r="BS161" s="72">
        <f>IFERROR(HOU_H109[[#This Row],[OBP]]+HOU_H109[[#This Row],[SLG]],0)</f>
        <v>0.66313559322033899</v>
      </c>
      <c r="BT161" s="74">
        <v>1</v>
      </c>
      <c r="BU161" s="615">
        <v>2</v>
      </c>
    </row>
    <row r="162" spans="1:73">
      <c r="A162" s="651" t="s">
        <v>580</v>
      </c>
      <c r="B162" s="71" t="s">
        <v>172</v>
      </c>
      <c r="C162" s="71" t="s">
        <v>588</v>
      </c>
      <c r="D162" s="72">
        <f>IFERROR(HOU_H76[[#This Row],[H]]/HOU_H76[[#This Row],[AB]],0)</f>
        <v>0.10869565217391304</v>
      </c>
      <c r="E162" s="72">
        <f>IFERROR((HOU_H76[[#This Row],[H]]+HOU_H76[[#This Row],[BB]])/(HOU_H76[[#This Row],[BB]]+HOU_H76[[#This Row],[AB]]),0)</f>
        <v>0.10869565217391304</v>
      </c>
      <c r="F162" s="73">
        <f>IFERROR(((HOU_H76[[#This Row],[H]]-HOU_H76[[#This Row],[2B]]-HOU_H76[[#This Row],[3B]]-HOU_H76[[#This Row],[HR]])+(HOU_H76[[#This Row],[2B]]*2)+(HOU_H76[[#This Row],[3B]]*3)+(HOU_H76[[#This Row],[HR]]*4))/HOU_H76[[#This Row],[AB]],0)</f>
        <v>0.2391304347826087</v>
      </c>
      <c r="G162" s="28">
        <v>12</v>
      </c>
      <c r="H162" s="28">
        <v>46</v>
      </c>
      <c r="I162" s="28">
        <v>2</v>
      </c>
      <c r="J162" s="28">
        <v>5</v>
      </c>
      <c r="K162" s="28">
        <v>0</v>
      </c>
      <c r="L162" s="28">
        <v>0</v>
      </c>
      <c r="M162" s="28">
        <v>2</v>
      </c>
      <c r="N162" s="28">
        <v>4</v>
      </c>
      <c r="O162" s="28">
        <v>0</v>
      </c>
      <c r="P162" s="74">
        <v>21</v>
      </c>
      <c r="Q162" s="28">
        <v>0</v>
      </c>
      <c r="R162" s="28">
        <v>2</v>
      </c>
      <c r="S162" s="74">
        <v>2</v>
      </c>
      <c r="T162" s="28">
        <f>IFERROR((HOU_H76[[#This Row],[H]]-HOU_H76[[#This Row],[2B]]-HOU_H76[[#This Row],[3B]]-HOU_H76[[#This Row],[HR]])+(HOU_H76[[#This Row],[2B]]*2)+(HOU_H76[[#This Row],[3B]]*3)+(HOU_H76[[#This Row],[HR]]*4),0)</f>
        <v>11</v>
      </c>
      <c r="U162" s="72">
        <f>HOU_H76[[#This Row],[OBP]]+HOU_H76[[#This Row],[SLG]]</f>
        <v>0.34782608695652173</v>
      </c>
      <c r="V162" s="74">
        <v>1</v>
      </c>
      <c r="W162" s="615">
        <v>3</v>
      </c>
      <c r="Z162" s="651" t="s">
        <v>611</v>
      </c>
      <c r="AA162" s="71" t="s">
        <v>172</v>
      </c>
      <c r="AB162" s="71" t="s">
        <v>622</v>
      </c>
      <c r="AC162" s="72">
        <f>IFERROR(SEA_H49[[#This Row],[H]]/SEA_H49[[#This Row],[AB]],0)</f>
        <v>0.1</v>
      </c>
      <c r="AD162" s="72">
        <f>IFERROR((SEA_H49[[#This Row],[H]]+SEA_H49[[#This Row],[BB]])/(SEA_H49[[#This Row],[BB]]+SEA_H49[[#This Row],[AB]]),0)</f>
        <v>0.25</v>
      </c>
      <c r="AE162" s="73">
        <f>IFERROR(((SEA_H49[[#This Row],[H]]-SEA_H49[[#This Row],[2B]]-SEA_H49[[#This Row],[3B]]-SEA_H49[[#This Row],[HR]])+(SEA_H49[[#This Row],[2B]]*2)+(SEA_H49[[#This Row],[3B]]*3)+(SEA_H49[[#This Row],[HR]]*4))/SEA_H49[[#This Row],[AB]],0)</f>
        <v>0.2</v>
      </c>
      <c r="AF162" s="28">
        <v>3</v>
      </c>
      <c r="AG162" s="28">
        <v>10</v>
      </c>
      <c r="AH162" s="28">
        <v>1</v>
      </c>
      <c r="AI162" s="28">
        <v>1</v>
      </c>
      <c r="AJ162" s="28">
        <v>1</v>
      </c>
      <c r="AK162" s="28">
        <v>0</v>
      </c>
      <c r="AL162" s="28">
        <v>0</v>
      </c>
      <c r="AM162" s="28">
        <v>0</v>
      </c>
      <c r="AN162" s="28">
        <v>2</v>
      </c>
      <c r="AO162" s="74">
        <v>5</v>
      </c>
      <c r="AP162" s="28">
        <v>0</v>
      </c>
      <c r="AQ162" s="28">
        <v>1</v>
      </c>
      <c r="AR162" s="74">
        <v>1</v>
      </c>
      <c r="AS162" s="28">
        <f>IFERROR((SEA_H49[[#This Row],[H]]-SEA_H49[[#This Row],[2B]]-SEA_H49[[#This Row],[3B]]-SEA_H49[[#This Row],[HR]])+(SEA_H49[[#This Row],[2B]]*2)+(SEA_H49[[#This Row],[3B]]*3)+(SEA_H49[[#This Row],[HR]]*4),0)</f>
        <v>2</v>
      </c>
      <c r="AT162" s="72">
        <f>SEA_H49[[#This Row],[OBP]]+SEA_H49[[#This Row],[SLG]]</f>
        <v>0.45</v>
      </c>
      <c r="AU162" s="74">
        <v>0</v>
      </c>
      <c r="AV162" s="615">
        <v>3</v>
      </c>
      <c r="AY162" s="609" t="s">
        <v>580</v>
      </c>
      <c r="AZ162" s="104" t="s">
        <v>172</v>
      </c>
      <c r="BA162" s="71" t="s">
        <v>432</v>
      </c>
      <c r="BB162" s="72">
        <f>IFERROR(HOU_H109[[#This Row],[H]]/HOU_H109[[#This Row],[AB]],0)</f>
        <v>0.31372549019607843</v>
      </c>
      <c r="BC162" s="72">
        <f>IFERROR((HOU_H109[[#This Row],[BB]]+HOU_H109[[#This Row],[H]])/(HOU_H109[[#This Row],[AB]]+HOU_H109[[#This Row],[BB]]),0)</f>
        <v>0.42622950819672129</v>
      </c>
      <c r="BD162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0.47058823529411764</v>
      </c>
      <c r="BE162" s="28">
        <v>14</v>
      </c>
      <c r="BF162" s="28">
        <v>51</v>
      </c>
      <c r="BG162" s="28">
        <v>10</v>
      </c>
      <c r="BH162" s="28">
        <v>16</v>
      </c>
      <c r="BI162" s="28">
        <v>2</v>
      </c>
      <c r="BJ162" s="28">
        <v>0</v>
      </c>
      <c r="BK162" s="28">
        <v>2</v>
      </c>
      <c r="BL162" s="28">
        <v>10</v>
      </c>
      <c r="BM162" s="28">
        <v>10</v>
      </c>
      <c r="BN162" s="74">
        <v>13</v>
      </c>
      <c r="BO162" s="28">
        <v>0</v>
      </c>
      <c r="BP162" s="28">
        <v>0</v>
      </c>
      <c r="BQ162" s="74">
        <v>5</v>
      </c>
      <c r="BR162" s="28">
        <f>(HOU_H109[[#This Row],[H]]-HOU_H109[[#This Row],[2B]]-HOU_H109[[#This Row],[3B]]-HOU_H109[[#This Row],[HR]])+(HOU_H109[[#This Row],[2B]]*2)+(HOU_H109[[#This Row],[3B]]*3)+(HOU_H109[[#This Row],[HR]]*4)</f>
        <v>24</v>
      </c>
      <c r="BS162" s="72">
        <f>IFERROR(HOU_H109[[#This Row],[OBP]]+HOU_H109[[#This Row],[SLG]],0)</f>
        <v>0.89681774349083887</v>
      </c>
      <c r="BT162" s="74">
        <v>2</v>
      </c>
      <c r="BU162" s="615">
        <v>3</v>
      </c>
    </row>
    <row r="163" spans="1:73">
      <c r="A163" s="651" t="s">
        <v>580</v>
      </c>
      <c r="B163" s="71" t="s">
        <v>153</v>
      </c>
      <c r="C163" s="71" t="s">
        <v>583</v>
      </c>
      <c r="D163" s="72">
        <f>IFERROR(HOU_H76[[#This Row],[H]]/HOU_H76[[#This Row],[AB]],0)</f>
        <v>0.3</v>
      </c>
      <c r="E163" s="72">
        <f>IFERROR((HOU_H76[[#This Row],[H]]+HOU_H76[[#This Row],[BB]])/(HOU_H76[[#This Row],[BB]]+HOU_H76[[#This Row],[AB]]),0)</f>
        <v>0.33962264150943394</v>
      </c>
      <c r="F163" s="73">
        <f>IFERROR(((HOU_H76[[#This Row],[H]]-HOU_H76[[#This Row],[2B]]-HOU_H76[[#This Row],[3B]]-HOU_H76[[#This Row],[HR]])+(HOU_H76[[#This Row],[2B]]*2)+(HOU_H76[[#This Row],[3B]]*3)+(HOU_H76[[#This Row],[HR]]*4))/HOU_H76[[#This Row],[AB]],0)</f>
        <v>0.56000000000000005</v>
      </c>
      <c r="G163" s="28">
        <v>12</v>
      </c>
      <c r="H163" s="28">
        <v>50</v>
      </c>
      <c r="I163" s="28">
        <v>8</v>
      </c>
      <c r="J163" s="28">
        <v>15</v>
      </c>
      <c r="K163" s="28">
        <v>4</v>
      </c>
      <c r="L163" s="28">
        <v>0</v>
      </c>
      <c r="M163" s="28">
        <v>3</v>
      </c>
      <c r="N163" s="28">
        <v>5</v>
      </c>
      <c r="O163" s="28">
        <v>3</v>
      </c>
      <c r="P163" s="74">
        <v>8</v>
      </c>
      <c r="Q163" s="28">
        <v>2</v>
      </c>
      <c r="R163" s="28">
        <v>3</v>
      </c>
      <c r="S163" s="74">
        <v>6</v>
      </c>
      <c r="T163" s="28">
        <f>IFERROR((HOU_H76[[#This Row],[H]]-HOU_H76[[#This Row],[2B]]-HOU_H76[[#This Row],[3B]]-HOU_H76[[#This Row],[HR]])+(HOU_H76[[#This Row],[2B]]*2)+(HOU_H76[[#This Row],[3B]]*3)+(HOU_H76[[#This Row],[HR]]*4),0)</f>
        <v>28</v>
      </c>
      <c r="U163" s="72">
        <f>HOU_H76[[#This Row],[OBP]]+HOU_H76[[#This Row],[SLG]]</f>
        <v>0.89962264150943394</v>
      </c>
      <c r="V163" s="74">
        <v>1</v>
      </c>
      <c r="W163" s="615">
        <v>4</v>
      </c>
      <c r="Z163" s="651" t="s">
        <v>611</v>
      </c>
      <c r="AA163" s="71" t="s">
        <v>153</v>
      </c>
      <c r="AB163" s="71" t="s">
        <v>612</v>
      </c>
      <c r="AC163" s="72">
        <f>IFERROR(SEA_H49[[#This Row],[H]]/SEA_H49[[#This Row],[AB]],0)</f>
        <v>0.53846153846153844</v>
      </c>
      <c r="AD163" s="72">
        <f>IFERROR((SEA_H49[[#This Row],[H]]+SEA_H49[[#This Row],[BB]])/(SEA_H49[[#This Row],[BB]]+SEA_H49[[#This Row],[AB]]),0)</f>
        <v>0.5714285714285714</v>
      </c>
      <c r="AE163" s="73">
        <f>IFERROR(((SEA_H49[[#This Row],[H]]-SEA_H49[[#This Row],[2B]]-SEA_H49[[#This Row],[3B]]-SEA_H49[[#This Row],[HR]])+(SEA_H49[[#This Row],[2B]]*2)+(SEA_H49[[#This Row],[3B]]*3)+(SEA_H49[[#This Row],[HR]]*4))/SEA_H49[[#This Row],[AB]],0)</f>
        <v>1</v>
      </c>
      <c r="AF163" s="28">
        <v>3</v>
      </c>
      <c r="AG163" s="28">
        <v>13</v>
      </c>
      <c r="AH163" s="28">
        <v>4</v>
      </c>
      <c r="AI163" s="28">
        <v>7</v>
      </c>
      <c r="AJ163" s="28">
        <v>0</v>
      </c>
      <c r="AK163" s="28">
        <v>0</v>
      </c>
      <c r="AL163" s="28">
        <v>2</v>
      </c>
      <c r="AM163" s="28">
        <v>5</v>
      </c>
      <c r="AN163" s="28">
        <v>1</v>
      </c>
      <c r="AO163" s="74">
        <v>0</v>
      </c>
      <c r="AP163" s="28">
        <v>0</v>
      </c>
      <c r="AQ163" s="28">
        <v>3</v>
      </c>
      <c r="AR163" s="74">
        <v>3</v>
      </c>
      <c r="AS163" s="28">
        <f>IFERROR((SEA_H49[[#This Row],[H]]-SEA_H49[[#This Row],[2B]]-SEA_H49[[#This Row],[3B]]-SEA_H49[[#This Row],[HR]])+(SEA_H49[[#This Row],[2B]]*2)+(SEA_H49[[#This Row],[3B]]*3)+(SEA_H49[[#This Row],[HR]]*4),0)</f>
        <v>13</v>
      </c>
      <c r="AT163" s="72">
        <f>SEA_H49[[#This Row],[OBP]]+SEA_H49[[#This Row],[SLG]]</f>
        <v>1.5714285714285714</v>
      </c>
      <c r="AU163" s="74">
        <v>0</v>
      </c>
      <c r="AV163" s="615">
        <v>4</v>
      </c>
      <c r="AY163" s="609" t="s">
        <v>580</v>
      </c>
      <c r="AZ163" s="104" t="s">
        <v>153</v>
      </c>
      <c r="BA163" s="71" t="s">
        <v>583</v>
      </c>
      <c r="BB163" s="72">
        <f>IFERROR(HOU_H109[[#This Row],[H]]/HOU_H109[[#This Row],[AB]],0)</f>
        <v>0.32142857142857145</v>
      </c>
      <c r="BC163" s="72">
        <f>IFERROR((HOU_H109[[#This Row],[BB]]+HOU_H109[[#This Row],[H]])/(HOU_H109[[#This Row],[AB]]+HOU_H109[[#This Row],[BB]]),0)</f>
        <v>0.43283582089552236</v>
      </c>
      <c r="BD163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0.5</v>
      </c>
      <c r="BE163" s="28">
        <v>14</v>
      </c>
      <c r="BF163" s="28">
        <v>56</v>
      </c>
      <c r="BG163" s="28">
        <v>8</v>
      </c>
      <c r="BH163" s="28">
        <v>18</v>
      </c>
      <c r="BI163" s="28">
        <v>4</v>
      </c>
      <c r="BJ163" s="28">
        <v>0</v>
      </c>
      <c r="BK163" s="28">
        <v>2</v>
      </c>
      <c r="BL163" s="28">
        <v>2</v>
      </c>
      <c r="BM163" s="28">
        <v>11</v>
      </c>
      <c r="BN163" s="74">
        <v>10</v>
      </c>
      <c r="BO163" s="28">
        <v>2</v>
      </c>
      <c r="BP163" s="28">
        <v>4</v>
      </c>
      <c r="BQ163" s="74">
        <v>4</v>
      </c>
      <c r="BR163" s="28">
        <f>(HOU_H109[[#This Row],[H]]-HOU_H109[[#This Row],[2B]]-HOU_H109[[#This Row],[3B]]-HOU_H109[[#This Row],[HR]])+(HOU_H109[[#This Row],[2B]]*2)+(HOU_H109[[#This Row],[3B]]*3)+(HOU_H109[[#This Row],[HR]]*4)</f>
        <v>28</v>
      </c>
      <c r="BS163" s="72">
        <f>IFERROR(HOU_H109[[#This Row],[OBP]]+HOU_H109[[#This Row],[SLG]],0)</f>
        <v>0.93283582089552231</v>
      </c>
      <c r="BT163" s="74">
        <v>1</v>
      </c>
      <c r="BU163" s="615">
        <v>4</v>
      </c>
    </row>
    <row r="164" spans="1:73">
      <c r="A164" s="651" t="s">
        <v>580</v>
      </c>
      <c r="B164" s="71" t="s">
        <v>177</v>
      </c>
      <c r="C164" s="71" t="s">
        <v>584</v>
      </c>
      <c r="D164" s="72">
        <f>IFERROR(HOU_H76[[#This Row],[H]]/HOU_H76[[#This Row],[AB]],0)</f>
        <v>0.14893617021276595</v>
      </c>
      <c r="E164" s="72">
        <f>IFERROR((HOU_H76[[#This Row],[H]]+HOU_H76[[#This Row],[BB]])/(HOU_H76[[#This Row],[BB]]+HOU_H76[[#This Row],[AB]]),0)</f>
        <v>0.2</v>
      </c>
      <c r="F164" s="73">
        <f>IFERROR(((HOU_H76[[#This Row],[H]]-HOU_H76[[#This Row],[2B]]-HOU_H76[[#This Row],[3B]]-HOU_H76[[#This Row],[HR]])+(HOU_H76[[#This Row],[2B]]*2)+(HOU_H76[[#This Row],[3B]]*3)+(HOU_H76[[#This Row],[HR]]*4))/HOU_H76[[#This Row],[AB]],0)</f>
        <v>0.25531914893617019</v>
      </c>
      <c r="G164" s="28">
        <v>12</v>
      </c>
      <c r="H164" s="28">
        <v>47</v>
      </c>
      <c r="I164" s="28">
        <v>2</v>
      </c>
      <c r="J164" s="28">
        <v>7</v>
      </c>
      <c r="K164" s="28">
        <v>2</v>
      </c>
      <c r="L164" s="28">
        <v>0</v>
      </c>
      <c r="M164" s="28">
        <v>1</v>
      </c>
      <c r="N164" s="28">
        <v>4</v>
      </c>
      <c r="O164" s="28">
        <v>3</v>
      </c>
      <c r="P164" s="74">
        <v>12</v>
      </c>
      <c r="Q164" s="28">
        <v>0</v>
      </c>
      <c r="R164" s="28">
        <v>0</v>
      </c>
      <c r="S164" s="74">
        <v>4</v>
      </c>
      <c r="T164" s="28">
        <f>IFERROR((HOU_H76[[#This Row],[H]]-HOU_H76[[#This Row],[2B]]-HOU_H76[[#This Row],[3B]]-HOU_H76[[#This Row],[HR]])+(HOU_H76[[#This Row],[2B]]*2)+(HOU_H76[[#This Row],[3B]]*3)+(HOU_H76[[#This Row],[HR]]*4),0)</f>
        <v>12</v>
      </c>
      <c r="U164" s="72">
        <f>HOU_H76[[#This Row],[OBP]]+HOU_H76[[#This Row],[SLG]]</f>
        <v>0.4553191489361702</v>
      </c>
      <c r="V164" s="74">
        <v>1</v>
      </c>
      <c r="W164" s="615">
        <v>5</v>
      </c>
      <c r="Z164" s="651" t="s">
        <v>611</v>
      </c>
      <c r="AA164" s="71" t="s">
        <v>177</v>
      </c>
      <c r="AB164" s="71" t="s">
        <v>615</v>
      </c>
      <c r="AC164" s="72">
        <f>IFERROR(SEA_H49[[#This Row],[H]]/SEA_H49[[#This Row],[AB]],0)</f>
        <v>0.45454545454545453</v>
      </c>
      <c r="AD164" s="72">
        <f>IFERROR((SEA_H49[[#This Row],[H]]+SEA_H49[[#This Row],[BB]])/(SEA_H49[[#This Row],[BB]]+SEA_H49[[#This Row],[AB]]),0)</f>
        <v>0.5</v>
      </c>
      <c r="AE164" s="73">
        <f>IFERROR(((SEA_H49[[#This Row],[H]]-SEA_H49[[#This Row],[2B]]-SEA_H49[[#This Row],[3B]]-SEA_H49[[#This Row],[HR]])+(SEA_H49[[#This Row],[2B]]*2)+(SEA_H49[[#This Row],[3B]]*3)+(SEA_H49[[#This Row],[HR]]*4))/SEA_H49[[#This Row],[AB]],0)</f>
        <v>1</v>
      </c>
      <c r="AF164" s="28">
        <v>3</v>
      </c>
      <c r="AG164" s="28">
        <v>11</v>
      </c>
      <c r="AH164" s="28">
        <v>2</v>
      </c>
      <c r="AI164" s="28">
        <v>5</v>
      </c>
      <c r="AJ164" s="28">
        <v>0</v>
      </c>
      <c r="AK164" s="28">
        <v>0</v>
      </c>
      <c r="AL164" s="28">
        <v>2</v>
      </c>
      <c r="AM164" s="28">
        <v>4</v>
      </c>
      <c r="AN164" s="28">
        <v>1</v>
      </c>
      <c r="AO164" s="74">
        <v>1</v>
      </c>
      <c r="AP164" s="28">
        <v>0</v>
      </c>
      <c r="AQ164" s="28">
        <v>1</v>
      </c>
      <c r="AR164" s="74">
        <v>1</v>
      </c>
      <c r="AS164" s="28">
        <f>IFERROR((SEA_H49[[#This Row],[H]]-SEA_H49[[#This Row],[2B]]-SEA_H49[[#This Row],[3B]]-SEA_H49[[#This Row],[HR]])+(SEA_H49[[#This Row],[2B]]*2)+(SEA_H49[[#This Row],[3B]]*3)+(SEA_H49[[#This Row],[HR]]*4),0)</f>
        <v>11</v>
      </c>
      <c r="AT164" s="72">
        <f>SEA_H49[[#This Row],[OBP]]+SEA_H49[[#This Row],[SLG]]</f>
        <v>1.5</v>
      </c>
      <c r="AU164" s="74">
        <v>0</v>
      </c>
      <c r="AV164" s="615">
        <v>5</v>
      </c>
      <c r="AY164" s="609" t="s">
        <v>580</v>
      </c>
      <c r="AZ164" s="74" t="s">
        <v>177</v>
      </c>
      <c r="BA164" s="71" t="s">
        <v>584</v>
      </c>
      <c r="BB164" s="72">
        <f>IFERROR(HOU_H109[[#This Row],[H]]/HOU_H109[[#This Row],[AB]],0)</f>
        <v>0.22641509433962265</v>
      </c>
      <c r="BC164" s="72">
        <f>IFERROR((HOU_H109[[#This Row],[BB]]+HOU_H109[[#This Row],[H]])/(HOU_H109[[#This Row],[AB]]+HOU_H109[[#This Row],[BB]]),0)</f>
        <v>0.33870967741935482</v>
      </c>
      <c r="BD164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0.41509433962264153</v>
      </c>
      <c r="BE164" s="28">
        <v>14</v>
      </c>
      <c r="BF164" s="28">
        <v>53</v>
      </c>
      <c r="BG164" s="28">
        <v>8</v>
      </c>
      <c r="BH164" s="28">
        <v>12</v>
      </c>
      <c r="BI164" s="28">
        <v>1</v>
      </c>
      <c r="BJ164" s="28">
        <v>0</v>
      </c>
      <c r="BK164" s="28">
        <v>3</v>
      </c>
      <c r="BL164" s="28">
        <v>8</v>
      </c>
      <c r="BM164" s="28">
        <v>9</v>
      </c>
      <c r="BN164" s="74">
        <v>10</v>
      </c>
      <c r="BO164" s="28">
        <v>0</v>
      </c>
      <c r="BP164" s="28">
        <v>0</v>
      </c>
      <c r="BQ164" s="74">
        <v>4</v>
      </c>
      <c r="BR164" s="28">
        <f>(HOU_H109[[#This Row],[H]]-HOU_H109[[#This Row],[2B]]-HOU_H109[[#This Row],[3B]]-HOU_H109[[#This Row],[HR]])+(HOU_H109[[#This Row],[2B]]*2)+(HOU_H109[[#This Row],[3B]]*3)+(HOU_H109[[#This Row],[HR]]*4)</f>
        <v>22</v>
      </c>
      <c r="BS164" s="72">
        <f>IFERROR(HOU_H109[[#This Row],[OBP]]+HOU_H109[[#This Row],[SLG]],0)</f>
        <v>0.7538040170419964</v>
      </c>
      <c r="BT164" s="74">
        <v>1</v>
      </c>
      <c r="BU164" s="615">
        <v>5</v>
      </c>
    </row>
    <row r="165" spans="1:73">
      <c r="A165" s="651" t="s">
        <v>580</v>
      </c>
      <c r="B165" s="71" t="s">
        <v>174</v>
      </c>
      <c r="C165" s="71" t="s">
        <v>581</v>
      </c>
      <c r="D165" s="72">
        <f>IFERROR(HOU_H76[[#This Row],[H]]/HOU_H76[[#This Row],[AB]],0)</f>
        <v>0.2857142857142857</v>
      </c>
      <c r="E165" s="72">
        <f>IFERROR((HOU_H76[[#This Row],[H]]+HOU_H76[[#This Row],[BB]])/(HOU_H76[[#This Row],[BB]]+HOU_H76[[#This Row],[AB]]),0)</f>
        <v>0.4</v>
      </c>
      <c r="F165" s="73">
        <f>IFERROR(((HOU_H76[[#This Row],[H]]-HOU_H76[[#This Row],[2B]]-HOU_H76[[#This Row],[3B]]-HOU_H76[[#This Row],[HR]])+(HOU_H76[[#This Row],[2B]]*2)+(HOU_H76[[#This Row],[3B]]*3)+(HOU_H76[[#This Row],[HR]]*4))/HOU_H76[[#This Row],[AB]],0)</f>
        <v>0.40476190476190477</v>
      </c>
      <c r="G165" s="28">
        <v>12</v>
      </c>
      <c r="H165" s="28">
        <v>42</v>
      </c>
      <c r="I165" s="28">
        <v>3</v>
      </c>
      <c r="J165" s="28">
        <v>12</v>
      </c>
      <c r="K165" s="28">
        <v>2</v>
      </c>
      <c r="L165" s="28">
        <v>0</v>
      </c>
      <c r="M165" s="28">
        <v>1</v>
      </c>
      <c r="N165" s="28">
        <v>2</v>
      </c>
      <c r="O165" s="28">
        <v>8</v>
      </c>
      <c r="P165" s="74">
        <v>12</v>
      </c>
      <c r="Q165" s="28">
        <v>0</v>
      </c>
      <c r="R165" s="28">
        <v>2</v>
      </c>
      <c r="S165" s="74">
        <v>4</v>
      </c>
      <c r="T165" s="28">
        <f>IFERROR((HOU_H76[[#This Row],[H]]-HOU_H76[[#This Row],[2B]]-HOU_H76[[#This Row],[3B]]-HOU_H76[[#This Row],[HR]])+(HOU_H76[[#This Row],[2B]]*2)+(HOU_H76[[#This Row],[3B]]*3)+(HOU_H76[[#This Row],[HR]]*4),0)</f>
        <v>17</v>
      </c>
      <c r="U165" s="72">
        <f>HOU_H76[[#This Row],[OBP]]+HOU_H76[[#This Row],[SLG]]</f>
        <v>0.80476190476190479</v>
      </c>
      <c r="V165" s="74">
        <v>0</v>
      </c>
      <c r="W165" s="615">
        <v>6</v>
      </c>
      <c r="Z165" s="651" t="s">
        <v>611</v>
      </c>
      <c r="AA165" s="71" t="s">
        <v>174</v>
      </c>
      <c r="AB165" s="71" t="s">
        <v>617</v>
      </c>
      <c r="AC165" s="72">
        <f>IFERROR(SEA_H49[[#This Row],[H]]/SEA_H49[[#This Row],[AB]],0)</f>
        <v>8.3333333333333329E-2</v>
      </c>
      <c r="AD165" s="72">
        <f>IFERROR((SEA_H49[[#This Row],[H]]+SEA_H49[[#This Row],[BB]])/(SEA_H49[[#This Row],[BB]]+SEA_H49[[#This Row],[AB]]),0)</f>
        <v>8.3333333333333329E-2</v>
      </c>
      <c r="AE165" s="73">
        <f>IFERROR(((SEA_H49[[#This Row],[H]]-SEA_H49[[#This Row],[2B]]-SEA_H49[[#This Row],[3B]]-SEA_H49[[#This Row],[HR]])+(SEA_H49[[#This Row],[2B]]*2)+(SEA_H49[[#This Row],[3B]]*3)+(SEA_H49[[#This Row],[HR]]*4))/SEA_H49[[#This Row],[AB]],0)</f>
        <v>0.25</v>
      </c>
      <c r="AF165" s="28">
        <v>3</v>
      </c>
      <c r="AG165" s="28">
        <v>12</v>
      </c>
      <c r="AH165" s="28">
        <v>1</v>
      </c>
      <c r="AI165" s="28">
        <v>1</v>
      </c>
      <c r="AJ165" s="28">
        <v>0</v>
      </c>
      <c r="AK165" s="28">
        <v>1</v>
      </c>
      <c r="AL165" s="28">
        <v>0</v>
      </c>
      <c r="AM165" s="28">
        <v>2</v>
      </c>
      <c r="AN165" s="28">
        <v>0</v>
      </c>
      <c r="AO165" s="74">
        <v>3</v>
      </c>
      <c r="AP165" s="28">
        <v>0</v>
      </c>
      <c r="AQ165" s="28">
        <v>0</v>
      </c>
      <c r="AR165" s="74">
        <v>1</v>
      </c>
      <c r="AS165" s="28">
        <f>IFERROR((SEA_H49[[#This Row],[H]]-SEA_H49[[#This Row],[2B]]-SEA_H49[[#This Row],[3B]]-SEA_H49[[#This Row],[HR]])+(SEA_H49[[#This Row],[2B]]*2)+(SEA_H49[[#This Row],[3B]]*3)+(SEA_H49[[#This Row],[HR]]*4),0)</f>
        <v>3</v>
      </c>
      <c r="AT165" s="72">
        <f>SEA_H49[[#This Row],[OBP]]+SEA_H49[[#This Row],[SLG]]</f>
        <v>0.33333333333333331</v>
      </c>
      <c r="AU165" s="74">
        <v>0</v>
      </c>
      <c r="AV165" s="615">
        <v>6</v>
      </c>
      <c r="AY165" s="609" t="s">
        <v>580</v>
      </c>
      <c r="AZ165" s="74" t="s">
        <v>174</v>
      </c>
      <c r="BA165" s="71" t="s">
        <v>398</v>
      </c>
      <c r="BB165" s="594">
        <f>IFERROR(HOU_H109[[#This Row],[H]]/HOU_H109[[#This Row],[AB]],0)</f>
        <v>0.40350877192982454</v>
      </c>
      <c r="BC165" s="72">
        <f>IFERROR((HOU_H109[[#This Row],[BB]]+HOU_H109[[#This Row],[H]])/(HOU_H109[[#This Row],[AB]]+HOU_H109[[#This Row],[BB]]),0)</f>
        <v>0.44262295081967212</v>
      </c>
      <c r="BD165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0.47368421052631576</v>
      </c>
      <c r="BE165" s="28">
        <v>14</v>
      </c>
      <c r="BF165" s="28">
        <v>57</v>
      </c>
      <c r="BG165" s="28">
        <v>3</v>
      </c>
      <c r="BH165" s="76">
        <v>23</v>
      </c>
      <c r="BI165" s="28">
        <v>4</v>
      </c>
      <c r="BJ165" s="28">
        <v>0</v>
      </c>
      <c r="BK165" s="28">
        <v>0</v>
      </c>
      <c r="BL165" s="28">
        <v>3</v>
      </c>
      <c r="BM165" s="28">
        <v>4</v>
      </c>
      <c r="BN165" s="74">
        <v>10</v>
      </c>
      <c r="BO165" s="28">
        <v>0</v>
      </c>
      <c r="BP165" s="28">
        <v>4</v>
      </c>
      <c r="BQ165" s="104">
        <v>9</v>
      </c>
      <c r="BR165" s="28">
        <f>(HOU_H109[[#This Row],[H]]-HOU_H109[[#This Row],[2B]]-HOU_H109[[#This Row],[3B]]-HOU_H109[[#This Row],[HR]])+(HOU_H109[[#This Row],[2B]]*2)+(HOU_H109[[#This Row],[3B]]*3)+(HOU_H109[[#This Row],[HR]]*4)</f>
        <v>27</v>
      </c>
      <c r="BS165" s="72">
        <f>IFERROR(HOU_H109[[#This Row],[OBP]]+HOU_H109[[#This Row],[SLG]],0)</f>
        <v>0.91630716134598789</v>
      </c>
      <c r="BT165" s="74">
        <v>0</v>
      </c>
      <c r="BU165" s="615">
        <v>6</v>
      </c>
    </row>
    <row r="166" spans="1:73">
      <c r="A166" s="651" t="s">
        <v>580</v>
      </c>
      <c r="B166" s="71" t="s">
        <v>383</v>
      </c>
      <c r="C166" s="71" t="s">
        <v>589</v>
      </c>
      <c r="D166" s="72">
        <f>IFERROR(HOU_H76[[#This Row],[H]]/HOU_H76[[#This Row],[AB]],0)</f>
        <v>0.15</v>
      </c>
      <c r="E166" s="72">
        <f>IFERROR((HOU_H76[[#This Row],[H]]+HOU_H76[[#This Row],[BB]])/(HOU_H76[[#This Row],[BB]]+HOU_H76[[#This Row],[AB]]),0)</f>
        <v>0.20930232558139536</v>
      </c>
      <c r="F166" s="73">
        <f>IFERROR(((HOU_H76[[#This Row],[H]]-HOU_H76[[#This Row],[2B]]-HOU_H76[[#This Row],[3B]]-HOU_H76[[#This Row],[HR]])+(HOU_H76[[#This Row],[2B]]*2)+(HOU_H76[[#This Row],[3B]]*3)+(HOU_H76[[#This Row],[HR]]*4))/HOU_H76[[#This Row],[AB]],0)</f>
        <v>0.17499999999999999</v>
      </c>
      <c r="G166" s="28">
        <v>12</v>
      </c>
      <c r="H166" s="28">
        <v>40</v>
      </c>
      <c r="I166" s="28">
        <v>2</v>
      </c>
      <c r="J166" s="28">
        <v>6</v>
      </c>
      <c r="K166" s="28">
        <v>1</v>
      </c>
      <c r="L166" s="28">
        <v>0</v>
      </c>
      <c r="M166" s="28">
        <v>0</v>
      </c>
      <c r="N166" s="28">
        <v>0</v>
      </c>
      <c r="O166" s="28">
        <v>3</v>
      </c>
      <c r="P166" s="74">
        <v>7</v>
      </c>
      <c r="Q166" s="28">
        <v>0</v>
      </c>
      <c r="R166" s="28">
        <v>1</v>
      </c>
      <c r="S166" s="74">
        <v>3</v>
      </c>
      <c r="T166" s="28">
        <f>IFERROR((HOU_H76[[#This Row],[H]]-HOU_H76[[#This Row],[2B]]-HOU_H76[[#This Row],[3B]]-HOU_H76[[#This Row],[HR]])+(HOU_H76[[#This Row],[2B]]*2)+(HOU_H76[[#This Row],[3B]]*3)+(HOU_H76[[#This Row],[HR]]*4),0)</f>
        <v>7</v>
      </c>
      <c r="U166" s="72">
        <f>HOU_H76[[#This Row],[OBP]]+HOU_H76[[#This Row],[SLG]]</f>
        <v>0.38430232558139532</v>
      </c>
      <c r="V166" s="74">
        <v>0</v>
      </c>
      <c r="W166" s="615">
        <v>7</v>
      </c>
      <c r="Z166" s="651" t="s">
        <v>611</v>
      </c>
      <c r="AA166" s="71" t="s">
        <v>181</v>
      </c>
      <c r="AB166" s="71" t="s">
        <v>614</v>
      </c>
      <c r="AC166" s="72">
        <f>IFERROR(SEA_H49[[#This Row],[H]]/SEA_H49[[#This Row],[AB]],0)</f>
        <v>0.41666666666666669</v>
      </c>
      <c r="AD166" s="72">
        <f>IFERROR((SEA_H49[[#This Row],[H]]+SEA_H49[[#This Row],[BB]])/(SEA_H49[[#This Row],[BB]]+SEA_H49[[#This Row],[AB]]),0)</f>
        <v>0.5</v>
      </c>
      <c r="AE166" s="73">
        <f>IFERROR(((SEA_H49[[#This Row],[H]]-SEA_H49[[#This Row],[2B]]-SEA_H49[[#This Row],[3B]]-SEA_H49[[#This Row],[HR]])+(SEA_H49[[#This Row],[2B]]*2)+(SEA_H49[[#This Row],[3B]]*3)+(SEA_H49[[#This Row],[HR]]*4))/SEA_H49[[#This Row],[AB]],0)</f>
        <v>0.75</v>
      </c>
      <c r="AF166" s="28">
        <v>3</v>
      </c>
      <c r="AG166" s="28">
        <v>12</v>
      </c>
      <c r="AH166" s="28">
        <v>3</v>
      </c>
      <c r="AI166" s="28">
        <v>5</v>
      </c>
      <c r="AJ166" s="28">
        <v>1</v>
      </c>
      <c r="AK166" s="28">
        <v>0</v>
      </c>
      <c r="AL166" s="28">
        <v>1</v>
      </c>
      <c r="AM166" s="28">
        <v>2</v>
      </c>
      <c r="AN166" s="28">
        <v>2</v>
      </c>
      <c r="AO166" s="74">
        <v>3</v>
      </c>
      <c r="AP166" s="28">
        <v>0</v>
      </c>
      <c r="AQ166" s="28">
        <v>3</v>
      </c>
      <c r="AR166" s="74">
        <v>3</v>
      </c>
      <c r="AS166" s="28">
        <f>IFERROR((SEA_H49[[#This Row],[H]]-SEA_H49[[#This Row],[2B]]-SEA_H49[[#This Row],[3B]]-SEA_H49[[#This Row],[HR]])+(SEA_H49[[#This Row],[2B]]*2)+(SEA_H49[[#This Row],[3B]]*3)+(SEA_H49[[#This Row],[HR]]*4),0)</f>
        <v>9</v>
      </c>
      <c r="AT166" s="72">
        <f>SEA_H49[[#This Row],[OBP]]+SEA_H49[[#This Row],[SLG]]</f>
        <v>1.25</v>
      </c>
      <c r="AU166" s="74">
        <v>0</v>
      </c>
      <c r="AV166" s="615">
        <v>7</v>
      </c>
      <c r="AY166" s="609" t="s">
        <v>580</v>
      </c>
      <c r="AZ166" s="74" t="s">
        <v>181</v>
      </c>
      <c r="BA166" s="71" t="s">
        <v>586</v>
      </c>
      <c r="BB166" s="72">
        <f>IFERROR(HOU_H109[[#This Row],[H]]/HOU_H109[[#This Row],[AB]],0)</f>
        <v>0.28333333333333333</v>
      </c>
      <c r="BC166" s="72">
        <f>IFERROR((HOU_H109[[#This Row],[BB]]+HOU_H109[[#This Row],[H]])/(HOU_H109[[#This Row],[AB]]+HOU_H109[[#This Row],[BB]]),0)</f>
        <v>0.33846153846153848</v>
      </c>
      <c r="BD166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0.46666666666666667</v>
      </c>
      <c r="BE166" s="28">
        <v>14</v>
      </c>
      <c r="BF166" s="28">
        <v>60</v>
      </c>
      <c r="BG166" s="28">
        <v>7</v>
      </c>
      <c r="BH166" s="28">
        <v>17</v>
      </c>
      <c r="BI166" s="28">
        <v>3</v>
      </c>
      <c r="BJ166" s="28">
        <v>1</v>
      </c>
      <c r="BK166" s="28">
        <v>2</v>
      </c>
      <c r="BL166" s="28">
        <v>6</v>
      </c>
      <c r="BM166" s="28">
        <v>5</v>
      </c>
      <c r="BN166" s="74">
        <v>10</v>
      </c>
      <c r="BO166" s="28">
        <v>0</v>
      </c>
      <c r="BP166" s="28">
        <v>4</v>
      </c>
      <c r="BQ166" s="74">
        <v>4</v>
      </c>
      <c r="BR166" s="28">
        <f>(HOU_H109[[#This Row],[H]]-HOU_H109[[#This Row],[2B]]-HOU_H109[[#This Row],[3B]]-HOU_H109[[#This Row],[HR]])+(HOU_H109[[#This Row],[2B]]*2)+(HOU_H109[[#This Row],[3B]]*3)+(HOU_H109[[#This Row],[HR]]*4)</f>
        <v>28</v>
      </c>
      <c r="BS166" s="72">
        <f>IFERROR(HOU_H109[[#This Row],[OBP]]+HOU_H109[[#This Row],[SLG]],0)</f>
        <v>0.80512820512820515</v>
      </c>
      <c r="BT166" s="74">
        <v>1</v>
      </c>
      <c r="BU166" s="615">
        <v>7</v>
      </c>
    </row>
    <row r="167" spans="1:73">
      <c r="A167" s="651" t="s">
        <v>580</v>
      </c>
      <c r="B167" s="71" t="s">
        <v>166</v>
      </c>
      <c r="C167" s="71" t="s">
        <v>586</v>
      </c>
      <c r="D167" s="72">
        <f>IFERROR(HOU_H76[[#This Row],[H]]/HOU_H76[[#This Row],[AB]],0)</f>
        <v>0.34090909090909088</v>
      </c>
      <c r="E167" s="72">
        <f>IFERROR((HOU_H76[[#This Row],[H]]+HOU_H76[[#This Row],[BB]])/(HOU_H76[[#This Row],[BB]]+HOU_H76[[#This Row],[AB]]),0)</f>
        <v>0.40816326530612246</v>
      </c>
      <c r="F167" s="73">
        <f>IFERROR(((HOU_H76[[#This Row],[H]]-HOU_H76[[#This Row],[2B]]-HOU_H76[[#This Row],[3B]]-HOU_H76[[#This Row],[HR]])+(HOU_H76[[#This Row],[2B]]*2)+(HOU_H76[[#This Row],[3B]]*3)+(HOU_H76[[#This Row],[HR]]*4))/HOU_H76[[#This Row],[AB]],0)</f>
        <v>0.52272727272727271</v>
      </c>
      <c r="G167" s="28">
        <v>12</v>
      </c>
      <c r="H167" s="28">
        <v>44</v>
      </c>
      <c r="I167" s="28">
        <v>7</v>
      </c>
      <c r="J167" s="28">
        <v>15</v>
      </c>
      <c r="K167" s="28">
        <v>5</v>
      </c>
      <c r="L167" s="28">
        <v>0</v>
      </c>
      <c r="M167" s="28">
        <v>1</v>
      </c>
      <c r="N167" s="28">
        <v>3</v>
      </c>
      <c r="O167" s="28">
        <v>5</v>
      </c>
      <c r="P167" s="74">
        <v>10</v>
      </c>
      <c r="Q167" s="28">
        <v>0</v>
      </c>
      <c r="R167" s="28">
        <v>2</v>
      </c>
      <c r="S167" s="74">
        <v>3</v>
      </c>
      <c r="T167" s="28">
        <f>IFERROR((HOU_H76[[#This Row],[H]]-HOU_H76[[#This Row],[2B]]-HOU_H76[[#This Row],[3B]]-HOU_H76[[#This Row],[HR]])+(HOU_H76[[#This Row],[2B]]*2)+(HOU_H76[[#This Row],[3B]]*3)+(HOU_H76[[#This Row],[HR]]*4),0)</f>
        <v>23</v>
      </c>
      <c r="U167" s="72">
        <f>HOU_H76[[#This Row],[OBP]]+HOU_H76[[#This Row],[SLG]]</f>
        <v>0.93089053803339517</v>
      </c>
      <c r="V167" s="74">
        <v>0</v>
      </c>
      <c r="W167" s="615">
        <v>8</v>
      </c>
      <c r="Z167" s="651" t="s">
        <v>611</v>
      </c>
      <c r="AA167" s="71" t="s">
        <v>166</v>
      </c>
      <c r="AB167" s="77" t="s">
        <v>616</v>
      </c>
      <c r="AC167" s="130">
        <f>IFERROR(SEA_H49[[#This Row],[H]]/SEA_H49[[#This Row],[AB]],0)</f>
        <v>0.21428571428571427</v>
      </c>
      <c r="AD167" s="72">
        <f>IFERROR((SEA_H49[[#This Row],[H]]+SEA_H49[[#This Row],[BB]])/(SEA_H49[[#This Row],[BB]]+SEA_H49[[#This Row],[AB]]),0)</f>
        <v>0.21428571428571427</v>
      </c>
      <c r="AE167" s="73">
        <f>IFERROR(((SEA_H49[[#This Row],[H]]-SEA_H49[[#This Row],[2B]]-SEA_H49[[#This Row],[3B]]-SEA_H49[[#This Row],[HR]])+(SEA_H49[[#This Row],[2B]]*2)+(SEA_H49[[#This Row],[3B]]*3)+(SEA_H49[[#This Row],[HR]]*4))/SEA_H49[[#This Row],[AB]],0)</f>
        <v>0.2857142857142857</v>
      </c>
      <c r="AF167" s="28">
        <v>3</v>
      </c>
      <c r="AG167" s="28">
        <v>14</v>
      </c>
      <c r="AH167" s="28">
        <v>2</v>
      </c>
      <c r="AI167" s="28">
        <v>3</v>
      </c>
      <c r="AJ167" s="28">
        <v>1</v>
      </c>
      <c r="AK167" s="28">
        <v>0</v>
      </c>
      <c r="AL167" s="28">
        <v>0</v>
      </c>
      <c r="AM167" s="28">
        <v>0</v>
      </c>
      <c r="AN167" s="28">
        <v>0</v>
      </c>
      <c r="AO167" s="74">
        <v>6</v>
      </c>
      <c r="AP167" s="28">
        <v>0</v>
      </c>
      <c r="AQ167" s="28">
        <v>0</v>
      </c>
      <c r="AR167" s="74">
        <v>1</v>
      </c>
      <c r="AS167" s="28">
        <f>IFERROR((SEA_H49[[#This Row],[H]]-SEA_H49[[#This Row],[2B]]-SEA_H49[[#This Row],[3B]]-SEA_H49[[#This Row],[HR]])+(SEA_H49[[#This Row],[2B]]*2)+(SEA_H49[[#This Row],[3B]]*3)+(SEA_H49[[#This Row],[HR]]*4),0)</f>
        <v>4</v>
      </c>
      <c r="AT167" s="72">
        <f>SEA_H49[[#This Row],[OBP]]+SEA_H49[[#This Row],[SLG]]</f>
        <v>0.5</v>
      </c>
      <c r="AU167" s="74">
        <v>0</v>
      </c>
      <c r="AV167" s="615">
        <v>8</v>
      </c>
      <c r="AY167" s="609" t="s">
        <v>580</v>
      </c>
      <c r="AZ167" s="74" t="s">
        <v>166</v>
      </c>
      <c r="BA167" s="71" t="s">
        <v>585</v>
      </c>
      <c r="BB167" s="72">
        <f>IFERROR(HOU_H109[[#This Row],[H]]/HOU_H109[[#This Row],[AB]],0)</f>
        <v>0.23636363636363636</v>
      </c>
      <c r="BC167" s="72">
        <f>IFERROR((HOU_H109[[#This Row],[BB]]+HOU_H109[[#This Row],[H]])/(HOU_H109[[#This Row],[AB]]+HOU_H109[[#This Row],[BB]]),0)</f>
        <v>0.3</v>
      </c>
      <c r="BD167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0.45454545454545453</v>
      </c>
      <c r="BE167" s="28">
        <v>14</v>
      </c>
      <c r="BF167" s="28">
        <v>55</v>
      </c>
      <c r="BG167" s="28">
        <v>6</v>
      </c>
      <c r="BH167" s="28">
        <v>13</v>
      </c>
      <c r="BI167" s="28">
        <v>0</v>
      </c>
      <c r="BJ167" s="28">
        <v>0</v>
      </c>
      <c r="BK167" s="28">
        <v>4</v>
      </c>
      <c r="BL167" s="28">
        <v>8</v>
      </c>
      <c r="BM167" s="28">
        <v>5</v>
      </c>
      <c r="BN167" s="74">
        <v>18</v>
      </c>
      <c r="BO167" s="28">
        <v>0</v>
      </c>
      <c r="BP167" s="28">
        <v>0</v>
      </c>
      <c r="BQ167" s="74">
        <v>6</v>
      </c>
      <c r="BR167" s="28">
        <f>(HOU_H109[[#This Row],[H]]-HOU_H109[[#This Row],[2B]]-HOU_H109[[#This Row],[3B]]-HOU_H109[[#This Row],[HR]])+(HOU_H109[[#This Row],[2B]]*2)+(HOU_H109[[#This Row],[3B]]*3)+(HOU_H109[[#This Row],[HR]]*4)</f>
        <v>25</v>
      </c>
      <c r="BS167" s="72">
        <f>IFERROR(HOU_H109[[#This Row],[OBP]]+HOU_H109[[#This Row],[SLG]],0)</f>
        <v>0.75454545454545452</v>
      </c>
      <c r="BT167" s="74">
        <v>1</v>
      </c>
      <c r="BU167" s="615">
        <v>8</v>
      </c>
    </row>
    <row r="168" spans="1:73">
      <c r="A168" s="651" t="s">
        <v>580</v>
      </c>
      <c r="B168" s="71" t="s">
        <v>168</v>
      </c>
      <c r="C168" s="71" t="s">
        <v>585</v>
      </c>
      <c r="D168" s="72">
        <f>IFERROR(HOU_H76[[#This Row],[H]]/HOU_H76[[#This Row],[AB]],0)</f>
        <v>0.27659574468085107</v>
      </c>
      <c r="E168" s="72">
        <f>IFERROR((HOU_H76[[#This Row],[H]]+HOU_H76[[#This Row],[BB]])/(HOU_H76[[#This Row],[BB]]+HOU_H76[[#This Row],[AB]]),0)</f>
        <v>0.29166666666666669</v>
      </c>
      <c r="F168" s="73">
        <f>IFERROR(((HOU_H76[[#This Row],[H]]-HOU_H76[[#This Row],[2B]]-HOU_H76[[#This Row],[3B]]-HOU_H76[[#This Row],[HR]])+(HOU_H76[[#This Row],[2B]]*2)+(HOU_H76[[#This Row],[3B]]*3)+(HOU_H76[[#This Row],[HR]]*4))/HOU_H76[[#This Row],[AB]],0)</f>
        <v>0.36170212765957449</v>
      </c>
      <c r="G168" s="28">
        <v>12</v>
      </c>
      <c r="H168" s="28">
        <v>47</v>
      </c>
      <c r="I168" s="28">
        <v>4</v>
      </c>
      <c r="J168" s="28">
        <v>13</v>
      </c>
      <c r="K168" s="28">
        <v>4</v>
      </c>
      <c r="L168" s="28">
        <v>0</v>
      </c>
      <c r="M168" s="28">
        <v>0</v>
      </c>
      <c r="N168" s="28">
        <v>5</v>
      </c>
      <c r="O168" s="28">
        <v>1</v>
      </c>
      <c r="P168" s="74">
        <v>13</v>
      </c>
      <c r="Q168" s="28">
        <v>0</v>
      </c>
      <c r="R168" s="28">
        <v>3</v>
      </c>
      <c r="S168" s="74">
        <v>4</v>
      </c>
      <c r="T168" s="28">
        <f>IFERROR((HOU_H76[[#This Row],[H]]-HOU_H76[[#This Row],[2B]]-HOU_H76[[#This Row],[3B]]-HOU_H76[[#This Row],[HR]])+(HOU_H76[[#This Row],[2B]]*2)+(HOU_H76[[#This Row],[3B]]*3)+(HOU_H76[[#This Row],[HR]]*4),0)</f>
        <v>17</v>
      </c>
      <c r="U168" s="72">
        <f>HOU_H76[[#This Row],[OBP]]+HOU_H76[[#This Row],[SLG]]</f>
        <v>0.65336879432624118</v>
      </c>
      <c r="V168" s="74">
        <v>2</v>
      </c>
      <c r="W168" s="615">
        <v>9</v>
      </c>
      <c r="Z168" s="651" t="s">
        <v>611</v>
      </c>
      <c r="AA168" s="71" t="s">
        <v>168</v>
      </c>
      <c r="AB168" s="77" t="s">
        <v>613</v>
      </c>
      <c r="AC168" s="130">
        <f>IFERROR(SEA_H49[[#This Row],[H]]/SEA_H49[[#This Row],[AB]],0)</f>
        <v>0.36363636363636365</v>
      </c>
      <c r="AD168" s="72">
        <f>IFERROR((SEA_H49[[#This Row],[H]]+SEA_H49[[#This Row],[BB]])/(SEA_H49[[#This Row],[BB]]+SEA_H49[[#This Row],[AB]]),0)</f>
        <v>0.41666666666666669</v>
      </c>
      <c r="AE168" s="73">
        <f>IFERROR(((SEA_H49[[#This Row],[H]]-SEA_H49[[#This Row],[2B]]-SEA_H49[[#This Row],[3B]]-SEA_H49[[#This Row],[HR]])+(SEA_H49[[#This Row],[2B]]*2)+(SEA_H49[[#This Row],[3B]]*3)+(SEA_H49[[#This Row],[HR]]*4))/SEA_H49[[#This Row],[AB]],0)</f>
        <v>0.72727272727272729</v>
      </c>
      <c r="AF168" s="28">
        <v>3</v>
      </c>
      <c r="AG168" s="28">
        <v>11</v>
      </c>
      <c r="AH168" s="28">
        <v>3</v>
      </c>
      <c r="AI168" s="28">
        <v>4</v>
      </c>
      <c r="AJ168" s="28">
        <v>1</v>
      </c>
      <c r="AK168" s="28">
        <v>0</v>
      </c>
      <c r="AL168" s="28">
        <v>1</v>
      </c>
      <c r="AM168" s="28">
        <v>2</v>
      </c>
      <c r="AN168" s="28">
        <v>1</v>
      </c>
      <c r="AO168" s="74">
        <v>3</v>
      </c>
      <c r="AP168" s="28">
        <v>0</v>
      </c>
      <c r="AQ168" s="28">
        <v>3</v>
      </c>
      <c r="AR168" s="74">
        <v>3</v>
      </c>
      <c r="AS168" s="28">
        <f>IFERROR((SEA_H49[[#This Row],[H]]-SEA_H49[[#This Row],[2B]]-SEA_H49[[#This Row],[3B]]-SEA_H49[[#This Row],[HR]])+(SEA_H49[[#This Row],[2B]]*2)+(SEA_H49[[#This Row],[3B]]*3)+(SEA_H49[[#This Row],[HR]]*4),0)</f>
        <v>8</v>
      </c>
      <c r="AT168" s="72">
        <f>SEA_H49[[#This Row],[OBP]]+SEA_H49[[#This Row],[SLG]]</f>
        <v>1.143939393939394</v>
      </c>
      <c r="AU168" s="74">
        <v>0</v>
      </c>
      <c r="AV168" s="615">
        <v>9</v>
      </c>
      <c r="AY168" s="609" t="s">
        <v>580</v>
      </c>
      <c r="AZ168" s="74" t="s">
        <v>168</v>
      </c>
      <c r="BA168" s="71" t="s">
        <v>581</v>
      </c>
      <c r="BB168" s="72">
        <f>IFERROR(HOU_H109[[#This Row],[H]]/HOU_H109[[#This Row],[AB]],0)</f>
        <v>0.23636363636363636</v>
      </c>
      <c r="BC168" s="72">
        <f>IFERROR((HOU_H109[[#This Row],[BB]]+HOU_H109[[#This Row],[H]])/(HOU_H109[[#This Row],[AB]]+HOU_H109[[#This Row],[BB]]),0)</f>
        <v>0.31147540983606559</v>
      </c>
      <c r="BD168" s="73">
        <f>IFERROR(((HOU_H109[[#This Row],[H]]-HOU_H109[[#This Row],[2B]]-HOU_H109[[#This Row],[3B]]-HOU_H109[[#This Row],[HR]])+(HOU_H109[[#This Row],[2B]]*2)+(HOU_H109[[#This Row],[3B]]*3)+(HOU_H109[[#This Row],[HR]]*4))/HOU_H109[[#This Row],[AB]],0)</f>
        <v>0.41818181818181815</v>
      </c>
      <c r="BE168" s="28">
        <v>14</v>
      </c>
      <c r="BF168" s="28">
        <v>55</v>
      </c>
      <c r="BG168" s="28">
        <v>8</v>
      </c>
      <c r="BH168" s="28">
        <v>13</v>
      </c>
      <c r="BI168" s="28">
        <v>4</v>
      </c>
      <c r="BJ168" s="28">
        <v>0</v>
      </c>
      <c r="BK168" s="28">
        <v>2</v>
      </c>
      <c r="BL168" s="28">
        <v>8</v>
      </c>
      <c r="BM168" s="28">
        <v>6</v>
      </c>
      <c r="BN168" s="74">
        <v>22</v>
      </c>
      <c r="BO168" s="28">
        <v>0</v>
      </c>
      <c r="BP168" s="28">
        <v>1</v>
      </c>
      <c r="BQ168" s="74">
        <v>5</v>
      </c>
      <c r="BR168" s="28">
        <f>(HOU_H109[[#This Row],[H]]-HOU_H109[[#This Row],[2B]]-HOU_H109[[#This Row],[3B]]-HOU_H109[[#This Row],[HR]])+(HOU_H109[[#This Row],[2B]]*2)+(HOU_H109[[#This Row],[3B]]*3)+(HOU_H109[[#This Row],[HR]]*4)</f>
        <v>23</v>
      </c>
      <c r="BS168" s="72">
        <f>IFERROR(HOU_H109[[#This Row],[OBP]]+HOU_H109[[#This Row],[SLG]],0)</f>
        <v>0.72965722801788369</v>
      </c>
      <c r="BT168" s="74">
        <v>0</v>
      </c>
      <c r="BU168" s="615">
        <v>9</v>
      </c>
    </row>
    <row r="169" spans="1:73">
      <c r="A169" s="651" t="s">
        <v>580</v>
      </c>
      <c r="B169" s="71" t="s">
        <v>179</v>
      </c>
      <c r="C169" s="71" t="s">
        <v>590</v>
      </c>
      <c r="D169" s="72">
        <f>IFERROR(HOU_H76[[#This Row],[H]]/HOU_H76[[#This Row],[AB]],0)</f>
        <v>0</v>
      </c>
      <c r="E169" s="72">
        <f>IFERROR((HOU_H76[[#This Row],[H]]+HOU_H76[[#This Row],[BB]])/(HOU_H76[[#This Row],[BB]]+HOU_H76[[#This Row],[AB]]),0)</f>
        <v>0</v>
      </c>
      <c r="F169" s="73">
        <f>IFERROR(((HOU_H76[[#This Row],[H]]-HOU_H76[[#This Row],[2B]]-HOU_H76[[#This Row],[3B]]-HOU_H76[[#This Row],[HR]])+(HOU_H76[[#This Row],[2B]]*2)+(HOU_H76[[#This Row],[3B]]*3)+(HOU_H76[[#This Row],[HR]]*4))/HOU_H76[[#This Row],[AB]],0)</f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74">
        <v>0</v>
      </c>
      <c r="Q169" s="28">
        <v>0</v>
      </c>
      <c r="R169" s="28">
        <v>0</v>
      </c>
      <c r="S169" s="74">
        <v>0</v>
      </c>
      <c r="T169" s="28">
        <f>IFERROR((HOU_H76[[#This Row],[H]]-HOU_H76[[#This Row],[2B]]-HOU_H76[[#This Row],[3B]]-HOU_H76[[#This Row],[HR]])+(HOU_H76[[#This Row],[2B]]*2)+(HOU_H76[[#This Row],[3B]]*3)+(HOU_H76[[#This Row],[HR]]*4),0)</f>
        <v>0</v>
      </c>
      <c r="U169" s="72">
        <f>HOU_H76[[#This Row],[OBP]]+HOU_H76[[#This Row],[SLG]]</f>
        <v>0</v>
      </c>
      <c r="V169" s="74">
        <v>0</v>
      </c>
      <c r="W169" s="615">
        <v>10</v>
      </c>
      <c r="Z169" s="651" t="s">
        <v>611</v>
      </c>
      <c r="AA169" s="71" t="s">
        <v>179</v>
      </c>
      <c r="AB169" s="77" t="s">
        <v>624</v>
      </c>
      <c r="AC169" s="130">
        <f>IFERROR(SEA_H49[[#This Row],[H]]/SEA_H49[[#This Row],[AB]],0)</f>
        <v>0</v>
      </c>
      <c r="AD169" s="72">
        <f>IFERROR((SEA_H49[[#This Row],[H]]+SEA_H49[[#This Row],[BB]])/(SEA_H49[[#This Row],[BB]]+SEA_H49[[#This Row],[AB]]),0)</f>
        <v>0</v>
      </c>
      <c r="AE169" s="73">
        <f>IFERROR(((SEA_H49[[#This Row],[H]]-SEA_H49[[#This Row],[2B]]-SEA_H49[[#This Row],[3B]]-SEA_H49[[#This Row],[HR]])+(SEA_H49[[#This Row],[2B]]*2)+(SEA_H49[[#This Row],[3B]]*3)+(SEA_H49[[#This Row],[HR]]*4))/SEA_H49[[#This Row],[AB]],0)</f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0</v>
      </c>
      <c r="AP169" s="28">
        <v>0</v>
      </c>
      <c r="AQ169" s="28">
        <v>0</v>
      </c>
      <c r="AR169" s="74">
        <v>0</v>
      </c>
      <c r="AS169" s="28">
        <f>IFERROR((SEA_H49[[#This Row],[H]]-SEA_H49[[#This Row],[2B]]-SEA_H49[[#This Row],[3B]]-SEA_H49[[#This Row],[HR]])+(SEA_H49[[#This Row],[2B]]*2)+(SEA_H49[[#This Row],[3B]]*3)+(SEA_H49[[#This Row],[HR]]*4),0)</f>
        <v>0</v>
      </c>
      <c r="AT169" s="72">
        <f>SEA_H49[[#This Row],[OBP]]+SEA_H49[[#This Row],[SLG]]</f>
        <v>0</v>
      </c>
      <c r="AU169" s="74">
        <v>0</v>
      </c>
      <c r="AV169" s="615">
        <v>10</v>
      </c>
      <c r="AY169" s="609" t="s">
        <v>580</v>
      </c>
      <c r="AZ169" s="74" t="s">
        <v>179</v>
      </c>
      <c r="BA169" s="71" t="s">
        <v>590</v>
      </c>
      <c r="BB169" s="72">
        <f>IFERROR(HOU_H109[[#This Row],[H]]/HOU_H109[[#This Row],[AB]],0)</f>
        <v>0</v>
      </c>
      <c r="BC169" s="72">
        <f>IFERROR((HOU_H109[[#This Row],[BB]]+HOU_H109[[#This Row],[H]])/(HOU_H109[[#This Row],[AB]]+HOU_H109[[#This Row],[BB]]),0)</f>
        <v>0</v>
      </c>
      <c r="BD169" s="73">
        <f>IFERROR(((HOU_H109[[#This Row],[H]]-HOU_H109[[#This Row],[2B]]-HOU_H109[[#This Row],[3B]]-HOU_H109[[#This Row],[HR]])+(HOU_H109[[#This Row],[2B]]*2)+(HOU_H109[[#This Row],[3B]]*3)+(HOU_H109[[#This Row],[HR]]*4))/HOU_H109[[#This Row],[AB]],0)</f>
        <v>0</v>
      </c>
      <c r="BE169" s="28">
        <v>1</v>
      </c>
      <c r="BF169" s="28">
        <v>1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28">
        <v>0</v>
      </c>
      <c r="BP169" s="28">
        <v>0</v>
      </c>
      <c r="BQ169" s="74">
        <v>0</v>
      </c>
      <c r="BR169" s="28">
        <f>(HOU_H109[[#This Row],[H]]-HOU_H109[[#This Row],[2B]]-HOU_H109[[#This Row],[3B]]-HOU_H109[[#This Row],[HR]])+(HOU_H109[[#This Row],[2B]]*2)+(HOU_H109[[#This Row],[3B]]*3)+(HOU_H109[[#This Row],[HR]]*4)</f>
        <v>0</v>
      </c>
      <c r="BS169" s="72">
        <f>IFERROR(HOU_H109[[#This Row],[OBP]]+HOU_H109[[#This Row],[SLG]],0)</f>
        <v>0</v>
      </c>
      <c r="BT169" s="74">
        <v>0</v>
      </c>
      <c r="BU169" s="615">
        <v>10</v>
      </c>
    </row>
    <row r="170" spans="1:73">
      <c r="A170" s="651" t="s">
        <v>580</v>
      </c>
      <c r="B170" s="77" t="s">
        <v>192</v>
      </c>
      <c r="C170" s="77" t="s">
        <v>595</v>
      </c>
      <c r="D170" s="996">
        <f>IFERROR(HOU_H76[[#This Row],[H]]/HOU_H76[[#This Row],[AB]],0)</f>
        <v>0</v>
      </c>
      <c r="E170" s="72">
        <f>IFERROR((HOU_H76[[#This Row],[H]]+HOU_H76[[#This Row],[BB]])/(HOU_H76[[#This Row],[BB]]+HOU_H76[[#This Row],[AB]]),0)</f>
        <v>0</v>
      </c>
      <c r="F170" s="73">
        <f>IFERROR(((HOU_H76[[#This Row],[H]]-HOU_H76[[#This Row],[2B]]-HOU_H76[[#This Row],[3B]]-HOU_H76[[#This Row],[HR]])+(HOU_H76[[#This Row],[2B]]*2)+(HOU_H76[[#This Row],[3B]]*3)+(HOU_H76[[#This Row],[HR]]*4))/HOU_H76[[#This Row],[AB]],0)</f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74">
        <v>0</v>
      </c>
      <c r="Q170" s="28">
        <v>0</v>
      </c>
      <c r="R170" s="28">
        <v>0</v>
      </c>
      <c r="S170" s="74">
        <v>0</v>
      </c>
      <c r="T170" s="28">
        <f>IFERROR((HOU_H76[[#This Row],[H]]-HOU_H76[[#This Row],[2B]]-HOU_H76[[#This Row],[3B]]-HOU_H76[[#This Row],[HR]])+(HOU_H76[[#This Row],[2B]]*2)+(HOU_H76[[#This Row],[3B]]*3)+(HOU_H76[[#This Row],[HR]]*4),0)</f>
        <v>0</v>
      </c>
      <c r="U170" s="72">
        <f>HOU_H76[[#This Row],[OBP]]+HOU_H76[[#This Row],[SLG]]</f>
        <v>0</v>
      </c>
      <c r="V170" s="74">
        <v>0</v>
      </c>
      <c r="W170" s="615">
        <v>11</v>
      </c>
      <c r="Z170" s="651" t="s">
        <v>611</v>
      </c>
      <c r="AA170" s="71" t="s">
        <v>2169</v>
      </c>
      <c r="AB170" s="77" t="s">
        <v>618</v>
      </c>
      <c r="AC170" s="130">
        <f>IFERROR(SEA_H49[[#This Row],[H]]/SEA_H49[[#This Row],[AB]],0)</f>
        <v>0</v>
      </c>
      <c r="AD170" s="72">
        <f>IFERROR((SEA_H49[[#This Row],[H]]+SEA_H49[[#This Row],[BB]])/(SEA_H49[[#This Row],[BB]]+SEA_H49[[#This Row],[AB]]),0)</f>
        <v>0</v>
      </c>
      <c r="AE170" s="73">
        <f>IFERROR(((SEA_H49[[#This Row],[H]]-SEA_H49[[#This Row],[2B]]-SEA_H49[[#This Row],[3B]]-SEA_H49[[#This Row],[HR]])+(SEA_H49[[#This Row],[2B]]*2)+(SEA_H49[[#This Row],[3B]]*3)+(SEA_H49[[#This Row],[HR]]*4))/SEA_H49[[#This Row],[AB]],0)</f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74">
        <v>0</v>
      </c>
      <c r="AP170" s="28">
        <v>0</v>
      </c>
      <c r="AQ170" s="28">
        <v>0</v>
      </c>
      <c r="AR170" s="74">
        <v>0</v>
      </c>
      <c r="AS170" s="28">
        <f>IFERROR((SEA_H49[[#This Row],[H]]-SEA_H49[[#This Row],[2B]]-SEA_H49[[#This Row],[3B]]-SEA_H49[[#This Row],[HR]])+(SEA_H49[[#This Row],[2B]]*2)+(SEA_H49[[#This Row],[3B]]*3)+(SEA_H49[[#This Row],[HR]]*4),0)</f>
        <v>0</v>
      </c>
      <c r="AT170" s="72">
        <f>SEA_H49[[#This Row],[OBP]]+SEA_H49[[#This Row],[SLG]]</f>
        <v>0</v>
      </c>
      <c r="AU170" s="74">
        <v>0</v>
      </c>
      <c r="AV170" s="615">
        <v>11</v>
      </c>
      <c r="AY170" s="609" t="s">
        <v>580</v>
      </c>
      <c r="AZ170" s="74" t="s">
        <v>192</v>
      </c>
      <c r="BA170" s="71" t="s">
        <v>588</v>
      </c>
      <c r="BB170" s="72">
        <f>IFERROR(HOU_H109[[#This Row],[H]]/HOU_H109[[#This Row],[AB]],0)</f>
        <v>0</v>
      </c>
      <c r="BC170" s="72">
        <f>IFERROR((HOU_H109[[#This Row],[BB]]+HOU_H109[[#This Row],[H]])/(HOU_H109[[#This Row],[AB]]+HOU_H109[[#This Row],[BB]]),0)</f>
        <v>0</v>
      </c>
      <c r="BD170" s="73">
        <f>IFERROR(((HOU_H109[[#This Row],[H]]-HOU_H109[[#This Row],[2B]]-HOU_H109[[#This Row],[3B]]-HOU_H109[[#This Row],[HR]])+(HOU_H109[[#This Row],[2B]]*2)+(HOU_H109[[#This Row],[3B]]*3)+(HOU_H109[[#This Row],[HR]]*4))/HOU_H109[[#This Row],[AB]],0)</f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74">
        <v>0</v>
      </c>
      <c r="BO170" s="28">
        <v>0</v>
      </c>
      <c r="BP170" s="28">
        <v>0</v>
      </c>
      <c r="BQ170" s="74">
        <v>0</v>
      </c>
      <c r="BR170" s="28">
        <f>(HOU_H109[[#This Row],[H]]-HOU_H109[[#This Row],[2B]]-HOU_H109[[#This Row],[3B]]-HOU_H109[[#This Row],[HR]])+(HOU_H109[[#This Row],[2B]]*2)+(HOU_H109[[#This Row],[3B]]*3)+(HOU_H109[[#This Row],[HR]]*4)</f>
        <v>0</v>
      </c>
      <c r="BS170" s="72">
        <f>IFERROR(HOU_H109[[#This Row],[OBP]]+HOU_H109[[#This Row],[SLG]],0)</f>
        <v>0</v>
      </c>
      <c r="BT170" s="74">
        <v>0</v>
      </c>
      <c r="BU170" s="615">
        <v>11</v>
      </c>
    </row>
    <row r="171" spans="1:73">
      <c r="A171" s="651" t="s">
        <v>580</v>
      </c>
      <c r="B171" s="71" t="s">
        <v>187</v>
      </c>
      <c r="C171" s="71" t="s">
        <v>592</v>
      </c>
      <c r="D171" s="72">
        <f>IFERROR(HOU_H76[[#This Row],[H]]/HOU_H76[[#This Row],[AB]],0)</f>
        <v>0</v>
      </c>
      <c r="E171" s="72">
        <f>IFERROR((HOU_H76[[#This Row],[H]]+HOU_H76[[#This Row],[BB]])/(HOU_H76[[#This Row],[BB]]+HOU_H76[[#This Row],[AB]]),0)</f>
        <v>0</v>
      </c>
      <c r="F171" s="73">
        <f>IFERROR(((HOU_H76[[#This Row],[H]]-HOU_H76[[#This Row],[2B]]-HOU_H76[[#This Row],[3B]]-HOU_H76[[#This Row],[HR]])+(HOU_H76[[#This Row],[2B]]*2)+(HOU_H76[[#This Row],[3B]]*3)+(HOU_H76[[#This Row],[HR]]*4))/HOU_H76[[#This Row],[AB]],0)</f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74">
        <v>0</v>
      </c>
      <c r="Q171" s="28">
        <v>0</v>
      </c>
      <c r="R171" s="28">
        <v>0</v>
      </c>
      <c r="S171" s="74">
        <v>0</v>
      </c>
      <c r="T171" s="28">
        <f>IFERROR((HOU_H76[[#This Row],[H]]-HOU_H76[[#This Row],[2B]]-HOU_H76[[#This Row],[3B]]-HOU_H76[[#This Row],[HR]])+(HOU_H76[[#This Row],[2B]]*2)+(HOU_H76[[#This Row],[3B]]*3)+(HOU_H76[[#This Row],[HR]]*4),0)</f>
        <v>0</v>
      </c>
      <c r="U171" s="72">
        <f>HOU_H76[[#This Row],[OBP]]+HOU_H76[[#This Row],[SLG]]</f>
        <v>0</v>
      </c>
      <c r="V171" s="74">
        <v>0</v>
      </c>
      <c r="W171" s="615">
        <v>12</v>
      </c>
      <c r="Z171" s="651" t="s">
        <v>611</v>
      </c>
      <c r="AA171" s="71" t="s">
        <v>187</v>
      </c>
      <c r="AB171" s="77" t="s">
        <v>625</v>
      </c>
      <c r="AC171" s="130">
        <f>IFERROR(SEA_H49[[#This Row],[H]]/SEA_H49[[#This Row],[AB]],0)</f>
        <v>0</v>
      </c>
      <c r="AD171" s="72">
        <f>IFERROR((SEA_H49[[#This Row],[H]]+SEA_H49[[#This Row],[BB]])/(SEA_H49[[#This Row],[BB]]+SEA_H49[[#This Row],[AB]]),0)</f>
        <v>0</v>
      </c>
      <c r="AE171" s="73">
        <f>IFERROR(((SEA_H49[[#This Row],[H]]-SEA_H49[[#This Row],[2B]]-SEA_H49[[#This Row],[3B]]-SEA_H49[[#This Row],[HR]])+(SEA_H49[[#This Row],[2B]]*2)+(SEA_H49[[#This Row],[3B]]*3)+(SEA_H49[[#This Row],[HR]]*4))/SEA_H49[[#This Row],[AB]],0)</f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74">
        <v>0</v>
      </c>
      <c r="AP171" s="28">
        <v>0</v>
      </c>
      <c r="AQ171" s="28">
        <v>0</v>
      </c>
      <c r="AR171" s="74">
        <v>0</v>
      </c>
      <c r="AS171" s="28">
        <f>IFERROR((SEA_H49[[#This Row],[H]]-SEA_H49[[#This Row],[2B]]-SEA_H49[[#This Row],[3B]]-SEA_H49[[#This Row],[HR]])+(SEA_H49[[#This Row],[2B]]*2)+(SEA_H49[[#This Row],[3B]]*3)+(SEA_H49[[#This Row],[HR]]*4),0)</f>
        <v>0</v>
      </c>
      <c r="AT171" s="72">
        <f>SEA_H49[[#This Row],[OBP]]+SEA_H49[[#This Row],[SLG]]</f>
        <v>0</v>
      </c>
      <c r="AU171" s="74">
        <v>0</v>
      </c>
      <c r="AV171" s="615">
        <v>12</v>
      </c>
      <c r="AY171" s="609" t="s">
        <v>580</v>
      </c>
      <c r="AZ171" s="74" t="s">
        <v>187</v>
      </c>
      <c r="BA171" s="71" t="s">
        <v>592</v>
      </c>
      <c r="BB171" s="72">
        <f>IFERROR(HOU_H109[[#This Row],[H]]/HOU_H109[[#This Row],[AB]],0)</f>
        <v>0</v>
      </c>
      <c r="BC171" s="72">
        <f>IFERROR((HOU_H109[[#This Row],[BB]]+HOU_H109[[#This Row],[H]])/(HOU_H109[[#This Row],[AB]]+HOU_H109[[#This Row],[BB]]),0)</f>
        <v>0</v>
      </c>
      <c r="BD171" s="73">
        <f>IFERROR(((HOU_H109[[#This Row],[H]]-HOU_H109[[#This Row],[2B]]-HOU_H109[[#This Row],[3B]]-HOU_H109[[#This Row],[HR]])+(HOU_H109[[#This Row],[2B]]*2)+(HOU_H109[[#This Row],[3B]]*3)+(HOU_H109[[#This Row],[HR]]*4))/HOU_H109[[#This Row],[AB]],0)</f>
        <v>0</v>
      </c>
      <c r="BE171" s="28">
        <v>4</v>
      </c>
      <c r="BF171" s="28">
        <v>4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1</v>
      </c>
      <c r="BM171" s="28">
        <v>0</v>
      </c>
      <c r="BN171" s="74">
        <v>1</v>
      </c>
      <c r="BO171" s="28">
        <v>0</v>
      </c>
      <c r="BP171" s="28">
        <v>0</v>
      </c>
      <c r="BQ171" s="74">
        <v>0</v>
      </c>
      <c r="BR171" s="28">
        <f>(HOU_H109[[#This Row],[H]]-HOU_H109[[#This Row],[2B]]-HOU_H109[[#This Row],[3B]]-HOU_H109[[#This Row],[HR]])+(HOU_H109[[#This Row],[2B]]*2)+(HOU_H109[[#This Row],[3B]]*3)+(HOU_H109[[#This Row],[HR]]*4)</f>
        <v>0</v>
      </c>
      <c r="BS171" s="72">
        <f>IFERROR(HOU_H109[[#This Row],[OBP]]+HOU_H109[[#This Row],[SLG]],0)</f>
        <v>0</v>
      </c>
      <c r="BT171" s="74">
        <v>0</v>
      </c>
      <c r="BU171" s="615">
        <v>12</v>
      </c>
    </row>
    <row r="172" spans="1:73">
      <c r="A172" s="651" t="s">
        <v>580</v>
      </c>
      <c r="B172" s="71" t="s">
        <v>186</v>
      </c>
      <c r="C172" s="71" t="s">
        <v>593</v>
      </c>
      <c r="D172" s="72">
        <f>IFERROR(HOU_H76[[#This Row],[H]]/HOU_H76[[#This Row],[AB]],0)</f>
        <v>0</v>
      </c>
      <c r="E172" s="72">
        <f>IFERROR((HOU_H76[[#This Row],[H]]+HOU_H76[[#This Row],[BB]])/(HOU_H76[[#This Row],[BB]]+HOU_H76[[#This Row],[AB]]),0)</f>
        <v>0</v>
      </c>
      <c r="F172" s="73">
        <f>IFERROR(((HOU_H76[[#This Row],[H]]-HOU_H76[[#This Row],[2B]]-HOU_H76[[#This Row],[3B]]-HOU_H76[[#This Row],[HR]])+(HOU_H76[[#This Row],[2B]]*2)+(HOU_H76[[#This Row],[3B]]*3)+(HOU_H76[[#This Row],[HR]]*4))/HOU_H76[[#This Row],[AB]],0)</f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74">
        <v>0</v>
      </c>
      <c r="Q172" s="28">
        <v>0</v>
      </c>
      <c r="R172" s="28">
        <v>0</v>
      </c>
      <c r="S172" s="74">
        <v>0</v>
      </c>
      <c r="T172" s="28">
        <f>IFERROR((HOU_H76[[#This Row],[H]]-HOU_H76[[#This Row],[2B]]-HOU_H76[[#This Row],[3B]]-HOU_H76[[#This Row],[HR]])+(HOU_H76[[#This Row],[2B]]*2)+(HOU_H76[[#This Row],[3B]]*3)+(HOU_H76[[#This Row],[HR]]*4),0)</f>
        <v>0</v>
      </c>
      <c r="U172" s="72">
        <f>HOU_H76[[#This Row],[OBP]]+HOU_H76[[#This Row],[SLG]]</f>
        <v>0</v>
      </c>
      <c r="V172" s="74">
        <v>0</v>
      </c>
      <c r="W172" s="615">
        <v>13</v>
      </c>
      <c r="Z172" s="651" t="s">
        <v>611</v>
      </c>
      <c r="AA172" s="71" t="s">
        <v>186</v>
      </c>
      <c r="AB172" s="77" t="s">
        <v>626</v>
      </c>
      <c r="AC172" s="130">
        <f>IFERROR(SEA_H49[[#This Row],[H]]/SEA_H49[[#This Row],[AB]],0)</f>
        <v>1</v>
      </c>
      <c r="AD172" s="72">
        <f>IFERROR((SEA_H49[[#This Row],[H]]+SEA_H49[[#This Row],[BB]])/(SEA_H49[[#This Row],[BB]]+SEA_H49[[#This Row],[AB]]),0)</f>
        <v>1</v>
      </c>
      <c r="AE172" s="73">
        <f>IFERROR(((SEA_H49[[#This Row],[H]]-SEA_H49[[#This Row],[2B]]-SEA_H49[[#This Row],[3B]]-SEA_H49[[#This Row],[HR]])+(SEA_H49[[#This Row],[2B]]*2)+(SEA_H49[[#This Row],[3B]]*3)+(SEA_H49[[#This Row],[HR]]*4))/SEA_H49[[#This Row],[AB]],0)</f>
        <v>1</v>
      </c>
      <c r="AF172" s="28">
        <v>1</v>
      </c>
      <c r="AG172" s="28">
        <v>1</v>
      </c>
      <c r="AH172" s="28">
        <v>0</v>
      </c>
      <c r="AI172" s="28">
        <v>1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74">
        <v>0</v>
      </c>
      <c r="AP172" s="28">
        <v>0</v>
      </c>
      <c r="AQ172" s="28">
        <v>1</v>
      </c>
      <c r="AR172" s="74">
        <v>1</v>
      </c>
      <c r="AS172" s="28">
        <f>IFERROR((SEA_H49[[#This Row],[H]]-SEA_H49[[#This Row],[2B]]-SEA_H49[[#This Row],[3B]]-SEA_H49[[#This Row],[HR]])+(SEA_H49[[#This Row],[2B]]*2)+(SEA_H49[[#This Row],[3B]]*3)+(SEA_H49[[#This Row],[HR]]*4),0)</f>
        <v>1</v>
      </c>
      <c r="AT172" s="72">
        <f>SEA_H49[[#This Row],[OBP]]+SEA_H49[[#This Row],[SLG]]</f>
        <v>2</v>
      </c>
      <c r="AU172" s="74">
        <v>0</v>
      </c>
      <c r="AV172" s="615">
        <v>13</v>
      </c>
      <c r="AY172" s="609" t="s">
        <v>580</v>
      </c>
      <c r="AZ172" s="74" t="s">
        <v>184</v>
      </c>
      <c r="BA172" s="71" t="s">
        <v>593</v>
      </c>
      <c r="BB172" s="72">
        <f>IFERROR(HOU_H109[[#This Row],[H]]/HOU_H109[[#This Row],[AB]],0)</f>
        <v>0</v>
      </c>
      <c r="BC172" s="72">
        <f>IFERROR((HOU_H109[[#This Row],[BB]]+HOU_H109[[#This Row],[H]])/(HOU_H109[[#This Row],[AB]]+HOU_H109[[#This Row],[BB]]),0)</f>
        <v>0</v>
      </c>
      <c r="BD172" s="73">
        <f>IFERROR(((HOU_H109[[#This Row],[H]]-HOU_H109[[#This Row],[2B]]-HOU_H109[[#This Row],[3B]]-HOU_H109[[#This Row],[HR]])+(HOU_H109[[#This Row],[2B]]*2)+(HOU_H109[[#This Row],[3B]]*3)+(HOU_H109[[#This Row],[HR]]*4))/HOU_H109[[#This Row],[AB]],0)</f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74">
        <v>0</v>
      </c>
      <c r="BO172" s="28">
        <v>0</v>
      </c>
      <c r="BP172" s="28">
        <v>0</v>
      </c>
      <c r="BQ172" s="74">
        <v>0</v>
      </c>
      <c r="BR172" s="28">
        <f>(HOU_H109[[#This Row],[H]]-HOU_H109[[#This Row],[2B]]-HOU_H109[[#This Row],[3B]]-HOU_H109[[#This Row],[HR]])+(HOU_H109[[#This Row],[2B]]*2)+(HOU_H109[[#This Row],[3B]]*3)+(HOU_H109[[#This Row],[HR]]*4)</f>
        <v>0</v>
      </c>
      <c r="BS172" s="72">
        <f>IFERROR(HOU_H109[[#This Row],[OBP]]+HOU_H109[[#This Row],[SLG]],0)</f>
        <v>0</v>
      </c>
      <c r="BT172" s="74">
        <v>0</v>
      </c>
      <c r="BU172" s="615">
        <v>13</v>
      </c>
    </row>
    <row r="173" spans="1:73" ht="17" thickBot="1">
      <c r="A173" s="651" t="s">
        <v>580</v>
      </c>
      <c r="B173" s="71" t="s">
        <v>186</v>
      </c>
      <c r="C173" s="71" t="s">
        <v>594</v>
      </c>
      <c r="D173" s="72">
        <f>IFERROR(HOU_H76[[#This Row],[H]]/HOU_H76[[#This Row],[AB]],0)</f>
        <v>0</v>
      </c>
      <c r="E173" s="72">
        <f>IFERROR((HOU_H76[[#This Row],[H]]+HOU_H76[[#This Row],[BB]])/(HOU_H76[[#This Row],[BB]]+HOU_H76[[#This Row],[AB]]),0)</f>
        <v>0</v>
      </c>
      <c r="F173" s="73">
        <f>IFERROR(((HOU_H76[[#This Row],[H]]-HOU_H76[[#This Row],[2B]]-HOU_H76[[#This Row],[3B]]-HOU_H76[[#This Row],[HR]])+(HOU_H76[[#This Row],[2B]]*2)+(HOU_H76[[#This Row],[3B]]*3)+(HOU_H76[[#This Row],[HR]]*4))/HOU_H76[[#This Row],[AB]],0)</f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74">
        <v>0</v>
      </c>
      <c r="Q173" s="28">
        <v>0</v>
      </c>
      <c r="R173" s="28">
        <v>0</v>
      </c>
      <c r="S173" s="74">
        <v>0</v>
      </c>
      <c r="T173" s="28">
        <f>IFERROR((HOU_H76[[#This Row],[H]]-HOU_H76[[#This Row],[2B]]-HOU_H76[[#This Row],[3B]]-HOU_H76[[#This Row],[HR]])+(HOU_H76[[#This Row],[2B]]*2)+(HOU_H76[[#This Row],[3B]]*3)+(HOU_H76[[#This Row],[HR]]*4),0)</f>
        <v>0</v>
      </c>
      <c r="U173" s="72">
        <f>HOU_H76[[#This Row],[OBP]]+HOU_H76[[#This Row],[SLG]]</f>
        <v>0</v>
      </c>
      <c r="V173" s="74">
        <v>0</v>
      </c>
      <c r="W173" s="615">
        <v>14</v>
      </c>
      <c r="Z173" s="651" t="s">
        <v>611</v>
      </c>
      <c r="AA173" s="71" t="s">
        <v>184</v>
      </c>
      <c r="AB173" s="71" t="s">
        <v>628</v>
      </c>
      <c r="AC173" s="72">
        <f>IFERROR(SEA_H49[[#This Row],[H]]/SEA_H49[[#This Row],[AB]],0)</f>
        <v>0</v>
      </c>
      <c r="AD173" s="72">
        <f>IFERROR((SEA_H49[[#This Row],[H]]+SEA_H49[[#This Row],[BB]])/(SEA_H49[[#This Row],[BB]]+SEA_H49[[#This Row],[AB]]),0)</f>
        <v>0</v>
      </c>
      <c r="AE173" s="73">
        <f>IFERROR(((SEA_H49[[#This Row],[H]]-SEA_H49[[#This Row],[2B]]-SEA_H49[[#This Row],[3B]]-SEA_H49[[#This Row],[HR]])+(SEA_H49[[#This Row],[2B]]*2)+(SEA_H49[[#This Row],[3B]]*3)+(SEA_H49[[#This Row],[HR]]*4))/SEA_H49[[#This Row],[AB]],0)</f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74">
        <v>0</v>
      </c>
      <c r="AP173" s="28">
        <v>0</v>
      </c>
      <c r="AQ173" s="28">
        <v>0</v>
      </c>
      <c r="AR173" s="74">
        <v>0</v>
      </c>
      <c r="AS173" s="28">
        <f>IFERROR((SEA_H49[[#This Row],[H]]-SEA_H49[[#This Row],[2B]]-SEA_H49[[#This Row],[3B]]-SEA_H49[[#This Row],[HR]])+(SEA_H49[[#This Row],[2B]]*2)+(SEA_H49[[#This Row],[3B]]*3)+(SEA_H49[[#This Row],[HR]]*4),0)</f>
        <v>0</v>
      </c>
      <c r="AT173" s="72">
        <f>SEA_H49[[#This Row],[OBP]]+SEA_H49[[#This Row],[SLG]]</f>
        <v>0</v>
      </c>
      <c r="AU173" s="74">
        <v>0</v>
      </c>
      <c r="AV173" s="615">
        <v>14</v>
      </c>
      <c r="AY173" s="609" t="s">
        <v>580</v>
      </c>
      <c r="AZ173" s="74" t="s">
        <v>184</v>
      </c>
      <c r="BA173" s="71" t="s">
        <v>594</v>
      </c>
      <c r="BB173" s="72">
        <f>IFERROR(HOU_H109[[#This Row],[H]]/HOU_H109[[#This Row],[AB]],0)</f>
        <v>0</v>
      </c>
      <c r="BC173" s="72">
        <f>IFERROR((HOU_H109[[#This Row],[BB]]+HOU_H109[[#This Row],[H]])/(HOU_H109[[#This Row],[AB]]+HOU_H109[[#This Row],[BB]]),0)</f>
        <v>0</v>
      </c>
      <c r="BD173" s="73">
        <f>IFERROR(((HOU_H109[[#This Row],[H]]-HOU_H109[[#This Row],[2B]]-HOU_H109[[#This Row],[3B]]-HOU_H109[[#This Row],[HR]])+(HOU_H109[[#This Row],[2B]]*2)+(HOU_H109[[#This Row],[3B]]*3)+(HOU_H109[[#This Row],[HR]]*4))/HOU_H109[[#This Row],[AB]],0)</f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74">
        <v>0</v>
      </c>
      <c r="BO173" s="28">
        <v>0</v>
      </c>
      <c r="BP173" s="28">
        <v>0</v>
      </c>
      <c r="BQ173" s="74">
        <v>0</v>
      </c>
      <c r="BR173" s="28">
        <f>(HOU_H109[[#This Row],[H]]-HOU_H109[[#This Row],[2B]]-HOU_H109[[#This Row],[3B]]-HOU_H109[[#This Row],[HR]])+(HOU_H109[[#This Row],[2B]]*2)+(HOU_H109[[#This Row],[3B]]*3)+(HOU_H109[[#This Row],[HR]]*4)</f>
        <v>0</v>
      </c>
      <c r="BS173" s="72">
        <f>IFERROR(HOU_H109[[#This Row],[OBP]]+HOU_H109[[#This Row],[SLG]],0)</f>
        <v>0</v>
      </c>
      <c r="BT173" s="74">
        <v>0</v>
      </c>
      <c r="BU173" s="615">
        <v>14</v>
      </c>
    </row>
    <row r="174" spans="1:73" ht="17" thickBot="1">
      <c r="A174" s="781"/>
      <c r="B174" s="782"/>
      <c r="C174" s="782"/>
      <c r="D174" s="656">
        <f>HOU_H76[[#Totals],[H]]/HOU_H76[[#Totals],[AB]]</f>
        <v>0.22413793103448276</v>
      </c>
      <c r="E174" s="656">
        <f>(HOU_H76[[#Totals],[H]]+HOU_H76[[#Totals],[BB]])/HOU_H76[[#Totals],[AB]]</f>
        <v>0.29310344827586204</v>
      </c>
      <c r="F174" s="657">
        <f>((HOU_H76[[#Totals],[H]]-HOU_H76[[#Totals],[2B]]-HOU_H76[[#Totals],[3B]]-HOU_H76[[#Totals],[HR]])+(HOU_H76[[#Totals],[2B]]*2)+(HOU_H76[[#Totals],[3B]]*3)+(HOU_H76[[#Totals],[HR]]*4))/HOU_H76[[#Totals],[AB]]</f>
        <v>0.3645320197044335</v>
      </c>
      <c r="G174" s="658"/>
      <c r="H174" s="658">
        <f>SUBTOTAL(109,HOU_H76[AB])</f>
        <v>406</v>
      </c>
      <c r="I174" s="658">
        <f>SUBTOTAL(109,HOU_H76[R])</f>
        <v>33</v>
      </c>
      <c r="J174" s="658">
        <f>SUBTOTAL(109,HOU_H76[H])</f>
        <v>91</v>
      </c>
      <c r="K174" s="658">
        <f>SUBTOTAL(109,HOU_H76[2B])</f>
        <v>24</v>
      </c>
      <c r="L174" s="658">
        <f>SUBTOTAL(109,HOU_H76[3B])</f>
        <v>0</v>
      </c>
      <c r="M174" s="658">
        <f>SUBTOTAL(109,HOU_H76[HR])</f>
        <v>11</v>
      </c>
      <c r="N174" s="658">
        <f>SUBTOTAL(109,HOU_H76[RBI])</f>
        <v>33</v>
      </c>
      <c r="O174" s="658">
        <f>SUBTOTAL(109,HOU_H76[BB])</f>
        <v>28</v>
      </c>
      <c r="P174" s="660">
        <f>SUBTOTAL(109,HOU_H76[K])</f>
        <v>105</v>
      </c>
      <c r="Q174" s="658">
        <f>SUBTOTAL(109,HOU_H76[SB])</f>
        <v>2</v>
      </c>
      <c r="R174" s="658"/>
      <c r="S174" s="660"/>
      <c r="T174" s="658">
        <f>SUBTOTAL(109,HOU_H76[TB])</f>
        <v>148</v>
      </c>
      <c r="U174" s="656">
        <f>HOU_H76[[#Totals],[OBP]]+HOU_H76[[#Totals],[SLG]]</f>
        <v>0.6576354679802956</v>
      </c>
      <c r="V174" s="660">
        <f>SUBTOTAL(109,HOU_H76[*])</f>
        <v>6</v>
      </c>
      <c r="W174" s="734"/>
      <c r="Z174" s="789"/>
      <c r="AA174" s="790"/>
      <c r="AB174" s="791" t="s">
        <v>195</v>
      </c>
      <c r="AC174" s="792">
        <f>AI174/AG174</f>
        <v>0.30476190476190479</v>
      </c>
      <c r="AD174" s="792">
        <f>(AI174+AN174)/AG174</f>
        <v>0.39047619047619048</v>
      </c>
      <c r="AE174" s="793">
        <f>((AI174-AJ174-AK174-AL174)+(AJ174*2)+(AK174*3)+(AL174*4))/AG174</f>
        <v>0.5714285714285714</v>
      </c>
      <c r="AF174" s="794"/>
      <c r="AG174" s="794">
        <f>SUBTOTAL(109,SEA_H49[AB])</f>
        <v>105</v>
      </c>
      <c r="AH174" s="794">
        <f>SUBTOTAL(109,SEA_H49[R])</f>
        <v>17</v>
      </c>
      <c r="AI174" s="794">
        <f>SUBTOTAL(109,SEA_H49[H])</f>
        <v>32</v>
      </c>
      <c r="AJ174" s="794">
        <f>SUBTOTAL(109,SEA_H49[2B])</f>
        <v>5</v>
      </c>
      <c r="AK174" s="794">
        <f>SUBTOTAL(109,SEA_H49[3B])</f>
        <v>1</v>
      </c>
      <c r="AL174" s="794">
        <f>SUBTOTAL(109,SEA_H49[HR])</f>
        <v>7</v>
      </c>
      <c r="AM174" s="794">
        <f>SUBTOTAL(109,SEA_H49[RBI])</f>
        <v>17</v>
      </c>
      <c r="AN174" s="794">
        <f>SUBTOTAL(109,SEA_H49[BB])</f>
        <v>9</v>
      </c>
      <c r="AO174" s="796">
        <f>SUBTOTAL(109,SEA_H49[K])</f>
        <v>26</v>
      </c>
      <c r="AP174" s="794">
        <f>SUBTOTAL(109,SEA_H49[SB])</f>
        <v>0</v>
      </c>
      <c r="AQ174" s="794"/>
      <c r="AR174" s="796"/>
      <c r="AS174" s="794">
        <f>SUBTOTAL(109,SEA_H49[TB])</f>
        <v>60</v>
      </c>
      <c r="AT174" s="792">
        <f>AD174+AE174</f>
        <v>0.96190476190476182</v>
      </c>
      <c r="AU174" s="796">
        <f>SUBTOTAL(109,SEA_H49[*])</f>
        <v>0</v>
      </c>
      <c r="AV174" s="797"/>
      <c r="AY174" s="818"/>
      <c r="AZ174" s="810"/>
      <c r="BA174" s="654" t="s">
        <v>195</v>
      </c>
      <c r="BB174" s="656">
        <f>IFERROR(BH174/BF174,0)</f>
        <v>0.2686868686868687</v>
      </c>
      <c r="BC174" s="656">
        <f>IFERROR((BM174+BH174)/(BF174+BM174),0)</f>
        <v>0.34420289855072461</v>
      </c>
      <c r="BD174" s="657">
        <f>IFERROR(((BH174-BI174-BJ174-BK174)+(BI174*2)+(BJ174*3)+(BK174*4))/BF174,0)</f>
        <v>0.42222222222222222</v>
      </c>
      <c r="BE174" s="658"/>
      <c r="BF174" s="658">
        <f>SUBTOTAL(109,HOU_H109[AB])</f>
        <v>495</v>
      </c>
      <c r="BG174" s="658">
        <f>SUBTOTAL(109,HOU_H109[R])</f>
        <v>58</v>
      </c>
      <c r="BH174" s="658">
        <f>SUBTOTAL(109,HOU_H109[H])</f>
        <v>133</v>
      </c>
      <c r="BI174" s="658">
        <f>SUBTOTAL(109,HOU_H109[2B])</f>
        <v>20</v>
      </c>
      <c r="BJ174" s="658">
        <f>SUBTOTAL(109,HOU_H109[3B])</f>
        <v>1</v>
      </c>
      <c r="BK174" s="658">
        <f>SUBTOTAL(109,HOU_H109[HR])</f>
        <v>18</v>
      </c>
      <c r="BL174" s="658">
        <f>SUBTOTAL(109,HOU_H109[RBI])</f>
        <v>57</v>
      </c>
      <c r="BM174" s="658">
        <f>SUBTOTAL(109,HOU_H109[BB])</f>
        <v>57</v>
      </c>
      <c r="BN174" s="660">
        <f>SUBTOTAL(109,HOU_H109[K])</f>
        <v>117</v>
      </c>
      <c r="BO174" s="658">
        <f>SUBTOTAL(109,HOU_H109[SB])</f>
        <v>2</v>
      </c>
      <c r="BP174" s="658"/>
      <c r="BQ174" s="660"/>
      <c r="BR174" s="658">
        <f>(BH174-BI174-BJ174-BK174)+(BI174*2)+(BJ174*3)+(BK174*4)</f>
        <v>209</v>
      </c>
      <c r="BS174" s="656">
        <f>BC174+BD174</f>
        <v>0.76642512077294689</v>
      </c>
      <c r="BT174" s="660">
        <f>SUBTOTAL(109,HOU_H109[*])</f>
        <v>8</v>
      </c>
      <c r="BU174" s="734"/>
    </row>
    <row r="175" spans="1:73" ht="17" thickBot="1"/>
    <row r="176" spans="1:73" s="108" customFormat="1" ht="17" thickBot="1">
      <c r="A176" s="605" t="s">
        <v>143</v>
      </c>
      <c r="B176" s="606" t="s">
        <v>144</v>
      </c>
      <c r="C176" s="606" t="s">
        <v>145</v>
      </c>
      <c r="D176" s="606" t="s">
        <v>196</v>
      </c>
      <c r="E176" s="606" t="s">
        <v>197</v>
      </c>
      <c r="F176" s="606" t="s">
        <v>198</v>
      </c>
      <c r="G176" s="606" t="s">
        <v>149</v>
      </c>
      <c r="H176" s="606" t="s">
        <v>199</v>
      </c>
      <c r="I176" s="606" t="s">
        <v>152</v>
      </c>
      <c r="J176" s="606" t="s">
        <v>151</v>
      </c>
      <c r="K176" s="606" t="s">
        <v>157</v>
      </c>
      <c r="L176" s="606" t="s">
        <v>158</v>
      </c>
      <c r="M176" s="606" t="s">
        <v>200</v>
      </c>
      <c r="N176" s="606" t="s">
        <v>201</v>
      </c>
      <c r="O176" s="606" t="s">
        <v>202</v>
      </c>
      <c r="P176" s="606" t="s">
        <v>203</v>
      </c>
      <c r="Q176" s="606" t="s">
        <v>204</v>
      </c>
      <c r="R176" s="606" t="s">
        <v>205</v>
      </c>
      <c r="S176" s="607" t="s">
        <v>164</v>
      </c>
      <c r="Z176" s="605" t="s">
        <v>143</v>
      </c>
      <c r="AA176" s="606" t="s">
        <v>144</v>
      </c>
      <c r="AB176" s="606" t="s">
        <v>145</v>
      </c>
      <c r="AC176" s="606" t="s">
        <v>196</v>
      </c>
      <c r="AD176" s="606" t="s">
        <v>197</v>
      </c>
      <c r="AE176" s="606" t="s">
        <v>198</v>
      </c>
      <c r="AF176" s="606" t="s">
        <v>149</v>
      </c>
      <c r="AG176" s="606" t="s">
        <v>199</v>
      </c>
      <c r="AH176" s="606" t="s">
        <v>152</v>
      </c>
      <c r="AI176" s="606" t="s">
        <v>151</v>
      </c>
      <c r="AJ176" s="606" t="s">
        <v>157</v>
      </c>
      <c r="AK176" s="606" t="s">
        <v>158</v>
      </c>
      <c r="AL176" s="606" t="s">
        <v>200</v>
      </c>
      <c r="AM176" s="606" t="s">
        <v>201</v>
      </c>
      <c r="AN176" s="606" t="s">
        <v>202</v>
      </c>
      <c r="AO176" s="606" t="s">
        <v>203</v>
      </c>
      <c r="AP176" s="606" t="s">
        <v>204</v>
      </c>
      <c r="AQ176" s="606" t="s">
        <v>205</v>
      </c>
      <c r="AR176" s="607" t="s">
        <v>164</v>
      </c>
      <c r="AS176"/>
      <c r="AT176"/>
      <c r="AU176"/>
      <c r="AV176"/>
      <c r="AY176" s="605" t="s">
        <v>143</v>
      </c>
      <c r="AZ176" s="606" t="s">
        <v>144</v>
      </c>
      <c r="BA176" s="606" t="s">
        <v>145</v>
      </c>
      <c r="BB176" s="606" t="s">
        <v>196</v>
      </c>
      <c r="BC176" s="606" t="s">
        <v>197</v>
      </c>
      <c r="BD176" s="606" t="s">
        <v>198</v>
      </c>
      <c r="BE176" s="606" t="s">
        <v>149</v>
      </c>
      <c r="BF176" s="606" t="s">
        <v>199</v>
      </c>
      <c r="BG176" s="606" t="s">
        <v>152</v>
      </c>
      <c r="BH176" s="606" t="s">
        <v>151</v>
      </c>
      <c r="BI176" s="606" t="s">
        <v>157</v>
      </c>
      <c r="BJ176" s="606" t="s">
        <v>158</v>
      </c>
      <c r="BK176" s="606" t="s">
        <v>200</v>
      </c>
      <c r="BL176" s="606" t="s">
        <v>201</v>
      </c>
      <c r="BM176" s="606" t="s">
        <v>202</v>
      </c>
      <c r="BN176" s="606" t="s">
        <v>203</v>
      </c>
      <c r="BO176" s="606" t="s">
        <v>204</v>
      </c>
      <c r="BP176" s="606" t="s">
        <v>205</v>
      </c>
      <c r="BQ176" s="607" t="s">
        <v>164</v>
      </c>
    </row>
    <row r="177" spans="1:73">
      <c r="A177" s="650" t="s">
        <v>580</v>
      </c>
      <c r="B177" s="604" t="s">
        <v>206</v>
      </c>
      <c r="C177" s="682" t="s">
        <v>597</v>
      </c>
      <c r="D177" s="663">
        <f>IFERROR((HOU_P77[[#This Row],[R]]*9)/HOU_P77[[#This Row],[IP]],0)</f>
        <v>2.1974189047785142</v>
      </c>
      <c r="E177" s="600">
        <v>2</v>
      </c>
      <c r="F177" s="604">
        <v>2</v>
      </c>
      <c r="G177" s="600">
        <v>4</v>
      </c>
      <c r="H177" s="630">
        <v>28.67</v>
      </c>
      <c r="I177" s="600">
        <v>26</v>
      </c>
      <c r="J177" s="600">
        <v>7</v>
      </c>
      <c r="K177" s="600">
        <v>6</v>
      </c>
      <c r="L177" s="600">
        <v>30</v>
      </c>
      <c r="M177" s="600">
        <v>0</v>
      </c>
      <c r="N177" s="744">
        <f>IFERROR((HOU_P77[[#This Row],[BB]]+HOU_P77[[#This Row],[H]])/HOU_P77[[#This Row],[IP]],0)</f>
        <v>1.1161492849668642</v>
      </c>
      <c r="O177" s="673">
        <v>3</v>
      </c>
      <c r="P177" s="601">
        <v>3</v>
      </c>
      <c r="Q177" s="600">
        <v>0</v>
      </c>
      <c r="R177" s="604">
        <v>0</v>
      </c>
      <c r="S177" s="614">
        <v>1</v>
      </c>
      <c r="Z177" s="650" t="s">
        <v>611</v>
      </c>
      <c r="AA177" s="604" t="s">
        <v>206</v>
      </c>
      <c r="AB177" s="597" t="s">
        <v>630</v>
      </c>
      <c r="AC177" s="663">
        <f>IFERROR((SEA_P50[[#This Row],[R]]*9)/SEA_P50[[#This Row],[IP]],0)</f>
        <v>1.2857142857142858</v>
      </c>
      <c r="AD177" s="600">
        <v>1</v>
      </c>
      <c r="AE177" s="604">
        <v>0</v>
      </c>
      <c r="AF177" s="600">
        <v>1</v>
      </c>
      <c r="AG177" s="630">
        <v>7</v>
      </c>
      <c r="AH177" s="600">
        <v>6</v>
      </c>
      <c r="AI177" s="600">
        <v>1</v>
      </c>
      <c r="AJ177" s="600">
        <v>2</v>
      </c>
      <c r="AK177" s="600">
        <v>6</v>
      </c>
      <c r="AL177" s="600">
        <v>0</v>
      </c>
      <c r="AM177" s="631">
        <f>IFERROR((SEA_P50[[#This Row],[BB]]+SEA_P50[[#This Row],[H]])/SEA_P50[[#This Row],[IP]],0)</f>
        <v>1.1428571428571428</v>
      </c>
      <c r="AN177" s="600">
        <v>1</v>
      </c>
      <c r="AO177" s="601">
        <v>1</v>
      </c>
      <c r="AP177" s="600">
        <v>0</v>
      </c>
      <c r="AQ177" s="604">
        <v>0</v>
      </c>
      <c r="AR177" s="614">
        <v>1</v>
      </c>
      <c r="AY177" s="608" t="s">
        <v>580</v>
      </c>
      <c r="AZ177" s="604" t="s">
        <v>206</v>
      </c>
      <c r="BA177" s="597" t="s">
        <v>597</v>
      </c>
      <c r="BB177" s="663">
        <f>IFERROR((HOU_P110[[#This Row],[R]]*9)/HOU_P110[[#This Row],[IP]],0)</f>
        <v>3.774193548387097</v>
      </c>
      <c r="BC177" s="600">
        <v>2</v>
      </c>
      <c r="BD177" s="632">
        <v>3</v>
      </c>
      <c r="BE177" s="600">
        <v>5</v>
      </c>
      <c r="BF177" s="630">
        <v>31</v>
      </c>
      <c r="BG177" s="600">
        <v>30</v>
      </c>
      <c r="BH177" s="600">
        <v>13</v>
      </c>
      <c r="BI177" s="627">
        <v>18</v>
      </c>
      <c r="BJ177" s="600">
        <v>41</v>
      </c>
      <c r="BK177" s="600">
        <v>0</v>
      </c>
      <c r="BL177" s="744">
        <f>IFERROR((HOU_P110[[#This Row],[BB]]+HOU_P110[[#This Row],[H]])/HOU_P110[[#This Row],[IP]],0)</f>
        <v>1.5483870967741935</v>
      </c>
      <c r="BM177" s="673">
        <v>2</v>
      </c>
      <c r="BN177" s="601">
        <v>1</v>
      </c>
      <c r="BO177" s="600">
        <v>0</v>
      </c>
      <c r="BP177" s="604">
        <v>0</v>
      </c>
      <c r="BQ177" s="614">
        <v>1</v>
      </c>
    </row>
    <row r="178" spans="1:73">
      <c r="A178" s="651" t="s">
        <v>580</v>
      </c>
      <c r="B178" s="74" t="s">
        <v>206</v>
      </c>
      <c r="C178" s="87" t="s">
        <v>598</v>
      </c>
      <c r="D178" s="88">
        <f>IFERROR((HOU_P77[[#This Row],[R]]*9)/HOU_P77[[#This Row],[IP]],0)</f>
        <v>5.1272312951006462</v>
      </c>
      <c r="E178" s="28">
        <v>1</v>
      </c>
      <c r="F178" s="74">
        <v>2</v>
      </c>
      <c r="G178" s="28">
        <v>4</v>
      </c>
      <c r="H178" s="584">
        <v>26.33</v>
      </c>
      <c r="I178" s="28">
        <v>25</v>
      </c>
      <c r="J178" s="28">
        <v>15</v>
      </c>
      <c r="K178" s="28">
        <v>9</v>
      </c>
      <c r="L178" s="28">
        <v>18</v>
      </c>
      <c r="M178" s="28">
        <v>0</v>
      </c>
      <c r="N178" s="106">
        <f>IFERROR((HOU_P77[[#This Row],[BB]]+HOU_P77[[#This Row],[H]])/HOU_P77[[#This Row],[IP]],0)</f>
        <v>1.2913026965438663</v>
      </c>
      <c r="O178" s="77">
        <v>2</v>
      </c>
      <c r="P178" s="90">
        <v>1</v>
      </c>
      <c r="Q178" s="28">
        <v>0</v>
      </c>
      <c r="R178" s="74">
        <v>0</v>
      </c>
      <c r="S178" s="615">
        <v>2</v>
      </c>
      <c r="Z178" s="651" t="s">
        <v>611</v>
      </c>
      <c r="AA178" s="74" t="s">
        <v>206</v>
      </c>
      <c r="AB178" s="87" t="s">
        <v>632</v>
      </c>
      <c r="AC178" s="88">
        <f>IFERROR((SEA_P50[[#This Row],[R]]*9)/SEA_P50[[#This Row],[IP]],0)</f>
        <v>27.038626609442058</v>
      </c>
      <c r="AD178" s="28">
        <v>0</v>
      </c>
      <c r="AE178" s="74">
        <v>1</v>
      </c>
      <c r="AF178" s="28">
        <v>1</v>
      </c>
      <c r="AG178" s="584">
        <v>2.33</v>
      </c>
      <c r="AH178" s="28">
        <v>4</v>
      </c>
      <c r="AI178" s="28">
        <v>7</v>
      </c>
      <c r="AJ178" s="28">
        <v>4</v>
      </c>
      <c r="AK178" s="28">
        <v>2</v>
      </c>
      <c r="AL178" s="28">
        <v>0</v>
      </c>
      <c r="AM178" s="89">
        <f>IFERROR((SEA_P50[[#This Row],[BB]]+SEA_P50[[#This Row],[H]])/SEA_P50[[#This Row],[IP]],0)</f>
        <v>3.4334763948497855</v>
      </c>
      <c r="AN178" s="28">
        <v>0</v>
      </c>
      <c r="AO178" s="90">
        <v>0</v>
      </c>
      <c r="AP178" s="28">
        <v>0</v>
      </c>
      <c r="AQ178" s="74">
        <v>0</v>
      </c>
      <c r="AR178" s="615">
        <v>2</v>
      </c>
      <c r="AY178" s="609" t="s">
        <v>580</v>
      </c>
      <c r="AZ178" s="74" t="s">
        <v>206</v>
      </c>
      <c r="BA178" s="71" t="s">
        <v>599</v>
      </c>
      <c r="BB178" s="88">
        <f>IFERROR((HOU_P110[[#This Row],[R]]*9)/HOU_P110[[#This Row],[IP]],0)</f>
        <v>4.354838709677419</v>
      </c>
      <c r="BC178" s="28">
        <v>1</v>
      </c>
      <c r="BD178" s="74">
        <v>2</v>
      </c>
      <c r="BE178" s="28">
        <v>5</v>
      </c>
      <c r="BF178" s="584">
        <v>31</v>
      </c>
      <c r="BG178" s="28">
        <v>30</v>
      </c>
      <c r="BH178" s="28">
        <v>15</v>
      </c>
      <c r="BI178" s="28">
        <v>13</v>
      </c>
      <c r="BJ178" s="76">
        <v>46</v>
      </c>
      <c r="BK178" s="28">
        <v>0</v>
      </c>
      <c r="BL178" s="106">
        <f>IFERROR((HOU_P110[[#This Row],[BB]]+HOU_P110[[#This Row],[H]])/HOU_P110[[#This Row],[IP]],0)</f>
        <v>1.3870967741935485</v>
      </c>
      <c r="BM178" s="77">
        <v>3</v>
      </c>
      <c r="BN178" s="90">
        <v>1</v>
      </c>
      <c r="BO178" s="28">
        <v>0</v>
      </c>
      <c r="BP178" s="74">
        <v>0</v>
      </c>
      <c r="BQ178" s="615">
        <v>2</v>
      </c>
    </row>
    <row r="179" spans="1:73">
      <c r="A179" s="651" t="s">
        <v>580</v>
      </c>
      <c r="B179" s="74" t="s">
        <v>206</v>
      </c>
      <c r="C179" s="87" t="s">
        <v>599</v>
      </c>
      <c r="D179" s="88">
        <f>IFERROR((HOU_P77[[#This Row],[R]]*9)/HOU_P77[[#This Row],[IP]],0)</f>
        <v>4.5</v>
      </c>
      <c r="E179" s="28">
        <v>1</v>
      </c>
      <c r="F179" s="74">
        <v>1</v>
      </c>
      <c r="G179" s="28">
        <v>4</v>
      </c>
      <c r="H179" s="584">
        <v>26</v>
      </c>
      <c r="I179" s="28">
        <v>16</v>
      </c>
      <c r="J179" s="28">
        <v>13</v>
      </c>
      <c r="K179" s="28">
        <v>15</v>
      </c>
      <c r="L179" s="28">
        <v>30</v>
      </c>
      <c r="M179" s="28">
        <v>0</v>
      </c>
      <c r="N179" s="106">
        <f>IFERROR((HOU_P77[[#This Row],[BB]]+HOU_P77[[#This Row],[H]])/HOU_P77[[#This Row],[IP]],0)</f>
        <v>1.1923076923076923</v>
      </c>
      <c r="O179" s="77">
        <v>2</v>
      </c>
      <c r="P179" s="90">
        <v>1</v>
      </c>
      <c r="Q179" s="28">
        <v>0</v>
      </c>
      <c r="R179" s="74">
        <v>0</v>
      </c>
      <c r="S179" s="615">
        <v>3</v>
      </c>
      <c r="Z179" s="651" t="s">
        <v>611</v>
      </c>
      <c r="AA179" s="74" t="s">
        <v>206</v>
      </c>
      <c r="AB179" s="87" t="s">
        <v>631</v>
      </c>
      <c r="AC179" s="88">
        <f>IFERROR((SEA_P50[[#This Row],[R]]*9)/SEA_P50[[#This Row],[IP]],0)</f>
        <v>10.392609699769054</v>
      </c>
      <c r="AD179" s="28">
        <v>0</v>
      </c>
      <c r="AE179" s="74">
        <v>1</v>
      </c>
      <c r="AF179" s="28">
        <v>1</v>
      </c>
      <c r="AG179" s="584">
        <v>4.33</v>
      </c>
      <c r="AH179" s="28">
        <v>8</v>
      </c>
      <c r="AI179" s="28">
        <v>5</v>
      </c>
      <c r="AJ179" s="28">
        <v>5</v>
      </c>
      <c r="AK179" s="28">
        <v>4</v>
      </c>
      <c r="AL179" s="28">
        <v>0</v>
      </c>
      <c r="AM179" s="89">
        <f>IFERROR((SEA_P50[[#This Row],[BB]]+SEA_P50[[#This Row],[H]])/SEA_P50[[#This Row],[IP]],0)</f>
        <v>3.0023094688221708</v>
      </c>
      <c r="AN179" s="28">
        <v>0</v>
      </c>
      <c r="AO179" s="90">
        <v>0</v>
      </c>
      <c r="AP179" s="28">
        <v>0</v>
      </c>
      <c r="AQ179" s="74">
        <v>0</v>
      </c>
      <c r="AR179" s="615">
        <v>3</v>
      </c>
      <c r="AY179" s="609" t="s">
        <v>580</v>
      </c>
      <c r="AZ179" s="74" t="s">
        <v>206</v>
      </c>
      <c r="BA179" s="71" t="s">
        <v>600</v>
      </c>
      <c r="BB179" s="88">
        <f>IFERROR((HOU_P110[[#This Row],[R]]*9)/HOU_P110[[#This Row],[IP]],0)</f>
        <v>3.96</v>
      </c>
      <c r="BC179" s="28">
        <v>1</v>
      </c>
      <c r="BD179" s="74">
        <v>1</v>
      </c>
      <c r="BE179" s="28">
        <v>4</v>
      </c>
      <c r="BF179" s="584">
        <v>25</v>
      </c>
      <c r="BG179" s="28">
        <v>26</v>
      </c>
      <c r="BH179" s="28">
        <v>11</v>
      </c>
      <c r="BI179" s="28">
        <v>13</v>
      </c>
      <c r="BJ179" s="28">
        <v>33</v>
      </c>
      <c r="BK179" s="28">
        <v>0</v>
      </c>
      <c r="BL179" s="106">
        <f>IFERROR((HOU_P110[[#This Row],[BB]]+HOU_P110[[#This Row],[H]])/HOU_P110[[#This Row],[IP]],0)</f>
        <v>1.56</v>
      </c>
      <c r="BM179" s="77">
        <v>2</v>
      </c>
      <c r="BN179" s="90">
        <v>0</v>
      </c>
      <c r="BO179" s="28">
        <v>0</v>
      </c>
      <c r="BP179" s="74">
        <v>0</v>
      </c>
      <c r="BQ179" s="615">
        <v>3</v>
      </c>
    </row>
    <row r="180" spans="1:73">
      <c r="A180" s="651" t="s">
        <v>580</v>
      </c>
      <c r="B180" s="74" t="s">
        <v>206</v>
      </c>
      <c r="C180" s="87" t="s">
        <v>600</v>
      </c>
      <c r="D180" s="88">
        <f>IFERROR((HOU_P77[[#This Row],[R]]*9)/HOU_P77[[#This Row],[IP]],0)</f>
        <v>6.1391541609822644</v>
      </c>
      <c r="E180" s="28">
        <v>0</v>
      </c>
      <c r="F180" s="74">
        <v>1</v>
      </c>
      <c r="G180" s="28">
        <v>3</v>
      </c>
      <c r="H180" s="584">
        <v>7.33</v>
      </c>
      <c r="I180" s="28">
        <v>7</v>
      </c>
      <c r="J180" s="28">
        <v>5</v>
      </c>
      <c r="K180" s="28">
        <v>5</v>
      </c>
      <c r="L180" s="28">
        <v>7</v>
      </c>
      <c r="M180" s="28">
        <v>0</v>
      </c>
      <c r="N180" s="106">
        <f>IFERROR((HOU_P77[[#This Row],[BB]]+HOU_P77[[#This Row],[H]])/HOU_P77[[#This Row],[IP]],0)</f>
        <v>1.6371077762619373</v>
      </c>
      <c r="O180" s="77">
        <v>0</v>
      </c>
      <c r="P180" s="90">
        <v>0</v>
      </c>
      <c r="Q180" s="28">
        <v>0</v>
      </c>
      <c r="R180" s="74">
        <v>0</v>
      </c>
      <c r="S180" s="615">
        <v>4</v>
      </c>
      <c r="Z180" s="651" t="s">
        <v>611</v>
      </c>
      <c r="AA180" s="74" t="s">
        <v>365</v>
      </c>
      <c r="AB180" s="87" t="s">
        <v>634</v>
      </c>
      <c r="AC180" s="88">
        <f>IFERROR((SEA_P50[[#This Row],[R]]*9)/SEA_P50[[#This Row],[IP]],0)</f>
        <v>3</v>
      </c>
      <c r="AD180" s="28">
        <v>0</v>
      </c>
      <c r="AE180" s="74">
        <v>0</v>
      </c>
      <c r="AF180" s="28">
        <v>2</v>
      </c>
      <c r="AG180" s="584">
        <v>3</v>
      </c>
      <c r="AH180" s="28">
        <v>7</v>
      </c>
      <c r="AI180" s="28">
        <v>1</v>
      </c>
      <c r="AJ180" s="28">
        <v>2</v>
      </c>
      <c r="AK180" s="28">
        <v>1</v>
      </c>
      <c r="AL180" s="28">
        <v>0</v>
      </c>
      <c r="AM180" s="89">
        <f>IFERROR((SEA_P50[[#This Row],[BB]]+SEA_P50[[#This Row],[H]])/SEA_P50[[#This Row],[IP]],0)</f>
        <v>3</v>
      </c>
      <c r="AN180" s="28">
        <v>0</v>
      </c>
      <c r="AO180" s="90">
        <v>0</v>
      </c>
      <c r="AP180" s="28">
        <v>0</v>
      </c>
      <c r="AQ180" s="74">
        <v>0</v>
      </c>
      <c r="AR180" s="615">
        <v>4</v>
      </c>
      <c r="AY180" s="609" t="s">
        <v>580</v>
      </c>
      <c r="AZ180" s="74" t="s">
        <v>206</v>
      </c>
      <c r="BA180" s="71" t="s">
        <v>598</v>
      </c>
      <c r="BB180" s="88">
        <f>IFERROR((HOU_P110[[#This Row],[R]]*9)/HOU_P110[[#This Row],[IP]],0)</f>
        <v>1.9271948608137046</v>
      </c>
      <c r="BC180" s="28">
        <v>0</v>
      </c>
      <c r="BD180" s="74">
        <v>0</v>
      </c>
      <c r="BE180" s="28">
        <v>5</v>
      </c>
      <c r="BF180" s="584">
        <v>4.67</v>
      </c>
      <c r="BG180" s="28">
        <v>3</v>
      </c>
      <c r="BH180" s="28">
        <v>1</v>
      </c>
      <c r="BI180" s="28">
        <v>3</v>
      </c>
      <c r="BJ180" s="28">
        <v>6</v>
      </c>
      <c r="BK180" s="28">
        <v>0</v>
      </c>
      <c r="BL180" s="106">
        <f>IFERROR((HOU_P110[[#This Row],[BB]]+HOU_P110[[#This Row],[H]])/HOU_P110[[#This Row],[IP]],0)</f>
        <v>1.2847965738758029</v>
      </c>
      <c r="BM180" s="77">
        <v>0</v>
      </c>
      <c r="BN180" s="90">
        <v>0</v>
      </c>
      <c r="BO180" s="28">
        <v>0</v>
      </c>
      <c r="BP180" s="74">
        <v>0</v>
      </c>
      <c r="BQ180" s="615">
        <v>4</v>
      </c>
    </row>
    <row r="181" spans="1:73">
      <c r="A181" s="651" t="s">
        <v>580</v>
      </c>
      <c r="B181" s="74" t="s">
        <v>212</v>
      </c>
      <c r="C181" s="87" t="s">
        <v>602</v>
      </c>
      <c r="D181" s="88">
        <f>IFERROR((HOU_P77[[#This Row],[R]]*9)/HOU_P77[[#This Row],[IP]],0)</f>
        <v>0</v>
      </c>
      <c r="E181" s="28">
        <v>0</v>
      </c>
      <c r="F181" s="74">
        <v>0</v>
      </c>
      <c r="G181" s="28">
        <v>0</v>
      </c>
      <c r="H181" s="584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106">
        <f>IFERROR((HOU_P77[[#This Row],[BB]]+HOU_P77[[#This Row],[H]])/HOU_P77[[#This Row],[IP]],0)</f>
        <v>0</v>
      </c>
      <c r="O181" s="77">
        <v>0</v>
      </c>
      <c r="P181" s="90">
        <v>0</v>
      </c>
      <c r="Q181" s="28">
        <v>0</v>
      </c>
      <c r="R181" s="74">
        <v>0</v>
      </c>
      <c r="S181" s="615">
        <v>5</v>
      </c>
      <c r="Z181" s="651" t="s">
        <v>611</v>
      </c>
      <c r="AA181" s="74" t="s">
        <v>212</v>
      </c>
      <c r="AB181" s="87" t="s">
        <v>633</v>
      </c>
      <c r="AC181" s="88">
        <f>IFERROR((SEA_P50[[#This Row],[R]]*9)/SEA_P50[[#This Row],[IP]],0)</f>
        <v>0</v>
      </c>
      <c r="AD181" s="28">
        <v>0</v>
      </c>
      <c r="AE181" s="74">
        <v>0</v>
      </c>
      <c r="AF181" s="28">
        <v>0</v>
      </c>
      <c r="AG181" s="584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89">
        <f>IFERROR((SEA_P50[[#This Row],[BB]]+SEA_P50[[#This Row],[H]])/SEA_P50[[#This Row],[IP]],0)</f>
        <v>0</v>
      </c>
      <c r="AN181" s="28">
        <v>0</v>
      </c>
      <c r="AO181" s="90">
        <v>0</v>
      </c>
      <c r="AP181" s="28">
        <v>0</v>
      </c>
      <c r="AQ181" s="74">
        <v>0</v>
      </c>
      <c r="AR181" s="615">
        <v>5</v>
      </c>
      <c r="AY181" s="609" t="s">
        <v>580</v>
      </c>
      <c r="AZ181" s="74" t="s">
        <v>212</v>
      </c>
      <c r="BA181" s="71" t="s">
        <v>602</v>
      </c>
      <c r="BB181" s="88">
        <f>IFERROR((HOU_P110[[#This Row],[R]]*9)/HOU_P110[[#This Row],[IP]],0)</f>
        <v>6</v>
      </c>
      <c r="BC181" s="28">
        <v>0</v>
      </c>
      <c r="BD181" s="74">
        <v>0</v>
      </c>
      <c r="BE181" s="28">
        <v>5</v>
      </c>
      <c r="BF181" s="584">
        <v>3</v>
      </c>
      <c r="BG181" s="28">
        <v>4</v>
      </c>
      <c r="BH181" s="28">
        <v>2</v>
      </c>
      <c r="BI181" s="28">
        <v>3</v>
      </c>
      <c r="BJ181" s="28">
        <v>3</v>
      </c>
      <c r="BK181" s="28">
        <v>0</v>
      </c>
      <c r="BL181" s="106">
        <f>IFERROR((HOU_P110[[#This Row],[BB]]+HOU_P110[[#This Row],[H]])/HOU_P110[[#This Row],[IP]],0)</f>
        <v>2.3333333333333335</v>
      </c>
      <c r="BM181" s="77">
        <v>0</v>
      </c>
      <c r="BN181" s="90">
        <v>0</v>
      </c>
      <c r="BO181" s="28">
        <v>0</v>
      </c>
      <c r="BP181" s="74">
        <v>0</v>
      </c>
      <c r="BQ181" s="615">
        <v>5</v>
      </c>
    </row>
    <row r="182" spans="1:73">
      <c r="A182" s="651" t="s">
        <v>580</v>
      </c>
      <c r="B182" s="74" t="s">
        <v>215</v>
      </c>
      <c r="C182" s="87" t="s">
        <v>601</v>
      </c>
      <c r="D182" s="88">
        <f>IFERROR((HOU_P77[[#This Row],[R]]*9)/HOU_P77[[#This Row],[IP]],0)</f>
        <v>0</v>
      </c>
      <c r="E182" s="28">
        <v>0</v>
      </c>
      <c r="F182" s="74">
        <v>0</v>
      </c>
      <c r="G182" s="28">
        <v>0</v>
      </c>
      <c r="H182" s="584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106">
        <f>IFERROR((HOU_P77[[#This Row],[BB]]+HOU_P77[[#This Row],[H]])/HOU_P77[[#This Row],[IP]],0)</f>
        <v>0</v>
      </c>
      <c r="O182" s="77">
        <v>0</v>
      </c>
      <c r="P182" s="90">
        <v>0</v>
      </c>
      <c r="Q182" s="28">
        <v>0</v>
      </c>
      <c r="R182" s="74">
        <v>0</v>
      </c>
      <c r="S182" s="615">
        <v>6</v>
      </c>
      <c r="Z182" s="651" t="s">
        <v>611</v>
      </c>
      <c r="AA182" s="74" t="s">
        <v>212</v>
      </c>
      <c r="AB182" s="87" t="s">
        <v>636</v>
      </c>
      <c r="AC182" s="88">
        <f>IFERROR((SEA_P50[[#This Row],[R]]*9)/SEA_P50[[#This Row],[IP]],0)</f>
        <v>0</v>
      </c>
      <c r="AD182" s="28">
        <v>0</v>
      </c>
      <c r="AE182" s="74">
        <v>0</v>
      </c>
      <c r="AF182" s="28">
        <v>0</v>
      </c>
      <c r="AG182" s="584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89">
        <f>IFERROR((SEA_P50[[#This Row],[BB]]+SEA_P50[[#This Row],[H]])/SEA_P50[[#This Row],[IP]],0)</f>
        <v>0</v>
      </c>
      <c r="AN182" s="28">
        <v>0</v>
      </c>
      <c r="AO182" s="90">
        <v>0</v>
      </c>
      <c r="AP182" s="28">
        <v>0</v>
      </c>
      <c r="AQ182" s="74">
        <v>0</v>
      </c>
      <c r="AR182" s="615">
        <v>6</v>
      </c>
      <c r="AY182" s="609" t="s">
        <v>580</v>
      </c>
      <c r="AZ182" s="74" t="s">
        <v>212</v>
      </c>
      <c r="BA182" s="71" t="s">
        <v>604</v>
      </c>
      <c r="BB182" s="88">
        <f>IFERROR((HOU_P110[[#This Row],[R]]*9)/HOU_P110[[#This Row],[IP]],0)</f>
        <v>0</v>
      </c>
      <c r="BC182" s="28">
        <v>0</v>
      </c>
      <c r="BD182" s="74">
        <v>0</v>
      </c>
      <c r="BE182" s="28">
        <v>1</v>
      </c>
      <c r="BF182" s="584">
        <v>0.67</v>
      </c>
      <c r="BG182" s="28">
        <v>0</v>
      </c>
      <c r="BH182" s="28">
        <v>0</v>
      </c>
      <c r="BI182" s="28">
        <v>1</v>
      </c>
      <c r="BJ182" s="28">
        <v>1</v>
      </c>
      <c r="BK182" s="28">
        <v>0</v>
      </c>
      <c r="BL182" s="106">
        <f>IFERROR((HOU_P110[[#This Row],[BB]]+HOU_P110[[#This Row],[H]])/HOU_P110[[#This Row],[IP]],0)</f>
        <v>1.4925373134328357</v>
      </c>
      <c r="BM182" s="77">
        <v>0</v>
      </c>
      <c r="BN182" s="90">
        <v>0</v>
      </c>
      <c r="BO182" s="28">
        <v>0</v>
      </c>
      <c r="BP182" s="74">
        <v>0</v>
      </c>
      <c r="BQ182" s="615">
        <v>6</v>
      </c>
    </row>
    <row r="183" spans="1:73">
      <c r="A183" s="651" t="s">
        <v>580</v>
      </c>
      <c r="B183" s="74" t="s">
        <v>212</v>
      </c>
      <c r="C183" s="87" t="s">
        <v>603</v>
      </c>
      <c r="D183" s="88">
        <f>IFERROR((HOU_P77[[#This Row],[R]]*9)/HOU_P77[[#This Row],[IP]],0)</f>
        <v>0</v>
      </c>
      <c r="E183" s="28">
        <v>0</v>
      </c>
      <c r="F183" s="74">
        <v>0</v>
      </c>
      <c r="G183" s="28">
        <v>0</v>
      </c>
      <c r="H183" s="584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106">
        <f>IFERROR((HOU_P77[[#This Row],[BB]]+HOU_P77[[#This Row],[H]])/HOU_P77[[#This Row],[IP]],0)</f>
        <v>0</v>
      </c>
      <c r="O183" s="77">
        <v>0</v>
      </c>
      <c r="P183" s="90">
        <v>0</v>
      </c>
      <c r="Q183" s="28">
        <v>0</v>
      </c>
      <c r="R183" s="74">
        <v>0</v>
      </c>
      <c r="S183" s="615">
        <v>7</v>
      </c>
      <c r="Z183" s="651" t="s">
        <v>611</v>
      </c>
      <c r="AA183" s="74" t="s">
        <v>212</v>
      </c>
      <c r="AB183" s="87" t="s">
        <v>635</v>
      </c>
      <c r="AC183" s="88">
        <f>IFERROR((SEA_P50[[#This Row],[R]]*9)/SEA_P50[[#This Row],[IP]],0)</f>
        <v>0</v>
      </c>
      <c r="AD183" s="28">
        <v>0</v>
      </c>
      <c r="AE183" s="74">
        <v>0</v>
      </c>
      <c r="AF183" s="28">
        <v>1</v>
      </c>
      <c r="AG183" s="584">
        <v>2</v>
      </c>
      <c r="AH183" s="28">
        <v>0</v>
      </c>
      <c r="AI183" s="28">
        <v>0</v>
      </c>
      <c r="AJ183" s="28">
        <v>0</v>
      </c>
      <c r="AK183" s="28">
        <v>4</v>
      </c>
      <c r="AL183" s="28">
        <v>0</v>
      </c>
      <c r="AM183" s="89">
        <f>IFERROR((SEA_P50[[#This Row],[BB]]+SEA_P50[[#This Row],[H]])/SEA_P50[[#This Row],[IP]],0)</f>
        <v>0</v>
      </c>
      <c r="AN183" s="28">
        <v>0</v>
      </c>
      <c r="AO183" s="90">
        <v>0</v>
      </c>
      <c r="AP183" s="28">
        <v>0</v>
      </c>
      <c r="AQ183" s="74">
        <v>0</v>
      </c>
      <c r="AR183" s="615">
        <v>7</v>
      </c>
      <c r="AY183" s="609" t="s">
        <v>580</v>
      </c>
      <c r="AZ183" s="74" t="s">
        <v>212</v>
      </c>
      <c r="BA183" s="71" t="s">
        <v>603</v>
      </c>
      <c r="BB183" s="88">
        <f>IFERROR((HOU_P110[[#This Row],[R]]*9)/HOU_P110[[#This Row],[IP]],0)</f>
        <v>2.8436018957345972</v>
      </c>
      <c r="BC183" s="28">
        <v>0</v>
      </c>
      <c r="BD183" s="74">
        <v>0</v>
      </c>
      <c r="BE183" s="28">
        <v>5</v>
      </c>
      <c r="BF183" s="584">
        <v>6.33</v>
      </c>
      <c r="BG183" s="28">
        <v>5</v>
      </c>
      <c r="BH183" s="28">
        <v>2</v>
      </c>
      <c r="BI183" s="28">
        <v>3</v>
      </c>
      <c r="BJ183" s="28">
        <v>6</v>
      </c>
      <c r="BK183" s="28">
        <v>1</v>
      </c>
      <c r="BL183" s="106">
        <f>IFERROR((HOU_P110[[#This Row],[BB]]+HOU_P110[[#This Row],[H]])/HOU_P110[[#This Row],[IP]],0)</f>
        <v>1.2638230647709321</v>
      </c>
      <c r="BM183" s="77">
        <v>0</v>
      </c>
      <c r="BN183" s="90">
        <v>0</v>
      </c>
      <c r="BO183" s="28">
        <v>0</v>
      </c>
      <c r="BP183" s="74">
        <v>0</v>
      </c>
      <c r="BQ183" s="615">
        <v>7</v>
      </c>
    </row>
    <row r="184" spans="1:73">
      <c r="A184" s="651" t="s">
        <v>580</v>
      </c>
      <c r="B184" s="74" t="s">
        <v>212</v>
      </c>
      <c r="C184" s="87" t="s">
        <v>605</v>
      </c>
      <c r="D184" s="88">
        <f>IFERROR((HOU_P77[[#This Row],[R]]*9)/HOU_P77[[#This Row],[IP]],0)</f>
        <v>4.9046321525885563</v>
      </c>
      <c r="E184" s="28">
        <v>0</v>
      </c>
      <c r="F184" s="74">
        <v>0</v>
      </c>
      <c r="G184" s="28">
        <v>2</v>
      </c>
      <c r="H184" s="584">
        <v>3.67</v>
      </c>
      <c r="I184" s="28">
        <v>4</v>
      </c>
      <c r="J184" s="28">
        <v>2</v>
      </c>
      <c r="K184" s="28">
        <v>2</v>
      </c>
      <c r="L184" s="28">
        <v>0</v>
      </c>
      <c r="M184" s="28">
        <v>0</v>
      </c>
      <c r="N184" s="106">
        <f>IFERROR((HOU_P77[[#This Row],[BB]]+HOU_P77[[#This Row],[H]])/HOU_P77[[#This Row],[IP]],0)</f>
        <v>1.6348773841961852</v>
      </c>
      <c r="O184" s="77">
        <v>0</v>
      </c>
      <c r="P184" s="90">
        <v>0</v>
      </c>
      <c r="Q184" s="28">
        <v>0</v>
      </c>
      <c r="R184" s="74">
        <v>0</v>
      </c>
      <c r="S184" s="615">
        <v>8</v>
      </c>
      <c r="Z184" s="651" t="s">
        <v>611</v>
      </c>
      <c r="AA184" s="74" t="s">
        <v>212</v>
      </c>
      <c r="AB184" s="87" t="s">
        <v>643</v>
      </c>
      <c r="AC184" s="88">
        <f>IFERROR((SEA_P50[[#This Row],[R]]*9)/SEA_P50[[#This Row],[IP]],0)</f>
        <v>3</v>
      </c>
      <c r="AD184" s="28">
        <v>0</v>
      </c>
      <c r="AE184" s="74">
        <v>0</v>
      </c>
      <c r="AF184" s="28">
        <v>2</v>
      </c>
      <c r="AG184" s="584">
        <v>3</v>
      </c>
      <c r="AH184" s="28">
        <v>4</v>
      </c>
      <c r="AI184" s="28">
        <v>1</v>
      </c>
      <c r="AJ184" s="28">
        <v>1</v>
      </c>
      <c r="AK184" s="28">
        <v>6</v>
      </c>
      <c r="AL184" s="28">
        <v>0</v>
      </c>
      <c r="AM184" s="89">
        <f>IFERROR((SEA_P50[[#This Row],[BB]]+SEA_P50[[#This Row],[H]])/SEA_P50[[#This Row],[IP]],0)</f>
        <v>1.6666666666666667</v>
      </c>
      <c r="AN184" s="28">
        <v>0</v>
      </c>
      <c r="AO184" s="90">
        <v>0</v>
      </c>
      <c r="AP184" s="28">
        <v>0</v>
      </c>
      <c r="AQ184" s="74">
        <v>0</v>
      </c>
      <c r="AR184" s="615">
        <v>8</v>
      </c>
      <c r="AY184" s="609" t="s">
        <v>580</v>
      </c>
      <c r="AZ184" s="74" t="s">
        <v>212</v>
      </c>
      <c r="BA184" s="71" t="s">
        <v>605</v>
      </c>
      <c r="BB184" s="88">
        <f>IFERROR((HOU_P110[[#This Row],[R]]*9)/HOU_P110[[#This Row],[IP]],0)</f>
        <v>7.7253218884120169</v>
      </c>
      <c r="BC184" s="28">
        <v>0</v>
      </c>
      <c r="BD184" s="74">
        <v>0</v>
      </c>
      <c r="BE184" s="28">
        <v>6</v>
      </c>
      <c r="BF184" s="584">
        <v>2.33</v>
      </c>
      <c r="BG184" s="28">
        <v>7</v>
      </c>
      <c r="BH184" s="28">
        <v>2</v>
      </c>
      <c r="BI184" s="28">
        <v>3</v>
      </c>
      <c r="BJ184" s="28">
        <v>3</v>
      </c>
      <c r="BK184" s="28">
        <v>0</v>
      </c>
      <c r="BL184" s="106">
        <f>IFERROR((HOU_P110[[#This Row],[BB]]+HOU_P110[[#This Row],[H]])/HOU_P110[[#This Row],[IP]],0)</f>
        <v>4.2918454935622314</v>
      </c>
      <c r="BM184" s="77">
        <v>0</v>
      </c>
      <c r="BN184" s="90">
        <v>0</v>
      </c>
      <c r="BO184" s="28">
        <v>0</v>
      </c>
      <c r="BP184" s="74">
        <v>0</v>
      </c>
      <c r="BQ184" s="615">
        <v>8</v>
      </c>
    </row>
    <row r="185" spans="1:73">
      <c r="A185" s="651" t="s">
        <v>580</v>
      </c>
      <c r="B185" s="74" t="s">
        <v>212</v>
      </c>
      <c r="C185" s="87" t="s">
        <v>606</v>
      </c>
      <c r="D185" s="88">
        <f>IFERROR((HOU_P77[[#This Row],[R]]*9)/HOU_P77[[#This Row],[IP]],0)</f>
        <v>5.3973013493253372</v>
      </c>
      <c r="E185" s="28">
        <v>1</v>
      </c>
      <c r="F185" s="74">
        <v>0</v>
      </c>
      <c r="G185" s="28">
        <v>6</v>
      </c>
      <c r="H185" s="584">
        <v>6.67</v>
      </c>
      <c r="I185" s="28">
        <v>8</v>
      </c>
      <c r="J185" s="28">
        <v>4</v>
      </c>
      <c r="K185" s="28">
        <v>3</v>
      </c>
      <c r="L185" s="28">
        <v>12</v>
      </c>
      <c r="M185" s="28">
        <v>0</v>
      </c>
      <c r="N185" s="106">
        <f>IFERROR((HOU_P77[[#This Row],[BB]]+HOU_P77[[#This Row],[H]])/HOU_P77[[#This Row],[IP]],0)</f>
        <v>1.6491754122938531</v>
      </c>
      <c r="O185" s="77">
        <v>0</v>
      </c>
      <c r="P185" s="90">
        <v>0</v>
      </c>
      <c r="Q185" s="28">
        <v>0</v>
      </c>
      <c r="R185" s="74">
        <v>0</v>
      </c>
      <c r="S185" s="615">
        <v>9</v>
      </c>
      <c r="Z185" s="651" t="s">
        <v>611</v>
      </c>
      <c r="AA185" s="74" t="s">
        <v>215</v>
      </c>
      <c r="AB185" s="87" t="s">
        <v>641</v>
      </c>
      <c r="AC185" s="88">
        <f>IFERROR((SEA_P50[[#This Row],[R]]*9)/SEA_P50[[#This Row],[IP]],0)</f>
        <v>2.7027027027027026</v>
      </c>
      <c r="AD185" s="28">
        <v>0</v>
      </c>
      <c r="AE185" s="74">
        <v>0</v>
      </c>
      <c r="AF185" s="28">
        <v>2</v>
      </c>
      <c r="AG185" s="584">
        <v>3.33</v>
      </c>
      <c r="AH185" s="28">
        <v>2</v>
      </c>
      <c r="AI185" s="28">
        <v>1</v>
      </c>
      <c r="AJ185" s="28">
        <v>4</v>
      </c>
      <c r="AK185" s="28">
        <v>1</v>
      </c>
      <c r="AL185" s="28">
        <v>0</v>
      </c>
      <c r="AM185" s="89">
        <f>IFERROR((SEA_P50[[#This Row],[BB]]+SEA_P50[[#This Row],[H]])/SEA_P50[[#This Row],[IP]],0)</f>
        <v>1.8018018018018018</v>
      </c>
      <c r="AN185" s="28">
        <v>0</v>
      </c>
      <c r="AO185" s="90">
        <v>0</v>
      </c>
      <c r="AP185" s="28">
        <v>0</v>
      </c>
      <c r="AQ185" s="74">
        <v>0</v>
      </c>
      <c r="AR185" s="615">
        <v>9</v>
      </c>
      <c r="AY185" s="609" t="s">
        <v>580</v>
      </c>
      <c r="AZ185" s="74" t="s">
        <v>212</v>
      </c>
      <c r="BA185" s="71" t="s">
        <v>606</v>
      </c>
      <c r="BB185" s="88">
        <f>IFERROR((HOU_P110[[#This Row],[R]]*9)/HOU_P110[[#This Row],[IP]],0)</f>
        <v>2.25</v>
      </c>
      <c r="BC185" s="76">
        <v>3</v>
      </c>
      <c r="BD185" s="74">
        <v>0</v>
      </c>
      <c r="BE185" s="76">
        <v>12</v>
      </c>
      <c r="BF185" s="584">
        <v>12</v>
      </c>
      <c r="BG185" s="28">
        <v>4</v>
      </c>
      <c r="BH185" s="28">
        <v>3</v>
      </c>
      <c r="BI185" s="28">
        <v>3</v>
      </c>
      <c r="BJ185" s="28">
        <v>16</v>
      </c>
      <c r="BK185" s="28">
        <v>0</v>
      </c>
      <c r="BL185" s="583">
        <f>IFERROR((HOU_P110[[#This Row],[BB]]+HOU_P110[[#This Row],[H]])/HOU_P110[[#This Row],[IP]],0)</f>
        <v>0.58333333333333337</v>
      </c>
      <c r="BM185" s="77">
        <v>0</v>
      </c>
      <c r="BN185" s="90">
        <v>0</v>
      </c>
      <c r="BO185" s="28">
        <v>0</v>
      </c>
      <c r="BP185" s="74">
        <v>0</v>
      </c>
      <c r="BQ185" s="615">
        <v>9</v>
      </c>
    </row>
    <row r="186" spans="1:73" ht="17" thickBot="1">
      <c r="A186" s="651" t="s">
        <v>580</v>
      </c>
      <c r="B186" s="74" t="s">
        <v>212</v>
      </c>
      <c r="C186" s="87" t="s">
        <v>607</v>
      </c>
      <c r="D186" s="88">
        <f>IFERROR((HOU_P77[[#This Row],[R]]*9)/HOU_P77[[#This Row],[IP]],0)</f>
        <v>0</v>
      </c>
      <c r="E186" s="28">
        <v>1</v>
      </c>
      <c r="F186" s="74">
        <v>0</v>
      </c>
      <c r="G186" s="28">
        <v>8</v>
      </c>
      <c r="H186" s="584">
        <v>10.33</v>
      </c>
      <c r="I186" s="28">
        <v>6</v>
      </c>
      <c r="J186" s="28">
        <v>0</v>
      </c>
      <c r="K186" s="28">
        <v>5</v>
      </c>
      <c r="L186" s="28">
        <v>15</v>
      </c>
      <c r="M186" s="28">
        <v>5</v>
      </c>
      <c r="N186" s="106">
        <f>IFERROR((HOU_P77[[#This Row],[BB]]+HOU_P77[[#This Row],[H]])/HOU_P77[[#This Row],[IP]],0)</f>
        <v>1.0648596321393997</v>
      </c>
      <c r="O186" s="77">
        <v>0</v>
      </c>
      <c r="P186" s="90">
        <v>0</v>
      </c>
      <c r="Q186" s="28">
        <v>0</v>
      </c>
      <c r="R186" s="74">
        <v>0</v>
      </c>
      <c r="S186" s="615">
        <v>10</v>
      </c>
      <c r="Z186" s="651" t="s">
        <v>611</v>
      </c>
      <c r="AA186" s="74" t="s">
        <v>212</v>
      </c>
      <c r="AB186" s="87" t="s">
        <v>645</v>
      </c>
      <c r="AC186" s="88">
        <f>IFERROR((SEA_P50[[#This Row],[R]]*9)/SEA_P50[[#This Row],[IP]],0)</f>
        <v>4.5</v>
      </c>
      <c r="AD186" s="28">
        <v>0</v>
      </c>
      <c r="AE186" s="74">
        <v>0</v>
      </c>
      <c r="AF186" s="28">
        <v>2</v>
      </c>
      <c r="AG186" s="584">
        <v>2</v>
      </c>
      <c r="AH186" s="28">
        <v>3</v>
      </c>
      <c r="AI186" s="28">
        <v>1</v>
      </c>
      <c r="AJ186" s="28">
        <v>0</v>
      </c>
      <c r="AK186" s="28">
        <v>2</v>
      </c>
      <c r="AL186" s="28">
        <v>0</v>
      </c>
      <c r="AM186" s="89">
        <f>IFERROR((SEA_P50[[#This Row],[BB]]+SEA_P50[[#This Row],[H]])/SEA_P50[[#This Row],[IP]],0)</f>
        <v>1.5</v>
      </c>
      <c r="AN186" s="28">
        <v>0</v>
      </c>
      <c r="AO186" s="90">
        <v>0</v>
      </c>
      <c r="AP186" s="28">
        <v>0</v>
      </c>
      <c r="AQ186" s="74">
        <v>0</v>
      </c>
      <c r="AR186" s="615">
        <v>10</v>
      </c>
      <c r="AY186" s="609" t="s">
        <v>580</v>
      </c>
      <c r="AZ186" s="74" t="s">
        <v>212</v>
      </c>
      <c r="BA186" s="71" t="s">
        <v>607</v>
      </c>
      <c r="BB186" s="88">
        <f>IFERROR((HOU_P110[[#This Row],[R]]*9)/HOU_P110[[#This Row],[IP]],0)</f>
        <v>3.6</v>
      </c>
      <c r="BC186" s="28">
        <v>1</v>
      </c>
      <c r="BD186" s="74">
        <v>0</v>
      </c>
      <c r="BE186" s="28">
        <v>11</v>
      </c>
      <c r="BF186" s="584">
        <v>10</v>
      </c>
      <c r="BG186" s="28">
        <v>7</v>
      </c>
      <c r="BH186" s="28">
        <v>4</v>
      </c>
      <c r="BI186" s="28">
        <v>4</v>
      </c>
      <c r="BJ186" s="76">
        <v>20</v>
      </c>
      <c r="BK186" s="76">
        <v>5</v>
      </c>
      <c r="BL186" s="106">
        <f>IFERROR((HOU_P110[[#This Row],[BB]]+HOU_P110[[#This Row],[H]])/HOU_P110[[#This Row],[IP]],0)</f>
        <v>1.1000000000000001</v>
      </c>
      <c r="BM186" s="77">
        <v>0</v>
      </c>
      <c r="BN186" s="90">
        <v>0</v>
      </c>
      <c r="BO186" s="28">
        <v>0</v>
      </c>
      <c r="BP186" s="74">
        <v>0</v>
      </c>
      <c r="BQ186" s="615">
        <v>10</v>
      </c>
    </row>
    <row r="187" spans="1:73" ht="17" thickBot="1">
      <c r="A187" s="786"/>
      <c r="B187" s="660"/>
      <c r="C187" s="787"/>
      <c r="D187" s="665">
        <f>(HOU_P77[[#Totals],[R]]*9)/HOU_P77[[#Totals],[IP]]</f>
        <v>3.7981651376146788</v>
      </c>
      <c r="E187" s="658">
        <f>SUBTOTAL(109,HOU_P77[W])</f>
        <v>6</v>
      </c>
      <c r="F187" s="660">
        <f>SUBTOTAL(109,HOU_P77[L])</f>
        <v>6</v>
      </c>
      <c r="G187" s="658"/>
      <c r="H187" s="666">
        <f>SUBTOTAL(109,HOU_P77[IP])</f>
        <v>109</v>
      </c>
      <c r="I187" s="658">
        <f>SUBTOTAL(109,HOU_P77[H])</f>
        <v>92</v>
      </c>
      <c r="J187" s="658">
        <f>SUBTOTAL(109,HOU_P77[R])</f>
        <v>46</v>
      </c>
      <c r="K187" s="658">
        <f>SUBTOTAL(109,HOU_P77[BB])</f>
        <v>45</v>
      </c>
      <c r="L187" s="660">
        <f>SUBTOTAL(109,HOU_P77[K])</f>
        <v>112</v>
      </c>
      <c r="M187" s="658">
        <f>SUBTOTAL(109,HOU_P77[SV])</f>
        <v>5</v>
      </c>
      <c r="N187" s="667">
        <f>(HOU_P77[[#Totals],[H]]+HOU_P77[[#Totals],[BB]])/HOU_P77[[#Totals],[IP]]</f>
        <v>1.2568807339449541</v>
      </c>
      <c r="O187" s="661">
        <f>SUBTOTAL(109,HOU_P77[QS])</f>
        <v>7</v>
      </c>
      <c r="P187" s="750">
        <f>SUBTOTAL(109,HOU_P77[UQ])</f>
        <v>5</v>
      </c>
      <c r="Q187" s="658">
        <f>SUBTOTAL(109,HOU_P77[CG])</f>
        <v>0</v>
      </c>
      <c r="R187" s="660">
        <f>SUBTOTAL(109,HOU_P77[SH])</f>
        <v>0</v>
      </c>
      <c r="S187" s="734"/>
      <c r="T187" s="28"/>
      <c r="U187" s="28"/>
      <c r="V187" s="28"/>
      <c r="W187" s="28"/>
      <c r="Z187" s="789"/>
      <c r="AA187" s="790"/>
      <c r="AB187" s="791" t="s">
        <v>195</v>
      </c>
      <c r="AC187" s="798">
        <f>(AI187*9)/AG187</f>
        <v>5.6687662097072984</v>
      </c>
      <c r="AD187" s="794">
        <f>SUBTOTAL(109,SEA_P50[W])</f>
        <v>1</v>
      </c>
      <c r="AE187" s="796">
        <f>SUBTOTAL(109,SEA_P50[L])</f>
        <v>2</v>
      </c>
      <c r="AF187" s="794"/>
      <c r="AG187" s="799">
        <f>SUBTOTAL(109,SEA_P50[IP])</f>
        <v>26.990000000000002</v>
      </c>
      <c r="AH187" s="794">
        <f>SUBTOTAL(109,SEA_P50[H])</f>
        <v>34</v>
      </c>
      <c r="AI187" s="794">
        <f>SUBTOTAL(109,SEA_P50[R])</f>
        <v>17</v>
      </c>
      <c r="AJ187" s="794">
        <f>SUBTOTAL(109,SEA_P50[BB])</f>
        <v>18</v>
      </c>
      <c r="AK187" s="794">
        <f>SUBTOTAL(109,SEA_P50[K])</f>
        <v>26</v>
      </c>
      <c r="AL187" s="794">
        <f>SUBTOTAL(109,SEA_P50[SV])</f>
        <v>0</v>
      </c>
      <c r="AM187" s="800">
        <f>(AJ187+AH187)/AG187</f>
        <v>1.92663949610967</v>
      </c>
      <c r="AN187" s="801">
        <f>SUBTOTAL(109,SEA_P50[QS])</f>
        <v>1</v>
      </c>
      <c r="AO187" s="802">
        <f>SUBTOTAL(109,SEA_P50[UQ])</f>
        <v>1</v>
      </c>
      <c r="AP187" s="813">
        <f>SUBTOTAL(109,SEA_P50[CG])</f>
        <v>0</v>
      </c>
      <c r="AQ187" s="814">
        <f>SUBTOTAL(109,SEA_P50[SH])</f>
        <v>0</v>
      </c>
      <c r="AR187" s="797"/>
      <c r="AY187" s="652"/>
      <c r="AZ187" s="653"/>
      <c r="BA187" s="654" t="s">
        <v>195</v>
      </c>
      <c r="BB187" s="665">
        <f>IFERROR((BH187*9)/BF187,0)</f>
        <v>3.7857142857142856</v>
      </c>
      <c r="BC187" s="658">
        <f>SUBTOTAL(109,HOU_P110[W])</f>
        <v>8</v>
      </c>
      <c r="BD187" s="660">
        <f>SUBTOTAL(109,HOU_P110[L])</f>
        <v>6</v>
      </c>
      <c r="BE187" s="658"/>
      <c r="BF187" s="666">
        <f>SUBTOTAL(109,HOU_P110[IP])</f>
        <v>126</v>
      </c>
      <c r="BG187" s="658">
        <f>SUBTOTAL(109,HOU_P110[H])</f>
        <v>116</v>
      </c>
      <c r="BH187" s="658">
        <f>SUBTOTAL(109,HOU_P110[R])</f>
        <v>53</v>
      </c>
      <c r="BI187" s="658">
        <f>SUBTOTAL(109,HOU_P110[BB])</f>
        <v>64</v>
      </c>
      <c r="BJ187" s="658">
        <f>SUBTOTAL(109,HOU_P110[K])</f>
        <v>175</v>
      </c>
      <c r="BK187" s="658">
        <f>SUBTOTAL(109,HOU_P110[SV])</f>
        <v>6</v>
      </c>
      <c r="BL187" s="667">
        <f>IFERROR((BI187+BG187)/BF187,0)</f>
        <v>1.4285714285714286</v>
      </c>
      <c r="BM187" s="690">
        <f>SUBTOTAL(109,HOU_P110[QS])</f>
        <v>7</v>
      </c>
      <c r="BN187" s="669">
        <f>SUBTOTAL(109,HOU_P110[UQ])</f>
        <v>2</v>
      </c>
      <c r="BO187" s="670">
        <f>SUM(BO177:BO186)</f>
        <v>0</v>
      </c>
      <c r="BP187" s="671">
        <f>SUM(BP177:BP186)</f>
        <v>0</v>
      </c>
      <c r="BQ187" s="662"/>
      <c r="BR187" s="28"/>
      <c r="BS187" s="28"/>
      <c r="BT187" s="28"/>
      <c r="BU187" s="28"/>
    </row>
    <row r="188" spans="1:73" ht="17" thickBot="1"/>
    <row r="189" spans="1:73" ht="24" thickBot="1">
      <c r="A189" s="1015" t="s">
        <v>761</v>
      </c>
      <c r="B189" s="1016"/>
      <c r="C189" s="1016"/>
      <c r="D189" s="1016"/>
      <c r="E189" s="1016"/>
      <c r="F189" s="1016"/>
      <c r="G189" s="1016"/>
      <c r="H189" s="1016"/>
      <c r="I189" s="1016"/>
      <c r="J189" s="1016"/>
      <c r="K189" s="1016"/>
      <c r="L189" s="1016"/>
      <c r="M189" s="1016"/>
      <c r="N189" s="1016"/>
      <c r="O189" s="1016"/>
      <c r="P189" s="1016"/>
      <c r="Q189" s="1016"/>
      <c r="R189" s="1016"/>
      <c r="S189" s="1016"/>
      <c r="T189" s="1016"/>
      <c r="U189" s="1016"/>
      <c r="V189" s="1016"/>
      <c r="W189" s="1017"/>
      <c r="AY189" s="1012" t="s">
        <v>762</v>
      </c>
      <c r="AZ189" s="1013"/>
      <c r="BA189" s="1013"/>
      <c r="BB189" s="1013"/>
      <c r="BC189" s="1013"/>
      <c r="BD189" s="1013"/>
      <c r="BE189" s="1013"/>
      <c r="BF189" s="1013"/>
      <c r="BG189" s="1013"/>
      <c r="BH189" s="1013"/>
      <c r="BI189" s="1013"/>
      <c r="BJ189" s="1013"/>
      <c r="BK189" s="1013"/>
      <c r="BL189" s="1013"/>
      <c r="BM189" s="1013"/>
      <c r="BN189" s="1013"/>
      <c r="BO189" s="1013"/>
      <c r="BP189" s="1013"/>
      <c r="BQ189" s="1013"/>
      <c r="BR189" s="1013"/>
      <c r="BS189" s="1013"/>
      <c r="BT189" s="1013"/>
      <c r="BU189" s="1014"/>
    </row>
    <row r="190" spans="1:73" s="108" customFormat="1" ht="17" thickBot="1">
      <c r="A190" s="605" t="s">
        <v>143</v>
      </c>
      <c r="B190" s="606" t="s">
        <v>144</v>
      </c>
      <c r="C190" s="606" t="s">
        <v>145</v>
      </c>
      <c r="D190" s="606" t="s">
        <v>146</v>
      </c>
      <c r="E190" s="606" t="s">
        <v>147</v>
      </c>
      <c r="F190" s="606" t="s">
        <v>148</v>
      </c>
      <c r="G190" s="606" t="s">
        <v>149</v>
      </c>
      <c r="H190" s="606" t="s">
        <v>150</v>
      </c>
      <c r="I190" s="606" t="s">
        <v>151</v>
      </c>
      <c r="J190" s="606" t="s">
        <v>152</v>
      </c>
      <c r="K190" s="606" t="s">
        <v>153</v>
      </c>
      <c r="L190" s="606" t="s">
        <v>154</v>
      </c>
      <c r="M190" s="606" t="s">
        <v>155</v>
      </c>
      <c r="N190" s="606" t="s">
        <v>156</v>
      </c>
      <c r="O190" s="606" t="s">
        <v>157</v>
      </c>
      <c r="P190" s="606" t="s">
        <v>158</v>
      </c>
      <c r="Q190" s="606" t="s">
        <v>159</v>
      </c>
      <c r="R190" s="606" t="s">
        <v>160</v>
      </c>
      <c r="S190" s="606" t="s">
        <v>16</v>
      </c>
      <c r="T190" s="606" t="s">
        <v>161</v>
      </c>
      <c r="U190" s="606" t="s">
        <v>162</v>
      </c>
      <c r="V190" s="606" t="s">
        <v>163</v>
      </c>
      <c r="W190" s="607" t="s">
        <v>164</v>
      </c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Y190" s="605" t="s">
        <v>143</v>
      </c>
      <c r="AZ190" s="606" t="s">
        <v>144</v>
      </c>
      <c r="BA190" s="606" t="s">
        <v>145</v>
      </c>
      <c r="BB190" s="606" t="s">
        <v>146</v>
      </c>
      <c r="BC190" s="606" t="s">
        <v>147</v>
      </c>
      <c r="BD190" s="606" t="s">
        <v>148</v>
      </c>
      <c r="BE190" s="606" t="s">
        <v>149</v>
      </c>
      <c r="BF190" s="606" t="s">
        <v>150</v>
      </c>
      <c r="BG190" s="606" t="s">
        <v>151</v>
      </c>
      <c r="BH190" s="606" t="s">
        <v>152</v>
      </c>
      <c r="BI190" s="606" t="s">
        <v>153</v>
      </c>
      <c r="BJ190" s="606" t="s">
        <v>154</v>
      </c>
      <c r="BK190" s="606" t="s">
        <v>155</v>
      </c>
      <c r="BL190" s="606" t="s">
        <v>156</v>
      </c>
      <c r="BM190" s="606" t="s">
        <v>157</v>
      </c>
      <c r="BN190" s="606" t="s">
        <v>158</v>
      </c>
      <c r="BO190" s="606" t="s">
        <v>159</v>
      </c>
      <c r="BP190" s="606" t="s">
        <v>160</v>
      </c>
      <c r="BQ190" s="606" t="s">
        <v>16</v>
      </c>
      <c r="BR190" s="606" t="s">
        <v>161</v>
      </c>
      <c r="BS190" s="606" t="s">
        <v>162</v>
      </c>
      <c r="BT190" s="606" t="s">
        <v>163</v>
      </c>
      <c r="BU190" s="607" t="s">
        <v>164</v>
      </c>
    </row>
    <row r="191" spans="1:73">
      <c r="A191" s="650" t="s">
        <v>611</v>
      </c>
      <c r="B191" s="597" t="s">
        <v>179</v>
      </c>
      <c r="C191" s="673" t="s">
        <v>621</v>
      </c>
      <c r="D191" s="598">
        <f>IFERROR(SEA_H89[[#This Row],[H]]/SEA_H89[[#This Row],[AB]],0)</f>
        <v>0</v>
      </c>
      <c r="E191" s="598">
        <f>IFERROR((SEA_H89[[#This Row],[H]]+SEA_H89[[#This Row],[BB]])/(SEA_H89[[#This Row],[BB]]+SEA_H89[[#This Row],[AB]]),0)</f>
        <v>0.14285714285714285</v>
      </c>
      <c r="F191" s="599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191" s="600">
        <v>2</v>
      </c>
      <c r="H191" s="600">
        <v>6</v>
      </c>
      <c r="I191" s="600">
        <v>0</v>
      </c>
      <c r="J191" s="600">
        <v>0</v>
      </c>
      <c r="K191" s="600">
        <v>0</v>
      </c>
      <c r="L191" s="600">
        <v>0</v>
      </c>
      <c r="M191" s="600">
        <v>0</v>
      </c>
      <c r="N191" s="600">
        <v>0</v>
      </c>
      <c r="O191" s="600">
        <v>1</v>
      </c>
      <c r="P191" s="604">
        <v>3</v>
      </c>
      <c r="Q191" s="600">
        <v>0</v>
      </c>
      <c r="R191" s="600">
        <v>0</v>
      </c>
      <c r="S191" s="604">
        <v>0</v>
      </c>
      <c r="T191" s="600">
        <f>IFERROR((SEA_H89[[#This Row],[H]]-SEA_H89[[#This Row],[2B]]-SEA_H89[[#This Row],[3B]]-SEA_H89[[#This Row],[HR]])+(SEA_H89[[#This Row],[2B]]*2)+(SEA_H89[[#This Row],[3B]]*3)+(SEA_H89[[#This Row],[HR]]*4),0)</f>
        <v>0</v>
      </c>
      <c r="U191" s="598">
        <f>SEA_H89[[#This Row],[OBP]]+SEA_H89[[#This Row],[SLG]]</f>
        <v>0.14285714285714285</v>
      </c>
      <c r="V191" s="604">
        <v>0</v>
      </c>
      <c r="W191" s="614">
        <v>1</v>
      </c>
      <c r="AY191" s="650" t="s">
        <v>685</v>
      </c>
      <c r="AZ191" s="604" t="s">
        <v>179</v>
      </c>
      <c r="BA191" s="597" t="s">
        <v>695</v>
      </c>
      <c r="BB191" s="598">
        <f>IFERROR(LAA_H99[[#This Row],[H]]/LAA_H99[[#This Row],[AB]],0)</f>
        <v>0.23809523809523808</v>
      </c>
      <c r="BC191" s="598">
        <f>IFERROR((LAA_H99[[#This Row],[BB]]+LAA_H99[[#This Row],[H]])/(LAA_H99[[#This Row],[AB]]+LAA_H99[[#This Row],[BB]]),0)</f>
        <v>0.38461538461538464</v>
      </c>
      <c r="BD191" s="599">
        <f>IFERROR(((LAA_H99[[#This Row],[H]]-LAA_H99[[#This Row],[2B]]-LAA_H99[[#This Row],[3B]]-LAA_H99[[#This Row],[HR]])+(LAA_H99[[#This Row],[2B]]*2)+(LAA_H99[[#This Row],[3B]]*3)+(LAA_H99[[#This Row],[HR]]*4))/LAA_H99[[#This Row],[AB]],0)</f>
        <v>0.23809523809523808</v>
      </c>
      <c r="BE191" s="600">
        <v>12</v>
      </c>
      <c r="BF191" s="600">
        <v>42</v>
      </c>
      <c r="BG191" s="600">
        <v>4</v>
      </c>
      <c r="BH191" s="600">
        <v>10</v>
      </c>
      <c r="BI191" s="600">
        <v>0</v>
      </c>
      <c r="BJ191" s="600">
        <v>0</v>
      </c>
      <c r="BK191" s="600">
        <v>0</v>
      </c>
      <c r="BL191" s="600">
        <v>4</v>
      </c>
      <c r="BM191" s="600">
        <v>10</v>
      </c>
      <c r="BN191" s="604">
        <v>14</v>
      </c>
      <c r="BO191" s="600">
        <v>0</v>
      </c>
      <c r="BP191" s="600">
        <v>2</v>
      </c>
      <c r="BQ191" s="604">
        <v>4</v>
      </c>
      <c r="BR191" s="600">
        <f>(LAA_H99[[#This Row],[H]]-LAA_H99[[#This Row],[2B]]-LAA_H99[[#This Row],[3B]]-LAA_H99[[#This Row],[HR]])+(LAA_H99[[#This Row],[2B]]*2)+(LAA_H99[[#This Row],[3B]]*3)+(LAA_H99[[#This Row],[HR]]*4)</f>
        <v>10</v>
      </c>
      <c r="BS191" s="598">
        <f>IFERROR(LAA_H99[[#This Row],[OBP]]+LAA_H99[[#This Row],[SLG]],0)</f>
        <v>0.62271062271062272</v>
      </c>
      <c r="BT191" s="604">
        <v>0</v>
      </c>
      <c r="BU191" s="614">
        <v>1</v>
      </c>
    </row>
    <row r="192" spans="1:73">
      <c r="A192" s="651" t="s">
        <v>611</v>
      </c>
      <c r="B192" s="71" t="s">
        <v>154</v>
      </c>
      <c r="C192" s="71" t="s">
        <v>620</v>
      </c>
      <c r="D192" s="72">
        <f>IFERROR(SEA_H89[[#This Row],[H]]/SEA_H89[[#This Row],[AB]],0)</f>
        <v>0.42857142857142855</v>
      </c>
      <c r="E192" s="72">
        <f>IFERROR((SEA_H89[[#This Row],[H]]+SEA_H89[[#This Row],[BB]])/(SEA_H89[[#This Row],[BB]]+SEA_H89[[#This Row],[AB]]),0)</f>
        <v>0.42857142857142855</v>
      </c>
      <c r="F192" s="73">
        <f>IFERROR(((SEA_H89[[#This Row],[H]]-SEA_H89[[#This Row],[2B]]-SEA_H89[[#This Row],[3B]]-SEA_H89[[#This Row],[HR]])+(SEA_H89[[#This Row],[2B]]*2)+(SEA_H89[[#This Row],[3B]]*3)+(SEA_H89[[#This Row],[HR]]*4))/SEA_H89[[#This Row],[AB]],0)</f>
        <v>0.5714285714285714</v>
      </c>
      <c r="G192" s="28">
        <v>2</v>
      </c>
      <c r="H192" s="28">
        <v>7</v>
      </c>
      <c r="I192" s="28">
        <v>0</v>
      </c>
      <c r="J192" s="28">
        <v>3</v>
      </c>
      <c r="K192" s="28">
        <v>1</v>
      </c>
      <c r="L192" s="28">
        <v>0</v>
      </c>
      <c r="M192" s="28">
        <v>0</v>
      </c>
      <c r="N192" s="28">
        <v>0</v>
      </c>
      <c r="O192" s="28">
        <v>0</v>
      </c>
      <c r="P192" s="74">
        <v>1</v>
      </c>
      <c r="Q192" s="28">
        <v>0</v>
      </c>
      <c r="R192" s="28">
        <v>1</v>
      </c>
      <c r="S192" s="74">
        <v>1</v>
      </c>
      <c r="T192" s="28">
        <f>IFERROR((SEA_H89[[#This Row],[H]]-SEA_H89[[#This Row],[2B]]-SEA_H89[[#This Row],[3B]]-SEA_H89[[#This Row],[HR]])+(SEA_H89[[#This Row],[2B]]*2)+(SEA_H89[[#This Row],[3B]]*3)+(SEA_H89[[#This Row],[HR]]*4),0)</f>
        <v>4</v>
      </c>
      <c r="U192" s="72">
        <f>SEA_H89[[#This Row],[OBP]]+SEA_H89[[#This Row],[SLG]]</f>
        <v>1</v>
      </c>
      <c r="V192" s="74">
        <v>0</v>
      </c>
      <c r="W192" s="615">
        <v>2</v>
      </c>
      <c r="AY192" s="651" t="s">
        <v>685</v>
      </c>
      <c r="AZ192" s="74" t="s">
        <v>154</v>
      </c>
      <c r="BA192" s="71" t="s">
        <v>690</v>
      </c>
      <c r="BB192" s="72">
        <f>IFERROR(LAA_H99[[#This Row],[H]]/LAA_H99[[#This Row],[AB]],0)</f>
        <v>0.35416666666666669</v>
      </c>
      <c r="BC192" s="72">
        <f>IFERROR((LAA_H99[[#This Row],[BB]]+LAA_H99[[#This Row],[H]])/(LAA_H99[[#This Row],[AB]]+LAA_H99[[#This Row],[BB]]),0)</f>
        <v>0.40384615384615385</v>
      </c>
      <c r="BD192" s="73">
        <f>IFERROR(((LAA_H99[[#This Row],[H]]-LAA_H99[[#This Row],[2B]]-LAA_H99[[#This Row],[3B]]-LAA_H99[[#This Row],[HR]])+(LAA_H99[[#This Row],[2B]]*2)+(LAA_H99[[#This Row],[3B]]*3)+(LAA_H99[[#This Row],[HR]]*4))/LAA_H99[[#This Row],[AB]],0)</f>
        <v>0.54166666666666663</v>
      </c>
      <c r="BE192" s="28">
        <v>12</v>
      </c>
      <c r="BF192" s="28">
        <v>48</v>
      </c>
      <c r="BG192" s="28">
        <v>8</v>
      </c>
      <c r="BH192" s="28">
        <v>17</v>
      </c>
      <c r="BI192" s="28">
        <v>3</v>
      </c>
      <c r="BJ192" s="28">
        <v>0</v>
      </c>
      <c r="BK192" s="28">
        <v>2</v>
      </c>
      <c r="BL192" s="28">
        <v>7</v>
      </c>
      <c r="BM192" s="28">
        <v>4</v>
      </c>
      <c r="BN192" s="74">
        <v>13</v>
      </c>
      <c r="BO192" s="28">
        <v>0</v>
      </c>
      <c r="BP192" s="28">
        <v>0</v>
      </c>
      <c r="BQ192" s="74">
        <v>5</v>
      </c>
      <c r="BR192" s="28">
        <f>(LAA_H99[[#This Row],[H]]-LAA_H99[[#This Row],[2B]]-LAA_H99[[#This Row],[3B]]-LAA_H99[[#This Row],[HR]])+(LAA_H99[[#This Row],[2B]]*2)+(LAA_H99[[#This Row],[3B]]*3)+(LAA_H99[[#This Row],[HR]]*4)</f>
        <v>26</v>
      </c>
      <c r="BS192" s="72">
        <f>IFERROR(LAA_H99[[#This Row],[OBP]]+LAA_H99[[#This Row],[SLG]],0)</f>
        <v>0.94551282051282048</v>
      </c>
      <c r="BT192" s="74">
        <v>0</v>
      </c>
      <c r="BU192" s="615">
        <v>2</v>
      </c>
    </row>
    <row r="193" spans="1:73">
      <c r="A193" s="651" t="s">
        <v>611</v>
      </c>
      <c r="B193" s="71" t="s">
        <v>172</v>
      </c>
      <c r="C193" s="71" t="s">
        <v>622</v>
      </c>
      <c r="D193" s="72">
        <f>IFERROR(SEA_H89[[#This Row],[H]]/SEA_H89[[#This Row],[AB]],0)</f>
        <v>0.2</v>
      </c>
      <c r="E193" s="72">
        <f>IFERROR((SEA_H89[[#This Row],[H]]+SEA_H89[[#This Row],[BB]])/(SEA_H89[[#This Row],[BB]]+SEA_H89[[#This Row],[AB]]),0)</f>
        <v>0.33333333333333331</v>
      </c>
      <c r="F193" s="73">
        <f>IFERROR(((SEA_H89[[#This Row],[H]]-SEA_H89[[#This Row],[2B]]-SEA_H89[[#This Row],[3B]]-SEA_H89[[#This Row],[HR]])+(SEA_H89[[#This Row],[2B]]*2)+(SEA_H89[[#This Row],[3B]]*3)+(SEA_H89[[#This Row],[HR]]*4))/SEA_H89[[#This Row],[AB]],0)</f>
        <v>0.2</v>
      </c>
      <c r="G193" s="28">
        <v>2</v>
      </c>
      <c r="H193" s="28">
        <v>5</v>
      </c>
      <c r="I193" s="28">
        <v>0</v>
      </c>
      <c r="J193" s="28">
        <v>1</v>
      </c>
      <c r="K193" s="28">
        <v>0</v>
      </c>
      <c r="L193" s="28">
        <v>0</v>
      </c>
      <c r="M193" s="28">
        <v>0</v>
      </c>
      <c r="N193" s="28">
        <v>0</v>
      </c>
      <c r="O193" s="28">
        <v>1</v>
      </c>
      <c r="P193" s="74">
        <v>1</v>
      </c>
      <c r="Q193" s="28">
        <v>0</v>
      </c>
      <c r="R193" s="28">
        <v>0</v>
      </c>
      <c r="S193" s="74">
        <v>1</v>
      </c>
      <c r="T193" s="28">
        <f>IFERROR((SEA_H89[[#This Row],[H]]-SEA_H89[[#This Row],[2B]]-SEA_H89[[#This Row],[3B]]-SEA_H89[[#This Row],[HR]])+(SEA_H89[[#This Row],[2B]]*2)+(SEA_H89[[#This Row],[3B]]*3)+(SEA_H89[[#This Row],[HR]]*4),0)</f>
        <v>1</v>
      </c>
      <c r="U193" s="72">
        <f>SEA_H89[[#This Row],[OBP]]+SEA_H89[[#This Row],[SLG]]</f>
        <v>0.53333333333333333</v>
      </c>
      <c r="V193" s="74">
        <v>0</v>
      </c>
      <c r="W193" s="615">
        <v>3</v>
      </c>
      <c r="AY193" s="651" t="s">
        <v>685</v>
      </c>
      <c r="AZ193" s="74" t="s">
        <v>172</v>
      </c>
      <c r="BA193" s="71" t="s">
        <v>697</v>
      </c>
      <c r="BB193" s="72">
        <f>IFERROR(LAA_H99[[#This Row],[H]]/LAA_H99[[#This Row],[AB]],0)</f>
        <v>0.16279069767441862</v>
      </c>
      <c r="BC193" s="72">
        <f>IFERROR((LAA_H99[[#This Row],[BB]]+LAA_H99[[#This Row],[H]])/(LAA_H99[[#This Row],[AB]]+LAA_H99[[#This Row],[BB]]),0)</f>
        <v>0.26530612244897961</v>
      </c>
      <c r="BD193" s="73">
        <f>IFERROR(((LAA_H99[[#This Row],[H]]-LAA_H99[[#This Row],[2B]]-LAA_H99[[#This Row],[3B]]-LAA_H99[[#This Row],[HR]])+(LAA_H99[[#This Row],[2B]]*2)+(LAA_H99[[#This Row],[3B]]*3)+(LAA_H99[[#This Row],[HR]]*4))/LAA_H99[[#This Row],[AB]],0)</f>
        <v>0.18604651162790697</v>
      </c>
      <c r="BE193" s="28">
        <v>12</v>
      </c>
      <c r="BF193" s="28">
        <v>43</v>
      </c>
      <c r="BG193" s="28">
        <v>1</v>
      </c>
      <c r="BH193" s="28">
        <v>7</v>
      </c>
      <c r="BI193" s="28">
        <v>1</v>
      </c>
      <c r="BJ193" s="28">
        <v>0</v>
      </c>
      <c r="BK193" s="28">
        <v>0</v>
      </c>
      <c r="BL193" s="28">
        <v>1</v>
      </c>
      <c r="BM193" s="28">
        <v>6</v>
      </c>
      <c r="BN193" s="74">
        <v>11</v>
      </c>
      <c r="BO193" s="28">
        <v>0</v>
      </c>
      <c r="BP193" s="28">
        <v>0</v>
      </c>
      <c r="BQ193" s="74">
        <v>2</v>
      </c>
      <c r="BR193" s="28">
        <f>(LAA_H99[[#This Row],[H]]-LAA_H99[[#This Row],[2B]]-LAA_H99[[#This Row],[3B]]-LAA_H99[[#This Row],[HR]])+(LAA_H99[[#This Row],[2B]]*2)+(LAA_H99[[#This Row],[3B]]*3)+(LAA_H99[[#This Row],[HR]]*4)</f>
        <v>8</v>
      </c>
      <c r="BS193" s="72">
        <f>IFERROR(LAA_H99[[#This Row],[OBP]]+LAA_H99[[#This Row],[SLG]],0)</f>
        <v>0.45135263407688658</v>
      </c>
      <c r="BT193" s="74">
        <v>0</v>
      </c>
      <c r="BU193" s="615">
        <v>3</v>
      </c>
    </row>
    <row r="194" spans="1:73">
      <c r="A194" s="651" t="s">
        <v>611</v>
      </c>
      <c r="B194" s="71" t="s">
        <v>153</v>
      </c>
      <c r="C194" s="71" t="s">
        <v>612</v>
      </c>
      <c r="D194" s="72">
        <f>IFERROR(SEA_H89[[#This Row],[H]]/SEA_H89[[#This Row],[AB]],0)</f>
        <v>0.33333333333333331</v>
      </c>
      <c r="E194" s="72">
        <f>IFERROR((SEA_H89[[#This Row],[H]]+SEA_H89[[#This Row],[BB]])/(SEA_H89[[#This Row],[BB]]+SEA_H89[[#This Row],[AB]]),0)</f>
        <v>0.33333333333333331</v>
      </c>
      <c r="F194" s="73">
        <f>IFERROR(((SEA_H89[[#This Row],[H]]-SEA_H89[[#This Row],[2B]]-SEA_H89[[#This Row],[3B]]-SEA_H89[[#This Row],[HR]])+(SEA_H89[[#This Row],[2B]]*2)+(SEA_H89[[#This Row],[3B]]*3)+(SEA_H89[[#This Row],[HR]]*4))/SEA_H89[[#This Row],[AB]],0)</f>
        <v>0.33333333333333331</v>
      </c>
      <c r="G194" s="28">
        <v>2</v>
      </c>
      <c r="H194" s="28">
        <v>9</v>
      </c>
      <c r="I194" s="28">
        <v>0</v>
      </c>
      <c r="J194" s="28">
        <v>3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74">
        <v>2</v>
      </c>
      <c r="Q194" s="28">
        <v>0</v>
      </c>
      <c r="R194" s="28">
        <v>2</v>
      </c>
      <c r="S194" s="74">
        <v>2</v>
      </c>
      <c r="T194" s="28">
        <f>IFERROR((SEA_H89[[#This Row],[H]]-SEA_H89[[#This Row],[2B]]-SEA_H89[[#This Row],[3B]]-SEA_H89[[#This Row],[HR]])+(SEA_H89[[#This Row],[2B]]*2)+(SEA_H89[[#This Row],[3B]]*3)+(SEA_H89[[#This Row],[HR]]*4),0)</f>
        <v>3</v>
      </c>
      <c r="U194" s="72">
        <f>SEA_H89[[#This Row],[OBP]]+SEA_H89[[#This Row],[SLG]]</f>
        <v>0.66666666666666663</v>
      </c>
      <c r="V194" s="74">
        <v>0</v>
      </c>
      <c r="W194" s="615">
        <v>4</v>
      </c>
      <c r="AY194" s="651" t="s">
        <v>685</v>
      </c>
      <c r="AZ194" s="74" t="s">
        <v>153</v>
      </c>
      <c r="BA194" s="71" t="s">
        <v>696</v>
      </c>
      <c r="BB194" s="72">
        <f>IFERROR(LAA_H99[[#This Row],[H]]/LAA_H99[[#This Row],[AB]],0)</f>
        <v>0.24</v>
      </c>
      <c r="BC194" s="72">
        <f>IFERROR((LAA_H99[[#This Row],[BB]]+LAA_H99[[#This Row],[H]])/(LAA_H99[[#This Row],[AB]]+LAA_H99[[#This Row],[BB]]),0)</f>
        <v>0.28301886792452829</v>
      </c>
      <c r="BD194" s="73">
        <f>IFERROR(((LAA_H99[[#This Row],[H]]-LAA_H99[[#This Row],[2B]]-LAA_H99[[#This Row],[3B]]-LAA_H99[[#This Row],[HR]])+(LAA_H99[[#This Row],[2B]]*2)+(LAA_H99[[#This Row],[3B]]*3)+(LAA_H99[[#This Row],[HR]]*4))/LAA_H99[[#This Row],[AB]],0)</f>
        <v>0.28000000000000003</v>
      </c>
      <c r="BE194" s="28">
        <v>12</v>
      </c>
      <c r="BF194" s="28">
        <v>50</v>
      </c>
      <c r="BG194" s="28">
        <v>2</v>
      </c>
      <c r="BH194" s="28">
        <v>12</v>
      </c>
      <c r="BI194" s="28">
        <v>2</v>
      </c>
      <c r="BJ194" s="28">
        <v>0</v>
      </c>
      <c r="BK194" s="28">
        <v>0</v>
      </c>
      <c r="BL194" s="28">
        <v>3</v>
      </c>
      <c r="BM194" s="28">
        <v>3</v>
      </c>
      <c r="BN194" s="74">
        <v>12</v>
      </c>
      <c r="BO194" s="28">
        <v>0</v>
      </c>
      <c r="BP194" s="28">
        <v>8</v>
      </c>
      <c r="BQ194" s="74">
        <v>8</v>
      </c>
      <c r="BR194" s="28">
        <f>(LAA_H99[[#This Row],[H]]-LAA_H99[[#This Row],[2B]]-LAA_H99[[#This Row],[3B]]-LAA_H99[[#This Row],[HR]])+(LAA_H99[[#This Row],[2B]]*2)+(LAA_H99[[#This Row],[3B]]*3)+(LAA_H99[[#This Row],[HR]]*4)</f>
        <v>14</v>
      </c>
      <c r="BS194" s="72">
        <f>IFERROR(LAA_H99[[#This Row],[OBP]]+LAA_H99[[#This Row],[SLG]],0)</f>
        <v>0.56301886792452827</v>
      </c>
      <c r="BT194" s="74">
        <v>0</v>
      </c>
      <c r="BU194" s="615">
        <v>4</v>
      </c>
    </row>
    <row r="195" spans="1:73">
      <c r="A195" s="651" t="s">
        <v>611</v>
      </c>
      <c r="B195" s="71" t="s">
        <v>177</v>
      </c>
      <c r="C195" s="71" t="s">
        <v>615</v>
      </c>
      <c r="D195" s="72">
        <f>IFERROR(SEA_H89[[#This Row],[H]]/SEA_H89[[#This Row],[AB]],0)</f>
        <v>0.16666666666666666</v>
      </c>
      <c r="E195" s="72">
        <f>IFERROR((SEA_H89[[#This Row],[H]]+SEA_H89[[#This Row],[BB]])/(SEA_H89[[#This Row],[BB]]+SEA_H89[[#This Row],[AB]]),0)</f>
        <v>0.375</v>
      </c>
      <c r="F195" s="73">
        <f>IFERROR(((SEA_H89[[#This Row],[H]]-SEA_H89[[#This Row],[2B]]-SEA_H89[[#This Row],[3B]]-SEA_H89[[#This Row],[HR]])+(SEA_H89[[#This Row],[2B]]*2)+(SEA_H89[[#This Row],[3B]]*3)+(SEA_H89[[#This Row],[HR]]*4))/SEA_H89[[#This Row],[AB]],0)</f>
        <v>0.66666666666666663</v>
      </c>
      <c r="G195" s="28">
        <v>2</v>
      </c>
      <c r="H195" s="28">
        <v>6</v>
      </c>
      <c r="I195" s="28">
        <v>1</v>
      </c>
      <c r="J195" s="28">
        <v>1</v>
      </c>
      <c r="K195" s="28">
        <v>0</v>
      </c>
      <c r="L195" s="28">
        <v>0</v>
      </c>
      <c r="M195" s="28">
        <v>1</v>
      </c>
      <c r="N195" s="28">
        <v>1</v>
      </c>
      <c r="O195" s="28">
        <v>2</v>
      </c>
      <c r="P195" s="74">
        <v>1</v>
      </c>
      <c r="Q195" s="28">
        <v>0</v>
      </c>
      <c r="R195" s="28">
        <v>1</v>
      </c>
      <c r="S195" s="74">
        <v>1</v>
      </c>
      <c r="T195" s="28">
        <f>IFERROR((SEA_H89[[#This Row],[H]]-SEA_H89[[#This Row],[2B]]-SEA_H89[[#This Row],[3B]]-SEA_H89[[#This Row],[HR]])+(SEA_H89[[#This Row],[2B]]*2)+(SEA_H89[[#This Row],[3B]]*3)+(SEA_H89[[#This Row],[HR]]*4),0)</f>
        <v>4</v>
      </c>
      <c r="U195" s="72">
        <f>SEA_H89[[#This Row],[OBP]]+SEA_H89[[#This Row],[SLG]]</f>
        <v>1.0416666666666665</v>
      </c>
      <c r="V195" s="74">
        <v>0</v>
      </c>
      <c r="W195" s="615">
        <v>5</v>
      </c>
      <c r="AY195" s="651" t="s">
        <v>685</v>
      </c>
      <c r="AZ195" s="74" t="s">
        <v>177</v>
      </c>
      <c r="BA195" s="71" t="s">
        <v>688</v>
      </c>
      <c r="BB195" s="72">
        <f>IFERROR(LAA_H99[[#This Row],[H]]/LAA_H99[[#This Row],[AB]],0)</f>
        <v>0.125</v>
      </c>
      <c r="BC195" s="72">
        <f>IFERROR((LAA_H99[[#This Row],[BB]]+LAA_H99[[#This Row],[H]])/(LAA_H99[[#This Row],[AB]]+LAA_H99[[#This Row],[BB]]),0)</f>
        <v>0.20754716981132076</v>
      </c>
      <c r="BD195" s="73">
        <f>IFERROR(((LAA_H99[[#This Row],[H]]-LAA_H99[[#This Row],[2B]]-LAA_H99[[#This Row],[3B]]-LAA_H99[[#This Row],[HR]])+(LAA_H99[[#This Row],[2B]]*2)+(LAA_H99[[#This Row],[3B]]*3)+(LAA_H99[[#This Row],[HR]]*4))/LAA_H99[[#This Row],[AB]],0)</f>
        <v>0.20833333333333334</v>
      </c>
      <c r="BE195" s="28">
        <v>12</v>
      </c>
      <c r="BF195" s="28">
        <v>48</v>
      </c>
      <c r="BG195" s="28">
        <v>4</v>
      </c>
      <c r="BH195" s="28">
        <v>6</v>
      </c>
      <c r="BI195" s="28">
        <v>1</v>
      </c>
      <c r="BJ195" s="28">
        <v>0</v>
      </c>
      <c r="BK195" s="28">
        <v>1</v>
      </c>
      <c r="BL195" s="28">
        <v>4</v>
      </c>
      <c r="BM195" s="28">
        <v>5</v>
      </c>
      <c r="BN195" s="74">
        <v>11</v>
      </c>
      <c r="BO195" s="28">
        <v>0</v>
      </c>
      <c r="BP195" s="28">
        <v>0</v>
      </c>
      <c r="BQ195" s="74">
        <v>1</v>
      </c>
      <c r="BR195" s="28">
        <f>(LAA_H99[[#This Row],[H]]-LAA_H99[[#This Row],[2B]]-LAA_H99[[#This Row],[3B]]-LAA_H99[[#This Row],[HR]])+(LAA_H99[[#This Row],[2B]]*2)+(LAA_H99[[#This Row],[3B]]*3)+(LAA_H99[[#This Row],[HR]]*4)</f>
        <v>10</v>
      </c>
      <c r="BS195" s="72">
        <f>IFERROR(LAA_H99[[#This Row],[OBP]]+LAA_H99[[#This Row],[SLG]],0)</f>
        <v>0.41588050314465408</v>
      </c>
      <c r="BT195" s="74">
        <v>2</v>
      </c>
      <c r="BU195" s="615">
        <v>5</v>
      </c>
    </row>
    <row r="196" spans="1:73">
      <c r="A196" s="651" t="s">
        <v>611</v>
      </c>
      <c r="B196" s="71" t="s">
        <v>174</v>
      </c>
      <c r="C196" s="71" t="s">
        <v>617</v>
      </c>
      <c r="D196" s="72">
        <f>IFERROR(SEA_H89[[#This Row],[H]]/SEA_H89[[#This Row],[AB]],0)</f>
        <v>0</v>
      </c>
      <c r="E196" s="72">
        <f>IFERROR((SEA_H89[[#This Row],[H]]+SEA_H89[[#This Row],[BB]])/(SEA_H89[[#This Row],[BB]]+SEA_H89[[#This Row],[AB]]),0)</f>
        <v>0</v>
      </c>
      <c r="F196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196" s="28">
        <v>2</v>
      </c>
      <c r="H196" s="28">
        <v>7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74">
        <v>1</v>
      </c>
      <c r="Q196" s="28">
        <v>0</v>
      </c>
      <c r="R196" s="28">
        <v>0</v>
      </c>
      <c r="S196" s="74">
        <v>0</v>
      </c>
      <c r="T196" s="28">
        <f>IFERROR((SEA_H89[[#This Row],[H]]-SEA_H89[[#This Row],[2B]]-SEA_H89[[#This Row],[3B]]-SEA_H89[[#This Row],[HR]])+(SEA_H89[[#This Row],[2B]]*2)+(SEA_H89[[#This Row],[3B]]*3)+(SEA_H89[[#This Row],[HR]]*4),0)</f>
        <v>0</v>
      </c>
      <c r="U196" s="72">
        <f>SEA_H89[[#This Row],[OBP]]+SEA_H89[[#This Row],[SLG]]</f>
        <v>0</v>
      </c>
      <c r="V196" s="74">
        <v>0</v>
      </c>
      <c r="W196" s="615">
        <v>6</v>
      </c>
      <c r="AY196" s="651" t="s">
        <v>685</v>
      </c>
      <c r="AZ196" s="74" t="s">
        <v>174</v>
      </c>
      <c r="BA196" s="71" t="s">
        <v>691</v>
      </c>
      <c r="BB196" s="72">
        <f>IFERROR(LAA_H99[[#This Row],[H]]/LAA_H99[[#This Row],[AB]],0)</f>
        <v>0.26829268292682928</v>
      </c>
      <c r="BC196" s="72">
        <f>IFERROR((LAA_H99[[#This Row],[BB]]+LAA_H99[[#This Row],[H]])/(LAA_H99[[#This Row],[AB]]+LAA_H99[[#This Row],[BB]]),0)</f>
        <v>0.42307692307692307</v>
      </c>
      <c r="BD196" s="73">
        <f>IFERROR(((LAA_H99[[#This Row],[H]]-LAA_H99[[#This Row],[2B]]-LAA_H99[[#This Row],[3B]]-LAA_H99[[#This Row],[HR]])+(LAA_H99[[#This Row],[2B]]*2)+(LAA_H99[[#This Row],[3B]]*3)+(LAA_H99[[#This Row],[HR]]*4))/LAA_H99[[#This Row],[AB]],0)</f>
        <v>0.34146341463414637</v>
      </c>
      <c r="BE196" s="28">
        <v>12</v>
      </c>
      <c r="BF196" s="28">
        <v>41</v>
      </c>
      <c r="BG196" s="28">
        <v>5</v>
      </c>
      <c r="BH196" s="28">
        <v>11</v>
      </c>
      <c r="BI196" s="28">
        <v>1</v>
      </c>
      <c r="BJ196" s="28">
        <v>1</v>
      </c>
      <c r="BK196" s="28">
        <v>0</v>
      </c>
      <c r="BL196" s="28">
        <v>3</v>
      </c>
      <c r="BM196" s="28">
        <v>11</v>
      </c>
      <c r="BN196" s="74">
        <v>12</v>
      </c>
      <c r="BO196" s="28">
        <v>0</v>
      </c>
      <c r="BP196" s="28">
        <v>3</v>
      </c>
      <c r="BQ196" s="74">
        <v>3</v>
      </c>
      <c r="BR196" s="28">
        <f>(LAA_H99[[#This Row],[H]]-LAA_H99[[#This Row],[2B]]-LAA_H99[[#This Row],[3B]]-LAA_H99[[#This Row],[HR]])+(LAA_H99[[#This Row],[2B]]*2)+(LAA_H99[[#This Row],[3B]]*3)+(LAA_H99[[#This Row],[HR]]*4)</f>
        <v>14</v>
      </c>
      <c r="BS196" s="72">
        <f>IFERROR(LAA_H99[[#This Row],[OBP]]+LAA_H99[[#This Row],[SLG]],0)</f>
        <v>0.76454033771106944</v>
      </c>
      <c r="BT196" s="74">
        <v>0</v>
      </c>
      <c r="BU196" s="615">
        <v>6</v>
      </c>
    </row>
    <row r="197" spans="1:73">
      <c r="A197" s="651" t="s">
        <v>611</v>
      </c>
      <c r="B197" s="71" t="s">
        <v>181</v>
      </c>
      <c r="C197" s="71" t="s">
        <v>614</v>
      </c>
      <c r="D197" s="72">
        <f>IFERROR(SEA_H89[[#This Row],[H]]/SEA_H89[[#This Row],[AB]],0)</f>
        <v>0.125</v>
      </c>
      <c r="E197" s="72">
        <f>IFERROR((SEA_H89[[#This Row],[H]]+SEA_H89[[#This Row],[BB]])/(SEA_H89[[#This Row],[BB]]+SEA_H89[[#This Row],[AB]]),0)</f>
        <v>0.125</v>
      </c>
      <c r="F197" s="73">
        <f>IFERROR(((SEA_H89[[#This Row],[H]]-SEA_H89[[#This Row],[2B]]-SEA_H89[[#This Row],[3B]]-SEA_H89[[#This Row],[HR]])+(SEA_H89[[#This Row],[2B]]*2)+(SEA_H89[[#This Row],[3B]]*3)+(SEA_H89[[#This Row],[HR]]*4))/SEA_H89[[#This Row],[AB]],0)</f>
        <v>0.125</v>
      </c>
      <c r="G197" s="28">
        <v>2</v>
      </c>
      <c r="H197" s="28">
        <v>8</v>
      </c>
      <c r="I197" s="28">
        <v>0</v>
      </c>
      <c r="J197" s="28">
        <v>1</v>
      </c>
      <c r="K197" s="28">
        <v>0</v>
      </c>
      <c r="L197" s="28">
        <v>0</v>
      </c>
      <c r="M197" s="28">
        <v>0</v>
      </c>
      <c r="N197" s="28">
        <v>2</v>
      </c>
      <c r="O197" s="28">
        <v>0</v>
      </c>
      <c r="P197" s="74">
        <v>3</v>
      </c>
      <c r="Q197" s="28">
        <v>0</v>
      </c>
      <c r="R197" s="28">
        <v>1</v>
      </c>
      <c r="S197" s="74">
        <v>1</v>
      </c>
      <c r="T197" s="28">
        <f>IFERROR((SEA_H89[[#This Row],[H]]-SEA_H89[[#This Row],[2B]]-SEA_H89[[#This Row],[3B]]-SEA_H89[[#This Row],[HR]])+(SEA_H89[[#This Row],[2B]]*2)+(SEA_H89[[#This Row],[3B]]*3)+(SEA_H89[[#This Row],[HR]]*4),0)</f>
        <v>1</v>
      </c>
      <c r="U197" s="72">
        <f>SEA_H89[[#This Row],[OBP]]+SEA_H89[[#This Row],[SLG]]</f>
        <v>0.25</v>
      </c>
      <c r="V197" s="74">
        <v>0</v>
      </c>
      <c r="W197" s="615">
        <v>7</v>
      </c>
      <c r="AY197" s="651" t="s">
        <v>685</v>
      </c>
      <c r="AZ197" s="74" t="s">
        <v>181</v>
      </c>
      <c r="BA197" s="71" t="s">
        <v>686</v>
      </c>
      <c r="BB197" s="72">
        <f>IFERROR(LAA_H99[[#This Row],[H]]/LAA_H99[[#This Row],[AB]],0)</f>
        <v>0.22641509433962265</v>
      </c>
      <c r="BC197" s="72">
        <f>IFERROR((LAA_H99[[#This Row],[BB]]+LAA_H99[[#This Row],[H]])/(LAA_H99[[#This Row],[AB]]+LAA_H99[[#This Row],[BB]]),0)</f>
        <v>0.30508474576271188</v>
      </c>
      <c r="BD197" s="73">
        <f>IFERROR(((LAA_H99[[#This Row],[H]]-LAA_H99[[#This Row],[2B]]-LAA_H99[[#This Row],[3B]]-LAA_H99[[#This Row],[HR]])+(LAA_H99[[#This Row],[2B]]*2)+(LAA_H99[[#This Row],[3B]]*3)+(LAA_H99[[#This Row],[HR]]*4))/LAA_H99[[#This Row],[AB]],0)</f>
        <v>0.56603773584905659</v>
      </c>
      <c r="BE197" s="28">
        <v>12</v>
      </c>
      <c r="BF197" s="28">
        <v>53</v>
      </c>
      <c r="BG197" s="28">
        <v>8</v>
      </c>
      <c r="BH197" s="28">
        <v>12</v>
      </c>
      <c r="BI197" s="28">
        <v>1</v>
      </c>
      <c r="BJ197" s="28">
        <v>1</v>
      </c>
      <c r="BK197" s="28">
        <v>5</v>
      </c>
      <c r="BL197" s="28">
        <v>9</v>
      </c>
      <c r="BM197" s="28">
        <v>6</v>
      </c>
      <c r="BN197" s="104">
        <v>27</v>
      </c>
      <c r="BO197" s="28">
        <v>1</v>
      </c>
      <c r="BP197" s="28">
        <v>1</v>
      </c>
      <c r="BQ197" s="74">
        <v>6</v>
      </c>
      <c r="BR197" s="28">
        <f>(LAA_H99[[#This Row],[H]]-LAA_H99[[#This Row],[2B]]-LAA_H99[[#This Row],[3B]]-LAA_H99[[#This Row],[HR]])+(LAA_H99[[#This Row],[2B]]*2)+(LAA_H99[[#This Row],[3B]]*3)+(LAA_H99[[#This Row],[HR]]*4)</f>
        <v>30</v>
      </c>
      <c r="BS197" s="72">
        <f>IFERROR(LAA_H99[[#This Row],[OBP]]+LAA_H99[[#This Row],[SLG]],0)</f>
        <v>0.87112248161176842</v>
      </c>
      <c r="BT197" s="74">
        <v>0</v>
      </c>
      <c r="BU197" s="615">
        <v>7</v>
      </c>
    </row>
    <row r="198" spans="1:73">
      <c r="A198" s="651" t="s">
        <v>611</v>
      </c>
      <c r="B198" s="71" t="s">
        <v>166</v>
      </c>
      <c r="C198" s="77" t="s">
        <v>616</v>
      </c>
      <c r="D198" s="72">
        <f>IFERROR(SEA_H89[[#This Row],[H]]/SEA_H89[[#This Row],[AB]],0)</f>
        <v>0.33333333333333331</v>
      </c>
      <c r="E198" s="72">
        <f>IFERROR((SEA_H89[[#This Row],[H]]+SEA_H89[[#This Row],[BB]])/(SEA_H89[[#This Row],[BB]]+SEA_H89[[#This Row],[AB]]),0)</f>
        <v>0.33333333333333331</v>
      </c>
      <c r="F198" s="73">
        <f>IFERROR(((SEA_H89[[#This Row],[H]]-SEA_H89[[#This Row],[2B]]-SEA_H89[[#This Row],[3B]]-SEA_H89[[#This Row],[HR]])+(SEA_H89[[#This Row],[2B]]*2)+(SEA_H89[[#This Row],[3B]]*3)+(SEA_H89[[#This Row],[HR]]*4))/SEA_H89[[#This Row],[AB]],0)</f>
        <v>0.44444444444444442</v>
      </c>
      <c r="G198" s="28">
        <v>2</v>
      </c>
      <c r="H198" s="28">
        <v>9</v>
      </c>
      <c r="I198" s="28">
        <v>2</v>
      </c>
      <c r="J198" s="28">
        <v>3</v>
      </c>
      <c r="K198" s="28">
        <v>1</v>
      </c>
      <c r="L198" s="28">
        <v>0</v>
      </c>
      <c r="M198" s="28">
        <v>0</v>
      </c>
      <c r="N198" s="28">
        <v>0</v>
      </c>
      <c r="O198" s="28">
        <v>0</v>
      </c>
      <c r="P198" s="74">
        <v>1</v>
      </c>
      <c r="Q198" s="28">
        <v>0</v>
      </c>
      <c r="R198" s="28">
        <v>1</v>
      </c>
      <c r="S198" s="74">
        <v>1</v>
      </c>
      <c r="T198" s="28">
        <f>IFERROR((SEA_H89[[#This Row],[H]]-SEA_H89[[#This Row],[2B]]-SEA_H89[[#This Row],[3B]]-SEA_H89[[#This Row],[HR]])+(SEA_H89[[#This Row],[2B]]*2)+(SEA_H89[[#This Row],[3B]]*3)+(SEA_H89[[#This Row],[HR]]*4),0)</f>
        <v>4</v>
      </c>
      <c r="U198" s="72">
        <f>SEA_H89[[#This Row],[OBP]]+SEA_H89[[#This Row],[SLG]]</f>
        <v>0.77777777777777768</v>
      </c>
      <c r="V198" s="74">
        <v>0</v>
      </c>
      <c r="W198" s="615">
        <v>8</v>
      </c>
      <c r="AY198" s="651" t="s">
        <v>685</v>
      </c>
      <c r="AZ198" s="104" t="s">
        <v>166</v>
      </c>
      <c r="BA198" s="345" t="s">
        <v>700</v>
      </c>
      <c r="BB198" s="72">
        <f>IFERROR(LAA_H99[[#This Row],[H]]/LAA_H99[[#This Row],[AB]],0)</f>
        <v>0.32692307692307693</v>
      </c>
      <c r="BC198" s="72">
        <f>IFERROR((LAA_H99[[#This Row],[BB]]+LAA_H99[[#This Row],[H]])/(LAA_H99[[#This Row],[AB]]+LAA_H99[[#This Row],[BB]]),0)</f>
        <v>0.375</v>
      </c>
      <c r="BD198" s="73">
        <f>IFERROR(((LAA_H99[[#This Row],[H]]-LAA_H99[[#This Row],[2B]]-LAA_H99[[#This Row],[3B]]-LAA_H99[[#This Row],[HR]])+(LAA_H99[[#This Row],[2B]]*2)+(LAA_H99[[#This Row],[3B]]*3)+(LAA_H99[[#This Row],[HR]]*4))/LAA_H99[[#This Row],[AB]],0)</f>
        <v>0.80769230769230771</v>
      </c>
      <c r="BE198" s="28">
        <v>12</v>
      </c>
      <c r="BF198" s="28">
        <v>52</v>
      </c>
      <c r="BG198" s="28">
        <v>8</v>
      </c>
      <c r="BH198" s="28">
        <v>17</v>
      </c>
      <c r="BI198" s="28">
        <v>2</v>
      </c>
      <c r="BJ198" s="28">
        <v>1</v>
      </c>
      <c r="BK198" s="76">
        <v>7</v>
      </c>
      <c r="BL198" s="76">
        <v>14</v>
      </c>
      <c r="BM198" s="28">
        <v>4</v>
      </c>
      <c r="BN198" s="74">
        <v>19</v>
      </c>
      <c r="BO198" s="28">
        <v>0</v>
      </c>
      <c r="BP198" s="28">
        <v>0</v>
      </c>
      <c r="BQ198" s="104">
        <v>9</v>
      </c>
      <c r="BR198" s="76">
        <f>(LAA_H99[[#This Row],[H]]-LAA_H99[[#This Row],[2B]]-LAA_H99[[#This Row],[3B]]-LAA_H99[[#This Row],[HR]])+(LAA_H99[[#This Row],[2B]]*2)+(LAA_H99[[#This Row],[3B]]*3)+(LAA_H99[[#This Row],[HR]]*4)</f>
        <v>42</v>
      </c>
      <c r="BS198" s="72">
        <f>IFERROR(LAA_H99[[#This Row],[OBP]]+LAA_H99[[#This Row],[SLG]],0)</f>
        <v>1.1826923076923077</v>
      </c>
      <c r="BT198" s="74">
        <v>2</v>
      </c>
      <c r="BU198" s="615">
        <v>8</v>
      </c>
    </row>
    <row r="199" spans="1:73">
      <c r="A199" s="651" t="s">
        <v>611</v>
      </c>
      <c r="B199" s="71" t="s">
        <v>168</v>
      </c>
      <c r="C199" s="77" t="s">
        <v>613</v>
      </c>
      <c r="D199" s="72">
        <f>IFERROR(SEA_H89[[#This Row],[H]]/SEA_H89[[#This Row],[AB]],0)</f>
        <v>0</v>
      </c>
      <c r="E199" s="72">
        <f>IFERROR((SEA_H89[[#This Row],[H]]+SEA_H89[[#This Row],[BB]])/(SEA_H89[[#This Row],[BB]]+SEA_H89[[#This Row],[AB]]),0)</f>
        <v>0.125</v>
      </c>
      <c r="F199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199" s="28">
        <v>2</v>
      </c>
      <c r="H199" s="28">
        <v>7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1</v>
      </c>
      <c r="P199" s="74">
        <v>5</v>
      </c>
      <c r="Q199" s="28">
        <v>0</v>
      </c>
      <c r="R199" s="28">
        <v>0</v>
      </c>
      <c r="S199" s="74">
        <v>0</v>
      </c>
      <c r="T199" s="28">
        <f>IFERROR((SEA_H89[[#This Row],[H]]-SEA_H89[[#This Row],[2B]]-SEA_H89[[#This Row],[3B]]-SEA_H89[[#This Row],[HR]])+(SEA_H89[[#This Row],[2B]]*2)+(SEA_H89[[#This Row],[3B]]*3)+(SEA_H89[[#This Row],[HR]]*4),0)</f>
        <v>0</v>
      </c>
      <c r="U199" s="72">
        <f>SEA_H89[[#This Row],[OBP]]+SEA_H89[[#This Row],[SLG]]</f>
        <v>0.125</v>
      </c>
      <c r="V199" s="74">
        <v>0</v>
      </c>
      <c r="W199" s="615">
        <v>9</v>
      </c>
      <c r="AY199" s="651" t="s">
        <v>685</v>
      </c>
      <c r="AZ199" s="74" t="s">
        <v>168</v>
      </c>
      <c r="BA199" s="71" t="s">
        <v>687</v>
      </c>
      <c r="BB199" s="72">
        <f>IFERROR(LAA_H99[[#This Row],[H]]/LAA_H99[[#This Row],[AB]],0)</f>
        <v>0.2857142857142857</v>
      </c>
      <c r="BC199" s="72">
        <f>IFERROR((LAA_H99[[#This Row],[BB]]+LAA_H99[[#This Row],[H]])/(LAA_H99[[#This Row],[AB]]+LAA_H99[[#This Row],[BB]]),0)</f>
        <v>0.36363636363636365</v>
      </c>
      <c r="BD199" s="73">
        <f>IFERROR(((LAA_H99[[#This Row],[H]]-LAA_H99[[#This Row],[2B]]-LAA_H99[[#This Row],[3B]]-LAA_H99[[#This Row],[HR]])+(LAA_H99[[#This Row],[2B]]*2)+(LAA_H99[[#This Row],[3B]]*3)+(LAA_H99[[#This Row],[HR]]*4))/LAA_H99[[#This Row],[AB]],0)</f>
        <v>0.36734693877551022</v>
      </c>
      <c r="BE199" s="28">
        <v>12</v>
      </c>
      <c r="BF199" s="28">
        <v>49</v>
      </c>
      <c r="BG199" s="28">
        <v>7</v>
      </c>
      <c r="BH199" s="28">
        <v>14</v>
      </c>
      <c r="BI199" s="28">
        <v>1</v>
      </c>
      <c r="BJ199" s="28">
        <v>0</v>
      </c>
      <c r="BK199" s="28">
        <v>1</v>
      </c>
      <c r="BL199" s="28">
        <v>2</v>
      </c>
      <c r="BM199" s="28">
        <v>6</v>
      </c>
      <c r="BN199" s="74">
        <v>15</v>
      </c>
      <c r="BO199" s="28">
        <v>1</v>
      </c>
      <c r="BP199" s="28">
        <v>5</v>
      </c>
      <c r="BQ199" s="74">
        <v>5</v>
      </c>
      <c r="BR199" s="28">
        <f>(LAA_H99[[#This Row],[H]]-LAA_H99[[#This Row],[2B]]-LAA_H99[[#This Row],[3B]]-LAA_H99[[#This Row],[HR]])+(LAA_H99[[#This Row],[2B]]*2)+(LAA_H99[[#This Row],[3B]]*3)+(LAA_H99[[#This Row],[HR]]*4)</f>
        <v>18</v>
      </c>
      <c r="BS199" s="72">
        <f>IFERROR(LAA_H99[[#This Row],[OBP]]+LAA_H99[[#This Row],[SLG]],0)</f>
        <v>0.73098330241187393</v>
      </c>
      <c r="BT199" s="74">
        <v>1</v>
      </c>
      <c r="BU199" s="615">
        <v>9</v>
      </c>
    </row>
    <row r="200" spans="1:73">
      <c r="A200" s="651" t="s">
        <v>611</v>
      </c>
      <c r="B200" s="71" t="s">
        <v>179</v>
      </c>
      <c r="C200" s="71" t="s">
        <v>624</v>
      </c>
      <c r="D200" s="72">
        <f>IFERROR(SEA_H89[[#This Row],[H]]/SEA_H89[[#This Row],[AB]],0)</f>
        <v>0</v>
      </c>
      <c r="E200" s="72">
        <f>IFERROR((SEA_H89[[#This Row],[H]]+SEA_H89[[#This Row],[BB]])/(SEA_H89[[#This Row],[BB]]+SEA_H89[[#This Row],[AB]]),0)</f>
        <v>0</v>
      </c>
      <c r="F200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74">
        <v>0</v>
      </c>
      <c r="Q200" s="28">
        <v>0</v>
      </c>
      <c r="R200" s="28">
        <v>0</v>
      </c>
      <c r="S200" s="74">
        <v>0</v>
      </c>
      <c r="T200" s="28">
        <f>IFERROR((SEA_H89[[#This Row],[H]]-SEA_H89[[#This Row],[2B]]-SEA_H89[[#This Row],[3B]]-SEA_H89[[#This Row],[HR]])+(SEA_H89[[#This Row],[2B]]*2)+(SEA_H89[[#This Row],[3B]]*3)+(SEA_H89[[#This Row],[HR]]*4),0)</f>
        <v>0</v>
      </c>
      <c r="U200" s="72">
        <f>SEA_H89[[#This Row],[OBP]]+SEA_H89[[#This Row],[SLG]]</f>
        <v>0</v>
      </c>
      <c r="V200" s="74">
        <v>0</v>
      </c>
      <c r="W200" s="615">
        <v>10</v>
      </c>
      <c r="AY200" s="651" t="s">
        <v>685</v>
      </c>
      <c r="AZ200" s="74" t="s">
        <v>187</v>
      </c>
      <c r="BA200" s="71" t="s">
        <v>701</v>
      </c>
      <c r="BB200" s="72">
        <f>IFERROR(LAA_H99[[#This Row],[H]]/LAA_H99[[#This Row],[AB]],0)</f>
        <v>0</v>
      </c>
      <c r="BC200" s="72">
        <f>IFERROR((LAA_H99[[#This Row],[BB]]+LAA_H99[[#This Row],[H]])/(LAA_H99[[#This Row],[AB]]+LAA_H99[[#This Row],[BB]]),0)</f>
        <v>0</v>
      </c>
      <c r="BD200" s="73">
        <f>IFERROR(((LAA_H99[[#This Row],[H]]-LAA_H99[[#This Row],[2B]]-LAA_H99[[#This Row],[3B]]-LAA_H99[[#This Row],[HR]])+(LAA_H99[[#This Row],[2B]]*2)+(LAA_H99[[#This Row],[3B]]*3)+(LAA_H99[[#This Row],[HR]]*4))/LAA_H99[[#This Row],[AB]],0)</f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74">
        <v>0</v>
      </c>
      <c r="BO200" s="28">
        <v>0</v>
      </c>
      <c r="BP200" s="28">
        <v>0</v>
      </c>
      <c r="BQ200" s="74">
        <v>0</v>
      </c>
      <c r="BR200" s="28">
        <f>(LAA_H99[[#This Row],[H]]-LAA_H99[[#This Row],[2B]]-LAA_H99[[#This Row],[3B]]-LAA_H99[[#This Row],[HR]])+(LAA_H99[[#This Row],[2B]]*2)+(LAA_H99[[#This Row],[3B]]*3)+(LAA_H99[[#This Row],[HR]]*4)</f>
        <v>0</v>
      </c>
      <c r="BS200" s="72">
        <f>IFERROR(LAA_H99[[#This Row],[OBP]]+LAA_H99[[#This Row],[SLG]],0)</f>
        <v>0</v>
      </c>
      <c r="BT200" s="74">
        <v>0</v>
      </c>
      <c r="BU200" s="615">
        <v>10</v>
      </c>
    </row>
    <row r="201" spans="1:73">
      <c r="A201" s="651" t="s">
        <v>611</v>
      </c>
      <c r="B201" s="71" t="s">
        <v>187</v>
      </c>
      <c r="C201" s="71" t="s">
        <v>618</v>
      </c>
      <c r="D201" s="72">
        <f>IFERROR(SEA_H89[[#This Row],[H]]/SEA_H89[[#This Row],[AB]],0)</f>
        <v>0</v>
      </c>
      <c r="E201" s="72">
        <f>IFERROR((SEA_H89[[#This Row],[H]]+SEA_H89[[#This Row],[BB]])/(SEA_H89[[#This Row],[BB]]+SEA_H89[[#This Row],[AB]]),0)</f>
        <v>0</v>
      </c>
      <c r="F201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201" s="28">
        <v>1</v>
      </c>
      <c r="H201" s="28">
        <v>1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74">
        <v>1</v>
      </c>
      <c r="Q201" s="28">
        <v>0</v>
      </c>
      <c r="R201" s="28">
        <v>0</v>
      </c>
      <c r="S201" s="74">
        <v>0</v>
      </c>
      <c r="T201" s="28">
        <f>IFERROR((SEA_H89[[#This Row],[H]]-SEA_H89[[#This Row],[2B]]-SEA_H89[[#This Row],[3B]]-SEA_H89[[#This Row],[HR]])+(SEA_H89[[#This Row],[2B]]*2)+(SEA_H89[[#This Row],[3B]]*3)+(SEA_H89[[#This Row],[HR]]*4),0)</f>
        <v>0</v>
      </c>
      <c r="U201" s="72">
        <f>SEA_H89[[#This Row],[OBP]]+SEA_H89[[#This Row],[SLG]]</f>
        <v>0</v>
      </c>
      <c r="V201" s="74">
        <v>0</v>
      </c>
      <c r="W201" s="615">
        <v>11</v>
      </c>
      <c r="AY201" s="651" t="s">
        <v>685</v>
      </c>
      <c r="AZ201" s="74" t="s">
        <v>187</v>
      </c>
      <c r="BA201" s="71" t="s">
        <v>699</v>
      </c>
      <c r="BB201" s="72">
        <f>IFERROR(LAA_H99[[#This Row],[H]]/LAA_H99[[#This Row],[AB]],0)</f>
        <v>0</v>
      </c>
      <c r="BC201" s="72">
        <f>IFERROR((LAA_H99[[#This Row],[BB]]+LAA_H99[[#This Row],[H]])/(LAA_H99[[#This Row],[AB]]+LAA_H99[[#This Row],[BB]]),0)</f>
        <v>0</v>
      </c>
      <c r="BD201" s="73">
        <f>IFERROR(((LAA_H99[[#This Row],[H]]-LAA_H99[[#This Row],[2B]]-LAA_H99[[#This Row],[3B]]-LAA_H99[[#This Row],[HR]])+(LAA_H99[[#This Row],[2B]]*2)+(LAA_H99[[#This Row],[3B]]*3)+(LAA_H99[[#This Row],[HR]]*4))/LAA_H99[[#This Row],[AB]],0)</f>
        <v>0</v>
      </c>
      <c r="BE201" s="28">
        <v>1</v>
      </c>
      <c r="BF201" s="28">
        <v>1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74">
        <v>1</v>
      </c>
      <c r="BO201" s="28">
        <v>0</v>
      </c>
      <c r="BP201" s="28">
        <v>0</v>
      </c>
      <c r="BQ201" s="74">
        <v>0</v>
      </c>
      <c r="BR201" s="28">
        <f>(LAA_H99[[#This Row],[H]]-LAA_H99[[#This Row],[2B]]-LAA_H99[[#This Row],[3B]]-LAA_H99[[#This Row],[HR]])+(LAA_H99[[#This Row],[2B]]*2)+(LAA_H99[[#This Row],[3B]]*3)+(LAA_H99[[#This Row],[HR]]*4)</f>
        <v>0</v>
      </c>
      <c r="BS201" s="72">
        <f>IFERROR(LAA_H99[[#This Row],[OBP]]+LAA_H99[[#This Row],[SLG]],0)</f>
        <v>0</v>
      </c>
      <c r="BT201" s="74">
        <v>0</v>
      </c>
      <c r="BU201" s="615">
        <v>11</v>
      </c>
    </row>
    <row r="202" spans="1:73">
      <c r="A202" s="651" t="s">
        <v>611</v>
      </c>
      <c r="B202" s="71" t="s">
        <v>187</v>
      </c>
      <c r="C202" s="77" t="s">
        <v>625</v>
      </c>
      <c r="D202" s="72">
        <f>IFERROR(SEA_H89[[#This Row],[H]]/SEA_H89[[#This Row],[AB]],0)</f>
        <v>0</v>
      </c>
      <c r="E202" s="72">
        <f>IFERROR((SEA_H89[[#This Row],[H]]+SEA_H89[[#This Row],[BB]])/(SEA_H89[[#This Row],[BB]]+SEA_H89[[#This Row],[AB]]),0)</f>
        <v>0</v>
      </c>
      <c r="F202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74">
        <v>0</v>
      </c>
      <c r="Q202" s="28">
        <v>0</v>
      </c>
      <c r="R202" s="28">
        <v>0</v>
      </c>
      <c r="S202" s="74">
        <v>0</v>
      </c>
      <c r="T202" s="28">
        <f>IFERROR((SEA_H89[[#This Row],[H]]-SEA_H89[[#This Row],[2B]]-SEA_H89[[#This Row],[3B]]-SEA_H89[[#This Row],[HR]])+(SEA_H89[[#This Row],[2B]]*2)+(SEA_H89[[#This Row],[3B]]*3)+(SEA_H89[[#This Row],[HR]]*4),0)</f>
        <v>0</v>
      </c>
      <c r="U202" s="72">
        <f>SEA_H89[[#This Row],[OBP]]+SEA_H89[[#This Row],[SLG]]</f>
        <v>0</v>
      </c>
      <c r="V202" s="74">
        <v>0</v>
      </c>
      <c r="W202" s="615">
        <v>12</v>
      </c>
      <c r="AY202" s="651" t="s">
        <v>685</v>
      </c>
      <c r="AZ202" s="74" t="s">
        <v>184</v>
      </c>
      <c r="BA202" s="71" t="s">
        <v>692</v>
      </c>
      <c r="BB202" s="72">
        <f>IFERROR(LAA_H99[[#This Row],[H]]/LAA_H99[[#This Row],[AB]],0)</f>
        <v>0</v>
      </c>
      <c r="BC202" s="72">
        <f>IFERROR((LAA_H99[[#This Row],[BB]]+LAA_H99[[#This Row],[H]])/(LAA_H99[[#This Row],[AB]]+LAA_H99[[#This Row],[BB]]),0)</f>
        <v>0</v>
      </c>
      <c r="BD202" s="73">
        <f>IFERROR(((LAA_H99[[#This Row],[H]]-LAA_H99[[#This Row],[2B]]-LAA_H99[[#This Row],[3B]]-LAA_H99[[#This Row],[HR]])+(LAA_H99[[#This Row],[2B]]*2)+(LAA_H99[[#This Row],[3B]]*3)+(LAA_H99[[#This Row],[HR]]*4))/LAA_H99[[#This Row],[AB]],0)</f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74">
        <v>0</v>
      </c>
      <c r="BO202" s="28">
        <v>0</v>
      </c>
      <c r="BP202" s="28">
        <v>0</v>
      </c>
      <c r="BQ202" s="74">
        <v>0</v>
      </c>
      <c r="BR202" s="28">
        <f>(LAA_H99[[#This Row],[H]]-LAA_H99[[#This Row],[2B]]-LAA_H99[[#This Row],[3B]]-LAA_H99[[#This Row],[HR]])+(LAA_H99[[#This Row],[2B]]*2)+(LAA_H99[[#This Row],[3B]]*3)+(LAA_H99[[#This Row],[HR]]*4)</f>
        <v>0</v>
      </c>
      <c r="BS202" s="72">
        <f>IFERROR(LAA_H99[[#This Row],[OBP]]+LAA_H99[[#This Row],[SLG]],0)</f>
        <v>0</v>
      </c>
      <c r="BT202" s="74">
        <v>0</v>
      </c>
      <c r="BU202" s="615">
        <v>12</v>
      </c>
    </row>
    <row r="203" spans="1:73">
      <c r="A203" s="651" t="s">
        <v>611</v>
      </c>
      <c r="B203" s="71" t="s">
        <v>186</v>
      </c>
      <c r="C203" s="77" t="s">
        <v>626</v>
      </c>
      <c r="D203" s="72">
        <f>IFERROR(SEA_H89[[#This Row],[H]]/SEA_H89[[#This Row],[AB]],0)</f>
        <v>0</v>
      </c>
      <c r="E203" s="72">
        <f>IFERROR((SEA_H89[[#This Row],[H]]+SEA_H89[[#This Row],[BB]])/(SEA_H89[[#This Row],[BB]]+SEA_H89[[#This Row],[AB]]),0)</f>
        <v>0</v>
      </c>
      <c r="F203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74">
        <v>0</v>
      </c>
      <c r="Q203" s="28">
        <v>0</v>
      </c>
      <c r="R203" s="28">
        <v>0</v>
      </c>
      <c r="S203" s="74">
        <v>0</v>
      </c>
      <c r="T203" s="28">
        <f>IFERROR((SEA_H89[[#This Row],[H]]-SEA_H89[[#This Row],[2B]]-SEA_H89[[#This Row],[3B]]-SEA_H89[[#This Row],[HR]])+(SEA_H89[[#This Row],[2B]]*2)+(SEA_H89[[#This Row],[3B]]*3)+(SEA_H89[[#This Row],[HR]]*4),0)</f>
        <v>0</v>
      </c>
      <c r="U203" s="72">
        <f>SEA_H89[[#This Row],[OBP]]+SEA_H89[[#This Row],[SLG]]</f>
        <v>0</v>
      </c>
      <c r="V203" s="74">
        <v>0</v>
      </c>
      <c r="W203" s="615">
        <v>13</v>
      </c>
      <c r="AY203" s="651" t="s">
        <v>685</v>
      </c>
      <c r="AZ203" s="74" t="s">
        <v>184</v>
      </c>
      <c r="BA203" s="71" t="s">
        <v>694</v>
      </c>
      <c r="BB203" s="72">
        <f>IFERROR(LAA_H99[[#This Row],[H]]/LAA_H99[[#This Row],[AB]],0)</f>
        <v>0</v>
      </c>
      <c r="BC203" s="72">
        <f>IFERROR((LAA_H99[[#This Row],[BB]]+LAA_H99[[#This Row],[H]])/(LAA_H99[[#This Row],[AB]]+LAA_H99[[#This Row],[BB]]),0)</f>
        <v>0</v>
      </c>
      <c r="BD203" s="73">
        <f>IFERROR(((LAA_H99[[#This Row],[H]]-LAA_H99[[#This Row],[2B]]-LAA_H99[[#This Row],[3B]]-LAA_H99[[#This Row],[HR]])+(LAA_H99[[#This Row],[2B]]*2)+(LAA_H99[[#This Row],[3B]]*3)+(LAA_H99[[#This Row],[HR]]*4))/LAA_H99[[#This Row],[AB]],0)</f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74">
        <v>0</v>
      </c>
      <c r="BO203" s="28">
        <v>0</v>
      </c>
      <c r="BP203" s="28">
        <v>0</v>
      </c>
      <c r="BQ203" s="74">
        <v>0</v>
      </c>
      <c r="BR203" s="28">
        <f>(LAA_H99[[#This Row],[H]]-LAA_H99[[#This Row],[2B]]-LAA_H99[[#This Row],[3B]]-LAA_H99[[#This Row],[HR]])+(LAA_H99[[#This Row],[2B]]*2)+(LAA_H99[[#This Row],[3B]]*3)+(LAA_H99[[#This Row],[HR]]*4)</f>
        <v>0</v>
      </c>
      <c r="BS203" s="72">
        <f>IFERROR(LAA_H99[[#This Row],[OBP]]+LAA_H99[[#This Row],[SLG]],0)</f>
        <v>0</v>
      </c>
      <c r="BT203" s="74">
        <v>0</v>
      </c>
      <c r="BU203" s="615">
        <v>13</v>
      </c>
    </row>
    <row r="204" spans="1:73" ht="17" thickBot="1">
      <c r="A204" s="651" t="s">
        <v>611</v>
      </c>
      <c r="B204" s="71" t="s">
        <v>184</v>
      </c>
      <c r="C204" s="71" t="s">
        <v>627</v>
      </c>
      <c r="D204" s="72">
        <f>IFERROR(SEA_H89[[#This Row],[H]]/SEA_H89[[#This Row],[AB]],0)</f>
        <v>0</v>
      </c>
      <c r="E204" s="72">
        <f>IFERROR((SEA_H89[[#This Row],[H]]+SEA_H89[[#This Row],[BB]])/(SEA_H89[[#This Row],[BB]]+SEA_H89[[#This Row],[AB]]),0)</f>
        <v>0</v>
      </c>
      <c r="F204" s="73">
        <f>IFERROR(((SEA_H89[[#This Row],[H]]-SEA_H89[[#This Row],[2B]]-SEA_H89[[#This Row],[3B]]-SEA_H89[[#This Row],[HR]])+(SEA_H89[[#This Row],[2B]]*2)+(SEA_H89[[#This Row],[3B]]*3)+(SEA_H89[[#This Row],[HR]]*4))/SEA_H89[[#This Row],[AB]],0)</f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74">
        <v>0</v>
      </c>
      <c r="Q204" s="28">
        <v>0</v>
      </c>
      <c r="R204" s="28">
        <v>0</v>
      </c>
      <c r="S204" s="74">
        <v>0</v>
      </c>
      <c r="T204" s="28">
        <f>IFERROR((SEA_H89[[#This Row],[H]]-SEA_H89[[#This Row],[2B]]-SEA_H89[[#This Row],[3B]]-SEA_H89[[#This Row],[HR]])+(SEA_H89[[#This Row],[2B]]*2)+(SEA_H89[[#This Row],[3B]]*3)+(SEA_H89[[#This Row],[HR]]*4),0)</f>
        <v>0</v>
      </c>
      <c r="U204" s="72">
        <f>SEA_H89[[#This Row],[OBP]]+SEA_H89[[#This Row],[SLG]]</f>
        <v>0</v>
      </c>
      <c r="V204" s="74">
        <v>0</v>
      </c>
      <c r="W204" s="615">
        <v>14</v>
      </c>
      <c r="AY204" s="651" t="s">
        <v>685</v>
      </c>
      <c r="AZ204" s="74" t="s">
        <v>184</v>
      </c>
      <c r="BA204" s="71" t="s">
        <v>702</v>
      </c>
      <c r="BB204" s="72">
        <f>IFERROR(LAA_H99[[#This Row],[H]]/LAA_H99[[#This Row],[AB]],0)</f>
        <v>0</v>
      </c>
      <c r="BC204" s="72">
        <f>IFERROR((LAA_H99[[#This Row],[BB]]+LAA_H99[[#This Row],[H]])/(LAA_H99[[#This Row],[AB]]+LAA_H99[[#This Row],[BB]]),0)</f>
        <v>0</v>
      </c>
      <c r="BD204" s="73">
        <f>IFERROR(((LAA_H99[[#This Row],[H]]-LAA_H99[[#This Row],[2B]]-LAA_H99[[#This Row],[3B]]-LAA_H99[[#This Row],[HR]])+(LAA_H99[[#This Row],[2B]]*2)+(LAA_H99[[#This Row],[3B]]*3)+(LAA_H99[[#This Row],[HR]]*4))/LAA_H99[[#This Row],[AB]],0)</f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74">
        <v>0</v>
      </c>
      <c r="BO204" s="28">
        <v>0</v>
      </c>
      <c r="BP204" s="28">
        <v>0</v>
      </c>
      <c r="BQ204" s="74">
        <v>0</v>
      </c>
      <c r="BR204" s="28">
        <f>(LAA_H99[[#This Row],[H]]-LAA_H99[[#This Row],[2B]]-LAA_H99[[#This Row],[3B]]-LAA_H99[[#This Row],[HR]])+(LAA_H99[[#This Row],[2B]]*2)+(LAA_H99[[#This Row],[3B]]*3)+(LAA_H99[[#This Row],[HR]]*4)</f>
        <v>0</v>
      </c>
      <c r="BS204" s="72">
        <f>IFERROR(LAA_H99[[#This Row],[OBP]]+LAA_H99[[#This Row],[SLG]],0)</f>
        <v>0</v>
      </c>
      <c r="BT204" s="74">
        <v>0</v>
      </c>
      <c r="BU204" s="615">
        <v>14</v>
      </c>
    </row>
    <row r="205" spans="1:73" ht="17" thickBot="1">
      <c r="A205" s="789"/>
      <c r="B205" s="790"/>
      <c r="C205" s="791" t="s">
        <v>195</v>
      </c>
      <c r="D205" s="792">
        <f>J205/H205</f>
        <v>0.18461538461538463</v>
      </c>
      <c r="E205" s="792">
        <f>(J205+O205)/H205</f>
        <v>0.26153846153846155</v>
      </c>
      <c r="F205" s="793">
        <f>((J205-K205-L205-M205)+(K205*2)+(L205*3)+(M205*4))/H205</f>
        <v>0.26153846153846155</v>
      </c>
      <c r="G205" s="794"/>
      <c r="H205" s="794">
        <f>SUBTOTAL(109,SEA_H89[AB])</f>
        <v>65</v>
      </c>
      <c r="I205" s="794">
        <f>SUBTOTAL(109,SEA_H89[R])</f>
        <v>3</v>
      </c>
      <c r="J205" s="794">
        <f>SUBTOTAL(109,SEA_H89[H])</f>
        <v>12</v>
      </c>
      <c r="K205" s="794">
        <f>SUBTOTAL(109,SEA_H89[2B])</f>
        <v>2</v>
      </c>
      <c r="L205" s="794">
        <f>SUBTOTAL(109,SEA_H89[3B])</f>
        <v>0</v>
      </c>
      <c r="M205" s="794">
        <f>SUBTOTAL(109,SEA_H89[HR])</f>
        <v>1</v>
      </c>
      <c r="N205" s="794">
        <f>SUBTOTAL(109,SEA_H89[RBI])</f>
        <v>3</v>
      </c>
      <c r="O205" s="794">
        <f>SUBTOTAL(109,SEA_H89[BB])</f>
        <v>5</v>
      </c>
      <c r="P205" s="796">
        <f>SUBTOTAL(109,SEA_H89[K])</f>
        <v>19</v>
      </c>
      <c r="Q205" s="794">
        <f>SUBTOTAL(109,SEA_H89[SB])</f>
        <v>0</v>
      </c>
      <c r="R205" s="794"/>
      <c r="S205" s="796"/>
      <c r="T205" s="794">
        <f>SUBTOTAL(109,SEA_H89[TB])</f>
        <v>17</v>
      </c>
      <c r="U205" s="792">
        <f>E205+F205</f>
        <v>0.52307692307692311</v>
      </c>
      <c r="V205" s="796">
        <f>SUBTOTAL(109,SEA_H89[*])</f>
        <v>0</v>
      </c>
      <c r="W205" s="797"/>
      <c r="AY205" s="809"/>
      <c r="AZ205" s="810"/>
      <c r="BA205" s="654" t="s">
        <v>195</v>
      </c>
      <c r="BB205" s="656">
        <f>IFERROR(BH205/BF205,0)</f>
        <v>0.24824355971896955</v>
      </c>
      <c r="BC205" s="656">
        <f>IFERROR((BM205+BH205)/(BF205+BM205),0)</f>
        <v>0.33402489626556015</v>
      </c>
      <c r="BD205" s="657">
        <f>IFERROR(((BH205-BI205-BJ205-BK205)+(BI205*2)+(BJ205*3)+(BK205*4))/BF205,0)</f>
        <v>0.40281030444964872</v>
      </c>
      <c r="BE205" s="658"/>
      <c r="BF205" s="658">
        <f>SUM(BF191:BF204)</f>
        <v>427</v>
      </c>
      <c r="BG205" s="658">
        <f>SUM(BG191:BG204)</f>
        <v>47</v>
      </c>
      <c r="BH205" s="658">
        <f>SUBTOTAL(109,LAA_H99[H])</f>
        <v>106</v>
      </c>
      <c r="BI205" s="658">
        <f>SUBTOTAL(109,LAA_H99[2B])</f>
        <v>12</v>
      </c>
      <c r="BJ205" s="658">
        <f>SUBTOTAL(109,LAA_H99[3B])</f>
        <v>3</v>
      </c>
      <c r="BK205" s="658">
        <f>SUBTOTAL(109,LAA_H99[HR])</f>
        <v>16</v>
      </c>
      <c r="BL205" s="658">
        <f>SUBTOTAL(109,LAA_H99[RBI])</f>
        <v>47</v>
      </c>
      <c r="BM205" s="658">
        <f>SUBTOTAL(109,LAA_H99[BB])</f>
        <v>55</v>
      </c>
      <c r="BN205" s="660">
        <f>SUBTOTAL(109,LAA_H99[K])</f>
        <v>135</v>
      </c>
      <c r="BO205" s="658">
        <f>SUBTOTAL(109,LAA_H99[SB])</f>
        <v>2</v>
      </c>
      <c r="BP205" s="658"/>
      <c r="BQ205" s="660"/>
      <c r="BR205" s="658">
        <f>SUBTOTAL(109,LAA_H99[TB])</f>
        <v>172</v>
      </c>
      <c r="BS205" s="656">
        <f>BC205+BD205</f>
        <v>0.7368352007152088</v>
      </c>
      <c r="BT205" s="660">
        <f>SUBTOTAL(109,LAA_H99[*])</f>
        <v>5</v>
      </c>
      <c r="BU205" s="662"/>
    </row>
    <row r="206" spans="1:73" ht="17" thickBot="1"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</row>
    <row r="207" spans="1:73" s="108" customFormat="1" ht="17" thickBot="1">
      <c r="A207" s="605" t="s">
        <v>143</v>
      </c>
      <c r="B207" s="606" t="s">
        <v>144</v>
      </c>
      <c r="C207" s="606" t="s">
        <v>145</v>
      </c>
      <c r="D207" s="606" t="s">
        <v>196</v>
      </c>
      <c r="E207" s="606" t="s">
        <v>197</v>
      </c>
      <c r="F207" s="606" t="s">
        <v>198</v>
      </c>
      <c r="G207" s="606" t="s">
        <v>149</v>
      </c>
      <c r="H207" s="606" t="s">
        <v>199</v>
      </c>
      <c r="I207" s="606" t="s">
        <v>152</v>
      </c>
      <c r="J207" s="606" t="s">
        <v>151</v>
      </c>
      <c r="K207" s="606" t="s">
        <v>157</v>
      </c>
      <c r="L207" s="606" t="s">
        <v>158</v>
      </c>
      <c r="M207" s="606" t="s">
        <v>200</v>
      </c>
      <c r="N207" s="606" t="s">
        <v>201</v>
      </c>
      <c r="O207" s="606" t="s">
        <v>202</v>
      </c>
      <c r="P207" s="606" t="s">
        <v>203</v>
      </c>
      <c r="Q207" s="606" t="s">
        <v>204</v>
      </c>
      <c r="R207" s="606" t="s">
        <v>205</v>
      </c>
      <c r="S207" s="607" t="s">
        <v>164</v>
      </c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Y207" s="605" t="s">
        <v>143</v>
      </c>
      <c r="AZ207" s="606" t="s">
        <v>144</v>
      </c>
      <c r="BA207" s="606" t="s">
        <v>145</v>
      </c>
      <c r="BB207" s="606" t="s">
        <v>196</v>
      </c>
      <c r="BC207" s="606" t="s">
        <v>197</v>
      </c>
      <c r="BD207" s="606" t="s">
        <v>198</v>
      </c>
      <c r="BE207" s="606" t="s">
        <v>149</v>
      </c>
      <c r="BF207" s="606" t="s">
        <v>199</v>
      </c>
      <c r="BG207" s="606" t="s">
        <v>152</v>
      </c>
      <c r="BH207" s="606" t="s">
        <v>151</v>
      </c>
      <c r="BI207" s="606" t="s">
        <v>157</v>
      </c>
      <c r="BJ207" s="606" t="s">
        <v>158</v>
      </c>
      <c r="BK207" s="606" t="s">
        <v>200</v>
      </c>
      <c r="BL207" s="606" t="s">
        <v>201</v>
      </c>
      <c r="BM207" s="606" t="s">
        <v>202</v>
      </c>
      <c r="BN207" s="606" t="s">
        <v>203</v>
      </c>
      <c r="BO207" s="606" t="s">
        <v>204</v>
      </c>
      <c r="BP207" s="606" t="s">
        <v>205</v>
      </c>
      <c r="BQ207" s="607" t="s">
        <v>164</v>
      </c>
      <c r="BR207" s="64"/>
      <c r="BS207" s="64"/>
      <c r="BT207" s="64"/>
      <c r="BU207" s="64"/>
    </row>
    <row r="208" spans="1:73">
      <c r="A208" s="650" t="s">
        <v>611</v>
      </c>
      <c r="B208" s="604" t="s">
        <v>206</v>
      </c>
      <c r="C208" s="597" t="s">
        <v>630</v>
      </c>
      <c r="D208" s="663">
        <f>IFERROR((SEA_P88[[#This Row],[R]]*9)/SEA_P88[[#This Row],[IP]],0)</f>
        <v>2.8436018957345972</v>
      </c>
      <c r="E208" s="600">
        <v>0</v>
      </c>
      <c r="F208" s="604">
        <v>1</v>
      </c>
      <c r="G208" s="600">
        <v>1</v>
      </c>
      <c r="H208" s="630">
        <v>6.33</v>
      </c>
      <c r="I208" s="600">
        <v>8</v>
      </c>
      <c r="J208" s="600">
        <v>2</v>
      </c>
      <c r="K208" s="600">
        <v>3</v>
      </c>
      <c r="L208" s="600">
        <v>4</v>
      </c>
      <c r="M208" s="600">
        <v>0</v>
      </c>
      <c r="N208" s="631">
        <f>IFERROR((SEA_P88[[#This Row],[BB]]+SEA_P88[[#This Row],[H]])/SEA_P88[[#This Row],[IP]],0)</f>
        <v>1.7377567140600316</v>
      </c>
      <c r="O208" s="600">
        <v>1</v>
      </c>
      <c r="P208" s="601">
        <v>0</v>
      </c>
      <c r="Q208" s="600">
        <v>0</v>
      </c>
      <c r="R208" s="604">
        <v>0</v>
      </c>
      <c r="S208" s="614">
        <v>1</v>
      </c>
      <c r="AY208" s="650" t="s">
        <v>685</v>
      </c>
      <c r="AZ208" s="604" t="s">
        <v>206</v>
      </c>
      <c r="BA208" s="597" t="s">
        <v>687</v>
      </c>
      <c r="BB208" s="663">
        <f>IFERROR((LAA_P100[[#This Row],[R]]*9)/LAA_P100[[#This Row],[IP]],0)</f>
        <v>3.068530514831231</v>
      </c>
      <c r="BC208" s="600">
        <v>2</v>
      </c>
      <c r="BD208" s="604">
        <v>2</v>
      </c>
      <c r="BE208" s="600">
        <v>4</v>
      </c>
      <c r="BF208" s="630">
        <v>29.33</v>
      </c>
      <c r="BG208" s="600">
        <v>22</v>
      </c>
      <c r="BH208" s="600">
        <v>10</v>
      </c>
      <c r="BI208" s="600">
        <v>6</v>
      </c>
      <c r="BJ208" s="600">
        <v>40</v>
      </c>
      <c r="BK208" s="600">
        <v>0</v>
      </c>
      <c r="BL208" s="785">
        <f>IFERROR((LAA_P100[[#This Row],[BB]]+LAA_P100[[#This Row],[H]])/LAA_P100[[#This Row],[IP]],0)</f>
        <v>0.95465393794749409</v>
      </c>
      <c r="BM208" s="673">
        <v>3</v>
      </c>
      <c r="BN208" s="601">
        <v>1</v>
      </c>
      <c r="BO208" s="627">
        <v>1</v>
      </c>
      <c r="BP208" s="632">
        <v>1</v>
      </c>
      <c r="BQ208" s="614">
        <v>1</v>
      </c>
      <c r="BR208" s="28"/>
      <c r="BS208" s="28"/>
      <c r="BT208" s="28"/>
      <c r="BU208" s="28"/>
    </row>
    <row r="209" spans="1:73">
      <c r="A209" s="651" t="s">
        <v>611</v>
      </c>
      <c r="B209" s="74" t="s">
        <v>206</v>
      </c>
      <c r="C209" s="87" t="s">
        <v>631</v>
      </c>
      <c r="D209" s="88">
        <f>IFERROR((SEA_P88[[#This Row],[R]]*9)/SEA_P88[[#This Row],[IP]],0)</f>
        <v>6</v>
      </c>
      <c r="E209" s="28">
        <v>0</v>
      </c>
      <c r="F209" s="74">
        <v>1</v>
      </c>
      <c r="G209" s="28">
        <v>1</v>
      </c>
      <c r="H209" s="584">
        <v>6</v>
      </c>
      <c r="I209" s="28">
        <v>7</v>
      </c>
      <c r="J209" s="28">
        <v>4</v>
      </c>
      <c r="K209" s="28">
        <v>3</v>
      </c>
      <c r="L209" s="28">
        <v>4</v>
      </c>
      <c r="M209" s="28">
        <v>0</v>
      </c>
      <c r="N209" s="89">
        <f>IFERROR((SEA_P88[[#This Row],[BB]]+SEA_P88[[#This Row],[H]])/SEA_P88[[#This Row],[IP]],0)</f>
        <v>1.6666666666666667</v>
      </c>
      <c r="O209" s="28">
        <v>0</v>
      </c>
      <c r="P209" s="90">
        <v>0</v>
      </c>
      <c r="Q209" s="28">
        <v>0</v>
      </c>
      <c r="R209" s="74">
        <v>0</v>
      </c>
      <c r="S209" s="615">
        <v>2</v>
      </c>
      <c r="AY209" s="651" t="s">
        <v>685</v>
      </c>
      <c r="AZ209" s="74" t="s">
        <v>206</v>
      </c>
      <c r="BA209" s="71" t="s">
        <v>704</v>
      </c>
      <c r="BB209" s="88">
        <f>IFERROR((LAA_P100[[#This Row],[R]]*9)/LAA_P100[[#This Row],[IP]],0)</f>
        <v>7.6045627376425848</v>
      </c>
      <c r="BC209" s="28">
        <v>1</v>
      </c>
      <c r="BD209" s="74">
        <v>2</v>
      </c>
      <c r="BE209" s="28">
        <v>4</v>
      </c>
      <c r="BF209" s="584">
        <v>23.67</v>
      </c>
      <c r="BG209" s="76">
        <v>38</v>
      </c>
      <c r="BH209" s="76">
        <v>20</v>
      </c>
      <c r="BI209" s="28">
        <v>10</v>
      </c>
      <c r="BJ209" s="28">
        <v>25</v>
      </c>
      <c r="BK209" s="28">
        <v>0</v>
      </c>
      <c r="BL209" s="106">
        <f>IFERROR((LAA_P100[[#This Row],[BB]]+LAA_P100[[#This Row],[H]])/LAA_P100[[#This Row],[IP]],0)</f>
        <v>2.0278833967046892</v>
      </c>
      <c r="BM209" s="77">
        <v>0</v>
      </c>
      <c r="BN209" s="90">
        <v>0</v>
      </c>
      <c r="BO209" s="28">
        <v>0</v>
      </c>
      <c r="BP209" s="74">
        <v>0</v>
      </c>
      <c r="BQ209" s="615">
        <v>2</v>
      </c>
      <c r="BR209" s="28"/>
      <c r="BS209" s="28"/>
      <c r="BT209" s="28"/>
      <c r="BU209" s="28"/>
    </row>
    <row r="210" spans="1:73">
      <c r="A210" s="651" t="s">
        <v>611</v>
      </c>
      <c r="B210" s="74" t="s">
        <v>206</v>
      </c>
      <c r="C210" s="87" t="s">
        <v>634</v>
      </c>
      <c r="D210" s="88">
        <f>IFERROR((SEA_P88[[#This Row],[R]]*9)/SEA_P88[[#This Row],[IP]],0)</f>
        <v>0</v>
      </c>
      <c r="E210" s="28">
        <v>0</v>
      </c>
      <c r="F210" s="74">
        <v>0</v>
      </c>
      <c r="G210" s="28">
        <v>0</v>
      </c>
      <c r="H210" s="584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89">
        <f>IFERROR((SEA_P88[[#This Row],[BB]]+SEA_P88[[#This Row],[H]])/SEA_P88[[#This Row],[IP]],0)</f>
        <v>0</v>
      </c>
      <c r="O210" s="28">
        <v>0</v>
      </c>
      <c r="P210" s="90">
        <v>0</v>
      </c>
      <c r="Q210" s="28">
        <v>0</v>
      </c>
      <c r="R210" s="74">
        <v>0</v>
      </c>
      <c r="S210" s="615">
        <v>3</v>
      </c>
      <c r="AY210" s="651" t="s">
        <v>685</v>
      </c>
      <c r="AZ210" s="74" t="s">
        <v>206</v>
      </c>
      <c r="BA210" s="71" t="s">
        <v>705</v>
      </c>
      <c r="BB210" s="88">
        <f>IFERROR((LAA_P100[[#This Row],[R]]*9)/LAA_P100[[#This Row],[IP]],0)</f>
        <v>2.1974189047785142</v>
      </c>
      <c r="BC210" s="28">
        <v>2</v>
      </c>
      <c r="BD210" s="74">
        <v>0</v>
      </c>
      <c r="BE210" s="28">
        <v>4</v>
      </c>
      <c r="BF210" s="584">
        <v>28.67</v>
      </c>
      <c r="BG210" s="28">
        <v>20</v>
      </c>
      <c r="BH210" s="28">
        <v>7</v>
      </c>
      <c r="BI210" s="76">
        <v>18</v>
      </c>
      <c r="BJ210" s="28">
        <v>23</v>
      </c>
      <c r="BK210" s="28">
        <v>0</v>
      </c>
      <c r="BL210" s="106">
        <f>IFERROR((LAA_P100[[#This Row],[BB]]+LAA_P100[[#This Row],[H]])/LAA_P100[[#This Row],[IP]],0)</f>
        <v>1.3254272758981513</v>
      </c>
      <c r="BM210" s="77">
        <v>4</v>
      </c>
      <c r="BN210" s="90">
        <v>2</v>
      </c>
      <c r="BO210" s="76">
        <v>1</v>
      </c>
      <c r="BP210" s="74">
        <v>0</v>
      </c>
      <c r="BQ210" s="615">
        <v>3</v>
      </c>
      <c r="BR210" s="28"/>
      <c r="BS210" s="28"/>
      <c r="BT210" s="28"/>
      <c r="BU210" s="28"/>
    </row>
    <row r="211" spans="1:73">
      <c r="A211" s="651" t="s">
        <v>611</v>
      </c>
      <c r="B211" s="74" t="s">
        <v>206</v>
      </c>
      <c r="C211" s="87" t="s">
        <v>632</v>
      </c>
      <c r="D211" s="88">
        <f>IFERROR((SEA_P88[[#This Row],[R]]*9)/SEA_P88[[#This Row],[IP]],0)</f>
        <v>0</v>
      </c>
      <c r="E211" s="28">
        <v>0</v>
      </c>
      <c r="F211" s="74">
        <v>0</v>
      </c>
      <c r="G211" s="28">
        <v>0</v>
      </c>
      <c r="H211" s="584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89">
        <f>IFERROR((SEA_P88[[#This Row],[BB]]+SEA_P88[[#This Row],[H]])/SEA_P88[[#This Row],[IP]],0)</f>
        <v>0</v>
      </c>
      <c r="O211" s="28">
        <v>0</v>
      </c>
      <c r="P211" s="90">
        <v>0</v>
      </c>
      <c r="Q211" s="28">
        <v>0</v>
      </c>
      <c r="R211" s="74">
        <v>0</v>
      </c>
      <c r="S211" s="615">
        <v>4</v>
      </c>
      <c r="AY211" s="651" t="s">
        <v>685</v>
      </c>
      <c r="AZ211" s="74" t="s">
        <v>206</v>
      </c>
      <c r="BA211" s="71" t="s">
        <v>703</v>
      </c>
      <c r="BB211" s="88">
        <f>IFERROR((LAA_P100[[#This Row],[R]]*9)/LAA_P100[[#This Row],[IP]],0)</f>
        <v>11.587982832618025</v>
      </c>
      <c r="BC211" s="28">
        <v>0</v>
      </c>
      <c r="BD211" s="74">
        <v>1</v>
      </c>
      <c r="BE211" s="28">
        <v>3</v>
      </c>
      <c r="BF211" s="584">
        <v>2.33</v>
      </c>
      <c r="BG211" s="28">
        <v>4</v>
      </c>
      <c r="BH211" s="28">
        <v>3</v>
      </c>
      <c r="BI211" s="28">
        <v>1</v>
      </c>
      <c r="BJ211" s="28">
        <v>1</v>
      </c>
      <c r="BK211" s="28">
        <v>0</v>
      </c>
      <c r="BL211" s="106">
        <f>IFERROR((LAA_P100[[#This Row],[BB]]+LAA_P100[[#This Row],[H]])/LAA_P100[[#This Row],[IP]],0)</f>
        <v>2.1459227467811157</v>
      </c>
      <c r="BM211" s="77">
        <v>0</v>
      </c>
      <c r="BN211" s="90">
        <v>0</v>
      </c>
      <c r="BO211" s="28">
        <v>0</v>
      </c>
      <c r="BP211" s="74">
        <v>0</v>
      </c>
      <c r="BQ211" s="615">
        <v>4</v>
      </c>
      <c r="BR211" s="28"/>
      <c r="BS211" s="28"/>
      <c r="BT211" s="28"/>
      <c r="BU211" s="28"/>
    </row>
    <row r="212" spans="1:73">
      <c r="A212" s="651" t="s">
        <v>611</v>
      </c>
      <c r="B212" s="74" t="s">
        <v>212</v>
      </c>
      <c r="C212" s="87" t="s">
        <v>633</v>
      </c>
      <c r="D212" s="88">
        <f>IFERROR((SEA_P88[[#This Row],[R]]*9)/SEA_P88[[#This Row],[IP]],0)</f>
        <v>0</v>
      </c>
      <c r="E212" s="28">
        <v>0</v>
      </c>
      <c r="F212" s="74">
        <v>0</v>
      </c>
      <c r="G212" s="28">
        <v>0</v>
      </c>
      <c r="H212" s="584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89">
        <f>IFERROR((SEA_P88[[#This Row],[BB]]+SEA_P88[[#This Row],[H]])/SEA_P88[[#This Row],[IP]],0)</f>
        <v>0</v>
      </c>
      <c r="O212" s="28">
        <v>0</v>
      </c>
      <c r="P212" s="90">
        <v>0</v>
      </c>
      <c r="Q212" s="28">
        <v>0</v>
      </c>
      <c r="R212" s="74">
        <v>0</v>
      </c>
      <c r="S212" s="615">
        <v>5</v>
      </c>
      <c r="AY212" s="651" t="s">
        <v>685</v>
      </c>
      <c r="AZ212" s="74" t="s">
        <v>215</v>
      </c>
      <c r="BA212" s="71" t="s">
        <v>706</v>
      </c>
      <c r="BB212" s="88">
        <f>IFERROR((LAA_P100[[#This Row],[R]]*9)/LAA_P100[[#This Row],[IP]],0)</f>
        <v>0</v>
      </c>
      <c r="BC212" s="28">
        <v>0</v>
      </c>
      <c r="BD212" s="74">
        <v>0</v>
      </c>
      <c r="BE212" s="28">
        <v>2</v>
      </c>
      <c r="BF212" s="584">
        <v>3.67</v>
      </c>
      <c r="BG212" s="28">
        <v>6</v>
      </c>
      <c r="BH212" s="28">
        <v>0</v>
      </c>
      <c r="BI212" s="28">
        <v>3</v>
      </c>
      <c r="BJ212" s="28">
        <v>5</v>
      </c>
      <c r="BK212" s="28">
        <v>0</v>
      </c>
      <c r="BL212" s="106">
        <f>IFERROR((LAA_P100[[#This Row],[BB]]+LAA_P100[[#This Row],[H]])/LAA_P100[[#This Row],[IP]],0)</f>
        <v>2.4523160762942782</v>
      </c>
      <c r="BM212" s="77">
        <v>0</v>
      </c>
      <c r="BN212" s="90">
        <v>0</v>
      </c>
      <c r="BO212" s="28">
        <v>0</v>
      </c>
      <c r="BP212" s="74">
        <v>0</v>
      </c>
      <c r="BQ212" s="615">
        <v>5</v>
      </c>
      <c r="BR212" s="28"/>
      <c r="BS212" s="28"/>
      <c r="BT212" s="28"/>
      <c r="BU212" s="28"/>
    </row>
    <row r="213" spans="1:73">
      <c r="A213" s="651" t="s">
        <v>611</v>
      </c>
      <c r="B213" s="74" t="s">
        <v>215</v>
      </c>
      <c r="C213" s="87" t="s">
        <v>637</v>
      </c>
      <c r="D213" s="88">
        <f>IFERROR((SEA_P88[[#This Row],[R]]*9)/SEA_P88[[#This Row],[IP]],0)</f>
        <v>0</v>
      </c>
      <c r="E213" s="28">
        <v>0</v>
      </c>
      <c r="F213" s="74">
        <v>0</v>
      </c>
      <c r="G213" s="28">
        <v>0</v>
      </c>
      <c r="H213" s="584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89">
        <f>IFERROR((SEA_P88[[#This Row],[BB]]+SEA_P88[[#This Row],[H]])/SEA_P88[[#This Row],[IP]],0)</f>
        <v>0</v>
      </c>
      <c r="O213" s="28">
        <v>0</v>
      </c>
      <c r="P213" s="90">
        <v>0</v>
      </c>
      <c r="Q213" s="28">
        <v>0</v>
      </c>
      <c r="R213" s="74">
        <v>0</v>
      </c>
      <c r="S213" s="615">
        <v>6</v>
      </c>
      <c r="AY213" s="651" t="s">
        <v>685</v>
      </c>
      <c r="AZ213" s="74" t="s">
        <v>212</v>
      </c>
      <c r="BA213" s="71" t="s">
        <v>709</v>
      </c>
      <c r="BB213" s="88">
        <f>IFERROR((LAA_P100[[#This Row],[R]]*9)/LAA_P100[[#This Row],[IP]],0)</f>
        <v>0</v>
      </c>
      <c r="BC213" s="28">
        <v>0</v>
      </c>
      <c r="BD213" s="74">
        <v>0</v>
      </c>
      <c r="BE213" s="28">
        <v>0</v>
      </c>
      <c r="BF213" s="584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106">
        <f>IFERROR((LAA_P100[[#This Row],[BB]]+LAA_P100[[#This Row],[H]])/LAA_P100[[#This Row],[IP]],0)</f>
        <v>0</v>
      </c>
      <c r="BM213" s="77">
        <v>0</v>
      </c>
      <c r="BN213" s="90">
        <v>0</v>
      </c>
      <c r="BO213" s="28">
        <v>0</v>
      </c>
      <c r="BP213" s="74">
        <v>0</v>
      </c>
      <c r="BQ213" s="615">
        <v>6</v>
      </c>
      <c r="BR213" s="28"/>
      <c r="BS213" s="28"/>
      <c r="BT213" s="28"/>
      <c r="BU213" s="28"/>
    </row>
    <row r="214" spans="1:73">
      <c r="A214" s="651" t="s">
        <v>611</v>
      </c>
      <c r="B214" s="74" t="s">
        <v>212</v>
      </c>
      <c r="C214" s="87" t="s">
        <v>635</v>
      </c>
      <c r="D214" s="88">
        <f>IFERROR((SEA_P88[[#This Row],[R]]*9)/SEA_P88[[#This Row],[IP]],0)</f>
        <v>0</v>
      </c>
      <c r="E214" s="28">
        <v>0</v>
      </c>
      <c r="F214" s="74">
        <v>0</v>
      </c>
      <c r="G214" s="28">
        <v>0</v>
      </c>
      <c r="H214" s="584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89">
        <f>IFERROR((SEA_P88[[#This Row],[BB]]+SEA_P88[[#This Row],[H]])/SEA_P88[[#This Row],[IP]],0)</f>
        <v>0</v>
      </c>
      <c r="O214" s="28">
        <v>0</v>
      </c>
      <c r="P214" s="90">
        <v>0</v>
      </c>
      <c r="Q214" s="28">
        <v>0</v>
      </c>
      <c r="R214" s="74">
        <v>0</v>
      </c>
      <c r="S214" s="615">
        <v>7</v>
      </c>
      <c r="AY214" s="651" t="s">
        <v>685</v>
      </c>
      <c r="AZ214" s="74" t="s">
        <v>215</v>
      </c>
      <c r="BA214" s="71" t="s">
        <v>707</v>
      </c>
      <c r="BB214" s="88">
        <f>IFERROR((LAA_P100[[#This Row],[R]]*9)/LAA_P100[[#This Row],[IP]],0)</f>
        <v>0</v>
      </c>
      <c r="BC214" s="28">
        <v>0</v>
      </c>
      <c r="BD214" s="74">
        <v>0</v>
      </c>
      <c r="BE214" s="28">
        <v>0</v>
      </c>
      <c r="BF214" s="584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106">
        <f>IFERROR((LAA_P100[[#This Row],[BB]]+LAA_P100[[#This Row],[H]])/LAA_P100[[#This Row],[IP]],0)</f>
        <v>0</v>
      </c>
      <c r="BM214" s="77">
        <v>0</v>
      </c>
      <c r="BN214" s="90">
        <v>0</v>
      </c>
      <c r="BO214" s="28">
        <v>0</v>
      </c>
      <c r="BP214" s="74">
        <v>0</v>
      </c>
      <c r="BQ214" s="615">
        <v>7</v>
      </c>
      <c r="BR214" s="28"/>
      <c r="BS214" s="28"/>
      <c r="BT214" s="28"/>
      <c r="BU214" s="28"/>
    </row>
    <row r="215" spans="1:73">
      <c r="A215" s="651" t="s">
        <v>611</v>
      </c>
      <c r="B215" s="74" t="s">
        <v>215</v>
      </c>
      <c r="C215" s="71" t="s">
        <v>640</v>
      </c>
      <c r="D215" s="88">
        <f>IFERROR((SEA_P88[[#This Row],[R]]*9)/SEA_P88[[#This Row],[IP]],0)</f>
        <v>0</v>
      </c>
      <c r="E215" s="28">
        <v>0</v>
      </c>
      <c r="F215" s="74">
        <v>0</v>
      </c>
      <c r="G215" s="28">
        <v>0</v>
      </c>
      <c r="H215" s="584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89">
        <f>IFERROR((SEA_P88[[#This Row],[BB]]+SEA_P88[[#This Row],[H]])/SEA_P88[[#This Row],[IP]],0)</f>
        <v>0</v>
      </c>
      <c r="O215" s="28">
        <v>0</v>
      </c>
      <c r="P215" s="90">
        <v>0</v>
      </c>
      <c r="Q215" s="28">
        <v>0</v>
      </c>
      <c r="R215" s="74">
        <v>0</v>
      </c>
      <c r="S215" s="615">
        <v>8</v>
      </c>
      <c r="AY215" s="651" t="s">
        <v>685</v>
      </c>
      <c r="AZ215" s="74" t="s">
        <v>212</v>
      </c>
      <c r="BA215" s="71" t="s">
        <v>710</v>
      </c>
      <c r="BB215" s="88">
        <f>IFERROR((LAA_P100[[#This Row],[R]]*9)/LAA_P100[[#This Row],[IP]],0)</f>
        <v>6.7542213883677293</v>
      </c>
      <c r="BC215" s="28">
        <v>0</v>
      </c>
      <c r="BD215" s="74">
        <v>0</v>
      </c>
      <c r="BE215" s="28">
        <v>4</v>
      </c>
      <c r="BF215" s="584">
        <v>5.33</v>
      </c>
      <c r="BG215" s="28">
        <v>7</v>
      </c>
      <c r="BH215" s="28">
        <v>4</v>
      </c>
      <c r="BI215" s="28">
        <v>2</v>
      </c>
      <c r="BJ215" s="28">
        <v>5</v>
      </c>
      <c r="BK215" s="28">
        <v>0</v>
      </c>
      <c r="BL215" s="106">
        <f>IFERROR((LAA_P100[[#This Row],[BB]]+LAA_P100[[#This Row],[H]])/LAA_P100[[#This Row],[IP]],0)</f>
        <v>1.6885553470919323</v>
      </c>
      <c r="BM215" s="77">
        <v>0</v>
      </c>
      <c r="BN215" s="90">
        <v>0</v>
      </c>
      <c r="BO215" s="28">
        <v>0</v>
      </c>
      <c r="BP215" s="74">
        <v>0</v>
      </c>
      <c r="BQ215" s="615">
        <v>8</v>
      </c>
      <c r="BR215" s="28"/>
      <c r="BS215" s="28"/>
      <c r="BT215" s="28"/>
      <c r="BU215" s="28"/>
    </row>
    <row r="216" spans="1:73">
      <c r="A216" s="651" t="s">
        <v>611</v>
      </c>
      <c r="B216" s="74" t="s">
        <v>212</v>
      </c>
      <c r="C216" s="87" t="s">
        <v>641</v>
      </c>
      <c r="D216" s="88">
        <f>IFERROR((SEA_P88[[#This Row],[R]]*9)/SEA_P88[[#This Row],[IP]],0)</f>
        <v>2.4523160762942782</v>
      </c>
      <c r="E216" s="28">
        <v>0</v>
      </c>
      <c r="F216" s="74">
        <v>0</v>
      </c>
      <c r="G216" s="28">
        <v>2</v>
      </c>
      <c r="H216" s="584">
        <v>3.67</v>
      </c>
      <c r="I216" s="28">
        <v>3</v>
      </c>
      <c r="J216" s="28">
        <v>1</v>
      </c>
      <c r="K216" s="28">
        <v>2</v>
      </c>
      <c r="L216" s="28">
        <v>2</v>
      </c>
      <c r="M216" s="28">
        <v>0</v>
      </c>
      <c r="N216" s="89">
        <f>IFERROR((SEA_P88[[#This Row],[BB]]+SEA_P88[[#This Row],[H]])/SEA_P88[[#This Row],[IP]],0)</f>
        <v>1.3623978201634879</v>
      </c>
      <c r="O216" s="28">
        <v>0</v>
      </c>
      <c r="P216" s="90">
        <v>0</v>
      </c>
      <c r="Q216" s="28">
        <v>0</v>
      </c>
      <c r="R216" s="74">
        <v>0</v>
      </c>
      <c r="S216" s="615">
        <v>9</v>
      </c>
      <c r="AY216" s="651" t="s">
        <v>685</v>
      </c>
      <c r="AZ216" s="74" t="s">
        <v>212</v>
      </c>
      <c r="BA216" s="71" t="s">
        <v>712</v>
      </c>
      <c r="BB216" s="88">
        <f>IFERROR((LAA_P100[[#This Row],[R]]*9)/LAA_P100[[#This Row],[IP]],0)</f>
        <v>6.3492063492063489</v>
      </c>
      <c r="BC216" s="28">
        <v>0</v>
      </c>
      <c r="BD216" s="74">
        <v>1</v>
      </c>
      <c r="BE216" s="28">
        <v>6</v>
      </c>
      <c r="BF216" s="584">
        <v>5.67</v>
      </c>
      <c r="BG216" s="28">
        <v>10</v>
      </c>
      <c r="BH216" s="28">
        <v>4</v>
      </c>
      <c r="BI216" s="28">
        <v>3</v>
      </c>
      <c r="BJ216" s="28">
        <v>2</v>
      </c>
      <c r="BK216" s="28">
        <v>0</v>
      </c>
      <c r="BL216" s="106">
        <f>IFERROR((LAA_P100[[#This Row],[BB]]+LAA_P100[[#This Row],[H]])/LAA_P100[[#This Row],[IP]],0)</f>
        <v>2.2927689594356262</v>
      </c>
      <c r="BM216" s="77">
        <v>0</v>
      </c>
      <c r="BN216" s="90">
        <v>0</v>
      </c>
      <c r="BO216" s="28">
        <v>0</v>
      </c>
      <c r="BP216" s="74">
        <v>0</v>
      </c>
      <c r="BQ216" s="615">
        <v>9</v>
      </c>
      <c r="BR216" s="28"/>
      <c r="BS216" s="28"/>
      <c r="BT216" s="28"/>
      <c r="BU216" s="28"/>
    </row>
    <row r="217" spans="1:73" ht="17" thickBot="1">
      <c r="A217" s="651" t="s">
        <v>611</v>
      </c>
      <c r="B217" s="74" t="s">
        <v>215</v>
      </c>
      <c r="C217" s="87" t="s">
        <v>644</v>
      </c>
      <c r="D217" s="88">
        <f>IFERROR((SEA_P88[[#This Row],[R]]*9)/SEA_P88[[#This Row],[IP]],0)</f>
        <v>4.5</v>
      </c>
      <c r="E217" s="28">
        <v>0</v>
      </c>
      <c r="F217" s="74">
        <v>0</v>
      </c>
      <c r="G217" s="28">
        <v>2</v>
      </c>
      <c r="H217" s="584">
        <v>2</v>
      </c>
      <c r="I217" s="28">
        <v>2</v>
      </c>
      <c r="J217" s="28">
        <v>1</v>
      </c>
      <c r="K217" s="28">
        <v>2</v>
      </c>
      <c r="L217" s="28">
        <v>4</v>
      </c>
      <c r="M217" s="28">
        <v>0</v>
      </c>
      <c r="N217" s="89">
        <f>IFERROR((SEA_P88[[#This Row],[BB]]+SEA_P88[[#This Row],[H]])/SEA_P88[[#This Row],[IP]],0)</f>
        <v>2</v>
      </c>
      <c r="O217" s="28">
        <v>0</v>
      </c>
      <c r="P217" s="90">
        <v>0</v>
      </c>
      <c r="Q217" s="28">
        <v>0</v>
      </c>
      <c r="R217" s="74">
        <v>0</v>
      </c>
      <c r="S217" s="615">
        <v>10</v>
      </c>
      <c r="AY217" s="651" t="s">
        <v>685</v>
      </c>
      <c r="AZ217" s="74" t="s">
        <v>212</v>
      </c>
      <c r="BA217" s="71" t="s">
        <v>713</v>
      </c>
      <c r="BB217" s="88">
        <f>IFERROR((LAA_P100[[#This Row],[R]]*9)/LAA_P100[[#This Row],[IP]],0)</f>
        <v>4.9113233287858113</v>
      </c>
      <c r="BC217" s="28">
        <v>0</v>
      </c>
      <c r="BD217" s="74">
        <v>1</v>
      </c>
      <c r="BE217" s="28">
        <v>6</v>
      </c>
      <c r="BF217" s="584">
        <v>7.33</v>
      </c>
      <c r="BG217" s="28">
        <v>5</v>
      </c>
      <c r="BH217" s="28">
        <v>4</v>
      </c>
      <c r="BI217" s="28">
        <v>3</v>
      </c>
      <c r="BJ217" s="28">
        <v>7</v>
      </c>
      <c r="BK217" s="28">
        <v>2</v>
      </c>
      <c r="BL217" s="106">
        <f>IFERROR((LAA_P100[[#This Row],[BB]]+LAA_P100[[#This Row],[H]])/LAA_P100[[#This Row],[IP]],0)</f>
        <v>1.0914051841746248</v>
      </c>
      <c r="BM217" s="77">
        <v>0</v>
      </c>
      <c r="BN217" s="90">
        <v>0</v>
      </c>
      <c r="BO217" s="28">
        <v>0</v>
      </c>
      <c r="BP217" s="74">
        <v>0</v>
      </c>
      <c r="BQ217" s="615">
        <v>10</v>
      </c>
      <c r="BR217" s="28"/>
      <c r="BS217" s="28"/>
      <c r="BT217" s="28"/>
      <c r="BU217" s="28"/>
    </row>
    <row r="218" spans="1:73" ht="17" thickBot="1">
      <c r="A218" s="789"/>
      <c r="B218" s="790"/>
      <c r="C218" s="791" t="s">
        <v>195</v>
      </c>
      <c r="D218" s="798">
        <f>(J218*9)/H218</f>
        <v>4</v>
      </c>
      <c r="E218" s="794">
        <f>SUBTOTAL(109,SEA_P88[W])</f>
        <v>0</v>
      </c>
      <c r="F218" s="796">
        <f>SUBTOTAL(109,SEA_P88[L])</f>
        <v>2</v>
      </c>
      <c r="G218" s="794"/>
      <c r="H218" s="799">
        <f>SUBTOTAL(109,SEA_P88[IP])</f>
        <v>18</v>
      </c>
      <c r="I218" s="794">
        <f>SUBTOTAL(109,SEA_P88[H])</f>
        <v>20</v>
      </c>
      <c r="J218" s="794">
        <f>SUBTOTAL(109,SEA_P88[R])</f>
        <v>8</v>
      </c>
      <c r="K218" s="794">
        <f>SUBTOTAL(109,SEA_P88[BB])</f>
        <v>10</v>
      </c>
      <c r="L218" s="794">
        <f>SUBTOTAL(109,SEA_P88[K])</f>
        <v>14</v>
      </c>
      <c r="M218" s="794">
        <f>SUBTOTAL(109,SEA_P88[SV])</f>
        <v>0</v>
      </c>
      <c r="N218" s="800">
        <f>(K218+I218)/H218</f>
        <v>1.6666666666666667</v>
      </c>
      <c r="O218" s="801">
        <f>SUBTOTAL(109,SEA_P88[QS])</f>
        <v>1</v>
      </c>
      <c r="P218" s="802">
        <f>SUBTOTAL(109,SEA_P88[UQ])</f>
        <v>0</v>
      </c>
      <c r="Q218" s="813">
        <f>SUBTOTAL(109,SEA_P88[CG])</f>
        <v>0</v>
      </c>
      <c r="R218" s="814">
        <f>SUBTOTAL(109,SEA_P88[SH])</f>
        <v>0</v>
      </c>
      <c r="S218" s="797"/>
      <c r="AY218" s="809"/>
      <c r="AZ218" s="810"/>
      <c r="BA218" s="654" t="s">
        <v>195</v>
      </c>
      <c r="BB218" s="665">
        <f>IFERROR((BH218*9)/BF218,0)</f>
        <v>4.4150943396226419</v>
      </c>
      <c r="BC218" s="658">
        <f>SUBTOTAL(109,LAA_P100[W])</f>
        <v>5</v>
      </c>
      <c r="BD218" s="660">
        <f>SUBTOTAL(109,LAA_P100[L])</f>
        <v>7</v>
      </c>
      <c r="BE218" s="658"/>
      <c r="BF218" s="666">
        <f>SUBTOTAL(109,LAA_P100[IP])</f>
        <v>106</v>
      </c>
      <c r="BG218" s="658">
        <f>SUBTOTAL(109,LAA_P100[H])</f>
        <v>112</v>
      </c>
      <c r="BH218" s="658">
        <f>SUBTOTAL(109,LAA_P100[R])</f>
        <v>52</v>
      </c>
      <c r="BI218" s="658">
        <f>SUBTOTAL(109,LAA_P100[BB])</f>
        <v>46</v>
      </c>
      <c r="BJ218" s="658">
        <f>SUBTOTAL(109,LAA_P100[K])</f>
        <v>108</v>
      </c>
      <c r="BK218" s="658">
        <f>SUBTOTAL(109,LAA_P100[SV])</f>
        <v>2</v>
      </c>
      <c r="BL218" s="667">
        <f>IFERROR((BI218+BG218)/BF218,0)</f>
        <v>1.4905660377358489</v>
      </c>
      <c r="BM218" s="661">
        <f>SUBTOTAL(109,LAA_P100[QS])</f>
        <v>7</v>
      </c>
      <c r="BN218" s="750">
        <f>SUBTOTAL(109,LAA_P100[UQ])</f>
        <v>3</v>
      </c>
      <c r="BO218" s="658">
        <f>SUM(BO208:BO217)</f>
        <v>2</v>
      </c>
      <c r="BP218" s="660">
        <f>SUM(BP208:BP217)</f>
        <v>1</v>
      </c>
      <c r="BQ218" s="811"/>
      <c r="BR218" s="28"/>
      <c r="BS218" s="28"/>
      <c r="BT218" s="28"/>
      <c r="BU218" s="28"/>
    </row>
    <row r="219" spans="1:73" ht="17" thickBot="1"/>
    <row r="220" spans="1:73" ht="24" thickBot="1">
      <c r="AY220" s="1012" t="s">
        <v>763</v>
      </c>
      <c r="AZ220" s="1013"/>
      <c r="BA220" s="1013"/>
      <c r="BB220" s="1013"/>
      <c r="BC220" s="1013"/>
      <c r="BD220" s="1013"/>
      <c r="BE220" s="1013"/>
      <c r="BF220" s="1013"/>
      <c r="BG220" s="1013"/>
      <c r="BH220" s="1013"/>
      <c r="BI220" s="1013"/>
      <c r="BJ220" s="1013"/>
      <c r="BK220" s="1013"/>
      <c r="BL220" s="1013"/>
      <c r="BM220" s="1013"/>
      <c r="BN220" s="1013"/>
      <c r="BO220" s="1013"/>
      <c r="BP220" s="1013"/>
      <c r="BQ220" s="1013"/>
      <c r="BR220" s="1013"/>
      <c r="BS220" s="1013"/>
      <c r="BT220" s="1013"/>
      <c r="BU220" s="1014"/>
    </row>
    <row r="221" spans="1:73" s="108" customFormat="1" ht="17" thickBo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Y221" s="605" t="s">
        <v>143</v>
      </c>
      <c r="AZ221" s="606" t="s">
        <v>144</v>
      </c>
      <c r="BA221" s="606" t="s">
        <v>145</v>
      </c>
      <c r="BB221" s="606" t="s">
        <v>146</v>
      </c>
      <c r="BC221" s="606" t="s">
        <v>147</v>
      </c>
      <c r="BD221" s="606" t="s">
        <v>148</v>
      </c>
      <c r="BE221" s="606" t="s">
        <v>149</v>
      </c>
      <c r="BF221" s="606" t="s">
        <v>150</v>
      </c>
      <c r="BG221" s="606" t="s">
        <v>151</v>
      </c>
      <c r="BH221" s="606" t="s">
        <v>152</v>
      </c>
      <c r="BI221" s="606" t="s">
        <v>153</v>
      </c>
      <c r="BJ221" s="606" t="s">
        <v>154</v>
      </c>
      <c r="BK221" s="606" t="s">
        <v>155</v>
      </c>
      <c r="BL221" s="606" t="s">
        <v>156</v>
      </c>
      <c r="BM221" s="606" t="s">
        <v>157</v>
      </c>
      <c r="BN221" s="606" t="s">
        <v>158</v>
      </c>
      <c r="BO221" s="606" t="s">
        <v>159</v>
      </c>
      <c r="BP221" s="606" t="s">
        <v>160</v>
      </c>
      <c r="BQ221" s="606" t="s">
        <v>16</v>
      </c>
      <c r="BR221" s="606" t="s">
        <v>161</v>
      </c>
      <c r="BS221" s="606" t="s">
        <v>162</v>
      </c>
      <c r="BT221" s="606" t="s">
        <v>163</v>
      </c>
      <c r="BU221" s="607" t="s">
        <v>164</v>
      </c>
    </row>
    <row r="222" spans="1:73">
      <c r="AY222" s="608" t="s">
        <v>580</v>
      </c>
      <c r="AZ222" s="604" t="s">
        <v>179</v>
      </c>
      <c r="BA222" s="597" t="s">
        <v>591</v>
      </c>
      <c r="BB222" s="598">
        <f>IFERROR(HOU_H109122[[#This Row],[H]]/HOU_H109122[[#This Row],[AB]],0)</f>
        <v>0.13333333333333333</v>
      </c>
      <c r="BC222" s="598">
        <f>IFERROR((HOU_H109122[[#This Row],[BB]]+HOU_H109122[[#This Row],[H]])/(HOU_H109122[[#This Row],[AB]]+HOU_H109122[[#This Row],[BB]]),0)</f>
        <v>0.1875</v>
      </c>
      <c r="BD222" s="599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0.2</v>
      </c>
      <c r="BE222" s="600">
        <v>5</v>
      </c>
      <c r="BF222" s="600">
        <v>15</v>
      </c>
      <c r="BG222" s="600">
        <v>1</v>
      </c>
      <c r="BH222" s="600">
        <v>2</v>
      </c>
      <c r="BI222" s="600">
        <v>1</v>
      </c>
      <c r="BJ222" s="600">
        <v>0</v>
      </c>
      <c r="BK222" s="600">
        <v>0</v>
      </c>
      <c r="BL222" s="600">
        <v>1</v>
      </c>
      <c r="BM222" s="600">
        <v>1</v>
      </c>
      <c r="BN222" s="604">
        <v>5</v>
      </c>
      <c r="BO222" s="600">
        <v>0</v>
      </c>
      <c r="BP222" s="600">
        <v>0</v>
      </c>
      <c r="BQ222" s="604">
        <v>1</v>
      </c>
      <c r="BR222" s="600">
        <f>(HOU_H109122[[#This Row],[H]]-HOU_H109122[[#This Row],[2B]]-HOU_H109122[[#This Row],[3B]]-HOU_H109122[[#This Row],[HR]])+(HOU_H109122[[#This Row],[2B]]*2)+(HOU_H109122[[#This Row],[3B]]*3)+(HOU_H109122[[#This Row],[HR]]*4)</f>
        <v>3</v>
      </c>
      <c r="BS222" s="598">
        <f>IFERROR(HOU_H109122[[#This Row],[OBP]]+HOU_H109122[[#This Row],[SLG]],0)</f>
        <v>0.38750000000000001</v>
      </c>
      <c r="BT222" s="604">
        <v>0</v>
      </c>
      <c r="BU222" s="614">
        <v>1</v>
      </c>
    </row>
    <row r="223" spans="1:73">
      <c r="AY223" s="609" t="s">
        <v>580</v>
      </c>
      <c r="AZ223" s="74" t="s">
        <v>154</v>
      </c>
      <c r="BA223" s="71" t="s">
        <v>582</v>
      </c>
      <c r="BB223" s="72">
        <f>IFERROR(HOU_H109122[[#This Row],[H]]/HOU_H109122[[#This Row],[AB]],0)</f>
        <v>0.3</v>
      </c>
      <c r="BC223" s="72">
        <f>IFERROR((HOU_H109122[[#This Row],[BB]]+HOU_H109122[[#This Row],[H]])/(HOU_H109122[[#This Row],[AB]]+HOU_H109122[[#This Row],[BB]]),0)</f>
        <v>0.3</v>
      </c>
      <c r="BD223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0.35</v>
      </c>
      <c r="BE223" s="28">
        <v>5</v>
      </c>
      <c r="BF223" s="28">
        <v>20</v>
      </c>
      <c r="BG223" s="28">
        <v>1</v>
      </c>
      <c r="BH223" s="28">
        <v>6</v>
      </c>
      <c r="BI223" s="28">
        <v>1</v>
      </c>
      <c r="BJ223" s="28">
        <v>0</v>
      </c>
      <c r="BK223" s="28">
        <v>0</v>
      </c>
      <c r="BL223" s="28">
        <v>2</v>
      </c>
      <c r="BM223" s="28">
        <v>0</v>
      </c>
      <c r="BN223" s="74">
        <v>3</v>
      </c>
      <c r="BO223" s="28">
        <v>0</v>
      </c>
      <c r="BP223" s="28">
        <v>3</v>
      </c>
      <c r="BQ223" s="74">
        <v>3</v>
      </c>
      <c r="BR223" s="28">
        <f>(HOU_H109122[[#This Row],[H]]-HOU_H109122[[#This Row],[2B]]-HOU_H109122[[#This Row],[3B]]-HOU_H109122[[#This Row],[HR]])+(HOU_H109122[[#This Row],[2B]]*2)+(HOU_H109122[[#This Row],[3B]]*3)+(HOU_H109122[[#This Row],[HR]]*4)</f>
        <v>7</v>
      </c>
      <c r="BS223" s="72">
        <f>IFERROR(HOU_H109122[[#This Row],[OBP]]+HOU_H109122[[#This Row],[SLG]],0)</f>
        <v>0.64999999999999991</v>
      </c>
      <c r="BT223" s="74">
        <v>0</v>
      </c>
      <c r="BU223" s="615">
        <v>2</v>
      </c>
    </row>
    <row r="224" spans="1:73">
      <c r="AY224" s="609" t="s">
        <v>580</v>
      </c>
      <c r="AZ224" s="104" t="s">
        <v>172</v>
      </c>
      <c r="BA224" s="71" t="s">
        <v>432</v>
      </c>
      <c r="BB224" s="72">
        <f>IFERROR(HOU_H109122[[#This Row],[H]]/HOU_H109122[[#This Row],[AB]],0)</f>
        <v>6.25E-2</v>
      </c>
      <c r="BC224" s="72">
        <f>IFERROR((HOU_H109122[[#This Row],[BB]]+HOU_H109122[[#This Row],[H]])/(HOU_H109122[[#This Row],[AB]]+HOU_H109122[[#This Row],[BB]]),0)</f>
        <v>0.2857142857142857</v>
      </c>
      <c r="BD224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0.25</v>
      </c>
      <c r="BE224" s="28">
        <v>5</v>
      </c>
      <c r="BF224" s="28">
        <v>16</v>
      </c>
      <c r="BG224" s="28">
        <v>2</v>
      </c>
      <c r="BH224" s="28">
        <v>1</v>
      </c>
      <c r="BI224" s="28">
        <v>0</v>
      </c>
      <c r="BJ224" s="28">
        <v>0</v>
      </c>
      <c r="BK224" s="28">
        <v>1</v>
      </c>
      <c r="BL224" s="28">
        <v>1</v>
      </c>
      <c r="BM224" s="28">
        <v>5</v>
      </c>
      <c r="BN224" s="74">
        <v>4</v>
      </c>
      <c r="BO224" s="28">
        <v>0</v>
      </c>
      <c r="BP224" s="28">
        <v>0</v>
      </c>
      <c r="BQ224" s="74">
        <v>1</v>
      </c>
      <c r="BR224" s="28">
        <f>(HOU_H109122[[#This Row],[H]]-HOU_H109122[[#This Row],[2B]]-HOU_H109122[[#This Row],[3B]]-HOU_H109122[[#This Row],[HR]])+(HOU_H109122[[#This Row],[2B]]*2)+(HOU_H109122[[#This Row],[3B]]*3)+(HOU_H109122[[#This Row],[HR]]*4)</f>
        <v>4</v>
      </c>
      <c r="BS224" s="72">
        <f>IFERROR(HOU_H109122[[#This Row],[OBP]]+HOU_H109122[[#This Row],[SLG]],0)</f>
        <v>0.5357142857142857</v>
      </c>
      <c r="BT224" s="74">
        <v>0</v>
      </c>
      <c r="BU224" s="615">
        <v>3</v>
      </c>
    </row>
    <row r="225" spans="1:73">
      <c r="AY225" s="609" t="s">
        <v>580</v>
      </c>
      <c r="AZ225" s="104" t="s">
        <v>153</v>
      </c>
      <c r="BA225" s="71" t="s">
        <v>583</v>
      </c>
      <c r="BB225" s="72">
        <f>IFERROR(HOU_H109122[[#This Row],[H]]/HOU_H109122[[#This Row],[AB]],0)</f>
        <v>0.22727272727272727</v>
      </c>
      <c r="BC225" s="72">
        <f>IFERROR((HOU_H109122[[#This Row],[BB]]+HOU_H109122[[#This Row],[H]])/(HOU_H109122[[#This Row],[AB]]+HOU_H109122[[#This Row],[BB]]),0)</f>
        <v>0.2608695652173913</v>
      </c>
      <c r="BD225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0.36363636363636365</v>
      </c>
      <c r="BE225" s="28">
        <v>5</v>
      </c>
      <c r="BF225" s="28">
        <v>22</v>
      </c>
      <c r="BG225" s="28">
        <v>3</v>
      </c>
      <c r="BH225" s="28">
        <v>5</v>
      </c>
      <c r="BI225" s="28">
        <v>0</v>
      </c>
      <c r="BJ225" s="28">
        <v>0</v>
      </c>
      <c r="BK225" s="28">
        <v>1</v>
      </c>
      <c r="BL225" s="28">
        <v>1</v>
      </c>
      <c r="BM225" s="28">
        <v>1</v>
      </c>
      <c r="BN225" s="74">
        <v>5</v>
      </c>
      <c r="BO225" s="28">
        <v>1</v>
      </c>
      <c r="BP225" s="28">
        <v>4</v>
      </c>
      <c r="BQ225" s="74">
        <v>4</v>
      </c>
      <c r="BR225" s="28">
        <f>(HOU_H109122[[#This Row],[H]]-HOU_H109122[[#This Row],[2B]]-HOU_H109122[[#This Row],[3B]]-HOU_H109122[[#This Row],[HR]])+(HOU_H109122[[#This Row],[2B]]*2)+(HOU_H109122[[#This Row],[3B]]*3)+(HOU_H109122[[#This Row],[HR]]*4)</f>
        <v>8</v>
      </c>
      <c r="BS225" s="72">
        <f>IFERROR(HOU_H109122[[#This Row],[OBP]]+HOU_H109122[[#This Row],[SLG]],0)</f>
        <v>0.62450592885375489</v>
      </c>
      <c r="BT225" s="74">
        <v>0</v>
      </c>
      <c r="BU225" s="615">
        <v>4</v>
      </c>
    </row>
    <row r="226" spans="1:73">
      <c r="AY226" s="609" t="s">
        <v>580</v>
      </c>
      <c r="AZ226" s="74" t="s">
        <v>177</v>
      </c>
      <c r="BA226" s="71" t="s">
        <v>584</v>
      </c>
      <c r="BB226" s="72">
        <f>IFERROR(HOU_H109122[[#This Row],[H]]/HOU_H109122[[#This Row],[AB]],0)</f>
        <v>0.21052631578947367</v>
      </c>
      <c r="BC226" s="72">
        <f>IFERROR((HOU_H109122[[#This Row],[BB]]+HOU_H109122[[#This Row],[H]])/(HOU_H109122[[#This Row],[AB]]+HOU_H109122[[#This Row],[BB]]),0)</f>
        <v>0.31818181818181818</v>
      </c>
      <c r="BD226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0.42105263157894735</v>
      </c>
      <c r="BE226" s="28">
        <v>5</v>
      </c>
      <c r="BF226" s="28">
        <v>19</v>
      </c>
      <c r="BG226" s="28">
        <v>1</v>
      </c>
      <c r="BH226" s="28">
        <v>4</v>
      </c>
      <c r="BI226" s="28">
        <v>1</v>
      </c>
      <c r="BJ226" s="28">
        <v>0</v>
      </c>
      <c r="BK226" s="28">
        <v>1</v>
      </c>
      <c r="BL226" s="28">
        <v>4</v>
      </c>
      <c r="BM226" s="28">
        <v>3</v>
      </c>
      <c r="BN226" s="74">
        <v>3</v>
      </c>
      <c r="BO226" s="28">
        <v>0</v>
      </c>
      <c r="BP226" s="28">
        <v>0</v>
      </c>
      <c r="BQ226" s="74">
        <v>2</v>
      </c>
      <c r="BR226" s="28">
        <f>(HOU_H109122[[#This Row],[H]]-HOU_H109122[[#This Row],[2B]]-HOU_H109122[[#This Row],[3B]]-HOU_H109122[[#This Row],[HR]])+(HOU_H109122[[#This Row],[2B]]*2)+(HOU_H109122[[#This Row],[3B]]*3)+(HOU_H109122[[#This Row],[HR]]*4)</f>
        <v>8</v>
      </c>
      <c r="BS226" s="72">
        <f>IFERROR(HOU_H109122[[#This Row],[OBP]]+HOU_H109122[[#This Row],[SLG]],0)</f>
        <v>0.73923444976076547</v>
      </c>
      <c r="BT226" s="74">
        <v>1</v>
      </c>
      <c r="BU226" s="615">
        <v>5</v>
      </c>
    </row>
    <row r="227" spans="1:73">
      <c r="AY227" s="609" t="s">
        <v>580</v>
      </c>
      <c r="AZ227" s="74" t="s">
        <v>174</v>
      </c>
      <c r="BA227" s="71" t="s">
        <v>398</v>
      </c>
      <c r="BB227" s="72">
        <f>IFERROR(HOU_H109122[[#This Row],[H]]/HOU_H109122[[#This Row],[AB]],0)</f>
        <v>0.47368421052631576</v>
      </c>
      <c r="BC227" s="72">
        <f>IFERROR((HOU_H109122[[#This Row],[BB]]+HOU_H109122[[#This Row],[H]])/(HOU_H109122[[#This Row],[AB]]+HOU_H109122[[#This Row],[BB]]),0)</f>
        <v>0.52380952380952384</v>
      </c>
      <c r="BD227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0.47368421052631576</v>
      </c>
      <c r="BE227" s="28">
        <v>5</v>
      </c>
      <c r="BF227" s="28">
        <v>19</v>
      </c>
      <c r="BG227" s="28">
        <v>2</v>
      </c>
      <c r="BH227" s="28">
        <v>9</v>
      </c>
      <c r="BI227" s="28">
        <v>0</v>
      </c>
      <c r="BJ227" s="28">
        <v>0</v>
      </c>
      <c r="BK227" s="28">
        <v>0</v>
      </c>
      <c r="BL227" s="28">
        <v>0</v>
      </c>
      <c r="BM227" s="28">
        <v>2</v>
      </c>
      <c r="BN227" s="74">
        <v>3</v>
      </c>
      <c r="BO227" s="28">
        <v>0</v>
      </c>
      <c r="BP227" s="28">
        <v>4</v>
      </c>
      <c r="BQ227" s="74">
        <v>4</v>
      </c>
      <c r="BR227" s="28">
        <f>(HOU_H109122[[#This Row],[H]]-HOU_H109122[[#This Row],[2B]]-HOU_H109122[[#This Row],[3B]]-HOU_H109122[[#This Row],[HR]])+(HOU_H109122[[#This Row],[2B]]*2)+(HOU_H109122[[#This Row],[3B]]*3)+(HOU_H109122[[#This Row],[HR]]*4)</f>
        <v>9</v>
      </c>
      <c r="BS227" s="72">
        <f>IFERROR(HOU_H109122[[#This Row],[OBP]]+HOU_H109122[[#This Row],[SLG]],0)</f>
        <v>0.99749373433583965</v>
      </c>
      <c r="BT227" s="74">
        <v>0</v>
      </c>
      <c r="BU227" s="615">
        <v>6</v>
      </c>
    </row>
    <row r="228" spans="1:73">
      <c r="AY228" s="609" t="s">
        <v>580</v>
      </c>
      <c r="AZ228" s="74" t="s">
        <v>181</v>
      </c>
      <c r="BA228" s="71" t="s">
        <v>586</v>
      </c>
      <c r="BB228" s="72">
        <f>IFERROR(HOU_H109122[[#This Row],[H]]/HOU_H109122[[#This Row],[AB]],0)</f>
        <v>0.31578947368421051</v>
      </c>
      <c r="BC228" s="72">
        <f>IFERROR((HOU_H109122[[#This Row],[BB]]+HOU_H109122[[#This Row],[H]])/(HOU_H109122[[#This Row],[AB]]+HOU_H109122[[#This Row],[BB]]),0)</f>
        <v>0.40909090909090912</v>
      </c>
      <c r="BD228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0.68421052631578949</v>
      </c>
      <c r="BE228" s="28">
        <v>5</v>
      </c>
      <c r="BF228" s="28">
        <v>19</v>
      </c>
      <c r="BG228" s="28">
        <v>2</v>
      </c>
      <c r="BH228" s="28">
        <v>6</v>
      </c>
      <c r="BI228" s="28">
        <v>1</v>
      </c>
      <c r="BJ228" s="28">
        <v>0</v>
      </c>
      <c r="BK228" s="28">
        <v>2</v>
      </c>
      <c r="BL228" s="28">
        <v>3</v>
      </c>
      <c r="BM228" s="28">
        <v>3</v>
      </c>
      <c r="BN228" s="74">
        <v>5</v>
      </c>
      <c r="BO228" s="28">
        <v>0</v>
      </c>
      <c r="BP228" s="28">
        <v>4</v>
      </c>
      <c r="BQ228" s="74">
        <v>4</v>
      </c>
      <c r="BR228" s="28">
        <f>(HOU_H109122[[#This Row],[H]]-HOU_H109122[[#This Row],[2B]]-HOU_H109122[[#This Row],[3B]]-HOU_H109122[[#This Row],[HR]])+(HOU_H109122[[#This Row],[2B]]*2)+(HOU_H109122[[#This Row],[3B]]*3)+(HOU_H109122[[#This Row],[HR]]*4)</f>
        <v>13</v>
      </c>
      <c r="BS228" s="72">
        <f>IFERROR(HOU_H109122[[#This Row],[OBP]]+HOU_H109122[[#This Row],[SLG]],0)</f>
        <v>1.0933014354066986</v>
      </c>
      <c r="BT228" s="74">
        <v>0</v>
      </c>
      <c r="BU228" s="615">
        <v>7</v>
      </c>
    </row>
    <row r="229" spans="1:73">
      <c r="AY229" s="609" t="s">
        <v>580</v>
      </c>
      <c r="AZ229" s="74" t="s">
        <v>166</v>
      </c>
      <c r="BA229" s="71" t="s">
        <v>585</v>
      </c>
      <c r="BB229" s="72">
        <f>IFERROR(HOU_H109122[[#This Row],[H]]/HOU_H109122[[#This Row],[AB]],0)</f>
        <v>0.15789473684210525</v>
      </c>
      <c r="BC229" s="72">
        <f>IFERROR((HOU_H109122[[#This Row],[BB]]+HOU_H109122[[#This Row],[H]])/(HOU_H109122[[#This Row],[AB]]+HOU_H109122[[#This Row],[BB]]),0)</f>
        <v>0.23809523809523808</v>
      </c>
      <c r="BD229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0.15789473684210525</v>
      </c>
      <c r="BE229" s="28">
        <v>5</v>
      </c>
      <c r="BF229" s="28">
        <v>19</v>
      </c>
      <c r="BG229" s="28">
        <v>2</v>
      </c>
      <c r="BH229" s="28">
        <v>3</v>
      </c>
      <c r="BI229" s="28">
        <v>0</v>
      </c>
      <c r="BJ229" s="28">
        <v>0</v>
      </c>
      <c r="BK229" s="28">
        <v>0</v>
      </c>
      <c r="BL229" s="28">
        <v>0</v>
      </c>
      <c r="BM229" s="28">
        <v>2</v>
      </c>
      <c r="BN229" s="74">
        <v>9</v>
      </c>
      <c r="BO229" s="28">
        <v>0</v>
      </c>
      <c r="BP229" s="28">
        <v>0</v>
      </c>
      <c r="BQ229" s="74">
        <v>1</v>
      </c>
      <c r="BR229" s="28">
        <f>(HOU_H109122[[#This Row],[H]]-HOU_H109122[[#This Row],[2B]]-HOU_H109122[[#This Row],[3B]]-HOU_H109122[[#This Row],[HR]])+(HOU_H109122[[#This Row],[2B]]*2)+(HOU_H109122[[#This Row],[3B]]*3)+(HOU_H109122[[#This Row],[HR]]*4)</f>
        <v>3</v>
      </c>
      <c r="BS229" s="72">
        <f>IFERROR(HOU_H109122[[#This Row],[OBP]]+HOU_H109122[[#This Row],[SLG]],0)</f>
        <v>0.39598997493734334</v>
      </c>
      <c r="BT229" s="74">
        <v>0</v>
      </c>
      <c r="BU229" s="615">
        <v>8</v>
      </c>
    </row>
    <row r="230" spans="1:73">
      <c r="AY230" s="609" t="s">
        <v>580</v>
      </c>
      <c r="AZ230" s="74" t="s">
        <v>168</v>
      </c>
      <c r="BA230" s="71" t="s">
        <v>581</v>
      </c>
      <c r="BB230" s="72">
        <f>IFERROR(HOU_H109122[[#This Row],[H]]/HOU_H109122[[#This Row],[AB]],0)</f>
        <v>0.2</v>
      </c>
      <c r="BC230" s="72">
        <f>IFERROR((HOU_H109122[[#This Row],[BB]]+HOU_H109122[[#This Row],[H]])/(HOU_H109122[[#This Row],[AB]]+HOU_H109122[[#This Row],[BB]]),0)</f>
        <v>0.23809523809523808</v>
      </c>
      <c r="BD230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0.45</v>
      </c>
      <c r="BE230" s="28">
        <v>5</v>
      </c>
      <c r="BF230" s="28">
        <v>20</v>
      </c>
      <c r="BG230" s="28">
        <v>1</v>
      </c>
      <c r="BH230" s="28">
        <v>4</v>
      </c>
      <c r="BI230" s="28">
        <v>2</v>
      </c>
      <c r="BJ230" s="28">
        <v>0</v>
      </c>
      <c r="BK230" s="28">
        <v>1</v>
      </c>
      <c r="BL230" s="28">
        <v>2</v>
      </c>
      <c r="BM230" s="28">
        <v>1</v>
      </c>
      <c r="BN230" s="74">
        <v>9</v>
      </c>
      <c r="BO230" s="28">
        <v>0</v>
      </c>
      <c r="BP230" s="28">
        <v>1</v>
      </c>
      <c r="BQ230" s="74">
        <v>3</v>
      </c>
      <c r="BR230" s="28">
        <f>(HOU_H109122[[#This Row],[H]]-HOU_H109122[[#This Row],[2B]]-HOU_H109122[[#This Row],[3B]]-HOU_H109122[[#This Row],[HR]])+(HOU_H109122[[#This Row],[2B]]*2)+(HOU_H109122[[#This Row],[3B]]*3)+(HOU_H109122[[#This Row],[HR]]*4)</f>
        <v>9</v>
      </c>
      <c r="BS230" s="72">
        <f>IFERROR(HOU_H109122[[#This Row],[OBP]]+HOU_H109122[[#This Row],[SLG]],0)</f>
        <v>0.68809523809523809</v>
      </c>
      <c r="BT230" s="74">
        <v>0</v>
      </c>
      <c r="BU230" s="615">
        <v>9</v>
      </c>
    </row>
    <row r="231" spans="1:73">
      <c r="AY231" s="609" t="s">
        <v>580</v>
      </c>
      <c r="AZ231" s="74" t="s">
        <v>179</v>
      </c>
      <c r="BA231" s="71" t="s">
        <v>590</v>
      </c>
      <c r="BB231" s="72">
        <f>IFERROR(HOU_H109122[[#This Row],[H]]/HOU_H109122[[#This Row],[AB]],0)</f>
        <v>0</v>
      </c>
      <c r="BC231" s="72">
        <f>IFERROR((HOU_H109122[[#This Row],[BB]]+HOU_H109122[[#This Row],[H]])/(HOU_H109122[[#This Row],[AB]]+HOU_H109122[[#This Row],[BB]]),0)</f>
        <v>0</v>
      </c>
      <c r="BD231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</v>
      </c>
      <c r="BE231" s="28">
        <v>1</v>
      </c>
      <c r="BF231" s="28">
        <v>1</v>
      </c>
      <c r="BG231" s="28">
        <v>0</v>
      </c>
      <c r="BH231" s="28">
        <v>0</v>
      </c>
      <c r="BI231" s="28">
        <v>0</v>
      </c>
      <c r="BJ231" s="28">
        <v>0</v>
      </c>
      <c r="BK231" s="28">
        <v>0</v>
      </c>
      <c r="BL231" s="28">
        <v>0</v>
      </c>
      <c r="BM231" s="28">
        <v>0</v>
      </c>
      <c r="BN231" s="74">
        <v>0</v>
      </c>
      <c r="BO231" s="28">
        <v>0</v>
      </c>
      <c r="BP231" s="28">
        <v>0</v>
      </c>
      <c r="BQ231" s="74">
        <v>0</v>
      </c>
      <c r="BR231" s="28">
        <f>(HOU_H109122[[#This Row],[H]]-HOU_H109122[[#This Row],[2B]]-HOU_H109122[[#This Row],[3B]]-HOU_H109122[[#This Row],[HR]])+(HOU_H109122[[#This Row],[2B]]*2)+(HOU_H109122[[#This Row],[3B]]*3)+(HOU_H109122[[#This Row],[HR]]*4)</f>
        <v>0</v>
      </c>
      <c r="BS231" s="72">
        <f>IFERROR(HOU_H109122[[#This Row],[OBP]]+HOU_H109122[[#This Row],[SLG]],0)</f>
        <v>0</v>
      </c>
      <c r="BT231" s="74">
        <v>0</v>
      </c>
      <c r="BU231" s="615">
        <v>10</v>
      </c>
    </row>
    <row r="232" spans="1:73">
      <c r="AY232" s="609" t="s">
        <v>580</v>
      </c>
      <c r="AZ232" s="74" t="s">
        <v>192</v>
      </c>
      <c r="BA232" s="71" t="s">
        <v>588</v>
      </c>
      <c r="BB232" s="72">
        <f>IFERROR(HOU_H109122[[#This Row],[H]]/HOU_H109122[[#This Row],[AB]],0)</f>
        <v>0</v>
      </c>
      <c r="BC232" s="72">
        <f>IFERROR((HOU_H109122[[#This Row],[BB]]+HOU_H109122[[#This Row],[H]])/(HOU_H109122[[#This Row],[AB]]+HOU_H109122[[#This Row],[BB]]),0)</f>
        <v>0</v>
      </c>
      <c r="BD232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74">
        <v>0</v>
      </c>
      <c r="BO232" s="28">
        <v>0</v>
      </c>
      <c r="BP232" s="28">
        <v>0</v>
      </c>
      <c r="BQ232" s="74">
        <v>0</v>
      </c>
      <c r="BR232" s="28">
        <f>(HOU_H109122[[#This Row],[H]]-HOU_H109122[[#This Row],[2B]]-HOU_H109122[[#This Row],[3B]]-HOU_H109122[[#This Row],[HR]])+(HOU_H109122[[#This Row],[2B]]*2)+(HOU_H109122[[#This Row],[3B]]*3)+(HOU_H109122[[#This Row],[HR]]*4)</f>
        <v>0</v>
      </c>
      <c r="BS232" s="72">
        <f>IFERROR(HOU_H109122[[#This Row],[OBP]]+HOU_H109122[[#This Row],[SLG]],0)</f>
        <v>0</v>
      </c>
      <c r="BT232" s="74">
        <v>0</v>
      </c>
      <c r="BU232" s="615">
        <v>11</v>
      </c>
    </row>
    <row r="233" spans="1:73">
      <c r="AY233" s="609" t="s">
        <v>580</v>
      </c>
      <c r="AZ233" s="74" t="s">
        <v>187</v>
      </c>
      <c r="BA233" s="71" t="s">
        <v>592</v>
      </c>
      <c r="BB233" s="72">
        <f>IFERROR(HOU_H109122[[#This Row],[H]]/HOU_H109122[[#This Row],[AB]],0)</f>
        <v>0</v>
      </c>
      <c r="BC233" s="72">
        <f>IFERROR((HOU_H109122[[#This Row],[BB]]+HOU_H109122[[#This Row],[H]])/(HOU_H109122[[#This Row],[AB]]+HOU_H109122[[#This Row],[BB]]),0)</f>
        <v>0</v>
      </c>
      <c r="BD233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</v>
      </c>
      <c r="BE233" s="28">
        <v>3</v>
      </c>
      <c r="BF233" s="28">
        <v>3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1</v>
      </c>
      <c r="BM233" s="28">
        <v>0</v>
      </c>
      <c r="BN233" s="74">
        <v>1</v>
      </c>
      <c r="BO233" s="28">
        <v>0</v>
      </c>
      <c r="BP233" s="28">
        <v>0</v>
      </c>
      <c r="BQ233" s="74">
        <v>0</v>
      </c>
      <c r="BR233" s="28">
        <f>(HOU_H109122[[#This Row],[H]]-HOU_H109122[[#This Row],[2B]]-HOU_H109122[[#This Row],[3B]]-HOU_H109122[[#This Row],[HR]])+(HOU_H109122[[#This Row],[2B]]*2)+(HOU_H109122[[#This Row],[3B]]*3)+(HOU_H109122[[#This Row],[HR]]*4)</f>
        <v>0</v>
      </c>
      <c r="BS233" s="72">
        <f>IFERROR(HOU_H109122[[#This Row],[OBP]]+HOU_H109122[[#This Row],[SLG]],0)</f>
        <v>0</v>
      </c>
      <c r="BT233" s="74">
        <v>0</v>
      </c>
      <c r="BU233" s="615">
        <v>12</v>
      </c>
    </row>
    <row r="234" spans="1:73">
      <c r="AY234" s="609" t="s">
        <v>580</v>
      </c>
      <c r="AZ234" s="74" t="s">
        <v>184</v>
      </c>
      <c r="BA234" s="71" t="s">
        <v>593</v>
      </c>
      <c r="BB234" s="72">
        <f>IFERROR(HOU_H109122[[#This Row],[H]]/HOU_H109122[[#This Row],[AB]],0)</f>
        <v>0</v>
      </c>
      <c r="BC234" s="72">
        <f>IFERROR((HOU_H109122[[#This Row],[BB]]+HOU_H109122[[#This Row],[H]])/(HOU_H109122[[#This Row],[AB]]+HOU_H109122[[#This Row],[BB]]),0)</f>
        <v>0</v>
      </c>
      <c r="BD234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74">
        <v>0</v>
      </c>
      <c r="BO234" s="28">
        <v>0</v>
      </c>
      <c r="BP234" s="28">
        <v>0</v>
      </c>
      <c r="BQ234" s="74">
        <v>0</v>
      </c>
      <c r="BR234" s="28">
        <f>(HOU_H109122[[#This Row],[H]]-HOU_H109122[[#This Row],[2B]]-HOU_H109122[[#This Row],[3B]]-HOU_H109122[[#This Row],[HR]])+(HOU_H109122[[#This Row],[2B]]*2)+(HOU_H109122[[#This Row],[3B]]*3)+(HOU_H109122[[#This Row],[HR]]*4)</f>
        <v>0</v>
      </c>
      <c r="BS234" s="72">
        <f>IFERROR(HOU_H109122[[#This Row],[OBP]]+HOU_H109122[[#This Row],[SLG]],0)</f>
        <v>0</v>
      </c>
      <c r="BT234" s="74">
        <v>0</v>
      </c>
      <c r="BU234" s="615">
        <v>13</v>
      </c>
    </row>
    <row r="235" spans="1:73" ht="17" thickBot="1">
      <c r="AY235" s="609" t="s">
        <v>580</v>
      </c>
      <c r="AZ235" s="74" t="s">
        <v>184</v>
      </c>
      <c r="BA235" s="71" t="s">
        <v>594</v>
      </c>
      <c r="BB235" s="72">
        <f>IFERROR(HOU_H109122[[#This Row],[H]]/HOU_H109122[[#This Row],[AB]],0)</f>
        <v>0</v>
      </c>
      <c r="BC235" s="72">
        <f>IFERROR((HOU_H109122[[#This Row],[BB]]+HOU_H109122[[#This Row],[H]])/(HOU_H109122[[#This Row],[AB]]+HOU_H109122[[#This Row],[BB]]),0)</f>
        <v>0</v>
      </c>
      <c r="BD235" s="73">
        <f>IFERROR(((HOU_H109122[[#This Row],[H]]-HOU_H109122[[#This Row],[2B]]-HOU_H109122[[#This Row],[3B]]-HOU_H109122[[#This Row],[HR]])+(HOU_H109122[[#This Row],[2B]]*2)+(HOU_H109122[[#This Row],[3B]]*3)+(HOU_H109122[[#This Row],[HR]]*4))/HOU_H109122[[#This Row],[AB]],0)</f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74">
        <v>0</v>
      </c>
      <c r="BO235" s="28">
        <v>0</v>
      </c>
      <c r="BP235" s="28">
        <v>0</v>
      </c>
      <c r="BQ235" s="74">
        <v>0</v>
      </c>
      <c r="BR235" s="28">
        <f>(HOU_H109122[[#This Row],[H]]-HOU_H109122[[#This Row],[2B]]-HOU_H109122[[#This Row],[3B]]-HOU_H109122[[#This Row],[HR]])+(HOU_H109122[[#This Row],[2B]]*2)+(HOU_H109122[[#This Row],[3B]]*3)+(HOU_H109122[[#This Row],[HR]]*4)</f>
        <v>0</v>
      </c>
      <c r="BS235" s="72">
        <f>IFERROR(HOU_H109122[[#This Row],[OBP]]+HOU_H109122[[#This Row],[SLG]],0)</f>
        <v>0</v>
      </c>
      <c r="BT235" s="74">
        <v>0</v>
      </c>
      <c r="BU235" s="615">
        <v>14</v>
      </c>
    </row>
    <row r="236" spans="1:73" ht="17" thickBot="1">
      <c r="AY236" s="818"/>
      <c r="AZ236" s="810"/>
      <c r="BA236" s="654" t="s">
        <v>195</v>
      </c>
      <c r="BB236" s="656">
        <f>IFERROR(BH236/BF236,0)</f>
        <v>0.23121387283236994</v>
      </c>
      <c r="BC236" s="656">
        <f>IFERROR((BM236+BH236)/(BF236+BM236),0)</f>
        <v>0.30366492146596857</v>
      </c>
      <c r="BD236" s="657">
        <f>IFERROR(((BH236-BI236-BJ236-BK236)+(BI236*2)+(BJ236*3)+(BK236*4))/BF236,0)</f>
        <v>0.36994219653179189</v>
      </c>
      <c r="BE236" s="658"/>
      <c r="BF236" s="658">
        <f>SUBTOTAL(109,HOU_H109122[AB])</f>
        <v>173</v>
      </c>
      <c r="BG236" s="658">
        <f>SUBTOTAL(109,HOU_H109122[R])</f>
        <v>15</v>
      </c>
      <c r="BH236" s="658">
        <f>SUBTOTAL(109,HOU_H109122[H])</f>
        <v>40</v>
      </c>
      <c r="BI236" s="658">
        <f>SUBTOTAL(109,HOU_H109122[2B])</f>
        <v>6</v>
      </c>
      <c r="BJ236" s="658">
        <f>SUBTOTAL(109,HOU_H109122[3B])</f>
        <v>0</v>
      </c>
      <c r="BK236" s="658">
        <f>SUBTOTAL(109,HOU_H109122[HR])</f>
        <v>6</v>
      </c>
      <c r="BL236" s="658">
        <f>SUBTOTAL(109,HOU_H109122[RBI])</f>
        <v>15</v>
      </c>
      <c r="BM236" s="658">
        <f>SUBTOTAL(109,HOU_H109122[BB])</f>
        <v>18</v>
      </c>
      <c r="BN236" s="660">
        <f>SUBTOTAL(109,HOU_H109122[K])</f>
        <v>47</v>
      </c>
      <c r="BO236" s="658">
        <f>SUBTOTAL(109,HOU_H109122[SB])</f>
        <v>1</v>
      </c>
      <c r="BP236" s="658"/>
      <c r="BQ236" s="660"/>
      <c r="BR236" s="658">
        <f>(BH236-BI236-BJ236-BK236)+(BI236*2)+(BJ236*3)+(BK236*4)</f>
        <v>64</v>
      </c>
      <c r="BS236" s="656">
        <f>BC236+BD236</f>
        <v>0.67360711799776052</v>
      </c>
      <c r="BT236" s="660">
        <f>SUBTOTAL(109,HOU_H109122[*])</f>
        <v>1</v>
      </c>
      <c r="BU236" s="734"/>
    </row>
    <row r="237" spans="1:73" ht="17" thickBot="1"/>
    <row r="238" spans="1:73" s="108" customFormat="1" ht="17" thickBo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Y238" s="605" t="s">
        <v>143</v>
      </c>
      <c r="AZ238" s="606" t="s">
        <v>144</v>
      </c>
      <c r="BA238" s="606" t="s">
        <v>145</v>
      </c>
      <c r="BB238" s="606" t="s">
        <v>196</v>
      </c>
      <c r="BC238" s="606" t="s">
        <v>197</v>
      </c>
      <c r="BD238" s="606" t="s">
        <v>198</v>
      </c>
      <c r="BE238" s="606" t="s">
        <v>149</v>
      </c>
      <c r="BF238" s="606" t="s">
        <v>199</v>
      </c>
      <c r="BG238" s="606" t="s">
        <v>152</v>
      </c>
      <c r="BH238" s="606" t="s">
        <v>151</v>
      </c>
      <c r="BI238" s="606" t="s">
        <v>157</v>
      </c>
      <c r="BJ238" s="606" t="s">
        <v>158</v>
      </c>
      <c r="BK238" s="606" t="s">
        <v>200</v>
      </c>
      <c r="BL238" s="606" t="s">
        <v>201</v>
      </c>
      <c r="BM238" s="606" t="s">
        <v>202</v>
      </c>
      <c r="BN238" s="606" t="s">
        <v>203</v>
      </c>
      <c r="BO238" s="606" t="s">
        <v>204</v>
      </c>
      <c r="BP238" s="606" t="s">
        <v>205</v>
      </c>
      <c r="BQ238" s="607" t="s">
        <v>164</v>
      </c>
    </row>
    <row r="239" spans="1:73">
      <c r="AY239" s="650" t="s">
        <v>580</v>
      </c>
      <c r="AZ239" s="604" t="s">
        <v>206</v>
      </c>
      <c r="BA239" s="597" t="s">
        <v>597</v>
      </c>
      <c r="BB239" s="663">
        <f>IFERROR((HOU_P110123[[#This Row],[R]]*9)/HOU_P110123[[#This Row],[IP]],0)</f>
        <v>7.2</v>
      </c>
      <c r="BC239" s="600">
        <v>0</v>
      </c>
      <c r="BD239" s="604">
        <v>2</v>
      </c>
      <c r="BE239" s="600">
        <v>2</v>
      </c>
      <c r="BF239" s="630">
        <v>10</v>
      </c>
      <c r="BG239" s="600">
        <v>13</v>
      </c>
      <c r="BH239" s="600">
        <v>8</v>
      </c>
      <c r="BI239" s="600">
        <v>9</v>
      </c>
      <c r="BJ239" s="600">
        <v>17</v>
      </c>
      <c r="BK239" s="600">
        <v>0</v>
      </c>
      <c r="BL239" s="744">
        <f>IFERROR((HOU_P110123[[#This Row],[BB]]+HOU_P110123[[#This Row],[H]])/HOU_P110123[[#This Row],[IP]],0)</f>
        <v>2.2000000000000002</v>
      </c>
      <c r="BM239" s="673">
        <v>0</v>
      </c>
      <c r="BN239" s="601">
        <v>0</v>
      </c>
      <c r="BO239" s="600">
        <v>0</v>
      </c>
      <c r="BP239" s="604">
        <v>0</v>
      </c>
      <c r="BQ239" s="614">
        <v>1</v>
      </c>
    </row>
    <row r="240" spans="1:73">
      <c r="AY240" s="651" t="s">
        <v>580</v>
      </c>
      <c r="AZ240" s="74" t="s">
        <v>206</v>
      </c>
      <c r="BA240" s="71" t="s">
        <v>599</v>
      </c>
      <c r="BB240" s="88">
        <f>IFERROR((HOU_P110123[[#This Row],[R]]*9)/HOU_P110123[[#This Row],[IP]],0)</f>
        <v>5.25</v>
      </c>
      <c r="BC240" s="28">
        <v>0</v>
      </c>
      <c r="BD240" s="74">
        <v>2</v>
      </c>
      <c r="BE240" s="28">
        <v>2</v>
      </c>
      <c r="BF240" s="584">
        <v>12</v>
      </c>
      <c r="BG240" s="28">
        <v>11</v>
      </c>
      <c r="BH240" s="28">
        <v>7</v>
      </c>
      <c r="BI240" s="28">
        <v>9</v>
      </c>
      <c r="BJ240" s="28">
        <v>21</v>
      </c>
      <c r="BK240" s="28">
        <v>0</v>
      </c>
      <c r="BL240" s="106">
        <f>IFERROR((HOU_P110123[[#This Row],[BB]]+HOU_P110123[[#This Row],[H]])/HOU_P110123[[#This Row],[IP]],0)</f>
        <v>1.6666666666666667</v>
      </c>
      <c r="BM240" s="77">
        <v>1</v>
      </c>
      <c r="BN240" s="90">
        <v>0</v>
      </c>
      <c r="BO240" s="28">
        <v>0</v>
      </c>
      <c r="BP240" s="74">
        <v>0</v>
      </c>
      <c r="BQ240" s="615">
        <v>2</v>
      </c>
    </row>
    <row r="241" spans="51:73">
      <c r="AY241" s="651" t="s">
        <v>580</v>
      </c>
      <c r="AZ241" s="74" t="s">
        <v>206</v>
      </c>
      <c r="BA241" s="71" t="s">
        <v>600</v>
      </c>
      <c r="BB241" s="88">
        <f>IFERROR((HOU_P110123[[#This Row],[R]]*9)/HOU_P110123[[#This Row],[IP]],0)</f>
        <v>3.1746031746031744</v>
      </c>
      <c r="BC241" s="28">
        <v>1</v>
      </c>
      <c r="BD241" s="74">
        <v>0</v>
      </c>
      <c r="BE241" s="28">
        <v>1</v>
      </c>
      <c r="BF241" s="584">
        <v>5.67</v>
      </c>
      <c r="BG241" s="28">
        <v>6</v>
      </c>
      <c r="BH241" s="28">
        <v>2</v>
      </c>
      <c r="BI241" s="28">
        <v>4</v>
      </c>
      <c r="BJ241" s="28">
        <v>9</v>
      </c>
      <c r="BK241" s="28">
        <v>0</v>
      </c>
      <c r="BL241" s="106">
        <f>IFERROR((HOU_P110123[[#This Row],[BB]]+HOU_P110123[[#This Row],[H]])/HOU_P110123[[#This Row],[IP]],0)</f>
        <v>1.7636684303350971</v>
      </c>
      <c r="BM241" s="77">
        <v>0</v>
      </c>
      <c r="BN241" s="90">
        <v>0</v>
      </c>
      <c r="BO241" s="28">
        <v>0</v>
      </c>
      <c r="BP241" s="74">
        <v>0</v>
      </c>
      <c r="BQ241" s="615">
        <v>3</v>
      </c>
    </row>
    <row r="242" spans="51:73">
      <c r="AY242" s="651" t="s">
        <v>580</v>
      </c>
      <c r="AZ242" s="74" t="s">
        <v>206</v>
      </c>
      <c r="BA242" s="71" t="s">
        <v>598</v>
      </c>
      <c r="BB242" s="88">
        <f>IFERROR((HOU_P110123[[#This Row],[R]]*9)/HOU_P110123[[#This Row],[IP]],0)</f>
        <v>2.4523160762942782</v>
      </c>
      <c r="BC242" s="28">
        <v>0</v>
      </c>
      <c r="BD242" s="74">
        <v>0</v>
      </c>
      <c r="BE242" s="28">
        <v>4</v>
      </c>
      <c r="BF242" s="584">
        <v>3.67</v>
      </c>
      <c r="BG242" s="28">
        <v>3</v>
      </c>
      <c r="BH242" s="28">
        <v>1</v>
      </c>
      <c r="BI242" s="28">
        <v>2</v>
      </c>
      <c r="BJ242" s="28">
        <v>3</v>
      </c>
      <c r="BK242" s="28">
        <v>0</v>
      </c>
      <c r="BL242" s="106">
        <f>IFERROR((HOU_P110123[[#This Row],[BB]]+HOU_P110123[[#This Row],[H]])/HOU_P110123[[#This Row],[IP]],0)</f>
        <v>1.3623978201634879</v>
      </c>
      <c r="BM242" s="77">
        <v>0</v>
      </c>
      <c r="BN242" s="90">
        <v>0</v>
      </c>
      <c r="BO242" s="28">
        <v>0</v>
      </c>
      <c r="BP242" s="74">
        <v>0</v>
      </c>
      <c r="BQ242" s="615">
        <v>4</v>
      </c>
    </row>
    <row r="243" spans="51:73">
      <c r="AY243" s="651" t="s">
        <v>580</v>
      </c>
      <c r="AZ243" s="74" t="s">
        <v>212</v>
      </c>
      <c r="BA243" s="71" t="s">
        <v>602</v>
      </c>
      <c r="BB243" s="88">
        <f>IFERROR((HOU_P110123[[#This Row],[R]]*9)/HOU_P110123[[#This Row],[IP]],0)</f>
        <v>0</v>
      </c>
      <c r="BC243" s="28">
        <v>0</v>
      </c>
      <c r="BD243" s="74">
        <v>0</v>
      </c>
      <c r="BE243" s="28">
        <v>3</v>
      </c>
      <c r="BF243" s="584">
        <v>2</v>
      </c>
      <c r="BG243" s="28">
        <v>1</v>
      </c>
      <c r="BH243" s="28">
        <v>0</v>
      </c>
      <c r="BI243" s="28">
        <v>2</v>
      </c>
      <c r="BJ243" s="28">
        <v>2</v>
      </c>
      <c r="BK243" s="28">
        <v>0</v>
      </c>
      <c r="BL243" s="106">
        <f>IFERROR((HOU_P110123[[#This Row],[BB]]+HOU_P110123[[#This Row],[H]])/HOU_P110123[[#This Row],[IP]],0)</f>
        <v>1.5</v>
      </c>
      <c r="BM243" s="77">
        <v>0</v>
      </c>
      <c r="BN243" s="90">
        <v>0</v>
      </c>
      <c r="BO243" s="28">
        <v>0</v>
      </c>
      <c r="BP243" s="74">
        <v>0</v>
      </c>
      <c r="BQ243" s="615">
        <v>5</v>
      </c>
    </row>
    <row r="244" spans="51:73">
      <c r="AY244" s="651" t="s">
        <v>580</v>
      </c>
      <c r="AZ244" s="74" t="s">
        <v>212</v>
      </c>
      <c r="BA244" s="71" t="s">
        <v>604</v>
      </c>
      <c r="BB244" s="88">
        <f>IFERROR((HOU_P110123[[#This Row],[R]]*9)/HOU_P110123[[#This Row],[IP]],0)</f>
        <v>0</v>
      </c>
      <c r="BC244" s="28">
        <v>0</v>
      </c>
      <c r="BD244" s="74">
        <v>0</v>
      </c>
      <c r="BE244" s="28">
        <v>1</v>
      </c>
      <c r="BF244" s="584">
        <v>0.67</v>
      </c>
      <c r="BG244" s="28">
        <v>0</v>
      </c>
      <c r="BH244" s="28">
        <v>0</v>
      </c>
      <c r="BI244" s="28">
        <v>1</v>
      </c>
      <c r="BJ244" s="28">
        <v>1</v>
      </c>
      <c r="BK244" s="28">
        <v>0</v>
      </c>
      <c r="BL244" s="106">
        <f>IFERROR((HOU_P110123[[#This Row],[BB]]+HOU_P110123[[#This Row],[H]])/HOU_P110123[[#This Row],[IP]],0)</f>
        <v>1.4925373134328357</v>
      </c>
      <c r="BM244" s="77">
        <v>0</v>
      </c>
      <c r="BN244" s="90">
        <v>0</v>
      </c>
      <c r="BO244" s="28">
        <v>0</v>
      </c>
      <c r="BP244" s="74">
        <v>0</v>
      </c>
      <c r="BQ244" s="615">
        <v>6</v>
      </c>
    </row>
    <row r="245" spans="51:73">
      <c r="AY245" s="651" t="s">
        <v>580</v>
      </c>
      <c r="AZ245" s="74" t="s">
        <v>212</v>
      </c>
      <c r="BA245" s="71" t="s">
        <v>603</v>
      </c>
      <c r="BB245" s="88">
        <f>IFERROR((HOU_P110123[[#This Row],[R]]*9)/HOU_P110123[[#This Row],[IP]],0)</f>
        <v>3</v>
      </c>
      <c r="BC245" s="28">
        <v>0</v>
      </c>
      <c r="BD245" s="74">
        <v>0</v>
      </c>
      <c r="BE245" s="28">
        <v>2</v>
      </c>
      <c r="BF245" s="584">
        <v>3</v>
      </c>
      <c r="BG245" s="28">
        <v>2</v>
      </c>
      <c r="BH245" s="28">
        <v>1</v>
      </c>
      <c r="BI245" s="28">
        <v>2</v>
      </c>
      <c r="BJ245" s="28">
        <v>3</v>
      </c>
      <c r="BK245" s="28">
        <v>0</v>
      </c>
      <c r="BL245" s="106">
        <f>IFERROR((HOU_P110123[[#This Row],[BB]]+HOU_P110123[[#This Row],[H]])/HOU_P110123[[#This Row],[IP]],0)</f>
        <v>1.3333333333333333</v>
      </c>
      <c r="BM245" s="77">
        <v>0</v>
      </c>
      <c r="BN245" s="90">
        <v>0</v>
      </c>
      <c r="BO245" s="28">
        <v>0</v>
      </c>
      <c r="BP245" s="74">
        <v>0</v>
      </c>
      <c r="BQ245" s="615">
        <v>7</v>
      </c>
    </row>
    <row r="246" spans="51:73">
      <c r="AY246" s="651" t="s">
        <v>580</v>
      </c>
      <c r="AZ246" s="74" t="s">
        <v>212</v>
      </c>
      <c r="BA246" s="71" t="s">
        <v>605</v>
      </c>
      <c r="BB246" s="88">
        <f>IFERROR((HOU_P110123[[#This Row],[R]]*9)/HOU_P110123[[#This Row],[IP]],0)</f>
        <v>0</v>
      </c>
      <c r="BC246" s="28">
        <v>0</v>
      </c>
      <c r="BD246" s="74">
        <v>0</v>
      </c>
      <c r="BE246" s="28">
        <v>2</v>
      </c>
      <c r="BF246" s="584">
        <v>1</v>
      </c>
      <c r="BG246" s="28">
        <v>2</v>
      </c>
      <c r="BH246" s="28">
        <v>0</v>
      </c>
      <c r="BI246" s="28">
        <v>0</v>
      </c>
      <c r="BJ246" s="28">
        <v>0</v>
      </c>
      <c r="BK246" s="28">
        <v>0</v>
      </c>
      <c r="BL246" s="106">
        <f>IFERROR((HOU_P110123[[#This Row],[BB]]+HOU_P110123[[#This Row],[H]])/HOU_P110123[[#This Row],[IP]],0)</f>
        <v>2</v>
      </c>
      <c r="BM246" s="77">
        <v>0</v>
      </c>
      <c r="BN246" s="90">
        <v>0</v>
      </c>
      <c r="BO246" s="28">
        <v>0</v>
      </c>
      <c r="BP246" s="74">
        <v>0</v>
      </c>
      <c r="BQ246" s="615">
        <v>8</v>
      </c>
    </row>
    <row r="247" spans="51:73">
      <c r="AY247" s="651" t="s">
        <v>580</v>
      </c>
      <c r="AZ247" s="74" t="s">
        <v>212</v>
      </c>
      <c r="BA247" s="71" t="s">
        <v>606</v>
      </c>
      <c r="BB247" s="88">
        <f>IFERROR((HOU_P110123[[#This Row],[R]]*9)/HOU_P110123[[#This Row],[IP]],0)</f>
        <v>0</v>
      </c>
      <c r="BC247" s="28">
        <v>0</v>
      </c>
      <c r="BD247" s="74">
        <v>0</v>
      </c>
      <c r="BE247" s="28">
        <v>4</v>
      </c>
      <c r="BF247" s="584">
        <v>3.33</v>
      </c>
      <c r="BG247" s="28">
        <v>1</v>
      </c>
      <c r="BH247" s="28">
        <v>0</v>
      </c>
      <c r="BI247" s="28">
        <v>2</v>
      </c>
      <c r="BJ247" s="28">
        <v>2</v>
      </c>
      <c r="BK247" s="28">
        <v>0</v>
      </c>
      <c r="BL247" s="106">
        <f>IFERROR((HOU_P110123[[#This Row],[BB]]+HOU_P110123[[#This Row],[H]])/HOU_P110123[[#This Row],[IP]],0)</f>
        <v>0.90090090090090091</v>
      </c>
      <c r="BM247" s="77">
        <v>0</v>
      </c>
      <c r="BN247" s="90">
        <v>0</v>
      </c>
      <c r="BO247" s="28">
        <v>0</v>
      </c>
      <c r="BP247" s="74">
        <v>0</v>
      </c>
      <c r="BQ247" s="615">
        <v>9</v>
      </c>
    </row>
    <row r="248" spans="51:73" ht="17" thickBot="1">
      <c r="AY248" s="651" t="s">
        <v>580</v>
      </c>
      <c r="AZ248" s="74" t="s">
        <v>212</v>
      </c>
      <c r="BA248" s="71" t="s">
        <v>607</v>
      </c>
      <c r="BB248" s="88">
        <f>IFERROR((HOU_P110123[[#This Row],[R]]*9)/HOU_P110123[[#This Row],[IP]],0)</f>
        <v>10.112359550561798</v>
      </c>
      <c r="BC248" s="28">
        <v>0</v>
      </c>
      <c r="BD248" s="74">
        <v>0</v>
      </c>
      <c r="BE248" s="28">
        <v>3</v>
      </c>
      <c r="BF248" s="584">
        <v>2.67</v>
      </c>
      <c r="BG248" s="28">
        <v>2</v>
      </c>
      <c r="BH248" s="28">
        <v>3</v>
      </c>
      <c r="BI248" s="28">
        <v>1</v>
      </c>
      <c r="BJ248" s="28">
        <v>6</v>
      </c>
      <c r="BK248" s="28">
        <v>1</v>
      </c>
      <c r="BL248" s="106">
        <f>IFERROR((HOU_P110123[[#This Row],[BB]]+HOU_P110123[[#This Row],[H]])/HOU_P110123[[#This Row],[IP]],0)</f>
        <v>1.1235955056179776</v>
      </c>
      <c r="BM248" s="77">
        <v>0</v>
      </c>
      <c r="BN248" s="90">
        <v>0</v>
      </c>
      <c r="BO248" s="28">
        <v>0</v>
      </c>
      <c r="BP248" s="74">
        <v>0</v>
      </c>
      <c r="BQ248" s="615">
        <v>10</v>
      </c>
    </row>
    <row r="249" spans="51:73" ht="17" thickBot="1">
      <c r="AY249" s="652"/>
      <c r="AZ249" s="653"/>
      <c r="BA249" s="654" t="s">
        <v>195</v>
      </c>
      <c r="BB249" s="665">
        <f>IFERROR((BH249*9)/BF249,0)</f>
        <v>4.4989775051124736</v>
      </c>
      <c r="BC249" s="658">
        <f>SUBTOTAL(109,HOU_P110123[W])</f>
        <v>1</v>
      </c>
      <c r="BD249" s="660">
        <f>SUBTOTAL(109,HOU_P110123[L])</f>
        <v>4</v>
      </c>
      <c r="BE249" s="658"/>
      <c r="BF249" s="666">
        <f>SUBTOTAL(109,HOU_P110123[IP])</f>
        <v>44.010000000000005</v>
      </c>
      <c r="BG249" s="658">
        <f>SUBTOTAL(109,HOU_P110123[H])</f>
        <v>41</v>
      </c>
      <c r="BH249" s="658">
        <f>SUBTOTAL(109,HOU_P110123[R])</f>
        <v>22</v>
      </c>
      <c r="BI249" s="658">
        <f>SUBTOTAL(109,HOU_P110123[BB])</f>
        <v>32</v>
      </c>
      <c r="BJ249" s="658">
        <f>SUBTOTAL(109,HOU_P110123[K])</f>
        <v>64</v>
      </c>
      <c r="BK249" s="658">
        <f>SUBTOTAL(109,HOU_P110123[SV])</f>
        <v>1</v>
      </c>
      <c r="BL249" s="667">
        <f>IFERROR((BI249+BG249)/BF249,0)</f>
        <v>1.6587139286525787</v>
      </c>
      <c r="BM249" s="690">
        <f>SUBTOTAL(109,HOU_P110123[QS])</f>
        <v>1</v>
      </c>
      <c r="BN249" s="669">
        <f>SUBTOTAL(109,HOU_P110123[UQ])</f>
        <v>0</v>
      </c>
      <c r="BO249" s="670">
        <f>SUM(BO239:BO248)</f>
        <v>0</v>
      </c>
      <c r="BP249" s="671">
        <f>SUM(BP239:BP248)</f>
        <v>0</v>
      </c>
      <c r="BQ249" s="662"/>
      <c r="BR249" s="28"/>
      <c r="BS249" s="28"/>
      <c r="BT249" s="28"/>
      <c r="BU249" s="28"/>
    </row>
  </sheetData>
  <sortState xmlns:xlrd2="http://schemas.microsoft.com/office/spreadsheetml/2017/richdata2" ref="AY222:BU235">
    <sortCondition ref="BU222:BU235"/>
  </sortState>
  <mergeCells count="27">
    <mergeCell ref="Z126:AV126"/>
    <mergeCell ref="AY126:BU126"/>
    <mergeCell ref="Z64:AV64"/>
    <mergeCell ref="AY64:BU64"/>
    <mergeCell ref="AY220:BU220"/>
    <mergeCell ref="Z157:AV157"/>
    <mergeCell ref="AY157:BU157"/>
    <mergeCell ref="Z158:AV158"/>
    <mergeCell ref="AY158:BU158"/>
    <mergeCell ref="AY189:BU189"/>
    <mergeCell ref="Z1:AV1"/>
    <mergeCell ref="AY1:BU1"/>
    <mergeCell ref="Z2:AV2"/>
    <mergeCell ref="AY2:BU2"/>
    <mergeCell ref="Z95:AV95"/>
    <mergeCell ref="AY95:BU95"/>
    <mergeCell ref="Z33:AV33"/>
    <mergeCell ref="AY33:BU33"/>
    <mergeCell ref="A158:W158"/>
    <mergeCell ref="A189:W189"/>
    <mergeCell ref="A157:W157"/>
    <mergeCell ref="A1:W1"/>
    <mergeCell ref="A2:W2"/>
    <mergeCell ref="A95:W95"/>
    <mergeCell ref="A33:W33"/>
    <mergeCell ref="A126:W126"/>
    <mergeCell ref="A64:W64"/>
  </mergeCells>
  <pageMargins left="0.7" right="0.7" top="0.75" bottom="0.75" header="0.3" footer="0.3"/>
  <tableParts count="4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V249"/>
  <sheetViews>
    <sheetView zoomScale="110" zoomScaleNormal="11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B215" sqref="B215"/>
    </sheetView>
  </sheetViews>
  <sheetFormatPr baseColWidth="10" defaultRowHeight="16"/>
  <cols>
    <col min="1" max="1" width="6.33203125" style="28" customWidth="1"/>
    <col min="2" max="2" width="6.1640625" style="28" customWidth="1"/>
    <col min="3" max="3" width="15.33203125" style="28" customWidth="1"/>
    <col min="4" max="6" width="7.1640625" style="28" customWidth="1"/>
    <col min="7" max="7" width="5" style="28" customWidth="1"/>
    <col min="8" max="8" width="6" style="28" customWidth="1"/>
    <col min="9" max="10" width="5" style="28" customWidth="1"/>
    <col min="11" max="11" width="6" style="28" customWidth="1"/>
    <col min="12" max="12" width="5.6640625" style="28" customWidth="1"/>
    <col min="13" max="13" width="6.1640625" style="28" customWidth="1"/>
    <col min="14" max="14" width="6.6640625" style="28" customWidth="1"/>
    <col min="15" max="15" width="6" style="28" customWidth="1"/>
    <col min="16" max="17" width="6.1640625" style="28" customWidth="1"/>
    <col min="18" max="18" width="6" style="28" customWidth="1"/>
    <col min="19" max="19" width="5.83203125" style="28" customWidth="1"/>
    <col min="20" max="20" width="6" style="28" customWidth="1"/>
    <col min="21" max="21" width="7" style="28" customWidth="1"/>
    <col min="22" max="22" width="4.5" style="28" customWidth="1"/>
    <col min="23" max="23" width="6.1640625" style="28" customWidth="1"/>
    <col min="24" max="24" width="3.6640625" style="28" customWidth="1"/>
    <col min="25" max="25" width="3.1640625" style="28" customWidth="1"/>
    <col min="26" max="26" width="6.33203125" style="28" customWidth="1"/>
    <col min="27" max="27" width="5.83203125" style="28" customWidth="1"/>
    <col min="28" max="28" width="13.6640625" style="28" customWidth="1"/>
    <col min="29" max="31" width="7.1640625" style="28" customWidth="1"/>
    <col min="32" max="32" width="5" style="28" customWidth="1"/>
    <col min="33" max="33" width="6" style="28" customWidth="1"/>
    <col min="34" max="35" width="5" style="28" customWidth="1"/>
    <col min="36" max="36" width="6" style="28" customWidth="1"/>
    <col min="37" max="37" width="5.6640625" style="28" customWidth="1"/>
    <col min="38" max="38" width="6.1640625" style="28" customWidth="1"/>
    <col min="39" max="39" width="6.6640625" style="28" customWidth="1"/>
    <col min="40" max="40" width="6" style="28" customWidth="1"/>
    <col min="41" max="42" width="6.1640625" style="28" customWidth="1"/>
    <col min="43" max="43" width="6" style="28" customWidth="1"/>
    <col min="44" max="44" width="5.83203125" style="28" customWidth="1"/>
    <col min="45" max="45" width="6" style="28" customWidth="1"/>
    <col min="46" max="46" width="7" style="28" customWidth="1"/>
    <col min="47" max="47" width="4.5" style="28" customWidth="1"/>
    <col min="48" max="48" width="6.1640625" style="28" customWidth="1"/>
    <col min="49" max="50" width="4" style="28" customWidth="1"/>
    <col min="51" max="51" width="6.33203125" style="28" customWidth="1"/>
    <col min="52" max="52" width="5.83203125" style="28" customWidth="1"/>
    <col min="53" max="53" width="13.6640625" style="28" customWidth="1"/>
    <col min="54" max="56" width="7.1640625" style="28" customWidth="1"/>
    <col min="57" max="57" width="5" style="28" customWidth="1"/>
    <col min="58" max="58" width="6" style="28" customWidth="1"/>
    <col min="59" max="60" width="5" style="28" customWidth="1"/>
    <col min="61" max="61" width="6" style="28" customWidth="1"/>
    <col min="62" max="62" width="5.6640625" style="28" customWidth="1"/>
    <col min="63" max="63" width="6.1640625" style="28" customWidth="1"/>
    <col min="64" max="64" width="6.6640625" style="28" customWidth="1"/>
    <col min="65" max="65" width="6" style="28" customWidth="1"/>
    <col min="66" max="67" width="6.1640625" style="28" customWidth="1"/>
    <col min="68" max="68" width="6" style="28" customWidth="1"/>
    <col min="69" max="69" width="5.83203125" style="28" customWidth="1"/>
    <col min="70" max="70" width="6" style="28" customWidth="1"/>
    <col min="71" max="71" width="7" style="28" customWidth="1"/>
    <col min="72" max="72" width="4.5" style="28" customWidth="1"/>
    <col min="73" max="73" width="6.1640625" style="28" customWidth="1"/>
    <col min="74" max="74" width="2.83203125" style="28" customWidth="1"/>
  </cols>
  <sheetData>
    <row r="1" spans="1:73" ht="29" thickBot="1">
      <c r="A1" s="1042" t="s">
        <v>764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  <c r="M1" s="1043"/>
      <c r="N1" s="1043"/>
      <c r="O1" s="1043"/>
      <c r="P1" s="1043"/>
      <c r="Q1" s="1043"/>
      <c r="R1" s="1043"/>
      <c r="S1" s="1043"/>
      <c r="T1" s="1043"/>
      <c r="U1" s="1043"/>
      <c r="V1" s="1043"/>
      <c r="W1" s="1044"/>
      <c r="Z1" s="1042" t="s">
        <v>765</v>
      </c>
      <c r="AA1" s="1043"/>
      <c r="AB1" s="1043"/>
      <c r="AC1" s="1043"/>
      <c r="AD1" s="1043"/>
      <c r="AE1" s="1043"/>
      <c r="AF1" s="1043"/>
      <c r="AG1" s="1043"/>
      <c r="AH1" s="1043"/>
      <c r="AI1" s="1043"/>
      <c r="AJ1" s="1043"/>
      <c r="AK1" s="1043"/>
      <c r="AL1" s="1043"/>
      <c r="AM1" s="1043"/>
      <c r="AN1" s="1043"/>
      <c r="AO1" s="1043"/>
      <c r="AP1" s="1043"/>
      <c r="AQ1" s="1043"/>
      <c r="AR1" s="1043"/>
      <c r="AS1" s="1043"/>
      <c r="AT1" s="1043"/>
      <c r="AU1" s="1043"/>
      <c r="AV1" s="1044"/>
      <c r="AY1" s="1042" t="s">
        <v>766</v>
      </c>
      <c r="AZ1" s="1043"/>
      <c r="BA1" s="1043"/>
      <c r="BB1" s="1043"/>
      <c r="BC1" s="1043"/>
      <c r="BD1" s="1043"/>
      <c r="BE1" s="1043"/>
      <c r="BF1" s="1043"/>
      <c r="BG1" s="1043"/>
      <c r="BH1" s="1043"/>
      <c r="BI1" s="1043"/>
      <c r="BJ1" s="1043"/>
      <c r="BK1" s="1043"/>
      <c r="BL1" s="1043"/>
      <c r="BM1" s="1043"/>
      <c r="BN1" s="1043"/>
      <c r="BO1" s="1043"/>
      <c r="BP1" s="1043"/>
      <c r="BQ1" s="1043"/>
      <c r="BR1" s="1043"/>
      <c r="BS1" s="1043"/>
      <c r="BT1" s="1043"/>
      <c r="BU1" s="1044"/>
    </row>
    <row r="2" spans="1:73" ht="24" thickBot="1">
      <c r="A2" s="1015" t="s">
        <v>767</v>
      </c>
      <c r="B2" s="1016"/>
      <c r="C2" s="1016"/>
      <c r="D2" s="1016"/>
      <c r="E2" s="1016"/>
      <c r="F2" s="1016"/>
      <c r="G2" s="1016"/>
      <c r="H2" s="1016"/>
      <c r="I2" s="1016"/>
      <c r="J2" s="1016"/>
      <c r="K2" s="1016"/>
      <c r="L2" s="1016"/>
      <c r="M2" s="1016"/>
      <c r="N2" s="1016"/>
      <c r="O2" s="1016"/>
      <c r="P2" s="1016"/>
      <c r="Q2" s="1016"/>
      <c r="R2" s="1016"/>
      <c r="S2" s="1016"/>
      <c r="T2" s="1016"/>
      <c r="U2" s="1016"/>
      <c r="V2" s="1016"/>
      <c r="W2" s="1017"/>
      <c r="Z2" s="1015" t="s">
        <v>768</v>
      </c>
      <c r="AA2" s="1016"/>
      <c r="AB2" s="1016"/>
      <c r="AC2" s="1016"/>
      <c r="AD2" s="1016"/>
      <c r="AE2" s="1016"/>
      <c r="AF2" s="1016"/>
      <c r="AG2" s="1016"/>
      <c r="AH2" s="1016"/>
      <c r="AI2" s="1016"/>
      <c r="AJ2" s="1016"/>
      <c r="AK2" s="1016"/>
      <c r="AL2" s="1016"/>
      <c r="AM2" s="1016"/>
      <c r="AN2" s="1016"/>
      <c r="AO2" s="1016"/>
      <c r="AP2" s="1016"/>
      <c r="AQ2" s="1016"/>
      <c r="AR2" s="1016"/>
      <c r="AS2" s="1016"/>
      <c r="AT2" s="1016"/>
      <c r="AU2" s="1016"/>
      <c r="AV2" s="1017"/>
      <c r="AY2" s="1060" t="s">
        <v>769</v>
      </c>
      <c r="AZ2" s="1061"/>
      <c r="BA2" s="1061"/>
      <c r="BB2" s="1061"/>
      <c r="BC2" s="1061"/>
      <c r="BD2" s="1061"/>
      <c r="BE2" s="1061"/>
      <c r="BF2" s="1061"/>
      <c r="BG2" s="1061"/>
      <c r="BH2" s="1061"/>
      <c r="BI2" s="1061"/>
      <c r="BJ2" s="1061"/>
      <c r="BK2" s="1061"/>
      <c r="BL2" s="1061"/>
      <c r="BM2" s="1061"/>
      <c r="BN2" s="1061"/>
      <c r="BO2" s="1061"/>
      <c r="BP2" s="1061"/>
      <c r="BQ2" s="1061"/>
      <c r="BR2" s="1061"/>
      <c r="BS2" s="1061"/>
      <c r="BT2" s="1061"/>
      <c r="BU2" s="1062"/>
    </row>
    <row r="3" spans="1:73" s="64" customFormat="1" ht="14" thickBot="1">
      <c r="A3" s="605" t="s">
        <v>143</v>
      </c>
      <c r="B3" s="606" t="s">
        <v>144</v>
      </c>
      <c r="C3" s="606" t="s">
        <v>145</v>
      </c>
      <c r="D3" s="606" t="s">
        <v>146</v>
      </c>
      <c r="E3" s="606" t="s">
        <v>147</v>
      </c>
      <c r="F3" s="606" t="s">
        <v>148</v>
      </c>
      <c r="G3" s="606" t="s">
        <v>149</v>
      </c>
      <c r="H3" s="606" t="s">
        <v>150</v>
      </c>
      <c r="I3" s="606" t="s">
        <v>151</v>
      </c>
      <c r="J3" s="606" t="s">
        <v>152</v>
      </c>
      <c r="K3" s="606" t="s">
        <v>153</v>
      </c>
      <c r="L3" s="606" t="s">
        <v>154</v>
      </c>
      <c r="M3" s="606" t="s">
        <v>155</v>
      </c>
      <c r="N3" s="606" t="s">
        <v>156</v>
      </c>
      <c r="O3" s="606" t="s">
        <v>157</v>
      </c>
      <c r="P3" s="606" t="s">
        <v>158</v>
      </c>
      <c r="Q3" s="606" t="s">
        <v>159</v>
      </c>
      <c r="R3" s="606" t="s">
        <v>160</v>
      </c>
      <c r="S3" s="606" t="s">
        <v>16</v>
      </c>
      <c r="T3" s="606" t="s">
        <v>161</v>
      </c>
      <c r="U3" s="606" t="s">
        <v>162</v>
      </c>
      <c r="V3" s="606" t="s">
        <v>163</v>
      </c>
      <c r="W3" s="607" t="s">
        <v>164</v>
      </c>
      <c r="Z3" s="605" t="s">
        <v>143</v>
      </c>
      <c r="AA3" s="606" t="s">
        <v>144</v>
      </c>
      <c r="AB3" s="606" t="s">
        <v>145</v>
      </c>
      <c r="AC3" s="606" t="s">
        <v>146</v>
      </c>
      <c r="AD3" s="606" t="s">
        <v>147</v>
      </c>
      <c r="AE3" s="606" t="s">
        <v>148</v>
      </c>
      <c r="AF3" s="606" t="s">
        <v>149</v>
      </c>
      <c r="AG3" s="606" t="s">
        <v>150</v>
      </c>
      <c r="AH3" s="606" t="s">
        <v>151</v>
      </c>
      <c r="AI3" s="606" t="s">
        <v>152</v>
      </c>
      <c r="AJ3" s="606" t="s">
        <v>153</v>
      </c>
      <c r="AK3" s="606" t="s">
        <v>154</v>
      </c>
      <c r="AL3" s="606" t="s">
        <v>155</v>
      </c>
      <c r="AM3" s="606" t="s">
        <v>156</v>
      </c>
      <c r="AN3" s="606" t="s">
        <v>157</v>
      </c>
      <c r="AO3" s="606" t="s">
        <v>158</v>
      </c>
      <c r="AP3" s="606" t="s">
        <v>159</v>
      </c>
      <c r="AQ3" s="606" t="s">
        <v>160</v>
      </c>
      <c r="AR3" s="606" t="s">
        <v>16</v>
      </c>
      <c r="AS3" s="606" t="s">
        <v>161</v>
      </c>
      <c r="AT3" s="606" t="s">
        <v>162</v>
      </c>
      <c r="AU3" s="606" t="s">
        <v>163</v>
      </c>
      <c r="AV3" s="607" t="s">
        <v>164</v>
      </c>
      <c r="AY3" s="605" t="s">
        <v>143</v>
      </c>
      <c r="AZ3" s="606" t="s">
        <v>144</v>
      </c>
      <c r="BA3" s="606" t="s">
        <v>145</v>
      </c>
      <c r="BB3" s="606" t="s">
        <v>146</v>
      </c>
      <c r="BC3" s="606" t="s">
        <v>147</v>
      </c>
      <c r="BD3" s="606" t="s">
        <v>148</v>
      </c>
      <c r="BE3" s="606" t="s">
        <v>149</v>
      </c>
      <c r="BF3" s="606" t="s">
        <v>150</v>
      </c>
      <c r="BG3" s="606" t="s">
        <v>151</v>
      </c>
      <c r="BH3" s="606" t="s">
        <v>152</v>
      </c>
      <c r="BI3" s="606" t="s">
        <v>153</v>
      </c>
      <c r="BJ3" s="606" t="s">
        <v>154</v>
      </c>
      <c r="BK3" s="606" t="s">
        <v>155</v>
      </c>
      <c r="BL3" s="606" t="s">
        <v>156</v>
      </c>
      <c r="BM3" s="606" t="s">
        <v>157</v>
      </c>
      <c r="BN3" s="606" t="s">
        <v>158</v>
      </c>
      <c r="BO3" s="606" t="s">
        <v>159</v>
      </c>
      <c r="BP3" s="606" t="s">
        <v>160</v>
      </c>
      <c r="BQ3" s="606" t="s">
        <v>16</v>
      </c>
      <c r="BR3" s="606" t="s">
        <v>161</v>
      </c>
      <c r="BS3" s="606" t="s">
        <v>162</v>
      </c>
      <c r="BT3" s="606" t="s">
        <v>163</v>
      </c>
      <c r="BU3" s="607" t="s">
        <v>164</v>
      </c>
    </row>
    <row r="4" spans="1:73">
      <c r="A4" s="650" t="s">
        <v>770</v>
      </c>
      <c r="B4" s="597" t="s">
        <v>179</v>
      </c>
      <c r="C4" s="597" t="s">
        <v>779</v>
      </c>
      <c r="D4" s="598">
        <f>IFERROR(PHI_H[[#This Row],[H]]/PHI_H[[#This Row],[AB]],0)</f>
        <v>0.25</v>
      </c>
      <c r="E4" s="598">
        <f>IFERROR((PHI_H[[#This Row],[H]]+PHI_H[[#This Row],[BB]])/(PHI_H[[#This Row],[BB]]+PHI_H[[#This Row],[AB]]),0)</f>
        <v>0.3032258064516129</v>
      </c>
      <c r="F4" s="599">
        <f>IFERROR(((PHI_H[[#This Row],[H]]-PHI_H[[#This Row],[2B]]-PHI_H[[#This Row],[3B]]-PHI_H[[#This Row],[HR]])+(PHI_H[[#This Row],[2B]]*2)+(PHI_H[[#This Row],[3B]]*3)+(PHI_H[[#This Row],[HR]]*4))/PHI_H[[#This Row],[AB]],0)</f>
        <v>0.44444444444444442</v>
      </c>
      <c r="G4" s="600">
        <v>40</v>
      </c>
      <c r="H4" s="600">
        <v>144</v>
      </c>
      <c r="I4" s="600">
        <v>18</v>
      </c>
      <c r="J4" s="600">
        <v>36</v>
      </c>
      <c r="K4" s="600">
        <v>7</v>
      </c>
      <c r="L4" s="600">
        <v>3</v>
      </c>
      <c r="M4" s="600">
        <v>5</v>
      </c>
      <c r="N4" s="600">
        <v>10</v>
      </c>
      <c r="O4" s="600">
        <v>11</v>
      </c>
      <c r="P4" s="604">
        <v>34</v>
      </c>
      <c r="Q4" s="600">
        <v>0</v>
      </c>
      <c r="R4" s="600">
        <v>0</v>
      </c>
      <c r="S4" s="604">
        <v>5</v>
      </c>
      <c r="T4" s="600">
        <f>IFERROR((PHI_H[[#This Row],[H]]-PHI_H[[#This Row],[2B]]-PHI_H[[#This Row],[3B]]-PHI_H[[#This Row],[HR]])+(PHI_H[[#This Row],[2B]]*2)+(PHI_H[[#This Row],[3B]]*3)+(PHI_H[[#This Row],[HR]]*4),0)</f>
        <v>64</v>
      </c>
      <c r="U4" s="598">
        <f>PHI_H[[#This Row],[OBP]]+PHI_H[[#This Row],[SLG]]</f>
        <v>0.74767025089605732</v>
      </c>
      <c r="V4" s="604">
        <v>1</v>
      </c>
      <c r="W4" s="614">
        <v>1</v>
      </c>
      <c r="Z4" s="650" t="s">
        <v>770</v>
      </c>
      <c r="AA4" s="597" t="s">
        <v>179</v>
      </c>
      <c r="AB4" s="597" t="s">
        <v>779</v>
      </c>
      <c r="AC4" s="598">
        <f>IFERROR(PHI_H170[[#This Row],[H]]/PHI_H170[[#This Row],[AB]],0)</f>
        <v>0.18954248366013071</v>
      </c>
      <c r="AD4" s="598">
        <f>IFERROR((PHI_H170[[#This Row],[H]]+PHI_H170[[#This Row],[BB]])/(PHI_H170[[#This Row],[BB]]+PHI_H170[[#This Row],[AB]]),0)</f>
        <v>0.22012578616352202</v>
      </c>
      <c r="AE4" s="599">
        <f>IFERROR(((PHI_H170[[#This Row],[H]]-PHI_H170[[#This Row],[2B]]-PHI_H170[[#This Row],[3B]]-PHI_H170[[#This Row],[HR]])+(PHI_H170[[#This Row],[2B]]*2)+(PHI_H170[[#This Row],[3B]]*3)+(PHI_H170[[#This Row],[HR]]*4))/PHI_H170[[#This Row],[AB]],0)</f>
        <v>0.31372549019607843</v>
      </c>
      <c r="AF4" s="600">
        <v>38</v>
      </c>
      <c r="AG4" s="600">
        <v>153</v>
      </c>
      <c r="AH4" s="600">
        <v>14</v>
      </c>
      <c r="AI4" s="600">
        <v>29</v>
      </c>
      <c r="AJ4" s="600">
        <v>4</v>
      </c>
      <c r="AK4" s="600">
        <v>0</v>
      </c>
      <c r="AL4" s="600">
        <v>5</v>
      </c>
      <c r="AM4" s="600">
        <v>16</v>
      </c>
      <c r="AN4" s="600">
        <v>6</v>
      </c>
      <c r="AO4" s="604">
        <v>44</v>
      </c>
      <c r="AP4" s="600">
        <v>0</v>
      </c>
      <c r="AQ4" s="600">
        <v>0</v>
      </c>
      <c r="AR4" s="604">
        <v>5</v>
      </c>
      <c r="AS4" s="600">
        <f>IFERROR((PHI_H170[[#This Row],[H]]-PHI_H170[[#This Row],[2B]]-PHI_H170[[#This Row],[3B]]-PHI_H170[[#This Row],[HR]])+(PHI_H170[[#This Row],[2B]]*2)+(PHI_H170[[#This Row],[3B]]*3)+(PHI_H170[[#This Row],[HR]]*4),0)</f>
        <v>48</v>
      </c>
      <c r="AT4" s="598">
        <f>PHI_H170[[#This Row],[OBP]]+PHI_H170[[#This Row],[SLG]]</f>
        <v>0.53385127635960039</v>
      </c>
      <c r="AU4" s="604">
        <v>1</v>
      </c>
      <c r="AV4" s="614">
        <v>1</v>
      </c>
      <c r="AY4" s="719" t="s">
        <v>770</v>
      </c>
      <c r="AZ4" s="604" t="s">
        <v>179</v>
      </c>
      <c r="BA4" s="597" t="s">
        <v>779</v>
      </c>
      <c r="BB4" s="598">
        <f>IFERROR(PHI_H170184[[#This Row],[H]]/PHI_H170184[[#This Row],[AB]],0)</f>
        <v>0.22368421052631579</v>
      </c>
      <c r="BC4" s="598">
        <f>IFERROR((PHI_H170184[[#This Row],[BB]]+PHI_H170184[[#This Row],[H]])/(PHI_H170184[[#This Row],[BB]]+PHI_H170184[[#This Row],[AB]]),0)</f>
        <v>0.28915662650602408</v>
      </c>
      <c r="BD4" s="599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0.40131578947368424</v>
      </c>
      <c r="BE4" s="600">
        <v>40</v>
      </c>
      <c r="BF4" s="600">
        <v>152</v>
      </c>
      <c r="BG4" s="600">
        <v>14</v>
      </c>
      <c r="BH4" s="600">
        <v>34</v>
      </c>
      <c r="BI4" s="600">
        <v>6</v>
      </c>
      <c r="BJ4" s="600">
        <v>0</v>
      </c>
      <c r="BK4" s="600">
        <v>7</v>
      </c>
      <c r="BL4" s="600">
        <v>20</v>
      </c>
      <c r="BM4" s="600">
        <v>14</v>
      </c>
      <c r="BN4" s="604">
        <v>52</v>
      </c>
      <c r="BO4" s="600">
        <v>0</v>
      </c>
      <c r="BP4" s="600">
        <v>3</v>
      </c>
      <c r="BQ4" s="604">
        <v>4</v>
      </c>
      <c r="BR4" s="600">
        <f>(PHI_H170184[[#This Row],[H]]-PHI_H170184[[#This Row],[2B]]-PHI_H170184[[#This Row],[3B]]-PHI_H170184[[#This Row],[HR]])+(PHI_H170184[[#This Row],[2B]]*2)+(PHI_H170184[[#This Row],[3B]]*3)+(PHI_H170184[[#This Row],[HR]]*4)</f>
        <v>61</v>
      </c>
      <c r="BS4" s="598">
        <f>IFERROR(PHI_H170184[[#This Row],[OBP]]+PHI_H170184[[#This Row],[SLG]],0)</f>
        <v>0.69047241597970832</v>
      </c>
      <c r="BT4" s="604">
        <v>2</v>
      </c>
      <c r="BU4" s="614">
        <v>1</v>
      </c>
    </row>
    <row r="5" spans="1:73">
      <c r="A5" s="651" t="s">
        <v>770</v>
      </c>
      <c r="B5" s="71" t="s">
        <v>154</v>
      </c>
      <c r="C5" s="71" t="s">
        <v>771</v>
      </c>
      <c r="D5" s="72">
        <f>IFERROR(PHI_H[[#This Row],[H]]/PHI_H[[#This Row],[AB]],0)</f>
        <v>0.31690140845070425</v>
      </c>
      <c r="E5" s="72">
        <f>IFERROR((PHI_H[[#This Row],[H]]+PHI_H[[#This Row],[BB]])/(PHI_H[[#This Row],[BB]]+PHI_H[[#This Row],[AB]]),0)</f>
        <v>0.41212121212121211</v>
      </c>
      <c r="F5" s="73">
        <f>IFERROR(((PHI_H[[#This Row],[H]]-PHI_H[[#This Row],[2B]]-PHI_H[[#This Row],[3B]]-PHI_H[[#This Row],[HR]])+(PHI_H[[#This Row],[2B]]*2)+(PHI_H[[#This Row],[3B]]*3)+(PHI_H[[#This Row],[HR]]*4))/PHI_H[[#This Row],[AB]],0)</f>
        <v>0.62676056338028174</v>
      </c>
      <c r="G5" s="28">
        <v>40</v>
      </c>
      <c r="H5" s="28">
        <v>142</v>
      </c>
      <c r="I5" s="28">
        <v>20</v>
      </c>
      <c r="J5" s="28">
        <v>45</v>
      </c>
      <c r="K5" s="28">
        <v>12</v>
      </c>
      <c r="L5" s="28">
        <v>1</v>
      </c>
      <c r="M5" s="28">
        <v>10</v>
      </c>
      <c r="N5" s="28">
        <v>29</v>
      </c>
      <c r="O5" s="28">
        <v>23</v>
      </c>
      <c r="P5" s="74">
        <v>28</v>
      </c>
      <c r="Q5" s="28">
        <v>0</v>
      </c>
      <c r="R5" s="28">
        <v>0</v>
      </c>
      <c r="S5" s="74">
        <v>10</v>
      </c>
      <c r="T5" s="28">
        <f>IFERROR((PHI_H[[#This Row],[H]]-PHI_H[[#This Row],[2B]]-PHI_H[[#This Row],[3B]]-PHI_H[[#This Row],[HR]])+(PHI_H[[#This Row],[2B]]*2)+(PHI_H[[#This Row],[3B]]*3)+(PHI_H[[#This Row],[HR]]*4),0)</f>
        <v>89</v>
      </c>
      <c r="U5" s="72">
        <f>PHI_H[[#This Row],[OBP]]+PHI_H[[#This Row],[SLG]]</f>
        <v>1.0388817755014939</v>
      </c>
      <c r="V5" s="74">
        <v>4</v>
      </c>
      <c r="W5" s="615">
        <v>2</v>
      </c>
      <c r="Z5" s="651" t="s">
        <v>770</v>
      </c>
      <c r="AA5" s="71" t="s">
        <v>154</v>
      </c>
      <c r="AB5" s="71" t="s">
        <v>775</v>
      </c>
      <c r="AC5" s="72">
        <f>IFERROR(PHI_H170[[#This Row],[H]]/PHI_H170[[#This Row],[AB]],0)</f>
        <v>0.21323529411764705</v>
      </c>
      <c r="AD5" s="72">
        <f>IFERROR((PHI_H170[[#This Row],[H]]+PHI_H170[[#This Row],[BB]])/(PHI_H170[[#This Row],[BB]]+PHI_H170[[#This Row],[AB]]),0)</f>
        <v>0.31847133757961782</v>
      </c>
      <c r="AE5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0.47058823529411764</v>
      </c>
      <c r="AF5" s="28">
        <v>38</v>
      </c>
      <c r="AG5" s="28">
        <v>136</v>
      </c>
      <c r="AH5" s="28">
        <v>25</v>
      </c>
      <c r="AI5" s="28">
        <v>29</v>
      </c>
      <c r="AJ5" s="28">
        <v>4</v>
      </c>
      <c r="AK5" s="28">
        <v>2</v>
      </c>
      <c r="AL5" s="28">
        <v>9</v>
      </c>
      <c r="AM5" s="28">
        <v>24</v>
      </c>
      <c r="AN5" s="28">
        <v>21</v>
      </c>
      <c r="AO5" s="74">
        <v>34</v>
      </c>
      <c r="AP5" s="28">
        <v>0</v>
      </c>
      <c r="AQ5" s="28">
        <v>0</v>
      </c>
      <c r="AR5" s="74">
        <v>6</v>
      </c>
      <c r="AS5" s="28">
        <f>IFERROR((PHI_H170[[#This Row],[H]]-PHI_H170[[#This Row],[2B]]-PHI_H170[[#This Row],[3B]]-PHI_H170[[#This Row],[HR]])+(PHI_H170[[#This Row],[2B]]*2)+(PHI_H170[[#This Row],[3B]]*3)+(PHI_H170[[#This Row],[HR]]*4),0)</f>
        <v>64</v>
      </c>
      <c r="AT5" s="72">
        <f>PHI_H170[[#This Row],[OBP]]+PHI_H170[[#This Row],[SLG]]</f>
        <v>0.78905957287373552</v>
      </c>
      <c r="AU5" s="74">
        <v>5</v>
      </c>
      <c r="AV5" s="615">
        <v>2</v>
      </c>
      <c r="AY5" s="720" t="s">
        <v>770</v>
      </c>
      <c r="AZ5" s="74" t="s">
        <v>154</v>
      </c>
      <c r="BA5" s="71" t="s">
        <v>775</v>
      </c>
      <c r="BB5" s="72">
        <f>IFERROR(PHI_H170184[[#This Row],[H]]/PHI_H170184[[#This Row],[AB]],0)</f>
        <v>0.23684210526315788</v>
      </c>
      <c r="BC5" s="72">
        <f>IFERROR((PHI_H170184[[#This Row],[BB]]+PHI_H170184[[#This Row],[H]])/(PHI_H170184[[#This Row],[BB]]+PHI_H170184[[#This Row],[AB]]),0)</f>
        <v>0.33333333333333331</v>
      </c>
      <c r="BD5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0.42763157894736842</v>
      </c>
      <c r="BE5" s="28">
        <v>40</v>
      </c>
      <c r="BF5" s="28">
        <v>152</v>
      </c>
      <c r="BG5" s="28">
        <v>19</v>
      </c>
      <c r="BH5" s="28">
        <v>36</v>
      </c>
      <c r="BI5" s="28">
        <v>6</v>
      </c>
      <c r="BJ5" s="28">
        <v>1</v>
      </c>
      <c r="BK5" s="28">
        <v>7</v>
      </c>
      <c r="BL5" s="28">
        <v>26</v>
      </c>
      <c r="BM5" s="28">
        <v>22</v>
      </c>
      <c r="BN5" s="74">
        <v>40</v>
      </c>
      <c r="BO5" s="28">
        <v>0</v>
      </c>
      <c r="BP5" s="28">
        <v>0</v>
      </c>
      <c r="BQ5" s="74">
        <v>6</v>
      </c>
      <c r="BR5" s="28">
        <f>(PHI_H170184[[#This Row],[H]]-PHI_H170184[[#This Row],[2B]]-PHI_H170184[[#This Row],[3B]]-PHI_H170184[[#This Row],[HR]])+(PHI_H170184[[#This Row],[2B]]*2)+(PHI_H170184[[#This Row],[3B]]*3)+(PHI_H170184[[#This Row],[HR]]*4)</f>
        <v>65</v>
      </c>
      <c r="BS5" s="72">
        <f>IFERROR(PHI_H170184[[#This Row],[OBP]]+PHI_H170184[[#This Row],[SLG]],0)</f>
        <v>0.76096491228070173</v>
      </c>
      <c r="BT5" s="74">
        <v>4</v>
      </c>
      <c r="BU5" s="615">
        <v>2</v>
      </c>
    </row>
    <row r="6" spans="1:73">
      <c r="A6" s="651" t="s">
        <v>770</v>
      </c>
      <c r="B6" s="71" t="s">
        <v>172</v>
      </c>
      <c r="C6" s="71" t="s">
        <v>778</v>
      </c>
      <c r="D6" s="72">
        <f>IFERROR(PHI_H[[#This Row],[H]]/PHI_H[[#This Row],[AB]],0)</f>
        <v>0.184</v>
      </c>
      <c r="E6" s="72">
        <f>IFERROR((PHI_H[[#This Row],[H]]+PHI_H[[#This Row],[BB]])/(PHI_H[[#This Row],[BB]]+PHI_H[[#This Row],[AB]]),0)</f>
        <v>0.2608695652173913</v>
      </c>
      <c r="F6" s="73">
        <f>IFERROR(((PHI_H[[#This Row],[H]]-PHI_H[[#This Row],[2B]]-PHI_H[[#This Row],[3B]]-PHI_H[[#This Row],[HR]])+(PHI_H[[#This Row],[2B]]*2)+(PHI_H[[#This Row],[3B]]*3)+(PHI_H[[#This Row],[HR]]*4))/PHI_H[[#This Row],[AB]],0)</f>
        <v>0.312</v>
      </c>
      <c r="G6" s="28">
        <v>37</v>
      </c>
      <c r="H6" s="28">
        <v>125</v>
      </c>
      <c r="I6" s="28">
        <v>11</v>
      </c>
      <c r="J6" s="28">
        <v>23</v>
      </c>
      <c r="K6" s="28">
        <v>4</v>
      </c>
      <c r="L6" s="28">
        <v>0</v>
      </c>
      <c r="M6" s="28">
        <v>4</v>
      </c>
      <c r="N6" s="28">
        <v>15</v>
      </c>
      <c r="O6" s="28">
        <v>13</v>
      </c>
      <c r="P6" s="74">
        <v>33</v>
      </c>
      <c r="Q6" s="28">
        <v>0</v>
      </c>
      <c r="R6" s="28">
        <v>0</v>
      </c>
      <c r="S6" s="74">
        <v>4</v>
      </c>
      <c r="T6" s="28">
        <f>IFERROR((PHI_H[[#This Row],[H]]-PHI_H[[#This Row],[2B]]-PHI_H[[#This Row],[3B]]-PHI_H[[#This Row],[HR]])+(PHI_H[[#This Row],[2B]]*2)+(PHI_H[[#This Row],[3B]]*3)+(PHI_H[[#This Row],[HR]]*4),0)</f>
        <v>39</v>
      </c>
      <c r="U6" s="72">
        <f>PHI_H[[#This Row],[OBP]]+PHI_H[[#This Row],[SLG]]</f>
        <v>0.5728695652173913</v>
      </c>
      <c r="V6" s="74">
        <v>1</v>
      </c>
      <c r="W6" s="615">
        <v>3</v>
      </c>
      <c r="Z6" s="651" t="s">
        <v>770</v>
      </c>
      <c r="AA6" s="71" t="s">
        <v>172</v>
      </c>
      <c r="AB6" s="71" t="s">
        <v>778</v>
      </c>
      <c r="AC6" s="72">
        <f>IFERROR(PHI_H170[[#This Row],[H]]/PHI_H170[[#This Row],[AB]],0)</f>
        <v>0.24113475177304963</v>
      </c>
      <c r="AD6" s="72">
        <f>IFERROR((PHI_H170[[#This Row],[H]]+PHI_H170[[#This Row],[BB]])/(PHI_H170[[#This Row],[BB]]+PHI_H170[[#This Row],[AB]]),0)</f>
        <v>0.30065359477124182</v>
      </c>
      <c r="AE6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0.41843971631205673</v>
      </c>
      <c r="AF6" s="28">
        <v>40</v>
      </c>
      <c r="AG6" s="28">
        <v>141</v>
      </c>
      <c r="AH6" s="28">
        <v>19</v>
      </c>
      <c r="AI6" s="28">
        <v>34</v>
      </c>
      <c r="AJ6" s="28">
        <v>6</v>
      </c>
      <c r="AK6" s="28">
        <v>2</v>
      </c>
      <c r="AL6" s="28">
        <v>5</v>
      </c>
      <c r="AM6" s="28">
        <v>15</v>
      </c>
      <c r="AN6" s="28">
        <v>12</v>
      </c>
      <c r="AO6" s="74">
        <v>35</v>
      </c>
      <c r="AP6" s="28">
        <v>0</v>
      </c>
      <c r="AQ6" s="28">
        <v>8</v>
      </c>
      <c r="AR6" s="74">
        <v>8</v>
      </c>
      <c r="AS6" s="28">
        <f>IFERROR((PHI_H170[[#This Row],[H]]-PHI_H170[[#This Row],[2B]]-PHI_H170[[#This Row],[3B]]-PHI_H170[[#This Row],[HR]])+(PHI_H170[[#This Row],[2B]]*2)+(PHI_H170[[#This Row],[3B]]*3)+(PHI_H170[[#This Row],[HR]]*4),0)</f>
        <v>59</v>
      </c>
      <c r="AT6" s="72">
        <f>PHI_H170[[#This Row],[OBP]]+PHI_H170[[#This Row],[SLG]]</f>
        <v>0.71909331108329855</v>
      </c>
      <c r="AU6" s="74">
        <v>1</v>
      </c>
      <c r="AV6" s="615">
        <v>3</v>
      </c>
      <c r="AY6" s="720" t="s">
        <v>770</v>
      </c>
      <c r="AZ6" s="74" t="s">
        <v>235</v>
      </c>
      <c r="BA6" s="71" t="s">
        <v>778</v>
      </c>
      <c r="BB6" s="72">
        <f>IFERROR(PHI_H170184[[#This Row],[H]]/PHI_H170184[[#This Row],[AB]],0)</f>
        <v>0.22047244094488189</v>
      </c>
      <c r="BC6" s="72">
        <f>IFERROR((PHI_H170184[[#This Row],[BB]]+PHI_H170184[[#This Row],[H]])/(PHI_H170184[[#This Row],[BB]]+PHI_H170184[[#This Row],[AB]]),0)</f>
        <v>0.28776978417266186</v>
      </c>
      <c r="BD6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0.28346456692913385</v>
      </c>
      <c r="BE6" s="28">
        <v>36</v>
      </c>
      <c r="BF6" s="28">
        <v>127</v>
      </c>
      <c r="BG6" s="28">
        <v>9</v>
      </c>
      <c r="BH6" s="28">
        <v>28</v>
      </c>
      <c r="BI6" s="28">
        <v>8</v>
      </c>
      <c r="BJ6" s="28">
        <v>0</v>
      </c>
      <c r="BK6" s="28">
        <v>0</v>
      </c>
      <c r="BL6" s="28">
        <v>10</v>
      </c>
      <c r="BM6" s="28">
        <v>12</v>
      </c>
      <c r="BN6" s="74">
        <v>39</v>
      </c>
      <c r="BO6" s="28">
        <v>0</v>
      </c>
      <c r="BP6" s="28">
        <v>0</v>
      </c>
      <c r="BQ6" s="74">
        <v>5</v>
      </c>
      <c r="BR6" s="28">
        <f>(PHI_H170184[[#This Row],[H]]-PHI_H170184[[#This Row],[2B]]-PHI_H170184[[#This Row],[3B]]-PHI_H170184[[#This Row],[HR]])+(PHI_H170184[[#This Row],[2B]]*2)+(PHI_H170184[[#This Row],[3B]]*3)+(PHI_H170184[[#This Row],[HR]]*4)</f>
        <v>36</v>
      </c>
      <c r="BS6" s="72">
        <f>IFERROR(PHI_H170184[[#This Row],[OBP]]+PHI_H170184[[#This Row],[SLG]],0)</f>
        <v>0.57123435110179566</v>
      </c>
      <c r="BT6" s="74">
        <v>1</v>
      </c>
      <c r="BU6" s="615">
        <v>3</v>
      </c>
    </row>
    <row r="7" spans="1:73">
      <c r="A7" s="651" t="s">
        <v>770</v>
      </c>
      <c r="B7" s="71" t="s">
        <v>153</v>
      </c>
      <c r="C7" s="71" t="s">
        <v>777</v>
      </c>
      <c r="D7" s="72">
        <f>IFERROR(PHI_H[[#This Row],[H]]/PHI_H[[#This Row],[AB]],0)</f>
        <v>0.2857142857142857</v>
      </c>
      <c r="E7" s="72">
        <f>IFERROR((PHI_H[[#This Row],[H]]+PHI_H[[#This Row],[BB]])/(PHI_H[[#This Row],[BB]]+PHI_H[[#This Row],[AB]]),0)</f>
        <v>0.35135135135135137</v>
      </c>
      <c r="F7" s="73">
        <f>IFERROR(((PHI_H[[#This Row],[H]]-PHI_H[[#This Row],[2B]]-PHI_H[[#This Row],[3B]]-PHI_H[[#This Row],[HR]])+(PHI_H[[#This Row],[2B]]*2)+(PHI_H[[#This Row],[3B]]*3)+(PHI_H[[#This Row],[HR]]*4))/PHI_H[[#This Row],[AB]],0)</f>
        <v>0.42857142857142855</v>
      </c>
      <c r="G7" s="28">
        <v>40</v>
      </c>
      <c r="H7" s="28">
        <v>168</v>
      </c>
      <c r="I7" s="28">
        <v>24</v>
      </c>
      <c r="J7" s="28">
        <v>48</v>
      </c>
      <c r="K7" s="28">
        <v>5</v>
      </c>
      <c r="L7" s="28">
        <v>2</v>
      </c>
      <c r="M7" s="28">
        <v>5</v>
      </c>
      <c r="N7" s="28">
        <v>21</v>
      </c>
      <c r="O7" s="28">
        <v>17</v>
      </c>
      <c r="P7" s="74">
        <v>32</v>
      </c>
      <c r="Q7" s="28">
        <v>9</v>
      </c>
      <c r="R7" s="28">
        <v>0</v>
      </c>
      <c r="S7" s="74">
        <v>14</v>
      </c>
      <c r="T7" s="28">
        <f>IFERROR((PHI_H[[#This Row],[H]]-PHI_H[[#This Row],[2B]]-PHI_H[[#This Row],[3B]]-PHI_H[[#This Row],[HR]])+(PHI_H[[#This Row],[2B]]*2)+(PHI_H[[#This Row],[3B]]*3)+(PHI_H[[#This Row],[HR]]*4),0)</f>
        <v>72</v>
      </c>
      <c r="U7" s="72">
        <f>PHI_H[[#This Row],[OBP]]+PHI_H[[#This Row],[SLG]]</f>
        <v>0.77992277992277992</v>
      </c>
      <c r="V7" s="74">
        <v>2</v>
      </c>
      <c r="W7" s="615">
        <v>4</v>
      </c>
      <c r="Z7" s="651" t="s">
        <v>770</v>
      </c>
      <c r="AA7" s="71" t="s">
        <v>153</v>
      </c>
      <c r="AB7" s="71" t="s">
        <v>780</v>
      </c>
      <c r="AC7" s="72">
        <f>IFERROR(PHI_H170[[#This Row],[H]]/PHI_H170[[#This Row],[AB]],0)</f>
        <v>0.27972027972027974</v>
      </c>
      <c r="AD7" s="72">
        <f>IFERROR((PHI_H170[[#This Row],[H]]+PHI_H170[[#This Row],[BB]])/(PHI_H170[[#This Row],[BB]]+PHI_H170[[#This Row],[AB]]),0)</f>
        <v>0.31788079470198677</v>
      </c>
      <c r="AE7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0.38461538461538464</v>
      </c>
      <c r="AF7" s="28">
        <v>38</v>
      </c>
      <c r="AG7" s="28">
        <v>143</v>
      </c>
      <c r="AH7" s="28">
        <v>15</v>
      </c>
      <c r="AI7" s="28">
        <v>40</v>
      </c>
      <c r="AJ7" s="28">
        <v>7</v>
      </c>
      <c r="AK7" s="28">
        <v>1</v>
      </c>
      <c r="AL7" s="28">
        <v>2</v>
      </c>
      <c r="AM7" s="28">
        <v>3</v>
      </c>
      <c r="AN7" s="28">
        <v>8</v>
      </c>
      <c r="AO7" s="74">
        <v>35</v>
      </c>
      <c r="AP7" s="28">
        <v>1</v>
      </c>
      <c r="AQ7" s="28">
        <v>0</v>
      </c>
      <c r="AR7" s="74">
        <v>6</v>
      </c>
      <c r="AS7" s="28">
        <f>IFERROR((PHI_H170[[#This Row],[H]]-PHI_H170[[#This Row],[2B]]-PHI_H170[[#This Row],[3B]]-PHI_H170[[#This Row],[HR]])+(PHI_H170[[#This Row],[2B]]*2)+(PHI_H170[[#This Row],[3B]]*3)+(PHI_H170[[#This Row],[HR]]*4),0)</f>
        <v>55</v>
      </c>
      <c r="AT7" s="72">
        <f>PHI_H170[[#This Row],[OBP]]+PHI_H170[[#This Row],[SLG]]</f>
        <v>0.70249617931737141</v>
      </c>
      <c r="AU7" s="74">
        <v>0</v>
      </c>
      <c r="AV7" s="615">
        <v>4</v>
      </c>
      <c r="AY7" s="720" t="s">
        <v>770</v>
      </c>
      <c r="AZ7" s="74" t="s">
        <v>153</v>
      </c>
      <c r="BA7" s="71" t="s">
        <v>780</v>
      </c>
      <c r="BB7" s="72">
        <f>IFERROR(PHI_H170184[[#This Row],[H]]/PHI_H170184[[#This Row],[AB]],0)</f>
        <v>0.24358974358974358</v>
      </c>
      <c r="BC7" s="72">
        <f>IFERROR((PHI_H170184[[#This Row],[BB]]+PHI_H170184[[#This Row],[H]])/(PHI_H170184[[#This Row],[BB]]+PHI_H170184[[#This Row],[AB]]),0)</f>
        <v>0.27607361963190186</v>
      </c>
      <c r="BD7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0.33333333333333331</v>
      </c>
      <c r="BE7" s="28">
        <v>40</v>
      </c>
      <c r="BF7" s="28">
        <v>156</v>
      </c>
      <c r="BG7" s="28">
        <v>12</v>
      </c>
      <c r="BH7" s="28">
        <v>38</v>
      </c>
      <c r="BI7" s="28">
        <v>8</v>
      </c>
      <c r="BJ7" s="28">
        <v>0</v>
      </c>
      <c r="BK7" s="28">
        <v>2</v>
      </c>
      <c r="BL7" s="28">
        <v>14</v>
      </c>
      <c r="BM7" s="28">
        <v>7</v>
      </c>
      <c r="BN7" s="74">
        <v>27</v>
      </c>
      <c r="BO7" s="28">
        <v>6</v>
      </c>
      <c r="BP7" s="28">
        <v>7</v>
      </c>
      <c r="BQ7" s="74">
        <v>7</v>
      </c>
      <c r="BR7" s="28">
        <f>(PHI_H170184[[#This Row],[H]]-PHI_H170184[[#This Row],[2B]]-PHI_H170184[[#This Row],[3B]]-PHI_H170184[[#This Row],[HR]])+(PHI_H170184[[#This Row],[2B]]*2)+(PHI_H170184[[#This Row],[3B]]*3)+(PHI_H170184[[#This Row],[HR]]*4)</f>
        <v>52</v>
      </c>
      <c r="BS7" s="72">
        <f>IFERROR(PHI_H170184[[#This Row],[OBP]]+PHI_H170184[[#This Row],[SLG]],0)</f>
        <v>0.60940695296523517</v>
      </c>
      <c r="BT7" s="74">
        <v>1</v>
      </c>
      <c r="BU7" s="615">
        <v>4</v>
      </c>
    </row>
    <row r="8" spans="1:73">
      <c r="A8" s="651" t="s">
        <v>770</v>
      </c>
      <c r="B8" s="71" t="s">
        <v>177</v>
      </c>
      <c r="C8" s="71" t="s">
        <v>773</v>
      </c>
      <c r="D8" s="72">
        <f>IFERROR(PHI_H[[#This Row],[H]]/PHI_H[[#This Row],[AB]],0)</f>
        <v>0.24161073825503357</v>
      </c>
      <c r="E8" s="72">
        <f>IFERROR((PHI_H[[#This Row],[H]]+PHI_H[[#This Row],[BB]])/(PHI_H[[#This Row],[BB]]+PHI_H[[#This Row],[AB]]),0)</f>
        <v>0.32335329341317365</v>
      </c>
      <c r="F8" s="73">
        <f>IFERROR(((PHI_H[[#This Row],[H]]-PHI_H[[#This Row],[2B]]-PHI_H[[#This Row],[3B]]-PHI_H[[#This Row],[HR]])+(PHI_H[[#This Row],[2B]]*2)+(PHI_H[[#This Row],[3B]]*3)+(PHI_H[[#This Row],[HR]]*4))/PHI_H[[#This Row],[AB]],0)</f>
        <v>0.57046979865771807</v>
      </c>
      <c r="G8" s="28">
        <v>39</v>
      </c>
      <c r="H8" s="28">
        <v>149</v>
      </c>
      <c r="I8" s="28">
        <v>25</v>
      </c>
      <c r="J8" s="28">
        <v>36</v>
      </c>
      <c r="K8" s="28">
        <v>10</v>
      </c>
      <c r="L8" s="28">
        <v>0</v>
      </c>
      <c r="M8" s="28">
        <v>13</v>
      </c>
      <c r="N8" s="28">
        <v>32</v>
      </c>
      <c r="O8" s="28">
        <v>18</v>
      </c>
      <c r="P8" s="74">
        <v>36</v>
      </c>
      <c r="Q8" s="28">
        <v>0</v>
      </c>
      <c r="R8" s="28">
        <v>0</v>
      </c>
      <c r="S8" s="74">
        <v>8</v>
      </c>
      <c r="T8" s="28">
        <f>IFERROR((PHI_H[[#This Row],[H]]-PHI_H[[#This Row],[2B]]-PHI_H[[#This Row],[3B]]-PHI_H[[#This Row],[HR]])+(PHI_H[[#This Row],[2B]]*2)+(PHI_H[[#This Row],[3B]]*3)+(PHI_H[[#This Row],[HR]]*4),0)</f>
        <v>85</v>
      </c>
      <c r="U8" s="72">
        <f>PHI_H[[#This Row],[OBP]]+PHI_H[[#This Row],[SLG]]</f>
        <v>0.89382309207089172</v>
      </c>
      <c r="V8" s="104">
        <v>6</v>
      </c>
      <c r="W8" s="615">
        <v>5</v>
      </c>
      <c r="Z8" s="651" t="s">
        <v>770</v>
      </c>
      <c r="AA8" s="71" t="s">
        <v>177</v>
      </c>
      <c r="AB8" s="71" t="s">
        <v>782</v>
      </c>
      <c r="AC8" s="72">
        <f>IFERROR(PHI_H170[[#This Row],[H]]/PHI_H170[[#This Row],[AB]],0)</f>
        <v>0.29457364341085274</v>
      </c>
      <c r="AD8" s="72">
        <f>IFERROR((PHI_H170[[#This Row],[H]]+PHI_H170[[#This Row],[BB]])/(PHI_H170[[#This Row],[BB]]+PHI_H170[[#This Row],[AB]]),0)</f>
        <v>0.35915492957746481</v>
      </c>
      <c r="AE8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0.39534883720930231</v>
      </c>
      <c r="AF8" s="28">
        <v>31</v>
      </c>
      <c r="AG8" s="28">
        <v>129</v>
      </c>
      <c r="AH8" s="28">
        <v>15</v>
      </c>
      <c r="AI8" s="28">
        <v>38</v>
      </c>
      <c r="AJ8" s="28">
        <v>5</v>
      </c>
      <c r="AK8" s="28">
        <v>1</v>
      </c>
      <c r="AL8" s="28">
        <v>2</v>
      </c>
      <c r="AM8" s="28">
        <v>13</v>
      </c>
      <c r="AN8" s="28">
        <v>13</v>
      </c>
      <c r="AO8" s="74">
        <v>21</v>
      </c>
      <c r="AP8" s="28">
        <v>0</v>
      </c>
      <c r="AQ8" s="28">
        <v>6</v>
      </c>
      <c r="AR8" s="74">
        <v>9</v>
      </c>
      <c r="AS8" s="28">
        <f>IFERROR((PHI_H170[[#This Row],[H]]-PHI_H170[[#This Row],[2B]]-PHI_H170[[#This Row],[3B]]-PHI_H170[[#This Row],[HR]])+(PHI_H170[[#This Row],[2B]]*2)+(PHI_H170[[#This Row],[3B]]*3)+(PHI_H170[[#This Row],[HR]]*4),0)</f>
        <v>51</v>
      </c>
      <c r="AT8" s="72">
        <f>PHI_H170[[#This Row],[OBP]]+PHI_H170[[#This Row],[SLG]]</f>
        <v>0.75450376678676712</v>
      </c>
      <c r="AU8" s="74">
        <v>2</v>
      </c>
      <c r="AV8" s="615">
        <v>5</v>
      </c>
      <c r="AY8" s="720" t="s">
        <v>770</v>
      </c>
      <c r="AZ8" s="74" t="s">
        <v>177</v>
      </c>
      <c r="BA8" s="71" t="s">
        <v>781</v>
      </c>
      <c r="BB8" s="72">
        <f>IFERROR(PHI_H170184[[#This Row],[H]]/PHI_H170184[[#This Row],[AB]],0)</f>
        <v>0.2119205298013245</v>
      </c>
      <c r="BC8" s="72">
        <f>IFERROR((PHI_H170184[[#This Row],[BB]]+PHI_H170184[[#This Row],[H]])/(PHI_H170184[[#This Row],[BB]]+PHI_H170184[[#This Row],[AB]]),0)</f>
        <v>0.35326086956521741</v>
      </c>
      <c r="BD8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0.41059602649006621</v>
      </c>
      <c r="BE8" s="28">
        <v>40</v>
      </c>
      <c r="BF8" s="28">
        <v>151</v>
      </c>
      <c r="BG8" s="28">
        <v>27</v>
      </c>
      <c r="BH8" s="28">
        <v>32</v>
      </c>
      <c r="BI8" s="28">
        <v>9</v>
      </c>
      <c r="BJ8" s="28">
        <v>0</v>
      </c>
      <c r="BK8" s="28">
        <v>7</v>
      </c>
      <c r="BL8" s="28">
        <v>21</v>
      </c>
      <c r="BM8" s="28">
        <v>33</v>
      </c>
      <c r="BN8" s="74">
        <v>47</v>
      </c>
      <c r="BO8" s="28">
        <v>0</v>
      </c>
      <c r="BP8" s="28">
        <v>4</v>
      </c>
      <c r="BQ8" s="74">
        <v>4</v>
      </c>
      <c r="BR8" s="28">
        <f>(PHI_H170184[[#This Row],[H]]-PHI_H170184[[#This Row],[2B]]-PHI_H170184[[#This Row],[3B]]-PHI_H170184[[#This Row],[HR]])+(PHI_H170184[[#This Row],[2B]]*2)+(PHI_H170184[[#This Row],[3B]]*3)+(PHI_H170184[[#This Row],[HR]]*4)</f>
        <v>62</v>
      </c>
      <c r="BS8" s="72">
        <f>IFERROR(PHI_H170184[[#This Row],[OBP]]+PHI_H170184[[#This Row],[SLG]],0)</f>
        <v>0.76385689605528362</v>
      </c>
      <c r="BT8" s="74">
        <v>2</v>
      </c>
      <c r="BU8" s="615">
        <v>5</v>
      </c>
    </row>
    <row r="9" spans="1:73">
      <c r="A9" s="651" t="s">
        <v>770</v>
      </c>
      <c r="B9" s="71" t="s">
        <v>174</v>
      </c>
      <c r="C9" s="71" t="s">
        <v>782</v>
      </c>
      <c r="D9" s="72">
        <f>IFERROR(PHI_H[[#This Row],[H]]/PHI_H[[#This Row],[AB]],0)</f>
        <v>0.26717557251908397</v>
      </c>
      <c r="E9" s="72">
        <f>IFERROR((PHI_H[[#This Row],[H]]+PHI_H[[#This Row],[BB]])/(PHI_H[[#This Row],[BB]]+PHI_H[[#This Row],[AB]]),0)</f>
        <v>0.35570469798657717</v>
      </c>
      <c r="F9" s="73">
        <f>IFERROR(((PHI_H[[#This Row],[H]]-PHI_H[[#This Row],[2B]]-PHI_H[[#This Row],[3B]]-PHI_H[[#This Row],[HR]])+(PHI_H[[#This Row],[2B]]*2)+(PHI_H[[#This Row],[3B]]*3)+(PHI_H[[#This Row],[HR]]*4))/PHI_H[[#This Row],[AB]],0)</f>
        <v>0.36641221374045801</v>
      </c>
      <c r="G9" s="28">
        <v>37</v>
      </c>
      <c r="H9" s="28">
        <v>131</v>
      </c>
      <c r="I9" s="28">
        <v>6</v>
      </c>
      <c r="J9" s="28">
        <v>35</v>
      </c>
      <c r="K9" s="28">
        <v>8</v>
      </c>
      <c r="L9" s="28">
        <v>1</v>
      </c>
      <c r="M9" s="28">
        <v>1</v>
      </c>
      <c r="N9" s="28">
        <v>16</v>
      </c>
      <c r="O9" s="28">
        <v>18</v>
      </c>
      <c r="P9" s="74">
        <v>32</v>
      </c>
      <c r="Q9" s="28">
        <v>0</v>
      </c>
      <c r="R9" s="28">
        <v>1</v>
      </c>
      <c r="S9" s="74">
        <v>9</v>
      </c>
      <c r="T9" s="28">
        <f>IFERROR((PHI_H[[#This Row],[H]]-PHI_H[[#This Row],[2B]]-PHI_H[[#This Row],[3B]]-PHI_H[[#This Row],[HR]])+(PHI_H[[#This Row],[2B]]*2)+(PHI_H[[#This Row],[3B]]*3)+(PHI_H[[#This Row],[HR]]*4),0)</f>
        <v>48</v>
      </c>
      <c r="U9" s="72">
        <f>PHI_H[[#This Row],[OBP]]+PHI_H[[#This Row],[SLG]]</f>
        <v>0.72211691172703518</v>
      </c>
      <c r="V9" s="74">
        <v>2</v>
      </c>
      <c r="W9" s="615">
        <v>6</v>
      </c>
      <c r="Z9" s="651" t="s">
        <v>770</v>
      </c>
      <c r="AA9" s="71" t="s">
        <v>174</v>
      </c>
      <c r="AB9" s="71" t="s">
        <v>774</v>
      </c>
      <c r="AC9" s="72">
        <f>IFERROR(PHI_H170[[#This Row],[H]]/PHI_H170[[#This Row],[AB]],0)</f>
        <v>0.22875816993464052</v>
      </c>
      <c r="AD9" s="72">
        <f>IFERROR((PHI_H170[[#This Row],[H]]+PHI_H170[[#This Row],[BB]])/(PHI_H170[[#This Row],[BB]]+PHI_H170[[#This Row],[AB]]),0)</f>
        <v>0.28915662650602408</v>
      </c>
      <c r="AE9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0.47058823529411764</v>
      </c>
      <c r="AF9" s="28">
        <v>39</v>
      </c>
      <c r="AG9" s="28">
        <v>153</v>
      </c>
      <c r="AH9" s="28">
        <v>14</v>
      </c>
      <c r="AI9" s="28">
        <v>35</v>
      </c>
      <c r="AJ9" s="28">
        <v>4</v>
      </c>
      <c r="AK9" s="28">
        <v>0</v>
      </c>
      <c r="AL9" s="28">
        <v>11</v>
      </c>
      <c r="AM9" s="28">
        <v>25</v>
      </c>
      <c r="AN9" s="28">
        <v>13</v>
      </c>
      <c r="AO9" s="74">
        <v>55</v>
      </c>
      <c r="AP9" s="28">
        <v>0</v>
      </c>
      <c r="AQ9" s="28">
        <v>0</v>
      </c>
      <c r="AR9" s="74">
        <v>6</v>
      </c>
      <c r="AS9" s="28">
        <f>IFERROR((PHI_H170[[#This Row],[H]]-PHI_H170[[#This Row],[2B]]-PHI_H170[[#This Row],[3B]]-PHI_H170[[#This Row],[HR]])+(PHI_H170[[#This Row],[2B]]*2)+(PHI_H170[[#This Row],[3B]]*3)+(PHI_H170[[#This Row],[HR]]*4),0)</f>
        <v>72</v>
      </c>
      <c r="AT9" s="72">
        <f>PHI_H170[[#This Row],[OBP]]+PHI_H170[[#This Row],[SLG]]</f>
        <v>0.75974486180014167</v>
      </c>
      <c r="AU9" s="74">
        <v>3</v>
      </c>
      <c r="AV9" s="615">
        <v>6</v>
      </c>
      <c r="AY9" s="720" t="s">
        <v>770</v>
      </c>
      <c r="AZ9" s="74" t="s">
        <v>174</v>
      </c>
      <c r="BA9" s="71" t="s">
        <v>783</v>
      </c>
      <c r="BB9" s="72">
        <f>IFERROR(PHI_H170184[[#This Row],[H]]/PHI_H170184[[#This Row],[AB]],0)</f>
        <v>0.22222222222222221</v>
      </c>
      <c r="BC9" s="72">
        <f>IFERROR((PHI_H170184[[#This Row],[BB]]+PHI_H170184[[#This Row],[H]])/(PHI_H170184[[#This Row],[BB]]+PHI_H170184[[#This Row],[AB]]),0)</f>
        <v>0.30630630630630629</v>
      </c>
      <c r="BD9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0.35353535353535354</v>
      </c>
      <c r="BE9" s="28">
        <v>27</v>
      </c>
      <c r="BF9" s="28">
        <v>99</v>
      </c>
      <c r="BG9" s="28">
        <v>9</v>
      </c>
      <c r="BH9" s="28">
        <v>22</v>
      </c>
      <c r="BI9" s="28">
        <v>6</v>
      </c>
      <c r="BJ9" s="28">
        <v>2</v>
      </c>
      <c r="BK9" s="28">
        <v>1</v>
      </c>
      <c r="BL9" s="28">
        <v>5</v>
      </c>
      <c r="BM9" s="28">
        <v>12</v>
      </c>
      <c r="BN9" s="74">
        <v>26</v>
      </c>
      <c r="BO9" s="28">
        <v>0</v>
      </c>
      <c r="BP9" s="28">
        <v>1</v>
      </c>
      <c r="BQ9" s="74">
        <v>4</v>
      </c>
      <c r="BR9" s="28">
        <f>(PHI_H170184[[#This Row],[H]]-PHI_H170184[[#This Row],[2B]]-PHI_H170184[[#This Row],[3B]]-PHI_H170184[[#This Row],[HR]])+(PHI_H170184[[#This Row],[2B]]*2)+(PHI_H170184[[#This Row],[3B]]*3)+(PHI_H170184[[#This Row],[HR]]*4)</f>
        <v>35</v>
      </c>
      <c r="BS9" s="72">
        <f>IFERROR(PHI_H170184[[#This Row],[OBP]]+PHI_H170184[[#This Row],[SLG]],0)</f>
        <v>0.65984165984165988</v>
      </c>
      <c r="BT9" s="74">
        <v>0</v>
      </c>
      <c r="BU9" s="615">
        <v>6</v>
      </c>
    </row>
    <row r="10" spans="1:73">
      <c r="A10" s="651" t="s">
        <v>770</v>
      </c>
      <c r="B10" s="71" t="s">
        <v>181</v>
      </c>
      <c r="C10" s="71" t="s">
        <v>776</v>
      </c>
      <c r="D10" s="72">
        <f>IFERROR(PHI_H[[#This Row],[H]]/PHI_H[[#This Row],[AB]],0)</f>
        <v>0.26900584795321636</v>
      </c>
      <c r="E10" s="72">
        <f>IFERROR((PHI_H[[#This Row],[H]]+PHI_H[[#This Row],[BB]])/(PHI_H[[#This Row],[BB]]+PHI_H[[#This Row],[AB]]),0)</f>
        <v>0.33862433862433861</v>
      </c>
      <c r="F10" s="73">
        <f>IFERROR(((PHI_H[[#This Row],[H]]-PHI_H[[#This Row],[2B]]-PHI_H[[#This Row],[3B]]-PHI_H[[#This Row],[HR]])+(PHI_H[[#This Row],[2B]]*2)+(PHI_H[[#This Row],[3B]]*3)+(PHI_H[[#This Row],[HR]]*4))/PHI_H[[#This Row],[AB]],0)</f>
        <v>0.36842105263157893</v>
      </c>
      <c r="G10" s="28">
        <v>40</v>
      </c>
      <c r="H10" s="28">
        <v>171</v>
      </c>
      <c r="I10" s="28">
        <v>23</v>
      </c>
      <c r="J10" s="28">
        <v>46</v>
      </c>
      <c r="K10" s="28">
        <v>10</v>
      </c>
      <c r="L10" s="28">
        <v>2</v>
      </c>
      <c r="M10" s="28">
        <v>1</v>
      </c>
      <c r="N10" s="28">
        <v>8</v>
      </c>
      <c r="O10" s="28">
        <v>18</v>
      </c>
      <c r="P10" s="74">
        <v>38</v>
      </c>
      <c r="Q10" s="28">
        <v>13</v>
      </c>
      <c r="R10" s="28">
        <v>4</v>
      </c>
      <c r="S10" s="104">
        <v>17</v>
      </c>
      <c r="T10" s="28">
        <f>IFERROR((PHI_H[[#This Row],[H]]-PHI_H[[#This Row],[2B]]-PHI_H[[#This Row],[3B]]-PHI_H[[#This Row],[HR]])+(PHI_H[[#This Row],[2B]]*2)+(PHI_H[[#This Row],[3B]]*3)+(PHI_H[[#This Row],[HR]]*4),0)</f>
        <v>63</v>
      </c>
      <c r="U10" s="72">
        <f>PHI_H[[#This Row],[OBP]]+PHI_H[[#This Row],[SLG]]</f>
        <v>0.70704539125591759</v>
      </c>
      <c r="V10" s="74">
        <v>2</v>
      </c>
      <c r="W10" s="615">
        <v>7</v>
      </c>
      <c r="Z10" s="651" t="s">
        <v>770</v>
      </c>
      <c r="AA10" s="71" t="s">
        <v>181</v>
      </c>
      <c r="AB10" s="71" t="s">
        <v>776</v>
      </c>
      <c r="AC10" s="72">
        <f>IFERROR(PHI_H170[[#This Row],[H]]/PHI_H170[[#This Row],[AB]],0)</f>
        <v>0.29838709677419356</v>
      </c>
      <c r="AD10" s="72">
        <f>IFERROR((PHI_H170[[#This Row],[H]]+PHI_H170[[#This Row],[BB]])/(PHI_H170[[#This Row],[BB]]+PHI_H170[[#This Row],[AB]]),0)</f>
        <v>0.36496350364963503</v>
      </c>
      <c r="AE10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0.40322580645161288</v>
      </c>
      <c r="AF10" s="28">
        <v>29</v>
      </c>
      <c r="AG10" s="28">
        <v>124</v>
      </c>
      <c r="AH10" s="28">
        <v>14</v>
      </c>
      <c r="AI10" s="28">
        <v>37</v>
      </c>
      <c r="AJ10" s="28">
        <v>10</v>
      </c>
      <c r="AK10" s="28">
        <v>0</v>
      </c>
      <c r="AL10" s="28">
        <v>1</v>
      </c>
      <c r="AM10" s="28">
        <v>13</v>
      </c>
      <c r="AN10" s="28">
        <v>13</v>
      </c>
      <c r="AO10" s="74">
        <v>22</v>
      </c>
      <c r="AP10" s="28">
        <v>4</v>
      </c>
      <c r="AQ10" s="28">
        <v>0</v>
      </c>
      <c r="AR10" s="74">
        <v>11</v>
      </c>
      <c r="AS10" s="28">
        <f>IFERROR((PHI_H170[[#This Row],[H]]-PHI_H170[[#This Row],[2B]]-PHI_H170[[#This Row],[3B]]-PHI_H170[[#This Row],[HR]])+(PHI_H170[[#This Row],[2B]]*2)+(PHI_H170[[#This Row],[3B]]*3)+(PHI_H170[[#This Row],[HR]]*4),0)</f>
        <v>50</v>
      </c>
      <c r="AT10" s="72">
        <f>PHI_H170[[#This Row],[OBP]]+PHI_H170[[#This Row],[SLG]]</f>
        <v>0.76818931010124791</v>
      </c>
      <c r="AU10" s="74">
        <v>2</v>
      </c>
      <c r="AV10" s="615">
        <v>7</v>
      </c>
      <c r="AY10" s="720" t="s">
        <v>770</v>
      </c>
      <c r="AZ10" s="74" t="s">
        <v>181</v>
      </c>
      <c r="BA10" s="71" t="s">
        <v>776</v>
      </c>
      <c r="BB10" s="72">
        <f>IFERROR(PHI_H170184[[#This Row],[H]]/PHI_H170184[[#This Row],[AB]],0)</f>
        <v>0.31874999999999998</v>
      </c>
      <c r="BC10" s="72">
        <f>IFERROR((PHI_H170184[[#This Row],[BB]]+PHI_H170184[[#This Row],[H]])/(PHI_H170184[[#This Row],[BB]]+PHI_H170184[[#This Row],[AB]]),0)</f>
        <v>0.38068181818181818</v>
      </c>
      <c r="BD10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0.45624999999999999</v>
      </c>
      <c r="BE10" s="28">
        <v>38</v>
      </c>
      <c r="BF10" s="28">
        <v>160</v>
      </c>
      <c r="BG10" s="28">
        <v>28</v>
      </c>
      <c r="BH10" s="28">
        <v>51</v>
      </c>
      <c r="BI10" s="28">
        <v>10</v>
      </c>
      <c r="BJ10" s="28">
        <v>0</v>
      </c>
      <c r="BK10" s="28">
        <v>4</v>
      </c>
      <c r="BL10" s="28">
        <v>14</v>
      </c>
      <c r="BM10" s="28">
        <v>16</v>
      </c>
      <c r="BN10" s="74">
        <v>26</v>
      </c>
      <c r="BO10" s="28">
        <v>18</v>
      </c>
      <c r="BP10" s="28">
        <v>6</v>
      </c>
      <c r="BQ10" s="74">
        <v>9</v>
      </c>
      <c r="BR10" s="28">
        <f>(PHI_H170184[[#This Row],[H]]-PHI_H170184[[#This Row],[2B]]-PHI_H170184[[#This Row],[3B]]-PHI_H170184[[#This Row],[HR]])+(PHI_H170184[[#This Row],[2B]]*2)+(PHI_H170184[[#This Row],[3B]]*3)+(PHI_H170184[[#This Row],[HR]]*4)</f>
        <v>73</v>
      </c>
      <c r="BS10" s="72">
        <f>IFERROR(PHI_H170184[[#This Row],[OBP]]+PHI_H170184[[#This Row],[SLG]],0)</f>
        <v>0.83693181818181817</v>
      </c>
      <c r="BT10" s="74">
        <v>2</v>
      </c>
      <c r="BU10" s="615">
        <v>7</v>
      </c>
    </row>
    <row r="11" spans="1:73">
      <c r="A11" s="651" t="s">
        <v>770</v>
      </c>
      <c r="B11" s="71" t="s">
        <v>166</v>
      </c>
      <c r="C11" s="71" t="s">
        <v>772</v>
      </c>
      <c r="D11" s="72">
        <f>IFERROR(PHI_H[[#This Row],[H]]/PHI_H[[#This Row],[AB]],0)</f>
        <v>0.25</v>
      </c>
      <c r="E11" s="72">
        <f>IFERROR((PHI_H[[#This Row],[H]]+PHI_H[[#This Row],[BB]])/(PHI_H[[#This Row],[BB]]+PHI_H[[#This Row],[AB]]),0)</f>
        <v>0.33522727272727271</v>
      </c>
      <c r="F11" s="73">
        <f>IFERROR(((PHI_H[[#This Row],[H]]-PHI_H[[#This Row],[2B]]-PHI_H[[#This Row],[3B]]-PHI_H[[#This Row],[HR]])+(PHI_H[[#This Row],[2B]]*2)+(PHI_H[[#This Row],[3B]]*3)+(PHI_H[[#This Row],[HR]]*4))/PHI_H[[#This Row],[AB]],0)</f>
        <v>0.49358974358974361</v>
      </c>
      <c r="G11" s="28">
        <v>40</v>
      </c>
      <c r="H11" s="28">
        <v>156</v>
      </c>
      <c r="I11" s="28">
        <v>22</v>
      </c>
      <c r="J11" s="28">
        <v>39</v>
      </c>
      <c r="K11" s="76">
        <v>16</v>
      </c>
      <c r="L11" s="28">
        <v>2</v>
      </c>
      <c r="M11" s="28">
        <v>6</v>
      </c>
      <c r="N11" s="28">
        <v>18</v>
      </c>
      <c r="O11" s="28">
        <v>20</v>
      </c>
      <c r="P11" s="74">
        <v>41</v>
      </c>
      <c r="Q11" s="28">
        <v>0</v>
      </c>
      <c r="R11" s="28">
        <v>7</v>
      </c>
      <c r="S11" s="74">
        <v>7</v>
      </c>
      <c r="T11" s="28">
        <f>IFERROR((PHI_H[[#This Row],[H]]-PHI_H[[#This Row],[2B]]-PHI_H[[#This Row],[3B]]-PHI_H[[#This Row],[HR]])+(PHI_H[[#This Row],[2B]]*2)+(PHI_H[[#This Row],[3B]]*3)+(PHI_H[[#This Row],[HR]]*4),0)</f>
        <v>77</v>
      </c>
      <c r="U11" s="72">
        <f>PHI_H[[#This Row],[OBP]]+PHI_H[[#This Row],[SLG]]</f>
        <v>0.82881701631701632</v>
      </c>
      <c r="V11" s="74">
        <v>3</v>
      </c>
      <c r="W11" s="615">
        <v>8</v>
      </c>
      <c r="Z11" s="651" t="s">
        <v>770</v>
      </c>
      <c r="AA11" s="71" t="s">
        <v>166</v>
      </c>
      <c r="AB11" s="71" t="s">
        <v>772</v>
      </c>
      <c r="AC11" s="72">
        <f>IFERROR(PHI_H170[[#This Row],[H]]/PHI_H170[[#This Row],[AB]],0)</f>
        <v>0.26923076923076922</v>
      </c>
      <c r="AD11" s="72">
        <f>IFERROR((PHI_H170[[#This Row],[H]]+PHI_H170[[#This Row],[BB]])/(PHI_H170[[#This Row],[BB]]+PHI_H170[[#This Row],[AB]]),0)</f>
        <v>0.34482758620689657</v>
      </c>
      <c r="AE11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0.52564102564102566</v>
      </c>
      <c r="AF11" s="28">
        <v>40</v>
      </c>
      <c r="AG11" s="28">
        <v>156</v>
      </c>
      <c r="AH11" s="28">
        <v>22</v>
      </c>
      <c r="AI11" s="28">
        <v>42</v>
      </c>
      <c r="AJ11" s="28">
        <v>10</v>
      </c>
      <c r="AK11" s="28">
        <v>0</v>
      </c>
      <c r="AL11" s="28">
        <v>10</v>
      </c>
      <c r="AM11" s="28">
        <v>28</v>
      </c>
      <c r="AN11" s="28">
        <v>18</v>
      </c>
      <c r="AO11" s="74">
        <v>36</v>
      </c>
      <c r="AP11" s="28">
        <v>0</v>
      </c>
      <c r="AQ11" s="28">
        <v>5</v>
      </c>
      <c r="AR11" s="74">
        <v>8</v>
      </c>
      <c r="AS11" s="28">
        <f>IFERROR((PHI_H170[[#This Row],[H]]-PHI_H170[[#This Row],[2B]]-PHI_H170[[#This Row],[3B]]-PHI_H170[[#This Row],[HR]])+(PHI_H170[[#This Row],[2B]]*2)+(PHI_H170[[#This Row],[3B]]*3)+(PHI_H170[[#This Row],[HR]]*4),0)</f>
        <v>82</v>
      </c>
      <c r="AT11" s="72">
        <f>PHI_H170[[#This Row],[OBP]]+PHI_H170[[#This Row],[SLG]]</f>
        <v>0.87046861184792224</v>
      </c>
      <c r="AU11" s="74">
        <v>5</v>
      </c>
      <c r="AV11" s="615">
        <v>8</v>
      </c>
      <c r="AY11" s="720" t="s">
        <v>770</v>
      </c>
      <c r="AZ11" s="74" t="s">
        <v>166</v>
      </c>
      <c r="BA11" s="71" t="s">
        <v>772</v>
      </c>
      <c r="BB11" s="72">
        <f>IFERROR(PHI_H170184[[#This Row],[H]]/PHI_H170184[[#This Row],[AB]],0)</f>
        <v>0.27329192546583853</v>
      </c>
      <c r="BC11" s="72">
        <f>IFERROR((PHI_H170184[[#This Row],[BB]]+PHI_H170184[[#This Row],[H]])/(PHI_H170184[[#This Row],[BB]]+PHI_H170184[[#This Row],[AB]]),0)</f>
        <v>0.35714285714285715</v>
      </c>
      <c r="BD11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0.47826086956521741</v>
      </c>
      <c r="BE11" s="28">
        <v>40</v>
      </c>
      <c r="BF11" s="28">
        <v>161</v>
      </c>
      <c r="BG11" s="28">
        <v>29</v>
      </c>
      <c r="BH11" s="28">
        <v>44</v>
      </c>
      <c r="BI11" s="28">
        <v>12</v>
      </c>
      <c r="BJ11" s="28">
        <v>0</v>
      </c>
      <c r="BK11" s="28">
        <v>7</v>
      </c>
      <c r="BL11" s="28">
        <v>26</v>
      </c>
      <c r="BM11" s="28">
        <v>21</v>
      </c>
      <c r="BN11" s="74">
        <v>53</v>
      </c>
      <c r="BO11" s="28">
        <v>1</v>
      </c>
      <c r="BP11" s="28">
        <v>7</v>
      </c>
      <c r="BQ11" s="74">
        <v>7</v>
      </c>
      <c r="BR11" s="28">
        <f>(PHI_H170184[[#This Row],[H]]-PHI_H170184[[#This Row],[2B]]-PHI_H170184[[#This Row],[3B]]-PHI_H170184[[#This Row],[HR]])+(PHI_H170184[[#This Row],[2B]]*2)+(PHI_H170184[[#This Row],[3B]]*3)+(PHI_H170184[[#This Row],[HR]]*4)</f>
        <v>77</v>
      </c>
      <c r="BS11" s="72">
        <f>IFERROR(PHI_H170184[[#This Row],[OBP]]+PHI_H170184[[#This Row],[SLG]],0)</f>
        <v>0.8354037267080745</v>
      </c>
      <c r="BT11" s="74">
        <v>2</v>
      </c>
      <c r="BU11" s="615">
        <v>8</v>
      </c>
    </row>
    <row r="12" spans="1:73">
      <c r="A12" s="651" t="s">
        <v>770</v>
      </c>
      <c r="B12" s="71" t="s">
        <v>168</v>
      </c>
      <c r="C12" s="71" t="s">
        <v>774</v>
      </c>
      <c r="D12" s="72">
        <f>IFERROR(PHI_H[[#This Row],[H]]/PHI_H[[#This Row],[AB]],0)</f>
        <v>0.16296296296296298</v>
      </c>
      <c r="E12" s="72">
        <f>IFERROR((PHI_H[[#This Row],[H]]+PHI_H[[#This Row],[BB]])/(PHI_H[[#This Row],[BB]]+PHI_H[[#This Row],[AB]]),0)</f>
        <v>0.28025477707006369</v>
      </c>
      <c r="F12" s="73">
        <f>IFERROR(((PHI_H[[#This Row],[H]]-PHI_H[[#This Row],[2B]]-PHI_H[[#This Row],[3B]]-PHI_H[[#This Row],[HR]])+(PHI_H[[#This Row],[2B]]*2)+(PHI_H[[#This Row],[3B]]*3)+(PHI_H[[#This Row],[HR]]*4))/PHI_H[[#This Row],[AB]],0)</f>
        <v>0.27407407407407408</v>
      </c>
      <c r="G12" s="28">
        <v>40</v>
      </c>
      <c r="H12" s="28">
        <v>135</v>
      </c>
      <c r="I12" s="28">
        <v>13</v>
      </c>
      <c r="J12" s="28">
        <v>22</v>
      </c>
      <c r="K12" s="28">
        <v>3</v>
      </c>
      <c r="L12" s="28">
        <v>0</v>
      </c>
      <c r="M12" s="28">
        <v>4</v>
      </c>
      <c r="N12" s="28">
        <v>11</v>
      </c>
      <c r="O12" s="28">
        <v>22</v>
      </c>
      <c r="P12" s="74">
        <v>46</v>
      </c>
      <c r="Q12" s="28">
        <v>0</v>
      </c>
      <c r="R12" s="28">
        <v>1</v>
      </c>
      <c r="S12" s="74">
        <v>4</v>
      </c>
      <c r="T12" s="28">
        <f>IFERROR((PHI_H[[#This Row],[H]]-PHI_H[[#This Row],[2B]]-PHI_H[[#This Row],[3B]]-PHI_H[[#This Row],[HR]])+(PHI_H[[#This Row],[2B]]*2)+(PHI_H[[#This Row],[3B]]*3)+(PHI_H[[#This Row],[HR]]*4),0)</f>
        <v>37</v>
      </c>
      <c r="U12" s="72">
        <f>PHI_H[[#This Row],[OBP]]+PHI_H[[#This Row],[SLG]]</f>
        <v>0.55432885114413777</v>
      </c>
      <c r="V12" s="74">
        <v>2</v>
      </c>
      <c r="W12" s="615">
        <v>9</v>
      </c>
      <c r="Z12" s="651" t="s">
        <v>770</v>
      </c>
      <c r="AA12" s="71" t="s">
        <v>168</v>
      </c>
      <c r="AB12" s="71" t="s">
        <v>773</v>
      </c>
      <c r="AC12" s="72">
        <f>IFERROR(PHI_H170[[#This Row],[H]]/PHI_H170[[#This Row],[AB]],0)</f>
        <v>0.21481481481481482</v>
      </c>
      <c r="AD12" s="72">
        <f>IFERROR((PHI_H170[[#This Row],[H]]+PHI_H170[[#This Row],[BB]])/(PHI_H170[[#This Row],[BB]]+PHI_H170[[#This Row],[AB]]),0)</f>
        <v>0.29333333333333333</v>
      </c>
      <c r="AE12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0.3925925925925926</v>
      </c>
      <c r="AF12" s="28">
        <v>36</v>
      </c>
      <c r="AG12" s="28">
        <v>135</v>
      </c>
      <c r="AH12" s="28">
        <v>12</v>
      </c>
      <c r="AI12" s="28">
        <v>29</v>
      </c>
      <c r="AJ12" s="28">
        <v>6</v>
      </c>
      <c r="AK12" s="28">
        <v>0</v>
      </c>
      <c r="AL12" s="28">
        <v>6</v>
      </c>
      <c r="AM12" s="28">
        <v>14</v>
      </c>
      <c r="AN12" s="28">
        <v>15</v>
      </c>
      <c r="AO12" s="74">
        <v>49</v>
      </c>
      <c r="AP12" s="28">
        <v>0</v>
      </c>
      <c r="AQ12" s="28">
        <v>2</v>
      </c>
      <c r="AR12" s="74">
        <v>6</v>
      </c>
      <c r="AS12" s="28">
        <f>IFERROR((PHI_H170[[#This Row],[H]]-PHI_H170[[#This Row],[2B]]-PHI_H170[[#This Row],[3B]]-PHI_H170[[#This Row],[HR]])+(PHI_H170[[#This Row],[2B]]*2)+(PHI_H170[[#This Row],[3B]]*3)+(PHI_H170[[#This Row],[HR]]*4),0)</f>
        <v>53</v>
      </c>
      <c r="AT12" s="72">
        <f>PHI_H170[[#This Row],[OBP]]+PHI_H170[[#This Row],[SLG]]</f>
        <v>0.68592592592592594</v>
      </c>
      <c r="AU12" s="74">
        <v>1</v>
      </c>
      <c r="AV12" s="615">
        <v>9</v>
      </c>
      <c r="AY12" s="720" t="s">
        <v>770</v>
      </c>
      <c r="AZ12" s="104" t="s">
        <v>168</v>
      </c>
      <c r="BA12" s="71" t="s">
        <v>773</v>
      </c>
      <c r="BB12" s="72">
        <f>IFERROR(PHI_H170184[[#This Row],[H]]/PHI_H170184[[#This Row],[AB]],0)</f>
        <v>0.31159420289855072</v>
      </c>
      <c r="BC12" s="72">
        <f>IFERROR((PHI_H170184[[#This Row],[BB]]+PHI_H170184[[#This Row],[H]])/(PHI_H170184[[#This Row],[BB]]+PHI_H170184[[#This Row],[AB]]),0)</f>
        <v>0.38311688311688313</v>
      </c>
      <c r="BD12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0.65217391304347827</v>
      </c>
      <c r="BE12" s="28">
        <v>39</v>
      </c>
      <c r="BF12" s="28">
        <v>138</v>
      </c>
      <c r="BG12" s="28">
        <v>23</v>
      </c>
      <c r="BH12" s="28">
        <v>43</v>
      </c>
      <c r="BI12" s="28">
        <v>11</v>
      </c>
      <c r="BJ12" s="28">
        <v>0</v>
      </c>
      <c r="BK12" s="28">
        <v>12</v>
      </c>
      <c r="BL12" s="28">
        <v>41</v>
      </c>
      <c r="BM12" s="28">
        <v>16</v>
      </c>
      <c r="BN12" s="74">
        <v>44</v>
      </c>
      <c r="BO12" s="28">
        <v>0</v>
      </c>
      <c r="BP12" s="28">
        <v>2</v>
      </c>
      <c r="BQ12" s="74">
        <v>4</v>
      </c>
      <c r="BR12" s="28">
        <f>(PHI_H170184[[#This Row],[H]]-PHI_H170184[[#This Row],[2B]]-PHI_H170184[[#This Row],[3B]]-PHI_H170184[[#This Row],[HR]])+(PHI_H170184[[#This Row],[2B]]*2)+(PHI_H170184[[#This Row],[3B]]*3)+(PHI_H170184[[#This Row],[HR]]*4)</f>
        <v>90</v>
      </c>
      <c r="BS12" s="72">
        <f>IFERROR(PHI_H170184[[#This Row],[OBP]]+PHI_H170184[[#This Row],[SLG]],0)</f>
        <v>1.0352907961603615</v>
      </c>
      <c r="BT12" s="74">
        <v>8</v>
      </c>
      <c r="BU12" s="615">
        <v>9</v>
      </c>
    </row>
    <row r="13" spans="1:73">
      <c r="A13" s="651" t="s">
        <v>770</v>
      </c>
      <c r="B13" s="71" t="s">
        <v>179</v>
      </c>
      <c r="C13" s="71" t="s">
        <v>787</v>
      </c>
      <c r="D13" s="72">
        <f>IFERROR(PHI_H[[#This Row],[H]]/PHI_H[[#This Row],[AB]],0)</f>
        <v>0</v>
      </c>
      <c r="E13" s="72">
        <f>IFERROR((PHI_H[[#This Row],[H]]+PHI_H[[#This Row],[BB]])/(PHI_H[[#This Row],[BB]]+PHI_H[[#This Row],[AB]]),0)</f>
        <v>0</v>
      </c>
      <c r="F13" s="73">
        <f>IFERROR(((PHI_H[[#This Row],[H]]-PHI_H[[#This Row],[2B]]-PHI_H[[#This Row],[3B]]-PHI_H[[#This Row],[HR]])+(PHI_H[[#This Row],[2B]]*2)+(PHI_H[[#This Row],[3B]]*3)+(PHI_H[[#This Row],[HR]]*4))/PHI_H[[#This Row],[AB]],0)</f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74">
        <v>0</v>
      </c>
      <c r="Q13" s="28">
        <v>0</v>
      </c>
      <c r="R13" s="28">
        <v>0</v>
      </c>
      <c r="S13" s="74">
        <v>0</v>
      </c>
      <c r="T13" s="28">
        <f>IFERROR((PHI_H[[#This Row],[H]]-PHI_H[[#This Row],[2B]]-PHI_H[[#This Row],[3B]]-PHI_H[[#This Row],[HR]])+(PHI_H[[#This Row],[2B]]*2)+(PHI_H[[#This Row],[3B]]*3)+(PHI_H[[#This Row],[HR]]*4),0)</f>
        <v>0</v>
      </c>
      <c r="U13" s="72">
        <f>PHI_H[[#This Row],[OBP]]+PHI_H[[#This Row],[SLG]]</f>
        <v>0</v>
      </c>
      <c r="V13" s="74">
        <v>0</v>
      </c>
      <c r="W13" s="615">
        <v>10</v>
      </c>
      <c r="Z13" s="651" t="s">
        <v>770</v>
      </c>
      <c r="AA13" s="71" t="s">
        <v>179</v>
      </c>
      <c r="AB13" s="71" t="s">
        <v>787</v>
      </c>
      <c r="AC13" s="72">
        <f>IFERROR(PHI_H170[[#This Row],[H]]/PHI_H170[[#This Row],[AB]],0)</f>
        <v>0</v>
      </c>
      <c r="AD13" s="72">
        <f>IFERROR((PHI_H170[[#This Row],[H]]+PHI_H170[[#This Row],[BB]])/(PHI_H170[[#This Row],[BB]]+PHI_H170[[#This Row],[AB]]),0)</f>
        <v>0.2</v>
      </c>
      <c r="AE13" s="73">
        <f>IFERROR(((PHI_H170[[#This Row],[H]]-PHI_H170[[#This Row],[2B]]-PHI_H170[[#This Row],[3B]]-PHI_H170[[#This Row],[HR]])+(PHI_H170[[#This Row],[2B]]*2)+(PHI_H170[[#This Row],[3B]]*3)+(PHI_H170[[#This Row],[HR]]*4))/PHI_H170[[#This Row],[AB]],0)</f>
        <v>0</v>
      </c>
      <c r="AF13" s="28">
        <v>2</v>
      </c>
      <c r="AG13" s="28">
        <v>8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2</v>
      </c>
      <c r="AO13" s="74">
        <v>2</v>
      </c>
      <c r="AP13" s="28">
        <v>0</v>
      </c>
      <c r="AQ13" s="28">
        <v>0</v>
      </c>
      <c r="AR13" s="74">
        <v>0</v>
      </c>
      <c r="AS13" s="28">
        <f>IFERROR((PHI_H170[[#This Row],[H]]-PHI_H170[[#This Row],[2B]]-PHI_H170[[#This Row],[3B]]-PHI_H170[[#This Row],[HR]])+(PHI_H170[[#This Row],[2B]]*2)+(PHI_H170[[#This Row],[3B]]*3)+(PHI_H170[[#This Row],[HR]]*4),0)</f>
        <v>0</v>
      </c>
      <c r="AT13" s="72">
        <f>PHI_H170[[#This Row],[OBP]]+PHI_H170[[#This Row],[SLG]]</f>
        <v>0.2</v>
      </c>
      <c r="AU13" s="74">
        <v>0</v>
      </c>
      <c r="AV13" s="615">
        <v>10</v>
      </c>
      <c r="AY13" s="720" t="s">
        <v>770</v>
      </c>
      <c r="AZ13" s="74" t="s">
        <v>179</v>
      </c>
      <c r="BA13" s="71" t="s">
        <v>787</v>
      </c>
      <c r="BB13" s="72">
        <f>IFERROR(PHI_H170184[[#This Row],[H]]/PHI_H170184[[#This Row],[AB]],0)</f>
        <v>0</v>
      </c>
      <c r="BC13" s="72">
        <f>IFERROR((PHI_H170184[[#This Row],[BB]]+PHI_H170184[[#This Row],[H]])/(PHI_H170184[[#This Row],[BB]]+PHI_H170184[[#This Row],[AB]]),0)</f>
        <v>0</v>
      </c>
      <c r="BD13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</v>
      </c>
      <c r="BE13" s="28">
        <v>2</v>
      </c>
      <c r="BF13" s="28">
        <v>4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74">
        <v>1</v>
      </c>
      <c r="BO13" s="28">
        <v>0</v>
      </c>
      <c r="BP13" s="28">
        <v>0</v>
      </c>
      <c r="BQ13" s="74">
        <v>0</v>
      </c>
      <c r="BR13" s="28">
        <f>(PHI_H170184[[#This Row],[H]]-PHI_H170184[[#This Row],[2B]]-PHI_H170184[[#This Row],[3B]]-PHI_H170184[[#This Row],[HR]])+(PHI_H170184[[#This Row],[2B]]*2)+(PHI_H170184[[#This Row],[3B]]*3)+(PHI_H170184[[#This Row],[HR]]*4)</f>
        <v>0</v>
      </c>
      <c r="BS13" s="72">
        <f>IFERROR(PHI_H170184[[#This Row],[OBP]]+PHI_H170184[[#This Row],[SLG]],0)</f>
        <v>0</v>
      </c>
      <c r="BT13" s="74">
        <v>0</v>
      </c>
      <c r="BU13" s="615">
        <v>10</v>
      </c>
    </row>
    <row r="14" spans="1:73">
      <c r="A14" s="651" t="s">
        <v>770</v>
      </c>
      <c r="B14" s="71" t="s">
        <v>187</v>
      </c>
      <c r="C14" s="71" t="s">
        <v>786</v>
      </c>
      <c r="D14" s="72">
        <f>IFERROR(PHI_H[[#This Row],[H]]/PHI_H[[#This Row],[AB]],0)</f>
        <v>0.2</v>
      </c>
      <c r="E14" s="72">
        <f>IFERROR((PHI_H[[#This Row],[H]]+PHI_H[[#This Row],[BB]])/(PHI_H[[#This Row],[BB]]+PHI_H[[#This Row],[AB]]),0)</f>
        <v>0.2</v>
      </c>
      <c r="F14" s="73">
        <f>IFERROR(((PHI_H[[#This Row],[H]]-PHI_H[[#This Row],[2B]]-PHI_H[[#This Row],[3B]]-PHI_H[[#This Row],[HR]])+(PHI_H[[#This Row],[2B]]*2)+(PHI_H[[#This Row],[3B]]*3)+(PHI_H[[#This Row],[HR]]*4))/PHI_H[[#This Row],[AB]],0)</f>
        <v>0.2</v>
      </c>
      <c r="G14" s="28">
        <v>2</v>
      </c>
      <c r="H14" s="28">
        <v>5</v>
      </c>
      <c r="I14" s="28">
        <v>0</v>
      </c>
      <c r="J14" s="28">
        <v>1</v>
      </c>
      <c r="K14" s="28">
        <v>0</v>
      </c>
      <c r="L14" s="28">
        <v>0</v>
      </c>
      <c r="M14" s="28">
        <v>0</v>
      </c>
      <c r="N14" s="28">
        <v>1</v>
      </c>
      <c r="O14" s="28">
        <v>0</v>
      </c>
      <c r="P14" s="74">
        <v>2</v>
      </c>
      <c r="Q14" s="28">
        <v>0</v>
      </c>
      <c r="R14" s="28">
        <v>0</v>
      </c>
      <c r="S14" s="74">
        <v>1</v>
      </c>
      <c r="T14" s="28">
        <f>IFERROR((PHI_H[[#This Row],[H]]-PHI_H[[#This Row],[2B]]-PHI_H[[#This Row],[3B]]-PHI_H[[#This Row],[HR]])+(PHI_H[[#This Row],[2B]]*2)+(PHI_H[[#This Row],[3B]]*3)+(PHI_H[[#This Row],[HR]]*4),0)</f>
        <v>1</v>
      </c>
      <c r="U14" s="72">
        <f>PHI_H[[#This Row],[OBP]]+PHI_H[[#This Row],[SLG]]</f>
        <v>0.4</v>
      </c>
      <c r="V14" s="74">
        <v>0</v>
      </c>
      <c r="W14" s="615">
        <v>11</v>
      </c>
      <c r="Z14" s="651" t="s">
        <v>770</v>
      </c>
      <c r="AA14" s="71" t="s">
        <v>187</v>
      </c>
      <c r="AB14" s="71" t="s">
        <v>786</v>
      </c>
      <c r="AC14" s="72">
        <f>IFERROR(PHI_H170[[#This Row],[H]]/PHI_H170[[#This Row],[AB]],0)</f>
        <v>0.5</v>
      </c>
      <c r="AD14" s="72">
        <f>IFERROR((PHI_H170[[#This Row],[H]]+PHI_H170[[#This Row],[BB]])/(PHI_H170[[#This Row],[BB]]+PHI_H170[[#This Row],[AB]]),0)</f>
        <v>0.7</v>
      </c>
      <c r="AE14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0.5</v>
      </c>
      <c r="AF14" s="28">
        <v>2</v>
      </c>
      <c r="AG14" s="28">
        <v>6</v>
      </c>
      <c r="AH14" s="28">
        <v>4</v>
      </c>
      <c r="AI14" s="28">
        <v>3</v>
      </c>
      <c r="AJ14" s="28">
        <v>0</v>
      </c>
      <c r="AK14" s="28">
        <v>0</v>
      </c>
      <c r="AL14" s="28">
        <v>0</v>
      </c>
      <c r="AM14" s="28">
        <v>0</v>
      </c>
      <c r="AN14" s="28">
        <v>4</v>
      </c>
      <c r="AO14" s="74">
        <v>3</v>
      </c>
      <c r="AP14" s="28">
        <v>0</v>
      </c>
      <c r="AQ14" s="28">
        <v>2</v>
      </c>
      <c r="AR14" s="74">
        <v>2</v>
      </c>
      <c r="AS14" s="28">
        <f>IFERROR((PHI_H170[[#This Row],[H]]-PHI_H170[[#This Row],[2B]]-PHI_H170[[#This Row],[3B]]-PHI_H170[[#This Row],[HR]])+(PHI_H170[[#This Row],[2B]]*2)+(PHI_H170[[#This Row],[3B]]*3)+(PHI_H170[[#This Row],[HR]]*4),0)</f>
        <v>3</v>
      </c>
      <c r="AT14" s="72">
        <f>PHI_H170[[#This Row],[OBP]]+PHI_H170[[#This Row],[SLG]]</f>
        <v>1.2</v>
      </c>
      <c r="AU14" s="74">
        <v>0</v>
      </c>
      <c r="AV14" s="615">
        <v>11</v>
      </c>
      <c r="AY14" s="720" t="s">
        <v>770</v>
      </c>
      <c r="AZ14" s="74" t="s">
        <v>192</v>
      </c>
      <c r="BA14" s="71" t="s">
        <v>786</v>
      </c>
      <c r="BB14" s="72">
        <f>IFERROR(PHI_H170184[[#This Row],[H]]/PHI_H170184[[#This Row],[AB]],0)</f>
        <v>0.19047619047619047</v>
      </c>
      <c r="BC14" s="72">
        <f>IFERROR((PHI_H170184[[#This Row],[BB]]+PHI_H170184[[#This Row],[H]])/(PHI_H170184[[#This Row],[BB]]+PHI_H170184[[#This Row],[AB]]),0)</f>
        <v>0.29166666666666669</v>
      </c>
      <c r="BD14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0.19047619047619047</v>
      </c>
      <c r="BE14" s="28">
        <v>8</v>
      </c>
      <c r="BF14" s="28">
        <v>21</v>
      </c>
      <c r="BG14" s="28">
        <v>1</v>
      </c>
      <c r="BH14" s="28">
        <v>4</v>
      </c>
      <c r="BI14" s="28">
        <v>0</v>
      </c>
      <c r="BJ14" s="28">
        <v>0</v>
      </c>
      <c r="BK14" s="28">
        <v>0</v>
      </c>
      <c r="BL14" s="28">
        <v>0</v>
      </c>
      <c r="BM14" s="28">
        <v>3</v>
      </c>
      <c r="BN14" s="74">
        <v>6</v>
      </c>
      <c r="BO14" s="28">
        <v>0</v>
      </c>
      <c r="BP14" s="28">
        <v>1</v>
      </c>
      <c r="BQ14" s="74">
        <v>2</v>
      </c>
      <c r="BR14" s="28">
        <f>(PHI_H170184[[#This Row],[H]]-PHI_H170184[[#This Row],[2B]]-PHI_H170184[[#This Row],[3B]]-PHI_H170184[[#This Row],[HR]])+(PHI_H170184[[#This Row],[2B]]*2)+(PHI_H170184[[#This Row],[3B]]*3)+(PHI_H170184[[#This Row],[HR]]*4)</f>
        <v>4</v>
      </c>
      <c r="BS14" s="72">
        <f>IFERROR(PHI_H170184[[#This Row],[OBP]]+PHI_H170184[[#This Row],[SLG]],0)</f>
        <v>0.48214285714285715</v>
      </c>
      <c r="BT14" s="74">
        <v>0</v>
      </c>
      <c r="BU14" s="615">
        <v>11</v>
      </c>
    </row>
    <row r="15" spans="1:73">
      <c r="A15" s="651" t="s">
        <v>770</v>
      </c>
      <c r="B15" s="77" t="s">
        <v>187</v>
      </c>
      <c r="C15" s="77" t="s">
        <v>780</v>
      </c>
      <c r="D15" s="996">
        <f>IFERROR(PHI_H[[#This Row],[H]]/PHI_H[[#This Row],[AB]],0)</f>
        <v>0.2</v>
      </c>
      <c r="E15" s="72">
        <f>IFERROR((PHI_H[[#This Row],[H]]+PHI_H[[#This Row],[BB]])/(PHI_H[[#This Row],[BB]]+PHI_H[[#This Row],[AB]]),0)</f>
        <v>0.27272727272727271</v>
      </c>
      <c r="F15" s="73">
        <f>IFERROR(((PHI_H[[#This Row],[H]]-PHI_H[[#This Row],[2B]]-PHI_H[[#This Row],[3B]]-PHI_H[[#This Row],[HR]])+(PHI_H[[#This Row],[2B]]*2)+(PHI_H[[#This Row],[3B]]*3)+(PHI_H[[#This Row],[HR]]*4))/PHI_H[[#This Row],[AB]],0)</f>
        <v>0.2</v>
      </c>
      <c r="G15" s="28">
        <v>6</v>
      </c>
      <c r="H15" s="28">
        <v>10</v>
      </c>
      <c r="I15" s="28">
        <v>2</v>
      </c>
      <c r="J15" s="28">
        <v>2</v>
      </c>
      <c r="K15" s="28">
        <v>0</v>
      </c>
      <c r="L15" s="28">
        <v>0</v>
      </c>
      <c r="M15" s="28">
        <v>0</v>
      </c>
      <c r="N15" s="28">
        <v>2</v>
      </c>
      <c r="O15" s="28">
        <v>1</v>
      </c>
      <c r="P15" s="74">
        <v>2</v>
      </c>
      <c r="Q15" s="28">
        <v>0</v>
      </c>
      <c r="R15" s="28">
        <v>2</v>
      </c>
      <c r="S15" s="74">
        <v>2</v>
      </c>
      <c r="T15" s="28">
        <f>IFERROR((PHI_H[[#This Row],[H]]-PHI_H[[#This Row],[2B]]-PHI_H[[#This Row],[3B]]-PHI_H[[#This Row],[HR]])+(PHI_H[[#This Row],[2B]]*2)+(PHI_H[[#This Row],[3B]]*3)+(PHI_H[[#This Row],[HR]]*4),0)</f>
        <v>2</v>
      </c>
      <c r="U15" s="72">
        <f>PHI_H[[#This Row],[OBP]]+PHI_H[[#This Row],[SLG]]</f>
        <v>0.47272727272727272</v>
      </c>
      <c r="V15" s="74">
        <v>0</v>
      </c>
      <c r="W15" s="615">
        <v>12</v>
      </c>
      <c r="Z15" s="651" t="s">
        <v>770</v>
      </c>
      <c r="AA15" s="71" t="s">
        <v>187</v>
      </c>
      <c r="AB15" s="71" t="s">
        <v>785</v>
      </c>
      <c r="AC15" s="72">
        <f>IFERROR(PHI_H170[[#This Row],[H]]/PHI_H170[[#This Row],[AB]],0)</f>
        <v>0.125</v>
      </c>
      <c r="AD15" s="72">
        <f>IFERROR((PHI_H170[[#This Row],[H]]+PHI_H170[[#This Row],[BB]])/(PHI_H170[[#This Row],[BB]]+PHI_H170[[#This Row],[AB]]),0)</f>
        <v>0.22222222222222221</v>
      </c>
      <c r="AE15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0.125</v>
      </c>
      <c r="AF15" s="28">
        <v>2</v>
      </c>
      <c r="AG15" s="28">
        <v>8</v>
      </c>
      <c r="AH15" s="28">
        <v>1</v>
      </c>
      <c r="AI15" s="28">
        <v>1</v>
      </c>
      <c r="AJ15" s="28">
        <v>0</v>
      </c>
      <c r="AK15" s="28">
        <v>0</v>
      </c>
      <c r="AL15" s="28">
        <v>0</v>
      </c>
      <c r="AM15" s="28">
        <v>1</v>
      </c>
      <c r="AN15" s="28">
        <v>1</v>
      </c>
      <c r="AO15" s="74">
        <v>3</v>
      </c>
      <c r="AP15" s="28">
        <v>0</v>
      </c>
      <c r="AQ15" s="28">
        <v>0</v>
      </c>
      <c r="AR15" s="74">
        <v>1</v>
      </c>
      <c r="AS15" s="28">
        <f>IFERROR((PHI_H170[[#This Row],[H]]-PHI_H170[[#This Row],[2B]]-PHI_H170[[#This Row],[3B]]-PHI_H170[[#This Row],[HR]])+(PHI_H170[[#This Row],[2B]]*2)+(PHI_H170[[#This Row],[3B]]*3)+(PHI_H170[[#This Row],[HR]]*4),0)</f>
        <v>1</v>
      </c>
      <c r="AT15" s="72">
        <f>PHI_H170[[#This Row],[OBP]]+PHI_H170[[#This Row],[SLG]]</f>
        <v>0.34722222222222221</v>
      </c>
      <c r="AU15" s="74">
        <v>0</v>
      </c>
      <c r="AV15" s="615">
        <v>12</v>
      </c>
      <c r="AY15" s="720" t="s">
        <v>770</v>
      </c>
      <c r="AZ15" s="74" t="s">
        <v>192</v>
      </c>
      <c r="BA15" s="71" t="s">
        <v>785</v>
      </c>
      <c r="BB15" s="72">
        <f>IFERROR(PHI_H170184[[#This Row],[H]]/PHI_H170184[[#This Row],[AB]],0)</f>
        <v>0.2</v>
      </c>
      <c r="BC15" s="72">
        <f>IFERROR((PHI_H170184[[#This Row],[BB]]+PHI_H170184[[#This Row],[H]])/(PHI_H170184[[#This Row],[BB]]+PHI_H170184[[#This Row],[AB]]),0)</f>
        <v>0.25</v>
      </c>
      <c r="BD15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0.26666666666666666</v>
      </c>
      <c r="BE15" s="28">
        <v>6</v>
      </c>
      <c r="BF15" s="28">
        <v>15</v>
      </c>
      <c r="BG15" s="28">
        <v>2</v>
      </c>
      <c r="BH15" s="28">
        <v>3</v>
      </c>
      <c r="BI15" s="28">
        <v>1</v>
      </c>
      <c r="BJ15" s="28">
        <v>0</v>
      </c>
      <c r="BK15" s="28">
        <v>0</v>
      </c>
      <c r="BL15" s="28">
        <v>1</v>
      </c>
      <c r="BM15" s="28">
        <v>1</v>
      </c>
      <c r="BN15" s="74">
        <v>6</v>
      </c>
      <c r="BO15" s="28">
        <v>0</v>
      </c>
      <c r="BP15" s="28">
        <v>1</v>
      </c>
      <c r="BQ15" s="74">
        <v>1</v>
      </c>
      <c r="BR15" s="28">
        <f>(PHI_H170184[[#This Row],[H]]-PHI_H170184[[#This Row],[2B]]-PHI_H170184[[#This Row],[3B]]-PHI_H170184[[#This Row],[HR]])+(PHI_H170184[[#This Row],[2B]]*2)+(PHI_H170184[[#This Row],[3B]]*3)+(PHI_H170184[[#This Row],[HR]]*4)</f>
        <v>4</v>
      </c>
      <c r="BS15" s="72">
        <f>IFERROR(PHI_H170184[[#This Row],[OBP]]+PHI_H170184[[#This Row],[SLG]],0)</f>
        <v>0.51666666666666661</v>
      </c>
      <c r="BT15" s="74">
        <v>0</v>
      </c>
      <c r="BU15" s="615">
        <v>12</v>
      </c>
    </row>
    <row r="16" spans="1:73">
      <c r="A16" s="651" t="s">
        <v>770</v>
      </c>
      <c r="B16" s="77" t="s">
        <v>187</v>
      </c>
      <c r="C16" s="71" t="s">
        <v>781</v>
      </c>
      <c r="D16" s="72">
        <f>IFERROR(PHI_H[[#This Row],[H]]/PHI_H[[#This Row],[AB]],0)</f>
        <v>0.16666666666666666</v>
      </c>
      <c r="E16" s="72">
        <f>IFERROR((PHI_H[[#This Row],[H]]+PHI_H[[#This Row],[BB]])/(PHI_H[[#This Row],[BB]]+PHI_H[[#This Row],[AB]]),0)</f>
        <v>0.23076923076923078</v>
      </c>
      <c r="F16" s="73">
        <f>IFERROR(((PHI_H[[#This Row],[H]]-PHI_H[[#This Row],[2B]]-PHI_H[[#This Row],[3B]]-PHI_H[[#This Row],[HR]])+(PHI_H[[#This Row],[2B]]*2)+(PHI_H[[#This Row],[3B]]*3)+(PHI_H[[#This Row],[HR]]*4))/PHI_H[[#This Row],[AB]],0)</f>
        <v>0.16666666666666666</v>
      </c>
      <c r="G16" s="28">
        <v>4</v>
      </c>
      <c r="H16" s="28">
        <v>12</v>
      </c>
      <c r="I16" s="28">
        <v>0</v>
      </c>
      <c r="J16" s="28">
        <v>2</v>
      </c>
      <c r="K16" s="28">
        <v>0</v>
      </c>
      <c r="L16" s="28">
        <v>0</v>
      </c>
      <c r="M16" s="28">
        <v>0</v>
      </c>
      <c r="N16" s="28">
        <v>0</v>
      </c>
      <c r="O16" s="28">
        <v>1</v>
      </c>
      <c r="P16" s="74">
        <v>5</v>
      </c>
      <c r="Q16" s="28">
        <v>0</v>
      </c>
      <c r="R16" s="28">
        <v>1</v>
      </c>
      <c r="S16" s="74">
        <v>1</v>
      </c>
      <c r="T16" s="28">
        <f>IFERROR((PHI_H[[#This Row],[H]]-PHI_H[[#This Row],[2B]]-PHI_H[[#This Row],[3B]]-PHI_H[[#This Row],[HR]])+(PHI_H[[#This Row],[2B]]*2)+(PHI_H[[#This Row],[3B]]*3)+(PHI_H[[#This Row],[HR]]*4),0)</f>
        <v>2</v>
      </c>
      <c r="U16" s="72">
        <f>PHI_H[[#This Row],[OBP]]+PHI_H[[#This Row],[SLG]]</f>
        <v>0.39743589743589747</v>
      </c>
      <c r="V16" s="74">
        <v>0</v>
      </c>
      <c r="W16" s="615">
        <v>13</v>
      </c>
      <c r="Z16" s="651" t="s">
        <v>770</v>
      </c>
      <c r="AA16" s="71" t="s">
        <v>187</v>
      </c>
      <c r="AB16" s="71" t="s">
        <v>781</v>
      </c>
      <c r="AC16" s="72">
        <f>IFERROR(PHI_H170[[#This Row],[H]]/PHI_H170[[#This Row],[AB]],0)</f>
        <v>0.20212765957446807</v>
      </c>
      <c r="AD16" s="72">
        <f>IFERROR((PHI_H170[[#This Row],[H]]+PHI_H170[[#This Row],[BB]])/(PHI_H170[[#This Row],[BB]]+PHI_H170[[#This Row],[AB]]),0)</f>
        <v>0.29245283018867924</v>
      </c>
      <c r="AE16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0.34042553191489361</v>
      </c>
      <c r="AF16" s="28">
        <v>24</v>
      </c>
      <c r="AG16" s="28">
        <v>94</v>
      </c>
      <c r="AH16" s="28">
        <v>12</v>
      </c>
      <c r="AI16" s="28">
        <v>19</v>
      </c>
      <c r="AJ16" s="28">
        <v>4</v>
      </c>
      <c r="AK16" s="28">
        <v>0</v>
      </c>
      <c r="AL16" s="28">
        <v>3</v>
      </c>
      <c r="AM16" s="28">
        <v>12</v>
      </c>
      <c r="AN16" s="28">
        <v>12</v>
      </c>
      <c r="AO16" s="74">
        <v>35</v>
      </c>
      <c r="AP16" s="28">
        <v>0</v>
      </c>
      <c r="AQ16" s="28">
        <v>2</v>
      </c>
      <c r="AR16" s="74">
        <v>3</v>
      </c>
      <c r="AS16" s="28">
        <f>IFERROR((PHI_H170[[#This Row],[H]]-PHI_H170[[#This Row],[2B]]-PHI_H170[[#This Row],[3B]]-PHI_H170[[#This Row],[HR]])+(PHI_H170[[#This Row],[2B]]*2)+(PHI_H170[[#This Row],[3B]]*3)+(PHI_H170[[#This Row],[HR]]*4),0)</f>
        <v>32</v>
      </c>
      <c r="AT16" s="72">
        <f>PHI_H170[[#This Row],[OBP]]+PHI_H170[[#This Row],[SLG]]</f>
        <v>0.63287836210357284</v>
      </c>
      <c r="AU16" s="74">
        <v>0</v>
      </c>
      <c r="AV16" s="615">
        <v>13</v>
      </c>
      <c r="AY16" s="720" t="s">
        <v>770</v>
      </c>
      <c r="AZ16" s="74" t="s">
        <v>187</v>
      </c>
      <c r="BA16" s="71" t="s">
        <v>789</v>
      </c>
      <c r="BB16" s="72">
        <f>IFERROR(PHI_H170184[[#This Row],[H]]/PHI_H170184[[#This Row],[AB]],0)</f>
        <v>0</v>
      </c>
      <c r="BC16" s="72">
        <f>IFERROR((PHI_H170184[[#This Row],[BB]]+PHI_H170184[[#This Row],[H]])/(PHI_H170184[[#This Row],[BB]]+PHI_H170184[[#This Row],[AB]]),0)</f>
        <v>0</v>
      </c>
      <c r="BD16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74">
        <v>0</v>
      </c>
      <c r="BO16" s="28">
        <v>0</v>
      </c>
      <c r="BP16" s="28">
        <v>0</v>
      </c>
      <c r="BQ16" s="74">
        <v>0</v>
      </c>
      <c r="BR16" s="28">
        <f>(PHI_H170184[[#This Row],[H]]-PHI_H170184[[#This Row],[2B]]-PHI_H170184[[#This Row],[3B]]-PHI_H170184[[#This Row],[HR]])+(PHI_H170184[[#This Row],[2B]]*2)+(PHI_H170184[[#This Row],[3B]]*3)+(PHI_H170184[[#This Row],[HR]]*4)</f>
        <v>0</v>
      </c>
      <c r="BS16" s="72">
        <f>IFERROR(PHI_H170184[[#This Row],[OBP]]+PHI_H170184[[#This Row],[SLG]],0)</f>
        <v>0</v>
      </c>
      <c r="BT16" s="74">
        <v>0</v>
      </c>
      <c r="BU16" s="615">
        <v>13</v>
      </c>
    </row>
    <row r="17" spans="1:73" ht="17" thickBot="1">
      <c r="A17" s="651" t="s">
        <v>770</v>
      </c>
      <c r="B17" s="71" t="s">
        <v>184</v>
      </c>
      <c r="C17" s="71" t="s">
        <v>788</v>
      </c>
      <c r="D17" s="72">
        <f>IFERROR(PHI_H[[#This Row],[H]]/PHI_H[[#This Row],[AB]],0)</f>
        <v>0</v>
      </c>
      <c r="E17" s="72">
        <f>IFERROR((PHI_H[[#This Row],[H]]+PHI_H[[#This Row],[BB]])/(PHI_H[[#This Row],[BB]]+PHI_H[[#This Row],[AB]]),0)</f>
        <v>0</v>
      </c>
      <c r="F17" s="73">
        <f>IFERROR(((PHI_H[[#This Row],[H]]-PHI_H[[#This Row],[2B]]-PHI_H[[#This Row],[3B]]-PHI_H[[#This Row],[HR]])+(PHI_H[[#This Row],[2B]]*2)+(PHI_H[[#This Row],[3B]]*3)+(PHI_H[[#This Row],[HR]]*4))/PHI_H[[#This Row],[AB]],0)</f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74">
        <v>0</v>
      </c>
      <c r="Q17" s="28">
        <v>0</v>
      </c>
      <c r="R17" s="28">
        <v>0</v>
      </c>
      <c r="S17" s="74">
        <v>0</v>
      </c>
      <c r="T17" s="28">
        <f>IFERROR((PHI_H[[#This Row],[H]]-PHI_H[[#This Row],[2B]]-PHI_H[[#This Row],[3B]]-PHI_H[[#This Row],[HR]])+(PHI_H[[#This Row],[2B]]*2)+(PHI_H[[#This Row],[3B]]*3)+(PHI_H[[#This Row],[HR]]*4),0)</f>
        <v>0</v>
      </c>
      <c r="U17" s="72">
        <f>PHI_H[[#This Row],[OBP]]+PHI_H[[#This Row],[SLG]]</f>
        <v>0</v>
      </c>
      <c r="V17" s="74">
        <v>0</v>
      </c>
      <c r="W17" s="615">
        <v>14</v>
      </c>
      <c r="Z17" s="651" t="s">
        <v>770</v>
      </c>
      <c r="AA17" s="71" t="s">
        <v>186</v>
      </c>
      <c r="AB17" s="71" t="s">
        <v>784</v>
      </c>
      <c r="AC17" s="72">
        <f>IFERROR(PHI_H170[[#This Row],[H]]/PHI_H170[[#This Row],[AB]],0)</f>
        <v>0.33333333333333331</v>
      </c>
      <c r="AD17" s="72">
        <f>IFERROR((PHI_H170[[#This Row],[H]]+PHI_H170[[#This Row],[BB]])/(PHI_H170[[#This Row],[BB]]+PHI_H170[[#This Row],[AB]]),0)</f>
        <v>0.4</v>
      </c>
      <c r="AE17" s="73">
        <f>IFERROR(((PHI_H170[[#This Row],[H]]-PHI_H170[[#This Row],[2B]]-PHI_H170[[#This Row],[3B]]-PHI_H170[[#This Row],[HR]])+(PHI_H170[[#This Row],[2B]]*2)+(PHI_H170[[#This Row],[3B]]*3)+(PHI_H170[[#This Row],[HR]]*4))/PHI_H170[[#This Row],[AB]],0)</f>
        <v>0.55555555555555558</v>
      </c>
      <c r="AF17" s="28">
        <v>2</v>
      </c>
      <c r="AG17" s="28">
        <v>9</v>
      </c>
      <c r="AH17" s="28">
        <v>1</v>
      </c>
      <c r="AI17" s="28">
        <v>3</v>
      </c>
      <c r="AJ17" s="28">
        <v>2</v>
      </c>
      <c r="AK17" s="28">
        <v>0</v>
      </c>
      <c r="AL17" s="28">
        <v>0</v>
      </c>
      <c r="AM17" s="28">
        <v>2</v>
      </c>
      <c r="AN17" s="28">
        <v>1</v>
      </c>
      <c r="AO17" s="74">
        <v>2</v>
      </c>
      <c r="AP17" s="28">
        <v>0</v>
      </c>
      <c r="AQ17" s="28">
        <v>2</v>
      </c>
      <c r="AR17" s="74">
        <v>2</v>
      </c>
      <c r="AS17" s="28">
        <f>IFERROR((PHI_H170[[#This Row],[H]]-PHI_H170[[#This Row],[2B]]-PHI_H170[[#This Row],[3B]]-PHI_H170[[#This Row],[HR]])+(PHI_H170[[#This Row],[2B]]*2)+(PHI_H170[[#This Row],[3B]]*3)+(PHI_H170[[#This Row],[HR]]*4),0)</f>
        <v>5</v>
      </c>
      <c r="AT17" s="72">
        <f>PHI_H170[[#This Row],[OBP]]+PHI_H170[[#This Row],[SLG]]</f>
        <v>0.9555555555555556</v>
      </c>
      <c r="AU17" s="74">
        <v>0</v>
      </c>
      <c r="AV17" s="615">
        <v>14</v>
      </c>
      <c r="AY17" s="720" t="s">
        <v>770</v>
      </c>
      <c r="AZ17" s="74" t="s">
        <v>184</v>
      </c>
      <c r="BA17" s="71" t="s">
        <v>784</v>
      </c>
      <c r="BB17" s="72">
        <f>IFERROR(PHI_H170184[[#This Row],[H]]/PHI_H170184[[#This Row],[AB]],0)</f>
        <v>0.32307692307692309</v>
      </c>
      <c r="BC17" s="72">
        <f>IFERROR((PHI_H170184[[#This Row],[BB]]+PHI_H170184[[#This Row],[H]])/(PHI_H170184[[#This Row],[BB]]+PHI_H170184[[#This Row],[AB]]),0)</f>
        <v>0.36231884057971014</v>
      </c>
      <c r="BD17" s="73">
        <f>IFERROR(((PHI_H170184[[#This Row],[H]]-PHI_H170184[[#This Row],[2B]]-PHI_H170184[[#This Row],[3B]]-PHI_H170184[[#This Row],[HR]])+(PHI_H170184[[#This Row],[2B]]*2)+(PHI_H170184[[#This Row],[3B]]*3)+(PHI_H170184[[#This Row],[HR]]*4))/PHI_H170184[[#This Row],[AB]],0)</f>
        <v>0.50769230769230766</v>
      </c>
      <c r="BE17" s="28">
        <v>16</v>
      </c>
      <c r="BF17" s="28">
        <v>65</v>
      </c>
      <c r="BG17" s="28">
        <v>12</v>
      </c>
      <c r="BH17" s="28">
        <v>21</v>
      </c>
      <c r="BI17" s="28">
        <v>3</v>
      </c>
      <c r="BJ17" s="28">
        <v>0</v>
      </c>
      <c r="BK17" s="28">
        <v>3</v>
      </c>
      <c r="BL17" s="28">
        <v>7</v>
      </c>
      <c r="BM17" s="28">
        <v>4</v>
      </c>
      <c r="BN17" s="74">
        <v>22</v>
      </c>
      <c r="BO17" s="28">
        <v>0</v>
      </c>
      <c r="BP17" s="28">
        <v>0</v>
      </c>
      <c r="BQ17" s="74">
        <v>5</v>
      </c>
      <c r="BR17" s="28">
        <f>(PHI_H170184[[#This Row],[H]]-PHI_H170184[[#This Row],[2B]]-PHI_H170184[[#This Row],[3B]]-PHI_H170184[[#This Row],[HR]])+(PHI_H170184[[#This Row],[2B]]*2)+(PHI_H170184[[#This Row],[3B]]*3)+(PHI_H170184[[#This Row],[HR]]*4)</f>
        <v>33</v>
      </c>
      <c r="BS17" s="72">
        <f>IFERROR(PHI_H170184[[#This Row],[OBP]]+PHI_H170184[[#This Row],[SLG]],0)</f>
        <v>0.87001114827201786</v>
      </c>
      <c r="BT17" s="74">
        <v>1</v>
      </c>
      <c r="BU17" s="615">
        <v>14</v>
      </c>
    </row>
    <row r="18" spans="1:73" ht="17" thickBot="1">
      <c r="A18" s="823"/>
      <c r="B18" s="824"/>
      <c r="C18" s="791" t="s">
        <v>195</v>
      </c>
      <c r="D18" s="792">
        <f>J18/H18</f>
        <v>0.24851632047477745</v>
      </c>
      <c r="E18" s="792">
        <f>(J18+O18)/(H18+O18)</f>
        <v>0.32913907284768212</v>
      </c>
      <c r="F18" s="793">
        <f>((J18-K18-L18-M18)+(K18*2)+(L18*3)+(M18*4))/H18</f>
        <v>0.42952522255192876</v>
      </c>
      <c r="G18" s="794"/>
      <c r="H18" s="794">
        <f>SUBTOTAL(109,PHI_H[AB])</f>
        <v>1348</v>
      </c>
      <c r="I18" s="794">
        <f>SUBTOTAL(109,PHI_H[R])</f>
        <v>164</v>
      </c>
      <c r="J18" s="794">
        <f>SUBTOTAL(109,PHI_H[H])</f>
        <v>335</v>
      </c>
      <c r="K18" s="794">
        <f>SUBTOTAL(109,PHI_H[2B])</f>
        <v>75</v>
      </c>
      <c r="L18" s="794">
        <f>SUBTOTAL(109,PHI_H[3B])</f>
        <v>11</v>
      </c>
      <c r="M18" s="794">
        <f>SUBTOTAL(109,PHI_H[HR])</f>
        <v>49</v>
      </c>
      <c r="N18" s="794">
        <f>SUBTOTAL(109,PHI_H[RBI])</f>
        <v>163</v>
      </c>
      <c r="O18" s="795">
        <f>SUBTOTAL(109,PHI_H[BB])</f>
        <v>162</v>
      </c>
      <c r="P18" s="796">
        <f>SUBTOTAL(109,PHI_H[K])</f>
        <v>329</v>
      </c>
      <c r="Q18" s="794">
        <f>SUBTOTAL(109,PHI_H[SB])</f>
        <v>22</v>
      </c>
      <c r="R18" s="794"/>
      <c r="S18" s="796"/>
      <c r="T18" s="794">
        <f>SUBTOTAL(109,PHI_H[TB])</f>
        <v>579</v>
      </c>
      <c r="U18" s="792">
        <f>F18+E18</f>
        <v>0.75866429539961089</v>
      </c>
      <c r="V18" s="796">
        <f>SUBTOTAL(109,PHI_H[*])</f>
        <v>23</v>
      </c>
      <c r="W18" s="797"/>
      <c r="Z18" s="823"/>
      <c r="AA18" s="824"/>
      <c r="AB18" s="791" t="s">
        <v>195</v>
      </c>
      <c r="AC18" s="792">
        <f>AI18/AG18</f>
        <v>0.24301075268817204</v>
      </c>
      <c r="AD18" s="792">
        <f>(AI18+AN18)/(AG18+AN18)</f>
        <v>0.31160365058670142</v>
      </c>
      <c r="AE18" s="793">
        <f>((AI18-AJ18-AK18-AL18)+(AJ18*2)+(AK18*3)+(AL18*4))/AG18</f>
        <v>0.41218637992831542</v>
      </c>
      <c r="AF18" s="794"/>
      <c r="AG18" s="794">
        <f>SUBTOTAL(109,PHI_H170[AB])</f>
        <v>1395</v>
      </c>
      <c r="AH18" s="794">
        <f>SUBTOTAL(109,PHI_H170[R])</f>
        <v>168</v>
      </c>
      <c r="AI18" s="794">
        <f>SUBTOTAL(109,PHI_H170[H])</f>
        <v>339</v>
      </c>
      <c r="AJ18" s="794">
        <f>SUBTOTAL(109,PHI_H170[2B])</f>
        <v>62</v>
      </c>
      <c r="AK18" s="794">
        <f>SUBTOTAL(109,PHI_H170[3B])</f>
        <v>6</v>
      </c>
      <c r="AL18" s="794">
        <f>SUBTOTAL(109,PHI_H170[HR])</f>
        <v>54</v>
      </c>
      <c r="AM18" s="794">
        <f>SUBTOTAL(109,PHI_H170[RBI])</f>
        <v>166</v>
      </c>
      <c r="AN18" s="794">
        <f>SUBTOTAL(109,PHI_H170[BB])</f>
        <v>139</v>
      </c>
      <c r="AO18" s="796">
        <f>SUBTOTAL(109,PHI_H170[K])</f>
        <v>376</v>
      </c>
      <c r="AP18" s="794">
        <f>SUBTOTAL(109,PHI_H170[SB])</f>
        <v>5</v>
      </c>
      <c r="AQ18" s="794"/>
      <c r="AR18" s="796"/>
      <c r="AS18" s="794">
        <f>SUBTOTAL(109,PHI_H170[TB])</f>
        <v>575</v>
      </c>
      <c r="AT18" s="792">
        <f>AE18+AD18</f>
        <v>0.72379003051501689</v>
      </c>
      <c r="AU18" s="796">
        <f>SUBTOTAL(109,PHI_H170[*])</f>
        <v>20</v>
      </c>
      <c r="AV18" s="797"/>
      <c r="AY18" s="823"/>
      <c r="AZ18" s="824"/>
      <c r="BA18" s="791" t="s">
        <v>195</v>
      </c>
      <c r="BB18" s="792">
        <f>IFERROR(BH18/BF18,0)</f>
        <v>0.25410421127765881</v>
      </c>
      <c r="BC18" s="792">
        <f>IFERROR((BM18+BH18)/(BM18+BF18),0)</f>
        <v>0.33098591549295775</v>
      </c>
      <c r="BD18" s="793">
        <f>IFERROR(((BH18-BI18-BJ18-BK18)+(BI18*2)+(BJ18*3)+(BK18*4))/BF18,0)</f>
        <v>0.4225553176302641</v>
      </c>
      <c r="BE18" s="794"/>
      <c r="BF18" s="794">
        <f>SUBTOTAL(109,PHI_H170184[AB])</f>
        <v>1401</v>
      </c>
      <c r="BG18" s="794">
        <f>SUBTOTAL(109,PHI_H170184[R])</f>
        <v>185</v>
      </c>
      <c r="BH18" s="794">
        <f>SUBTOTAL(109,PHI_H170184[H])</f>
        <v>356</v>
      </c>
      <c r="BI18" s="795">
        <f>SUBTOTAL(109,PHI_H170184[2B])</f>
        <v>80</v>
      </c>
      <c r="BJ18" s="794">
        <f>SUBTOTAL(109,PHI_H170184[3B])</f>
        <v>3</v>
      </c>
      <c r="BK18" s="794">
        <f>SUBTOTAL(109,PHI_H170184[HR])</f>
        <v>50</v>
      </c>
      <c r="BL18" s="794">
        <f>SUBTOTAL(109,PHI_H170184[RBI])</f>
        <v>185</v>
      </c>
      <c r="BM18" s="794">
        <f>SUBTOTAL(109,PHI_H170184[BB])</f>
        <v>161</v>
      </c>
      <c r="BN18" s="796">
        <f>SUBTOTAL(109,PHI_H170184[K])</f>
        <v>389</v>
      </c>
      <c r="BO18" s="794">
        <f>SUBTOTAL(109,PHI_H170184[SB])</f>
        <v>25</v>
      </c>
      <c r="BP18" s="794"/>
      <c r="BQ18" s="796"/>
      <c r="BR18" s="794">
        <f>SUBTOTAL(109,PHI_H170184[TB])</f>
        <v>592</v>
      </c>
      <c r="BS18" s="792">
        <f>IFERROR(BC18+BD18,0)</f>
        <v>0.75354123312322185</v>
      </c>
      <c r="BT18" s="796">
        <f>SUBTOTAL(109,PHI_H170184[*])</f>
        <v>23</v>
      </c>
      <c r="BU18" s="797"/>
    </row>
    <row r="19" spans="1:73" ht="17" thickBot="1"/>
    <row r="20" spans="1:73" s="64" customFormat="1" ht="14" thickBot="1">
      <c r="A20" s="605" t="s">
        <v>143</v>
      </c>
      <c r="B20" s="606" t="s">
        <v>144</v>
      </c>
      <c r="C20" s="606" t="s">
        <v>145</v>
      </c>
      <c r="D20" s="606" t="s">
        <v>196</v>
      </c>
      <c r="E20" s="606" t="s">
        <v>197</v>
      </c>
      <c r="F20" s="606" t="s">
        <v>198</v>
      </c>
      <c r="G20" s="606" t="s">
        <v>149</v>
      </c>
      <c r="H20" s="606" t="s">
        <v>199</v>
      </c>
      <c r="I20" s="606" t="s">
        <v>152</v>
      </c>
      <c r="J20" s="606" t="s">
        <v>151</v>
      </c>
      <c r="K20" s="606" t="s">
        <v>157</v>
      </c>
      <c r="L20" s="606" t="s">
        <v>158</v>
      </c>
      <c r="M20" s="606" t="s">
        <v>200</v>
      </c>
      <c r="N20" s="606" t="s">
        <v>201</v>
      </c>
      <c r="O20" s="606" t="s">
        <v>202</v>
      </c>
      <c r="P20" s="606" t="s">
        <v>203</v>
      </c>
      <c r="Q20" s="606" t="s">
        <v>204</v>
      </c>
      <c r="R20" s="606" t="s">
        <v>205</v>
      </c>
      <c r="S20" s="607" t="s">
        <v>164</v>
      </c>
      <c r="Z20" s="605" t="s">
        <v>143</v>
      </c>
      <c r="AA20" s="606" t="s">
        <v>144</v>
      </c>
      <c r="AB20" s="606" t="s">
        <v>145</v>
      </c>
      <c r="AC20" s="606" t="s">
        <v>196</v>
      </c>
      <c r="AD20" s="606" t="s">
        <v>197</v>
      </c>
      <c r="AE20" s="606" t="s">
        <v>198</v>
      </c>
      <c r="AF20" s="606" t="s">
        <v>149</v>
      </c>
      <c r="AG20" s="606" t="s">
        <v>199</v>
      </c>
      <c r="AH20" s="606" t="s">
        <v>152</v>
      </c>
      <c r="AI20" s="606" t="s">
        <v>151</v>
      </c>
      <c r="AJ20" s="606" t="s">
        <v>157</v>
      </c>
      <c r="AK20" s="606" t="s">
        <v>158</v>
      </c>
      <c r="AL20" s="606" t="s">
        <v>200</v>
      </c>
      <c r="AM20" s="606" t="s">
        <v>201</v>
      </c>
      <c r="AN20" s="606" t="s">
        <v>202</v>
      </c>
      <c r="AO20" s="606" t="s">
        <v>203</v>
      </c>
      <c r="AP20" s="606" t="s">
        <v>204</v>
      </c>
      <c r="AQ20" s="606" t="s">
        <v>205</v>
      </c>
      <c r="AR20" s="607" t="s">
        <v>164</v>
      </c>
      <c r="AY20" s="605" t="s">
        <v>143</v>
      </c>
      <c r="AZ20" s="606" t="s">
        <v>144</v>
      </c>
      <c r="BA20" s="606" t="s">
        <v>145</v>
      </c>
      <c r="BB20" s="606" t="s">
        <v>196</v>
      </c>
      <c r="BC20" s="606" t="s">
        <v>197</v>
      </c>
      <c r="BD20" s="606" t="s">
        <v>198</v>
      </c>
      <c r="BE20" s="606" t="s">
        <v>149</v>
      </c>
      <c r="BF20" s="606" t="s">
        <v>199</v>
      </c>
      <c r="BG20" s="606" t="s">
        <v>152</v>
      </c>
      <c r="BH20" s="606" t="s">
        <v>151</v>
      </c>
      <c r="BI20" s="606" t="s">
        <v>157</v>
      </c>
      <c r="BJ20" s="606" t="s">
        <v>158</v>
      </c>
      <c r="BK20" s="606" t="s">
        <v>200</v>
      </c>
      <c r="BL20" s="606" t="s">
        <v>201</v>
      </c>
      <c r="BM20" s="606" t="s">
        <v>202</v>
      </c>
      <c r="BN20" s="606" t="s">
        <v>203</v>
      </c>
      <c r="BO20" s="606" t="s">
        <v>204</v>
      </c>
      <c r="BP20" s="606" t="s">
        <v>205</v>
      </c>
      <c r="BQ20" s="607" t="s">
        <v>164</v>
      </c>
    </row>
    <row r="21" spans="1:73">
      <c r="A21" s="827" t="s">
        <v>770</v>
      </c>
      <c r="B21" s="825" t="s">
        <v>206</v>
      </c>
      <c r="C21" s="826" t="s">
        <v>790</v>
      </c>
      <c r="D21" s="663">
        <f>IFERROR((PHI_P[[#This Row],[R]]*9)/PHI_P[[#This Row],[IP]],0)</f>
        <v>4.5476077688299386</v>
      </c>
      <c r="E21" s="600">
        <v>3</v>
      </c>
      <c r="F21" s="604">
        <v>4</v>
      </c>
      <c r="G21" s="600">
        <v>10</v>
      </c>
      <c r="H21" s="630">
        <v>63.33</v>
      </c>
      <c r="I21" s="600">
        <v>64</v>
      </c>
      <c r="J21" s="600">
        <v>32</v>
      </c>
      <c r="K21" s="600">
        <v>23</v>
      </c>
      <c r="L21" s="600">
        <v>53</v>
      </c>
      <c r="M21" s="600">
        <v>0</v>
      </c>
      <c r="N21" s="744">
        <f>IFERROR((PHI_P[[#This Row],[BB]]+PHI_P[[#This Row],[H]])/PHI_P[[#This Row],[IP]],0)</f>
        <v>1.3737565135007106</v>
      </c>
      <c r="O21" s="673">
        <v>6</v>
      </c>
      <c r="P21" s="601">
        <v>4</v>
      </c>
      <c r="Q21" s="600">
        <v>0</v>
      </c>
      <c r="R21" s="604">
        <v>0</v>
      </c>
      <c r="S21" s="779">
        <v>1</v>
      </c>
      <c r="Z21" s="827" t="s">
        <v>770</v>
      </c>
      <c r="AA21" s="825" t="s">
        <v>206</v>
      </c>
      <c r="AB21" s="826" t="s">
        <v>790</v>
      </c>
      <c r="AC21" s="663">
        <f>IFERROR((PHI_P171[[#This Row],[R]]*9)/PHI_P171[[#This Row],[IP]],0)</f>
        <v>5.7966101694915251</v>
      </c>
      <c r="AD21" s="600">
        <v>2</v>
      </c>
      <c r="AE21" s="604">
        <v>7</v>
      </c>
      <c r="AF21" s="600">
        <v>10</v>
      </c>
      <c r="AG21" s="630">
        <v>59</v>
      </c>
      <c r="AH21" s="600">
        <v>72</v>
      </c>
      <c r="AI21" s="600">
        <v>38</v>
      </c>
      <c r="AJ21" s="600">
        <v>23</v>
      </c>
      <c r="AK21" s="600">
        <v>68</v>
      </c>
      <c r="AL21" s="600">
        <v>0</v>
      </c>
      <c r="AM21" s="744">
        <f>IFERROR((PHI_P171[[#This Row],[BB]]+PHI_P171[[#This Row],[H]])/PHI_P171[[#This Row],[IP]],0)</f>
        <v>1.6101694915254237</v>
      </c>
      <c r="AN21" s="673">
        <v>3</v>
      </c>
      <c r="AO21" s="601">
        <v>2</v>
      </c>
      <c r="AP21" s="600">
        <v>0</v>
      </c>
      <c r="AQ21" s="604">
        <v>0</v>
      </c>
      <c r="AR21" s="779">
        <v>1</v>
      </c>
      <c r="AY21" s="842" t="s">
        <v>770</v>
      </c>
      <c r="AZ21" s="825" t="s">
        <v>206</v>
      </c>
      <c r="BA21" s="826" t="s">
        <v>790</v>
      </c>
      <c r="BB21" s="663">
        <f>IFERROR((PHI_P171185[[#This Row],[R]]*9)/PHI_P171185[[#This Row],[IP]],0)</f>
        <v>1.7307692307692308</v>
      </c>
      <c r="BC21" s="600">
        <v>6</v>
      </c>
      <c r="BD21" s="604">
        <v>4</v>
      </c>
      <c r="BE21" s="600">
        <v>10</v>
      </c>
      <c r="BF21" s="630">
        <v>78</v>
      </c>
      <c r="BG21" s="600">
        <v>49</v>
      </c>
      <c r="BH21" s="600">
        <v>15</v>
      </c>
      <c r="BI21" s="600">
        <v>16</v>
      </c>
      <c r="BJ21" s="600">
        <v>72</v>
      </c>
      <c r="BK21" s="600">
        <v>0</v>
      </c>
      <c r="BL21" s="785">
        <f>IFERROR((PHI_P171185[[#This Row],[BB]]+PHI_P171185[[#This Row],[H]])/PHI_P171185[[#This Row],[IP]],0)</f>
        <v>0.83333333333333337</v>
      </c>
      <c r="BM21" s="673">
        <v>8</v>
      </c>
      <c r="BN21" s="601">
        <v>8</v>
      </c>
      <c r="BO21" s="627">
        <v>3</v>
      </c>
      <c r="BP21" s="830">
        <v>3</v>
      </c>
      <c r="BQ21" s="779">
        <v>1</v>
      </c>
    </row>
    <row r="22" spans="1:73">
      <c r="A22" s="828" t="s">
        <v>770</v>
      </c>
      <c r="B22" s="114" t="s">
        <v>206</v>
      </c>
      <c r="C22" s="115" t="s">
        <v>624</v>
      </c>
      <c r="D22" s="88">
        <f>IFERROR((PHI_P[[#This Row],[R]]*9)/PHI_P[[#This Row],[IP]],0)</f>
        <v>2.955223880597015</v>
      </c>
      <c r="E22" s="28">
        <v>4</v>
      </c>
      <c r="F22" s="74">
        <v>2</v>
      </c>
      <c r="G22" s="28">
        <v>10</v>
      </c>
      <c r="H22" s="584">
        <v>67</v>
      </c>
      <c r="I22" s="28">
        <v>58</v>
      </c>
      <c r="J22" s="28">
        <v>22</v>
      </c>
      <c r="K22" s="28">
        <v>20</v>
      </c>
      <c r="L22" s="28">
        <v>78</v>
      </c>
      <c r="M22" s="28">
        <v>0</v>
      </c>
      <c r="N22" s="106">
        <f>IFERROR((PHI_P[[#This Row],[BB]]+PHI_P[[#This Row],[H]])/PHI_P[[#This Row],[IP]],0)</f>
        <v>1.164179104477612</v>
      </c>
      <c r="O22" s="77">
        <v>7</v>
      </c>
      <c r="P22" s="90">
        <v>4</v>
      </c>
      <c r="Q22" s="28">
        <v>1</v>
      </c>
      <c r="R22" s="74">
        <v>1</v>
      </c>
      <c r="S22" s="780">
        <v>2</v>
      </c>
      <c r="Z22" s="828" t="s">
        <v>770</v>
      </c>
      <c r="AA22" s="114" t="s">
        <v>206</v>
      </c>
      <c r="AB22" s="115" t="s">
        <v>624</v>
      </c>
      <c r="AC22" s="88">
        <f>IFERROR((PHI_P171[[#This Row],[R]]*9)/PHI_P171[[#This Row],[IP]],0)</f>
        <v>4.05720503653039</v>
      </c>
      <c r="AD22" s="28">
        <v>4</v>
      </c>
      <c r="AE22" s="74">
        <v>3</v>
      </c>
      <c r="AF22" s="28">
        <v>10</v>
      </c>
      <c r="AG22" s="584">
        <v>64.33</v>
      </c>
      <c r="AH22" s="28">
        <v>54</v>
      </c>
      <c r="AI22" s="28">
        <v>29</v>
      </c>
      <c r="AJ22" s="28">
        <v>26</v>
      </c>
      <c r="AK22" s="28">
        <v>59</v>
      </c>
      <c r="AL22" s="28">
        <v>0</v>
      </c>
      <c r="AM22" s="106">
        <f>IFERROR((PHI_P171[[#This Row],[BB]]+PHI_P171[[#This Row],[H]])/PHI_P171[[#This Row],[IP]],0)</f>
        <v>1.2435877506606561</v>
      </c>
      <c r="AN22" s="77">
        <v>7</v>
      </c>
      <c r="AO22" s="90">
        <v>0</v>
      </c>
      <c r="AP22" s="28">
        <v>0</v>
      </c>
      <c r="AQ22" s="74">
        <v>0</v>
      </c>
      <c r="AR22" s="780">
        <v>2</v>
      </c>
      <c r="AY22" s="843" t="s">
        <v>770</v>
      </c>
      <c r="AZ22" s="114" t="s">
        <v>206</v>
      </c>
      <c r="BA22" s="115" t="s">
        <v>624</v>
      </c>
      <c r="BB22" s="88">
        <f>IFERROR((PHI_P171185[[#This Row],[R]]*9)/PHI_P171185[[#This Row],[IP]],0)</f>
        <v>3.7195775294657891</v>
      </c>
      <c r="BC22" s="28">
        <v>4</v>
      </c>
      <c r="BD22" s="74">
        <v>3</v>
      </c>
      <c r="BE22" s="28">
        <v>10</v>
      </c>
      <c r="BF22" s="584">
        <v>65.33</v>
      </c>
      <c r="BG22" s="28">
        <v>56</v>
      </c>
      <c r="BH22" s="28">
        <v>27</v>
      </c>
      <c r="BI22" s="28">
        <v>22</v>
      </c>
      <c r="BJ22" s="28">
        <v>71</v>
      </c>
      <c r="BK22" s="28">
        <v>0</v>
      </c>
      <c r="BL22" s="106">
        <f>IFERROR((PHI_P171185[[#This Row],[BB]]+PHI_P171185[[#This Row],[H]])/PHI_P171185[[#This Row],[IP]],0)</f>
        <v>1.1939384662482779</v>
      </c>
      <c r="BM22" s="77">
        <v>8</v>
      </c>
      <c r="BN22" s="90">
        <v>2</v>
      </c>
      <c r="BO22" s="28">
        <v>0</v>
      </c>
      <c r="BP22" s="74">
        <v>0</v>
      </c>
      <c r="BQ22" s="780">
        <v>2</v>
      </c>
    </row>
    <row r="23" spans="1:73">
      <c r="A23" s="828" t="s">
        <v>770</v>
      </c>
      <c r="B23" s="114" t="s">
        <v>206</v>
      </c>
      <c r="C23" s="115" t="s">
        <v>791</v>
      </c>
      <c r="D23" s="88">
        <f>IFERROR((PHI_P[[#This Row],[R]]*9)/PHI_P[[#This Row],[IP]],0)</f>
        <v>2.7522935779816513</v>
      </c>
      <c r="E23" s="28">
        <v>5</v>
      </c>
      <c r="F23" s="74">
        <v>3</v>
      </c>
      <c r="G23" s="28">
        <v>10</v>
      </c>
      <c r="H23" s="584">
        <v>68.67</v>
      </c>
      <c r="I23" s="28">
        <v>56</v>
      </c>
      <c r="J23" s="28">
        <v>21</v>
      </c>
      <c r="K23" s="28">
        <v>14</v>
      </c>
      <c r="L23" s="28">
        <v>65</v>
      </c>
      <c r="M23" s="28">
        <v>0</v>
      </c>
      <c r="N23" s="106">
        <f>IFERROR((PHI_P[[#This Row],[BB]]+PHI_P[[#This Row],[H]])/PHI_P[[#This Row],[IP]],0)</f>
        <v>1.019367991845056</v>
      </c>
      <c r="O23" s="77">
        <v>9</v>
      </c>
      <c r="P23" s="90">
        <v>5</v>
      </c>
      <c r="Q23" s="28">
        <v>0</v>
      </c>
      <c r="R23" s="74">
        <v>0</v>
      </c>
      <c r="S23" s="780">
        <v>3</v>
      </c>
      <c r="Z23" s="828" t="s">
        <v>770</v>
      </c>
      <c r="AA23" s="114" t="s">
        <v>206</v>
      </c>
      <c r="AB23" s="115" t="s">
        <v>791</v>
      </c>
      <c r="AC23" s="88">
        <f>IFERROR((PHI_P171[[#This Row],[R]]*9)/PHI_P171[[#This Row],[IP]],0)</f>
        <v>3.3921302578018997</v>
      </c>
      <c r="AD23" s="28">
        <v>4</v>
      </c>
      <c r="AE23" s="74">
        <v>1</v>
      </c>
      <c r="AF23" s="28">
        <v>10</v>
      </c>
      <c r="AG23" s="584">
        <v>66.33</v>
      </c>
      <c r="AH23" s="28">
        <v>65</v>
      </c>
      <c r="AI23" s="28">
        <v>25</v>
      </c>
      <c r="AJ23" s="28">
        <v>16</v>
      </c>
      <c r="AK23" s="28">
        <v>69</v>
      </c>
      <c r="AL23" s="28">
        <v>0</v>
      </c>
      <c r="AM23" s="106">
        <f>IFERROR((PHI_P171[[#This Row],[BB]]+PHI_P171[[#This Row],[H]])/PHI_P171[[#This Row],[IP]],0)</f>
        <v>1.2211668928086838</v>
      </c>
      <c r="AN23" s="77">
        <v>7</v>
      </c>
      <c r="AO23" s="90">
        <v>4</v>
      </c>
      <c r="AP23" s="28">
        <v>0</v>
      </c>
      <c r="AQ23" s="74">
        <v>0</v>
      </c>
      <c r="AR23" s="780">
        <v>3</v>
      </c>
      <c r="AY23" s="843" t="s">
        <v>770</v>
      </c>
      <c r="AZ23" s="114" t="s">
        <v>206</v>
      </c>
      <c r="BA23" s="115" t="s">
        <v>791</v>
      </c>
      <c r="BB23" s="88">
        <f>IFERROR((PHI_P171185[[#This Row],[R]]*9)/PHI_P171185[[#This Row],[IP]],0)</f>
        <v>2.9432674534338119</v>
      </c>
      <c r="BC23" s="28">
        <v>6</v>
      </c>
      <c r="BD23" s="74">
        <v>2</v>
      </c>
      <c r="BE23" s="28">
        <v>10</v>
      </c>
      <c r="BF23" s="584">
        <v>70.33</v>
      </c>
      <c r="BG23" s="28">
        <v>66</v>
      </c>
      <c r="BH23" s="28">
        <v>23</v>
      </c>
      <c r="BI23" s="28">
        <v>20</v>
      </c>
      <c r="BJ23" s="28">
        <v>59</v>
      </c>
      <c r="BK23" s="28">
        <v>0</v>
      </c>
      <c r="BL23" s="106">
        <f>IFERROR((PHI_P171185[[#This Row],[BB]]+PHI_P171185[[#This Row],[H]])/PHI_P171185[[#This Row],[IP]],0)</f>
        <v>1.2228067680932746</v>
      </c>
      <c r="BM23" s="77">
        <v>6</v>
      </c>
      <c r="BN23" s="90">
        <v>3</v>
      </c>
      <c r="BO23" s="28">
        <v>1</v>
      </c>
      <c r="BP23" s="74">
        <v>1</v>
      </c>
      <c r="BQ23" s="780">
        <v>3</v>
      </c>
    </row>
    <row r="24" spans="1:73">
      <c r="A24" s="828" t="s">
        <v>770</v>
      </c>
      <c r="B24" s="114" t="s">
        <v>206</v>
      </c>
      <c r="C24" s="116" t="s">
        <v>792</v>
      </c>
      <c r="D24" s="88">
        <f>IFERROR((PHI_P[[#This Row],[R]]*9)/PHI_P[[#This Row],[IP]],0)</f>
        <v>4.8</v>
      </c>
      <c r="E24" s="28">
        <v>3</v>
      </c>
      <c r="F24" s="74">
        <v>3</v>
      </c>
      <c r="G24" s="28">
        <v>10</v>
      </c>
      <c r="H24" s="584">
        <v>60</v>
      </c>
      <c r="I24" s="28">
        <v>70</v>
      </c>
      <c r="J24" s="28">
        <v>32</v>
      </c>
      <c r="K24" s="28">
        <v>16</v>
      </c>
      <c r="L24" s="28">
        <v>46</v>
      </c>
      <c r="M24" s="28">
        <v>0</v>
      </c>
      <c r="N24" s="106">
        <f>IFERROR((PHI_P[[#This Row],[BB]]+PHI_P[[#This Row],[H]])/PHI_P[[#This Row],[IP]],0)</f>
        <v>1.4333333333333333</v>
      </c>
      <c r="O24" s="77">
        <v>4</v>
      </c>
      <c r="P24" s="90">
        <v>3</v>
      </c>
      <c r="Q24" s="28">
        <v>2</v>
      </c>
      <c r="R24" s="74">
        <v>2</v>
      </c>
      <c r="S24" s="780">
        <v>4</v>
      </c>
      <c r="Z24" s="828" t="s">
        <v>770</v>
      </c>
      <c r="AA24" s="114" t="s">
        <v>206</v>
      </c>
      <c r="AB24" s="116" t="s">
        <v>792</v>
      </c>
      <c r="AC24" s="88">
        <f>IFERROR((PHI_P171[[#This Row],[R]]*9)/PHI_P171[[#This Row],[IP]],0)</f>
        <v>4.7095761381475665</v>
      </c>
      <c r="AD24" s="28">
        <v>4</v>
      </c>
      <c r="AE24" s="74">
        <v>3</v>
      </c>
      <c r="AF24" s="28">
        <v>10</v>
      </c>
      <c r="AG24" s="584">
        <v>57.33</v>
      </c>
      <c r="AH24" s="28">
        <v>63</v>
      </c>
      <c r="AI24" s="28">
        <v>30</v>
      </c>
      <c r="AJ24" s="28">
        <v>22</v>
      </c>
      <c r="AK24" s="28">
        <v>49</v>
      </c>
      <c r="AL24" s="28">
        <v>0</v>
      </c>
      <c r="AM24" s="106">
        <f>IFERROR((PHI_P171[[#This Row],[BB]]+PHI_P171[[#This Row],[H]])/PHI_P171[[#This Row],[IP]],0)</f>
        <v>1.4826443397871969</v>
      </c>
      <c r="AN24" s="77">
        <v>4</v>
      </c>
      <c r="AO24" s="90">
        <v>1</v>
      </c>
      <c r="AP24" s="28">
        <v>0</v>
      </c>
      <c r="AQ24" s="74">
        <v>0</v>
      </c>
      <c r="AR24" s="780">
        <v>4</v>
      </c>
      <c r="AY24" s="843" t="s">
        <v>770</v>
      </c>
      <c r="AZ24" s="114" t="s">
        <v>365</v>
      </c>
      <c r="BA24" s="115" t="s">
        <v>792</v>
      </c>
      <c r="BB24" s="88">
        <f>IFERROR((PHI_P171185[[#This Row],[R]]*9)/PHI_P171185[[#This Row],[IP]],0)</f>
        <v>5.661290322580645</v>
      </c>
      <c r="BC24" s="28">
        <v>2</v>
      </c>
      <c r="BD24" s="74">
        <v>3</v>
      </c>
      <c r="BE24" s="28">
        <v>10</v>
      </c>
      <c r="BF24" s="584">
        <v>62</v>
      </c>
      <c r="BG24" s="28">
        <v>66</v>
      </c>
      <c r="BH24" s="28">
        <v>39</v>
      </c>
      <c r="BI24" s="28">
        <v>24</v>
      </c>
      <c r="BJ24" s="28">
        <v>56</v>
      </c>
      <c r="BK24" s="28">
        <v>0</v>
      </c>
      <c r="BL24" s="106">
        <f>IFERROR((PHI_P171185[[#This Row],[BB]]+PHI_P171185[[#This Row],[H]])/PHI_P171185[[#This Row],[IP]],0)</f>
        <v>1.4516129032258065</v>
      </c>
      <c r="BM24" s="77">
        <v>5</v>
      </c>
      <c r="BN24" s="90">
        <v>2</v>
      </c>
      <c r="BO24" s="28">
        <v>1</v>
      </c>
      <c r="BP24" s="74">
        <v>1</v>
      </c>
      <c r="BQ24" s="780">
        <v>4</v>
      </c>
    </row>
    <row r="25" spans="1:73">
      <c r="A25" s="828" t="s">
        <v>770</v>
      </c>
      <c r="B25" s="114" t="s">
        <v>212</v>
      </c>
      <c r="C25" s="116" t="s">
        <v>793</v>
      </c>
      <c r="D25" s="88">
        <f>IFERROR((PHI_P[[#This Row],[R]]*9)/PHI_P[[#This Row],[IP]],0)</f>
        <v>3.5415641908509596</v>
      </c>
      <c r="E25" s="28">
        <v>2</v>
      </c>
      <c r="F25" s="74">
        <v>0</v>
      </c>
      <c r="G25" s="28">
        <v>9</v>
      </c>
      <c r="H25" s="584">
        <v>20.329999999999998</v>
      </c>
      <c r="I25" s="28">
        <v>21</v>
      </c>
      <c r="J25" s="28">
        <v>8</v>
      </c>
      <c r="K25" s="28">
        <v>6</v>
      </c>
      <c r="L25" s="28">
        <v>20</v>
      </c>
      <c r="M25" s="28">
        <v>0</v>
      </c>
      <c r="N25" s="106">
        <f>IFERROR((PHI_P[[#This Row],[BB]]+PHI_P[[#This Row],[H]])/PHI_P[[#This Row],[IP]],0)</f>
        <v>1.3280865715691097</v>
      </c>
      <c r="O25" s="77">
        <v>0</v>
      </c>
      <c r="P25" s="90">
        <v>0</v>
      </c>
      <c r="Q25" s="28">
        <v>0</v>
      </c>
      <c r="R25" s="74">
        <v>0</v>
      </c>
      <c r="S25" s="780">
        <v>5</v>
      </c>
      <c r="Z25" s="828" t="s">
        <v>770</v>
      </c>
      <c r="AA25" s="114" t="s">
        <v>215</v>
      </c>
      <c r="AB25" s="116" t="s">
        <v>794</v>
      </c>
      <c r="AC25" s="88">
        <f>IFERROR((PHI_P171[[#This Row],[R]]*9)/PHI_P171[[#This Row],[IP]],0)</f>
        <v>0</v>
      </c>
      <c r="AD25" s="28">
        <v>0</v>
      </c>
      <c r="AE25" s="74">
        <v>0</v>
      </c>
      <c r="AF25" s="28">
        <v>0</v>
      </c>
      <c r="AG25" s="584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106">
        <f>IFERROR((PHI_P171[[#This Row],[BB]]+PHI_P171[[#This Row],[H]])/PHI_P171[[#This Row],[IP]],0)</f>
        <v>0</v>
      </c>
      <c r="AN25" s="77">
        <v>0</v>
      </c>
      <c r="AO25" s="90">
        <v>0</v>
      </c>
      <c r="AP25" s="28">
        <v>0</v>
      </c>
      <c r="AQ25" s="74">
        <v>0</v>
      </c>
      <c r="AR25" s="780">
        <v>5</v>
      </c>
      <c r="AY25" s="843" t="s">
        <v>770</v>
      </c>
      <c r="AZ25" s="114" t="s">
        <v>212</v>
      </c>
      <c r="BA25" s="115" t="s">
        <v>793</v>
      </c>
      <c r="BB25" s="88">
        <f>IFERROR((PHI_P171185[[#This Row],[R]]*9)/PHI_P171185[[#This Row],[IP]],0)</f>
        <v>1.6363636363636365</v>
      </c>
      <c r="BC25" s="28">
        <v>0</v>
      </c>
      <c r="BD25" s="74">
        <v>0</v>
      </c>
      <c r="BE25" s="28">
        <v>6</v>
      </c>
      <c r="BF25" s="584">
        <v>11</v>
      </c>
      <c r="BG25" s="28">
        <v>8</v>
      </c>
      <c r="BH25" s="28">
        <v>2</v>
      </c>
      <c r="BI25" s="28">
        <v>2</v>
      </c>
      <c r="BJ25" s="28">
        <v>8</v>
      </c>
      <c r="BK25" s="28">
        <v>0</v>
      </c>
      <c r="BL25" s="106">
        <f>IFERROR((PHI_P171185[[#This Row],[BB]]+PHI_P171185[[#This Row],[H]])/PHI_P171185[[#This Row],[IP]],0)</f>
        <v>0.90909090909090906</v>
      </c>
      <c r="BM25" s="77">
        <v>0</v>
      </c>
      <c r="BN25" s="90">
        <v>0</v>
      </c>
      <c r="BO25" s="28">
        <v>0</v>
      </c>
      <c r="BP25" s="74">
        <v>0</v>
      </c>
      <c r="BQ25" s="780">
        <v>5</v>
      </c>
    </row>
    <row r="26" spans="1:73">
      <c r="A26" s="828" t="s">
        <v>770</v>
      </c>
      <c r="B26" s="114" t="s">
        <v>212</v>
      </c>
      <c r="C26" s="116" t="s">
        <v>795</v>
      </c>
      <c r="D26" s="88">
        <f>IFERROR((PHI_P[[#This Row],[R]]*9)/PHI_P[[#This Row],[IP]],0)</f>
        <v>9</v>
      </c>
      <c r="E26" s="28">
        <v>0</v>
      </c>
      <c r="F26" s="74">
        <v>0</v>
      </c>
      <c r="G26" s="28">
        <v>3</v>
      </c>
      <c r="H26" s="584">
        <v>5</v>
      </c>
      <c r="I26" s="28">
        <v>7</v>
      </c>
      <c r="J26" s="28">
        <v>5</v>
      </c>
      <c r="K26" s="28">
        <v>3</v>
      </c>
      <c r="L26" s="28">
        <v>6</v>
      </c>
      <c r="M26" s="28">
        <v>0</v>
      </c>
      <c r="N26" s="106">
        <f>IFERROR((PHI_P[[#This Row],[BB]]+PHI_P[[#This Row],[H]])/PHI_P[[#This Row],[IP]],0)</f>
        <v>2</v>
      </c>
      <c r="O26" s="77">
        <v>0</v>
      </c>
      <c r="P26" s="90">
        <v>0</v>
      </c>
      <c r="Q26" s="28">
        <v>0</v>
      </c>
      <c r="R26" s="74">
        <v>0</v>
      </c>
      <c r="S26" s="780">
        <v>6</v>
      </c>
      <c r="Z26" s="828" t="s">
        <v>770</v>
      </c>
      <c r="AA26" s="114" t="s">
        <v>212</v>
      </c>
      <c r="AB26" s="115" t="s">
        <v>796</v>
      </c>
      <c r="AC26" s="88">
        <f>IFERROR((PHI_P171[[#This Row],[R]]*9)/PHI_P171[[#This Row],[IP]],0)</f>
        <v>3.8571428571428572</v>
      </c>
      <c r="AD26" s="28">
        <v>0</v>
      </c>
      <c r="AE26" s="74">
        <v>0</v>
      </c>
      <c r="AF26" s="28">
        <v>4</v>
      </c>
      <c r="AG26" s="584">
        <v>7</v>
      </c>
      <c r="AH26" s="28">
        <v>7</v>
      </c>
      <c r="AI26" s="28">
        <v>3</v>
      </c>
      <c r="AJ26" s="28">
        <v>3</v>
      </c>
      <c r="AK26" s="28">
        <v>4</v>
      </c>
      <c r="AL26" s="28">
        <v>0</v>
      </c>
      <c r="AM26" s="106">
        <f>IFERROR((PHI_P171[[#This Row],[BB]]+PHI_P171[[#This Row],[H]])/PHI_P171[[#This Row],[IP]],0)</f>
        <v>1.4285714285714286</v>
      </c>
      <c r="AN26" s="77">
        <v>0</v>
      </c>
      <c r="AO26" s="90">
        <v>0</v>
      </c>
      <c r="AP26" s="28">
        <v>0</v>
      </c>
      <c r="AQ26" s="74">
        <v>0</v>
      </c>
      <c r="AR26" s="780">
        <v>6</v>
      </c>
      <c r="AY26" s="843" t="s">
        <v>770</v>
      </c>
      <c r="AZ26" s="114" t="s">
        <v>215</v>
      </c>
      <c r="BA26" s="115" t="s">
        <v>796</v>
      </c>
      <c r="BB26" s="88">
        <f>IFERROR((PHI_P171185[[#This Row],[R]]*9)/PHI_P171185[[#This Row],[IP]],0)</f>
        <v>0</v>
      </c>
      <c r="BC26" s="28">
        <v>0</v>
      </c>
      <c r="BD26" s="74">
        <v>0</v>
      </c>
      <c r="BE26" s="28">
        <v>3</v>
      </c>
      <c r="BF26" s="584">
        <v>2.67</v>
      </c>
      <c r="BG26" s="28">
        <v>1</v>
      </c>
      <c r="BH26" s="28">
        <v>0</v>
      </c>
      <c r="BI26" s="28">
        <v>1</v>
      </c>
      <c r="BJ26" s="28">
        <v>3</v>
      </c>
      <c r="BK26" s="28">
        <v>0</v>
      </c>
      <c r="BL26" s="106">
        <f>IFERROR((PHI_P171185[[#This Row],[BB]]+PHI_P171185[[#This Row],[H]])/PHI_P171185[[#This Row],[IP]],0)</f>
        <v>0.74906367041198507</v>
      </c>
      <c r="BM26" s="77">
        <v>0</v>
      </c>
      <c r="BN26" s="90">
        <v>0</v>
      </c>
      <c r="BO26" s="28">
        <v>0</v>
      </c>
      <c r="BP26" s="74">
        <v>0</v>
      </c>
      <c r="BQ26" s="780">
        <v>6</v>
      </c>
    </row>
    <row r="27" spans="1:73">
      <c r="A27" s="828" t="s">
        <v>770</v>
      </c>
      <c r="B27" s="114" t="s">
        <v>212</v>
      </c>
      <c r="C27" s="116" t="s">
        <v>797</v>
      </c>
      <c r="D27" s="88">
        <f>IFERROR((PHI_P[[#This Row],[R]]*9)/PHI_P[[#This Row],[IP]],0)</f>
        <v>4.4090630740967551</v>
      </c>
      <c r="E27" s="28">
        <v>1</v>
      </c>
      <c r="F27" s="74">
        <v>0</v>
      </c>
      <c r="G27" s="28">
        <v>12</v>
      </c>
      <c r="H27" s="584">
        <v>16.329999999999998</v>
      </c>
      <c r="I27" s="28">
        <v>17</v>
      </c>
      <c r="J27" s="28">
        <v>8</v>
      </c>
      <c r="K27" s="28">
        <v>5</v>
      </c>
      <c r="L27" s="28">
        <v>19</v>
      </c>
      <c r="M27" s="28">
        <v>1</v>
      </c>
      <c r="N27" s="106">
        <f>IFERROR((PHI_P[[#This Row],[BB]]+PHI_P[[#This Row],[H]])/PHI_P[[#This Row],[IP]],0)</f>
        <v>1.3472137170851195</v>
      </c>
      <c r="O27" s="77">
        <v>0</v>
      </c>
      <c r="P27" s="90">
        <v>0</v>
      </c>
      <c r="Q27" s="28">
        <v>0</v>
      </c>
      <c r="R27" s="74">
        <v>0</v>
      </c>
      <c r="S27" s="780">
        <v>7</v>
      </c>
      <c r="Z27" s="828" t="s">
        <v>770</v>
      </c>
      <c r="AA27" s="114" t="s">
        <v>212</v>
      </c>
      <c r="AB27" s="116" t="s">
        <v>793</v>
      </c>
      <c r="AC27" s="88">
        <f>IFERROR((PHI_P171[[#This Row],[R]]*9)/PHI_P171[[#This Row],[IP]],0)</f>
        <v>3.1906190346332148</v>
      </c>
      <c r="AD27" s="28">
        <v>2</v>
      </c>
      <c r="AE27" s="74">
        <v>1</v>
      </c>
      <c r="AF27" s="28">
        <v>15</v>
      </c>
      <c r="AG27" s="584">
        <v>36.67</v>
      </c>
      <c r="AH27" s="28">
        <v>27</v>
      </c>
      <c r="AI27" s="28">
        <v>13</v>
      </c>
      <c r="AJ27" s="28">
        <v>16</v>
      </c>
      <c r="AK27" s="28">
        <v>39</v>
      </c>
      <c r="AL27" s="28">
        <v>0</v>
      </c>
      <c r="AM27" s="106">
        <f>IFERROR((PHI_P171[[#This Row],[BB]]+PHI_P171[[#This Row],[H]])/PHI_P171[[#This Row],[IP]],0)</f>
        <v>1.1726206708481046</v>
      </c>
      <c r="AN27" s="77">
        <v>0</v>
      </c>
      <c r="AO27" s="90">
        <v>0</v>
      </c>
      <c r="AP27" s="28">
        <v>0</v>
      </c>
      <c r="AQ27" s="74">
        <v>0</v>
      </c>
      <c r="AR27" s="780">
        <v>7</v>
      </c>
      <c r="AY27" s="843" t="s">
        <v>770</v>
      </c>
      <c r="AZ27" s="114" t="s">
        <v>212</v>
      </c>
      <c r="BA27" s="115" t="s">
        <v>798</v>
      </c>
      <c r="BB27" s="88">
        <f>IFERROR((PHI_P171185[[#This Row],[R]]*9)/PHI_P171185[[#This Row],[IP]],0)</f>
        <v>5.5842812823164429</v>
      </c>
      <c r="BC27" s="28">
        <v>0</v>
      </c>
      <c r="BD27" s="74">
        <v>1</v>
      </c>
      <c r="BE27" s="28">
        <v>10</v>
      </c>
      <c r="BF27" s="584">
        <v>9.67</v>
      </c>
      <c r="BG27" s="28">
        <v>15</v>
      </c>
      <c r="BH27" s="28">
        <v>6</v>
      </c>
      <c r="BI27" s="28">
        <v>5</v>
      </c>
      <c r="BJ27" s="28">
        <v>6</v>
      </c>
      <c r="BK27" s="28">
        <v>0</v>
      </c>
      <c r="BL27" s="106">
        <f>IFERROR((PHI_P171185[[#This Row],[BB]]+PHI_P171185[[#This Row],[H]])/PHI_P171185[[#This Row],[IP]],0)</f>
        <v>2.0682523267838677</v>
      </c>
      <c r="BM27" s="77">
        <v>0</v>
      </c>
      <c r="BN27" s="90">
        <v>0</v>
      </c>
      <c r="BO27" s="28">
        <v>0</v>
      </c>
      <c r="BP27" s="74">
        <v>0</v>
      </c>
      <c r="BQ27" s="780">
        <v>7</v>
      </c>
    </row>
    <row r="28" spans="1:73">
      <c r="A28" s="828" t="s">
        <v>770</v>
      </c>
      <c r="B28" s="114" t="s">
        <v>212</v>
      </c>
      <c r="C28" s="116" t="s">
        <v>798</v>
      </c>
      <c r="D28" s="88">
        <f>IFERROR((PHI_P[[#This Row],[R]]*9)/PHI_P[[#This Row],[IP]],0)</f>
        <v>4.5947670708359922</v>
      </c>
      <c r="E28" s="28">
        <v>1</v>
      </c>
      <c r="F28" s="74">
        <v>1</v>
      </c>
      <c r="G28" s="28">
        <v>12</v>
      </c>
      <c r="H28" s="584">
        <v>15.67</v>
      </c>
      <c r="I28" s="28">
        <v>18</v>
      </c>
      <c r="J28" s="28">
        <v>8</v>
      </c>
      <c r="K28" s="28">
        <v>4</v>
      </c>
      <c r="L28" s="28">
        <v>18</v>
      </c>
      <c r="M28" s="28">
        <v>0</v>
      </c>
      <c r="N28" s="106">
        <f>IFERROR((PHI_P[[#This Row],[BB]]+PHI_P[[#This Row],[H]])/PHI_P[[#This Row],[IP]],0)</f>
        <v>1.4039566049776644</v>
      </c>
      <c r="O28" s="77">
        <v>0</v>
      </c>
      <c r="P28" s="90">
        <v>0</v>
      </c>
      <c r="Q28" s="28">
        <v>0</v>
      </c>
      <c r="R28" s="74">
        <v>0</v>
      </c>
      <c r="S28" s="780">
        <v>8</v>
      </c>
      <c r="Z28" s="828" t="s">
        <v>770</v>
      </c>
      <c r="AA28" s="114" t="s">
        <v>212</v>
      </c>
      <c r="AB28" s="116" t="s">
        <v>797</v>
      </c>
      <c r="AC28" s="88">
        <f>IFERROR((PHI_P171[[#This Row],[R]]*9)/PHI_P171[[#This Row],[IP]],0)</f>
        <v>4.7426023510336437</v>
      </c>
      <c r="AD28" s="28">
        <v>2</v>
      </c>
      <c r="AE28" s="74">
        <v>2</v>
      </c>
      <c r="AF28" s="28">
        <v>22</v>
      </c>
      <c r="AG28" s="584">
        <v>24.67</v>
      </c>
      <c r="AH28" s="28">
        <v>30</v>
      </c>
      <c r="AI28" s="28">
        <v>13</v>
      </c>
      <c r="AJ28" s="28">
        <v>6</v>
      </c>
      <c r="AK28" s="28">
        <v>28</v>
      </c>
      <c r="AL28" s="28">
        <v>0</v>
      </c>
      <c r="AM28" s="106">
        <f>IFERROR((PHI_P171[[#This Row],[BB]]+PHI_P171[[#This Row],[H]])/PHI_P171[[#This Row],[IP]],0)</f>
        <v>1.4592622618565059</v>
      </c>
      <c r="AN28" s="77">
        <v>0</v>
      </c>
      <c r="AO28" s="90">
        <v>0</v>
      </c>
      <c r="AP28" s="28">
        <v>0</v>
      </c>
      <c r="AQ28" s="74">
        <v>0</v>
      </c>
      <c r="AR28" s="780">
        <v>8</v>
      </c>
      <c r="AY28" s="843" t="s">
        <v>770</v>
      </c>
      <c r="AZ28" s="114" t="s">
        <v>212</v>
      </c>
      <c r="BA28" s="115" t="s">
        <v>797</v>
      </c>
      <c r="BB28" s="88">
        <f>IFERROR((PHI_P171185[[#This Row],[R]]*9)/PHI_P171185[[#This Row],[IP]],0)</f>
        <v>3.4460753031269942</v>
      </c>
      <c r="BC28" s="28">
        <v>0</v>
      </c>
      <c r="BD28" s="74">
        <v>2</v>
      </c>
      <c r="BE28" s="28">
        <v>15</v>
      </c>
      <c r="BF28" s="584">
        <v>15.67</v>
      </c>
      <c r="BG28" s="28">
        <v>14</v>
      </c>
      <c r="BH28" s="28">
        <v>6</v>
      </c>
      <c r="BI28" s="28">
        <v>8</v>
      </c>
      <c r="BJ28" s="28">
        <v>14</v>
      </c>
      <c r="BK28" s="28">
        <v>1</v>
      </c>
      <c r="BL28" s="106">
        <f>IFERROR((PHI_P171185[[#This Row],[BB]]+PHI_P171185[[#This Row],[H]])/PHI_P171185[[#This Row],[IP]],0)</f>
        <v>1.4039566049776644</v>
      </c>
      <c r="BM28" s="77">
        <v>0</v>
      </c>
      <c r="BN28" s="90">
        <v>0</v>
      </c>
      <c r="BO28" s="28">
        <v>0</v>
      </c>
      <c r="BP28" s="74">
        <v>0</v>
      </c>
      <c r="BQ28" s="780">
        <v>8</v>
      </c>
    </row>
    <row r="29" spans="1:73">
      <c r="A29" s="828" t="s">
        <v>770</v>
      </c>
      <c r="B29" s="114" t="s">
        <v>212</v>
      </c>
      <c r="C29" s="116" t="s">
        <v>794</v>
      </c>
      <c r="D29" s="88">
        <f>IFERROR((PHI_P[[#This Row],[R]]*9)/PHI_P[[#This Row],[IP]],0)</f>
        <v>4.6956521739130439</v>
      </c>
      <c r="E29" s="28">
        <v>4</v>
      </c>
      <c r="F29" s="74">
        <v>1</v>
      </c>
      <c r="G29" s="28">
        <v>19</v>
      </c>
      <c r="H29" s="584">
        <v>23</v>
      </c>
      <c r="I29" s="28">
        <v>23</v>
      </c>
      <c r="J29" s="28">
        <v>12</v>
      </c>
      <c r="K29" s="28">
        <v>8</v>
      </c>
      <c r="L29" s="28">
        <v>31</v>
      </c>
      <c r="M29" s="28">
        <v>1</v>
      </c>
      <c r="N29" s="106">
        <f>IFERROR((PHI_P[[#This Row],[BB]]+PHI_P[[#This Row],[H]])/PHI_P[[#This Row],[IP]],0)</f>
        <v>1.3478260869565217</v>
      </c>
      <c r="O29" s="77">
        <v>0</v>
      </c>
      <c r="P29" s="90">
        <v>0</v>
      </c>
      <c r="Q29" s="28">
        <v>0</v>
      </c>
      <c r="R29" s="74">
        <v>0</v>
      </c>
      <c r="S29" s="780">
        <v>9</v>
      </c>
      <c r="Z29" s="828" t="s">
        <v>770</v>
      </c>
      <c r="AA29" s="114" t="s">
        <v>212</v>
      </c>
      <c r="AB29" s="116" t="s">
        <v>798</v>
      </c>
      <c r="AC29" s="88">
        <f>IFERROR((PHI_P171[[#This Row],[R]]*9)/PHI_P171[[#This Row],[IP]],0)</f>
        <v>3</v>
      </c>
      <c r="AD29" s="28">
        <v>0</v>
      </c>
      <c r="AE29" s="74">
        <v>2</v>
      </c>
      <c r="AF29" s="28">
        <v>16</v>
      </c>
      <c r="AG29" s="584">
        <v>21</v>
      </c>
      <c r="AH29" s="28">
        <v>15</v>
      </c>
      <c r="AI29" s="28">
        <v>7</v>
      </c>
      <c r="AJ29" s="28">
        <v>1</v>
      </c>
      <c r="AK29" s="28">
        <v>21</v>
      </c>
      <c r="AL29" s="28">
        <v>1</v>
      </c>
      <c r="AM29" s="106">
        <f>IFERROR((PHI_P171[[#This Row],[BB]]+PHI_P171[[#This Row],[H]])/PHI_P171[[#This Row],[IP]],0)</f>
        <v>0.76190476190476186</v>
      </c>
      <c r="AN29" s="77">
        <v>0</v>
      </c>
      <c r="AO29" s="90">
        <v>0</v>
      </c>
      <c r="AP29" s="28">
        <v>0</v>
      </c>
      <c r="AQ29" s="74">
        <v>0</v>
      </c>
      <c r="AR29" s="780">
        <v>9</v>
      </c>
      <c r="AY29" s="843" t="s">
        <v>770</v>
      </c>
      <c r="AZ29" s="114" t="s">
        <v>212</v>
      </c>
      <c r="BA29" s="115" t="s">
        <v>799</v>
      </c>
      <c r="BB29" s="88">
        <f>IFERROR((PHI_P171185[[#This Row],[R]]*9)/PHI_P171185[[#This Row],[IP]],0)</f>
        <v>2.015226153157188</v>
      </c>
      <c r="BC29" s="28">
        <v>2</v>
      </c>
      <c r="BD29" s="74">
        <v>1</v>
      </c>
      <c r="BE29" s="28">
        <v>21</v>
      </c>
      <c r="BF29" s="584">
        <v>22.33</v>
      </c>
      <c r="BG29" s="28">
        <v>22</v>
      </c>
      <c r="BH29" s="28">
        <v>5</v>
      </c>
      <c r="BI29" s="28">
        <v>12</v>
      </c>
      <c r="BJ29" s="28">
        <v>33</v>
      </c>
      <c r="BK29" s="28">
        <v>1</v>
      </c>
      <c r="BL29" s="106">
        <f>IFERROR((PHI_P171185[[#This Row],[BB]]+PHI_P171185[[#This Row],[H]])/PHI_P171185[[#This Row],[IP]],0)</f>
        <v>1.5226153157187641</v>
      </c>
      <c r="BM29" s="77">
        <v>0</v>
      </c>
      <c r="BN29" s="90">
        <v>0</v>
      </c>
      <c r="BO29" s="28">
        <v>0</v>
      </c>
      <c r="BP29" s="74">
        <v>0</v>
      </c>
      <c r="BQ29" s="780">
        <v>9</v>
      </c>
    </row>
    <row r="30" spans="1:73" ht="17" thickBot="1">
      <c r="A30" s="828" t="s">
        <v>770</v>
      </c>
      <c r="B30" s="114" t="s">
        <v>212</v>
      </c>
      <c r="C30" s="116" t="s">
        <v>796</v>
      </c>
      <c r="D30" s="88">
        <f>IFERROR((PHI_P[[#This Row],[R]]*9)/PHI_P[[#This Row],[IP]],0)</f>
        <v>10.948905109489051</v>
      </c>
      <c r="E30" s="28">
        <v>0</v>
      </c>
      <c r="F30" s="74">
        <v>3</v>
      </c>
      <c r="G30" s="28">
        <v>13</v>
      </c>
      <c r="H30" s="584">
        <v>12.33</v>
      </c>
      <c r="I30" s="28">
        <v>19</v>
      </c>
      <c r="J30" s="28">
        <v>15</v>
      </c>
      <c r="K30" s="28">
        <v>7</v>
      </c>
      <c r="L30" s="28">
        <v>12</v>
      </c>
      <c r="M30" s="28">
        <v>5</v>
      </c>
      <c r="N30" s="106">
        <f>IFERROR((PHI_P[[#This Row],[BB]]+PHI_P[[#This Row],[H]])/PHI_P[[#This Row],[IP]],0)</f>
        <v>2.1086780210867802</v>
      </c>
      <c r="O30" s="77">
        <v>0</v>
      </c>
      <c r="P30" s="90">
        <v>0</v>
      </c>
      <c r="Q30" s="28">
        <v>0</v>
      </c>
      <c r="R30" s="74">
        <v>0</v>
      </c>
      <c r="S30" s="780">
        <v>10</v>
      </c>
      <c r="Z30" s="828" t="s">
        <v>770</v>
      </c>
      <c r="AA30" s="114" t="s">
        <v>215</v>
      </c>
      <c r="AB30" s="116" t="s">
        <v>795</v>
      </c>
      <c r="AC30" s="88">
        <f>IFERROR((PHI_P171[[#This Row],[R]]*9)/PHI_P171[[#This Row],[IP]],0)</f>
        <v>3.0763387770603874</v>
      </c>
      <c r="AD30" s="28">
        <v>2</v>
      </c>
      <c r="AE30" s="74">
        <v>1</v>
      </c>
      <c r="AF30" s="28">
        <v>21</v>
      </c>
      <c r="AG30" s="584">
        <v>26.33</v>
      </c>
      <c r="AH30" s="28">
        <v>21</v>
      </c>
      <c r="AI30" s="28">
        <v>9</v>
      </c>
      <c r="AJ30" s="28">
        <v>14</v>
      </c>
      <c r="AK30" s="28">
        <v>27</v>
      </c>
      <c r="AL30" s="28">
        <v>8</v>
      </c>
      <c r="AM30" s="106">
        <f>IFERROR((PHI_P171[[#This Row],[BB]]+PHI_P171[[#This Row],[H]])/PHI_P171[[#This Row],[IP]],0)</f>
        <v>1.329282187618686</v>
      </c>
      <c r="AN30" s="77">
        <v>0</v>
      </c>
      <c r="AO30" s="90">
        <v>0</v>
      </c>
      <c r="AP30" s="28">
        <v>0</v>
      </c>
      <c r="AQ30" s="74">
        <v>0</v>
      </c>
      <c r="AR30" s="780">
        <v>10</v>
      </c>
      <c r="AY30" s="843" t="s">
        <v>770</v>
      </c>
      <c r="AZ30" s="356" t="s">
        <v>212</v>
      </c>
      <c r="BA30" s="357" t="s">
        <v>800</v>
      </c>
      <c r="BB30" s="349">
        <f>IFERROR((PHI_P171185[[#This Row],[R]]*9)/PHI_P171185[[#This Row],[IP]],0)</f>
        <v>1.3333333333333333</v>
      </c>
      <c r="BC30" s="28">
        <v>3</v>
      </c>
      <c r="BD30" s="74">
        <v>1</v>
      </c>
      <c r="BE30" s="28">
        <v>22</v>
      </c>
      <c r="BF30" s="584">
        <v>27</v>
      </c>
      <c r="BG30" s="28">
        <v>17</v>
      </c>
      <c r="BH30" s="28">
        <v>4</v>
      </c>
      <c r="BI30" s="28">
        <v>8</v>
      </c>
      <c r="BJ30" s="28">
        <v>27</v>
      </c>
      <c r="BK30" s="28">
        <v>9</v>
      </c>
      <c r="BL30" s="106">
        <f>IFERROR((PHI_P171185[[#This Row],[BB]]+PHI_P171185[[#This Row],[H]])/PHI_P171185[[#This Row],[IP]],0)</f>
        <v>0.92592592592592593</v>
      </c>
      <c r="BM30" s="77">
        <v>0</v>
      </c>
      <c r="BN30" s="90">
        <v>0</v>
      </c>
      <c r="BO30" s="28">
        <v>0</v>
      </c>
      <c r="BP30" s="74">
        <v>0</v>
      </c>
      <c r="BQ30" s="780">
        <v>10</v>
      </c>
    </row>
    <row r="31" spans="1:73" ht="17" thickBot="1">
      <c r="A31" s="823"/>
      <c r="B31" s="824"/>
      <c r="C31" s="829" t="s">
        <v>195</v>
      </c>
      <c r="D31" s="798">
        <f>(J31*9)/H31</f>
        <v>4.1716430643234945</v>
      </c>
      <c r="E31" s="794">
        <f>SUBTOTAL(109,PHI_P[W])</f>
        <v>23</v>
      </c>
      <c r="F31" s="796">
        <f>SUBTOTAL(109,PHI_P[L])</f>
        <v>17</v>
      </c>
      <c r="G31" s="794"/>
      <c r="H31" s="799">
        <f>SUBTOTAL(109,PHI_P[IP])</f>
        <v>351.65999999999997</v>
      </c>
      <c r="I31" s="794">
        <f>SUBTOTAL(109,PHI_P[H])</f>
        <v>353</v>
      </c>
      <c r="J31" s="794">
        <f>SUBTOTAL(109,PHI_P[R])</f>
        <v>163</v>
      </c>
      <c r="K31" s="794">
        <f>SUBTOTAL(109,PHI_P[BB])</f>
        <v>106</v>
      </c>
      <c r="L31" s="794">
        <f>SUBTOTAL(109,PHI_P[K])</f>
        <v>348</v>
      </c>
      <c r="M31" s="794">
        <f>SUBTOTAL(109,PHI_P[SV])</f>
        <v>7</v>
      </c>
      <c r="N31" s="800">
        <f>(I31+K31)/H31</f>
        <v>1.3052380139907866</v>
      </c>
      <c r="O31" s="801">
        <f>SUBTOTAL(109,PHI_P[QS])</f>
        <v>26</v>
      </c>
      <c r="P31" s="802">
        <f>SUBTOTAL(109,PHI_P[UQ])</f>
        <v>16</v>
      </c>
      <c r="Q31" s="813">
        <f>SUBTOTAL(109,PHI_P[CG])</f>
        <v>3</v>
      </c>
      <c r="R31" s="814">
        <f>SUBTOTAL(109,PHI_P[SH])</f>
        <v>3</v>
      </c>
      <c r="S31" s="797"/>
      <c r="Z31" s="823"/>
      <c r="AA31" s="824"/>
      <c r="AB31" s="829" t="s">
        <v>195</v>
      </c>
      <c r="AC31" s="798">
        <f>(AI31*9)/AG31</f>
        <v>4.1443776540009925</v>
      </c>
      <c r="AD31" s="794">
        <f>SUBTOTAL(109,PHI_P171[W])</f>
        <v>20</v>
      </c>
      <c r="AE31" s="796">
        <f>SUBTOTAL(109,PHI_P171[L])</f>
        <v>20</v>
      </c>
      <c r="AF31" s="794"/>
      <c r="AG31" s="799">
        <f>SUBTOTAL(109,PHI_P171[IP])</f>
        <v>362.66</v>
      </c>
      <c r="AH31" s="794">
        <f>SUBTOTAL(109,PHI_P171[H])</f>
        <v>354</v>
      </c>
      <c r="AI31" s="794">
        <f>SUBTOTAL(109,PHI_P171[R])</f>
        <v>167</v>
      </c>
      <c r="AJ31" s="794">
        <f>SUBTOTAL(109,PHI_P171[BB])</f>
        <v>127</v>
      </c>
      <c r="AK31" s="794">
        <f>SUBTOTAL(109,PHI_P171[K])</f>
        <v>364</v>
      </c>
      <c r="AL31" s="794">
        <f>SUBTOTAL(109,PHI_P171[SV])</f>
        <v>9</v>
      </c>
      <c r="AM31" s="800">
        <f>(AH31+AJ31)/AG31</f>
        <v>1.3263111454254672</v>
      </c>
      <c r="AN31" s="801">
        <f>SUBTOTAL(109,PHI_P171[QS])</f>
        <v>21</v>
      </c>
      <c r="AO31" s="802">
        <f>SUBTOTAL(109,PHI_P171[UQ])</f>
        <v>7</v>
      </c>
      <c r="AP31" s="813">
        <f>SUBTOTAL(109,PHI_P171[CG])</f>
        <v>0</v>
      </c>
      <c r="AQ31" s="814">
        <f>SUBTOTAL(109,PHI_P171[SH])</f>
        <v>0</v>
      </c>
      <c r="AR31" s="797"/>
      <c r="AY31" s="823"/>
      <c r="AZ31" s="824"/>
      <c r="BA31" s="829" t="s">
        <v>195</v>
      </c>
      <c r="BB31" s="819">
        <f>IFERROR((BH31*9)/BF31,0)</f>
        <v>3.1401098901098901</v>
      </c>
      <c r="BC31" s="794">
        <f>SUBTOTAL(109,PHI_P171185[W])</f>
        <v>23</v>
      </c>
      <c r="BD31" s="796">
        <f>SUBTOTAL(109,PHI_P171185[L])</f>
        <v>17</v>
      </c>
      <c r="BE31" s="794"/>
      <c r="BF31" s="799">
        <f>SUBTOTAL(109,PHI_P171185[IP])</f>
        <v>364</v>
      </c>
      <c r="BG31" s="794">
        <f>SUBTOTAL(109,PHI_P171185[H])</f>
        <v>314</v>
      </c>
      <c r="BH31" s="795">
        <f>SUBTOTAL(109,PHI_P171185[R])</f>
        <v>127</v>
      </c>
      <c r="BI31" s="794">
        <f>SUBTOTAL(109,PHI_P171185[BB])</f>
        <v>118</v>
      </c>
      <c r="BJ31" s="794">
        <f>SUBTOTAL(109,PHI_P171185[K])</f>
        <v>349</v>
      </c>
      <c r="BK31" s="794">
        <f>SUBTOTAL(109,PHI_P171185[SV])</f>
        <v>11</v>
      </c>
      <c r="BL31" s="820">
        <f>(BI31+BG31)/BF31</f>
        <v>1.1868131868131868</v>
      </c>
      <c r="BM31" s="801">
        <f>SUBTOTAL(109,PHI_P171185[QS])</f>
        <v>27</v>
      </c>
      <c r="BN31" s="802">
        <f>SUBTOTAL(109,PHI_P171185[UQ])</f>
        <v>15</v>
      </c>
      <c r="BO31" s="813">
        <f>SUM(BO21:BO30)</f>
        <v>5</v>
      </c>
      <c r="BP31" s="844">
        <f>SUM(BP21:BP30)</f>
        <v>5</v>
      </c>
      <c r="BQ31" s="797"/>
    </row>
    <row r="32" spans="1:73" ht="17" thickBot="1"/>
    <row r="33" spans="1:73" ht="24" thickBot="1">
      <c r="A33" s="1012" t="s">
        <v>801</v>
      </c>
      <c r="B33" s="1013"/>
      <c r="C33" s="1013"/>
      <c r="D33" s="1013"/>
      <c r="E33" s="1013"/>
      <c r="F33" s="1013"/>
      <c r="G33" s="1013"/>
      <c r="H33" s="1013"/>
      <c r="I33" s="1013"/>
      <c r="J33" s="1013"/>
      <c r="K33" s="1013"/>
      <c r="L33" s="1013"/>
      <c r="M33" s="1013"/>
      <c r="N33" s="1013"/>
      <c r="O33" s="1013"/>
      <c r="P33" s="1013"/>
      <c r="Q33" s="1013"/>
      <c r="R33" s="1013"/>
      <c r="S33" s="1013"/>
      <c r="T33" s="1013"/>
      <c r="U33" s="1013"/>
      <c r="V33" s="1013"/>
      <c r="W33" s="1014"/>
      <c r="Z33" s="1012" t="s">
        <v>802</v>
      </c>
      <c r="AA33" s="1013"/>
      <c r="AB33" s="1013"/>
      <c r="AC33" s="1013"/>
      <c r="AD33" s="1013"/>
      <c r="AE33" s="1013"/>
      <c r="AF33" s="1013"/>
      <c r="AG33" s="1013"/>
      <c r="AH33" s="1013"/>
      <c r="AI33" s="1013"/>
      <c r="AJ33" s="1013"/>
      <c r="AK33" s="1013"/>
      <c r="AL33" s="1013"/>
      <c r="AM33" s="1013"/>
      <c r="AN33" s="1013"/>
      <c r="AO33" s="1013"/>
      <c r="AP33" s="1013"/>
      <c r="AQ33" s="1013"/>
      <c r="AR33" s="1013"/>
      <c r="AS33" s="1013"/>
      <c r="AT33" s="1013"/>
      <c r="AU33" s="1013"/>
      <c r="AV33" s="1014"/>
      <c r="AY33" s="1012" t="s">
        <v>803</v>
      </c>
      <c r="AZ33" s="1013"/>
      <c r="BA33" s="1013"/>
      <c r="BB33" s="1013"/>
      <c r="BC33" s="1013"/>
      <c r="BD33" s="1013"/>
      <c r="BE33" s="1013"/>
      <c r="BF33" s="1013"/>
      <c r="BG33" s="1013"/>
      <c r="BH33" s="1013"/>
      <c r="BI33" s="1013"/>
      <c r="BJ33" s="1013"/>
      <c r="BK33" s="1013"/>
      <c r="BL33" s="1013"/>
      <c r="BM33" s="1013"/>
      <c r="BN33" s="1013"/>
      <c r="BO33" s="1013"/>
      <c r="BP33" s="1013"/>
      <c r="BQ33" s="1013"/>
      <c r="BR33" s="1013"/>
      <c r="BS33" s="1013"/>
      <c r="BT33" s="1013"/>
      <c r="BU33" s="1014"/>
    </row>
    <row r="34" spans="1:73" s="64" customFormat="1" ht="14" thickBot="1">
      <c r="A34" s="605" t="s">
        <v>143</v>
      </c>
      <c r="B34" s="606" t="s">
        <v>144</v>
      </c>
      <c r="C34" s="606" t="s">
        <v>145</v>
      </c>
      <c r="D34" s="606" t="s">
        <v>146</v>
      </c>
      <c r="E34" s="606" t="s">
        <v>147</v>
      </c>
      <c r="F34" s="606" t="s">
        <v>148</v>
      </c>
      <c r="G34" s="606" t="s">
        <v>149</v>
      </c>
      <c r="H34" s="606" t="s">
        <v>150</v>
      </c>
      <c r="I34" s="606" t="s">
        <v>151</v>
      </c>
      <c r="J34" s="606" t="s">
        <v>152</v>
      </c>
      <c r="K34" s="606" t="s">
        <v>153</v>
      </c>
      <c r="L34" s="606" t="s">
        <v>154</v>
      </c>
      <c r="M34" s="606" t="s">
        <v>155</v>
      </c>
      <c r="N34" s="606" t="s">
        <v>156</v>
      </c>
      <c r="O34" s="606" t="s">
        <v>157</v>
      </c>
      <c r="P34" s="606" t="s">
        <v>158</v>
      </c>
      <c r="Q34" s="606" t="s">
        <v>159</v>
      </c>
      <c r="R34" s="606" t="s">
        <v>160</v>
      </c>
      <c r="S34" s="606" t="s">
        <v>16</v>
      </c>
      <c r="T34" s="606" t="s">
        <v>161</v>
      </c>
      <c r="U34" s="606" t="s">
        <v>162</v>
      </c>
      <c r="V34" s="606" t="s">
        <v>163</v>
      </c>
      <c r="W34" s="607" t="s">
        <v>164</v>
      </c>
      <c r="Z34" s="605" t="s">
        <v>143</v>
      </c>
      <c r="AA34" s="606" t="s">
        <v>144</v>
      </c>
      <c r="AB34" s="606" t="s">
        <v>145</v>
      </c>
      <c r="AC34" s="606" t="s">
        <v>146</v>
      </c>
      <c r="AD34" s="606" t="s">
        <v>147</v>
      </c>
      <c r="AE34" s="606" t="s">
        <v>148</v>
      </c>
      <c r="AF34" s="606" t="s">
        <v>149</v>
      </c>
      <c r="AG34" s="606" t="s">
        <v>150</v>
      </c>
      <c r="AH34" s="606" t="s">
        <v>151</v>
      </c>
      <c r="AI34" s="606" t="s">
        <v>152</v>
      </c>
      <c r="AJ34" s="606" t="s">
        <v>153</v>
      </c>
      <c r="AK34" s="606" t="s">
        <v>154</v>
      </c>
      <c r="AL34" s="606" t="s">
        <v>155</v>
      </c>
      <c r="AM34" s="606" t="s">
        <v>156</v>
      </c>
      <c r="AN34" s="606" t="s">
        <v>157</v>
      </c>
      <c r="AO34" s="606" t="s">
        <v>158</v>
      </c>
      <c r="AP34" s="606" t="s">
        <v>159</v>
      </c>
      <c r="AQ34" s="606" t="s">
        <v>160</v>
      </c>
      <c r="AR34" s="606" t="s">
        <v>16</v>
      </c>
      <c r="AS34" s="606" t="s">
        <v>161</v>
      </c>
      <c r="AT34" s="606" t="s">
        <v>162</v>
      </c>
      <c r="AU34" s="606" t="s">
        <v>163</v>
      </c>
      <c r="AV34" s="607" t="s">
        <v>164</v>
      </c>
      <c r="AY34" s="605" t="s">
        <v>143</v>
      </c>
      <c r="AZ34" s="606" t="s">
        <v>144</v>
      </c>
      <c r="BA34" s="606" t="s">
        <v>145</v>
      </c>
      <c r="BB34" s="606" t="s">
        <v>146</v>
      </c>
      <c r="BC34" s="606" t="s">
        <v>147</v>
      </c>
      <c r="BD34" s="606" t="s">
        <v>148</v>
      </c>
      <c r="BE34" s="606" t="s">
        <v>149</v>
      </c>
      <c r="BF34" s="606" t="s">
        <v>150</v>
      </c>
      <c r="BG34" s="606" t="s">
        <v>151</v>
      </c>
      <c r="BH34" s="606" t="s">
        <v>152</v>
      </c>
      <c r="BI34" s="606" t="s">
        <v>153</v>
      </c>
      <c r="BJ34" s="606" t="s">
        <v>154</v>
      </c>
      <c r="BK34" s="606" t="s">
        <v>155</v>
      </c>
      <c r="BL34" s="606" t="s">
        <v>156</v>
      </c>
      <c r="BM34" s="606" t="s">
        <v>157</v>
      </c>
      <c r="BN34" s="606" t="s">
        <v>158</v>
      </c>
      <c r="BO34" s="606" t="s">
        <v>159</v>
      </c>
      <c r="BP34" s="606" t="s">
        <v>160</v>
      </c>
      <c r="BQ34" s="606" t="s">
        <v>16</v>
      </c>
      <c r="BR34" s="606" t="s">
        <v>161</v>
      </c>
      <c r="BS34" s="606" t="s">
        <v>162</v>
      </c>
      <c r="BT34" s="606" t="s">
        <v>163</v>
      </c>
      <c r="BU34" s="607" t="s">
        <v>164</v>
      </c>
    </row>
    <row r="35" spans="1:73">
      <c r="A35" s="650" t="s">
        <v>804</v>
      </c>
      <c r="B35" s="597" t="s">
        <v>179</v>
      </c>
      <c r="C35" s="597" t="s">
        <v>813</v>
      </c>
      <c r="D35" s="598">
        <f>IFERROR(NYM_H[[#This Row],[H]]/NYM_H[[#This Row],[AB]],0)</f>
        <v>0.28037383177570091</v>
      </c>
      <c r="E35" s="598">
        <f>IFERROR((NYM_H[[#This Row],[H]]+NYM_H[[#This Row],[BB]])/(NYM_H[[#This Row],[BB]]+NYM_H[[#This Row],[AB]]),0)</f>
        <v>0.36885245901639346</v>
      </c>
      <c r="F35" s="599">
        <f>IFERROR(((NYM_H[[#This Row],[H]]-NYM_H[[#This Row],[2B]]-NYM_H[[#This Row],[3B]]-NYM_H[[#This Row],[HR]])+(NYM_H[[#This Row],[2B]]*2)+(NYM_H[[#This Row],[3B]]*3)+(NYM_H[[#This Row],[HR]]*4))/NYM_H[[#This Row],[AB]],0)</f>
        <v>0.50467289719626163</v>
      </c>
      <c r="G35" s="600">
        <v>32</v>
      </c>
      <c r="H35" s="600">
        <v>107</v>
      </c>
      <c r="I35" s="600">
        <v>15</v>
      </c>
      <c r="J35" s="600">
        <v>30</v>
      </c>
      <c r="K35" s="600">
        <v>6</v>
      </c>
      <c r="L35" s="600">
        <v>0</v>
      </c>
      <c r="M35" s="600">
        <v>6</v>
      </c>
      <c r="N35" s="600">
        <v>14</v>
      </c>
      <c r="O35" s="600">
        <v>15</v>
      </c>
      <c r="P35" s="604">
        <v>22</v>
      </c>
      <c r="Q35" s="600">
        <v>0</v>
      </c>
      <c r="R35" s="600">
        <v>0</v>
      </c>
      <c r="S35" s="604">
        <v>5</v>
      </c>
      <c r="T35" s="600">
        <f>IFERROR((NYM_H[[#This Row],[H]]-NYM_H[[#This Row],[2B]]-NYM_H[[#This Row],[3B]]-NYM_H[[#This Row],[HR]])+(NYM_H[[#This Row],[2B]]*2)+(NYM_H[[#This Row],[3B]]*3)+(NYM_H[[#This Row],[HR]]*4),0)</f>
        <v>54</v>
      </c>
      <c r="U35" s="598">
        <f>NYM_H[[#This Row],[OBP]]+NYM_H[[#This Row],[SLG]]</f>
        <v>0.87352535621265504</v>
      </c>
      <c r="V35" s="604">
        <v>3</v>
      </c>
      <c r="W35" s="614">
        <v>1</v>
      </c>
      <c r="Z35" s="650" t="s">
        <v>804</v>
      </c>
      <c r="AA35" s="597" t="s">
        <v>179</v>
      </c>
      <c r="AB35" s="597" t="s">
        <v>813</v>
      </c>
      <c r="AC35" s="598">
        <f>IFERROR(NYM_H164[[#This Row],[H]]/NYM_H164[[#This Row],[AB]],0)</f>
        <v>0.27480916030534353</v>
      </c>
      <c r="AD35" s="598">
        <f>IFERROR((NYM_H164[[#This Row],[H]]+NYM_H164[[#This Row],[BB]])/(NYM_H164[[#This Row],[BB]]+NYM_H164[[#This Row],[AB]]),0)</f>
        <v>0.34027777777777779</v>
      </c>
      <c r="AE35" s="599">
        <f>IFERROR(((NYM_H164[[#This Row],[H]]-NYM_H164[[#This Row],[2B]]-NYM_H164[[#This Row],[3B]]-NYM_H164[[#This Row],[HR]])+(NYM_H164[[#This Row],[2B]]*2)+(NYM_H164[[#This Row],[3B]]*3)+(NYM_H164[[#This Row],[HR]]*4))/NYM_H164[[#This Row],[AB]],0)</f>
        <v>0.42748091603053434</v>
      </c>
      <c r="AF35" s="600">
        <v>38</v>
      </c>
      <c r="AG35" s="600">
        <v>131</v>
      </c>
      <c r="AH35" s="600">
        <v>16</v>
      </c>
      <c r="AI35" s="600">
        <v>36</v>
      </c>
      <c r="AJ35" s="600">
        <v>11</v>
      </c>
      <c r="AK35" s="600">
        <v>0</v>
      </c>
      <c r="AL35" s="600">
        <v>3</v>
      </c>
      <c r="AM35" s="600">
        <v>13</v>
      </c>
      <c r="AN35" s="600">
        <v>13</v>
      </c>
      <c r="AO35" s="604">
        <v>27</v>
      </c>
      <c r="AP35" s="600">
        <v>0</v>
      </c>
      <c r="AQ35" s="600">
        <v>0</v>
      </c>
      <c r="AR35" s="604">
        <v>7</v>
      </c>
      <c r="AS35" s="600">
        <f>IFERROR((NYM_H164[[#This Row],[H]]-NYM_H164[[#This Row],[2B]]-NYM_H164[[#This Row],[3B]]-NYM_H164[[#This Row],[HR]])+(NYM_H164[[#This Row],[2B]]*2)+(NYM_H164[[#This Row],[3B]]*3)+(NYM_H164[[#This Row],[HR]]*4),0)</f>
        <v>56</v>
      </c>
      <c r="AT35" s="598">
        <f>NYM_H164[[#This Row],[OBP]]+NYM_H164[[#This Row],[SLG]]</f>
        <v>0.76775869380831208</v>
      </c>
      <c r="AU35" s="604">
        <v>1</v>
      </c>
      <c r="AV35" s="614">
        <v>1</v>
      </c>
      <c r="AY35" s="650" t="s">
        <v>804</v>
      </c>
      <c r="AZ35" s="604" t="s">
        <v>179</v>
      </c>
      <c r="BA35" s="597" t="s">
        <v>813</v>
      </c>
      <c r="BB35" s="598">
        <f>IFERROR(NYM_H164178[[#This Row],[H]]/NYM_H164178[[#This Row],[AB]],0)</f>
        <v>0.29133858267716534</v>
      </c>
      <c r="BC35" s="598">
        <f>IFERROR((NYM_H164178[[#This Row],[H]]+NYM_H164178[[#This Row],[BB]])/(NYM_H164178[[#This Row],[BB]]+NYM_H164178[[#This Row],[AB]]),0)</f>
        <v>0.35251798561151076</v>
      </c>
      <c r="BD35" s="599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0.38582677165354329</v>
      </c>
      <c r="BE35" s="600">
        <v>37</v>
      </c>
      <c r="BF35" s="600">
        <v>127</v>
      </c>
      <c r="BG35" s="600">
        <v>10</v>
      </c>
      <c r="BH35" s="600">
        <v>37</v>
      </c>
      <c r="BI35" s="600">
        <v>9</v>
      </c>
      <c r="BJ35" s="600">
        <v>0</v>
      </c>
      <c r="BK35" s="600">
        <v>1</v>
      </c>
      <c r="BL35" s="600">
        <v>15</v>
      </c>
      <c r="BM35" s="600">
        <v>12</v>
      </c>
      <c r="BN35" s="604">
        <v>23</v>
      </c>
      <c r="BO35" s="600">
        <v>0</v>
      </c>
      <c r="BP35" s="600">
        <v>0</v>
      </c>
      <c r="BQ35" s="604">
        <v>4</v>
      </c>
      <c r="BR35" s="600">
        <f>(NYM_H164178[[#This Row],[H]]-NYM_H164178[[#This Row],[2B]]-NYM_H164178[[#This Row],[3B]]-NYM_H164178[[#This Row],[HR]])+(NYM_H164178[[#This Row],[2B]]*2)+(NYM_H164178[[#This Row],[3B]]*3)+(NYM_H164178[[#This Row],[HR]]*4)</f>
        <v>49</v>
      </c>
      <c r="BS35" s="598">
        <f>IFERROR(NYM_H164178[[#This Row],[OBP]]+NYM_H164178[[#This Row],[SLG]],0)</f>
        <v>0.73834475726505411</v>
      </c>
      <c r="BT35" s="604">
        <v>1</v>
      </c>
      <c r="BU35" s="779">
        <v>1</v>
      </c>
    </row>
    <row r="36" spans="1:73">
      <c r="A36" s="651" t="s">
        <v>804</v>
      </c>
      <c r="B36" s="71" t="s">
        <v>154</v>
      </c>
      <c r="C36" s="71" t="s">
        <v>808</v>
      </c>
      <c r="D36" s="72">
        <f>IFERROR(NYM_H[[#This Row],[H]]/NYM_H[[#This Row],[AB]],0)</f>
        <v>0.2348993288590604</v>
      </c>
      <c r="E36" s="72">
        <f>IFERROR((NYM_H[[#This Row],[H]]+NYM_H[[#This Row],[BB]])/(NYM_H[[#This Row],[BB]]+NYM_H[[#This Row],[AB]]),0)</f>
        <v>0.31736526946107785</v>
      </c>
      <c r="F36" s="73">
        <f>IFERROR(((NYM_H[[#This Row],[H]]-NYM_H[[#This Row],[2B]]-NYM_H[[#This Row],[3B]]-NYM_H[[#This Row],[HR]])+(NYM_H[[#This Row],[2B]]*2)+(NYM_H[[#This Row],[3B]]*3)+(NYM_H[[#This Row],[HR]]*4))/NYM_H[[#This Row],[AB]],0)</f>
        <v>0.42953020134228187</v>
      </c>
      <c r="G36" s="28">
        <v>38</v>
      </c>
      <c r="H36" s="28">
        <v>149</v>
      </c>
      <c r="I36" s="28">
        <v>29</v>
      </c>
      <c r="J36" s="28">
        <v>35</v>
      </c>
      <c r="K36" s="28">
        <v>8</v>
      </c>
      <c r="L36" s="28">
        <v>0</v>
      </c>
      <c r="M36" s="28">
        <v>7</v>
      </c>
      <c r="N36" s="28">
        <v>14</v>
      </c>
      <c r="O36" s="28">
        <v>18</v>
      </c>
      <c r="P36" s="74">
        <v>36</v>
      </c>
      <c r="Q36" s="28">
        <v>0</v>
      </c>
      <c r="R36" s="28">
        <v>1</v>
      </c>
      <c r="S36" s="74">
        <v>6</v>
      </c>
      <c r="T36" s="28">
        <f>IFERROR((NYM_H[[#This Row],[H]]-NYM_H[[#This Row],[2B]]-NYM_H[[#This Row],[3B]]-NYM_H[[#This Row],[HR]])+(NYM_H[[#This Row],[2B]]*2)+(NYM_H[[#This Row],[3B]]*3)+(NYM_H[[#This Row],[HR]]*4),0)</f>
        <v>64</v>
      </c>
      <c r="U36" s="72">
        <f>NYM_H[[#This Row],[OBP]]+NYM_H[[#This Row],[SLG]]</f>
        <v>0.74689547080335972</v>
      </c>
      <c r="V36" s="74">
        <v>2</v>
      </c>
      <c r="W36" s="615">
        <v>2</v>
      </c>
      <c r="Z36" s="651" t="s">
        <v>804</v>
      </c>
      <c r="AA36" s="71" t="s">
        <v>154</v>
      </c>
      <c r="AB36" s="71" t="s">
        <v>808</v>
      </c>
      <c r="AC36" s="72">
        <f>IFERROR(NYM_H164[[#This Row],[H]]/NYM_H164[[#This Row],[AB]],0)</f>
        <v>0.3</v>
      </c>
      <c r="AD36" s="72">
        <f>IFERROR((NYM_H164[[#This Row],[H]]+NYM_H164[[#This Row],[BB]])/(NYM_H164[[#This Row],[BB]]+NYM_H164[[#This Row],[AB]]),0)</f>
        <v>0.378698224852071</v>
      </c>
      <c r="AE36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0.5</v>
      </c>
      <c r="AF36" s="28">
        <v>40</v>
      </c>
      <c r="AG36" s="28">
        <v>150</v>
      </c>
      <c r="AH36" s="28">
        <v>24</v>
      </c>
      <c r="AI36" s="28">
        <v>45</v>
      </c>
      <c r="AJ36" s="28">
        <v>9</v>
      </c>
      <c r="AK36" s="28">
        <v>3</v>
      </c>
      <c r="AL36" s="28">
        <v>5</v>
      </c>
      <c r="AM36" s="28">
        <v>22</v>
      </c>
      <c r="AN36" s="28">
        <v>19</v>
      </c>
      <c r="AO36" s="74">
        <v>40</v>
      </c>
      <c r="AP36" s="28">
        <v>0</v>
      </c>
      <c r="AQ36" s="28">
        <v>0</v>
      </c>
      <c r="AR36" s="74">
        <v>6</v>
      </c>
      <c r="AS36" s="28">
        <f>IFERROR((NYM_H164[[#This Row],[H]]-NYM_H164[[#This Row],[2B]]-NYM_H164[[#This Row],[3B]]-NYM_H164[[#This Row],[HR]])+(NYM_H164[[#This Row],[2B]]*2)+(NYM_H164[[#This Row],[3B]]*3)+(NYM_H164[[#This Row],[HR]]*4),0)</f>
        <v>75</v>
      </c>
      <c r="AT36" s="72">
        <f>NYM_H164[[#This Row],[OBP]]+NYM_H164[[#This Row],[SLG]]</f>
        <v>0.87869822485207094</v>
      </c>
      <c r="AU36" s="74">
        <v>1</v>
      </c>
      <c r="AV36" s="615">
        <v>2</v>
      </c>
      <c r="AY36" s="651" t="s">
        <v>804</v>
      </c>
      <c r="AZ36" s="74" t="s">
        <v>154</v>
      </c>
      <c r="BA36" s="71" t="s">
        <v>808</v>
      </c>
      <c r="BB36" s="72">
        <f>IFERROR(NYM_H164178[[#This Row],[H]]/NYM_H164178[[#This Row],[AB]],0)</f>
        <v>0.2</v>
      </c>
      <c r="BC36" s="72">
        <f>IFERROR((NYM_H164178[[#This Row],[H]]+NYM_H164178[[#This Row],[BB]])/(NYM_H164178[[#This Row],[BB]]+NYM_H164178[[#This Row],[AB]]),0)</f>
        <v>0.27472527472527475</v>
      </c>
      <c r="BD36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0.27878787878787881</v>
      </c>
      <c r="BE36" s="28">
        <v>40</v>
      </c>
      <c r="BF36" s="28">
        <v>165</v>
      </c>
      <c r="BG36" s="28">
        <v>22</v>
      </c>
      <c r="BH36" s="28">
        <v>33</v>
      </c>
      <c r="BI36" s="28">
        <v>5</v>
      </c>
      <c r="BJ36" s="28">
        <v>1</v>
      </c>
      <c r="BK36" s="28">
        <v>2</v>
      </c>
      <c r="BL36" s="28">
        <v>17</v>
      </c>
      <c r="BM36" s="28">
        <v>17</v>
      </c>
      <c r="BN36" s="74">
        <v>51</v>
      </c>
      <c r="BO36" s="28">
        <v>0</v>
      </c>
      <c r="BP36" s="28">
        <v>3</v>
      </c>
      <c r="BQ36" s="74">
        <v>6</v>
      </c>
      <c r="BR36" s="28">
        <f>(NYM_H164178[[#This Row],[H]]-NYM_H164178[[#This Row],[2B]]-NYM_H164178[[#This Row],[3B]]-NYM_H164178[[#This Row],[HR]])+(NYM_H164178[[#This Row],[2B]]*2)+(NYM_H164178[[#This Row],[3B]]*3)+(NYM_H164178[[#This Row],[HR]]*4)</f>
        <v>46</v>
      </c>
      <c r="BS36" s="72">
        <f>IFERROR(NYM_H164178[[#This Row],[OBP]]+NYM_H164178[[#This Row],[SLG]],0)</f>
        <v>0.55351315351315356</v>
      </c>
      <c r="BT36" s="74">
        <v>2</v>
      </c>
      <c r="BU36" s="780">
        <v>2</v>
      </c>
    </row>
    <row r="37" spans="1:73">
      <c r="A37" s="651" t="s">
        <v>804</v>
      </c>
      <c r="B37" s="345" t="s">
        <v>172</v>
      </c>
      <c r="C37" s="71" t="s">
        <v>805</v>
      </c>
      <c r="D37" s="72">
        <f>IFERROR(NYM_H[[#This Row],[H]]/NYM_H[[#This Row],[AB]],0)</f>
        <v>0.29545454545454547</v>
      </c>
      <c r="E37" s="72">
        <f>IFERROR((NYM_H[[#This Row],[H]]+NYM_H[[#This Row],[BB]])/(NYM_H[[#This Row],[BB]]+NYM_H[[#This Row],[AB]]),0)</f>
        <v>0.3439153439153439</v>
      </c>
      <c r="F37" s="73">
        <f>IFERROR(((NYM_H[[#This Row],[H]]-NYM_H[[#This Row],[2B]]-NYM_H[[#This Row],[3B]]-NYM_H[[#This Row],[HR]])+(NYM_H[[#This Row],[2B]]*2)+(NYM_H[[#This Row],[3B]]*3)+(NYM_H[[#This Row],[HR]]*4))/NYM_H[[#This Row],[AB]],0)</f>
        <v>0.49431818181818182</v>
      </c>
      <c r="G37" s="28">
        <v>39</v>
      </c>
      <c r="H37" s="76">
        <v>176</v>
      </c>
      <c r="I37" s="28">
        <v>26</v>
      </c>
      <c r="J37" s="28">
        <v>52</v>
      </c>
      <c r="K37" s="28">
        <v>6</v>
      </c>
      <c r="L37" s="28">
        <v>1</v>
      </c>
      <c r="M37" s="28">
        <v>9</v>
      </c>
      <c r="N37" s="28">
        <v>23</v>
      </c>
      <c r="O37" s="28">
        <v>13</v>
      </c>
      <c r="P37" s="74">
        <v>33</v>
      </c>
      <c r="Q37" s="28">
        <v>0</v>
      </c>
      <c r="R37" s="28">
        <v>1</v>
      </c>
      <c r="S37" s="74">
        <v>8</v>
      </c>
      <c r="T37" s="28">
        <f>IFERROR((NYM_H[[#This Row],[H]]-NYM_H[[#This Row],[2B]]-NYM_H[[#This Row],[3B]]-NYM_H[[#This Row],[HR]])+(NYM_H[[#This Row],[2B]]*2)+(NYM_H[[#This Row],[3B]]*3)+(NYM_H[[#This Row],[HR]]*4),0)</f>
        <v>87</v>
      </c>
      <c r="U37" s="72">
        <f>NYM_H[[#This Row],[OBP]]+NYM_H[[#This Row],[SLG]]</f>
        <v>0.83823352573352572</v>
      </c>
      <c r="V37" s="74">
        <v>3</v>
      </c>
      <c r="W37" s="615">
        <v>3</v>
      </c>
      <c r="Z37" s="651" t="s">
        <v>804</v>
      </c>
      <c r="AA37" s="345" t="s">
        <v>172</v>
      </c>
      <c r="AB37" s="71" t="s">
        <v>805</v>
      </c>
      <c r="AC37" s="72">
        <f>IFERROR(NYM_H164[[#This Row],[H]]/NYM_H164[[#This Row],[AB]],0)</f>
        <v>0.29714285714285715</v>
      </c>
      <c r="AD37" s="72">
        <f>IFERROR((NYM_H164[[#This Row],[H]]+NYM_H164[[#This Row],[BB]])/(NYM_H164[[#This Row],[BB]]+NYM_H164[[#This Row],[AB]]),0)</f>
        <v>0.34920634920634919</v>
      </c>
      <c r="AE37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0.49142857142857144</v>
      </c>
      <c r="AF37" s="28">
        <v>40</v>
      </c>
      <c r="AG37" s="28">
        <v>175</v>
      </c>
      <c r="AH37" s="28">
        <v>29</v>
      </c>
      <c r="AI37" s="28">
        <v>52</v>
      </c>
      <c r="AJ37" s="28">
        <v>6</v>
      </c>
      <c r="AK37" s="28">
        <v>2</v>
      </c>
      <c r="AL37" s="28">
        <v>8</v>
      </c>
      <c r="AM37" s="28">
        <v>22</v>
      </c>
      <c r="AN37" s="28">
        <v>14</v>
      </c>
      <c r="AO37" s="74">
        <v>30</v>
      </c>
      <c r="AP37" s="28">
        <v>1</v>
      </c>
      <c r="AQ37" s="28">
        <v>3</v>
      </c>
      <c r="AR37" s="74">
        <v>10</v>
      </c>
      <c r="AS37" s="28">
        <f>IFERROR((NYM_H164[[#This Row],[H]]-NYM_H164[[#This Row],[2B]]-NYM_H164[[#This Row],[3B]]-NYM_H164[[#This Row],[HR]])+(NYM_H164[[#This Row],[2B]]*2)+(NYM_H164[[#This Row],[3B]]*3)+(NYM_H164[[#This Row],[HR]]*4),0)</f>
        <v>86</v>
      </c>
      <c r="AT37" s="72">
        <f>NYM_H164[[#This Row],[OBP]]+NYM_H164[[#This Row],[SLG]]</f>
        <v>0.84063492063492062</v>
      </c>
      <c r="AU37" s="74">
        <v>2</v>
      </c>
      <c r="AV37" s="615">
        <v>3</v>
      </c>
      <c r="AY37" s="651" t="s">
        <v>804</v>
      </c>
      <c r="AZ37" s="74" t="s">
        <v>172</v>
      </c>
      <c r="BA37" s="71" t="s">
        <v>805</v>
      </c>
      <c r="BB37" s="72">
        <f>IFERROR(NYM_H164178[[#This Row],[H]]/NYM_H164178[[#This Row],[AB]],0)</f>
        <v>0.31034482758620691</v>
      </c>
      <c r="BC37" s="72">
        <f>IFERROR((NYM_H164178[[#This Row],[H]]+NYM_H164178[[#This Row],[BB]])/(NYM_H164178[[#This Row],[BB]]+NYM_H164178[[#This Row],[AB]]),0)</f>
        <v>0.36170212765957449</v>
      </c>
      <c r="BD37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0.43678160919540232</v>
      </c>
      <c r="BE37" s="28">
        <v>40</v>
      </c>
      <c r="BF37" s="28">
        <v>174</v>
      </c>
      <c r="BG37" s="28">
        <v>18</v>
      </c>
      <c r="BH37" s="76">
        <v>54</v>
      </c>
      <c r="BI37" s="28">
        <v>13</v>
      </c>
      <c r="BJ37" s="28">
        <v>0</v>
      </c>
      <c r="BK37" s="28">
        <v>3</v>
      </c>
      <c r="BL37" s="28">
        <v>16</v>
      </c>
      <c r="BM37" s="28">
        <v>14</v>
      </c>
      <c r="BN37" s="74">
        <v>40</v>
      </c>
      <c r="BO37" s="28">
        <v>4</v>
      </c>
      <c r="BP37" s="28">
        <v>11</v>
      </c>
      <c r="BQ37" s="74">
        <v>11</v>
      </c>
      <c r="BR37" s="28">
        <f>(NYM_H164178[[#This Row],[H]]-NYM_H164178[[#This Row],[2B]]-NYM_H164178[[#This Row],[3B]]-NYM_H164178[[#This Row],[HR]])+(NYM_H164178[[#This Row],[2B]]*2)+(NYM_H164178[[#This Row],[3B]]*3)+(NYM_H164178[[#This Row],[HR]]*4)</f>
        <v>76</v>
      </c>
      <c r="BS37" s="72">
        <f>IFERROR(NYM_H164178[[#This Row],[OBP]]+NYM_H164178[[#This Row],[SLG]],0)</f>
        <v>0.79848373685497687</v>
      </c>
      <c r="BT37" s="74">
        <v>1</v>
      </c>
      <c r="BU37" s="780">
        <v>3</v>
      </c>
    </row>
    <row r="38" spans="1:73">
      <c r="A38" s="651" t="s">
        <v>804</v>
      </c>
      <c r="B38" s="71" t="s">
        <v>153</v>
      </c>
      <c r="C38" s="71" t="s">
        <v>811</v>
      </c>
      <c r="D38" s="72">
        <f>IFERROR(NYM_H[[#This Row],[H]]/NYM_H[[#This Row],[AB]],0)</f>
        <v>0.28688524590163933</v>
      </c>
      <c r="E38" s="72">
        <f>IFERROR((NYM_H[[#This Row],[H]]+NYM_H[[#This Row],[BB]])/(NYM_H[[#This Row],[BB]]+NYM_H[[#This Row],[AB]]),0)</f>
        <v>0.31496062992125984</v>
      </c>
      <c r="F38" s="73">
        <f>IFERROR(((NYM_H[[#This Row],[H]]-NYM_H[[#This Row],[2B]]-NYM_H[[#This Row],[3B]]-NYM_H[[#This Row],[HR]])+(NYM_H[[#This Row],[2B]]*2)+(NYM_H[[#This Row],[3B]]*3)+(NYM_H[[#This Row],[HR]]*4))/NYM_H[[#This Row],[AB]],0)</f>
        <v>0.47540983606557374</v>
      </c>
      <c r="G38" s="28">
        <v>34</v>
      </c>
      <c r="H38" s="28">
        <v>122</v>
      </c>
      <c r="I38" s="28">
        <v>17</v>
      </c>
      <c r="J38" s="28">
        <v>35</v>
      </c>
      <c r="K38" s="28">
        <v>12</v>
      </c>
      <c r="L38" s="28">
        <v>1</v>
      </c>
      <c r="M38" s="28">
        <v>3</v>
      </c>
      <c r="N38" s="28">
        <v>16</v>
      </c>
      <c r="O38" s="28">
        <v>5</v>
      </c>
      <c r="P38" s="74">
        <v>26</v>
      </c>
      <c r="Q38" s="28">
        <v>0</v>
      </c>
      <c r="R38" s="28">
        <v>5</v>
      </c>
      <c r="S38" s="74">
        <v>6</v>
      </c>
      <c r="T38" s="28">
        <f>IFERROR((NYM_H[[#This Row],[H]]-NYM_H[[#This Row],[2B]]-NYM_H[[#This Row],[3B]]-NYM_H[[#This Row],[HR]])+(NYM_H[[#This Row],[2B]]*2)+(NYM_H[[#This Row],[3B]]*3)+(NYM_H[[#This Row],[HR]]*4),0)</f>
        <v>58</v>
      </c>
      <c r="U38" s="72">
        <f>NYM_H[[#This Row],[OBP]]+NYM_H[[#This Row],[SLG]]</f>
        <v>0.79037046598683358</v>
      </c>
      <c r="V38" s="74">
        <v>2</v>
      </c>
      <c r="W38" s="615">
        <v>4</v>
      </c>
      <c r="Z38" s="651" t="s">
        <v>804</v>
      </c>
      <c r="AA38" s="71" t="s">
        <v>153</v>
      </c>
      <c r="AB38" s="71" t="s">
        <v>811</v>
      </c>
      <c r="AC38" s="72">
        <f>IFERROR(NYM_H164[[#This Row],[H]]/NYM_H164[[#This Row],[AB]],0)</f>
        <v>0.2608695652173913</v>
      </c>
      <c r="AD38" s="72">
        <f>IFERROR((NYM_H164[[#This Row],[H]]+NYM_H164[[#This Row],[BB]])/(NYM_H164[[#This Row],[BB]]+NYM_H164[[#This Row],[AB]]),0)</f>
        <v>0.31543624161073824</v>
      </c>
      <c r="AE38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0.39130434782608697</v>
      </c>
      <c r="AF38" s="28">
        <v>39</v>
      </c>
      <c r="AG38" s="28">
        <v>138</v>
      </c>
      <c r="AH38" s="28">
        <v>9</v>
      </c>
      <c r="AI38" s="28">
        <v>36</v>
      </c>
      <c r="AJ38" s="28">
        <v>9</v>
      </c>
      <c r="AK38" s="28">
        <v>0</v>
      </c>
      <c r="AL38" s="28">
        <v>3</v>
      </c>
      <c r="AM38" s="28">
        <v>19</v>
      </c>
      <c r="AN38" s="28">
        <v>11</v>
      </c>
      <c r="AO38" s="74">
        <v>38</v>
      </c>
      <c r="AP38" s="28">
        <v>0</v>
      </c>
      <c r="AQ38" s="28">
        <v>0</v>
      </c>
      <c r="AR38" s="74">
        <v>6</v>
      </c>
      <c r="AS38" s="28">
        <f>IFERROR((NYM_H164[[#This Row],[H]]-NYM_H164[[#This Row],[2B]]-NYM_H164[[#This Row],[3B]]-NYM_H164[[#This Row],[HR]])+(NYM_H164[[#This Row],[2B]]*2)+(NYM_H164[[#This Row],[3B]]*3)+(NYM_H164[[#This Row],[HR]]*4),0)</f>
        <v>54</v>
      </c>
      <c r="AT38" s="72">
        <f>NYM_H164[[#This Row],[OBP]]+NYM_H164[[#This Row],[SLG]]</f>
        <v>0.70674058943682527</v>
      </c>
      <c r="AU38" s="74">
        <v>2</v>
      </c>
      <c r="AV38" s="615">
        <v>4</v>
      </c>
      <c r="AY38" s="651" t="s">
        <v>804</v>
      </c>
      <c r="AZ38" s="74" t="s">
        <v>153</v>
      </c>
      <c r="BA38" s="71" t="s">
        <v>811</v>
      </c>
      <c r="BB38" s="72">
        <f>IFERROR(NYM_H164178[[#This Row],[H]]/NYM_H164178[[#This Row],[AB]],0)</f>
        <v>0.28104575163398693</v>
      </c>
      <c r="BC38" s="72">
        <f>IFERROR((NYM_H164178[[#This Row],[H]]+NYM_H164178[[#This Row],[BB]])/(NYM_H164178[[#This Row],[BB]]+NYM_H164178[[#This Row],[AB]]),0)</f>
        <v>0.33734939759036142</v>
      </c>
      <c r="BD38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0.39869281045751637</v>
      </c>
      <c r="BE38" s="28">
        <v>40</v>
      </c>
      <c r="BF38" s="28">
        <v>153</v>
      </c>
      <c r="BG38" s="28">
        <v>20</v>
      </c>
      <c r="BH38" s="28">
        <v>43</v>
      </c>
      <c r="BI38" s="28">
        <v>7</v>
      </c>
      <c r="BJ38" s="28">
        <v>1</v>
      </c>
      <c r="BK38" s="28">
        <v>3</v>
      </c>
      <c r="BL38" s="28">
        <v>23</v>
      </c>
      <c r="BM38" s="28">
        <v>13</v>
      </c>
      <c r="BN38" s="74">
        <v>27</v>
      </c>
      <c r="BO38" s="28">
        <v>0</v>
      </c>
      <c r="BP38" s="28">
        <v>0</v>
      </c>
      <c r="BQ38" s="74">
        <v>6</v>
      </c>
      <c r="BR38" s="28">
        <f>(NYM_H164178[[#This Row],[H]]-NYM_H164178[[#This Row],[2B]]-NYM_H164178[[#This Row],[3B]]-NYM_H164178[[#This Row],[HR]])+(NYM_H164178[[#This Row],[2B]]*2)+(NYM_H164178[[#This Row],[3B]]*3)+(NYM_H164178[[#This Row],[HR]]*4)</f>
        <v>61</v>
      </c>
      <c r="BS38" s="72">
        <f>IFERROR(NYM_H164178[[#This Row],[OBP]]+NYM_H164178[[#This Row],[SLG]],0)</f>
        <v>0.73604220804787779</v>
      </c>
      <c r="BT38" s="74">
        <v>1</v>
      </c>
      <c r="BU38" s="780">
        <v>4</v>
      </c>
    </row>
    <row r="39" spans="1:73">
      <c r="A39" s="651" t="s">
        <v>804</v>
      </c>
      <c r="B39" s="71" t="s">
        <v>177</v>
      </c>
      <c r="C39" s="71" t="s">
        <v>806</v>
      </c>
      <c r="D39" s="72">
        <f>IFERROR(NYM_H[[#This Row],[H]]/NYM_H[[#This Row],[AB]],0)</f>
        <v>0.28187919463087246</v>
      </c>
      <c r="E39" s="72">
        <f>IFERROR((NYM_H[[#This Row],[H]]+NYM_H[[#This Row],[BB]])/(NYM_H[[#This Row],[BB]]+NYM_H[[#This Row],[AB]]),0)</f>
        <v>0.3515151515151515</v>
      </c>
      <c r="F39" s="73">
        <f>IFERROR(((NYM_H[[#This Row],[H]]-NYM_H[[#This Row],[2B]]-NYM_H[[#This Row],[3B]]-NYM_H[[#This Row],[HR]])+(NYM_H[[#This Row],[2B]]*2)+(NYM_H[[#This Row],[3B]]*3)+(NYM_H[[#This Row],[HR]]*4))/NYM_H[[#This Row],[AB]],0)</f>
        <v>0.57718120805369133</v>
      </c>
      <c r="G39" s="28">
        <v>38</v>
      </c>
      <c r="H39" s="28">
        <v>149</v>
      </c>
      <c r="I39" s="28">
        <v>23</v>
      </c>
      <c r="J39" s="28">
        <v>42</v>
      </c>
      <c r="K39" s="28">
        <v>11</v>
      </c>
      <c r="L39" s="28">
        <v>0</v>
      </c>
      <c r="M39" s="28">
        <v>11</v>
      </c>
      <c r="N39" s="28">
        <v>32</v>
      </c>
      <c r="O39" s="28">
        <v>16</v>
      </c>
      <c r="P39" s="74">
        <v>45</v>
      </c>
      <c r="Q39" s="28">
        <v>0</v>
      </c>
      <c r="R39" s="28">
        <v>1</v>
      </c>
      <c r="S39" s="74">
        <v>7</v>
      </c>
      <c r="T39" s="28">
        <f>IFERROR((NYM_H[[#This Row],[H]]-NYM_H[[#This Row],[2B]]-NYM_H[[#This Row],[3B]]-NYM_H[[#This Row],[HR]])+(NYM_H[[#This Row],[2B]]*2)+(NYM_H[[#This Row],[3B]]*3)+(NYM_H[[#This Row],[HR]]*4),0)</f>
        <v>86</v>
      </c>
      <c r="U39" s="72">
        <f>NYM_H[[#This Row],[OBP]]+NYM_H[[#This Row],[SLG]]</f>
        <v>0.92869635956884289</v>
      </c>
      <c r="V39" s="74">
        <v>5</v>
      </c>
      <c r="W39" s="615">
        <v>5</v>
      </c>
      <c r="Z39" s="651" t="s">
        <v>804</v>
      </c>
      <c r="AA39" s="345" t="s">
        <v>177</v>
      </c>
      <c r="AB39" s="71" t="s">
        <v>806</v>
      </c>
      <c r="AC39" s="72">
        <f>IFERROR(NYM_H164[[#This Row],[H]]/NYM_H164[[#This Row],[AB]],0)</f>
        <v>0.27702702702702703</v>
      </c>
      <c r="AD39" s="72">
        <f>IFERROR((NYM_H164[[#This Row],[H]]+NYM_H164[[#This Row],[BB]])/(NYM_H164[[#This Row],[BB]]+NYM_H164[[#This Row],[AB]]),0)</f>
        <v>0.3592814371257485</v>
      </c>
      <c r="AE39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0.6216216216216216</v>
      </c>
      <c r="AF39" s="28">
        <v>40</v>
      </c>
      <c r="AG39" s="28">
        <v>148</v>
      </c>
      <c r="AH39" s="28">
        <v>23</v>
      </c>
      <c r="AI39" s="28">
        <v>41</v>
      </c>
      <c r="AJ39" s="28">
        <v>12</v>
      </c>
      <c r="AK39" s="28">
        <v>0</v>
      </c>
      <c r="AL39" s="28">
        <v>13</v>
      </c>
      <c r="AM39" s="28">
        <v>32</v>
      </c>
      <c r="AN39" s="28">
        <v>19</v>
      </c>
      <c r="AO39" s="74">
        <v>45</v>
      </c>
      <c r="AP39" s="28">
        <v>0</v>
      </c>
      <c r="AQ39" s="28">
        <v>0</v>
      </c>
      <c r="AR39" s="74">
        <v>7</v>
      </c>
      <c r="AS39" s="28">
        <f>IFERROR((NYM_H164[[#This Row],[H]]-NYM_H164[[#This Row],[2B]]-NYM_H164[[#This Row],[3B]]-NYM_H164[[#This Row],[HR]])+(NYM_H164[[#This Row],[2B]]*2)+(NYM_H164[[#This Row],[3B]]*3)+(NYM_H164[[#This Row],[HR]]*4),0)</f>
        <v>92</v>
      </c>
      <c r="AT39" s="594">
        <f>NYM_H164[[#This Row],[OBP]]+NYM_H164[[#This Row],[SLG]]</f>
        <v>0.98090305874737016</v>
      </c>
      <c r="AU39" s="74">
        <v>4</v>
      </c>
      <c r="AV39" s="615">
        <v>5</v>
      </c>
      <c r="AY39" s="651" t="s">
        <v>804</v>
      </c>
      <c r="AZ39" s="74" t="s">
        <v>177</v>
      </c>
      <c r="BA39" s="71" t="s">
        <v>806</v>
      </c>
      <c r="BB39" s="72">
        <f>IFERROR(NYM_H164178[[#This Row],[H]]/NYM_H164178[[#This Row],[AB]],0)</f>
        <v>0.25850340136054423</v>
      </c>
      <c r="BC39" s="72">
        <f>IFERROR((NYM_H164178[[#This Row],[H]]+NYM_H164178[[#This Row],[BB]])/(NYM_H164178[[#This Row],[BB]]+NYM_H164178[[#This Row],[AB]]),0)</f>
        <v>0.35882352941176471</v>
      </c>
      <c r="BD39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0.46938775510204084</v>
      </c>
      <c r="BE39" s="28">
        <v>40</v>
      </c>
      <c r="BF39" s="28">
        <v>147</v>
      </c>
      <c r="BG39" s="28">
        <v>28</v>
      </c>
      <c r="BH39" s="28">
        <v>38</v>
      </c>
      <c r="BI39" s="28">
        <v>7</v>
      </c>
      <c r="BJ39" s="28">
        <v>0</v>
      </c>
      <c r="BK39" s="28">
        <v>8</v>
      </c>
      <c r="BL39" s="28">
        <v>25</v>
      </c>
      <c r="BM39" s="28">
        <v>23</v>
      </c>
      <c r="BN39" s="74">
        <v>42</v>
      </c>
      <c r="BO39" s="28">
        <v>0</v>
      </c>
      <c r="BP39" s="28">
        <v>0</v>
      </c>
      <c r="BQ39" s="74">
        <v>9</v>
      </c>
      <c r="BR39" s="28">
        <f>(NYM_H164178[[#This Row],[H]]-NYM_H164178[[#This Row],[2B]]-NYM_H164178[[#This Row],[3B]]-NYM_H164178[[#This Row],[HR]])+(NYM_H164178[[#This Row],[2B]]*2)+(NYM_H164178[[#This Row],[3B]]*3)+(NYM_H164178[[#This Row],[HR]]*4)</f>
        <v>69</v>
      </c>
      <c r="BS39" s="72">
        <f>IFERROR(NYM_H164178[[#This Row],[OBP]]+NYM_H164178[[#This Row],[SLG]],0)</f>
        <v>0.82821128451380555</v>
      </c>
      <c r="BT39" s="74">
        <v>4</v>
      </c>
      <c r="BU39" s="780">
        <v>5</v>
      </c>
    </row>
    <row r="40" spans="1:73">
      <c r="A40" s="651" t="s">
        <v>804</v>
      </c>
      <c r="B40" s="71" t="s">
        <v>174</v>
      </c>
      <c r="C40" s="71" t="s">
        <v>814</v>
      </c>
      <c r="D40" s="72">
        <f>IFERROR(NYM_H[[#This Row],[H]]/NYM_H[[#This Row],[AB]],0)</f>
        <v>0.30645161290322581</v>
      </c>
      <c r="E40" s="72">
        <f>IFERROR((NYM_H[[#This Row],[H]]+NYM_H[[#This Row],[BB]])/(NYM_H[[#This Row],[BB]]+NYM_H[[#This Row],[AB]]),0)</f>
        <v>0.36764705882352944</v>
      </c>
      <c r="F40" s="73">
        <f>IFERROR(((NYM_H[[#This Row],[H]]-NYM_H[[#This Row],[2B]]-NYM_H[[#This Row],[3B]]-NYM_H[[#This Row],[HR]])+(NYM_H[[#This Row],[2B]]*2)+(NYM_H[[#This Row],[3B]]*3)+(NYM_H[[#This Row],[HR]]*4))/NYM_H[[#This Row],[AB]],0)</f>
        <v>0.62903225806451613</v>
      </c>
      <c r="G40" s="28">
        <v>16</v>
      </c>
      <c r="H40" s="28">
        <v>62</v>
      </c>
      <c r="I40" s="28">
        <v>9</v>
      </c>
      <c r="J40" s="28">
        <v>19</v>
      </c>
      <c r="K40" s="28">
        <v>5</v>
      </c>
      <c r="L40" s="28">
        <v>0</v>
      </c>
      <c r="M40" s="28">
        <v>5</v>
      </c>
      <c r="N40" s="28">
        <v>14</v>
      </c>
      <c r="O40" s="28">
        <v>6</v>
      </c>
      <c r="P40" s="74">
        <v>13</v>
      </c>
      <c r="Q40" s="28">
        <v>0</v>
      </c>
      <c r="R40" s="28">
        <v>10</v>
      </c>
      <c r="S40" s="74">
        <v>10</v>
      </c>
      <c r="T40" s="28">
        <f>IFERROR((NYM_H[[#This Row],[H]]-NYM_H[[#This Row],[2B]]-NYM_H[[#This Row],[3B]]-NYM_H[[#This Row],[HR]])+(NYM_H[[#This Row],[2B]]*2)+(NYM_H[[#This Row],[3B]]*3)+(NYM_H[[#This Row],[HR]]*4),0)</f>
        <v>39</v>
      </c>
      <c r="U40" s="72">
        <f>NYM_H[[#This Row],[OBP]]+NYM_H[[#This Row],[SLG]]</f>
        <v>0.99667931688804556</v>
      </c>
      <c r="V40" s="74">
        <v>1</v>
      </c>
      <c r="W40" s="615">
        <v>6</v>
      </c>
      <c r="Z40" s="651" t="s">
        <v>804</v>
      </c>
      <c r="AA40" s="71" t="s">
        <v>174</v>
      </c>
      <c r="AB40" s="71" t="s">
        <v>812</v>
      </c>
      <c r="AC40" s="72">
        <f>IFERROR(NYM_H164[[#This Row],[H]]/NYM_H164[[#This Row],[AB]],0)</f>
        <v>0.21951219512195122</v>
      </c>
      <c r="AD40" s="72">
        <f>IFERROR((NYM_H164[[#This Row],[H]]+NYM_H164[[#This Row],[BB]])/(NYM_H164[[#This Row],[BB]]+NYM_H164[[#This Row],[AB]]),0)</f>
        <v>0.32867132867132864</v>
      </c>
      <c r="AE40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0.43902439024390244</v>
      </c>
      <c r="AF40" s="28">
        <v>36</v>
      </c>
      <c r="AG40" s="28">
        <v>123</v>
      </c>
      <c r="AH40" s="28">
        <v>15</v>
      </c>
      <c r="AI40" s="28">
        <v>27</v>
      </c>
      <c r="AJ40" s="28">
        <v>6</v>
      </c>
      <c r="AK40" s="28">
        <v>0</v>
      </c>
      <c r="AL40" s="28">
        <v>7</v>
      </c>
      <c r="AM40" s="28">
        <v>21</v>
      </c>
      <c r="AN40" s="28">
        <v>20</v>
      </c>
      <c r="AO40" s="74">
        <v>42</v>
      </c>
      <c r="AP40" s="28">
        <v>0</v>
      </c>
      <c r="AQ40" s="28">
        <v>0</v>
      </c>
      <c r="AR40" s="74">
        <v>4</v>
      </c>
      <c r="AS40" s="28">
        <f>IFERROR((NYM_H164[[#This Row],[H]]-NYM_H164[[#This Row],[2B]]-NYM_H164[[#This Row],[3B]]-NYM_H164[[#This Row],[HR]])+(NYM_H164[[#This Row],[2B]]*2)+(NYM_H164[[#This Row],[3B]]*3)+(NYM_H164[[#This Row],[HR]]*4),0)</f>
        <v>54</v>
      </c>
      <c r="AT40" s="72">
        <f>NYM_H164[[#This Row],[OBP]]+NYM_H164[[#This Row],[SLG]]</f>
        <v>0.76769571891523114</v>
      </c>
      <c r="AU40" s="74">
        <v>3</v>
      </c>
      <c r="AV40" s="615">
        <v>6</v>
      </c>
      <c r="AY40" s="651" t="s">
        <v>804</v>
      </c>
      <c r="AZ40" s="74" t="s">
        <v>174</v>
      </c>
      <c r="BA40" s="71" t="s">
        <v>812</v>
      </c>
      <c r="BB40" s="72">
        <f>IFERROR(NYM_H164178[[#This Row],[H]]/NYM_H164178[[#This Row],[AB]],0)</f>
        <v>0.31818181818181818</v>
      </c>
      <c r="BC40" s="72">
        <f>IFERROR((NYM_H164178[[#This Row],[H]]+NYM_H164178[[#This Row],[BB]])/(NYM_H164178[[#This Row],[BB]]+NYM_H164178[[#This Row],[AB]]),0)</f>
        <v>0.39516129032258063</v>
      </c>
      <c r="BD40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0.52727272727272723</v>
      </c>
      <c r="BE40" s="28">
        <v>33</v>
      </c>
      <c r="BF40" s="28">
        <v>110</v>
      </c>
      <c r="BG40" s="28">
        <v>14</v>
      </c>
      <c r="BH40" s="28">
        <v>35</v>
      </c>
      <c r="BI40" s="28">
        <v>8</v>
      </c>
      <c r="BJ40" s="28">
        <v>0</v>
      </c>
      <c r="BK40" s="28">
        <v>5</v>
      </c>
      <c r="BL40" s="28">
        <v>16</v>
      </c>
      <c r="BM40" s="28">
        <v>14</v>
      </c>
      <c r="BN40" s="74">
        <v>34</v>
      </c>
      <c r="BO40" s="28">
        <v>0</v>
      </c>
      <c r="BP40" s="28">
        <v>0</v>
      </c>
      <c r="BQ40" s="74">
        <v>6</v>
      </c>
      <c r="BR40" s="28">
        <f>(NYM_H164178[[#This Row],[H]]-NYM_H164178[[#This Row],[2B]]-NYM_H164178[[#This Row],[3B]]-NYM_H164178[[#This Row],[HR]])+(NYM_H164178[[#This Row],[2B]]*2)+(NYM_H164178[[#This Row],[3B]]*3)+(NYM_H164178[[#This Row],[HR]]*4)</f>
        <v>58</v>
      </c>
      <c r="BS40" s="72">
        <f>IFERROR(NYM_H164178[[#This Row],[OBP]]+NYM_H164178[[#This Row],[SLG]],0)</f>
        <v>0.92243401759530785</v>
      </c>
      <c r="BT40" s="74">
        <v>2</v>
      </c>
      <c r="BU40" s="780">
        <v>6</v>
      </c>
    </row>
    <row r="41" spans="1:73">
      <c r="A41" s="651" t="s">
        <v>804</v>
      </c>
      <c r="B41" s="71" t="s">
        <v>181</v>
      </c>
      <c r="C41" s="71" t="s">
        <v>810</v>
      </c>
      <c r="D41" s="72">
        <f>IFERROR(NYM_H[[#This Row],[H]]/NYM_H[[#This Row],[AB]],0)</f>
        <v>0.2231404958677686</v>
      </c>
      <c r="E41" s="72">
        <f>IFERROR((NYM_H[[#This Row],[H]]+NYM_H[[#This Row],[BB]])/(NYM_H[[#This Row],[BB]]+NYM_H[[#This Row],[AB]]),0)</f>
        <v>0.32374100719424459</v>
      </c>
      <c r="F41" s="73">
        <f>IFERROR(((NYM_H[[#This Row],[H]]-NYM_H[[#This Row],[2B]]-NYM_H[[#This Row],[3B]]-NYM_H[[#This Row],[HR]])+(NYM_H[[#This Row],[2B]]*2)+(NYM_H[[#This Row],[3B]]*3)+(NYM_H[[#This Row],[HR]]*4))/NYM_H[[#This Row],[AB]],0)</f>
        <v>0.32231404958677684</v>
      </c>
      <c r="G41" s="28">
        <v>33</v>
      </c>
      <c r="H41" s="28">
        <v>121</v>
      </c>
      <c r="I41" s="28">
        <v>10</v>
      </c>
      <c r="J41" s="28">
        <v>27</v>
      </c>
      <c r="K41" s="28">
        <v>7</v>
      </c>
      <c r="L41" s="28">
        <v>1</v>
      </c>
      <c r="M41" s="28">
        <v>1</v>
      </c>
      <c r="N41" s="28">
        <v>10</v>
      </c>
      <c r="O41" s="28">
        <v>18</v>
      </c>
      <c r="P41" s="74">
        <v>30</v>
      </c>
      <c r="Q41" s="28">
        <v>0</v>
      </c>
      <c r="R41" s="28">
        <v>2</v>
      </c>
      <c r="S41" s="74">
        <v>4</v>
      </c>
      <c r="T41" s="28">
        <f>IFERROR((NYM_H[[#This Row],[H]]-NYM_H[[#This Row],[2B]]-NYM_H[[#This Row],[3B]]-NYM_H[[#This Row],[HR]])+(NYM_H[[#This Row],[2B]]*2)+(NYM_H[[#This Row],[3B]]*3)+(NYM_H[[#This Row],[HR]]*4),0)</f>
        <v>39</v>
      </c>
      <c r="U41" s="72">
        <f>NYM_H[[#This Row],[OBP]]+NYM_H[[#This Row],[SLG]]</f>
        <v>0.64605505678102149</v>
      </c>
      <c r="V41" s="74">
        <v>3</v>
      </c>
      <c r="W41" s="615">
        <v>7</v>
      </c>
      <c r="Z41" s="651" t="s">
        <v>804</v>
      </c>
      <c r="AA41" s="71" t="s">
        <v>181</v>
      </c>
      <c r="AB41" s="71" t="s">
        <v>810</v>
      </c>
      <c r="AC41" s="72">
        <f>IFERROR(NYM_H164[[#This Row],[H]]/NYM_H164[[#This Row],[AB]],0)</f>
        <v>0.26114649681528662</v>
      </c>
      <c r="AD41" s="72">
        <f>IFERROR((NYM_H164[[#This Row],[H]]+NYM_H164[[#This Row],[BB]])/(NYM_H164[[#This Row],[BB]]+NYM_H164[[#This Row],[AB]]),0)</f>
        <v>0.33714285714285713</v>
      </c>
      <c r="AE41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0.43312101910828027</v>
      </c>
      <c r="AF41" s="28">
        <v>39</v>
      </c>
      <c r="AG41" s="28">
        <v>157</v>
      </c>
      <c r="AH41" s="28">
        <v>23</v>
      </c>
      <c r="AI41" s="28">
        <v>41</v>
      </c>
      <c r="AJ41" s="28">
        <v>7</v>
      </c>
      <c r="AK41" s="28">
        <v>1</v>
      </c>
      <c r="AL41" s="28">
        <v>6</v>
      </c>
      <c r="AM41" s="28">
        <v>16</v>
      </c>
      <c r="AN41" s="28">
        <v>18</v>
      </c>
      <c r="AO41" s="74">
        <v>52</v>
      </c>
      <c r="AP41" s="28">
        <v>0</v>
      </c>
      <c r="AQ41" s="28">
        <v>6</v>
      </c>
      <c r="AR41" s="74">
        <v>6</v>
      </c>
      <c r="AS41" s="28">
        <f>IFERROR((NYM_H164[[#This Row],[H]]-NYM_H164[[#This Row],[2B]]-NYM_H164[[#This Row],[3B]]-NYM_H164[[#This Row],[HR]])+(NYM_H164[[#This Row],[2B]]*2)+(NYM_H164[[#This Row],[3B]]*3)+(NYM_H164[[#This Row],[HR]]*4),0)</f>
        <v>68</v>
      </c>
      <c r="AT41" s="72">
        <f>NYM_H164[[#This Row],[OBP]]+NYM_H164[[#This Row],[SLG]]</f>
        <v>0.77026387625113735</v>
      </c>
      <c r="AU41" s="74">
        <v>1</v>
      </c>
      <c r="AV41" s="615">
        <v>7</v>
      </c>
      <c r="AY41" s="651" t="s">
        <v>804</v>
      </c>
      <c r="AZ41" s="74" t="s">
        <v>181</v>
      </c>
      <c r="BA41" s="71" t="s">
        <v>810</v>
      </c>
      <c r="BB41" s="72">
        <f>IFERROR(NYM_H164178[[#This Row],[H]]/NYM_H164178[[#This Row],[AB]],0)</f>
        <v>0.2288135593220339</v>
      </c>
      <c r="BC41" s="72">
        <f>IFERROR((NYM_H164178[[#This Row],[H]]+NYM_H164178[[#This Row],[BB]])/(NYM_H164178[[#This Row],[BB]]+NYM_H164178[[#This Row],[AB]]),0)</f>
        <v>0.31060606060606061</v>
      </c>
      <c r="BD41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0.29661016949152541</v>
      </c>
      <c r="BE41" s="28">
        <v>32</v>
      </c>
      <c r="BF41" s="28">
        <v>118</v>
      </c>
      <c r="BG41" s="28">
        <v>12</v>
      </c>
      <c r="BH41" s="28">
        <v>27</v>
      </c>
      <c r="BI41" s="28">
        <v>5</v>
      </c>
      <c r="BJ41" s="28">
        <v>0</v>
      </c>
      <c r="BK41" s="28">
        <v>1</v>
      </c>
      <c r="BL41" s="28">
        <v>9</v>
      </c>
      <c r="BM41" s="28">
        <v>14</v>
      </c>
      <c r="BN41" s="74">
        <v>50</v>
      </c>
      <c r="BO41" s="28">
        <v>0</v>
      </c>
      <c r="BP41" s="28">
        <v>7</v>
      </c>
      <c r="BQ41" s="74">
        <v>7</v>
      </c>
      <c r="BR41" s="28">
        <f>(NYM_H164178[[#This Row],[H]]-NYM_H164178[[#This Row],[2B]]-NYM_H164178[[#This Row],[3B]]-NYM_H164178[[#This Row],[HR]])+(NYM_H164178[[#This Row],[2B]]*2)+(NYM_H164178[[#This Row],[3B]]*3)+(NYM_H164178[[#This Row],[HR]]*4)</f>
        <v>35</v>
      </c>
      <c r="BS41" s="72">
        <f>IFERROR(NYM_H164178[[#This Row],[OBP]]+NYM_H164178[[#This Row],[SLG]],0)</f>
        <v>0.60721623009758607</v>
      </c>
      <c r="BT41" s="74">
        <v>1</v>
      </c>
      <c r="BU41" s="780">
        <v>7</v>
      </c>
    </row>
    <row r="42" spans="1:73">
      <c r="A42" s="651" t="s">
        <v>804</v>
      </c>
      <c r="B42" s="71" t="s">
        <v>166</v>
      </c>
      <c r="C42" s="71" t="s">
        <v>809</v>
      </c>
      <c r="D42" s="72">
        <f>IFERROR(NYM_H[[#This Row],[H]]/NYM_H[[#This Row],[AB]],0)</f>
        <v>0.2348993288590604</v>
      </c>
      <c r="E42" s="72">
        <f>IFERROR((NYM_H[[#This Row],[H]]+NYM_H[[#This Row],[BB]])/(NYM_H[[#This Row],[BB]]+NYM_H[[#This Row],[AB]]),0)</f>
        <v>0.31736526946107785</v>
      </c>
      <c r="F42" s="72">
        <f>IFERROR(((NYM_H[[#This Row],[H]]-NYM_H[[#This Row],[2B]]-NYM_H[[#This Row],[3B]]-NYM_H[[#This Row],[HR]])+(NYM_H[[#This Row],[2B]]*2)+(NYM_H[[#This Row],[3B]]*3)+(NYM_H[[#This Row],[HR]]*4))/NYM_H[[#This Row],[AB]],0)</f>
        <v>0.44295302013422821</v>
      </c>
      <c r="G42" s="77">
        <v>40</v>
      </c>
      <c r="H42" s="28">
        <v>149</v>
      </c>
      <c r="I42" s="28">
        <v>21</v>
      </c>
      <c r="J42" s="28">
        <v>35</v>
      </c>
      <c r="K42" s="28">
        <v>6</v>
      </c>
      <c r="L42" s="28">
        <v>2</v>
      </c>
      <c r="M42" s="28">
        <v>7</v>
      </c>
      <c r="N42" s="28">
        <v>21</v>
      </c>
      <c r="O42" s="28">
        <v>18</v>
      </c>
      <c r="P42" s="74">
        <v>47</v>
      </c>
      <c r="Q42" s="28">
        <v>0</v>
      </c>
      <c r="R42" s="28">
        <v>0</v>
      </c>
      <c r="S42" s="74">
        <v>6</v>
      </c>
      <c r="T42" s="28">
        <f>IFERROR((NYM_H[[#This Row],[H]]-NYM_H[[#This Row],[2B]]-NYM_H[[#This Row],[3B]]-NYM_H[[#This Row],[HR]])+(NYM_H[[#This Row],[2B]]*2)+(NYM_H[[#This Row],[3B]]*3)+(NYM_H[[#This Row],[HR]]*4),0)</f>
        <v>66</v>
      </c>
      <c r="U42" s="72">
        <f>NYM_H[[#This Row],[OBP]]+NYM_H[[#This Row],[SLG]]</f>
        <v>0.76031828959530601</v>
      </c>
      <c r="V42" s="74">
        <v>4</v>
      </c>
      <c r="W42" s="615">
        <v>8</v>
      </c>
      <c r="Z42" s="651" t="s">
        <v>804</v>
      </c>
      <c r="AA42" s="71" t="s">
        <v>166</v>
      </c>
      <c r="AB42" s="71" t="s">
        <v>809</v>
      </c>
      <c r="AC42" s="72">
        <f>IFERROR(NYM_H164[[#This Row],[H]]/NYM_H164[[#This Row],[AB]],0)</f>
        <v>0.28859060402684567</v>
      </c>
      <c r="AD42" s="72">
        <f>IFERROR((NYM_H164[[#This Row],[H]]+NYM_H164[[#This Row],[BB]])/(NYM_H164[[#This Row],[BB]]+NYM_H164[[#This Row],[AB]]),0)</f>
        <v>0.3575757575757576</v>
      </c>
      <c r="AE42" s="72">
        <f>IFERROR(((NYM_H164[[#This Row],[H]]-NYM_H164[[#This Row],[2B]]-NYM_H164[[#This Row],[3B]]-NYM_H164[[#This Row],[HR]])+(NYM_H164[[#This Row],[2B]]*2)+(NYM_H164[[#This Row],[3B]]*3)+(NYM_H164[[#This Row],[HR]]*4))/NYM_H164[[#This Row],[AB]],0)</f>
        <v>0.48993288590604028</v>
      </c>
      <c r="AF42" s="77">
        <v>40</v>
      </c>
      <c r="AG42" s="28">
        <v>149</v>
      </c>
      <c r="AH42" s="28">
        <v>28</v>
      </c>
      <c r="AI42" s="28">
        <v>43</v>
      </c>
      <c r="AJ42" s="28">
        <v>7</v>
      </c>
      <c r="AK42" s="28">
        <v>1</v>
      </c>
      <c r="AL42" s="28">
        <v>7</v>
      </c>
      <c r="AM42" s="28">
        <v>21</v>
      </c>
      <c r="AN42" s="28">
        <v>16</v>
      </c>
      <c r="AO42" s="74">
        <v>42</v>
      </c>
      <c r="AP42" s="28">
        <v>0</v>
      </c>
      <c r="AQ42" s="28">
        <v>0</v>
      </c>
      <c r="AR42" s="74">
        <v>11</v>
      </c>
      <c r="AS42" s="28">
        <f>IFERROR((NYM_H164[[#This Row],[H]]-NYM_H164[[#This Row],[2B]]-NYM_H164[[#This Row],[3B]]-NYM_H164[[#This Row],[HR]])+(NYM_H164[[#This Row],[2B]]*2)+(NYM_H164[[#This Row],[3B]]*3)+(NYM_H164[[#This Row],[HR]]*4),0)</f>
        <v>73</v>
      </c>
      <c r="AT42" s="72">
        <f>NYM_H164[[#This Row],[OBP]]+NYM_H164[[#This Row],[SLG]]</f>
        <v>0.84750864348179789</v>
      </c>
      <c r="AU42" s="74">
        <v>5</v>
      </c>
      <c r="AV42" s="615">
        <v>8</v>
      </c>
      <c r="AY42" s="651" t="s">
        <v>804</v>
      </c>
      <c r="AZ42" s="74" t="s">
        <v>166</v>
      </c>
      <c r="BA42" s="71" t="s">
        <v>809</v>
      </c>
      <c r="BB42" s="72">
        <f>IFERROR(NYM_H164178[[#This Row],[H]]/NYM_H164178[[#This Row],[AB]],0)</f>
        <v>0.26582278481012656</v>
      </c>
      <c r="BC42" s="72">
        <f>IFERROR((NYM_H164178[[#This Row],[H]]+NYM_H164178[[#This Row],[BB]])/(NYM_H164178[[#This Row],[BB]]+NYM_H164178[[#This Row],[AB]]),0)</f>
        <v>0.32163742690058478</v>
      </c>
      <c r="BD42" s="72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0.46835443037974683</v>
      </c>
      <c r="BE42" s="77">
        <v>40</v>
      </c>
      <c r="BF42" s="28">
        <v>158</v>
      </c>
      <c r="BG42" s="28">
        <v>17</v>
      </c>
      <c r="BH42" s="28">
        <v>42</v>
      </c>
      <c r="BI42" s="28">
        <v>5</v>
      </c>
      <c r="BJ42" s="28">
        <v>0</v>
      </c>
      <c r="BK42" s="28">
        <v>9</v>
      </c>
      <c r="BL42" s="28">
        <v>21</v>
      </c>
      <c r="BM42" s="28">
        <v>13</v>
      </c>
      <c r="BN42" s="74">
        <v>53</v>
      </c>
      <c r="BO42" s="28">
        <v>0</v>
      </c>
      <c r="BP42" s="28">
        <v>1</v>
      </c>
      <c r="BQ42" s="74">
        <v>7</v>
      </c>
      <c r="BR42" s="28">
        <f>(NYM_H164178[[#This Row],[H]]-NYM_H164178[[#This Row],[2B]]-NYM_H164178[[#This Row],[3B]]-NYM_H164178[[#This Row],[HR]])+(NYM_H164178[[#This Row],[2B]]*2)+(NYM_H164178[[#This Row],[3B]]*3)+(NYM_H164178[[#This Row],[HR]]*4)</f>
        <v>74</v>
      </c>
      <c r="BS42" s="72">
        <f>IFERROR(NYM_H164178[[#This Row],[OBP]]+NYM_H164178[[#This Row],[SLG]],0)</f>
        <v>0.78999185728033161</v>
      </c>
      <c r="BT42" s="74">
        <v>1</v>
      </c>
      <c r="BU42" s="780">
        <v>8</v>
      </c>
    </row>
    <row r="43" spans="1:73">
      <c r="A43" s="651" t="s">
        <v>804</v>
      </c>
      <c r="B43" s="71" t="s">
        <v>168</v>
      </c>
      <c r="C43" s="71" t="s">
        <v>807</v>
      </c>
      <c r="D43" s="72">
        <f>IFERROR(NYM_H[[#This Row],[H]]/NYM_H[[#This Row],[AB]],0)</f>
        <v>0.31034482758620691</v>
      </c>
      <c r="E43" s="72">
        <f>IFERROR((NYM_H[[#This Row],[H]]+NYM_H[[#This Row],[BB]])/(NYM_H[[#This Row],[BB]]+NYM_H[[#This Row],[AB]]),0)</f>
        <v>0.38650306748466257</v>
      </c>
      <c r="F43" s="73">
        <f>IFERROR(((NYM_H[[#This Row],[H]]-NYM_H[[#This Row],[2B]]-NYM_H[[#This Row],[3B]]-NYM_H[[#This Row],[HR]])+(NYM_H[[#This Row],[2B]]*2)+(NYM_H[[#This Row],[3B]]*3)+(NYM_H[[#This Row],[HR]]*4))/NYM_H[[#This Row],[AB]],0)</f>
        <v>0.54482758620689653</v>
      </c>
      <c r="G43" s="28">
        <v>40</v>
      </c>
      <c r="H43" s="28">
        <v>145</v>
      </c>
      <c r="I43" s="28">
        <v>26</v>
      </c>
      <c r="J43" s="28">
        <v>45</v>
      </c>
      <c r="K43" s="28">
        <v>7</v>
      </c>
      <c r="L43" s="28">
        <v>0</v>
      </c>
      <c r="M43" s="28">
        <v>9</v>
      </c>
      <c r="N43" s="28">
        <v>29</v>
      </c>
      <c r="O43" s="28">
        <v>18</v>
      </c>
      <c r="P43" s="74">
        <v>29</v>
      </c>
      <c r="Q43" s="28">
        <v>0</v>
      </c>
      <c r="R43" s="28">
        <v>1</v>
      </c>
      <c r="S43" s="74">
        <v>9</v>
      </c>
      <c r="T43" s="28">
        <f>IFERROR((NYM_H[[#This Row],[H]]-NYM_H[[#This Row],[2B]]-NYM_H[[#This Row],[3B]]-NYM_H[[#This Row],[HR]])+(NYM_H[[#This Row],[2B]]*2)+(NYM_H[[#This Row],[3B]]*3)+(NYM_H[[#This Row],[HR]]*4),0)</f>
        <v>79</v>
      </c>
      <c r="U43" s="72">
        <f>NYM_H[[#This Row],[OBP]]+NYM_H[[#This Row],[SLG]]</f>
        <v>0.9313306536915591</v>
      </c>
      <c r="V43" s="74">
        <v>3</v>
      </c>
      <c r="W43" s="615">
        <v>9</v>
      </c>
      <c r="Z43" s="651" t="s">
        <v>804</v>
      </c>
      <c r="AA43" s="71" t="s">
        <v>168</v>
      </c>
      <c r="AB43" s="71" t="s">
        <v>807</v>
      </c>
      <c r="AC43" s="72">
        <f>IFERROR(NYM_H164[[#This Row],[H]]/NYM_H164[[#This Row],[AB]],0)</f>
        <v>0.23026315789473684</v>
      </c>
      <c r="AD43" s="72">
        <f>IFERROR((NYM_H164[[#This Row],[H]]+NYM_H164[[#This Row],[BB]])/(NYM_H164[[#This Row],[BB]]+NYM_H164[[#This Row],[AB]]),0)</f>
        <v>0.30357142857142855</v>
      </c>
      <c r="AE43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0.43421052631578949</v>
      </c>
      <c r="AF43" s="28">
        <v>40</v>
      </c>
      <c r="AG43" s="28">
        <v>152</v>
      </c>
      <c r="AH43" s="28">
        <v>20</v>
      </c>
      <c r="AI43" s="28">
        <v>35</v>
      </c>
      <c r="AJ43" s="28">
        <v>7</v>
      </c>
      <c r="AK43" s="28">
        <v>0</v>
      </c>
      <c r="AL43" s="28">
        <v>8</v>
      </c>
      <c r="AM43" s="28">
        <v>26</v>
      </c>
      <c r="AN43" s="28">
        <v>16</v>
      </c>
      <c r="AO43" s="74">
        <v>31</v>
      </c>
      <c r="AP43" s="28">
        <v>0</v>
      </c>
      <c r="AQ43" s="28">
        <v>0</v>
      </c>
      <c r="AR43" s="74">
        <v>9</v>
      </c>
      <c r="AS43" s="28">
        <f>IFERROR((NYM_H164[[#This Row],[H]]-NYM_H164[[#This Row],[2B]]-NYM_H164[[#This Row],[3B]]-NYM_H164[[#This Row],[HR]])+(NYM_H164[[#This Row],[2B]]*2)+(NYM_H164[[#This Row],[3B]]*3)+(NYM_H164[[#This Row],[HR]]*4),0)</f>
        <v>66</v>
      </c>
      <c r="AT43" s="72">
        <f>NYM_H164[[#This Row],[OBP]]+NYM_H164[[#This Row],[SLG]]</f>
        <v>0.73778195488721798</v>
      </c>
      <c r="AU43" s="74">
        <v>3</v>
      </c>
      <c r="AV43" s="615">
        <v>9</v>
      </c>
      <c r="AY43" s="651" t="s">
        <v>804</v>
      </c>
      <c r="AZ43" s="74" t="s">
        <v>168</v>
      </c>
      <c r="BA43" s="71" t="s">
        <v>807</v>
      </c>
      <c r="BB43" s="72">
        <f>IFERROR(NYM_H164178[[#This Row],[H]]/NYM_H164178[[#This Row],[AB]],0)</f>
        <v>0.27607361963190186</v>
      </c>
      <c r="BC43" s="72">
        <f>IFERROR((NYM_H164178[[#This Row],[H]]+NYM_H164178[[#This Row],[BB]])/(NYM_H164178[[#This Row],[BB]]+NYM_H164178[[#This Row],[AB]]),0)</f>
        <v>0.3551912568306011</v>
      </c>
      <c r="BD43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0.52760736196319014</v>
      </c>
      <c r="BE43" s="28">
        <v>40</v>
      </c>
      <c r="BF43" s="28">
        <v>163</v>
      </c>
      <c r="BG43" s="28">
        <v>29</v>
      </c>
      <c r="BH43" s="28">
        <v>45</v>
      </c>
      <c r="BI43" s="28">
        <v>14</v>
      </c>
      <c r="BJ43" s="28">
        <v>0</v>
      </c>
      <c r="BK43" s="28">
        <v>9</v>
      </c>
      <c r="BL43" s="28">
        <v>26</v>
      </c>
      <c r="BM43" s="28">
        <v>20</v>
      </c>
      <c r="BN43" s="74">
        <v>24</v>
      </c>
      <c r="BO43" s="28">
        <v>0</v>
      </c>
      <c r="BP43" s="28">
        <v>2</v>
      </c>
      <c r="BQ43" s="74">
        <v>4</v>
      </c>
      <c r="BR43" s="28">
        <f>(NYM_H164178[[#This Row],[H]]-NYM_H164178[[#This Row],[2B]]-NYM_H164178[[#This Row],[3B]]-NYM_H164178[[#This Row],[HR]])+(NYM_H164178[[#This Row],[2B]]*2)+(NYM_H164178[[#This Row],[3B]]*3)+(NYM_H164178[[#This Row],[HR]]*4)</f>
        <v>86</v>
      </c>
      <c r="BS43" s="72">
        <f>IFERROR(NYM_H164178[[#This Row],[OBP]]+NYM_H164178[[#This Row],[SLG]],0)</f>
        <v>0.88279861879379129</v>
      </c>
      <c r="BT43" s="74">
        <v>7</v>
      </c>
      <c r="BU43" s="780">
        <v>9</v>
      </c>
    </row>
    <row r="44" spans="1:73">
      <c r="A44" s="651" t="s">
        <v>804</v>
      </c>
      <c r="B44" s="71" t="s">
        <v>179</v>
      </c>
      <c r="C44" s="71" t="s">
        <v>818</v>
      </c>
      <c r="D44" s="72">
        <f>IFERROR(NYM_H[[#This Row],[H]]/NYM_H[[#This Row],[AB]],0)</f>
        <v>0.2</v>
      </c>
      <c r="E44" s="72">
        <f>IFERROR((NYM_H[[#This Row],[H]]+NYM_H[[#This Row],[BB]])/(NYM_H[[#This Row],[BB]]+NYM_H[[#This Row],[AB]]),0)</f>
        <v>0.33333333333333331</v>
      </c>
      <c r="F44" s="73">
        <f>IFERROR(((NYM_H[[#This Row],[H]]-NYM_H[[#This Row],[2B]]-NYM_H[[#This Row],[3B]]-NYM_H[[#This Row],[HR]])+(NYM_H[[#This Row],[2B]]*2)+(NYM_H[[#This Row],[3B]]*3)+(NYM_H[[#This Row],[HR]]*4))/NYM_H[[#This Row],[AB]],0)</f>
        <v>0.4</v>
      </c>
      <c r="G44" s="28">
        <v>12</v>
      </c>
      <c r="H44" s="28">
        <v>30</v>
      </c>
      <c r="I44" s="28">
        <v>6</v>
      </c>
      <c r="J44" s="28">
        <v>6</v>
      </c>
      <c r="K44" s="28">
        <v>0</v>
      </c>
      <c r="L44" s="28">
        <v>0</v>
      </c>
      <c r="M44" s="28">
        <v>2</v>
      </c>
      <c r="N44" s="28">
        <v>3</v>
      </c>
      <c r="O44" s="28">
        <v>6</v>
      </c>
      <c r="P44" s="74">
        <v>9</v>
      </c>
      <c r="Q44" s="28">
        <v>0</v>
      </c>
      <c r="R44" s="28">
        <v>5</v>
      </c>
      <c r="S44" s="74">
        <v>5</v>
      </c>
      <c r="T44" s="28">
        <f>IFERROR((NYM_H[[#This Row],[H]]-NYM_H[[#This Row],[2B]]-NYM_H[[#This Row],[3B]]-NYM_H[[#This Row],[HR]])+(NYM_H[[#This Row],[2B]]*2)+(NYM_H[[#This Row],[3B]]*3)+(NYM_H[[#This Row],[HR]]*4),0)</f>
        <v>12</v>
      </c>
      <c r="U44" s="72">
        <f>NYM_H[[#This Row],[OBP]]+NYM_H[[#This Row],[SLG]]</f>
        <v>0.73333333333333339</v>
      </c>
      <c r="V44" s="74">
        <v>1</v>
      </c>
      <c r="W44" s="615">
        <v>10</v>
      </c>
      <c r="Z44" s="651" t="s">
        <v>804</v>
      </c>
      <c r="AA44" s="71" t="s">
        <v>179</v>
      </c>
      <c r="AB44" s="71" t="s">
        <v>818</v>
      </c>
      <c r="AC44" s="72">
        <f>IFERROR(NYM_H164[[#This Row],[H]]/NYM_H164[[#This Row],[AB]],0)</f>
        <v>0.4</v>
      </c>
      <c r="AD44" s="72">
        <f>IFERROR((NYM_H164[[#This Row],[H]]+NYM_H164[[#This Row],[BB]])/(NYM_H164[[#This Row],[BB]]+NYM_H164[[#This Row],[AB]]),0)</f>
        <v>0.5</v>
      </c>
      <c r="AE44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0.5</v>
      </c>
      <c r="AF44" s="28">
        <v>6</v>
      </c>
      <c r="AG44" s="28">
        <v>10</v>
      </c>
      <c r="AH44" s="28">
        <v>3</v>
      </c>
      <c r="AI44" s="28">
        <v>4</v>
      </c>
      <c r="AJ44" s="28">
        <v>1</v>
      </c>
      <c r="AK44" s="28">
        <v>0</v>
      </c>
      <c r="AL44" s="28">
        <v>0</v>
      </c>
      <c r="AM44" s="28">
        <v>0</v>
      </c>
      <c r="AN44" s="28">
        <v>2</v>
      </c>
      <c r="AO44" s="74">
        <v>2</v>
      </c>
      <c r="AP44" s="28">
        <v>0</v>
      </c>
      <c r="AQ44" s="28">
        <v>0</v>
      </c>
      <c r="AR44" s="74">
        <v>2</v>
      </c>
      <c r="AS44" s="28">
        <f>IFERROR((NYM_H164[[#This Row],[H]]-NYM_H164[[#This Row],[2B]]-NYM_H164[[#This Row],[3B]]-NYM_H164[[#This Row],[HR]])+(NYM_H164[[#This Row],[2B]]*2)+(NYM_H164[[#This Row],[3B]]*3)+(NYM_H164[[#This Row],[HR]]*4),0)</f>
        <v>5</v>
      </c>
      <c r="AT44" s="72">
        <f>NYM_H164[[#This Row],[OBP]]+NYM_H164[[#This Row],[SLG]]</f>
        <v>1</v>
      </c>
      <c r="AU44" s="74">
        <v>0</v>
      </c>
      <c r="AV44" s="615">
        <v>10</v>
      </c>
      <c r="AY44" s="651" t="s">
        <v>804</v>
      </c>
      <c r="AZ44" s="74" t="s">
        <v>308</v>
      </c>
      <c r="BA44" s="71" t="s">
        <v>818</v>
      </c>
      <c r="BB44" s="72">
        <f>IFERROR(NYM_H164178[[#This Row],[H]]/NYM_H164178[[#This Row],[AB]],0)</f>
        <v>0</v>
      </c>
      <c r="BC44" s="72">
        <f>IFERROR((NYM_H164178[[#This Row],[H]]+NYM_H164178[[#This Row],[BB]])/(NYM_H164178[[#This Row],[BB]]+NYM_H164178[[#This Row],[AB]]),0)</f>
        <v>0</v>
      </c>
      <c r="BD44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</v>
      </c>
      <c r="BE44" s="28">
        <v>8</v>
      </c>
      <c r="BF44" s="28">
        <v>5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74">
        <v>1</v>
      </c>
      <c r="BO44" s="28">
        <v>0</v>
      </c>
      <c r="BP44" s="28">
        <v>0</v>
      </c>
      <c r="BQ44" s="74">
        <v>0</v>
      </c>
      <c r="BR44" s="28">
        <f>(NYM_H164178[[#This Row],[H]]-NYM_H164178[[#This Row],[2B]]-NYM_H164178[[#This Row],[3B]]-NYM_H164178[[#This Row],[HR]])+(NYM_H164178[[#This Row],[2B]]*2)+(NYM_H164178[[#This Row],[3B]]*3)+(NYM_H164178[[#This Row],[HR]]*4)</f>
        <v>0</v>
      </c>
      <c r="BS44" s="72">
        <f>IFERROR(NYM_H164178[[#This Row],[OBP]]+NYM_H164178[[#This Row],[SLG]],0)</f>
        <v>0</v>
      </c>
      <c r="BT44" s="74">
        <v>0</v>
      </c>
      <c r="BU44" s="780">
        <v>10</v>
      </c>
    </row>
    <row r="45" spans="1:73">
      <c r="A45" s="651" t="s">
        <v>804</v>
      </c>
      <c r="B45" s="71" t="s">
        <v>187</v>
      </c>
      <c r="C45" s="71" t="s">
        <v>817</v>
      </c>
      <c r="D45" s="72">
        <f>IFERROR(NYM_H[[#This Row],[H]]/NYM_H[[#This Row],[AB]],0)</f>
        <v>0.21212121212121213</v>
      </c>
      <c r="E45" s="72">
        <f>IFERROR((NYM_H[[#This Row],[H]]+NYM_H[[#This Row],[BB]])/(NYM_H[[#This Row],[BB]]+NYM_H[[#This Row],[AB]]),0)</f>
        <v>0.27777777777777779</v>
      </c>
      <c r="F45" s="73">
        <f>IFERROR(((NYM_H[[#This Row],[H]]-NYM_H[[#This Row],[2B]]-NYM_H[[#This Row],[3B]]-NYM_H[[#This Row],[HR]])+(NYM_H[[#This Row],[2B]]*2)+(NYM_H[[#This Row],[3B]]*3)+(NYM_H[[#This Row],[HR]]*4))/NYM_H[[#This Row],[AB]],0)</f>
        <v>0.30303030303030304</v>
      </c>
      <c r="G45" s="28">
        <v>12</v>
      </c>
      <c r="H45" s="28">
        <v>33</v>
      </c>
      <c r="I45" s="28">
        <v>2</v>
      </c>
      <c r="J45" s="28">
        <v>7</v>
      </c>
      <c r="K45" s="28">
        <v>0</v>
      </c>
      <c r="L45" s="28">
        <v>0</v>
      </c>
      <c r="M45" s="28">
        <v>1</v>
      </c>
      <c r="N45" s="28">
        <v>1</v>
      </c>
      <c r="O45" s="28">
        <v>3</v>
      </c>
      <c r="P45" s="74">
        <v>11</v>
      </c>
      <c r="Q45" s="28">
        <v>0</v>
      </c>
      <c r="R45" s="28">
        <v>1</v>
      </c>
      <c r="S45" s="74">
        <v>2</v>
      </c>
      <c r="T45" s="28">
        <f>IFERROR((NYM_H[[#This Row],[H]]-NYM_H[[#This Row],[2B]]-NYM_H[[#This Row],[3B]]-NYM_H[[#This Row],[HR]])+(NYM_H[[#This Row],[2B]]*2)+(NYM_H[[#This Row],[3B]]*3)+(NYM_H[[#This Row],[HR]]*4),0)</f>
        <v>10</v>
      </c>
      <c r="U45" s="72">
        <f>NYM_H[[#This Row],[OBP]]+NYM_H[[#This Row],[SLG]]</f>
        <v>0.58080808080808088</v>
      </c>
      <c r="V45" s="74">
        <v>0</v>
      </c>
      <c r="W45" s="615">
        <v>11</v>
      </c>
      <c r="Z45" s="651" t="s">
        <v>804</v>
      </c>
      <c r="AA45" s="71" t="s">
        <v>187</v>
      </c>
      <c r="AB45" s="71" t="s">
        <v>817</v>
      </c>
      <c r="AC45" s="72">
        <f>IFERROR(NYM_H164[[#This Row],[H]]/NYM_H164[[#This Row],[AB]],0)</f>
        <v>0.27272727272727271</v>
      </c>
      <c r="AD45" s="72">
        <f>IFERROR((NYM_H164[[#This Row],[H]]+NYM_H164[[#This Row],[BB]])/(NYM_H164[[#This Row],[BB]]+NYM_H164[[#This Row],[AB]]),0)</f>
        <v>0.38461538461538464</v>
      </c>
      <c r="AE45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0.63636363636363635</v>
      </c>
      <c r="AF45" s="28">
        <v>7</v>
      </c>
      <c r="AG45" s="28">
        <v>11</v>
      </c>
      <c r="AH45" s="28">
        <v>3</v>
      </c>
      <c r="AI45" s="28">
        <v>3</v>
      </c>
      <c r="AJ45" s="28">
        <v>1</v>
      </c>
      <c r="AK45" s="28">
        <v>0</v>
      </c>
      <c r="AL45" s="28">
        <v>1</v>
      </c>
      <c r="AM45" s="28">
        <v>1</v>
      </c>
      <c r="AN45" s="28">
        <v>2</v>
      </c>
      <c r="AO45" s="74">
        <v>3</v>
      </c>
      <c r="AP45" s="28">
        <v>0</v>
      </c>
      <c r="AQ45" s="28">
        <v>0</v>
      </c>
      <c r="AR45" s="74">
        <v>1</v>
      </c>
      <c r="AS45" s="28">
        <f>IFERROR((NYM_H164[[#This Row],[H]]-NYM_H164[[#This Row],[2B]]-NYM_H164[[#This Row],[3B]]-NYM_H164[[#This Row],[HR]])+(NYM_H164[[#This Row],[2B]]*2)+(NYM_H164[[#This Row],[3B]]*3)+(NYM_H164[[#This Row],[HR]]*4),0)</f>
        <v>7</v>
      </c>
      <c r="AT45" s="72">
        <f>NYM_H164[[#This Row],[OBP]]+NYM_H164[[#This Row],[SLG]]</f>
        <v>1.020979020979021</v>
      </c>
      <c r="AU45" s="74">
        <v>0</v>
      </c>
      <c r="AV45" s="615">
        <v>11</v>
      </c>
      <c r="AY45" s="651" t="s">
        <v>804</v>
      </c>
      <c r="AZ45" s="74" t="s">
        <v>192</v>
      </c>
      <c r="BA45" s="71" t="s">
        <v>817</v>
      </c>
      <c r="BB45" s="72">
        <f>IFERROR(NYM_H164178[[#This Row],[H]]/NYM_H164178[[#This Row],[AB]],0)</f>
        <v>0.14285714285714285</v>
      </c>
      <c r="BC45" s="72">
        <f>IFERROR((NYM_H164178[[#This Row],[H]]+NYM_H164178[[#This Row],[BB]])/(NYM_H164178[[#This Row],[BB]]+NYM_H164178[[#This Row],[AB]]),0)</f>
        <v>0.14285714285714285</v>
      </c>
      <c r="BD45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0.14285714285714285</v>
      </c>
      <c r="BE45" s="28">
        <v>7</v>
      </c>
      <c r="BF45" s="28">
        <v>7</v>
      </c>
      <c r="BG45" s="28">
        <v>0</v>
      </c>
      <c r="BH45" s="28">
        <v>1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74">
        <v>1</v>
      </c>
      <c r="BO45" s="28">
        <v>0</v>
      </c>
      <c r="BP45" s="28">
        <v>0</v>
      </c>
      <c r="BQ45" s="74">
        <v>1</v>
      </c>
      <c r="BR45" s="28">
        <f>(NYM_H164178[[#This Row],[H]]-NYM_H164178[[#This Row],[2B]]-NYM_H164178[[#This Row],[3B]]-NYM_H164178[[#This Row],[HR]])+(NYM_H164178[[#This Row],[2B]]*2)+(NYM_H164178[[#This Row],[3B]]*3)+(NYM_H164178[[#This Row],[HR]]*4)</f>
        <v>1</v>
      </c>
      <c r="BS45" s="72">
        <f>IFERROR(NYM_H164178[[#This Row],[OBP]]+NYM_H164178[[#This Row],[SLG]],0)</f>
        <v>0.2857142857142857</v>
      </c>
      <c r="BT45" s="74">
        <v>0</v>
      </c>
      <c r="BU45" s="780">
        <v>11</v>
      </c>
    </row>
    <row r="46" spans="1:73">
      <c r="A46" s="651" t="s">
        <v>804</v>
      </c>
      <c r="B46" s="71" t="s">
        <v>192</v>
      </c>
      <c r="C46" s="71" t="s">
        <v>819</v>
      </c>
      <c r="D46" s="72">
        <f>IFERROR(NYM_H[[#This Row],[H]]/NYM_H[[#This Row],[AB]],0)</f>
        <v>0.14285714285714285</v>
      </c>
      <c r="E46" s="72">
        <f>IFERROR((NYM_H[[#This Row],[H]]+NYM_H[[#This Row],[BB]])/(NYM_H[[#This Row],[BB]]+NYM_H[[#This Row],[AB]]),0)</f>
        <v>0.30769230769230771</v>
      </c>
      <c r="F46" s="73">
        <f>IFERROR(((NYM_H[[#This Row],[H]]-NYM_H[[#This Row],[2B]]-NYM_H[[#This Row],[3B]]-NYM_H[[#This Row],[HR]])+(NYM_H[[#This Row],[2B]]*2)+(NYM_H[[#This Row],[3B]]*3)+(NYM_H[[#This Row],[HR]]*4))/NYM_H[[#This Row],[AB]],0)</f>
        <v>0.14285714285714285</v>
      </c>
      <c r="G46" s="28">
        <v>8</v>
      </c>
      <c r="H46" s="28">
        <v>21</v>
      </c>
      <c r="I46" s="28">
        <v>1</v>
      </c>
      <c r="J46" s="28">
        <v>3</v>
      </c>
      <c r="K46" s="28">
        <v>0</v>
      </c>
      <c r="L46" s="28">
        <v>0</v>
      </c>
      <c r="M46" s="28">
        <v>0</v>
      </c>
      <c r="N46" s="28">
        <v>1</v>
      </c>
      <c r="O46" s="28">
        <v>5</v>
      </c>
      <c r="P46" s="74">
        <v>8</v>
      </c>
      <c r="Q46" s="28">
        <v>0</v>
      </c>
      <c r="R46" s="28">
        <v>3</v>
      </c>
      <c r="S46" s="74">
        <v>3</v>
      </c>
      <c r="T46" s="28">
        <f>IFERROR((NYM_H[[#This Row],[H]]-NYM_H[[#This Row],[2B]]-NYM_H[[#This Row],[3B]]-NYM_H[[#This Row],[HR]])+(NYM_H[[#This Row],[2B]]*2)+(NYM_H[[#This Row],[3B]]*3)+(NYM_H[[#This Row],[HR]]*4),0)</f>
        <v>3</v>
      </c>
      <c r="U46" s="72">
        <f>NYM_H[[#This Row],[OBP]]+NYM_H[[#This Row],[SLG]]</f>
        <v>0.45054945054945056</v>
      </c>
      <c r="V46" s="74">
        <v>0</v>
      </c>
      <c r="W46" s="615">
        <v>12</v>
      </c>
      <c r="Z46" s="651" t="s">
        <v>804</v>
      </c>
      <c r="AA46" s="71" t="s">
        <v>187</v>
      </c>
      <c r="AB46" s="71" t="s">
        <v>815</v>
      </c>
      <c r="AC46" s="72">
        <f>IFERROR(NYM_H164[[#This Row],[H]]/NYM_H164[[#This Row],[AB]],0)</f>
        <v>0.25</v>
      </c>
      <c r="AD46" s="72">
        <f>IFERROR((NYM_H164[[#This Row],[H]]+NYM_H164[[#This Row],[BB]])/(NYM_H164[[#This Row],[BB]]+NYM_H164[[#This Row],[AB]]),0)</f>
        <v>0.25</v>
      </c>
      <c r="AE46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0.4375</v>
      </c>
      <c r="AF46" s="28">
        <v>6</v>
      </c>
      <c r="AG46" s="28">
        <v>16</v>
      </c>
      <c r="AH46" s="28">
        <v>2</v>
      </c>
      <c r="AI46" s="28">
        <v>4</v>
      </c>
      <c r="AJ46" s="28">
        <v>0</v>
      </c>
      <c r="AK46" s="28">
        <v>0</v>
      </c>
      <c r="AL46" s="28">
        <v>1</v>
      </c>
      <c r="AM46" s="28">
        <v>3</v>
      </c>
      <c r="AN46" s="28">
        <v>0</v>
      </c>
      <c r="AO46" s="74">
        <v>6</v>
      </c>
      <c r="AP46" s="28">
        <v>0</v>
      </c>
      <c r="AQ46" s="28">
        <v>0</v>
      </c>
      <c r="AR46" s="74">
        <v>3</v>
      </c>
      <c r="AS46" s="28">
        <f>IFERROR((NYM_H164[[#This Row],[H]]-NYM_H164[[#This Row],[2B]]-NYM_H164[[#This Row],[3B]]-NYM_H164[[#This Row],[HR]])+(NYM_H164[[#This Row],[2B]]*2)+(NYM_H164[[#This Row],[3B]]*3)+(NYM_H164[[#This Row],[HR]]*4),0)</f>
        <v>7</v>
      </c>
      <c r="AT46" s="72">
        <f>NYM_H164[[#This Row],[OBP]]+NYM_H164[[#This Row],[SLG]]</f>
        <v>0.6875</v>
      </c>
      <c r="AU46" s="74">
        <v>1</v>
      </c>
      <c r="AV46" s="615">
        <v>12</v>
      </c>
      <c r="AY46" s="651" t="s">
        <v>804</v>
      </c>
      <c r="AZ46" s="74" t="s">
        <v>187</v>
      </c>
      <c r="BA46" s="71" t="s">
        <v>815</v>
      </c>
      <c r="BB46" s="72">
        <f>IFERROR(NYM_H164178[[#This Row],[H]]/NYM_H164178[[#This Row],[AB]],0)</f>
        <v>0.32608695652173914</v>
      </c>
      <c r="BC46" s="72">
        <f>IFERROR((NYM_H164178[[#This Row],[H]]+NYM_H164178[[#This Row],[BB]])/(NYM_H164178[[#This Row],[BB]]+NYM_H164178[[#This Row],[AB]]),0)</f>
        <v>0.34042553191489361</v>
      </c>
      <c r="BD46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0.43478260869565216</v>
      </c>
      <c r="BE46" s="28">
        <v>17</v>
      </c>
      <c r="BF46" s="28">
        <v>46</v>
      </c>
      <c r="BG46" s="28">
        <v>3</v>
      </c>
      <c r="BH46" s="28">
        <v>15</v>
      </c>
      <c r="BI46" s="28">
        <v>2</v>
      </c>
      <c r="BJ46" s="28">
        <v>0</v>
      </c>
      <c r="BK46" s="28">
        <v>1</v>
      </c>
      <c r="BL46" s="28">
        <v>6</v>
      </c>
      <c r="BM46" s="28">
        <v>1</v>
      </c>
      <c r="BN46" s="74">
        <v>21</v>
      </c>
      <c r="BO46" s="28">
        <v>0</v>
      </c>
      <c r="BP46" s="28">
        <v>0</v>
      </c>
      <c r="BQ46" s="74">
        <v>5</v>
      </c>
      <c r="BR46" s="28">
        <f>(NYM_H164178[[#This Row],[H]]-NYM_H164178[[#This Row],[2B]]-NYM_H164178[[#This Row],[3B]]-NYM_H164178[[#This Row],[HR]])+(NYM_H164178[[#This Row],[2B]]*2)+(NYM_H164178[[#This Row],[3B]]*3)+(NYM_H164178[[#This Row],[HR]]*4)</f>
        <v>20</v>
      </c>
      <c r="BS46" s="72">
        <f>IFERROR(NYM_H164178[[#This Row],[OBP]]+NYM_H164178[[#This Row],[SLG]],0)</f>
        <v>0.77520814061054577</v>
      </c>
      <c r="BT46" s="74">
        <v>1</v>
      </c>
      <c r="BU46" s="780">
        <v>12</v>
      </c>
    </row>
    <row r="47" spans="1:73">
      <c r="A47" s="651" t="s">
        <v>804</v>
      </c>
      <c r="B47" s="71" t="s">
        <v>186</v>
      </c>
      <c r="C47" s="71" t="s">
        <v>812</v>
      </c>
      <c r="D47" s="72">
        <f>IFERROR(NYM_H[[#This Row],[H]]/NYM_H[[#This Row],[AB]],0)</f>
        <v>0.18055555555555555</v>
      </c>
      <c r="E47" s="72">
        <f>IFERROR((NYM_H[[#This Row],[H]]+NYM_H[[#This Row],[BB]])/(NYM_H[[#This Row],[BB]]+NYM_H[[#This Row],[AB]]),0)</f>
        <v>0.30588235294117649</v>
      </c>
      <c r="F47" s="73">
        <f>IFERROR(((NYM_H[[#This Row],[H]]-NYM_H[[#This Row],[2B]]-NYM_H[[#This Row],[3B]]-NYM_H[[#This Row],[HR]])+(NYM_H[[#This Row],[2B]]*2)+(NYM_H[[#This Row],[3B]]*3)+(NYM_H[[#This Row],[HR]]*4))/NYM_H[[#This Row],[AB]],0)</f>
        <v>0.33333333333333331</v>
      </c>
      <c r="G47" s="28">
        <v>20</v>
      </c>
      <c r="H47" s="28">
        <v>72</v>
      </c>
      <c r="I47" s="28">
        <v>7</v>
      </c>
      <c r="J47" s="28">
        <v>13</v>
      </c>
      <c r="K47" s="28">
        <v>5</v>
      </c>
      <c r="L47" s="28">
        <v>0</v>
      </c>
      <c r="M47" s="28">
        <v>2</v>
      </c>
      <c r="N47" s="28">
        <v>10</v>
      </c>
      <c r="O47" s="28">
        <v>13</v>
      </c>
      <c r="P47" s="74">
        <v>23</v>
      </c>
      <c r="Q47" s="28">
        <v>0</v>
      </c>
      <c r="R47" s="28">
        <v>1</v>
      </c>
      <c r="S47" s="74">
        <v>3</v>
      </c>
      <c r="T47" s="28">
        <f>IFERROR((NYM_H[[#This Row],[H]]-NYM_H[[#This Row],[2B]]-NYM_H[[#This Row],[3B]]-NYM_H[[#This Row],[HR]])+(NYM_H[[#This Row],[2B]]*2)+(NYM_H[[#This Row],[3B]]*3)+(NYM_H[[#This Row],[HR]]*4),0)</f>
        <v>24</v>
      </c>
      <c r="U47" s="72">
        <f>NYM_H[[#This Row],[OBP]]+NYM_H[[#This Row],[SLG]]</f>
        <v>0.63921568627450975</v>
      </c>
      <c r="V47" s="74">
        <v>1</v>
      </c>
      <c r="W47" s="615">
        <v>13</v>
      </c>
      <c r="Z47" s="651" t="s">
        <v>804</v>
      </c>
      <c r="AA47" s="71" t="s">
        <v>186</v>
      </c>
      <c r="AB47" s="71" t="s">
        <v>814</v>
      </c>
      <c r="AC47" s="72">
        <f>IFERROR(NYM_H164[[#This Row],[H]]/NYM_H164[[#This Row],[AB]],0)</f>
        <v>0.2857142857142857</v>
      </c>
      <c r="AD47" s="72">
        <f>IFERROR((NYM_H164[[#This Row],[H]]+NYM_H164[[#This Row],[BB]])/(NYM_H164[[#This Row],[BB]]+NYM_H164[[#This Row],[AB]]),0)</f>
        <v>0.2857142857142857</v>
      </c>
      <c r="AE47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0.33333333333333331</v>
      </c>
      <c r="AF47" s="28">
        <v>8</v>
      </c>
      <c r="AG47" s="28">
        <v>21</v>
      </c>
      <c r="AH47" s="28">
        <v>3</v>
      </c>
      <c r="AI47" s="28">
        <v>6</v>
      </c>
      <c r="AJ47" s="28">
        <v>1</v>
      </c>
      <c r="AK47" s="28">
        <v>0</v>
      </c>
      <c r="AL47" s="28">
        <v>0</v>
      </c>
      <c r="AM47" s="28">
        <v>1</v>
      </c>
      <c r="AN47" s="28">
        <v>0</v>
      </c>
      <c r="AO47" s="74">
        <v>4</v>
      </c>
      <c r="AP47" s="28">
        <v>0</v>
      </c>
      <c r="AQ47" s="28">
        <v>2</v>
      </c>
      <c r="AR47" s="74">
        <v>3</v>
      </c>
      <c r="AS47" s="28">
        <f>IFERROR((NYM_H164[[#This Row],[H]]-NYM_H164[[#This Row],[2B]]-NYM_H164[[#This Row],[3B]]-NYM_H164[[#This Row],[HR]])+(NYM_H164[[#This Row],[2B]]*2)+(NYM_H164[[#This Row],[3B]]*3)+(NYM_H164[[#This Row],[HR]]*4),0)</f>
        <v>7</v>
      </c>
      <c r="AT47" s="72">
        <f>NYM_H164[[#This Row],[OBP]]+NYM_H164[[#This Row],[SLG]]</f>
        <v>0.61904761904761907</v>
      </c>
      <c r="AU47" s="74">
        <v>0</v>
      </c>
      <c r="AV47" s="615">
        <v>13</v>
      </c>
      <c r="AY47" s="651" t="s">
        <v>804</v>
      </c>
      <c r="AZ47" s="74" t="s">
        <v>186</v>
      </c>
      <c r="BA47" s="71" t="s">
        <v>814</v>
      </c>
      <c r="BB47" s="72">
        <f>IFERROR(NYM_H164178[[#This Row],[H]]/NYM_H164178[[#This Row],[AB]],0)</f>
        <v>0.23076923076923078</v>
      </c>
      <c r="BC47" s="72">
        <f>IFERROR((NYM_H164178[[#This Row],[H]]+NYM_H164178[[#This Row],[BB]])/(NYM_H164178[[#This Row],[BB]]+NYM_H164178[[#This Row],[AB]]),0)</f>
        <v>0.2857142857142857</v>
      </c>
      <c r="BD47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0.38461538461538464</v>
      </c>
      <c r="BE47" s="28">
        <v>10</v>
      </c>
      <c r="BF47" s="28">
        <v>26</v>
      </c>
      <c r="BG47" s="28">
        <v>2</v>
      </c>
      <c r="BH47" s="28">
        <v>6</v>
      </c>
      <c r="BI47" s="28">
        <v>1</v>
      </c>
      <c r="BJ47" s="28">
        <v>0</v>
      </c>
      <c r="BK47" s="28">
        <v>1</v>
      </c>
      <c r="BL47" s="28">
        <v>2</v>
      </c>
      <c r="BM47" s="28">
        <v>2</v>
      </c>
      <c r="BN47" s="74">
        <v>8</v>
      </c>
      <c r="BO47" s="28">
        <v>0</v>
      </c>
      <c r="BP47" s="28">
        <v>0</v>
      </c>
      <c r="BQ47" s="74">
        <v>3</v>
      </c>
      <c r="BR47" s="28">
        <f>(NYM_H164178[[#This Row],[H]]-NYM_H164178[[#This Row],[2B]]-NYM_H164178[[#This Row],[3B]]-NYM_H164178[[#This Row],[HR]])+(NYM_H164178[[#This Row],[2B]]*2)+(NYM_H164178[[#This Row],[3B]]*3)+(NYM_H164178[[#This Row],[HR]]*4)</f>
        <v>10</v>
      </c>
      <c r="BS47" s="72">
        <f>IFERROR(NYM_H164178[[#This Row],[OBP]]+NYM_H164178[[#This Row],[SLG]],0)</f>
        <v>0.67032967032967039</v>
      </c>
      <c r="BT47" s="74">
        <v>0</v>
      </c>
      <c r="BU47" s="780">
        <v>13</v>
      </c>
    </row>
    <row r="48" spans="1:73" ht="17" thickBot="1">
      <c r="A48" s="651" t="s">
        <v>804</v>
      </c>
      <c r="B48" s="71" t="s">
        <v>186</v>
      </c>
      <c r="C48" s="71" t="s">
        <v>816</v>
      </c>
      <c r="D48" s="72">
        <f>IFERROR(NYM_H[[#This Row],[H]]/NYM_H[[#This Row],[AB]],0)</f>
        <v>0.22916666666666666</v>
      </c>
      <c r="E48" s="72">
        <f>IFERROR((NYM_H[[#This Row],[H]]+NYM_H[[#This Row],[BB]])/(NYM_H[[#This Row],[BB]]+NYM_H[[#This Row],[AB]]),0)</f>
        <v>0.32727272727272727</v>
      </c>
      <c r="F48" s="73">
        <f>IFERROR(((NYM_H[[#This Row],[H]]-NYM_H[[#This Row],[2B]]-NYM_H[[#This Row],[3B]]-NYM_H[[#This Row],[HR]])+(NYM_H[[#This Row],[2B]]*2)+(NYM_H[[#This Row],[3B]]*3)+(NYM_H[[#This Row],[HR]]*4))/NYM_H[[#This Row],[AB]],0)</f>
        <v>0.29166666666666669</v>
      </c>
      <c r="G48" s="28">
        <v>17</v>
      </c>
      <c r="H48" s="28">
        <v>48</v>
      </c>
      <c r="I48" s="28">
        <v>3</v>
      </c>
      <c r="J48" s="28">
        <v>11</v>
      </c>
      <c r="K48" s="28">
        <v>0</v>
      </c>
      <c r="L48" s="28">
        <v>0</v>
      </c>
      <c r="M48" s="28">
        <v>1</v>
      </c>
      <c r="N48" s="28">
        <v>6</v>
      </c>
      <c r="O48" s="28">
        <v>7</v>
      </c>
      <c r="P48" s="74">
        <v>18</v>
      </c>
      <c r="Q48" s="28">
        <v>0</v>
      </c>
      <c r="R48" s="28">
        <v>1</v>
      </c>
      <c r="S48" s="74">
        <v>3</v>
      </c>
      <c r="T48" s="28">
        <f>IFERROR((NYM_H[[#This Row],[H]]-NYM_H[[#This Row],[2B]]-NYM_H[[#This Row],[3B]]-NYM_H[[#This Row],[HR]])+(NYM_H[[#This Row],[2B]]*2)+(NYM_H[[#This Row],[3B]]*3)+(NYM_H[[#This Row],[HR]]*4),0)</f>
        <v>14</v>
      </c>
      <c r="U48" s="72">
        <f>NYM_H[[#This Row],[OBP]]+NYM_H[[#This Row],[SLG]]</f>
        <v>0.6189393939393939</v>
      </c>
      <c r="V48" s="74">
        <v>2</v>
      </c>
      <c r="W48" s="615">
        <v>14</v>
      </c>
      <c r="Z48" s="651" t="s">
        <v>804</v>
      </c>
      <c r="AA48" s="71" t="s">
        <v>186</v>
      </c>
      <c r="AB48" s="71" t="s">
        <v>816</v>
      </c>
      <c r="AC48" s="72">
        <f>IFERROR(NYM_H164[[#This Row],[H]]/NYM_H164[[#This Row],[AB]],0)</f>
        <v>0.23809523809523808</v>
      </c>
      <c r="AD48" s="72">
        <f>IFERROR((NYM_H164[[#This Row],[H]]+NYM_H164[[#This Row],[BB]])/(NYM_H164[[#This Row],[BB]]+NYM_H164[[#This Row],[AB]]),0)</f>
        <v>0.23809523809523808</v>
      </c>
      <c r="AE48" s="73">
        <f>IFERROR(((NYM_H164[[#This Row],[H]]-NYM_H164[[#This Row],[2B]]-NYM_H164[[#This Row],[3B]]-NYM_H164[[#This Row],[HR]])+(NYM_H164[[#This Row],[2B]]*2)+(NYM_H164[[#This Row],[3B]]*3)+(NYM_H164[[#This Row],[HR]]*4))/NYM_H164[[#This Row],[AB]],0)</f>
        <v>0.2857142857142857</v>
      </c>
      <c r="AF48" s="28">
        <v>8</v>
      </c>
      <c r="AG48" s="28">
        <v>21</v>
      </c>
      <c r="AH48" s="28">
        <v>2</v>
      </c>
      <c r="AI48" s="28">
        <v>5</v>
      </c>
      <c r="AJ48" s="28">
        <v>1</v>
      </c>
      <c r="AK48" s="28">
        <v>0</v>
      </c>
      <c r="AL48" s="28">
        <v>0</v>
      </c>
      <c r="AM48" s="28">
        <v>2</v>
      </c>
      <c r="AN48" s="28">
        <v>0</v>
      </c>
      <c r="AO48" s="74">
        <v>3</v>
      </c>
      <c r="AP48" s="28">
        <v>0</v>
      </c>
      <c r="AQ48" s="28">
        <v>4</v>
      </c>
      <c r="AR48" s="74">
        <v>4</v>
      </c>
      <c r="AS48" s="28">
        <f>IFERROR((NYM_H164[[#This Row],[H]]-NYM_H164[[#This Row],[2B]]-NYM_H164[[#This Row],[3B]]-NYM_H164[[#This Row],[HR]])+(NYM_H164[[#This Row],[2B]]*2)+(NYM_H164[[#This Row],[3B]]*3)+(NYM_H164[[#This Row],[HR]]*4),0)</f>
        <v>6</v>
      </c>
      <c r="AT48" s="72">
        <f>NYM_H164[[#This Row],[OBP]]+NYM_H164[[#This Row],[SLG]]</f>
        <v>0.52380952380952372</v>
      </c>
      <c r="AU48" s="74">
        <v>0</v>
      </c>
      <c r="AV48" s="615">
        <v>14</v>
      </c>
      <c r="AY48" s="651" t="s">
        <v>804</v>
      </c>
      <c r="AZ48" s="71" t="s">
        <v>186</v>
      </c>
      <c r="BA48" s="71" t="s">
        <v>816</v>
      </c>
      <c r="BB48" s="72">
        <f>IFERROR(NYM_H164178[[#This Row],[H]]/NYM_H164178[[#This Row],[AB]],0)</f>
        <v>0.23529411764705882</v>
      </c>
      <c r="BC48" s="72">
        <f>IFERROR((NYM_H164178[[#This Row],[H]]+NYM_H164178[[#This Row],[BB]])/(NYM_H164178[[#This Row],[BB]]+NYM_H164178[[#This Row],[AB]]),0)</f>
        <v>0.36585365853658536</v>
      </c>
      <c r="BD48" s="73">
        <f>IFERROR(((NYM_H164178[[#This Row],[H]]-NYM_H164178[[#This Row],[2B]]-NYM_H164178[[#This Row],[3B]]-NYM_H164178[[#This Row],[HR]])+(NYM_H164178[[#This Row],[2B]]*2)+(NYM_H164178[[#This Row],[3B]]*3)+(NYM_H164178[[#This Row],[HR]]*4))/NYM_H164178[[#This Row],[AB]],0)</f>
        <v>0.3235294117647059</v>
      </c>
      <c r="BE48" s="28">
        <v>15</v>
      </c>
      <c r="BF48" s="28">
        <v>34</v>
      </c>
      <c r="BG48" s="28">
        <v>4</v>
      </c>
      <c r="BH48" s="28">
        <v>8</v>
      </c>
      <c r="BI48" s="28">
        <v>0</v>
      </c>
      <c r="BJ48" s="28">
        <v>0</v>
      </c>
      <c r="BK48" s="28">
        <v>1</v>
      </c>
      <c r="BL48" s="28">
        <v>3</v>
      </c>
      <c r="BM48" s="28">
        <v>7</v>
      </c>
      <c r="BN48" s="74">
        <v>11</v>
      </c>
      <c r="BO48" s="28">
        <v>0</v>
      </c>
      <c r="BP48" s="28">
        <v>0</v>
      </c>
      <c r="BQ48" s="74">
        <v>4</v>
      </c>
      <c r="BR48" s="28">
        <f>(NYM_H164178[[#This Row],[H]]-NYM_H164178[[#This Row],[2B]]-NYM_H164178[[#This Row],[3B]]-NYM_H164178[[#This Row],[HR]])+(NYM_H164178[[#This Row],[2B]]*2)+(NYM_H164178[[#This Row],[3B]]*3)+(NYM_H164178[[#This Row],[HR]]*4)</f>
        <v>11</v>
      </c>
      <c r="BS48" s="72">
        <f>IFERROR(NYM_H164178[[#This Row],[OBP]]+NYM_H164178[[#This Row],[SLG]],0)</f>
        <v>0.68938307030129131</v>
      </c>
      <c r="BT48" s="74">
        <v>1</v>
      </c>
      <c r="BU48" s="780">
        <v>14</v>
      </c>
    </row>
    <row r="49" spans="1:73" ht="17" thickBot="1">
      <c r="A49" s="652"/>
      <c r="B49" s="653"/>
      <c r="C49" s="654" t="s">
        <v>195</v>
      </c>
      <c r="D49" s="656">
        <f>J49/H49</f>
        <v>0.26011560693641617</v>
      </c>
      <c r="E49" s="656">
        <f>(J49+O49)/(H49+O49)</f>
        <v>0.33721682847896439</v>
      </c>
      <c r="F49" s="657">
        <f>((J49-K49-L49-M49)+(K49*2)+(L49*3)+(M49*4))/H49</f>
        <v>0.45881502890173409</v>
      </c>
      <c r="G49" s="658"/>
      <c r="H49" s="658">
        <f>SUBTOTAL(109,NYM_H[AB])</f>
        <v>1384</v>
      </c>
      <c r="I49" s="658">
        <f>SUBTOTAL(109,NYM_H[R])</f>
        <v>195</v>
      </c>
      <c r="J49" s="658">
        <f>SUBTOTAL(109,NYM_H[H])</f>
        <v>360</v>
      </c>
      <c r="K49" s="658">
        <f>SUBTOTAL(109,NYM_H[2B])</f>
        <v>73</v>
      </c>
      <c r="L49" s="658">
        <f>SUBTOTAL(109,NYM_H[3B])</f>
        <v>5</v>
      </c>
      <c r="M49" s="659">
        <f>SUBTOTAL(109,NYM_H[HR])</f>
        <v>64</v>
      </c>
      <c r="N49" s="658">
        <f>SUBTOTAL(109,NYM_H[RBI])</f>
        <v>194</v>
      </c>
      <c r="O49" s="658">
        <f>SUBTOTAL(109,NYM_H[BB])</f>
        <v>161</v>
      </c>
      <c r="P49" s="660">
        <f>SUBTOTAL(109,NYM_H[K])</f>
        <v>350</v>
      </c>
      <c r="Q49" s="658">
        <f>SUBTOTAL(109,NYM_H[SB])</f>
        <v>0</v>
      </c>
      <c r="R49" s="658"/>
      <c r="S49" s="660"/>
      <c r="T49" s="658">
        <f>SUBTOTAL(109,NYM_H[TB])</f>
        <v>635</v>
      </c>
      <c r="U49" s="716">
        <f>E49+F49</f>
        <v>0.79603185738069848</v>
      </c>
      <c r="V49" s="660">
        <f>SUBTOTAL(109,NYM_H[*])</f>
        <v>30</v>
      </c>
      <c r="W49" s="662"/>
      <c r="Z49" s="652"/>
      <c r="AA49" s="653"/>
      <c r="AB49" s="654" t="s">
        <v>195</v>
      </c>
      <c r="AC49" s="716">
        <f>AI49/AG49</f>
        <v>0.26961483594864477</v>
      </c>
      <c r="AD49" s="716">
        <f>(AI49+AN49)/(AG49+AN49)</f>
        <v>0.34020618556701032</v>
      </c>
      <c r="AE49" s="783">
        <f>((AI49-AJ49-AK49-AL49)+(AJ49*2)+(AK49*3)+(AL49*4))/AG49</f>
        <v>0.46790299572039945</v>
      </c>
      <c r="AF49" s="658"/>
      <c r="AG49" s="658">
        <f>SUBTOTAL(109,NYM_H164[AB])</f>
        <v>1402</v>
      </c>
      <c r="AH49" s="659">
        <f>SUBTOTAL(109,NYM_H164[R])</f>
        <v>200</v>
      </c>
      <c r="AI49" s="659">
        <f>SUBTOTAL(109,NYM_H164[H])</f>
        <v>378</v>
      </c>
      <c r="AJ49" s="658">
        <f>SUBTOTAL(109,NYM_H164[2B])</f>
        <v>78</v>
      </c>
      <c r="AK49" s="658">
        <f>SUBTOTAL(109,NYM_H164[3B])</f>
        <v>7</v>
      </c>
      <c r="AL49" s="658">
        <f>SUBTOTAL(109,NYM_H164[HR])</f>
        <v>62</v>
      </c>
      <c r="AM49" s="658">
        <f>SUBTOTAL(109,NYM_H164[RBI])</f>
        <v>199</v>
      </c>
      <c r="AN49" s="658">
        <f>SUBTOTAL(109,NYM_H164[BB])</f>
        <v>150</v>
      </c>
      <c r="AO49" s="660">
        <f>SUBTOTAL(109,NYM_H164[K])</f>
        <v>365</v>
      </c>
      <c r="AP49" s="658">
        <f>SUBTOTAL(109,NYM_H164[SB])</f>
        <v>1</v>
      </c>
      <c r="AQ49" s="658"/>
      <c r="AR49" s="660"/>
      <c r="AS49" s="659">
        <f>SUBTOTAL(109,NYM_H164[TB])</f>
        <v>656</v>
      </c>
      <c r="AT49" s="716">
        <f>AD49+AE49</f>
        <v>0.80810918128740972</v>
      </c>
      <c r="AU49" s="660">
        <f>SUBTOTAL(109,NYM_H164[*])</f>
        <v>23</v>
      </c>
      <c r="AV49" s="662"/>
      <c r="AY49" s="652"/>
      <c r="AZ49" s="653"/>
      <c r="BA49" s="654" t="s">
        <v>195</v>
      </c>
      <c r="BB49" s="716">
        <f>BH49/BF49</f>
        <v>0.26796929518492674</v>
      </c>
      <c r="BC49" s="716">
        <f>(BH49+BM49)/(BM49+BF49)</f>
        <v>0.33733417561591916</v>
      </c>
      <c r="BD49" s="657">
        <f>((BH49-BI49-BJ49-BK49)+(BI49*2)+(BJ49*3)+(BK49*4))/BF49</f>
        <v>0.41591067690160505</v>
      </c>
      <c r="BE49" s="658"/>
      <c r="BF49" s="658">
        <f>SUBTOTAL(109,NYM_H164178[AB])</f>
        <v>1433</v>
      </c>
      <c r="BG49" s="658">
        <f>SUBTOTAL(109,NYM_H164178[R])</f>
        <v>179</v>
      </c>
      <c r="BH49" s="659">
        <f>SUBTOTAL(109,NYM_H164178[H])</f>
        <v>384</v>
      </c>
      <c r="BI49" s="658">
        <f>SUBTOTAL(109,NYM_H164178[2B])</f>
        <v>76</v>
      </c>
      <c r="BJ49" s="658">
        <f>SUBTOTAL(109,NYM_H164178[3B])</f>
        <v>2</v>
      </c>
      <c r="BK49" s="658">
        <f>SUBTOTAL(109,NYM_H164178[HR])</f>
        <v>44</v>
      </c>
      <c r="BL49" s="658">
        <f>SUBTOTAL(109,NYM_H164178[RBI])</f>
        <v>179</v>
      </c>
      <c r="BM49" s="658">
        <f>SUBTOTAL(109,NYM_H164178[BB])</f>
        <v>150</v>
      </c>
      <c r="BN49" s="660">
        <f>SUBTOTAL(109,NYM_H164178[K])</f>
        <v>386</v>
      </c>
      <c r="BO49" s="658">
        <f>SUBTOTAL(109,NYM_H164178[SB])</f>
        <v>4</v>
      </c>
      <c r="BP49" s="658"/>
      <c r="BQ49" s="660"/>
      <c r="BR49" s="658">
        <f>SUBTOTAL(109,NYM_H164178[TB])</f>
        <v>596</v>
      </c>
      <c r="BS49" s="656">
        <f>BC49+BD49</f>
        <v>0.75324485251752415</v>
      </c>
      <c r="BT49" s="660">
        <f>SUBTOTAL(109,NYM_H164178[*])</f>
        <v>22</v>
      </c>
      <c r="BU49" s="662"/>
    </row>
    <row r="50" spans="1:73" ht="17" thickBot="1"/>
    <row r="51" spans="1:73" s="64" customFormat="1" ht="14" thickBot="1">
      <c r="A51" s="605" t="s">
        <v>143</v>
      </c>
      <c r="B51" s="606" t="s">
        <v>144</v>
      </c>
      <c r="C51" s="606" t="s">
        <v>145</v>
      </c>
      <c r="D51" s="606" t="s">
        <v>196</v>
      </c>
      <c r="E51" s="606" t="s">
        <v>197</v>
      </c>
      <c r="F51" s="606" t="s">
        <v>198</v>
      </c>
      <c r="G51" s="606" t="s">
        <v>149</v>
      </c>
      <c r="H51" s="606" t="s">
        <v>199</v>
      </c>
      <c r="I51" s="606" t="s">
        <v>152</v>
      </c>
      <c r="J51" s="606" t="s">
        <v>151</v>
      </c>
      <c r="K51" s="606" t="s">
        <v>157</v>
      </c>
      <c r="L51" s="606" t="s">
        <v>158</v>
      </c>
      <c r="M51" s="606" t="s">
        <v>200</v>
      </c>
      <c r="N51" s="606" t="s">
        <v>201</v>
      </c>
      <c r="O51" s="606" t="s">
        <v>202</v>
      </c>
      <c r="P51" s="606" t="s">
        <v>203</v>
      </c>
      <c r="Q51" s="606" t="s">
        <v>204</v>
      </c>
      <c r="R51" s="606" t="s">
        <v>205</v>
      </c>
      <c r="S51" s="607" t="s">
        <v>164</v>
      </c>
      <c r="Z51" s="605" t="s">
        <v>143</v>
      </c>
      <c r="AA51" s="606" t="s">
        <v>144</v>
      </c>
      <c r="AB51" s="606" t="s">
        <v>145</v>
      </c>
      <c r="AC51" s="606" t="s">
        <v>196</v>
      </c>
      <c r="AD51" s="606" t="s">
        <v>197</v>
      </c>
      <c r="AE51" s="606" t="s">
        <v>198</v>
      </c>
      <c r="AF51" s="606" t="s">
        <v>149</v>
      </c>
      <c r="AG51" s="606" t="s">
        <v>199</v>
      </c>
      <c r="AH51" s="606" t="s">
        <v>152</v>
      </c>
      <c r="AI51" s="606" t="s">
        <v>151</v>
      </c>
      <c r="AJ51" s="606" t="s">
        <v>157</v>
      </c>
      <c r="AK51" s="606" t="s">
        <v>158</v>
      </c>
      <c r="AL51" s="606" t="s">
        <v>200</v>
      </c>
      <c r="AM51" s="606" t="s">
        <v>201</v>
      </c>
      <c r="AN51" s="606" t="s">
        <v>202</v>
      </c>
      <c r="AO51" s="606" t="s">
        <v>203</v>
      </c>
      <c r="AP51" s="606" t="s">
        <v>204</v>
      </c>
      <c r="AQ51" s="606" t="s">
        <v>205</v>
      </c>
      <c r="AR51" s="607" t="s">
        <v>164</v>
      </c>
      <c r="AY51" s="605" t="s">
        <v>143</v>
      </c>
      <c r="AZ51" s="606" t="s">
        <v>144</v>
      </c>
      <c r="BA51" s="606" t="s">
        <v>145</v>
      </c>
      <c r="BB51" s="606" t="s">
        <v>196</v>
      </c>
      <c r="BC51" s="606" t="s">
        <v>197</v>
      </c>
      <c r="BD51" s="606" t="s">
        <v>198</v>
      </c>
      <c r="BE51" s="606" t="s">
        <v>149</v>
      </c>
      <c r="BF51" s="606" t="s">
        <v>199</v>
      </c>
      <c r="BG51" s="606" t="s">
        <v>152</v>
      </c>
      <c r="BH51" s="606" t="s">
        <v>151</v>
      </c>
      <c r="BI51" s="606" t="s">
        <v>157</v>
      </c>
      <c r="BJ51" s="606" t="s">
        <v>158</v>
      </c>
      <c r="BK51" s="606" t="s">
        <v>200</v>
      </c>
      <c r="BL51" s="606" t="s">
        <v>201</v>
      </c>
      <c r="BM51" s="606" t="s">
        <v>202</v>
      </c>
      <c r="BN51" s="606" t="s">
        <v>203</v>
      </c>
      <c r="BO51" s="606" t="s">
        <v>204</v>
      </c>
      <c r="BP51" s="606" t="s">
        <v>205</v>
      </c>
      <c r="BQ51" s="607" t="s">
        <v>164</v>
      </c>
    </row>
    <row r="52" spans="1:73">
      <c r="A52" s="650" t="s">
        <v>804</v>
      </c>
      <c r="B52" s="604" t="s">
        <v>206</v>
      </c>
      <c r="C52" s="597" t="s">
        <v>820</v>
      </c>
      <c r="D52" s="663">
        <f>IFERROR((NYM_P[[#This Row],[R]]*9)/NYM_P[[#This Row],[IP]],0)</f>
        <v>2.1408748513281353</v>
      </c>
      <c r="E52" s="600">
        <v>5</v>
      </c>
      <c r="F52" s="604">
        <v>4</v>
      </c>
      <c r="G52" s="600">
        <v>10</v>
      </c>
      <c r="H52" s="784">
        <v>75.67</v>
      </c>
      <c r="I52" s="600">
        <v>48</v>
      </c>
      <c r="J52" s="600">
        <v>18</v>
      </c>
      <c r="K52" s="600">
        <v>13</v>
      </c>
      <c r="L52" s="600">
        <v>105</v>
      </c>
      <c r="M52" s="600">
        <v>0</v>
      </c>
      <c r="N52" s="730">
        <f>IFERROR((NYM_P[[#This Row],[BB]]+NYM_P[[#This Row],[H]])/NYM_P[[#This Row],[IP]],0)</f>
        <v>0.80613188846306327</v>
      </c>
      <c r="O52" s="600">
        <v>8</v>
      </c>
      <c r="P52" s="601">
        <v>6</v>
      </c>
      <c r="Q52" s="600">
        <v>2</v>
      </c>
      <c r="R52" s="604">
        <v>2</v>
      </c>
      <c r="S52" s="614">
        <v>1</v>
      </c>
      <c r="Z52" s="650" t="s">
        <v>804</v>
      </c>
      <c r="AA52" s="604" t="s">
        <v>206</v>
      </c>
      <c r="AB52" s="597" t="s">
        <v>820</v>
      </c>
      <c r="AC52" s="663">
        <f>IFERROR((NYM_P165[[#This Row],[R]]*9)/NYM_P165[[#This Row],[IP]],0)</f>
        <v>1.5129962498383551</v>
      </c>
      <c r="AD52" s="600">
        <v>5</v>
      </c>
      <c r="AE52" s="604">
        <v>2</v>
      </c>
      <c r="AF52" s="600">
        <v>10</v>
      </c>
      <c r="AG52" s="630">
        <v>77.33</v>
      </c>
      <c r="AH52" s="600">
        <v>47</v>
      </c>
      <c r="AI52" s="600">
        <v>13</v>
      </c>
      <c r="AJ52" s="600">
        <v>15</v>
      </c>
      <c r="AK52" s="600">
        <v>89</v>
      </c>
      <c r="AL52" s="600">
        <v>0</v>
      </c>
      <c r="AM52" s="838">
        <f>IFERROR((NYM_P165[[#This Row],[BB]]+NYM_P165[[#This Row],[H]])/NYM_P165[[#This Row],[IP]],0)</f>
        <v>0.80175869649553866</v>
      </c>
      <c r="AN52" s="600">
        <v>9</v>
      </c>
      <c r="AO52" s="601">
        <v>7</v>
      </c>
      <c r="AP52" s="708">
        <v>4</v>
      </c>
      <c r="AQ52" s="604">
        <v>2</v>
      </c>
      <c r="AR52" s="614">
        <v>1</v>
      </c>
      <c r="AY52" s="650" t="s">
        <v>804</v>
      </c>
      <c r="AZ52" s="604" t="s">
        <v>206</v>
      </c>
      <c r="BA52" s="597" t="s">
        <v>820</v>
      </c>
      <c r="BB52" s="663">
        <f>IFERROR((NYM_P165179[[#This Row],[R]]*9)/NYM_P165179[[#This Row],[IP]],0)</f>
        <v>3.0712356035831081</v>
      </c>
      <c r="BC52" s="600">
        <v>2</v>
      </c>
      <c r="BD52" s="604">
        <v>5</v>
      </c>
      <c r="BE52" s="600">
        <v>10</v>
      </c>
      <c r="BF52" s="630">
        <v>70.33</v>
      </c>
      <c r="BG52" s="600">
        <v>53</v>
      </c>
      <c r="BH52" s="600">
        <v>24</v>
      </c>
      <c r="BI52" s="600">
        <v>20</v>
      </c>
      <c r="BJ52" s="627">
        <v>102</v>
      </c>
      <c r="BK52" s="600">
        <v>0</v>
      </c>
      <c r="BL52" s="631">
        <f>IFERROR((NYM_P165179[[#This Row],[BB]]+NYM_P165179[[#This Row],[H]])/NYM_P165179[[#This Row],[IP]],0)</f>
        <v>1.0379638845442911</v>
      </c>
      <c r="BM52" s="600">
        <v>8</v>
      </c>
      <c r="BN52" s="601">
        <v>6</v>
      </c>
      <c r="BO52" s="600">
        <v>1</v>
      </c>
      <c r="BP52" s="604">
        <v>1</v>
      </c>
      <c r="BQ52" s="614">
        <v>1</v>
      </c>
    </row>
    <row r="53" spans="1:73">
      <c r="A53" s="651" t="s">
        <v>804</v>
      </c>
      <c r="B53" s="74" t="s">
        <v>206</v>
      </c>
      <c r="C53" s="116" t="s">
        <v>821</v>
      </c>
      <c r="D53" s="88">
        <f>IFERROR((NYM_P[[#This Row],[R]]*9)/NYM_P[[#This Row],[IP]],0)</f>
        <v>3.2511386838385423</v>
      </c>
      <c r="E53" s="28">
        <v>4</v>
      </c>
      <c r="F53" s="74">
        <v>2</v>
      </c>
      <c r="G53" s="28">
        <v>10</v>
      </c>
      <c r="H53" s="584">
        <v>63.67</v>
      </c>
      <c r="I53" s="28">
        <v>72</v>
      </c>
      <c r="J53" s="28">
        <v>23</v>
      </c>
      <c r="K53" s="28">
        <v>14</v>
      </c>
      <c r="L53" s="28">
        <v>72</v>
      </c>
      <c r="M53" s="28">
        <v>0</v>
      </c>
      <c r="N53" s="89">
        <f>IFERROR((NYM_P[[#This Row],[BB]]+NYM_P[[#This Row],[H]])/NYM_P[[#This Row],[IP]],0)</f>
        <v>1.3507146222710853</v>
      </c>
      <c r="O53" s="28">
        <v>6</v>
      </c>
      <c r="P53" s="90">
        <v>5</v>
      </c>
      <c r="Q53" s="28">
        <v>0</v>
      </c>
      <c r="R53" s="74">
        <v>0</v>
      </c>
      <c r="S53" s="615">
        <v>2</v>
      </c>
      <c r="Z53" s="651" t="s">
        <v>804</v>
      </c>
      <c r="AA53" s="74" t="s">
        <v>206</v>
      </c>
      <c r="AB53" s="71" t="s">
        <v>822</v>
      </c>
      <c r="AC53" s="88">
        <f>IFERROR((NYM_P165[[#This Row],[R]]*9)/NYM_P165[[#This Row],[IP]],0)</f>
        <v>5.2408681842244569</v>
      </c>
      <c r="AD53" s="28">
        <v>3</v>
      </c>
      <c r="AE53" s="74">
        <v>5</v>
      </c>
      <c r="AF53" s="28">
        <v>10</v>
      </c>
      <c r="AG53" s="584">
        <v>56.67</v>
      </c>
      <c r="AH53" s="28">
        <v>61</v>
      </c>
      <c r="AI53" s="28">
        <v>33</v>
      </c>
      <c r="AJ53" s="28">
        <v>14</v>
      </c>
      <c r="AK53" s="28">
        <v>54</v>
      </c>
      <c r="AL53" s="28">
        <v>0</v>
      </c>
      <c r="AM53" s="89">
        <f>IFERROR((NYM_P165[[#This Row],[BB]]+NYM_P165[[#This Row],[H]])/NYM_P165[[#This Row],[IP]],0)</f>
        <v>1.3234515616728428</v>
      </c>
      <c r="AN53" s="28">
        <v>7</v>
      </c>
      <c r="AO53" s="90">
        <v>3</v>
      </c>
      <c r="AP53" s="28">
        <v>0</v>
      </c>
      <c r="AQ53" s="74">
        <v>0</v>
      </c>
      <c r="AR53" s="615">
        <v>2</v>
      </c>
      <c r="AY53" s="651" t="s">
        <v>804</v>
      </c>
      <c r="AZ53" s="74" t="s">
        <v>206</v>
      </c>
      <c r="BA53" s="71" t="s">
        <v>822</v>
      </c>
      <c r="BB53" s="88">
        <f>IFERROR((NYM_P165179[[#This Row],[R]]*9)/NYM_P165179[[#This Row],[IP]],0)</f>
        <v>2.6007981285262143</v>
      </c>
      <c r="BC53" s="28">
        <v>5</v>
      </c>
      <c r="BD53" s="74">
        <v>3</v>
      </c>
      <c r="BE53" s="28">
        <v>10</v>
      </c>
      <c r="BF53" s="584">
        <v>72.67</v>
      </c>
      <c r="BG53" s="28">
        <v>50</v>
      </c>
      <c r="BH53" s="28">
        <v>21</v>
      </c>
      <c r="BI53" s="28">
        <v>12</v>
      </c>
      <c r="BJ53" s="28">
        <v>78</v>
      </c>
      <c r="BK53" s="28">
        <v>0</v>
      </c>
      <c r="BL53" s="89">
        <f>IFERROR((NYM_P165179[[#This Row],[BB]]+NYM_P165179[[#This Row],[H]])/NYM_P165179[[#This Row],[IP]],0)</f>
        <v>0.85317187284986928</v>
      </c>
      <c r="BM53" s="28">
        <v>8</v>
      </c>
      <c r="BN53" s="90">
        <v>5</v>
      </c>
      <c r="BO53" s="28">
        <v>2</v>
      </c>
      <c r="BP53" s="74">
        <v>2</v>
      </c>
      <c r="BQ53" s="615">
        <v>2</v>
      </c>
    </row>
    <row r="54" spans="1:73">
      <c r="A54" s="651" t="s">
        <v>804</v>
      </c>
      <c r="B54" s="74" t="s">
        <v>206</v>
      </c>
      <c r="C54" s="71" t="s">
        <v>822</v>
      </c>
      <c r="D54" s="88">
        <f>IFERROR((NYM_P[[#This Row],[R]]*9)/NYM_P[[#This Row],[IP]],0)</f>
        <v>3.7142857142857144</v>
      </c>
      <c r="E54" s="28">
        <v>5</v>
      </c>
      <c r="F54" s="74">
        <v>2</v>
      </c>
      <c r="G54" s="28">
        <v>10</v>
      </c>
      <c r="H54" s="584">
        <v>63</v>
      </c>
      <c r="I54" s="28">
        <v>59</v>
      </c>
      <c r="J54" s="28">
        <v>26</v>
      </c>
      <c r="K54" s="28">
        <v>12</v>
      </c>
      <c r="L54" s="28">
        <v>67</v>
      </c>
      <c r="M54" s="28">
        <v>0</v>
      </c>
      <c r="N54" s="89">
        <f>IFERROR((NYM_P[[#This Row],[BB]]+NYM_P[[#This Row],[H]])/NYM_P[[#This Row],[IP]],0)</f>
        <v>1.126984126984127</v>
      </c>
      <c r="O54" s="28">
        <v>4</v>
      </c>
      <c r="P54" s="90">
        <v>3</v>
      </c>
      <c r="Q54" s="28">
        <v>0</v>
      </c>
      <c r="R54" s="74">
        <v>0</v>
      </c>
      <c r="S54" s="615">
        <v>3</v>
      </c>
      <c r="Z54" s="651" t="s">
        <v>804</v>
      </c>
      <c r="AA54" s="74" t="s">
        <v>365</v>
      </c>
      <c r="AB54" s="116" t="s">
        <v>823</v>
      </c>
      <c r="AC54" s="88">
        <f>IFERROR((NYM_P165[[#This Row],[R]]*9)/NYM_P165[[#This Row],[IP]],0)</f>
        <v>3.7707390648567118</v>
      </c>
      <c r="AD54" s="28">
        <v>6</v>
      </c>
      <c r="AE54" s="74">
        <v>3</v>
      </c>
      <c r="AF54" s="28">
        <v>10</v>
      </c>
      <c r="AG54" s="584">
        <v>59.67</v>
      </c>
      <c r="AH54" s="28">
        <v>52</v>
      </c>
      <c r="AI54" s="28">
        <v>25</v>
      </c>
      <c r="AJ54" s="28">
        <v>20</v>
      </c>
      <c r="AK54" s="28">
        <v>51</v>
      </c>
      <c r="AL54" s="28">
        <v>0</v>
      </c>
      <c r="AM54" s="89">
        <f>IFERROR((NYM_P165[[#This Row],[BB]]+NYM_P165[[#This Row],[H]])/NYM_P165[[#This Row],[IP]],0)</f>
        <v>1.2066365007541477</v>
      </c>
      <c r="AN54" s="28">
        <v>5</v>
      </c>
      <c r="AO54" s="90">
        <v>4</v>
      </c>
      <c r="AP54" s="28">
        <v>1</v>
      </c>
      <c r="AQ54" s="74">
        <v>1</v>
      </c>
      <c r="AR54" s="615">
        <v>3</v>
      </c>
      <c r="AY54" s="651" t="s">
        <v>804</v>
      </c>
      <c r="AZ54" s="74" t="s">
        <v>206</v>
      </c>
      <c r="BA54" s="71" t="s">
        <v>824</v>
      </c>
      <c r="BB54" s="88">
        <f>IFERROR((NYM_P165179[[#This Row],[R]]*9)/NYM_P165179[[#This Row],[IP]],0)</f>
        <v>6.709090909090909</v>
      </c>
      <c r="BC54" s="28">
        <v>5</v>
      </c>
      <c r="BD54" s="74">
        <v>2</v>
      </c>
      <c r="BE54" s="28">
        <v>10</v>
      </c>
      <c r="BF54" s="584">
        <v>55</v>
      </c>
      <c r="BG54" s="28">
        <v>65</v>
      </c>
      <c r="BH54" s="28">
        <v>41</v>
      </c>
      <c r="BI54" s="28">
        <v>31</v>
      </c>
      <c r="BJ54" s="28">
        <v>41</v>
      </c>
      <c r="BK54" s="28">
        <v>0</v>
      </c>
      <c r="BL54" s="89">
        <f>IFERROR((NYM_P165179[[#This Row],[BB]]+NYM_P165179[[#This Row],[H]])/NYM_P165179[[#This Row],[IP]],0)</f>
        <v>1.7454545454545454</v>
      </c>
      <c r="BM54" s="28">
        <v>4</v>
      </c>
      <c r="BN54" s="90">
        <v>1</v>
      </c>
      <c r="BO54" s="28">
        <v>0</v>
      </c>
      <c r="BP54" s="74">
        <v>0</v>
      </c>
      <c r="BQ54" s="615">
        <v>3</v>
      </c>
    </row>
    <row r="55" spans="1:73">
      <c r="A55" s="651" t="s">
        <v>804</v>
      </c>
      <c r="B55" s="74" t="s">
        <v>206</v>
      </c>
      <c r="C55" s="116" t="s">
        <v>823</v>
      </c>
      <c r="D55" s="88">
        <f>IFERROR((NYM_P[[#This Row],[R]]*9)/NYM_P[[#This Row],[IP]],0)</f>
        <v>3.5689655172413794</v>
      </c>
      <c r="E55" s="28">
        <v>6</v>
      </c>
      <c r="F55" s="74">
        <v>1</v>
      </c>
      <c r="G55" s="28">
        <v>10</v>
      </c>
      <c r="H55" s="584">
        <v>58</v>
      </c>
      <c r="I55" s="28">
        <v>60</v>
      </c>
      <c r="J55" s="28">
        <v>23</v>
      </c>
      <c r="K55" s="28">
        <v>31</v>
      </c>
      <c r="L55" s="28">
        <v>77</v>
      </c>
      <c r="M55" s="28">
        <v>0</v>
      </c>
      <c r="N55" s="89">
        <f>IFERROR((NYM_P[[#This Row],[BB]]+NYM_P[[#This Row],[H]])/NYM_P[[#This Row],[IP]],0)</f>
        <v>1.5689655172413792</v>
      </c>
      <c r="O55" s="28">
        <v>5</v>
      </c>
      <c r="P55" s="90">
        <v>2</v>
      </c>
      <c r="Q55" s="28">
        <v>0</v>
      </c>
      <c r="R55" s="74">
        <v>0</v>
      </c>
      <c r="S55" s="615">
        <v>4</v>
      </c>
      <c r="Z55" s="651" t="s">
        <v>804</v>
      </c>
      <c r="AA55" s="74" t="s">
        <v>206</v>
      </c>
      <c r="AB55" s="116" t="s">
        <v>825</v>
      </c>
      <c r="AC55" s="88">
        <f>IFERROR((NYM_P165[[#This Row],[R]]*9)/NYM_P165[[#This Row],[IP]],0)</f>
        <v>4.937424995714041</v>
      </c>
      <c r="AD55" s="28">
        <v>4</v>
      </c>
      <c r="AE55" s="74">
        <v>5</v>
      </c>
      <c r="AF55" s="28">
        <v>10</v>
      </c>
      <c r="AG55" s="584">
        <v>58.33</v>
      </c>
      <c r="AH55" s="28">
        <v>51</v>
      </c>
      <c r="AI55" s="28">
        <v>32</v>
      </c>
      <c r="AJ55" s="28">
        <v>26</v>
      </c>
      <c r="AK55" s="28">
        <v>42</v>
      </c>
      <c r="AL55" s="28">
        <v>0</v>
      </c>
      <c r="AM55" s="89">
        <f>IFERROR((NYM_P165[[#This Row],[BB]]+NYM_P165[[#This Row],[H]])/NYM_P165[[#This Row],[IP]],0)</f>
        <v>1.3200754328818789</v>
      </c>
      <c r="AN55" s="28">
        <v>6</v>
      </c>
      <c r="AO55" s="90">
        <v>2</v>
      </c>
      <c r="AP55" s="28">
        <v>1</v>
      </c>
      <c r="AQ55" s="74">
        <v>1</v>
      </c>
      <c r="AR55" s="615">
        <v>4</v>
      </c>
      <c r="AY55" s="651" t="s">
        <v>804</v>
      </c>
      <c r="AZ55" s="74" t="s">
        <v>206</v>
      </c>
      <c r="BA55" s="71" t="s">
        <v>825</v>
      </c>
      <c r="BB55" s="88">
        <f>IFERROR((NYM_P165179[[#This Row],[R]]*9)/NYM_P165179[[#This Row],[IP]],0)</f>
        <v>4.8378706433154148</v>
      </c>
      <c r="BC55" s="28">
        <v>3</v>
      </c>
      <c r="BD55" s="74">
        <v>4</v>
      </c>
      <c r="BE55" s="28">
        <v>10</v>
      </c>
      <c r="BF55" s="584">
        <v>57.67</v>
      </c>
      <c r="BG55" s="28">
        <v>61</v>
      </c>
      <c r="BH55" s="28">
        <v>31</v>
      </c>
      <c r="BI55" s="28">
        <v>30</v>
      </c>
      <c r="BJ55" s="28">
        <v>48</v>
      </c>
      <c r="BK55" s="28">
        <v>0</v>
      </c>
      <c r="BL55" s="89">
        <f>IFERROR((NYM_P165179[[#This Row],[BB]]+NYM_P165179[[#This Row],[H]])/NYM_P165179[[#This Row],[IP]],0)</f>
        <v>1.5779434714756373</v>
      </c>
      <c r="BM55" s="28">
        <v>5</v>
      </c>
      <c r="BN55" s="90">
        <v>0</v>
      </c>
      <c r="BO55" s="28">
        <v>0</v>
      </c>
      <c r="BP55" s="74">
        <v>0</v>
      </c>
      <c r="BQ55" s="615">
        <v>4</v>
      </c>
    </row>
    <row r="56" spans="1:73">
      <c r="A56" s="651" t="s">
        <v>804</v>
      </c>
      <c r="B56" s="74" t="s">
        <v>212</v>
      </c>
      <c r="C56" s="71" t="s">
        <v>743</v>
      </c>
      <c r="D56" s="88">
        <f>IFERROR((NYM_P[[#This Row],[R]]*9)/NYM_P[[#This Row],[IP]],0)</f>
        <v>5.5214723926380369</v>
      </c>
      <c r="E56" s="28">
        <v>2</v>
      </c>
      <c r="F56" s="74">
        <v>0</v>
      </c>
      <c r="G56" s="28">
        <v>9</v>
      </c>
      <c r="H56" s="584">
        <v>14.67</v>
      </c>
      <c r="I56" s="28">
        <v>16</v>
      </c>
      <c r="J56" s="28">
        <v>9</v>
      </c>
      <c r="K56" s="28">
        <v>7</v>
      </c>
      <c r="L56" s="28">
        <v>11</v>
      </c>
      <c r="M56" s="28">
        <v>0</v>
      </c>
      <c r="N56" s="89">
        <f>IFERROR((NYM_P[[#This Row],[BB]]+NYM_P[[#This Row],[H]])/NYM_P[[#This Row],[IP]],0)</f>
        <v>1.5678254942058623</v>
      </c>
      <c r="O56" s="28">
        <v>0</v>
      </c>
      <c r="P56" s="90">
        <v>0</v>
      </c>
      <c r="Q56" s="28">
        <v>0</v>
      </c>
      <c r="R56" s="74">
        <v>0</v>
      </c>
      <c r="S56" s="615">
        <v>5</v>
      </c>
      <c r="Z56" s="651" t="s">
        <v>804</v>
      </c>
      <c r="AA56" s="74" t="s">
        <v>212</v>
      </c>
      <c r="AB56" s="71" t="s">
        <v>829</v>
      </c>
      <c r="AC56" s="88">
        <f>IFERROR((NYM_P165[[#This Row],[R]]*9)/NYM_P165[[#This Row],[IP]],0)</f>
        <v>3.8571428571428572</v>
      </c>
      <c r="AD56" s="28">
        <v>1</v>
      </c>
      <c r="AE56" s="74">
        <v>0</v>
      </c>
      <c r="AF56" s="28">
        <v>12</v>
      </c>
      <c r="AG56" s="584">
        <v>21</v>
      </c>
      <c r="AH56" s="28">
        <v>21</v>
      </c>
      <c r="AI56" s="28">
        <v>9</v>
      </c>
      <c r="AJ56" s="28">
        <v>4</v>
      </c>
      <c r="AK56" s="28">
        <v>18</v>
      </c>
      <c r="AL56" s="28">
        <v>0</v>
      </c>
      <c r="AM56" s="89">
        <f>IFERROR((NYM_P165[[#This Row],[BB]]+NYM_P165[[#This Row],[H]])/NYM_P165[[#This Row],[IP]],0)</f>
        <v>1.1904761904761905</v>
      </c>
      <c r="AN56" s="28">
        <v>0</v>
      </c>
      <c r="AO56" s="90">
        <v>0</v>
      </c>
      <c r="AP56" s="28">
        <v>0</v>
      </c>
      <c r="AQ56" s="74">
        <v>0</v>
      </c>
      <c r="AR56" s="615">
        <v>5</v>
      </c>
      <c r="AY56" s="651" t="s">
        <v>804</v>
      </c>
      <c r="AZ56" s="74" t="s">
        <v>212</v>
      </c>
      <c r="BA56" s="71" t="s">
        <v>829</v>
      </c>
      <c r="BB56" s="88">
        <f>IFERROR((NYM_P165179[[#This Row],[R]]*9)/NYM_P165179[[#This Row],[IP]],0)</f>
        <v>5.6603773584905657</v>
      </c>
      <c r="BC56" s="28">
        <v>1</v>
      </c>
      <c r="BD56" s="74">
        <v>1</v>
      </c>
      <c r="BE56" s="28">
        <v>18</v>
      </c>
      <c r="BF56" s="584">
        <v>20.67</v>
      </c>
      <c r="BG56" s="28">
        <v>20</v>
      </c>
      <c r="BH56" s="28">
        <v>13</v>
      </c>
      <c r="BI56" s="28">
        <v>12</v>
      </c>
      <c r="BJ56" s="28">
        <v>11</v>
      </c>
      <c r="BK56" s="28">
        <v>1</v>
      </c>
      <c r="BL56" s="89">
        <f>IFERROR((NYM_P165179[[#This Row],[BB]]+NYM_P165179[[#This Row],[H]])/NYM_P165179[[#This Row],[IP]],0)</f>
        <v>1.5481373971940009</v>
      </c>
      <c r="BM56" s="28">
        <v>0</v>
      </c>
      <c r="BN56" s="90">
        <v>0</v>
      </c>
      <c r="BO56" s="28">
        <v>0</v>
      </c>
      <c r="BP56" s="74">
        <v>0</v>
      </c>
      <c r="BQ56" s="615">
        <v>5</v>
      </c>
    </row>
    <row r="57" spans="1:73">
      <c r="A57" s="651" t="s">
        <v>804</v>
      </c>
      <c r="B57" s="74" t="s">
        <v>212</v>
      </c>
      <c r="C57" s="116" t="s">
        <v>827</v>
      </c>
      <c r="D57" s="88">
        <f>IFERROR((NYM_P[[#This Row],[R]]*9)/NYM_P[[#This Row],[IP]],0)</f>
        <v>7.8137332280978686</v>
      </c>
      <c r="E57" s="28">
        <v>0</v>
      </c>
      <c r="F57" s="74">
        <v>0</v>
      </c>
      <c r="G57" s="28">
        <v>10</v>
      </c>
      <c r="H57" s="584">
        <v>12.67</v>
      </c>
      <c r="I57" s="28">
        <v>20</v>
      </c>
      <c r="J57" s="28">
        <v>11</v>
      </c>
      <c r="K57" s="28">
        <v>6</v>
      </c>
      <c r="L57" s="28">
        <v>14</v>
      </c>
      <c r="M57" s="28">
        <v>0</v>
      </c>
      <c r="N57" s="89">
        <f>IFERROR((NYM_P[[#This Row],[BB]]+NYM_P[[#This Row],[H]])/NYM_P[[#This Row],[IP]],0)</f>
        <v>2.0520915548539858</v>
      </c>
      <c r="O57" s="28">
        <v>0</v>
      </c>
      <c r="P57" s="90">
        <v>0</v>
      </c>
      <c r="Q57" s="28">
        <v>0</v>
      </c>
      <c r="R57" s="74">
        <v>0</v>
      </c>
      <c r="S57" s="615">
        <v>6</v>
      </c>
      <c r="Z57" s="651" t="s">
        <v>804</v>
      </c>
      <c r="AA57" s="74" t="s">
        <v>212</v>
      </c>
      <c r="AB57" s="116" t="s">
        <v>827</v>
      </c>
      <c r="AC57" s="88">
        <f>IFERROR((NYM_P165[[#This Row],[R]]*9)/NYM_P165[[#This Row],[IP]],0)</f>
        <v>5.78468130690948</v>
      </c>
      <c r="AD57" s="28">
        <v>0</v>
      </c>
      <c r="AE57" s="74">
        <v>0</v>
      </c>
      <c r="AF57" s="28">
        <v>9</v>
      </c>
      <c r="AG57" s="584">
        <v>18.670000000000002</v>
      </c>
      <c r="AH57" s="28">
        <v>23</v>
      </c>
      <c r="AI57" s="28">
        <v>12</v>
      </c>
      <c r="AJ57" s="28">
        <v>14</v>
      </c>
      <c r="AK57" s="28">
        <v>22</v>
      </c>
      <c r="AL57" s="28">
        <v>0</v>
      </c>
      <c r="AM57" s="89">
        <f>IFERROR((NYM_P165[[#This Row],[BB]]+NYM_P165[[#This Row],[H]])/NYM_P165[[#This Row],[IP]],0)</f>
        <v>1.9817889662560255</v>
      </c>
      <c r="AN57" s="28">
        <v>0</v>
      </c>
      <c r="AO57" s="90">
        <v>0</v>
      </c>
      <c r="AP57" s="28">
        <v>0</v>
      </c>
      <c r="AQ57" s="74">
        <v>0</v>
      </c>
      <c r="AR57" s="615">
        <v>6</v>
      </c>
      <c r="AY57" s="651" t="s">
        <v>804</v>
      </c>
      <c r="AZ57" s="74" t="s">
        <v>215</v>
      </c>
      <c r="BA57" s="116" t="s">
        <v>827</v>
      </c>
      <c r="BB57" s="88">
        <f>IFERROR((NYM_P165179[[#This Row],[R]]*9)/NYM_P165179[[#This Row],[IP]],0)</f>
        <v>2.25</v>
      </c>
      <c r="BC57" s="28">
        <v>0</v>
      </c>
      <c r="BD57" s="74">
        <v>0</v>
      </c>
      <c r="BE57" s="28">
        <v>4</v>
      </c>
      <c r="BF57" s="584">
        <v>4</v>
      </c>
      <c r="BG57" s="28">
        <v>4</v>
      </c>
      <c r="BH57" s="28">
        <v>1</v>
      </c>
      <c r="BI57" s="28">
        <v>2</v>
      </c>
      <c r="BJ57" s="28">
        <v>2</v>
      </c>
      <c r="BK57" s="28">
        <v>0</v>
      </c>
      <c r="BL57" s="89">
        <f>IFERROR((NYM_P165179[[#This Row],[BB]]+NYM_P165179[[#This Row],[H]])/NYM_P165179[[#This Row],[IP]],0)</f>
        <v>1.5</v>
      </c>
      <c r="BM57" s="28">
        <v>0</v>
      </c>
      <c r="BN57" s="90">
        <v>0</v>
      </c>
      <c r="BO57" s="28">
        <v>0</v>
      </c>
      <c r="BP57" s="74">
        <v>0</v>
      </c>
      <c r="BQ57" s="615">
        <v>6</v>
      </c>
    </row>
    <row r="58" spans="1:73">
      <c r="A58" s="651" t="s">
        <v>804</v>
      </c>
      <c r="B58" s="74" t="s">
        <v>212</v>
      </c>
      <c r="C58" s="116" t="s">
        <v>826</v>
      </c>
      <c r="D58" s="88">
        <f>IFERROR((NYM_P[[#This Row],[R]]*9)/NYM_P[[#This Row],[IP]],0)</f>
        <v>3.9717563989408649</v>
      </c>
      <c r="E58" s="28">
        <v>2</v>
      </c>
      <c r="F58" s="74">
        <v>0</v>
      </c>
      <c r="G58" s="28">
        <v>9</v>
      </c>
      <c r="H58" s="584">
        <v>11.33</v>
      </c>
      <c r="I58" s="28">
        <v>14</v>
      </c>
      <c r="J58" s="28">
        <v>5</v>
      </c>
      <c r="K58" s="28">
        <v>4</v>
      </c>
      <c r="L58" s="28">
        <v>10</v>
      </c>
      <c r="M58" s="28">
        <v>0</v>
      </c>
      <c r="N58" s="89">
        <f>IFERROR((NYM_P[[#This Row],[BB]]+NYM_P[[#This Row],[H]])/NYM_P[[#This Row],[IP]],0)</f>
        <v>1.588702559576346</v>
      </c>
      <c r="O58" s="28">
        <v>0</v>
      </c>
      <c r="P58" s="90">
        <v>0</v>
      </c>
      <c r="Q58" s="28">
        <v>0</v>
      </c>
      <c r="R58" s="74">
        <v>0</v>
      </c>
      <c r="S58" s="615">
        <v>7</v>
      </c>
      <c r="Z58" s="651" t="s">
        <v>804</v>
      </c>
      <c r="AA58" s="74" t="s">
        <v>212</v>
      </c>
      <c r="AB58" s="116" t="s">
        <v>826</v>
      </c>
      <c r="AC58" s="88">
        <f>IFERROR((NYM_P165[[#This Row],[R]]*9)/NYM_P165[[#This Row],[IP]],0)</f>
        <v>0.67516879219804948</v>
      </c>
      <c r="AD58" s="28">
        <v>0</v>
      </c>
      <c r="AE58" s="74">
        <v>0</v>
      </c>
      <c r="AF58" s="28">
        <v>7</v>
      </c>
      <c r="AG58" s="584">
        <v>13.33</v>
      </c>
      <c r="AH58" s="28">
        <v>9</v>
      </c>
      <c r="AI58" s="28">
        <v>1</v>
      </c>
      <c r="AJ58" s="28">
        <v>6</v>
      </c>
      <c r="AK58" s="28">
        <v>3</v>
      </c>
      <c r="AL58" s="28">
        <v>0</v>
      </c>
      <c r="AM58" s="89">
        <f>IFERROR((NYM_P165[[#This Row],[BB]]+NYM_P165[[#This Row],[H]])/NYM_P165[[#This Row],[IP]],0)</f>
        <v>1.1252813203300824</v>
      </c>
      <c r="AN58" s="28">
        <v>0</v>
      </c>
      <c r="AO58" s="90">
        <v>0</v>
      </c>
      <c r="AP58" s="28">
        <v>0</v>
      </c>
      <c r="AQ58" s="74">
        <v>0</v>
      </c>
      <c r="AR58" s="615">
        <v>7</v>
      </c>
      <c r="AY58" s="651" t="s">
        <v>804</v>
      </c>
      <c r="AZ58" s="74" t="s">
        <v>212</v>
      </c>
      <c r="BA58" s="71" t="s">
        <v>826</v>
      </c>
      <c r="BB58" s="88">
        <f>IFERROR((NYM_P165179[[#This Row],[R]]*9)/NYM_P165179[[#This Row],[IP]],0)</f>
        <v>6.6135946111451327</v>
      </c>
      <c r="BC58" s="28">
        <v>2</v>
      </c>
      <c r="BD58" s="74">
        <v>1</v>
      </c>
      <c r="BE58" s="28">
        <v>11</v>
      </c>
      <c r="BF58" s="584">
        <v>16.329999999999998</v>
      </c>
      <c r="BG58" s="28">
        <v>25</v>
      </c>
      <c r="BH58" s="28">
        <v>12</v>
      </c>
      <c r="BI58" s="28">
        <v>7</v>
      </c>
      <c r="BJ58" s="28">
        <v>15</v>
      </c>
      <c r="BK58" s="28">
        <v>0</v>
      </c>
      <c r="BL58" s="89">
        <f>IFERROR((NYM_P165179[[#This Row],[BB]]+NYM_P165179[[#This Row],[H]])/NYM_P165179[[#This Row],[IP]],0)</f>
        <v>1.9595835884874466</v>
      </c>
      <c r="BM58" s="28">
        <v>0</v>
      </c>
      <c r="BN58" s="90">
        <v>0</v>
      </c>
      <c r="BO58" s="28">
        <v>0</v>
      </c>
      <c r="BP58" s="74">
        <v>0</v>
      </c>
      <c r="BQ58" s="615">
        <v>7</v>
      </c>
    </row>
    <row r="59" spans="1:73">
      <c r="A59" s="651" t="s">
        <v>804</v>
      </c>
      <c r="B59" s="74" t="s">
        <v>212</v>
      </c>
      <c r="C59" s="71" t="s">
        <v>828</v>
      </c>
      <c r="D59" s="88">
        <f>IFERROR((NYM_P[[#This Row],[R]]*9)/NYM_P[[#This Row],[IP]],0)</f>
        <v>1.3062409288824381</v>
      </c>
      <c r="E59" s="28">
        <v>3</v>
      </c>
      <c r="F59" s="74">
        <v>0</v>
      </c>
      <c r="G59" s="28">
        <v>16</v>
      </c>
      <c r="H59" s="584">
        <v>20.67</v>
      </c>
      <c r="I59" s="28">
        <v>13</v>
      </c>
      <c r="J59" s="28">
        <v>3</v>
      </c>
      <c r="K59" s="28">
        <v>5</v>
      </c>
      <c r="L59" s="28">
        <v>18</v>
      </c>
      <c r="M59" s="28">
        <v>0</v>
      </c>
      <c r="N59" s="89">
        <f>IFERROR((NYM_P[[#This Row],[BB]]+NYM_P[[#This Row],[H]])/NYM_P[[#This Row],[IP]],0)</f>
        <v>0.8708272859216255</v>
      </c>
      <c r="O59" s="28">
        <v>0</v>
      </c>
      <c r="P59" s="90">
        <v>0</v>
      </c>
      <c r="Q59" s="28">
        <v>0</v>
      </c>
      <c r="R59" s="74">
        <v>0</v>
      </c>
      <c r="S59" s="615">
        <v>8</v>
      </c>
      <c r="Z59" s="651" t="s">
        <v>804</v>
      </c>
      <c r="AA59" s="74" t="s">
        <v>212</v>
      </c>
      <c r="AB59" s="71" t="s">
        <v>828</v>
      </c>
      <c r="AC59" s="88">
        <f>IFERROR((NYM_P165[[#This Row],[R]]*9)/NYM_P165[[#This Row],[IP]],0)</f>
        <v>5.7126370455856899</v>
      </c>
      <c r="AD59" s="28">
        <v>1</v>
      </c>
      <c r="AE59" s="74">
        <v>0</v>
      </c>
      <c r="AF59" s="28">
        <v>14</v>
      </c>
      <c r="AG59" s="584">
        <v>17.329999999999998</v>
      </c>
      <c r="AH59" s="28">
        <v>19</v>
      </c>
      <c r="AI59" s="28">
        <v>11</v>
      </c>
      <c r="AJ59" s="28">
        <v>5</v>
      </c>
      <c r="AK59" s="28">
        <v>21</v>
      </c>
      <c r="AL59" s="28">
        <v>0</v>
      </c>
      <c r="AM59" s="89">
        <f>IFERROR((NYM_P165[[#This Row],[BB]]+NYM_P165[[#This Row],[H]])/NYM_P165[[#This Row],[IP]],0)</f>
        <v>1.3848817080207734</v>
      </c>
      <c r="AN59" s="28">
        <v>0</v>
      </c>
      <c r="AO59" s="90">
        <v>0</v>
      </c>
      <c r="AP59" s="28">
        <v>0</v>
      </c>
      <c r="AQ59" s="74">
        <v>0</v>
      </c>
      <c r="AR59" s="615">
        <v>8</v>
      </c>
      <c r="AY59" s="651" t="s">
        <v>804</v>
      </c>
      <c r="AZ59" s="74" t="s">
        <v>212</v>
      </c>
      <c r="BA59" s="71" t="s">
        <v>828</v>
      </c>
      <c r="BB59" s="88">
        <f>IFERROR((NYM_P165179[[#This Row],[R]]*9)/NYM_P165179[[#This Row],[IP]],0)</f>
        <v>6.7516879219804951</v>
      </c>
      <c r="BC59" s="28">
        <v>2</v>
      </c>
      <c r="BD59" s="74">
        <v>0</v>
      </c>
      <c r="BE59" s="28">
        <v>12</v>
      </c>
      <c r="BF59" s="584">
        <v>13.33</v>
      </c>
      <c r="BG59" s="28">
        <v>17</v>
      </c>
      <c r="BH59" s="28">
        <v>10</v>
      </c>
      <c r="BI59" s="28">
        <v>8</v>
      </c>
      <c r="BJ59" s="28">
        <v>9</v>
      </c>
      <c r="BK59" s="28">
        <v>1</v>
      </c>
      <c r="BL59" s="89">
        <f>IFERROR((NYM_P165179[[#This Row],[BB]]+NYM_P165179[[#This Row],[H]])/NYM_P165179[[#This Row],[IP]],0)</f>
        <v>1.8754688672168043</v>
      </c>
      <c r="BM59" s="28">
        <v>0</v>
      </c>
      <c r="BN59" s="90">
        <v>0</v>
      </c>
      <c r="BO59" s="28">
        <v>0</v>
      </c>
      <c r="BP59" s="74">
        <v>0</v>
      </c>
      <c r="BQ59" s="615">
        <v>8</v>
      </c>
    </row>
    <row r="60" spans="1:73">
      <c r="A60" s="651" t="s">
        <v>804</v>
      </c>
      <c r="B60" s="74" t="s">
        <v>212</v>
      </c>
      <c r="C60" s="71" t="s">
        <v>830</v>
      </c>
      <c r="D60" s="88">
        <f>IFERROR((NYM_P[[#This Row],[R]]*9)/NYM_P[[#This Row],[IP]],0)</f>
        <v>1.8623900672529747</v>
      </c>
      <c r="E60" s="28">
        <v>2</v>
      </c>
      <c r="F60" s="74">
        <v>1</v>
      </c>
      <c r="G60" s="28">
        <v>19</v>
      </c>
      <c r="H60" s="584">
        <v>19.329999999999998</v>
      </c>
      <c r="I60" s="28">
        <v>8</v>
      </c>
      <c r="J60" s="28">
        <v>4</v>
      </c>
      <c r="K60" s="28">
        <v>8</v>
      </c>
      <c r="L60" s="28">
        <v>16</v>
      </c>
      <c r="M60" s="28">
        <v>0</v>
      </c>
      <c r="N60" s="89">
        <f>IFERROR((NYM_P[[#This Row],[BB]]+NYM_P[[#This Row],[H]])/NYM_P[[#This Row],[IP]],0)</f>
        <v>0.82772891877909993</v>
      </c>
      <c r="O60" s="28">
        <v>0</v>
      </c>
      <c r="P60" s="90">
        <v>0</v>
      </c>
      <c r="Q60" s="28">
        <v>0</v>
      </c>
      <c r="R60" s="74">
        <v>0</v>
      </c>
      <c r="S60" s="615">
        <v>9</v>
      </c>
      <c r="Z60" s="651" t="s">
        <v>804</v>
      </c>
      <c r="AA60" s="74" t="s">
        <v>212</v>
      </c>
      <c r="AB60" s="71" t="s">
        <v>830</v>
      </c>
      <c r="AC60" s="88">
        <f>IFERROR((NYM_P165[[#This Row],[R]]*9)/NYM_P165[[#This Row],[IP]],0)</f>
        <v>5.283757338551859</v>
      </c>
      <c r="AD60" s="28">
        <v>2</v>
      </c>
      <c r="AE60" s="74">
        <v>1</v>
      </c>
      <c r="AF60" s="28">
        <v>12</v>
      </c>
      <c r="AG60" s="584">
        <v>15.33</v>
      </c>
      <c r="AH60" s="28">
        <v>18</v>
      </c>
      <c r="AI60" s="28">
        <v>9</v>
      </c>
      <c r="AJ60" s="28">
        <v>10</v>
      </c>
      <c r="AK60" s="28">
        <v>10</v>
      </c>
      <c r="AL60" s="28">
        <v>0</v>
      </c>
      <c r="AM60" s="89">
        <f>IFERROR((NYM_P165[[#This Row],[BB]]+NYM_P165[[#This Row],[H]])/NYM_P165[[#This Row],[IP]],0)</f>
        <v>1.8264840182648401</v>
      </c>
      <c r="AN60" s="28">
        <v>0</v>
      </c>
      <c r="AO60" s="90">
        <v>0</v>
      </c>
      <c r="AP60" s="28">
        <v>0</v>
      </c>
      <c r="AQ60" s="74">
        <v>0</v>
      </c>
      <c r="AR60" s="615">
        <v>9</v>
      </c>
      <c r="AY60" s="651" t="s">
        <v>804</v>
      </c>
      <c r="AZ60" s="74" t="s">
        <v>212</v>
      </c>
      <c r="BA60" s="71" t="s">
        <v>830</v>
      </c>
      <c r="BB60" s="88">
        <f>IFERROR((NYM_P165179[[#This Row],[R]]*9)/NYM_P165179[[#This Row],[IP]],0)</f>
        <v>2.4542267238021034</v>
      </c>
      <c r="BC60" s="28">
        <v>0</v>
      </c>
      <c r="BD60" s="74">
        <v>0</v>
      </c>
      <c r="BE60" s="28">
        <v>25</v>
      </c>
      <c r="BF60" s="584">
        <v>25.67</v>
      </c>
      <c r="BG60" s="28">
        <v>23</v>
      </c>
      <c r="BH60" s="28">
        <v>7</v>
      </c>
      <c r="BI60" s="28">
        <v>7</v>
      </c>
      <c r="BJ60" s="28">
        <v>23</v>
      </c>
      <c r="BK60" s="28">
        <v>0</v>
      </c>
      <c r="BL60" s="89">
        <f>IFERROR((NYM_P165179[[#This Row],[BB]]+NYM_P165179[[#This Row],[H]])/NYM_P165179[[#This Row],[IP]],0)</f>
        <v>1.168679392286716</v>
      </c>
      <c r="BM60" s="28">
        <v>0</v>
      </c>
      <c r="BN60" s="90">
        <v>0</v>
      </c>
      <c r="BO60" s="28">
        <v>0</v>
      </c>
      <c r="BP60" s="74">
        <v>0</v>
      </c>
      <c r="BQ60" s="615">
        <v>9</v>
      </c>
    </row>
    <row r="61" spans="1:73" ht="17" thickBot="1">
      <c r="A61" s="651" t="s">
        <v>804</v>
      </c>
      <c r="B61" s="104" t="s">
        <v>212</v>
      </c>
      <c r="C61" s="345" t="s">
        <v>831</v>
      </c>
      <c r="D61" s="88">
        <f>IFERROR((NYM_P[[#This Row],[R]]*9)/NYM_P[[#This Row],[IP]],0)</f>
        <v>2.3622047244094486</v>
      </c>
      <c r="E61" s="28">
        <v>1</v>
      </c>
      <c r="F61" s="74">
        <v>0</v>
      </c>
      <c r="G61" s="28">
        <v>23</v>
      </c>
      <c r="H61" s="584">
        <v>26.67</v>
      </c>
      <c r="I61" s="28">
        <v>16</v>
      </c>
      <c r="J61" s="28">
        <v>7</v>
      </c>
      <c r="K61" s="28">
        <v>11</v>
      </c>
      <c r="L61" s="28">
        <v>44</v>
      </c>
      <c r="M61" s="76">
        <v>12</v>
      </c>
      <c r="N61" s="89">
        <f>IFERROR((NYM_P[[#This Row],[BB]]+NYM_P[[#This Row],[H]])/NYM_P[[#This Row],[IP]],0)</f>
        <v>1.0123734533183351</v>
      </c>
      <c r="O61" s="28">
        <v>0</v>
      </c>
      <c r="P61" s="90">
        <v>0</v>
      </c>
      <c r="Q61" s="28">
        <v>0</v>
      </c>
      <c r="R61" s="74">
        <v>0</v>
      </c>
      <c r="S61" s="615">
        <v>10</v>
      </c>
      <c r="Z61" s="651" t="s">
        <v>804</v>
      </c>
      <c r="AA61" s="74" t="s">
        <v>212</v>
      </c>
      <c r="AB61" s="71" t="s">
        <v>831</v>
      </c>
      <c r="AC61" s="88">
        <f>IFERROR((NYM_P165[[#This Row],[R]]*9)/NYM_P165[[#This Row],[IP]],0)</f>
        <v>4.0747028862478771</v>
      </c>
      <c r="AD61" s="28">
        <v>1</v>
      </c>
      <c r="AE61" s="74">
        <v>1</v>
      </c>
      <c r="AF61" s="28">
        <v>18</v>
      </c>
      <c r="AG61" s="584">
        <v>17.670000000000002</v>
      </c>
      <c r="AH61" s="28">
        <v>18</v>
      </c>
      <c r="AI61" s="28">
        <v>8</v>
      </c>
      <c r="AJ61" s="28">
        <v>10</v>
      </c>
      <c r="AK61" s="28">
        <v>29</v>
      </c>
      <c r="AL61" s="28">
        <v>5</v>
      </c>
      <c r="AM61" s="89">
        <f>IFERROR((NYM_P165[[#This Row],[BB]]+NYM_P165[[#This Row],[H]])/NYM_P165[[#This Row],[IP]],0)</f>
        <v>1.5846066779852856</v>
      </c>
      <c r="AN61" s="28">
        <v>0</v>
      </c>
      <c r="AO61" s="90">
        <v>0</v>
      </c>
      <c r="AP61" s="28">
        <v>0</v>
      </c>
      <c r="AQ61" s="74">
        <v>0</v>
      </c>
      <c r="AR61" s="615">
        <v>10</v>
      </c>
      <c r="AY61" s="651" t="s">
        <v>804</v>
      </c>
      <c r="AZ61" s="74" t="s">
        <v>212</v>
      </c>
      <c r="BA61" s="71" t="s">
        <v>831</v>
      </c>
      <c r="BB61" s="88">
        <f>IFERROR((NYM_P165179[[#This Row],[R]]*9)/NYM_P165179[[#This Row],[IP]],0)</f>
        <v>1.7419354838709677</v>
      </c>
      <c r="BC61" s="28">
        <v>2</v>
      </c>
      <c r="BD61" s="74">
        <v>2</v>
      </c>
      <c r="BE61" s="28">
        <v>27</v>
      </c>
      <c r="BF61" s="584">
        <v>31</v>
      </c>
      <c r="BG61" s="28">
        <v>15</v>
      </c>
      <c r="BH61" s="28">
        <v>6</v>
      </c>
      <c r="BI61" s="28">
        <v>14</v>
      </c>
      <c r="BJ61" s="28">
        <v>51</v>
      </c>
      <c r="BK61" s="28">
        <v>11</v>
      </c>
      <c r="BL61" s="89">
        <f>IFERROR((NYM_P165179[[#This Row],[BB]]+NYM_P165179[[#This Row],[H]])/NYM_P165179[[#This Row],[IP]],0)</f>
        <v>0.93548387096774188</v>
      </c>
      <c r="BM61" s="28">
        <v>0</v>
      </c>
      <c r="BN61" s="90">
        <v>0</v>
      </c>
      <c r="BO61" s="28">
        <v>0</v>
      </c>
      <c r="BP61" s="74">
        <v>0</v>
      </c>
      <c r="BQ61" s="615">
        <v>10</v>
      </c>
    </row>
    <row r="62" spans="1:73" ht="17" thickBot="1">
      <c r="A62" s="652"/>
      <c r="B62" s="653"/>
      <c r="C62" s="654" t="s">
        <v>195</v>
      </c>
      <c r="D62" s="665">
        <f>(J62*9)/H62</f>
        <v>3.174907022533362</v>
      </c>
      <c r="E62" s="658">
        <f>SUBTOTAL(109,NYM_P[W])</f>
        <v>30</v>
      </c>
      <c r="F62" s="660">
        <f>SUBTOTAL(109,NYM_P[L])</f>
        <v>10</v>
      </c>
      <c r="G62" s="658"/>
      <c r="H62" s="666">
        <f>SUBTOTAL(109,NYM_P[IP])</f>
        <v>365.68000000000006</v>
      </c>
      <c r="I62" s="658">
        <f>SUBTOTAL(109,NYM_P[H])</f>
        <v>326</v>
      </c>
      <c r="J62" s="658">
        <f>SUBTOTAL(109,NYM_P[R])</f>
        <v>129</v>
      </c>
      <c r="K62" s="658">
        <f>SUBTOTAL(109,NYM_P[BB])</f>
        <v>111</v>
      </c>
      <c r="L62" s="658">
        <f>SUBTOTAL(109,NYM_P[K])</f>
        <v>434</v>
      </c>
      <c r="M62" s="659">
        <f>SUBTOTAL(109,NYM_P[SV])</f>
        <v>12</v>
      </c>
      <c r="N62" s="667">
        <f>(K62+I62)/H62</f>
        <v>1.1950339094290088</v>
      </c>
      <c r="O62" s="690">
        <f>SUBTOTAL(109,NYM_P[QS])</f>
        <v>23</v>
      </c>
      <c r="P62" s="669">
        <f>SUBTOTAL(109,NYM_P[UQ])</f>
        <v>16</v>
      </c>
      <c r="Q62" s="670">
        <f>SUBTOTAL(109,NYM_P[CG])</f>
        <v>2</v>
      </c>
      <c r="R62" s="671">
        <f>SUBTOTAL(109,NYM_P[SH])</f>
        <v>2</v>
      </c>
      <c r="S62" s="662"/>
      <c r="Z62" s="652"/>
      <c r="AA62" s="653"/>
      <c r="AB62" s="654" t="s">
        <v>195</v>
      </c>
      <c r="AC62" s="665">
        <f>(AI62*9)/AG62</f>
        <v>3.8752708749613038</v>
      </c>
      <c r="AD62" s="658">
        <f>SUBTOTAL(109,NYM_P165[W])</f>
        <v>23</v>
      </c>
      <c r="AE62" s="660">
        <f>SUBTOTAL(109,NYM_P165[L])</f>
        <v>17</v>
      </c>
      <c r="AF62" s="658"/>
      <c r="AG62" s="666">
        <f>SUBTOTAL(109,NYM_P165[IP])</f>
        <v>355.33</v>
      </c>
      <c r="AH62" s="658">
        <f>SUBTOTAL(109,NYM_P165[H])</f>
        <v>319</v>
      </c>
      <c r="AI62" s="658">
        <f>SUBTOTAL(109,NYM_P165[R])</f>
        <v>153</v>
      </c>
      <c r="AJ62" s="658">
        <f>SUBTOTAL(109,NYM_P165[BB])</f>
        <v>124</v>
      </c>
      <c r="AK62" s="658">
        <f>SUBTOTAL(109,NYM_P165[K])</f>
        <v>339</v>
      </c>
      <c r="AL62" s="658">
        <f>SUBTOTAL(109,NYM_P165[SV])</f>
        <v>5</v>
      </c>
      <c r="AM62" s="667">
        <f>(AJ62+AH62)/AG62</f>
        <v>1.2467283933245152</v>
      </c>
      <c r="AN62" s="690">
        <f>SUBTOTAL(109,NYM_P165[QS])</f>
        <v>27</v>
      </c>
      <c r="AO62" s="669">
        <f>SUBTOTAL(109,NYM_P165[UQ])</f>
        <v>16</v>
      </c>
      <c r="AP62" s="839">
        <f>SUBTOTAL(109,NYM_P165[CG])</f>
        <v>6</v>
      </c>
      <c r="AQ62" s="671">
        <f>SUBTOTAL(109,NYM_P165[SH])</f>
        <v>4</v>
      </c>
      <c r="AR62" s="662"/>
      <c r="AY62" s="652"/>
      <c r="AZ62" s="653"/>
      <c r="BA62" s="654" t="s">
        <v>195</v>
      </c>
      <c r="BB62" s="665">
        <f>(BH62*9)/BF62</f>
        <v>4.0745084135598768</v>
      </c>
      <c r="BC62" s="658">
        <f>SUBTOTAL(109,NYM_P165179[W])</f>
        <v>22</v>
      </c>
      <c r="BD62" s="660">
        <f>SUBTOTAL(109,NYM_P165179[L])</f>
        <v>18</v>
      </c>
      <c r="BE62" s="658"/>
      <c r="BF62" s="666">
        <f>SUBTOTAL(109,NYM_P165179[IP])</f>
        <v>366.67</v>
      </c>
      <c r="BG62" s="658">
        <f>SUBTOTAL(109,NYM_P165179[H])</f>
        <v>333</v>
      </c>
      <c r="BH62" s="658">
        <f>SUBTOTAL(109,NYM_P165179[R])</f>
        <v>166</v>
      </c>
      <c r="BI62" s="658">
        <f>SUBTOTAL(109,NYM_P165179[BB])</f>
        <v>143</v>
      </c>
      <c r="BJ62" s="658">
        <f>SUBTOTAL(109,NYM_P165179[K])</f>
        <v>380</v>
      </c>
      <c r="BK62" s="658">
        <f>SUBTOTAL(109,NYM_P165179[SV])</f>
        <v>13</v>
      </c>
      <c r="BL62" s="667">
        <f>(BI62+BG62)/BF62</f>
        <v>1.2981700166362122</v>
      </c>
      <c r="BM62" s="690">
        <f>SUBTOTAL(109,NYM_P165179[QS])</f>
        <v>25</v>
      </c>
      <c r="BN62" s="669">
        <f>SUBTOTAL(109,NYM_P165179[UQ])</f>
        <v>12</v>
      </c>
      <c r="BO62" s="670">
        <f>SUM(BO52:BO61)</f>
        <v>3</v>
      </c>
      <c r="BP62" s="671">
        <f>SUM(BP52:BP61)</f>
        <v>3</v>
      </c>
      <c r="BQ62" s="662"/>
    </row>
    <row r="63" spans="1:73" ht="17" thickBot="1"/>
    <row r="64" spans="1:73" ht="24" thickBot="1">
      <c r="A64" s="1024" t="s">
        <v>832</v>
      </c>
      <c r="B64" s="1025"/>
      <c r="C64" s="1025"/>
      <c r="D64" s="1025"/>
      <c r="E64" s="1025"/>
      <c r="F64" s="1025"/>
      <c r="G64" s="1025"/>
      <c r="H64" s="1025"/>
      <c r="I64" s="1025"/>
      <c r="J64" s="1025"/>
      <c r="K64" s="1025"/>
      <c r="L64" s="1025"/>
      <c r="M64" s="1025"/>
      <c r="N64" s="1025"/>
      <c r="O64" s="1025"/>
      <c r="P64" s="1025"/>
      <c r="Q64" s="1025"/>
      <c r="R64" s="1025"/>
      <c r="S64" s="1025"/>
      <c r="T64" s="1025"/>
      <c r="U64" s="1025"/>
      <c r="V64" s="1025"/>
      <c r="W64" s="1026"/>
      <c r="Z64" s="1024" t="s">
        <v>833</v>
      </c>
      <c r="AA64" s="1025"/>
      <c r="AB64" s="1025"/>
      <c r="AC64" s="1025"/>
      <c r="AD64" s="1025"/>
      <c r="AE64" s="1025"/>
      <c r="AF64" s="1025"/>
      <c r="AG64" s="1025"/>
      <c r="AH64" s="1025"/>
      <c r="AI64" s="1025"/>
      <c r="AJ64" s="1025"/>
      <c r="AK64" s="1025"/>
      <c r="AL64" s="1025"/>
      <c r="AM64" s="1025"/>
      <c r="AN64" s="1025"/>
      <c r="AO64" s="1025"/>
      <c r="AP64" s="1025"/>
      <c r="AQ64" s="1025"/>
      <c r="AR64" s="1025"/>
      <c r="AS64" s="1025"/>
      <c r="AT64" s="1025"/>
      <c r="AU64" s="1025"/>
      <c r="AV64" s="1026"/>
      <c r="AY64" s="1024" t="s">
        <v>834</v>
      </c>
      <c r="AZ64" s="1025"/>
      <c r="BA64" s="1025"/>
      <c r="BB64" s="1025"/>
      <c r="BC64" s="1025"/>
      <c r="BD64" s="1025"/>
      <c r="BE64" s="1025"/>
      <c r="BF64" s="1025"/>
      <c r="BG64" s="1025"/>
      <c r="BH64" s="1025"/>
      <c r="BI64" s="1025"/>
      <c r="BJ64" s="1025"/>
      <c r="BK64" s="1025"/>
      <c r="BL64" s="1025"/>
      <c r="BM64" s="1025"/>
      <c r="BN64" s="1025"/>
      <c r="BO64" s="1025"/>
      <c r="BP64" s="1025"/>
      <c r="BQ64" s="1025"/>
      <c r="BR64" s="1025"/>
      <c r="BS64" s="1025"/>
      <c r="BT64" s="1025"/>
      <c r="BU64" s="1026"/>
    </row>
    <row r="65" spans="1:73" s="64" customFormat="1" ht="14" thickBot="1">
      <c r="A65" s="605" t="s">
        <v>143</v>
      </c>
      <c r="B65" s="606" t="s">
        <v>144</v>
      </c>
      <c r="C65" s="606" t="s">
        <v>145</v>
      </c>
      <c r="D65" s="606" t="s">
        <v>146</v>
      </c>
      <c r="E65" s="606" t="s">
        <v>147</v>
      </c>
      <c r="F65" s="606" t="s">
        <v>148</v>
      </c>
      <c r="G65" s="606" t="s">
        <v>149</v>
      </c>
      <c r="H65" s="606" t="s">
        <v>150</v>
      </c>
      <c r="I65" s="606" t="s">
        <v>151</v>
      </c>
      <c r="J65" s="606" t="s">
        <v>152</v>
      </c>
      <c r="K65" s="606" t="s">
        <v>153</v>
      </c>
      <c r="L65" s="606" t="s">
        <v>154</v>
      </c>
      <c r="M65" s="606" t="s">
        <v>155</v>
      </c>
      <c r="N65" s="606" t="s">
        <v>156</v>
      </c>
      <c r="O65" s="606" t="s">
        <v>157</v>
      </c>
      <c r="P65" s="606" t="s">
        <v>158</v>
      </c>
      <c r="Q65" s="606" t="s">
        <v>159</v>
      </c>
      <c r="R65" s="606" t="s">
        <v>160</v>
      </c>
      <c r="S65" s="606" t="s">
        <v>16</v>
      </c>
      <c r="T65" s="606" t="s">
        <v>161</v>
      </c>
      <c r="U65" s="606" t="s">
        <v>162</v>
      </c>
      <c r="V65" s="606" t="s">
        <v>163</v>
      </c>
      <c r="W65" s="607" t="s">
        <v>164</v>
      </c>
      <c r="Z65" s="605" t="s">
        <v>143</v>
      </c>
      <c r="AA65" s="606" t="s">
        <v>144</v>
      </c>
      <c r="AB65" s="606" t="s">
        <v>145</v>
      </c>
      <c r="AC65" s="606" t="s">
        <v>146</v>
      </c>
      <c r="AD65" s="606" t="s">
        <v>147</v>
      </c>
      <c r="AE65" s="606" t="s">
        <v>148</v>
      </c>
      <c r="AF65" s="606" t="s">
        <v>149</v>
      </c>
      <c r="AG65" s="606" t="s">
        <v>150</v>
      </c>
      <c r="AH65" s="606" t="s">
        <v>151</v>
      </c>
      <c r="AI65" s="606" t="s">
        <v>152</v>
      </c>
      <c r="AJ65" s="606" t="s">
        <v>153</v>
      </c>
      <c r="AK65" s="606" t="s">
        <v>154</v>
      </c>
      <c r="AL65" s="606" t="s">
        <v>155</v>
      </c>
      <c r="AM65" s="606" t="s">
        <v>156</v>
      </c>
      <c r="AN65" s="606" t="s">
        <v>157</v>
      </c>
      <c r="AO65" s="606" t="s">
        <v>158</v>
      </c>
      <c r="AP65" s="606" t="s">
        <v>159</v>
      </c>
      <c r="AQ65" s="606" t="s">
        <v>160</v>
      </c>
      <c r="AR65" s="606" t="s">
        <v>16</v>
      </c>
      <c r="AS65" s="606" t="s">
        <v>161</v>
      </c>
      <c r="AT65" s="606" t="s">
        <v>162</v>
      </c>
      <c r="AU65" s="606" t="s">
        <v>163</v>
      </c>
      <c r="AV65" s="607" t="s">
        <v>164</v>
      </c>
      <c r="AY65" s="605" t="s">
        <v>143</v>
      </c>
      <c r="AZ65" s="606" t="s">
        <v>144</v>
      </c>
      <c r="BA65" s="606" t="s">
        <v>145</v>
      </c>
      <c r="BB65" s="606" t="s">
        <v>146</v>
      </c>
      <c r="BC65" s="606" t="s">
        <v>147</v>
      </c>
      <c r="BD65" s="606" t="s">
        <v>148</v>
      </c>
      <c r="BE65" s="606" t="s">
        <v>149</v>
      </c>
      <c r="BF65" s="606" t="s">
        <v>150</v>
      </c>
      <c r="BG65" s="606" t="s">
        <v>151</v>
      </c>
      <c r="BH65" s="606" t="s">
        <v>152</v>
      </c>
      <c r="BI65" s="606" t="s">
        <v>153</v>
      </c>
      <c r="BJ65" s="606" t="s">
        <v>154</v>
      </c>
      <c r="BK65" s="606" t="s">
        <v>155</v>
      </c>
      <c r="BL65" s="606" t="s">
        <v>156</v>
      </c>
      <c r="BM65" s="606" t="s">
        <v>157</v>
      </c>
      <c r="BN65" s="606" t="s">
        <v>158</v>
      </c>
      <c r="BO65" s="606" t="s">
        <v>159</v>
      </c>
      <c r="BP65" s="606" t="s">
        <v>160</v>
      </c>
      <c r="BQ65" s="606" t="s">
        <v>16</v>
      </c>
      <c r="BR65" s="606" t="s">
        <v>161</v>
      </c>
      <c r="BS65" s="606" t="s">
        <v>162</v>
      </c>
      <c r="BT65" s="606" t="s">
        <v>163</v>
      </c>
      <c r="BU65" s="607" t="s">
        <v>164</v>
      </c>
    </row>
    <row r="66" spans="1:73">
      <c r="A66" s="650" t="s">
        <v>835</v>
      </c>
      <c r="B66" s="597" t="s">
        <v>179</v>
      </c>
      <c r="C66" s="597" t="s">
        <v>846</v>
      </c>
      <c r="D66" s="598">
        <f>IFERROR(ATL_H[[#This Row],[H]]/ATL_H[[#This Row],[AB]],0)</f>
        <v>0.3253012048192771</v>
      </c>
      <c r="E66" s="598">
        <f>IFERROR((ATL_H[[#This Row],[H]]+ATL_H[[#This Row],[BB]])/(ATL_H[[#This Row],[BB]]+ATL_H[[#This Row],[AB]]),0)</f>
        <v>0.37777777777777777</v>
      </c>
      <c r="F66" s="599">
        <f>IFERROR(((ATL_H[[#This Row],[H]]-ATL_H[[#This Row],[2B]]-ATL_H[[#This Row],[3B]]-ATL_H[[#This Row],[HR]])+(ATL_H[[#This Row],[2B]]*2)+(ATL_H[[#This Row],[3B]]*3)+(ATL_H[[#This Row],[HR]]*4))/ATL_H[[#This Row],[AB]],0)</f>
        <v>0.54216867469879515</v>
      </c>
      <c r="G66" s="600">
        <v>24</v>
      </c>
      <c r="H66" s="600">
        <v>83</v>
      </c>
      <c r="I66" s="600">
        <v>14</v>
      </c>
      <c r="J66" s="600">
        <v>27</v>
      </c>
      <c r="K66" s="600">
        <v>3</v>
      </c>
      <c r="L66" s="600">
        <v>0</v>
      </c>
      <c r="M66" s="600">
        <v>5</v>
      </c>
      <c r="N66" s="600">
        <v>17</v>
      </c>
      <c r="O66" s="600">
        <v>7</v>
      </c>
      <c r="P66" s="604">
        <v>12</v>
      </c>
      <c r="Q66" s="600">
        <v>0</v>
      </c>
      <c r="R66" s="600">
        <v>0</v>
      </c>
      <c r="S66" s="604">
        <v>7</v>
      </c>
      <c r="T66" s="600">
        <f>IFERROR((ATL_H[[#This Row],[H]]-ATL_H[[#This Row],[2B]]-ATL_H[[#This Row],[3B]]-ATL_H[[#This Row],[HR]])+(ATL_H[[#This Row],[2B]]*2)+(ATL_H[[#This Row],[3B]]*3)+(ATL_H[[#This Row],[HR]]*4),0)</f>
        <v>45</v>
      </c>
      <c r="U66" s="598">
        <f>ATL_H[[#This Row],[OBP]]+ATL_H[[#This Row],[SLG]]</f>
        <v>0.91994645247657292</v>
      </c>
      <c r="V66" s="604">
        <v>1</v>
      </c>
      <c r="W66" s="614">
        <v>1</v>
      </c>
      <c r="Z66" s="650" t="s">
        <v>835</v>
      </c>
      <c r="AA66" s="596" t="s">
        <v>179</v>
      </c>
      <c r="AB66" s="597" t="s">
        <v>842</v>
      </c>
      <c r="AC66" s="598">
        <f>IFERROR(ATL_H162[[#This Row],[H]]/ATL_H162[[#This Row],[AB]],0)</f>
        <v>0.25190839694656486</v>
      </c>
      <c r="AD66" s="598">
        <f>IFERROR((ATL_H162[[#This Row],[H]]+ATL_H162[[#This Row],[BB]])/(ATL_H162[[#This Row],[BB]]+ATL_H162[[#This Row],[AB]]),0)</f>
        <v>0.32413793103448274</v>
      </c>
      <c r="AE66" s="599">
        <f>IFERROR(((ATL_H162[[#This Row],[H]]-ATL_H162[[#This Row],[2B]]-ATL_H162[[#This Row],[3B]]-ATL_H162[[#This Row],[HR]])+(ATL_H162[[#This Row],[2B]]*2)+(ATL_H162[[#This Row],[3B]]*3)+(ATL_H162[[#This Row],[HR]]*4))/ATL_H162[[#This Row],[AB]],0)</f>
        <v>0.56488549618320616</v>
      </c>
      <c r="AF66" s="600">
        <v>36</v>
      </c>
      <c r="AG66" s="600">
        <v>131</v>
      </c>
      <c r="AH66" s="600">
        <v>20</v>
      </c>
      <c r="AI66" s="600">
        <v>33</v>
      </c>
      <c r="AJ66" s="600">
        <v>5</v>
      </c>
      <c r="AK66" s="600">
        <v>0</v>
      </c>
      <c r="AL66" s="600">
        <v>12</v>
      </c>
      <c r="AM66" s="600">
        <v>25</v>
      </c>
      <c r="AN66" s="600">
        <v>14</v>
      </c>
      <c r="AO66" s="604">
        <v>46</v>
      </c>
      <c r="AP66" s="600">
        <v>0</v>
      </c>
      <c r="AQ66" s="600">
        <v>2</v>
      </c>
      <c r="AR66" s="604">
        <v>6</v>
      </c>
      <c r="AS66" s="600">
        <f>IFERROR((ATL_H162[[#This Row],[H]]-ATL_H162[[#This Row],[2B]]-ATL_H162[[#This Row],[3B]]-ATL_H162[[#This Row],[HR]])+(ATL_H162[[#This Row],[2B]]*2)+(ATL_H162[[#This Row],[3B]]*3)+(ATL_H162[[#This Row],[HR]]*4),0)</f>
        <v>74</v>
      </c>
      <c r="AT66" s="598">
        <f>ATL_H162[[#This Row],[OBP]]+ATL_H162[[#This Row],[SLG]]</f>
        <v>0.8890234272176889</v>
      </c>
      <c r="AU66" s="604">
        <v>3</v>
      </c>
      <c r="AV66" s="614">
        <v>1</v>
      </c>
      <c r="AY66" s="650" t="s">
        <v>835</v>
      </c>
      <c r="AZ66" s="604" t="s">
        <v>308</v>
      </c>
      <c r="BA66" s="597" t="s">
        <v>842</v>
      </c>
      <c r="BB66" s="598">
        <f>IFERROR(ATL_H162176[[#This Row],[H]]/ATL_H162176[[#This Row],[AB]],0)</f>
        <v>0.23287671232876711</v>
      </c>
      <c r="BC66" s="598">
        <f>IFERROR((ATL_H162176[[#This Row],[BB]]+ATL_H162176[[#This Row],[H]])/(ATL_H162176[[#This Row],[BB]]+ATL_H162176[[#This Row],[AB]]),0)</f>
        <v>0.3253012048192771</v>
      </c>
      <c r="BD66" s="599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0.34246575342465752</v>
      </c>
      <c r="BE66" s="600">
        <v>26</v>
      </c>
      <c r="BF66" s="600">
        <v>73</v>
      </c>
      <c r="BG66" s="600">
        <v>7</v>
      </c>
      <c r="BH66" s="600">
        <v>17</v>
      </c>
      <c r="BI66" s="600">
        <v>2</v>
      </c>
      <c r="BJ66" s="600">
        <v>0</v>
      </c>
      <c r="BK66" s="600">
        <v>2</v>
      </c>
      <c r="BL66" s="600">
        <v>6</v>
      </c>
      <c r="BM66" s="600">
        <v>10</v>
      </c>
      <c r="BN66" s="604">
        <v>20</v>
      </c>
      <c r="BO66" s="600">
        <v>0</v>
      </c>
      <c r="BP66" s="600">
        <v>0</v>
      </c>
      <c r="BQ66" s="604">
        <v>5</v>
      </c>
      <c r="BR66" s="600">
        <f>IFERROR((ATL_H162176[[#This Row],[H]]-ATL_H162176[[#This Row],[2B]]-ATL_H162176[[#This Row],[3B]]-ATL_H162176[[#This Row],[HR]])+(ATL_H162176[[#This Row],[2B]]*2)+(ATL_H162176[[#This Row],[3B]]*3)+(ATL_H162176[[#This Row],[HR]]*4),0)</f>
        <v>25</v>
      </c>
      <c r="BS66" s="598">
        <f>IFERROR(ATL_H162176[[#This Row],[OBP]]+ATL_H162176[[#This Row],[SLG]],0)</f>
        <v>0.66776695824393462</v>
      </c>
      <c r="BT66" s="604">
        <v>0</v>
      </c>
      <c r="BU66" s="614">
        <v>1</v>
      </c>
    </row>
    <row r="67" spans="1:73">
      <c r="A67" s="651" t="s">
        <v>835</v>
      </c>
      <c r="B67" s="71" t="s">
        <v>154</v>
      </c>
      <c r="C67" s="71" t="s">
        <v>836</v>
      </c>
      <c r="D67" s="72">
        <f>IFERROR(ATL_H[[#This Row],[H]]/ATL_H[[#This Row],[AB]],0)</f>
        <v>0.32317073170731708</v>
      </c>
      <c r="E67" s="72">
        <f>IFERROR((ATL_H[[#This Row],[H]]+ATL_H[[#This Row],[BB]])/(ATL_H[[#This Row],[BB]]+ATL_H[[#This Row],[AB]]),0)</f>
        <v>0.37988826815642457</v>
      </c>
      <c r="F67" s="73">
        <f>IFERROR(((ATL_H[[#This Row],[H]]-ATL_H[[#This Row],[2B]]-ATL_H[[#This Row],[3B]]-ATL_H[[#This Row],[HR]])+(ATL_H[[#This Row],[2B]]*2)+(ATL_H[[#This Row],[3B]]*3)+(ATL_H[[#This Row],[HR]]*4))/ATL_H[[#This Row],[AB]],0)</f>
        <v>0.51219512195121952</v>
      </c>
      <c r="G67" s="28">
        <v>40</v>
      </c>
      <c r="H67" s="28">
        <v>164</v>
      </c>
      <c r="I67" s="28">
        <v>24</v>
      </c>
      <c r="J67" s="28">
        <v>53</v>
      </c>
      <c r="K67" s="28">
        <v>10</v>
      </c>
      <c r="L67" s="28">
        <v>0</v>
      </c>
      <c r="M67" s="28">
        <v>7</v>
      </c>
      <c r="N67" s="28">
        <v>26</v>
      </c>
      <c r="O67" s="28">
        <v>15</v>
      </c>
      <c r="P67" s="74">
        <v>34</v>
      </c>
      <c r="Q67" s="28">
        <v>0</v>
      </c>
      <c r="R67" s="28">
        <v>1</v>
      </c>
      <c r="S67" s="74">
        <v>10</v>
      </c>
      <c r="T67" s="28">
        <f>IFERROR((ATL_H[[#This Row],[H]]-ATL_H[[#This Row],[2B]]-ATL_H[[#This Row],[3B]]-ATL_H[[#This Row],[HR]])+(ATL_H[[#This Row],[2B]]*2)+(ATL_H[[#This Row],[3B]]*3)+(ATL_H[[#This Row],[HR]]*4),0)</f>
        <v>84</v>
      </c>
      <c r="U67" s="72">
        <f>ATL_H[[#This Row],[OBP]]+ATL_H[[#This Row],[SLG]]</f>
        <v>0.89208339010764415</v>
      </c>
      <c r="V67" s="74">
        <v>4</v>
      </c>
      <c r="W67" s="615">
        <v>2</v>
      </c>
      <c r="Z67" s="651" t="s">
        <v>835</v>
      </c>
      <c r="AA67" s="71" t="s">
        <v>154</v>
      </c>
      <c r="AB67" s="71" t="s">
        <v>836</v>
      </c>
      <c r="AC67" s="72">
        <f>IFERROR(ATL_H162[[#This Row],[H]]/ATL_H162[[#This Row],[AB]],0)</f>
        <v>0.29518072289156627</v>
      </c>
      <c r="AD67" s="72">
        <f>IFERROR((ATL_H162[[#This Row],[H]]+ATL_H162[[#This Row],[BB]])/(ATL_H162[[#This Row],[BB]]+ATL_H162[[#This Row],[AB]]),0)</f>
        <v>0.35714285714285715</v>
      </c>
      <c r="AE67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0.49397590361445781</v>
      </c>
      <c r="AF67" s="28">
        <v>40</v>
      </c>
      <c r="AG67" s="28">
        <v>166</v>
      </c>
      <c r="AH67" s="28">
        <v>23</v>
      </c>
      <c r="AI67" s="28">
        <v>49</v>
      </c>
      <c r="AJ67" s="28">
        <v>9</v>
      </c>
      <c r="AK67" s="28">
        <v>0</v>
      </c>
      <c r="AL67" s="28">
        <v>8</v>
      </c>
      <c r="AM67" s="28">
        <v>25</v>
      </c>
      <c r="AN67" s="28">
        <v>16</v>
      </c>
      <c r="AO67" s="74">
        <v>31</v>
      </c>
      <c r="AP67" s="28">
        <v>0</v>
      </c>
      <c r="AQ67" s="28">
        <v>2</v>
      </c>
      <c r="AR67" s="74">
        <v>9</v>
      </c>
      <c r="AS67" s="28">
        <f>IFERROR((ATL_H162[[#This Row],[H]]-ATL_H162[[#This Row],[2B]]-ATL_H162[[#This Row],[3B]]-ATL_H162[[#This Row],[HR]])+(ATL_H162[[#This Row],[2B]]*2)+(ATL_H162[[#This Row],[3B]]*3)+(ATL_H162[[#This Row],[HR]]*4),0)</f>
        <v>82</v>
      </c>
      <c r="AT67" s="72">
        <f>ATL_H162[[#This Row],[OBP]]+ATL_H162[[#This Row],[SLG]]</f>
        <v>0.85111876075731496</v>
      </c>
      <c r="AU67" s="74">
        <v>5</v>
      </c>
      <c r="AV67" s="615">
        <v>2</v>
      </c>
      <c r="AY67" s="651" t="s">
        <v>835</v>
      </c>
      <c r="AZ67" s="74" t="s">
        <v>349</v>
      </c>
      <c r="BA67" s="71" t="s">
        <v>837</v>
      </c>
      <c r="BB67" s="72">
        <f>IFERROR(ATL_H162176[[#This Row],[H]]/ATL_H162176[[#This Row],[AB]],0)</f>
        <v>0.26984126984126983</v>
      </c>
      <c r="BC67" s="72">
        <f>IFERROR((ATL_H162176[[#This Row],[BB]]+ATL_H162176[[#This Row],[H]])/(ATL_H162176[[#This Row],[BB]]+ATL_H162176[[#This Row],[AB]]),0)</f>
        <v>0.3235294117647059</v>
      </c>
      <c r="BD67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0.48412698412698413</v>
      </c>
      <c r="BE67" s="28">
        <v>32</v>
      </c>
      <c r="BF67" s="28">
        <v>126</v>
      </c>
      <c r="BG67" s="28">
        <v>14</v>
      </c>
      <c r="BH67" s="28">
        <v>34</v>
      </c>
      <c r="BI67" s="28">
        <v>6</v>
      </c>
      <c r="BJ67" s="28">
        <v>0</v>
      </c>
      <c r="BK67" s="28">
        <v>7</v>
      </c>
      <c r="BL67" s="28">
        <v>24</v>
      </c>
      <c r="BM67" s="28">
        <v>10</v>
      </c>
      <c r="BN67" s="74">
        <v>45</v>
      </c>
      <c r="BO67" s="28">
        <v>0</v>
      </c>
      <c r="BP67" s="28">
        <v>3</v>
      </c>
      <c r="BQ67" s="74">
        <v>3</v>
      </c>
      <c r="BR67" s="28">
        <f>IFERROR((ATL_H162176[[#This Row],[H]]-ATL_H162176[[#This Row],[2B]]-ATL_H162176[[#This Row],[3B]]-ATL_H162176[[#This Row],[HR]])+(ATL_H162176[[#This Row],[2B]]*2)+(ATL_H162176[[#This Row],[3B]]*3)+(ATL_H162176[[#This Row],[HR]]*4),0)</f>
        <v>61</v>
      </c>
      <c r="BS67" s="72">
        <f>IFERROR(ATL_H162176[[#This Row],[OBP]]+ATL_H162176[[#This Row],[SLG]],0)</f>
        <v>0.80765639589169003</v>
      </c>
      <c r="BT67" s="74">
        <v>4</v>
      </c>
      <c r="BU67" s="615">
        <v>2</v>
      </c>
    </row>
    <row r="68" spans="1:73">
      <c r="A68" s="651" t="s">
        <v>835</v>
      </c>
      <c r="B68" s="71" t="s">
        <v>172</v>
      </c>
      <c r="C68" s="71" t="s">
        <v>847</v>
      </c>
      <c r="D68" s="72">
        <f>IFERROR(ATL_H[[#This Row],[H]]/ATL_H[[#This Row],[AB]],0)</f>
        <v>0.19259259259259259</v>
      </c>
      <c r="E68" s="72">
        <f>IFERROR((ATL_H[[#This Row],[H]]+ATL_H[[#This Row],[BB]])/(ATL_H[[#This Row],[BB]]+ATL_H[[#This Row],[AB]]),0)</f>
        <v>0.24305555555555555</v>
      </c>
      <c r="F68" s="73">
        <f>IFERROR(((ATL_H[[#This Row],[H]]-ATL_H[[#This Row],[2B]]-ATL_H[[#This Row],[3B]]-ATL_H[[#This Row],[HR]])+(ATL_H[[#This Row],[2B]]*2)+(ATL_H[[#This Row],[3B]]*3)+(ATL_H[[#This Row],[HR]]*4))/ATL_H[[#This Row],[AB]],0)</f>
        <v>0.32592592592592595</v>
      </c>
      <c r="G68" s="28">
        <v>38</v>
      </c>
      <c r="H68" s="28">
        <v>135</v>
      </c>
      <c r="I68" s="28">
        <v>11</v>
      </c>
      <c r="J68" s="28">
        <v>26</v>
      </c>
      <c r="K68" s="28">
        <v>4</v>
      </c>
      <c r="L68" s="28">
        <v>1</v>
      </c>
      <c r="M68" s="28">
        <v>4</v>
      </c>
      <c r="N68" s="28">
        <v>7</v>
      </c>
      <c r="O68" s="28">
        <v>9</v>
      </c>
      <c r="P68" s="74">
        <v>42</v>
      </c>
      <c r="Q68" s="28">
        <v>0</v>
      </c>
      <c r="R68" s="28">
        <v>1</v>
      </c>
      <c r="S68" s="74">
        <v>4</v>
      </c>
      <c r="T68" s="28">
        <f>IFERROR((ATL_H[[#This Row],[H]]-ATL_H[[#This Row],[2B]]-ATL_H[[#This Row],[3B]]-ATL_H[[#This Row],[HR]])+(ATL_H[[#This Row],[2B]]*2)+(ATL_H[[#This Row],[3B]]*3)+(ATL_H[[#This Row],[HR]]*4),0)</f>
        <v>44</v>
      </c>
      <c r="U68" s="72">
        <f>ATL_H[[#This Row],[OBP]]+ATL_H[[#This Row],[SLG]]</f>
        <v>0.56898148148148153</v>
      </c>
      <c r="V68" s="74">
        <v>0</v>
      </c>
      <c r="W68" s="615">
        <v>3</v>
      </c>
      <c r="Z68" s="651" t="s">
        <v>835</v>
      </c>
      <c r="AA68" s="71" t="s">
        <v>172</v>
      </c>
      <c r="AB68" s="71" t="s">
        <v>847</v>
      </c>
      <c r="AC68" s="72">
        <f>IFERROR(ATL_H162[[#This Row],[H]]/ATL_H162[[#This Row],[AB]],0)</f>
        <v>0.176056338028169</v>
      </c>
      <c r="AD68" s="72">
        <f>IFERROR((ATL_H162[[#This Row],[H]]+ATL_H162[[#This Row],[BB]])/(ATL_H162[[#This Row],[BB]]+ATL_H162[[#This Row],[AB]]),0)</f>
        <v>0.22</v>
      </c>
      <c r="AE68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0.28169014084507044</v>
      </c>
      <c r="AF68" s="28">
        <v>40</v>
      </c>
      <c r="AG68" s="28">
        <v>142</v>
      </c>
      <c r="AH68" s="28">
        <v>14</v>
      </c>
      <c r="AI68" s="28">
        <v>25</v>
      </c>
      <c r="AJ68" s="28">
        <v>5</v>
      </c>
      <c r="AK68" s="28">
        <v>2</v>
      </c>
      <c r="AL68" s="28">
        <v>2</v>
      </c>
      <c r="AM68" s="28">
        <v>6</v>
      </c>
      <c r="AN68" s="28">
        <v>8</v>
      </c>
      <c r="AO68" s="74">
        <v>47</v>
      </c>
      <c r="AP68" s="28">
        <v>0</v>
      </c>
      <c r="AQ68" s="28">
        <v>2</v>
      </c>
      <c r="AR68" s="74">
        <v>4</v>
      </c>
      <c r="AS68" s="28">
        <f>IFERROR((ATL_H162[[#This Row],[H]]-ATL_H162[[#This Row],[2B]]-ATL_H162[[#This Row],[3B]]-ATL_H162[[#This Row],[HR]])+(ATL_H162[[#This Row],[2B]]*2)+(ATL_H162[[#This Row],[3B]]*3)+(ATL_H162[[#This Row],[HR]]*4),0)</f>
        <v>40</v>
      </c>
      <c r="AT68" s="72">
        <f>ATL_H162[[#This Row],[OBP]]+ATL_H162[[#This Row],[SLG]]</f>
        <v>0.50169014084507046</v>
      </c>
      <c r="AU68" s="74">
        <v>0</v>
      </c>
      <c r="AV68" s="615">
        <v>3</v>
      </c>
      <c r="AY68" s="651" t="s">
        <v>835</v>
      </c>
      <c r="AZ68" s="74" t="s">
        <v>172</v>
      </c>
      <c r="BA68" s="71" t="s">
        <v>836</v>
      </c>
      <c r="BB68" s="72">
        <f>IFERROR(ATL_H162176[[#This Row],[H]]/ATL_H162176[[#This Row],[AB]],0)</f>
        <v>0.31874999999999998</v>
      </c>
      <c r="BC68" s="72">
        <f>IFERROR((ATL_H162176[[#This Row],[BB]]+ATL_H162176[[#This Row],[H]])/(ATL_H162176[[#This Row],[BB]]+ATL_H162176[[#This Row],[AB]]),0)</f>
        <v>0.39779005524861877</v>
      </c>
      <c r="BD68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0.41249999999999998</v>
      </c>
      <c r="BE68" s="28">
        <v>40</v>
      </c>
      <c r="BF68" s="28">
        <v>160</v>
      </c>
      <c r="BG68" s="28">
        <v>28</v>
      </c>
      <c r="BH68" s="28">
        <v>51</v>
      </c>
      <c r="BI68" s="28">
        <v>9</v>
      </c>
      <c r="BJ68" s="28">
        <v>0</v>
      </c>
      <c r="BK68" s="28">
        <v>2</v>
      </c>
      <c r="BL68" s="28">
        <v>21</v>
      </c>
      <c r="BM68" s="28">
        <v>21</v>
      </c>
      <c r="BN68" s="74">
        <v>37</v>
      </c>
      <c r="BO68" s="28">
        <v>0</v>
      </c>
      <c r="BP68" s="28">
        <v>3</v>
      </c>
      <c r="BQ68" s="74">
        <v>12</v>
      </c>
      <c r="BR68" s="28">
        <f>IFERROR((ATL_H162176[[#This Row],[H]]-ATL_H162176[[#This Row],[2B]]-ATL_H162176[[#This Row],[3B]]-ATL_H162176[[#This Row],[HR]])+(ATL_H162176[[#This Row],[2B]]*2)+(ATL_H162176[[#This Row],[3B]]*3)+(ATL_H162176[[#This Row],[HR]]*4),0)</f>
        <v>66</v>
      </c>
      <c r="BS68" s="72">
        <f>IFERROR(ATL_H162176[[#This Row],[OBP]]+ATL_H162176[[#This Row],[SLG]],0)</f>
        <v>0.81029005524861875</v>
      </c>
      <c r="BT68" s="74">
        <v>2</v>
      </c>
      <c r="BU68" s="615">
        <v>3</v>
      </c>
    </row>
    <row r="69" spans="1:73">
      <c r="A69" s="651" t="s">
        <v>835</v>
      </c>
      <c r="B69" s="71" t="s">
        <v>153</v>
      </c>
      <c r="C69" s="71" t="s">
        <v>839</v>
      </c>
      <c r="D69" s="72">
        <f>IFERROR(ATL_H[[#This Row],[H]]/ATL_H[[#This Row],[AB]],0)</f>
        <v>0.31645569620253167</v>
      </c>
      <c r="E69" s="72">
        <f>IFERROR((ATL_H[[#This Row],[H]]+ATL_H[[#This Row],[BB]])/(ATL_H[[#This Row],[BB]]+ATL_H[[#This Row],[AB]]),0)</f>
        <v>0.33742331288343558</v>
      </c>
      <c r="F69" s="73">
        <f>IFERROR(((ATL_H[[#This Row],[H]]-ATL_H[[#This Row],[2B]]-ATL_H[[#This Row],[3B]]-ATL_H[[#This Row],[HR]])+(ATL_H[[#This Row],[2B]]*2)+(ATL_H[[#This Row],[3B]]*3)+(ATL_H[[#This Row],[HR]]*4))/ATL_H[[#This Row],[AB]],0)</f>
        <v>0.48734177215189872</v>
      </c>
      <c r="G69" s="28">
        <v>40</v>
      </c>
      <c r="H69" s="28">
        <v>158</v>
      </c>
      <c r="I69" s="28">
        <v>21</v>
      </c>
      <c r="J69" s="28">
        <v>50</v>
      </c>
      <c r="K69" s="76">
        <v>16</v>
      </c>
      <c r="L69" s="28">
        <v>1</v>
      </c>
      <c r="M69" s="28">
        <v>3</v>
      </c>
      <c r="N69" s="28">
        <v>18</v>
      </c>
      <c r="O69" s="28">
        <v>5</v>
      </c>
      <c r="P69" s="74">
        <v>26</v>
      </c>
      <c r="Q69" s="28">
        <v>4</v>
      </c>
      <c r="R69" s="28">
        <v>0</v>
      </c>
      <c r="S69" s="74">
        <v>11</v>
      </c>
      <c r="T69" s="28">
        <f>IFERROR((ATL_H[[#This Row],[H]]-ATL_H[[#This Row],[2B]]-ATL_H[[#This Row],[3B]]-ATL_H[[#This Row],[HR]])+(ATL_H[[#This Row],[2B]]*2)+(ATL_H[[#This Row],[3B]]*3)+(ATL_H[[#This Row],[HR]]*4),0)</f>
        <v>77</v>
      </c>
      <c r="U69" s="72">
        <f>ATL_H[[#This Row],[OBP]]+ATL_H[[#This Row],[SLG]]</f>
        <v>0.8247650850353343</v>
      </c>
      <c r="V69" s="74">
        <v>1</v>
      </c>
      <c r="W69" s="615">
        <v>4</v>
      </c>
      <c r="Z69" s="651" t="s">
        <v>835</v>
      </c>
      <c r="AA69" s="71" t="s">
        <v>153</v>
      </c>
      <c r="AB69" s="71" t="s">
        <v>839</v>
      </c>
      <c r="AC69" s="72">
        <f>IFERROR(ATL_H162[[#This Row],[H]]/ATL_H162[[#This Row],[AB]],0)</f>
        <v>0.25531914893617019</v>
      </c>
      <c r="AD69" s="72">
        <f>IFERROR((ATL_H162[[#This Row],[H]]+ATL_H162[[#This Row],[BB]])/(ATL_H162[[#This Row],[BB]]+ATL_H162[[#This Row],[AB]]),0)</f>
        <v>0.33544303797468356</v>
      </c>
      <c r="AE69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0.42553191489361702</v>
      </c>
      <c r="AF69" s="28">
        <v>40</v>
      </c>
      <c r="AG69" s="28">
        <v>141</v>
      </c>
      <c r="AH69" s="28">
        <v>17</v>
      </c>
      <c r="AI69" s="28">
        <v>36</v>
      </c>
      <c r="AJ69" s="28">
        <v>6</v>
      </c>
      <c r="AK69" s="28">
        <v>3</v>
      </c>
      <c r="AL69" s="28">
        <v>4</v>
      </c>
      <c r="AM69" s="28">
        <v>18</v>
      </c>
      <c r="AN69" s="28">
        <v>17</v>
      </c>
      <c r="AO69" s="74">
        <v>33</v>
      </c>
      <c r="AP69" s="28">
        <v>0</v>
      </c>
      <c r="AQ69" s="28">
        <v>0</v>
      </c>
      <c r="AR69" s="74">
        <v>7</v>
      </c>
      <c r="AS69" s="28">
        <f>IFERROR((ATL_H162[[#This Row],[H]]-ATL_H162[[#This Row],[2B]]-ATL_H162[[#This Row],[3B]]-ATL_H162[[#This Row],[HR]])+(ATL_H162[[#This Row],[2B]]*2)+(ATL_H162[[#This Row],[3B]]*3)+(ATL_H162[[#This Row],[HR]]*4),0)</f>
        <v>60</v>
      </c>
      <c r="AT69" s="72">
        <f>ATL_H162[[#This Row],[OBP]]+ATL_H162[[#This Row],[SLG]]</f>
        <v>0.76097495286830052</v>
      </c>
      <c r="AU69" s="74">
        <v>3</v>
      </c>
      <c r="AV69" s="615">
        <v>4</v>
      </c>
      <c r="AY69" s="651" t="s">
        <v>835</v>
      </c>
      <c r="AZ69" s="74" t="s">
        <v>153</v>
      </c>
      <c r="BA69" s="71" t="s">
        <v>839</v>
      </c>
      <c r="BB69" s="72">
        <f>IFERROR(ATL_H162176[[#This Row],[H]]/ATL_H162176[[#This Row],[AB]],0)</f>
        <v>0.19298245614035087</v>
      </c>
      <c r="BC69" s="72">
        <f>IFERROR((ATL_H162176[[#This Row],[BB]]+ATL_H162176[[#This Row],[H]])/(ATL_H162176[[#This Row],[BB]]+ATL_H162176[[#This Row],[AB]]),0)</f>
        <v>0.25203252032520324</v>
      </c>
      <c r="BD69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0.30701754385964913</v>
      </c>
      <c r="BE69" s="28">
        <v>31</v>
      </c>
      <c r="BF69" s="28">
        <v>114</v>
      </c>
      <c r="BG69" s="28">
        <v>10</v>
      </c>
      <c r="BH69" s="28">
        <v>22</v>
      </c>
      <c r="BI69" s="28">
        <v>4</v>
      </c>
      <c r="BJ69" s="28">
        <v>0</v>
      </c>
      <c r="BK69" s="28">
        <v>3</v>
      </c>
      <c r="BL69" s="28">
        <v>9</v>
      </c>
      <c r="BM69" s="28">
        <v>9</v>
      </c>
      <c r="BN69" s="74">
        <v>23</v>
      </c>
      <c r="BO69" s="28">
        <v>1</v>
      </c>
      <c r="BP69" s="28">
        <v>2</v>
      </c>
      <c r="BQ69" s="74">
        <v>4</v>
      </c>
      <c r="BR69" s="28">
        <f>IFERROR((ATL_H162176[[#This Row],[H]]-ATL_H162176[[#This Row],[2B]]-ATL_H162176[[#This Row],[3B]]-ATL_H162176[[#This Row],[HR]])+(ATL_H162176[[#This Row],[2B]]*2)+(ATL_H162176[[#This Row],[3B]]*3)+(ATL_H162176[[#This Row],[HR]]*4),0)</f>
        <v>35</v>
      </c>
      <c r="BS69" s="72">
        <f>IFERROR(ATL_H162176[[#This Row],[OBP]]+ATL_H162176[[#This Row],[SLG]],0)</f>
        <v>0.55905006418485237</v>
      </c>
      <c r="BT69" s="74">
        <v>0</v>
      </c>
      <c r="BU69" s="615">
        <v>4</v>
      </c>
    </row>
    <row r="70" spans="1:73">
      <c r="A70" s="651" t="s">
        <v>835</v>
      </c>
      <c r="B70" s="71" t="s">
        <v>177</v>
      </c>
      <c r="C70" s="71" t="s">
        <v>720</v>
      </c>
      <c r="D70" s="72">
        <f>IFERROR(ATL_H[[#This Row],[H]]/ATL_H[[#This Row],[AB]],0)</f>
        <v>0.21794871794871795</v>
      </c>
      <c r="E70" s="72">
        <f>IFERROR((ATL_H[[#This Row],[H]]+ATL_H[[#This Row],[BB]])/(ATL_H[[#This Row],[BB]]+ATL_H[[#This Row],[AB]]),0)</f>
        <v>0.30681818181818182</v>
      </c>
      <c r="F70" s="73">
        <f>IFERROR(((ATL_H[[#This Row],[H]]-ATL_H[[#This Row],[2B]]-ATL_H[[#This Row],[3B]]-ATL_H[[#This Row],[HR]])+(ATL_H[[#This Row],[2B]]*2)+(ATL_H[[#This Row],[3B]]*3)+(ATL_H[[#This Row],[HR]]*4))/ATL_H[[#This Row],[AB]],0)</f>
        <v>0.39102564102564102</v>
      </c>
      <c r="G70" s="28">
        <v>40</v>
      </c>
      <c r="H70" s="28">
        <v>156</v>
      </c>
      <c r="I70" s="28">
        <v>22</v>
      </c>
      <c r="J70" s="28">
        <v>34</v>
      </c>
      <c r="K70" s="28">
        <v>12</v>
      </c>
      <c r="L70" s="28">
        <v>0</v>
      </c>
      <c r="M70" s="28">
        <v>5</v>
      </c>
      <c r="N70" s="28">
        <v>17</v>
      </c>
      <c r="O70" s="28">
        <v>20</v>
      </c>
      <c r="P70" s="74">
        <v>48</v>
      </c>
      <c r="Q70" s="28">
        <v>0</v>
      </c>
      <c r="R70" s="28">
        <v>3</v>
      </c>
      <c r="S70" s="74">
        <v>6</v>
      </c>
      <c r="T70" s="28">
        <f>IFERROR((ATL_H[[#This Row],[H]]-ATL_H[[#This Row],[2B]]-ATL_H[[#This Row],[3B]]-ATL_H[[#This Row],[HR]])+(ATL_H[[#This Row],[2B]]*2)+(ATL_H[[#This Row],[3B]]*3)+(ATL_H[[#This Row],[HR]]*4),0)</f>
        <v>61</v>
      </c>
      <c r="U70" s="72">
        <f>ATL_H[[#This Row],[OBP]]+ATL_H[[#This Row],[SLG]]</f>
        <v>0.69784382284382285</v>
      </c>
      <c r="V70" s="74">
        <v>3</v>
      </c>
      <c r="W70" s="615">
        <v>5</v>
      </c>
      <c r="Z70" s="651" t="s">
        <v>835</v>
      </c>
      <c r="AA70" s="71" t="s">
        <v>177</v>
      </c>
      <c r="AB70" s="71" t="s">
        <v>720</v>
      </c>
      <c r="AC70" s="72">
        <f>IFERROR(ATL_H162[[#This Row],[H]]/ATL_H162[[#This Row],[AB]],0)</f>
        <v>0.2236024844720497</v>
      </c>
      <c r="AD70" s="72">
        <f>IFERROR((ATL_H162[[#This Row],[H]]+ATL_H162[[#This Row],[BB]])/(ATL_H162[[#This Row],[BB]]+ATL_H162[[#This Row],[AB]]),0)</f>
        <v>0.29378531073446329</v>
      </c>
      <c r="AE70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0.43478260869565216</v>
      </c>
      <c r="AF70" s="28">
        <v>40</v>
      </c>
      <c r="AG70" s="28">
        <v>161</v>
      </c>
      <c r="AH70" s="28">
        <v>19</v>
      </c>
      <c r="AI70" s="28">
        <v>36</v>
      </c>
      <c r="AJ70" s="28">
        <v>10</v>
      </c>
      <c r="AK70" s="28">
        <v>0</v>
      </c>
      <c r="AL70" s="28">
        <v>8</v>
      </c>
      <c r="AM70" s="28">
        <v>31</v>
      </c>
      <c r="AN70" s="28">
        <v>16</v>
      </c>
      <c r="AO70" s="74">
        <v>45</v>
      </c>
      <c r="AP70" s="28">
        <v>0</v>
      </c>
      <c r="AQ70" s="28">
        <v>1</v>
      </c>
      <c r="AR70" s="74">
        <v>6</v>
      </c>
      <c r="AS70" s="28">
        <f>IFERROR((ATL_H162[[#This Row],[H]]-ATL_H162[[#This Row],[2B]]-ATL_H162[[#This Row],[3B]]-ATL_H162[[#This Row],[HR]])+(ATL_H162[[#This Row],[2B]]*2)+(ATL_H162[[#This Row],[3B]]*3)+(ATL_H162[[#This Row],[HR]]*4),0)</f>
        <v>70</v>
      </c>
      <c r="AT70" s="72">
        <f>ATL_H162[[#This Row],[OBP]]+ATL_H162[[#This Row],[SLG]]</f>
        <v>0.72856791943011545</v>
      </c>
      <c r="AU70" s="74">
        <v>3</v>
      </c>
      <c r="AV70" s="615">
        <v>5</v>
      </c>
      <c r="AY70" s="651" t="s">
        <v>835</v>
      </c>
      <c r="AZ70" s="74" t="s">
        <v>177</v>
      </c>
      <c r="BA70" s="71" t="s">
        <v>838</v>
      </c>
      <c r="BB70" s="72">
        <f>IFERROR(ATL_H162176[[#This Row],[H]]/ATL_H162176[[#This Row],[AB]],0)</f>
        <v>0.23636363636363636</v>
      </c>
      <c r="BC70" s="72">
        <f>IFERROR((ATL_H162176[[#This Row],[BB]]+ATL_H162176[[#This Row],[H]])/(ATL_H162176[[#This Row],[BB]]+ATL_H162176[[#This Row],[AB]]),0)</f>
        <v>0.30769230769230771</v>
      </c>
      <c r="BD70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0.44242424242424244</v>
      </c>
      <c r="BE70" s="28">
        <v>40</v>
      </c>
      <c r="BF70" s="28">
        <v>165</v>
      </c>
      <c r="BG70" s="28">
        <v>21</v>
      </c>
      <c r="BH70" s="28">
        <v>39</v>
      </c>
      <c r="BI70" s="28">
        <v>8</v>
      </c>
      <c r="BJ70" s="28">
        <v>1</v>
      </c>
      <c r="BK70" s="28">
        <v>8</v>
      </c>
      <c r="BL70" s="28">
        <v>21</v>
      </c>
      <c r="BM70" s="28">
        <v>17</v>
      </c>
      <c r="BN70" s="74">
        <v>35</v>
      </c>
      <c r="BO70" s="28">
        <v>0</v>
      </c>
      <c r="BP70" s="28">
        <v>0</v>
      </c>
      <c r="BQ70" s="74">
        <v>4</v>
      </c>
      <c r="BR70" s="28">
        <f>IFERROR((ATL_H162176[[#This Row],[H]]-ATL_H162176[[#This Row],[2B]]-ATL_H162176[[#This Row],[3B]]-ATL_H162176[[#This Row],[HR]])+(ATL_H162176[[#This Row],[2B]]*2)+(ATL_H162176[[#This Row],[3B]]*3)+(ATL_H162176[[#This Row],[HR]]*4),0)</f>
        <v>73</v>
      </c>
      <c r="BS70" s="72">
        <f>IFERROR(ATL_H162176[[#This Row],[OBP]]+ATL_H162176[[#This Row],[SLG]],0)</f>
        <v>0.7501165501165501</v>
      </c>
      <c r="BT70" s="74">
        <v>3</v>
      </c>
      <c r="BU70" s="615">
        <v>5</v>
      </c>
    </row>
    <row r="71" spans="1:73">
      <c r="A71" s="651" t="s">
        <v>835</v>
      </c>
      <c r="B71" s="71" t="s">
        <v>174</v>
      </c>
      <c r="C71" s="71" t="s">
        <v>843</v>
      </c>
      <c r="D71" s="72">
        <f>IFERROR(ATL_H[[#This Row],[H]]/ATL_H[[#This Row],[AB]],0)</f>
        <v>0.25362318840579712</v>
      </c>
      <c r="E71" s="72">
        <f>IFERROR((ATL_H[[#This Row],[H]]+ATL_H[[#This Row],[BB]])/(ATL_H[[#This Row],[BB]]+ATL_H[[#This Row],[AB]]),0)</f>
        <v>0.3087248322147651</v>
      </c>
      <c r="F71" s="73">
        <f>IFERROR(((ATL_H[[#This Row],[H]]-ATL_H[[#This Row],[2B]]-ATL_H[[#This Row],[3B]]-ATL_H[[#This Row],[HR]])+(ATL_H[[#This Row],[2B]]*2)+(ATL_H[[#This Row],[3B]]*3)+(ATL_H[[#This Row],[HR]]*4))/ATL_H[[#This Row],[AB]],0)</f>
        <v>0.42753623188405798</v>
      </c>
      <c r="G71" s="28">
        <v>35</v>
      </c>
      <c r="H71" s="28">
        <v>138</v>
      </c>
      <c r="I71" s="28">
        <v>18</v>
      </c>
      <c r="J71" s="28">
        <v>35</v>
      </c>
      <c r="K71" s="28">
        <v>9</v>
      </c>
      <c r="L71" s="28">
        <v>0</v>
      </c>
      <c r="M71" s="28">
        <v>5</v>
      </c>
      <c r="N71" s="28">
        <v>12</v>
      </c>
      <c r="O71" s="28">
        <v>11</v>
      </c>
      <c r="P71" s="74">
        <v>40</v>
      </c>
      <c r="Q71" s="28">
        <v>0</v>
      </c>
      <c r="R71" s="28">
        <v>8</v>
      </c>
      <c r="S71" s="74">
        <v>8</v>
      </c>
      <c r="T71" s="28">
        <f>IFERROR((ATL_H[[#This Row],[H]]-ATL_H[[#This Row],[2B]]-ATL_H[[#This Row],[3B]]-ATL_H[[#This Row],[HR]])+(ATL_H[[#This Row],[2B]]*2)+(ATL_H[[#This Row],[3B]]*3)+(ATL_H[[#This Row],[HR]]*4),0)</f>
        <v>59</v>
      </c>
      <c r="U71" s="72">
        <f>ATL_H[[#This Row],[OBP]]+ATL_H[[#This Row],[SLG]]</f>
        <v>0.73626106409882308</v>
      </c>
      <c r="V71" s="74">
        <v>3</v>
      </c>
      <c r="W71" s="615">
        <v>6</v>
      </c>
      <c r="Z71" s="651" t="s">
        <v>835</v>
      </c>
      <c r="AA71" s="71" t="s">
        <v>174</v>
      </c>
      <c r="AB71" s="71" t="s">
        <v>843</v>
      </c>
      <c r="AC71" s="72">
        <f>IFERROR(ATL_H162[[#This Row],[H]]/ATL_H162[[#This Row],[AB]],0)</f>
        <v>0.26785714285714285</v>
      </c>
      <c r="AD71" s="72">
        <f>IFERROR((ATL_H162[[#This Row],[H]]+ATL_H162[[#This Row],[BB]])/(ATL_H162[[#This Row],[BB]]+ATL_H162[[#This Row],[AB]]),0)</f>
        <v>0.31666666666666665</v>
      </c>
      <c r="AE71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0.42857142857142855</v>
      </c>
      <c r="AF71" s="28">
        <v>14</v>
      </c>
      <c r="AG71" s="28">
        <v>56</v>
      </c>
      <c r="AH71" s="28">
        <v>7</v>
      </c>
      <c r="AI71" s="28">
        <v>15</v>
      </c>
      <c r="AJ71" s="28">
        <v>3</v>
      </c>
      <c r="AK71" s="28">
        <v>0</v>
      </c>
      <c r="AL71" s="28">
        <v>2</v>
      </c>
      <c r="AM71" s="28">
        <v>6</v>
      </c>
      <c r="AN71" s="28">
        <v>4</v>
      </c>
      <c r="AO71" s="74">
        <v>13</v>
      </c>
      <c r="AP71" s="28">
        <v>0</v>
      </c>
      <c r="AQ71" s="28">
        <v>5</v>
      </c>
      <c r="AR71" s="74">
        <v>5</v>
      </c>
      <c r="AS71" s="28">
        <f>IFERROR((ATL_H162[[#This Row],[H]]-ATL_H162[[#This Row],[2B]]-ATL_H162[[#This Row],[3B]]-ATL_H162[[#This Row],[HR]])+(ATL_H162[[#This Row],[2B]]*2)+(ATL_H162[[#This Row],[3B]]*3)+(ATL_H162[[#This Row],[HR]]*4),0)</f>
        <v>24</v>
      </c>
      <c r="AT71" s="72">
        <f>ATL_H162[[#This Row],[OBP]]+ATL_H162[[#This Row],[SLG]]</f>
        <v>0.74523809523809526</v>
      </c>
      <c r="AU71" s="74">
        <v>0</v>
      </c>
      <c r="AV71" s="615">
        <v>6</v>
      </c>
      <c r="AY71" s="651" t="s">
        <v>835</v>
      </c>
      <c r="AZ71" s="74" t="s">
        <v>174</v>
      </c>
      <c r="BA71" s="71" t="s">
        <v>843</v>
      </c>
      <c r="BB71" s="72">
        <f>IFERROR(ATL_H162176[[#This Row],[H]]/ATL_H162176[[#This Row],[AB]],0)</f>
        <v>0.20481927710843373</v>
      </c>
      <c r="BC71" s="72">
        <f>IFERROR((ATL_H162176[[#This Row],[BB]]+ATL_H162176[[#This Row],[H]])/(ATL_H162176[[#This Row],[BB]]+ATL_H162176[[#This Row],[AB]]),0)</f>
        <v>0.30526315789473685</v>
      </c>
      <c r="BD71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0.27710843373493976</v>
      </c>
      <c r="BE71" s="28">
        <v>23</v>
      </c>
      <c r="BF71" s="28">
        <v>83</v>
      </c>
      <c r="BG71" s="28">
        <v>9</v>
      </c>
      <c r="BH71" s="28">
        <v>17</v>
      </c>
      <c r="BI71" s="28">
        <v>3</v>
      </c>
      <c r="BJ71" s="28">
        <v>0</v>
      </c>
      <c r="BK71" s="28">
        <v>1</v>
      </c>
      <c r="BL71" s="28">
        <v>9</v>
      </c>
      <c r="BM71" s="28">
        <v>12</v>
      </c>
      <c r="BN71" s="74">
        <v>27</v>
      </c>
      <c r="BO71" s="28">
        <v>0</v>
      </c>
      <c r="BP71" s="28">
        <v>1</v>
      </c>
      <c r="BQ71" s="74">
        <v>3</v>
      </c>
      <c r="BR71" s="28">
        <f>IFERROR((ATL_H162176[[#This Row],[H]]-ATL_H162176[[#This Row],[2B]]-ATL_H162176[[#This Row],[3B]]-ATL_H162176[[#This Row],[HR]])+(ATL_H162176[[#This Row],[2B]]*2)+(ATL_H162176[[#This Row],[3B]]*3)+(ATL_H162176[[#This Row],[HR]]*4),0)</f>
        <v>23</v>
      </c>
      <c r="BS71" s="72">
        <f>IFERROR(ATL_H162176[[#This Row],[OBP]]+ATL_H162176[[#This Row],[SLG]],0)</f>
        <v>0.58237159162967655</v>
      </c>
      <c r="BT71" s="74">
        <v>1</v>
      </c>
      <c r="BU71" s="615">
        <v>6</v>
      </c>
    </row>
    <row r="72" spans="1:73">
      <c r="A72" s="651" t="s">
        <v>835</v>
      </c>
      <c r="B72" s="71" t="s">
        <v>181</v>
      </c>
      <c r="C72" s="71" t="s">
        <v>841</v>
      </c>
      <c r="D72" s="72">
        <f>IFERROR(ATL_H[[#This Row],[H]]/ATL_H[[#This Row],[AB]],0)</f>
        <v>0.26865671641791045</v>
      </c>
      <c r="E72" s="72">
        <f>IFERROR((ATL_H[[#This Row],[H]]+ATL_H[[#This Row],[BB]])/(ATL_H[[#This Row],[BB]]+ATL_H[[#This Row],[AB]]),0)</f>
        <v>0.28985507246376813</v>
      </c>
      <c r="F72" s="73">
        <f>IFERROR(((ATL_H[[#This Row],[H]]-ATL_H[[#This Row],[2B]]-ATL_H[[#This Row],[3B]]-ATL_H[[#This Row],[HR]])+(ATL_H[[#This Row],[2B]]*2)+(ATL_H[[#This Row],[3B]]*3)+(ATL_H[[#This Row],[HR]]*4))/ATL_H[[#This Row],[AB]],0)</f>
        <v>0.4925373134328358</v>
      </c>
      <c r="G72" s="28">
        <v>35</v>
      </c>
      <c r="H72" s="28">
        <v>134</v>
      </c>
      <c r="I72" s="28">
        <v>13</v>
      </c>
      <c r="J72" s="28">
        <v>36</v>
      </c>
      <c r="K72" s="28">
        <v>11</v>
      </c>
      <c r="L72" s="28">
        <v>2</v>
      </c>
      <c r="M72" s="28">
        <v>5</v>
      </c>
      <c r="N72" s="28">
        <v>27</v>
      </c>
      <c r="O72" s="28">
        <v>4</v>
      </c>
      <c r="P72" s="74">
        <v>36</v>
      </c>
      <c r="Q72" s="28">
        <v>0</v>
      </c>
      <c r="R72" s="28">
        <v>4</v>
      </c>
      <c r="S72" s="74">
        <v>8</v>
      </c>
      <c r="T72" s="28">
        <f>IFERROR((ATL_H[[#This Row],[H]]-ATL_H[[#This Row],[2B]]-ATL_H[[#This Row],[3B]]-ATL_H[[#This Row],[HR]])+(ATL_H[[#This Row],[2B]]*2)+(ATL_H[[#This Row],[3B]]*3)+(ATL_H[[#This Row],[HR]]*4),0)</f>
        <v>66</v>
      </c>
      <c r="U72" s="72">
        <f>ATL_H[[#This Row],[OBP]]+ATL_H[[#This Row],[SLG]]</f>
        <v>0.78239238589660398</v>
      </c>
      <c r="V72" s="74">
        <v>5</v>
      </c>
      <c r="W72" s="615">
        <v>7</v>
      </c>
      <c r="Z72" s="651" t="s">
        <v>835</v>
      </c>
      <c r="AA72" s="71" t="s">
        <v>383</v>
      </c>
      <c r="AB72" s="71" t="s">
        <v>841</v>
      </c>
      <c r="AC72" s="72">
        <f>IFERROR(ATL_H162[[#This Row],[H]]/ATL_H162[[#This Row],[AB]],0)</f>
        <v>0.27464788732394368</v>
      </c>
      <c r="AD72" s="72">
        <f>IFERROR((ATL_H162[[#This Row],[H]]+ATL_H162[[#This Row],[BB]])/(ATL_H162[[#This Row],[BB]]+ATL_H162[[#This Row],[AB]]),0)</f>
        <v>0.32236842105263158</v>
      </c>
      <c r="AE72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0.42957746478873238</v>
      </c>
      <c r="AF72" s="28">
        <v>39</v>
      </c>
      <c r="AG72" s="28">
        <v>142</v>
      </c>
      <c r="AH72" s="28">
        <v>13</v>
      </c>
      <c r="AI72" s="28">
        <v>39</v>
      </c>
      <c r="AJ72" s="28">
        <v>10</v>
      </c>
      <c r="AK72" s="28">
        <v>0</v>
      </c>
      <c r="AL72" s="28">
        <v>4</v>
      </c>
      <c r="AM72" s="28">
        <v>18</v>
      </c>
      <c r="AN72" s="28">
        <v>10</v>
      </c>
      <c r="AO72" s="74">
        <v>34</v>
      </c>
      <c r="AP72" s="28">
        <v>2</v>
      </c>
      <c r="AQ72" s="28">
        <v>2</v>
      </c>
      <c r="AR72" s="74">
        <v>8</v>
      </c>
      <c r="AS72" s="28">
        <f>IFERROR((ATL_H162[[#This Row],[H]]-ATL_H162[[#This Row],[2B]]-ATL_H162[[#This Row],[3B]]-ATL_H162[[#This Row],[HR]])+(ATL_H162[[#This Row],[2B]]*2)+(ATL_H162[[#This Row],[3B]]*3)+(ATL_H162[[#This Row],[HR]]*4),0)</f>
        <v>61</v>
      </c>
      <c r="AT72" s="72">
        <f>ATL_H162[[#This Row],[OBP]]+ATL_H162[[#This Row],[SLG]]</f>
        <v>0.7519458858413639</v>
      </c>
      <c r="AU72" s="74">
        <v>2</v>
      </c>
      <c r="AV72" s="615">
        <v>7</v>
      </c>
      <c r="AY72" s="651" t="s">
        <v>835</v>
      </c>
      <c r="AZ72" s="74" t="s">
        <v>181</v>
      </c>
      <c r="BA72" s="71" t="s">
        <v>840</v>
      </c>
      <c r="BB72" s="72">
        <f>IFERROR(ATL_H162176[[#This Row],[H]]/ATL_H162176[[#This Row],[AB]],0)</f>
        <v>0.25</v>
      </c>
      <c r="BC72" s="72">
        <f>IFERROR((ATL_H162176[[#This Row],[BB]]+ATL_H162176[[#This Row],[H]])/(ATL_H162176[[#This Row],[BB]]+ATL_H162176[[#This Row],[AB]]),0)</f>
        <v>0.33513513513513515</v>
      </c>
      <c r="BD72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0.42073170731707316</v>
      </c>
      <c r="BE72" s="28">
        <v>40</v>
      </c>
      <c r="BF72" s="28">
        <v>164</v>
      </c>
      <c r="BG72" s="28">
        <v>25</v>
      </c>
      <c r="BH72" s="28">
        <v>41</v>
      </c>
      <c r="BI72" s="28">
        <v>8</v>
      </c>
      <c r="BJ72" s="28">
        <v>1</v>
      </c>
      <c r="BK72" s="28">
        <v>6</v>
      </c>
      <c r="BL72" s="28">
        <v>19</v>
      </c>
      <c r="BM72" s="28">
        <v>21</v>
      </c>
      <c r="BN72" s="104">
        <v>55</v>
      </c>
      <c r="BO72" s="28">
        <v>14</v>
      </c>
      <c r="BP72" s="28">
        <v>1</v>
      </c>
      <c r="BQ72" s="74">
        <v>6</v>
      </c>
      <c r="BR72" s="28">
        <f>IFERROR((ATL_H162176[[#This Row],[H]]-ATL_H162176[[#This Row],[2B]]-ATL_H162176[[#This Row],[3B]]-ATL_H162176[[#This Row],[HR]])+(ATL_H162176[[#This Row],[2B]]*2)+(ATL_H162176[[#This Row],[3B]]*3)+(ATL_H162176[[#This Row],[HR]]*4),0)</f>
        <v>69</v>
      </c>
      <c r="BS72" s="72">
        <f>IFERROR(ATL_H162176[[#This Row],[OBP]]+ATL_H162176[[#This Row],[SLG]],0)</f>
        <v>0.75586684245220837</v>
      </c>
      <c r="BT72" s="74">
        <v>2</v>
      </c>
      <c r="BU72" s="615">
        <v>7</v>
      </c>
    </row>
    <row r="73" spans="1:73">
      <c r="A73" s="651" t="s">
        <v>835</v>
      </c>
      <c r="B73" s="71" t="s">
        <v>166</v>
      </c>
      <c r="C73" s="71" t="s">
        <v>840</v>
      </c>
      <c r="D73" s="72">
        <f>IFERROR(ATL_H[[#This Row],[H]]/ATL_H[[#This Row],[AB]],0)</f>
        <v>0.20359281437125748</v>
      </c>
      <c r="E73" s="72">
        <f>IFERROR((ATL_H[[#This Row],[H]]+ATL_H[[#This Row],[BB]])/(ATL_H[[#This Row],[BB]]+ATL_H[[#This Row],[AB]]),0)</f>
        <v>0.26923076923076922</v>
      </c>
      <c r="F73" s="73">
        <f>IFERROR(((ATL_H[[#This Row],[H]]-ATL_H[[#This Row],[2B]]-ATL_H[[#This Row],[3B]]-ATL_H[[#This Row],[HR]])+(ATL_H[[#This Row],[2B]]*2)+(ATL_H[[#This Row],[3B]]*3)+(ATL_H[[#This Row],[HR]]*4))/ATL_H[[#This Row],[AB]],0)</f>
        <v>0.33532934131736525</v>
      </c>
      <c r="G73" s="28">
        <v>39</v>
      </c>
      <c r="H73" s="28">
        <v>167</v>
      </c>
      <c r="I73" s="28">
        <v>17</v>
      </c>
      <c r="J73" s="28">
        <v>34</v>
      </c>
      <c r="K73" s="28">
        <v>5</v>
      </c>
      <c r="L73" s="28">
        <v>1</v>
      </c>
      <c r="M73" s="28">
        <v>5</v>
      </c>
      <c r="N73" s="28">
        <v>15</v>
      </c>
      <c r="O73" s="28">
        <v>15</v>
      </c>
      <c r="P73" s="74">
        <v>47</v>
      </c>
      <c r="Q73" s="28">
        <v>10</v>
      </c>
      <c r="R73" s="28">
        <v>0</v>
      </c>
      <c r="S73" s="74">
        <v>4</v>
      </c>
      <c r="T73" s="28">
        <f>IFERROR((ATL_H[[#This Row],[H]]-ATL_H[[#This Row],[2B]]-ATL_H[[#This Row],[3B]]-ATL_H[[#This Row],[HR]])+(ATL_H[[#This Row],[2B]]*2)+(ATL_H[[#This Row],[3B]]*3)+(ATL_H[[#This Row],[HR]]*4),0)</f>
        <v>56</v>
      </c>
      <c r="U73" s="72">
        <f>ATL_H[[#This Row],[OBP]]+ATL_H[[#This Row],[SLG]]</f>
        <v>0.60456011054813441</v>
      </c>
      <c r="V73" s="74">
        <v>1</v>
      </c>
      <c r="W73" s="615">
        <v>8</v>
      </c>
      <c r="Z73" s="651" t="s">
        <v>835</v>
      </c>
      <c r="AA73" s="71" t="s">
        <v>166</v>
      </c>
      <c r="AB73" s="71" t="s">
        <v>840</v>
      </c>
      <c r="AC73" s="72">
        <f>IFERROR(ATL_H162[[#This Row],[H]]/ATL_H162[[#This Row],[AB]],0)</f>
        <v>0.24390243902439024</v>
      </c>
      <c r="AD73" s="72">
        <f>IFERROR((ATL_H162[[#This Row],[H]]+ATL_H162[[#This Row],[BB]])/(ATL_H162[[#This Row],[BB]]+ATL_H162[[#This Row],[AB]]),0)</f>
        <v>0.33333333333333331</v>
      </c>
      <c r="AE73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0.34146341463414637</v>
      </c>
      <c r="AF73" s="28">
        <v>40</v>
      </c>
      <c r="AG73" s="28">
        <v>164</v>
      </c>
      <c r="AH73" s="28">
        <v>24</v>
      </c>
      <c r="AI73" s="28">
        <v>40</v>
      </c>
      <c r="AJ73" s="28">
        <v>7</v>
      </c>
      <c r="AK73" s="28">
        <v>0</v>
      </c>
      <c r="AL73" s="28">
        <v>3</v>
      </c>
      <c r="AM73" s="28">
        <v>13</v>
      </c>
      <c r="AN73" s="28">
        <v>22</v>
      </c>
      <c r="AO73" s="74">
        <v>48</v>
      </c>
      <c r="AP73" s="76">
        <v>19</v>
      </c>
      <c r="AQ73" s="28">
        <v>5</v>
      </c>
      <c r="AR73" s="74">
        <v>11</v>
      </c>
      <c r="AS73" s="28">
        <f>IFERROR((ATL_H162[[#This Row],[H]]-ATL_H162[[#This Row],[2B]]-ATL_H162[[#This Row],[3B]]-ATL_H162[[#This Row],[HR]])+(ATL_H162[[#This Row],[2B]]*2)+(ATL_H162[[#This Row],[3B]]*3)+(ATL_H162[[#This Row],[HR]]*4),0)</f>
        <v>56</v>
      </c>
      <c r="AT73" s="72">
        <f>ATL_H162[[#This Row],[OBP]]+ATL_H162[[#This Row],[SLG]]</f>
        <v>0.67479674796747968</v>
      </c>
      <c r="AU73" s="74">
        <v>1</v>
      </c>
      <c r="AV73" s="615">
        <v>8</v>
      </c>
      <c r="AY73" s="651" t="s">
        <v>835</v>
      </c>
      <c r="AZ73" s="74" t="s">
        <v>166</v>
      </c>
      <c r="BA73" s="71" t="s">
        <v>845</v>
      </c>
      <c r="BB73" s="72">
        <f>IFERROR(ATL_H162176[[#This Row],[H]]/ATL_H162176[[#This Row],[AB]],0)</f>
        <v>0.3125</v>
      </c>
      <c r="BC73" s="72">
        <f>IFERROR((ATL_H162176[[#This Row],[BB]]+ATL_H162176[[#This Row],[H]])/(ATL_H162176[[#This Row],[BB]]+ATL_H162176[[#This Row],[AB]]),0)</f>
        <v>0.36781609195402298</v>
      </c>
      <c r="BD73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0.55000000000000004</v>
      </c>
      <c r="BE73" s="28">
        <v>26</v>
      </c>
      <c r="BF73" s="28">
        <v>80</v>
      </c>
      <c r="BG73" s="28">
        <v>7</v>
      </c>
      <c r="BH73" s="28">
        <v>25</v>
      </c>
      <c r="BI73" s="28">
        <v>4</v>
      </c>
      <c r="BJ73" s="28">
        <v>0</v>
      </c>
      <c r="BK73" s="28">
        <v>5</v>
      </c>
      <c r="BL73" s="28">
        <v>10</v>
      </c>
      <c r="BM73" s="28">
        <v>7</v>
      </c>
      <c r="BN73" s="74">
        <v>15</v>
      </c>
      <c r="BO73" s="28">
        <v>0</v>
      </c>
      <c r="BP73" s="28">
        <v>4</v>
      </c>
      <c r="BQ73" s="74">
        <v>4</v>
      </c>
      <c r="BR73" s="28">
        <f>IFERROR((ATL_H162176[[#This Row],[H]]-ATL_H162176[[#This Row],[2B]]-ATL_H162176[[#This Row],[3B]]-ATL_H162176[[#This Row],[HR]])+(ATL_H162176[[#This Row],[2B]]*2)+(ATL_H162176[[#This Row],[3B]]*3)+(ATL_H162176[[#This Row],[HR]]*4),0)</f>
        <v>44</v>
      </c>
      <c r="BS73" s="72">
        <f>IFERROR(ATL_H162176[[#This Row],[OBP]]+ATL_H162176[[#This Row],[SLG]],0)</f>
        <v>0.91781609195402303</v>
      </c>
      <c r="BT73" s="74">
        <v>1</v>
      </c>
      <c r="BU73" s="615">
        <v>8</v>
      </c>
    </row>
    <row r="74" spans="1:73">
      <c r="A74" s="651" t="s">
        <v>835</v>
      </c>
      <c r="B74" s="77" t="s">
        <v>168</v>
      </c>
      <c r="C74" s="71" t="s">
        <v>848</v>
      </c>
      <c r="D74" s="72">
        <f>IFERROR(ATL_H[[#This Row],[H]]/ATL_H[[#This Row],[AB]],0)</f>
        <v>0.31428571428571428</v>
      </c>
      <c r="E74" s="72">
        <f>IFERROR((ATL_H[[#This Row],[H]]+ATL_H[[#This Row],[BB]])/(ATL_H[[#This Row],[BB]]+ATL_H[[#This Row],[AB]]),0)</f>
        <v>0.38461538461538464</v>
      </c>
      <c r="F74" s="73">
        <f>IFERROR(((ATL_H[[#This Row],[H]]-ATL_H[[#This Row],[2B]]-ATL_H[[#This Row],[3B]]-ATL_H[[#This Row],[HR]])+(ATL_H[[#This Row],[2B]]*2)+(ATL_H[[#This Row],[3B]]*3)+(ATL_H[[#This Row],[HR]]*4))/ATL_H[[#This Row],[AB]],0)</f>
        <v>0.61428571428571432</v>
      </c>
      <c r="G74" s="28">
        <v>17</v>
      </c>
      <c r="H74" s="28">
        <v>70</v>
      </c>
      <c r="I74" s="28">
        <v>12</v>
      </c>
      <c r="J74" s="28">
        <v>22</v>
      </c>
      <c r="K74" s="28">
        <v>6</v>
      </c>
      <c r="L74" s="28">
        <v>0</v>
      </c>
      <c r="M74" s="28">
        <v>5</v>
      </c>
      <c r="N74" s="28">
        <v>17</v>
      </c>
      <c r="O74" s="28">
        <v>8</v>
      </c>
      <c r="P74" s="74">
        <v>21</v>
      </c>
      <c r="Q74" s="28">
        <v>0</v>
      </c>
      <c r="R74" s="28">
        <v>8</v>
      </c>
      <c r="S74" s="74">
        <v>8</v>
      </c>
      <c r="T74" s="28">
        <f>IFERROR((ATL_H[[#This Row],[H]]-ATL_H[[#This Row],[2B]]-ATL_H[[#This Row],[3B]]-ATL_H[[#This Row],[HR]])+(ATL_H[[#This Row],[2B]]*2)+(ATL_H[[#This Row],[3B]]*3)+(ATL_H[[#This Row],[HR]]*4),0)</f>
        <v>43</v>
      </c>
      <c r="U74" s="72">
        <f>ATL_H[[#This Row],[OBP]]+ATL_H[[#This Row],[SLG]]</f>
        <v>0.99890109890109891</v>
      </c>
      <c r="V74" s="74">
        <v>2</v>
      </c>
      <c r="W74" s="615">
        <v>9</v>
      </c>
      <c r="Z74" s="651" t="s">
        <v>835</v>
      </c>
      <c r="AA74" s="71" t="s">
        <v>168</v>
      </c>
      <c r="AB74" s="71" t="s">
        <v>837</v>
      </c>
      <c r="AC74" s="72">
        <f>IFERROR(ATL_H162[[#This Row],[H]]/ATL_H162[[#This Row],[AB]],0)</f>
        <v>0.2857142857142857</v>
      </c>
      <c r="AD74" s="72">
        <f>IFERROR((ATL_H162[[#This Row],[H]]+ATL_H162[[#This Row],[BB]])/(ATL_H162[[#This Row],[BB]]+ATL_H162[[#This Row],[AB]]),0)</f>
        <v>0.34659090909090912</v>
      </c>
      <c r="AE74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0.55279503105590067</v>
      </c>
      <c r="AF74" s="28">
        <v>40</v>
      </c>
      <c r="AG74" s="28">
        <v>161</v>
      </c>
      <c r="AH74" s="28">
        <v>24</v>
      </c>
      <c r="AI74" s="28">
        <v>46</v>
      </c>
      <c r="AJ74" s="28">
        <v>13</v>
      </c>
      <c r="AK74" s="28">
        <v>0</v>
      </c>
      <c r="AL74" s="28">
        <v>10</v>
      </c>
      <c r="AM74" s="28">
        <v>23</v>
      </c>
      <c r="AN74" s="28">
        <v>15</v>
      </c>
      <c r="AO74" s="74">
        <v>55</v>
      </c>
      <c r="AP74" s="28">
        <v>0</v>
      </c>
      <c r="AQ74" s="28">
        <v>3</v>
      </c>
      <c r="AR74" s="74">
        <v>11</v>
      </c>
      <c r="AS74" s="28">
        <f>IFERROR((ATL_H162[[#This Row],[H]]-ATL_H162[[#This Row],[2B]]-ATL_H162[[#This Row],[3B]]-ATL_H162[[#This Row],[HR]])+(ATL_H162[[#This Row],[2B]]*2)+(ATL_H162[[#This Row],[3B]]*3)+(ATL_H162[[#This Row],[HR]]*4),0)</f>
        <v>89</v>
      </c>
      <c r="AT74" s="72">
        <f>ATL_H162[[#This Row],[OBP]]+ATL_H162[[#This Row],[SLG]]</f>
        <v>0.89938594014680984</v>
      </c>
      <c r="AU74" s="74">
        <v>5</v>
      </c>
      <c r="AV74" s="615">
        <v>9</v>
      </c>
      <c r="AY74" s="651" t="s">
        <v>835</v>
      </c>
      <c r="AZ74" s="74" t="s">
        <v>168</v>
      </c>
      <c r="BA74" s="71" t="s">
        <v>844</v>
      </c>
      <c r="BB74" s="72">
        <f>IFERROR(ATL_H162176[[#This Row],[H]]/ATL_H162176[[#This Row],[AB]],0)</f>
        <v>0.24603174603174602</v>
      </c>
      <c r="BC74" s="72">
        <f>IFERROR((ATL_H162176[[#This Row],[BB]]+ATL_H162176[[#This Row],[H]])/(ATL_H162176[[#This Row],[BB]]+ATL_H162176[[#This Row],[AB]]),0)</f>
        <v>0.34482758620689657</v>
      </c>
      <c r="BD74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0.40476190476190477</v>
      </c>
      <c r="BE74" s="28">
        <v>34</v>
      </c>
      <c r="BF74" s="28">
        <v>126</v>
      </c>
      <c r="BG74" s="28">
        <v>13</v>
      </c>
      <c r="BH74" s="28">
        <v>31</v>
      </c>
      <c r="BI74" s="28">
        <v>2</v>
      </c>
      <c r="BJ74" s="28">
        <v>0</v>
      </c>
      <c r="BK74" s="28">
        <v>6</v>
      </c>
      <c r="BL74" s="28">
        <v>18</v>
      </c>
      <c r="BM74" s="28">
        <v>19</v>
      </c>
      <c r="BN74" s="74">
        <v>28</v>
      </c>
      <c r="BO74" s="28">
        <v>0</v>
      </c>
      <c r="BP74" s="28">
        <v>1</v>
      </c>
      <c r="BQ74" s="74">
        <v>5</v>
      </c>
      <c r="BR74" s="28">
        <f>IFERROR((ATL_H162176[[#This Row],[H]]-ATL_H162176[[#This Row],[2B]]-ATL_H162176[[#This Row],[3B]]-ATL_H162176[[#This Row],[HR]])+(ATL_H162176[[#This Row],[2B]]*2)+(ATL_H162176[[#This Row],[3B]]*3)+(ATL_H162176[[#This Row],[HR]]*4),0)</f>
        <v>51</v>
      </c>
      <c r="BS74" s="72">
        <f>IFERROR(ATL_H162176[[#This Row],[OBP]]+ATL_H162176[[#This Row],[SLG]],0)</f>
        <v>0.74958949096880134</v>
      </c>
      <c r="BT74" s="74">
        <v>3</v>
      </c>
      <c r="BU74" s="615">
        <v>9</v>
      </c>
    </row>
    <row r="75" spans="1:73">
      <c r="A75" s="651" t="s">
        <v>835</v>
      </c>
      <c r="B75" s="77" t="s">
        <v>179</v>
      </c>
      <c r="C75" s="71" t="s">
        <v>725</v>
      </c>
      <c r="D75" s="72">
        <f>IFERROR(ATL_H[[#This Row],[H]]/ATL_H[[#This Row],[AB]],0)</f>
        <v>0.20754716981132076</v>
      </c>
      <c r="E75" s="72">
        <f>IFERROR((ATL_H[[#This Row],[H]]+ATL_H[[#This Row],[BB]])/(ATL_H[[#This Row],[BB]]+ATL_H[[#This Row],[AB]]),0)</f>
        <v>0.32258064516129031</v>
      </c>
      <c r="F75" s="73">
        <f>IFERROR(((ATL_H[[#This Row],[H]]-ATL_H[[#This Row],[2B]]-ATL_H[[#This Row],[3B]]-ATL_H[[#This Row],[HR]])+(ATL_H[[#This Row],[2B]]*2)+(ATL_H[[#This Row],[3B]]*3)+(ATL_H[[#This Row],[HR]]*4))/ATL_H[[#This Row],[AB]],0)</f>
        <v>0.26415094339622641</v>
      </c>
      <c r="G75" s="28">
        <v>19</v>
      </c>
      <c r="H75" s="28">
        <v>53</v>
      </c>
      <c r="I75" s="28">
        <v>5</v>
      </c>
      <c r="J75" s="28">
        <v>11</v>
      </c>
      <c r="K75" s="28">
        <v>3</v>
      </c>
      <c r="L75" s="28">
        <v>0</v>
      </c>
      <c r="M75" s="28">
        <v>0</v>
      </c>
      <c r="N75" s="28">
        <v>3</v>
      </c>
      <c r="O75" s="28">
        <v>9</v>
      </c>
      <c r="P75" s="74">
        <v>11</v>
      </c>
      <c r="Q75" s="28">
        <v>0</v>
      </c>
      <c r="R75" s="28">
        <v>0</v>
      </c>
      <c r="S75" s="74">
        <v>3</v>
      </c>
      <c r="T75" s="28">
        <f>IFERROR((ATL_H[[#This Row],[H]]-ATL_H[[#This Row],[2B]]-ATL_H[[#This Row],[3B]]-ATL_H[[#This Row],[HR]])+(ATL_H[[#This Row],[2B]]*2)+(ATL_H[[#This Row],[3B]]*3)+(ATL_H[[#This Row],[HR]]*4),0)</f>
        <v>14</v>
      </c>
      <c r="U75" s="72">
        <f>ATL_H[[#This Row],[OBP]]+ATL_H[[#This Row],[SLG]]</f>
        <v>0.58673158855751673</v>
      </c>
      <c r="V75" s="74">
        <v>1</v>
      </c>
      <c r="W75" s="615">
        <v>10</v>
      </c>
      <c r="Z75" s="651" t="s">
        <v>835</v>
      </c>
      <c r="AA75" s="71" t="s">
        <v>179</v>
      </c>
      <c r="AB75" s="71" t="s">
        <v>846</v>
      </c>
      <c r="AC75" s="72">
        <f>IFERROR(ATL_H162[[#This Row],[H]]/ATL_H162[[#This Row],[AB]],0)</f>
        <v>0.2</v>
      </c>
      <c r="AD75" s="72">
        <f>IFERROR((ATL_H162[[#This Row],[H]]+ATL_H162[[#This Row],[BB]])/(ATL_H162[[#This Row],[BB]]+ATL_H162[[#This Row],[AB]]),0)</f>
        <v>0.2</v>
      </c>
      <c r="AE75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0.4</v>
      </c>
      <c r="AF75" s="28">
        <v>4</v>
      </c>
      <c r="AG75" s="28">
        <v>15</v>
      </c>
      <c r="AH75" s="28">
        <v>1</v>
      </c>
      <c r="AI75" s="28">
        <v>3</v>
      </c>
      <c r="AJ75" s="28">
        <v>0</v>
      </c>
      <c r="AK75" s="28">
        <v>0</v>
      </c>
      <c r="AL75" s="28">
        <v>1</v>
      </c>
      <c r="AM75" s="28">
        <v>2</v>
      </c>
      <c r="AN75" s="28">
        <v>0</v>
      </c>
      <c r="AO75" s="74">
        <v>2</v>
      </c>
      <c r="AP75" s="28">
        <v>0</v>
      </c>
      <c r="AQ75" s="28">
        <v>2</v>
      </c>
      <c r="AR75" s="74">
        <v>2</v>
      </c>
      <c r="AS75" s="28">
        <f>IFERROR((ATL_H162[[#This Row],[H]]-ATL_H162[[#This Row],[2B]]-ATL_H162[[#This Row],[3B]]-ATL_H162[[#This Row],[HR]])+(ATL_H162[[#This Row],[2B]]*2)+(ATL_H162[[#This Row],[3B]]*3)+(ATL_H162[[#This Row],[HR]]*4),0)</f>
        <v>6</v>
      </c>
      <c r="AT75" s="72">
        <f>ATL_H162[[#This Row],[OBP]]+ATL_H162[[#This Row],[SLG]]</f>
        <v>0.60000000000000009</v>
      </c>
      <c r="AU75" s="74">
        <v>1</v>
      </c>
      <c r="AV75" s="615">
        <v>10</v>
      </c>
      <c r="AY75" s="651" t="s">
        <v>835</v>
      </c>
      <c r="AZ75" s="74" t="s">
        <v>179</v>
      </c>
      <c r="BA75" s="71" t="s">
        <v>846</v>
      </c>
      <c r="BB75" s="72">
        <f>IFERROR(ATL_H162176[[#This Row],[H]]/ATL_H162176[[#This Row],[AB]],0)</f>
        <v>0.19047619047619047</v>
      </c>
      <c r="BC75" s="72">
        <f>IFERROR((ATL_H162176[[#This Row],[BB]]+ATL_H162176[[#This Row],[H]])/(ATL_H162176[[#This Row],[BB]]+ATL_H162176[[#This Row],[AB]]),0)</f>
        <v>0.25</v>
      </c>
      <c r="BD75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0.34920634920634919</v>
      </c>
      <c r="BE75" s="28">
        <v>20</v>
      </c>
      <c r="BF75" s="28">
        <v>63</v>
      </c>
      <c r="BG75" s="28">
        <v>5</v>
      </c>
      <c r="BH75" s="28">
        <v>12</v>
      </c>
      <c r="BI75" s="28">
        <v>4</v>
      </c>
      <c r="BJ75" s="28">
        <v>0</v>
      </c>
      <c r="BK75" s="28">
        <v>2</v>
      </c>
      <c r="BL75" s="28">
        <v>9</v>
      </c>
      <c r="BM75" s="28">
        <v>5</v>
      </c>
      <c r="BN75" s="74">
        <v>14</v>
      </c>
      <c r="BO75" s="28">
        <v>0</v>
      </c>
      <c r="BP75" s="28">
        <v>0</v>
      </c>
      <c r="BQ75" s="74">
        <v>4</v>
      </c>
      <c r="BR75" s="28">
        <f>IFERROR((ATL_H162176[[#This Row],[H]]-ATL_H162176[[#This Row],[2B]]-ATL_H162176[[#This Row],[3B]]-ATL_H162176[[#This Row],[HR]])+(ATL_H162176[[#This Row],[2B]]*2)+(ATL_H162176[[#This Row],[3B]]*3)+(ATL_H162176[[#This Row],[HR]]*4),0)</f>
        <v>22</v>
      </c>
      <c r="BS75" s="72">
        <f>IFERROR(ATL_H162176[[#This Row],[OBP]]+ATL_H162176[[#This Row],[SLG]],0)</f>
        <v>0.59920634920634919</v>
      </c>
      <c r="BT75" s="74">
        <v>1</v>
      </c>
      <c r="BU75" s="615">
        <v>10</v>
      </c>
    </row>
    <row r="76" spans="1:73">
      <c r="A76" s="651" t="s">
        <v>835</v>
      </c>
      <c r="B76" s="71" t="s">
        <v>187</v>
      </c>
      <c r="C76" s="71" t="s">
        <v>837</v>
      </c>
      <c r="D76" s="72">
        <f>IFERROR(ATL_H[[#This Row],[H]]/ATL_H[[#This Row],[AB]],0)</f>
        <v>0.23</v>
      </c>
      <c r="E76" s="72">
        <f>IFERROR((ATL_H[[#This Row],[H]]+ATL_H[[#This Row],[BB]])/(ATL_H[[#This Row],[BB]]+ATL_H[[#This Row],[AB]]),0)</f>
        <v>0.28703703703703703</v>
      </c>
      <c r="F76" s="73">
        <f>IFERROR(((ATL_H[[#This Row],[H]]-ATL_H[[#This Row],[2B]]-ATL_H[[#This Row],[3B]]-ATL_H[[#This Row],[HR]])+(ATL_H[[#This Row],[2B]]*2)+(ATL_H[[#This Row],[3B]]*3)+(ATL_H[[#This Row],[HR]]*4))/ATL_H[[#This Row],[AB]],0)</f>
        <v>0.39</v>
      </c>
      <c r="G76" s="28">
        <v>28</v>
      </c>
      <c r="H76" s="28">
        <v>100</v>
      </c>
      <c r="I76" s="28">
        <v>12</v>
      </c>
      <c r="J76" s="28">
        <v>23</v>
      </c>
      <c r="K76" s="28">
        <v>4</v>
      </c>
      <c r="L76" s="28">
        <v>0</v>
      </c>
      <c r="M76" s="28">
        <v>4</v>
      </c>
      <c r="N76" s="28">
        <v>15</v>
      </c>
      <c r="O76" s="28">
        <v>8</v>
      </c>
      <c r="P76" s="74">
        <v>37</v>
      </c>
      <c r="Q76" s="28">
        <v>0</v>
      </c>
      <c r="R76" s="28">
        <v>1</v>
      </c>
      <c r="S76" s="74">
        <v>6</v>
      </c>
      <c r="T76" s="28">
        <f>IFERROR((ATL_H[[#This Row],[H]]-ATL_H[[#This Row],[2B]]-ATL_H[[#This Row],[3B]]-ATL_H[[#This Row],[HR]])+(ATL_H[[#This Row],[2B]]*2)+(ATL_H[[#This Row],[3B]]*3)+(ATL_H[[#This Row],[HR]]*4),0)</f>
        <v>39</v>
      </c>
      <c r="U76" s="72">
        <f>ATL_H[[#This Row],[OBP]]+ATL_H[[#This Row],[SLG]]</f>
        <v>0.6770370370370371</v>
      </c>
      <c r="V76" s="74">
        <v>2</v>
      </c>
      <c r="W76" s="615">
        <v>11</v>
      </c>
      <c r="Z76" s="651" t="s">
        <v>835</v>
      </c>
      <c r="AA76" s="71" t="s">
        <v>192</v>
      </c>
      <c r="AB76" s="71" t="s">
        <v>851</v>
      </c>
      <c r="AC76" s="72">
        <f>IFERROR(ATL_H162[[#This Row],[H]]/ATL_H162[[#This Row],[AB]],0)</f>
        <v>0</v>
      </c>
      <c r="AD76" s="72">
        <f>IFERROR((ATL_H162[[#This Row],[H]]+ATL_H162[[#This Row],[BB]])/(ATL_H162[[#This Row],[BB]]+ATL_H162[[#This Row],[AB]]),0)</f>
        <v>0</v>
      </c>
      <c r="AE76" s="73">
        <f>IFERROR(((ATL_H162[[#This Row],[H]]-ATL_H162[[#This Row],[2B]]-ATL_H162[[#This Row],[3B]]-ATL_H162[[#This Row],[HR]])+(ATL_H162[[#This Row],[2B]]*2)+(ATL_H162[[#This Row],[3B]]*3)+(ATL_H162[[#This Row],[HR]]*4))/ATL_H162[[#This Row],[AB]],0)</f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74">
        <v>0</v>
      </c>
      <c r="AP76" s="28">
        <v>0</v>
      </c>
      <c r="AQ76" s="28">
        <v>0</v>
      </c>
      <c r="AR76" s="74">
        <v>0</v>
      </c>
      <c r="AS76" s="28">
        <f>IFERROR((ATL_H162[[#This Row],[H]]-ATL_H162[[#This Row],[2B]]-ATL_H162[[#This Row],[3B]]-ATL_H162[[#This Row],[HR]])+(ATL_H162[[#This Row],[2B]]*2)+(ATL_H162[[#This Row],[3B]]*3)+(ATL_H162[[#This Row],[HR]]*4),0)</f>
        <v>0</v>
      </c>
      <c r="AT76" s="72">
        <f>ATL_H162[[#This Row],[OBP]]+ATL_H162[[#This Row],[SLG]]</f>
        <v>0</v>
      </c>
      <c r="AU76" s="74">
        <v>0</v>
      </c>
      <c r="AV76" s="615">
        <v>11</v>
      </c>
      <c r="AY76" s="651" t="s">
        <v>835</v>
      </c>
      <c r="AZ76" s="74" t="s">
        <v>187</v>
      </c>
      <c r="BA76" s="71" t="s">
        <v>847</v>
      </c>
      <c r="BB76" s="72">
        <f>IFERROR(ATL_H162176[[#This Row],[H]]/ATL_H162176[[#This Row],[AB]],0)</f>
        <v>0.1702127659574468</v>
      </c>
      <c r="BC76" s="72">
        <f>IFERROR((ATL_H162176[[#This Row],[BB]]+ATL_H162176[[#This Row],[H]])/(ATL_H162176[[#This Row],[BB]]+ATL_H162176[[#This Row],[AB]]),0)</f>
        <v>0.21212121212121213</v>
      </c>
      <c r="BD76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0.28723404255319152</v>
      </c>
      <c r="BE76" s="28">
        <v>28</v>
      </c>
      <c r="BF76" s="28">
        <v>94</v>
      </c>
      <c r="BG76" s="28">
        <v>9</v>
      </c>
      <c r="BH76" s="28">
        <v>16</v>
      </c>
      <c r="BI76" s="28">
        <v>3</v>
      </c>
      <c r="BJ76" s="28">
        <v>1</v>
      </c>
      <c r="BK76" s="28">
        <v>2</v>
      </c>
      <c r="BL76" s="28">
        <v>7</v>
      </c>
      <c r="BM76" s="28">
        <v>5</v>
      </c>
      <c r="BN76" s="74">
        <v>29</v>
      </c>
      <c r="BO76" s="28">
        <v>0</v>
      </c>
      <c r="BP76" s="28">
        <v>0</v>
      </c>
      <c r="BQ76" s="74">
        <v>3</v>
      </c>
      <c r="BR76" s="28">
        <f>IFERROR((ATL_H162176[[#This Row],[H]]-ATL_H162176[[#This Row],[2B]]-ATL_H162176[[#This Row],[3B]]-ATL_H162176[[#This Row],[HR]])+(ATL_H162176[[#This Row],[2B]]*2)+(ATL_H162176[[#This Row],[3B]]*3)+(ATL_H162176[[#This Row],[HR]]*4),0)</f>
        <v>27</v>
      </c>
      <c r="BS76" s="72">
        <f>IFERROR(ATL_H162176[[#This Row],[OBP]]+ATL_H162176[[#This Row],[SLG]],0)</f>
        <v>0.49935525467440367</v>
      </c>
      <c r="BT76" s="74">
        <v>1</v>
      </c>
      <c r="BU76" s="615">
        <v>11</v>
      </c>
    </row>
    <row r="77" spans="1:73">
      <c r="A77" s="651" t="s">
        <v>835</v>
      </c>
      <c r="B77" s="71" t="s">
        <v>192</v>
      </c>
      <c r="C77" s="71" t="s">
        <v>850</v>
      </c>
      <c r="D77" s="72">
        <f>IFERROR(ATL_H[[#This Row],[H]]/ATL_H[[#This Row],[AB]],0)</f>
        <v>0</v>
      </c>
      <c r="E77" s="72">
        <f>IFERROR((ATL_H[[#This Row],[H]]+ATL_H[[#This Row],[BB]])/(ATL_H[[#This Row],[BB]]+ATL_H[[#This Row],[AB]]),0)</f>
        <v>0</v>
      </c>
      <c r="F77" s="73">
        <f>IFERROR(((ATL_H[[#This Row],[H]]-ATL_H[[#This Row],[2B]]-ATL_H[[#This Row],[3B]]-ATL_H[[#This Row],[HR]])+(ATL_H[[#This Row],[2B]]*2)+(ATL_H[[#This Row],[3B]]*3)+(ATL_H[[#This Row],[HR]]*4))/ATL_H[[#This Row],[AB]],0)</f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74">
        <v>0</v>
      </c>
      <c r="Q77" s="28">
        <v>0</v>
      </c>
      <c r="R77" s="28">
        <v>0</v>
      </c>
      <c r="S77" s="74">
        <v>0</v>
      </c>
      <c r="T77" s="28">
        <f>IFERROR((ATL_H[[#This Row],[H]]-ATL_H[[#This Row],[2B]]-ATL_H[[#This Row],[3B]]-ATL_H[[#This Row],[HR]])+(ATL_H[[#This Row],[2B]]*2)+(ATL_H[[#This Row],[3B]]*3)+(ATL_H[[#This Row],[HR]]*4),0)</f>
        <v>0</v>
      </c>
      <c r="U77" s="72">
        <f>ATL_H[[#This Row],[OBP]]+ATL_H[[#This Row],[SLG]]</f>
        <v>0</v>
      </c>
      <c r="V77" s="74">
        <v>0</v>
      </c>
      <c r="W77" s="615">
        <v>12</v>
      </c>
      <c r="Z77" s="651" t="s">
        <v>835</v>
      </c>
      <c r="AA77" s="71" t="s">
        <v>186</v>
      </c>
      <c r="AB77" s="71" t="s">
        <v>845</v>
      </c>
      <c r="AC77" s="72">
        <f>IFERROR(ATL_H162[[#This Row],[H]]/ATL_H162[[#This Row],[AB]],0)</f>
        <v>0</v>
      </c>
      <c r="AD77" s="72">
        <f>IFERROR((ATL_H162[[#This Row],[H]]+ATL_H162[[#This Row],[BB]])/(ATL_H162[[#This Row],[BB]]+ATL_H162[[#This Row],[AB]]),0)</f>
        <v>0.23529411764705882</v>
      </c>
      <c r="AE77" s="73">
        <f>IFERROR(((ATL_H162[[#This Row],[H]]-ATL_H162[[#This Row],[2B]]-ATL_H162[[#This Row],[3B]]-ATL_H162[[#This Row],[HR]])+(ATL_H162[[#This Row],[2B]]*2)+(ATL_H162[[#This Row],[3B]]*3)+(ATL_H162[[#This Row],[HR]]*4))/ATL_H162[[#This Row],[AB]],0)</f>
        <v>0</v>
      </c>
      <c r="AF77" s="28">
        <v>8</v>
      </c>
      <c r="AG77" s="28">
        <v>26</v>
      </c>
      <c r="AH77" s="28">
        <v>3</v>
      </c>
      <c r="AI77" s="28">
        <v>0</v>
      </c>
      <c r="AJ77" s="28">
        <v>0</v>
      </c>
      <c r="AK77" s="28">
        <v>0</v>
      </c>
      <c r="AL77" s="28">
        <v>0</v>
      </c>
      <c r="AM77" s="28">
        <v>1</v>
      </c>
      <c r="AN77" s="28">
        <v>8</v>
      </c>
      <c r="AO77" s="74">
        <v>9</v>
      </c>
      <c r="AP77" s="28">
        <v>0</v>
      </c>
      <c r="AQ77" s="28">
        <v>0</v>
      </c>
      <c r="AR77" s="74">
        <v>0</v>
      </c>
      <c r="AS77" s="28">
        <f>IFERROR((ATL_H162[[#This Row],[H]]-ATL_H162[[#This Row],[2B]]-ATL_H162[[#This Row],[3B]]-ATL_H162[[#This Row],[HR]])+(ATL_H162[[#This Row],[2B]]*2)+(ATL_H162[[#This Row],[3B]]*3)+(ATL_H162[[#This Row],[HR]]*4),0)</f>
        <v>0</v>
      </c>
      <c r="AT77" s="72">
        <f>ATL_H162[[#This Row],[OBP]]+ATL_H162[[#This Row],[SLG]]</f>
        <v>0.23529411764705882</v>
      </c>
      <c r="AU77" s="74">
        <v>0</v>
      </c>
      <c r="AV77" s="615">
        <v>12</v>
      </c>
      <c r="AY77" s="651" t="s">
        <v>835</v>
      </c>
      <c r="AZ77" s="74" t="s">
        <v>184</v>
      </c>
      <c r="BA77" s="71" t="s">
        <v>852</v>
      </c>
      <c r="BB77" s="72">
        <f>IFERROR(ATL_H162176[[#This Row],[H]]/ATL_H162176[[#This Row],[AB]],0)</f>
        <v>0</v>
      </c>
      <c r="BC77" s="72">
        <f>IFERROR((ATL_H162176[[#This Row],[BB]]+ATL_H162176[[#This Row],[H]])/(ATL_H162176[[#This Row],[BB]]+ATL_H162176[[#This Row],[AB]]),0)</f>
        <v>0</v>
      </c>
      <c r="BD77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74">
        <v>0</v>
      </c>
      <c r="BO77" s="28">
        <v>0</v>
      </c>
      <c r="BP77" s="28">
        <v>0</v>
      </c>
      <c r="BQ77" s="74">
        <v>0</v>
      </c>
      <c r="BR77" s="28">
        <f>IFERROR((ATL_H162176[[#This Row],[H]]-ATL_H162176[[#This Row],[2B]]-ATL_H162176[[#This Row],[3B]]-ATL_H162176[[#This Row],[HR]])+(ATL_H162176[[#This Row],[2B]]*2)+(ATL_H162176[[#This Row],[3B]]*3)+(ATL_H162176[[#This Row],[HR]]*4),0)</f>
        <v>0</v>
      </c>
      <c r="BS77" s="72">
        <f>IFERROR(ATL_H162176[[#This Row],[OBP]]+ATL_H162176[[#This Row],[SLG]],0)</f>
        <v>0</v>
      </c>
      <c r="BT77" s="74">
        <v>0</v>
      </c>
      <c r="BU77" s="615">
        <v>12</v>
      </c>
    </row>
    <row r="78" spans="1:73">
      <c r="A78" s="651" t="s">
        <v>835</v>
      </c>
      <c r="B78" s="71" t="s">
        <v>187</v>
      </c>
      <c r="C78" s="71" t="s">
        <v>851</v>
      </c>
      <c r="D78" s="72">
        <f>IFERROR(ATL_H[[#This Row],[H]]/ATL_H[[#This Row],[AB]],0)</f>
        <v>0</v>
      </c>
      <c r="E78" s="72">
        <f>IFERROR((ATL_H[[#This Row],[H]]+ATL_H[[#This Row],[BB]])/(ATL_H[[#This Row],[BB]]+ATL_H[[#This Row],[AB]]),0)</f>
        <v>0</v>
      </c>
      <c r="F78" s="73">
        <f>IFERROR(((ATL_H[[#This Row],[H]]-ATL_H[[#This Row],[2B]]-ATL_H[[#This Row],[3B]]-ATL_H[[#This Row],[HR]])+(ATL_H[[#This Row],[2B]]*2)+(ATL_H[[#This Row],[3B]]*3)+(ATL_H[[#This Row],[HR]]*4))/ATL_H[[#This Row],[AB]],0)</f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74">
        <v>0</v>
      </c>
      <c r="Q78" s="28">
        <v>0</v>
      </c>
      <c r="R78" s="28">
        <v>0</v>
      </c>
      <c r="S78" s="74">
        <v>0</v>
      </c>
      <c r="T78" s="28">
        <f>IFERROR((ATL_H[[#This Row],[H]]-ATL_H[[#This Row],[2B]]-ATL_H[[#This Row],[3B]]-ATL_H[[#This Row],[HR]])+(ATL_H[[#This Row],[2B]]*2)+(ATL_H[[#This Row],[3B]]*3)+(ATL_H[[#This Row],[HR]]*4),0)</f>
        <v>0</v>
      </c>
      <c r="U78" s="72">
        <f>ATL_H[[#This Row],[OBP]]+ATL_H[[#This Row],[SLG]]</f>
        <v>0</v>
      </c>
      <c r="V78" s="74">
        <v>0</v>
      </c>
      <c r="W78" s="615">
        <v>13</v>
      </c>
      <c r="Z78" s="651" t="s">
        <v>835</v>
      </c>
      <c r="AA78" s="71" t="s">
        <v>186</v>
      </c>
      <c r="AB78" s="71" t="s">
        <v>848</v>
      </c>
      <c r="AC78" s="72">
        <f>IFERROR(ATL_H162[[#This Row],[H]]/ATL_H162[[#This Row],[AB]],0)</f>
        <v>8.3333333333333329E-2</v>
      </c>
      <c r="AD78" s="72">
        <f>IFERROR((ATL_H162[[#This Row],[H]]+ATL_H162[[#This Row],[BB]])/(ATL_H162[[#This Row],[BB]]+ATL_H162[[#This Row],[AB]]),0)</f>
        <v>0.21428571428571427</v>
      </c>
      <c r="AE78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0.16666666666666666</v>
      </c>
      <c r="AF78" s="28">
        <v>3</v>
      </c>
      <c r="AG78" s="28">
        <v>12</v>
      </c>
      <c r="AH78" s="28">
        <v>1</v>
      </c>
      <c r="AI78" s="28">
        <v>1</v>
      </c>
      <c r="AJ78" s="28">
        <v>1</v>
      </c>
      <c r="AK78" s="28">
        <v>0</v>
      </c>
      <c r="AL78" s="28">
        <v>0</v>
      </c>
      <c r="AM78" s="28">
        <v>0</v>
      </c>
      <c r="AN78" s="28">
        <v>2</v>
      </c>
      <c r="AO78" s="74">
        <v>1</v>
      </c>
      <c r="AP78" s="28">
        <v>0</v>
      </c>
      <c r="AQ78" s="28">
        <v>0</v>
      </c>
      <c r="AR78" s="74">
        <v>1</v>
      </c>
      <c r="AS78" s="28">
        <f>IFERROR((ATL_H162[[#This Row],[H]]-ATL_H162[[#This Row],[2B]]-ATL_H162[[#This Row],[3B]]-ATL_H162[[#This Row],[HR]])+(ATL_H162[[#This Row],[2B]]*2)+(ATL_H162[[#This Row],[3B]]*3)+(ATL_H162[[#This Row],[HR]]*4),0)</f>
        <v>2</v>
      </c>
      <c r="AT78" s="72">
        <f>ATL_H162[[#This Row],[OBP]]+ATL_H162[[#This Row],[SLG]]</f>
        <v>0.38095238095238093</v>
      </c>
      <c r="AU78" s="74">
        <v>0</v>
      </c>
      <c r="AV78" s="615">
        <v>13</v>
      </c>
      <c r="AY78" s="651" t="s">
        <v>835</v>
      </c>
      <c r="AZ78" s="74" t="s">
        <v>186</v>
      </c>
      <c r="BA78" s="71" t="s">
        <v>848</v>
      </c>
      <c r="BB78" s="72">
        <f>IFERROR(ATL_H162176[[#This Row],[H]]/ATL_H162176[[#This Row],[AB]],0)</f>
        <v>0.26666666666666666</v>
      </c>
      <c r="BC78" s="72">
        <f>IFERROR((ATL_H162176[[#This Row],[BB]]+ATL_H162176[[#This Row],[H]])/(ATL_H162176[[#This Row],[BB]]+ATL_H162176[[#This Row],[AB]]),0)</f>
        <v>0.32653061224489793</v>
      </c>
      <c r="BD78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0.4</v>
      </c>
      <c r="BE78" s="28">
        <v>17</v>
      </c>
      <c r="BF78" s="28">
        <v>45</v>
      </c>
      <c r="BG78" s="28">
        <v>4</v>
      </c>
      <c r="BH78" s="28">
        <v>12</v>
      </c>
      <c r="BI78" s="28">
        <v>0</v>
      </c>
      <c r="BJ78" s="28">
        <v>0</v>
      </c>
      <c r="BK78" s="28">
        <v>2</v>
      </c>
      <c r="BL78" s="28">
        <v>5</v>
      </c>
      <c r="BM78" s="28">
        <v>4</v>
      </c>
      <c r="BN78" s="74">
        <v>8</v>
      </c>
      <c r="BO78" s="28">
        <v>0</v>
      </c>
      <c r="BP78" s="28">
        <v>0</v>
      </c>
      <c r="BQ78" s="74">
        <v>5</v>
      </c>
      <c r="BR78" s="28">
        <f>IFERROR((ATL_H162176[[#This Row],[H]]-ATL_H162176[[#This Row],[2B]]-ATL_H162176[[#This Row],[3B]]-ATL_H162176[[#This Row],[HR]])+(ATL_H162176[[#This Row],[2B]]*2)+(ATL_H162176[[#This Row],[3B]]*3)+(ATL_H162176[[#This Row],[HR]]*4),0)</f>
        <v>18</v>
      </c>
      <c r="BS78" s="72">
        <f>IFERROR(ATL_H162176[[#This Row],[OBP]]+ATL_H162176[[#This Row],[SLG]],0)</f>
        <v>0.72653061224489801</v>
      </c>
      <c r="BT78" s="74">
        <v>2</v>
      </c>
      <c r="BU78" s="615">
        <v>13</v>
      </c>
    </row>
    <row r="79" spans="1:73" ht="17" thickBot="1">
      <c r="A79" s="651" t="s">
        <v>835</v>
      </c>
      <c r="B79" s="71" t="s">
        <v>186</v>
      </c>
      <c r="C79" s="71" t="s">
        <v>849</v>
      </c>
      <c r="D79" s="72">
        <f>IFERROR(ATL_H[[#This Row],[H]]/ATL_H[[#This Row],[AB]],0)</f>
        <v>0.15555555555555556</v>
      </c>
      <c r="E79" s="72">
        <f>IFERROR((ATL_H[[#This Row],[H]]+ATL_H[[#This Row],[BB]])/(ATL_H[[#This Row],[BB]]+ATL_H[[#This Row],[AB]]),0)</f>
        <v>0.24</v>
      </c>
      <c r="F79" s="73">
        <f>IFERROR(((ATL_H[[#This Row],[H]]-ATL_H[[#This Row],[2B]]-ATL_H[[#This Row],[3B]]-ATL_H[[#This Row],[HR]])+(ATL_H[[#This Row],[2B]]*2)+(ATL_H[[#This Row],[3B]]*3)+(ATL_H[[#This Row],[HR]]*4))/ATL_H[[#This Row],[AB]],0)</f>
        <v>0.33333333333333331</v>
      </c>
      <c r="G79" s="28">
        <v>12</v>
      </c>
      <c r="H79" s="28">
        <v>45</v>
      </c>
      <c r="I79" s="28">
        <v>9</v>
      </c>
      <c r="J79" s="28">
        <v>7</v>
      </c>
      <c r="K79" s="28">
        <v>0</v>
      </c>
      <c r="L79" s="28">
        <v>1</v>
      </c>
      <c r="M79" s="28">
        <v>2</v>
      </c>
      <c r="N79" s="28">
        <v>2</v>
      </c>
      <c r="O79" s="28">
        <v>5</v>
      </c>
      <c r="P79" s="74">
        <v>10</v>
      </c>
      <c r="Q79" s="28">
        <v>5</v>
      </c>
      <c r="R79" s="28">
        <v>1</v>
      </c>
      <c r="S79" s="74">
        <v>2</v>
      </c>
      <c r="T79" s="28">
        <f>IFERROR((ATL_H[[#This Row],[H]]-ATL_H[[#This Row],[2B]]-ATL_H[[#This Row],[3B]]-ATL_H[[#This Row],[HR]])+(ATL_H[[#This Row],[2B]]*2)+(ATL_H[[#This Row],[3B]]*3)+(ATL_H[[#This Row],[HR]]*4),0)</f>
        <v>15</v>
      </c>
      <c r="U79" s="72">
        <f>ATL_H[[#This Row],[OBP]]+ATL_H[[#This Row],[SLG]]</f>
        <v>0.57333333333333325</v>
      </c>
      <c r="V79" s="74">
        <v>1</v>
      </c>
      <c r="W79" s="615">
        <v>14</v>
      </c>
      <c r="Z79" s="651" t="s">
        <v>835</v>
      </c>
      <c r="AA79" s="71" t="s">
        <v>186</v>
      </c>
      <c r="AB79" s="71" t="s">
        <v>849</v>
      </c>
      <c r="AC79" s="72">
        <f>IFERROR(ATL_H162[[#This Row],[H]]/ATL_H162[[#This Row],[AB]],0)</f>
        <v>0.27941176470588236</v>
      </c>
      <c r="AD79" s="72">
        <f>IFERROR((ATL_H162[[#This Row],[H]]+ATL_H162[[#This Row],[BB]])/(ATL_H162[[#This Row],[BB]]+ATL_H162[[#This Row],[AB]]),0)</f>
        <v>0.30985915492957744</v>
      </c>
      <c r="AE79" s="73">
        <f>IFERROR(((ATL_H162[[#This Row],[H]]-ATL_H162[[#This Row],[2B]]-ATL_H162[[#This Row],[3B]]-ATL_H162[[#This Row],[HR]])+(ATL_H162[[#This Row],[2B]]*2)+(ATL_H162[[#This Row],[3B]]*3)+(ATL_H162[[#This Row],[HR]]*4))/ATL_H162[[#This Row],[AB]],0)</f>
        <v>0.38235294117647056</v>
      </c>
      <c r="AF79" s="28">
        <v>16</v>
      </c>
      <c r="AG79" s="28">
        <v>68</v>
      </c>
      <c r="AH79" s="28">
        <v>8</v>
      </c>
      <c r="AI79" s="28">
        <v>19</v>
      </c>
      <c r="AJ79" s="28">
        <v>1</v>
      </c>
      <c r="AK79" s="28">
        <v>3</v>
      </c>
      <c r="AL79" s="28">
        <v>0</v>
      </c>
      <c r="AM79" s="28">
        <v>5</v>
      </c>
      <c r="AN79" s="28">
        <v>3</v>
      </c>
      <c r="AO79" s="74">
        <v>11</v>
      </c>
      <c r="AP79" s="28">
        <v>8</v>
      </c>
      <c r="AQ79" s="28">
        <v>2</v>
      </c>
      <c r="AR79" s="74">
        <v>5</v>
      </c>
      <c r="AS79" s="28">
        <f>IFERROR((ATL_H162[[#This Row],[H]]-ATL_H162[[#This Row],[2B]]-ATL_H162[[#This Row],[3B]]-ATL_H162[[#This Row],[HR]])+(ATL_H162[[#This Row],[2B]]*2)+(ATL_H162[[#This Row],[3B]]*3)+(ATL_H162[[#This Row],[HR]]*4),0)</f>
        <v>26</v>
      </c>
      <c r="AT79" s="72">
        <f>ATL_H162[[#This Row],[OBP]]+ATL_H162[[#This Row],[SLG]]</f>
        <v>0.69221209610604806</v>
      </c>
      <c r="AU79" s="74">
        <v>2</v>
      </c>
      <c r="AV79" s="615">
        <v>14</v>
      </c>
      <c r="AY79" s="651" t="s">
        <v>835</v>
      </c>
      <c r="AZ79" s="74" t="s">
        <v>186</v>
      </c>
      <c r="BA79" s="71" t="s">
        <v>849</v>
      </c>
      <c r="BB79" s="72">
        <f>IFERROR(ATL_H162176[[#This Row],[H]]/ATL_H162176[[#This Row],[AB]],0)</f>
        <v>0.20430107526881722</v>
      </c>
      <c r="BC79" s="72">
        <f>IFERROR((ATL_H162176[[#This Row],[BB]]+ATL_H162176[[#This Row],[H]])/(ATL_H162176[[#This Row],[BB]]+ATL_H162176[[#This Row],[AB]]),0)</f>
        <v>0.23711340206185566</v>
      </c>
      <c r="BD79" s="73">
        <f>IFERROR(((ATL_H162176[[#This Row],[H]]-ATL_H162176[[#This Row],[2B]]-ATL_H162176[[#This Row],[3B]]-ATL_H162176[[#This Row],[HR]])+(ATL_H162176[[#This Row],[2B]]*2)+(ATL_H162176[[#This Row],[3B]]*3)+(ATL_H162176[[#This Row],[HR]]*4))/ATL_H162176[[#This Row],[AB]],0)</f>
        <v>0.27956989247311825</v>
      </c>
      <c r="BE79" s="28">
        <v>31</v>
      </c>
      <c r="BF79" s="28">
        <v>93</v>
      </c>
      <c r="BG79" s="28">
        <v>13</v>
      </c>
      <c r="BH79" s="28">
        <v>19</v>
      </c>
      <c r="BI79" s="28">
        <v>1</v>
      </c>
      <c r="BJ79" s="28">
        <v>0</v>
      </c>
      <c r="BK79" s="28">
        <v>2</v>
      </c>
      <c r="BL79" s="28">
        <v>6</v>
      </c>
      <c r="BM79" s="28">
        <v>4</v>
      </c>
      <c r="BN79" s="74">
        <v>25</v>
      </c>
      <c r="BO79" s="28">
        <v>10</v>
      </c>
      <c r="BP79" s="28">
        <v>4</v>
      </c>
      <c r="BQ79" s="74">
        <v>4</v>
      </c>
      <c r="BR79" s="28">
        <f>IFERROR((ATL_H162176[[#This Row],[H]]-ATL_H162176[[#This Row],[2B]]-ATL_H162176[[#This Row],[3B]]-ATL_H162176[[#This Row],[HR]])+(ATL_H162176[[#This Row],[2B]]*2)+(ATL_H162176[[#This Row],[3B]]*3)+(ATL_H162176[[#This Row],[HR]]*4),0)</f>
        <v>26</v>
      </c>
      <c r="BS79" s="72">
        <f>IFERROR(ATL_H162176[[#This Row],[OBP]]+ATL_H162176[[#This Row],[SLG]],0)</f>
        <v>0.51668329453497397</v>
      </c>
      <c r="BT79" s="74">
        <v>1</v>
      </c>
      <c r="BU79" s="615">
        <v>14</v>
      </c>
    </row>
    <row r="80" spans="1:73" ht="17" thickBot="1">
      <c r="A80" s="674"/>
      <c r="B80" s="740"/>
      <c r="C80" s="676" t="s">
        <v>195</v>
      </c>
      <c r="D80" s="677">
        <f>J80/H80</f>
        <v>0.25516749821810408</v>
      </c>
      <c r="E80" s="677">
        <f>(J80+O80)/(H80+O80)</f>
        <v>0.31204739960500327</v>
      </c>
      <c r="F80" s="739">
        <f>((J80-K80-L80-M80)+(K80*2)+(L80*3)+(M80*4))/H80</f>
        <v>0.42979330007127586</v>
      </c>
      <c r="G80" s="679"/>
      <c r="H80" s="679">
        <f>SUBTOTAL(109,ATL_H[AB])</f>
        <v>1403</v>
      </c>
      <c r="I80" s="679">
        <f>SUBTOTAL(109,ATL_H[R])</f>
        <v>178</v>
      </c>
      <c r="J80" s="679">
        <f>SUBTOTAL(109,ATL_H[H])</f>
        <v>358</v>
      </c>
      <c r="K80" s="679">
        <f>SUBTOTAL(109,ATL_H[2B])</f>
        <v>83</v>
      </c>
      <c r="L80" s="679">
        <f>SUBTOTAL(109,ATL_H[3B])</f>
        <v>6</v>
      </c>
      <c r="M80" s="679">
        <f>SUBTOTAL(109,ATL_H[HR])</f>
        <v>50</v>
      </c>
      <c r="N80" s="679">
        <f>SUBTOTAL(109,ATL_H[RBI])</f>
        <v>176</v>
      </c>
      <c r="O80" s="679">
        <f>SUBTOTAL(109,ATL_H[BB])</f>
        <v>116</v>
      </c>
      <c r="P80" s="680">
        <f>SUBTOTAL(109,ATL_H[K])</f>
        <v>364</v>
      </c>
      <c r="Q80" s="679">
        <f>SUBTOTAL(109,ATL_H[SB])</f>
        <v>19</v>
      </c>
      <c r="R80" s="679"/>
      <c r="S80" s="680"/>
      <c r="T80" s="679">
        <f>SUBTOTAL(109,ATL_H[TB])</f>
        <v>603</v>
      </c>
      <c r="U80" s="677">
        <f>E80+F80</f>
        <v>0.74184069967627919</v>
      </c>
      <c r="V80" s="680">
        <f>SUBTOTAL(109,ATL_H[*])</f>
        <v>24</v>
      </c>
      <c r="W80" s="681"/>
      <c r="Z80" s="674"/>
      <c r="AA80" s="740"/>
      <c r="AB80" s="676" t="s">
        <v>195</v>
      </c>
      <c r="AC80" s="677">
        <f>AI80/AG80</f>
        <v>0.24693140794223828</v>
      </c>
      <c r="AD80" s="677">
        <f>(AI80+AN80)/(AG80+AN80)</f>
        <v>0.31381578947368421</v>
      </c>
      <c r="AE80" s="739">
        <f>((AI80-AJ80-AK80-AL80)+(AJ80*2)+(AK80*3)+(AL80*4))/AG80</f>
        <v>0.4259927797833935</v>
      </c>
      <c r="AF80" s="679"/>
      <c r="AG80" s="679">
        <f>SUBTOTAL(109,ATL_H162[AB])</f>
        <v>1385</v>
      </c>
      <c r="AH80" s="679">
        <f>SUBTOTAL(109,ATL_H162[R])</f>
        <v>174</v>
      </c>
      <c r="AI80" s="679">
        <f>SUBTOTAL(109,ATL_H162[H])</f>
        <v>342</v>
      </c>
      <c r="AJ80" s="679">
        <f>SUBTOTAL(109,ATL_H162[2B])</f>
        <v>70</v>
      </c>
      <c r="AK80" s="679">
        <f>SUBTOTAL(109,ATL_H162[3B])</f>
        <v>8</v>
      </c>
      <c r="AL80" s="679">
        <f>SUBTOTAL(109,ATL_H162[HR])</f>
        <v>54</v>
      </c>
      <c r="AM80" s="679">
        <f>SUBTOTAL(109,ATL_H162[RBI])</f>
        <v>173</v>
      </c>
      <c r="AN80" s="679">
        <f>SUBTOTAL(109,ATL_H162[BB])</f>
        <v>135</v>
      </c>
      <c r="AO80" s="680">
        <f>SUBTOTAL(109,ATL_H162[K])</f>
        <v>375</v>
      </c>
      <c r="AP80" s="772">
        <f>SUBTOTAL(109,ATL_H162[SB])</f>
        <v>29</v>
      </c>
      <c r="AQ80" s="679"/>
      <c r="AR80" s="680"/>
      <c r="AS80" s="679">
        <f>SUBTOTAL(109,ATL_H162[TB])</f>
        <v>590</v>
      </c>
      <c r="AT80" s="677">
        <f>AD80+AE80</f>
        <v>0.73980856925707772</v>
      </c>
      <c r="AU80" s="680">
        <f>SUBTOTAL(109,ATL_H162[*])</f>
        <v>25</v>
      </c>
      <c r="AV80" s="681"/>
      <c r="AY80" s="674"/>
      <c r="AZ80" s="740"/>
      <c r="BA80" s="676" t="s">
        <v>195</v>
      </c>
      <c r="BB80" s="677">
        <f>IFERROR(BH80/BF80,0)</f>
        <v>0.24242424242424243</v>
      </c>
      <c r="BC80" s="677">
        <f>IFERROR((BM80+BH80)/(BM80+BF80),0)</f>
        <v>0.31372549019607843</v>
      </c>
      <c r="BD80" s="739">
        <f>IFERROR(((BH80-BI80-BJ80-BK80)+(BI80*2)+(BJ80*3)+(BK80*4))/BF80,0)</f>
        <v>0.38961038961038963</v>
      </c>
      <c r="BE80" s="679"/>
      <c r="BF80" s="679">
        <f>SUBTOTAL(109,ATL_H162176[AB])</f>
        <v>1386</v>
      </c>
      <c r="BG80" s="679">
        <f>SUBTOTAL(109,ATL_H162176[R])</f>
        <v>165</v>
      </c>
      <c r="BH80" s="679">
        <f>SUBTOTAL(109,ATL_H162176[H])</f>
        <v>336</v>
      </c>
      <c r="BI80" s="679">
        <f>SUBTOTAL(109,ATL_H162176[2B])</f>
        <v>54</v>
      </c>
      <c r="BJ80" s="679">
        <f>SUBTOTAL(109,ATL_H162176[3B])</f>
        <v>3</v>
      </c>
      <c r="BK80" s="679">
        <f>SUBTOTAL(109,ATL_H162176[HR])</f>
        <v>48</v>
      </c>
      <c r="BL80" s="679">
        <f>SUBTOTAL(109,ATL_H162176[RBI])</f>
        <v>164</v>
      </c>
      <c r="BM80" s="679">
        <f>SUBTOTAL(109,ATL_H162176[BB])</f>
        <v>144</v>
      </c>
      <c r="BN80" s="680">
        <f>SUBTOTAL(109,ATL_H162176[K])</f>
        <v>361</v>
      </c>
      <c r="BO80" s="679">
        <f>SUBTOTAL(109,ATL_H162176[SB])</f>
        <v>25</v>
      </c>
      <c r="BP80" s="679"/>
      <c r="BQ80" s="680"/>
      <c r="BR80" s="679">
        <f>SUBTOTAL(109,ATL_H162176[TB])</f>
        <v>540</v>
      </c>
      <c r="BS80" s="677">
        <f>IFERROR(BC80+BD80,0)</f>
        <v>0.70333587980646806</v>
      </c>
      <c r="BT80" s="680">
        <f>SUBTOTAL(109,ATL_H162176[*])</f>
        <v>21</v>
      </c>
      <c r="BU80" s="681"/>
    </row>
    <row r="81" spans="1:73" ht="17" thickBot="1"/>
    <row r="82" spans="1:73" s="64" customFormat="1" ht="14" thickBot="1">
      <c r="A82" s="605" t="s">
        <v>143</v>
      </c>
      <c r="B82" s="606" t="s">
        <v>144</v>
      </c>
      <c r="C82" s="606" t="s">
        <v>145</v>
      </c>
      <c r="D82" s="606" t="s">
        <v>196</v>
      </c>
      <c r="E82" s="606" t="s">
        <v>197</v>
      </c>
      <c r="F82" s="606" t="s">
        <v>198</v>
      </c>
      <c r="G82" s="606" t="s">
        <v>149</v>
      </c>
      <c r="H82" s="606" t="s">
        <v>199</v>
      </c>
      <c r="I82" s="606" t="s">
        <v>152</v>
      </c>
      <c r="J82" s="606" t="s">
        <v>151</v>
      </c>
      <c r="K82" s="606" t="s">
        <v>157</v>
      </c>
      <c r="L82" s="606" t="s">
        <v>158</v>
      </c>
      <c r="M82" s="606" t="s">
        <v>200</v>
      </c>
      <c r="N82" s="606" t="s">
        <v>201</v>
      </c>
      <c r="O82" s="606" t="s">
        <v>202</v>
      </c>
      <c r="P82" s="606" t="s">
        <v>203</v>
      </c>
      <c r="Q82" s="606" t="s">
        <v>204</v>
      </c>
      <c r="R82" s="606" t="s">
        <v>205</v>
      </c>
      <c r="S82" s="607" t="s">
        <v>164</v>
      </c>
      <c r="Z82" s="605" t="s">
        <v>143</v>
      </c>
      <c r="AA82" s="606" t="s">
        <v>144</v>
      </c>
      <c r="AB82" s="606" t="s">
        <v>145</v>
      </c>
      <c r="AC82" s="606" t="s">
        <v>196</v>
      </c>
      <c r="AD82" s="606" t="s">
        <v>197</v>
      </c>
      <c r="AE82" s="606" t="s">
        <v>198</v>
      </c>
      <c r="AF82" s="606" t="s">
        <v>149</v>
      </c>
      <c r="AG82" s="606" t="s">
        <v>199</v>
      </c>
      <c r="AH82" s="606" t="s">
        <v>152</v>
      </c>
      <c r="AI82" s="606" t="s">
        <v>151</v>
      </c>
      <c r="AJ82" s="606" t="s">
        <v>157</v>
      </c>
      <c r="AK82" s="606" t="s">
        <v>158</v>
      </c>
      <c r="AL82" s="606" t="s">
        <v>200</v>
      </c>
      <c r="AM82" s="606" t="s">
        <v>201</v>
      </c>
      <c r="AN82" s="606" t="s">
        <v>202</v>
      </c>
      <c r="AO82" s="606" t="s">
        <v>203</v>
      </c>
      <c r="AP82" s="606" t="s">
        <v>204</v>
      </c>
      <c r="AQ82" s="606" t="s">
        <v>205</v>
      </c>
      <c r="AR82" s="607" t="s">
        <v>164</v>
      </c>
      <c r="AY82" s="605" t="s">
        <v>143</v>
      </c>
      <c r="AZ82" s="606" t="s">
        <v>144</v>
      </c>
      <c r="BA82" s="606" t="s">
        <v>145</v>
      </c>
      <c r="BB82" s="606" t="s">
        <v>196</v>
      </c>
      <c r="BC82" s="606" t="s">
        <v>197</v>
      </c>
      <c r="BD82" s="606" t="s">
        <v>198</v>
      </c>
      <c r="BE82" s="606" t="s">
        <v>149</v>
      </c>
      <c r="BF82" s="606" t="s">
        <v>199</v>
      </c>
      <c r="BG82" s="606" t="s">
        <v>152</v>
      </c>
      <c r="BH82" s="606" t="s">
        <v>151</v>
      </c>
      <c r="BI82" s="606" t="s">
        <v>157</v>
      </c>
      <c r="BJ82" s="606" t="s">
        <v>158</v>
      </c>
      <c r="BK82" s="606" t="s">
        <v>200</v>
      </c>
      <c r="BL82" s="606" t="s">
        <v>201</v>
      </c>
      <c r="BM82" s="606" t="s">
        <v>202</v>
      </c>
      <c r="BN82" s="606" t="s">
        <v>203</v>
      </c>
      <c r="BO82" s="606" t="s">
        <v>204</v>
      </c>
      <c r="BP82" s="606" t="s">
        <v>205</v>
      </c>
      <c r="BQ82" s="607" t="s">
        <v>164</v>
      </c>
    </row>
    <row r="83" spans="1:73">
      <c r="A83" s="650" t="s">
        <v>835</v>
      </c>
      <c r="B83" s="604" t="s">
        <v>206</v>
      </c>
      <c r="C83" s="752" t="s">
        <v>853</v>
      </c>
      <c r="D83" s="663">
        <f>IFERROR((ATL_P[[#This Row],[R]]*9)/ATL_P[[#This Row],[IP]],0)</f>
        <v>1.7103298493280847</v>
      </c>
      <c r="E83" s="600">
        <v>5</v>
      </c>
      <c r="F83" s="604">
        <v>4</v>
      </c>
      <c r="G83" s="600">
        <v>10</v>
      </c>
      <c r="H83" s="630">
        <v>73.67</v>
      </c>
      <c r="I83" s="600">
        <v>46</v>
      </c>
      <c r="J83" s="600">
        <v>14</v>
      </c>
      <c r="K83" s="600">
        <v>22</v>
      </c>
      <c r="L83" s="627">
        <v>112</v>
      </c>
      <c r="M83" s="600">
        <v>0</v>
      </c>
      <c r="N83" s="631">
        <f>IFERROR((ATL_P[[#This Row],[BB]]+ATL_P[[#This Row],[H]])/ATL_P[[#This Row],[IP]],0)</f>
        <v>0.92303515678023618</v>
      </c>
      <c r="O83" s="708">
        <v>10</v>
      </c>
      <c r="P83" s="601">
        <v>5</v>
      </c>
      <c r="Q83" s="627">
        <v>3</v>
      </c>
      <c r="R83" s="830">
        <v>3</v>
      </c>
      <c r="S83" s="614">
        <v>1</v>
      </c>
      <c r="Z83" s="650" t="s">
        <v>835</v>
      </c>
      <c r="AA83" s="632" t="s">
        <v>365</v>
      </c>
      <c r="AB83" s="840" t="s">
        <v>853</v>
      </c>
      <c r="AC83" s="837">
        <f>IFERROR((ATL_P163[[#This Row],[R]]*9)/ATL_P163[[#This Row],[IP]],0)</f>
        <v>1.2557555462536625</v>
      </c>
      <c r="AD83" s="600">
        <v>7</v>
      </c>
      <c r="AE83" s="604">
        <v>0</v>
      </c>
      <c r="AF83" s="600">
        <v>10</v>
      </c>
      <c r="AG83" s="630">
        <v>71.67</v>
      </c>
      <c r="AH83" s="600">
        <v>43</v>
      </c>
      <c r="AI83" s="600">
        <v>10</v>
      </c>
      <c r="AJ83" s="600">
        <v>33</v>
      </c>
      <c r="AK83" s="708">
        <v>116</v>
      </c>
      <c r="AL83" s="600">
        <v>0</v>
      </c>
      <c r="AM83" s="631">
        <f>IFERROR((ATL_P163[[#This Row],[BB]]+ATL_P163[[#This Row],[H]])/ATL_P163[[#This Row],[IP]],0)</f>
        <v>1.0604157946142039</v>
      </c>
      <c r="AN83" s="708">
        <v>10</v>
      </c>
      <c r="AO83" s="602">
        <v>8</v>
      </c>
      <c r="AP83" s="600">
        <v>1</v>
      </c>
      <c r="AQ83" s="604">
        <v>1</v>
      </c>
      <c r="AR83" s="614">
        <v>1</v>
      </c>
      <c r="AY83" s="650" t="s">
        <v>835</v>
      </c>
      <c r="AZ83" s="604" t="s">
        <v>206</v>
      </c>
      <c r="BA83" s="597" t="s">
        <v>854</v>
      </c>
      <c r="BB83" s="663">
        <f>IFERROR((ATL_P163177[[#This Row],[R]]*9)/ATL_P163177[[#This Row],[IP]],0)</f>
        <v>4.1311475409836067</v>
      </c>
      <c r="BC83" s="600">
        <v>3</v>
      </c>
      <c r="BD83" s="604">
        <v>4</v>
      </c>
      <c r="BE83" s="600">
        <v>10</v>
      </c>
      <c r="BF83" s="630">
        <v>61</v>
      </c>
      <c r="BG83" s="600">
        <v>69</v>
      </c>
      <c r="BH83" s="600">
        <v>28</v>
      </c>
      <c r="BI83" s="600">
        <v>21</v>
      </c>
      <c r="BJ83" s="600">
        <v>54</v>
      </c>
      <c r="BK83" s="600">
        <v>0</v>
      </c>
      <c r="BL83" s="631">
        <f>IFERROR((ATL_P163177[[#This Row],[BB]]+ATL_P163177[[#This Row],[H]])/ATL_P163177[[#This Row],[IP]],0)</f>
        <v>1.4754098360655739</v>
      </c>
      <c r="BM83" s="600">
        <v>5</v>
      </c>
      <c r="BN83" s="601">
        <v>1</v>
      </c>
      <c r="BO83" s="600">
        <v>0</v>
      </c>
      <c r="BP83" s="604">
        <v>0</v>
      </c>
      <c r="BQ83" s="614">
        <v>1</v>
      </c>
    </row>
    <row r="84" spans="1:73">
      <c r="A84" s="651" t="s">
        <v>835</v>
      </c>
      <c r="B84" s="74" t="s">
        <v>206</v>
      </c>
      <c r="C84" s="116" t="s">
        <v>855</v>
      </c>
      <c r="D84" s="88">
        <f>IFERROR((ATL_P[[#This Row],[R]]*9)/ATL_P[[#This Row],[IP]],0)</f>
        <v>2.6581688170371525</v>
      </c>
      <c r="E84" s="76">
        <v>7</v>
      </c>
      <c r="F84" s="74">
        <v>2</v>
      </c>
      <c r="G84" s="28">
        <v>10</v>
      </c>
      <c r="H84" s="584">
        <v>64.33</v>
      </c>
      <c r="I84" s="28">
        <v>71</v>
      </c>
      <c r="J84" s="28">
        <v>19</v>
      </c>
      <c r="K84" s="28">
        <v>17</v>
      </c>
      <c r="L84" s="28">
        <v>59</v>
      </c>
      <c r="M84" s="28">
        <v>0</v>
      </c>
      <c r="N84" s="89">
        <f>IFERROR((ATL_P[[#This Row],[BB]]+ATL_P[[#This Row],[H]])/ATL_P[[#This Row],[IP]],0)</f>
        <v>1.3679465257267216</v>
      </c>
      <c r="O84" s="28">
        <v>7</v>
      </c>
      <c r="P84" s="90">
        <v>3</v>
      </c>
      <c r="Q84" s="28">
        <v>1</v>
      </c>
      <c r="R84" s="74">
        <v>1</v>
      </c>
      <c r="S84" s="615">
        <v>2</v>
      </c>
      <c r="Z84" s="651" t="s">
        <v>835</v>
      </c>
      <c r="AA84" s="74" t="s">
        <v>206</v>
      </c>
      <c r="AB84" s="116" t="s">
        <v>855</v>
      </c>
      <c r="AC84" s="88">
        <f>IFERROR((ATL_P163[[#This Row],[R]]*9)/ATL_P163[[#This Row],[IP]],0)</f>
        <v>3.3400340188650071</v>
      </c>
      <c r="AD84" s="28">
        <v>4</v>
      </c>
      <c r="AE84" s="74">
        <v>4</v>
      </c>
      <c r="AF84" s="28">
        <v>10</v>
      </c>
      <c r="AG84" s="584">
        <v>64.67</v>
      </c>
      <c r="AH84" s="28">
        <v>62</v>
      </c>
      <c r="AI84" s="28">
        <v>24</v>
      </c>
      <c r="AJ84" s="28">
        <v>16</v>
      </c>
      <c r="AK84" s="28">
        <v>60</v>
      </c>
      <c r="AL84" s="28">
        <v>0</v>
      </c>
      <c r="AM84" s="89">
        <f>IFERROR((ATL_P163[[#This Row],[BB]]+ATL_P163[[#This Row],[H]])/ATL_P163[[#This Row],[IP]],0)</f>
        <v>1.2061233957012525</v>
      </c>
      <c r="AN84" s="28">
        <v>7</v>
      </c>
      <c r="AO84" s="90">
        <v>5</v>
      </c>
      <c r="AP84" s="28">
        <v>1</v>
      </c>
      <c r="AQ84" s="74">
        <v>1</v>
      </c>
      <c r="AR84" s="615">
        <v>2</v>
      </c>
      <c r="AY84" s="651" t="s">
        <v>835</v>
      </c>
      <c r="AZ84" s="74" t="s">
        <v>206</v>
      </c>
      <c r="BA84" s="71" t="s">
        <v>855</v>
      </c>
      <c r="BB84" s="88">
        <f>IFERROR((ATL_P163177[[#This Row],[R]]*9)/ATL_P163177[[#This Row],[IP]],0)</f>
        <v>4.6500000000000004</v>
      </c>
      <c r="BC84" s="28">
        <v>4</v>
      </c>
      <c r="BD84" s="74">
        <v>4</v>
      </c>
      <c r="BE84" s="28">
        <v>10</v>
      </c>
      <c r="BF84" s="584">
        <v>60</v>
      </c>
      <c r="BG84" s="28">
        <v>69</v>
      </c>
      <c r="BH84" s="28">
        <v>31</v>
      </c>
      <c r="BI84" s="28">
        <v>28</v>
      </c>
      <c r="BJ84" s="28">
        <v>64</v>
      </c>
      <c r="BK84" s="28">
        <v>0</v>
      </c>
      <c r="BL84" s="89">
        <f>IFERROR((ATL_P163177[[#This Row],[BB]]+ATL_P163177[[#This Row],[H]])/ATL_P163177[[#This Row],[IP]],0)</f>
        <v>1.6166666666666667</v>
      </c>
      <c r="BM84" s="28">
        <v>6</v>
      </c>
      <c r="BN84" s="90">
        <v>2</v>
      </c>
      <c r="BO84" s="28">
        <v>1</v>
      </c>
      <c r="BP84" s="74">
        <v>1</v>
      </c>
      <c r="BQ84" s="615">
        <v>2</v>
      </c>
    </row>
    <row r="85" spans="1:73">
      <c r="A85" s="651" t="s">
        <v>835</v>
      </c>
      <c r="B85" s="74" t="s">
        <v>206</v>
      </c>
      <c r="C85" s="116" t="s">
        <v>854</v>
      </c>
      <c r="D85" s="88">
        <f>IFERROR((ATL_P[[#This Row],[R]]*9)/ATL_P[[#This Row],[IP]],0)</f>
        <v>3.6484514350575643</v>
      </c>
      <c r="E85" s="28">
        <v>5</v>
      </c>
      <c r="F85" s="74">
        <v>2</v>
      </c>
      <c r="G85" s="28">
        <v>10</v>
      </c>
      <c r="H85" s="584">
        <v>61.67</v>
      </c>
      <c r="I85" s="28">
        <v>66</v>
      </c>
      <c r="J85" s="28">
        <v>25</v>
      </c>
      <c r="K85" s="28">
        <v>22</v>
      </c>
      <c r="L85" s="28">
        <v>58</v>
      </c>
      <c r="M85" s="28">
        <v>0</v>
      </c>
      <c r="N85" s="89">
        <f>IFERROR((ATL_P[[#This Row],[BB]]+ATL_P[[#This Row],[H]])/ATL_P[[#This Row],[IP]],0)</f>
        <v>1.4269498946002919</v>
      </c>
      <c r="O85" s="28">
        <v>6</v>
      </c>
      <c r="P85" s="90">
        <v>3</v>
      </c>
      <c r="Q85" s="28">
        <v>0</v>
      </c>
      <c r="R85" s="74">
        <v>0</v>
      </c>
      <c r="S85" s="615">
        <v>3</v>
      </c>
      <c r="Z85" s="651" t="s">
        <v>835</v>
      </c>
      <c r="AA85" s="74" t="s">
        <v>206</v>
      </c>
      <c r="AB85" s="116" t="s">
        <v>854</v>
      </c>
      <c r="AC85" s="88">
        <f>IFERROR((ATL_P163[[#This Row],[R]]*9)/ATL_P163[[#This Row],[IP]],0)</f>
        <v>3.8786673296867233</v>
      </c>
      <c r="AD85" s="28">
        <v>5</v>
      </c>
      <c r="AE85" s="74">
        <v>2</v>
      </c>
      <c r="AF85" s="28">
        <v>10</v>
      </c>
      <c r="AG85" s="584">
        <v>60.33</v>
      </c>
      <c r="AH85" s="28">
        <v>57</v>
      </c>
      <c r="AI85" s="28">
        <v>26</v>
      </c>
      <c r="AJ85" s="28">
        <v>36</v>
      </c>
      <c r="AK85" s="28">
        <v>62</v>
      </c>
      <c r="AL85" s="28">
        <v>0</v>
      </c>
      <c r="AM85" s="89">
        <f>IFERROR((ATL_P163[[#This Row],[BB]]+ATL_P163[[#This Row],[H]])/ATL_P163[[#This Row],[IP]],0)</f>
        <v>1.5415216310293387</v>
      </c>
      <c r="AN85" s="28">
        <v>5</v>
      </c>
      <c r="AO85" s="90">
        <v>2</v>
      </c>
      <c r="AP85" s="28">
        <v>0</v>
      </c>
      <c r="AQ85" s="74">
        <v>0</v>
      </c>
      <c r="AR85" s="615">
        <v>3</v>
      </c>
      <c r="AY85" s="651" t="s">
        <v>835</v>
      </c>
      <c r="AZ85" s="74" t="s">
        <v>206</v>
      </c>
      <c r="BA85" s="71" t="s">
        <v>856</v>
      </c>
      <c r="BB85" s="88">
        <f>IFERROR((ATL_P163177[[#This Row],[R]]*9)/ATL_P163177[[#This Row],[IP]],0)</f>
        <v>4.3819695303910793</v>
      </c>
      <c r="BC85" s="28">
        <v>3</v>
      </c>
      <c r="BD85" s="74">
        <v>4</v>
      </c>
      <c r="BE85" s="28">
        <v>10</v>
      </c>
      <c r="BF85" s="584">
        <v>63.67</v>
      </c>
      <c r="BG85" s="28">
        <v>47</v>
      </c>
      <c r="BH85" s="28">
        <v>31</v>
      </c>
      <c r="BI85" s="28">
        <v>30</v>
      </c>
      <c r="BJ85" s="28">
        <v>72</v>
      </c>
      <c r="BK85" s="28">
        <v>0</v>
      </c>
      <c r="BL85" s="89">
        <f>IFERROR((ATL_P163177[[#This Row],[BB]]+ATL_P163177[[#This Row],[H]])/ATL_P163177[[#This Row],[IP]],0)</f>
        <v>1.2093607664520183</v>
      </c>
      <c r="BM85" s="28">
        <v>6</v>
      </c>
      <c r="BN85" s="90">
        <v>3</v>
      </c>
      <c r="BO85" s="28">
        <v>2</v>
      </c>
      <c r="BP85" s="74">
        <v>2</v>
      </c>
      <c r="BQ85" s="615">
        <v>3</v>
      </c>
    </row>
    <row r="86" spans="1:73">
      <c r="A86" s="651" t="s">
        <v>835</v>
      </c>
      <c r="B86" s="74" t="s">
        <v>206</v>
      </c>
      <c r="C86" s="116" t="s">
        <v>857</v>
      </c>
      <c r="D86" s="88">
        <f>IFERROR((ATL_P[[#This Row],[R]]*9)/ATL_P[[#This Row],[IP]],0)</f>
        <v>5.0820539968237162</v>
      </c>
      <c r="E86" s="28">
        <v>1</v>
      </c>
      <c r="F86" s="74">
        <v>2</v>
      </c>
      <c r="G86" s="28">
        <v>10</v>
      </c>
      <c r="H86" s="584">
        <v>56.67</v>
      </c>
      <c r="I86" s="28">
        <v>59</v>
      </c>
      <c r="J86" s="28">
        <v>32</v>
      </c>
      <c r="K86" s="28">
        <v>31</v>
      </c>
      <c r="L86" s="28">
        <v>46</v>
      </c>
      <c r="M86" s="28">
        <v>0</v>
      </c>
      <c r="N86" s="89">
        <f>IFERROR((ATL_P[[#This Row],[BB]]+ATL_P[[#This Row],[H]])/ATL_P[[#This Row],[IP]],0)</f>
        <v>1.5881418740074114</v>
      </c>
      <c r="O86" s="28">
        <v>3</v>
      </c>
      <c r="P86" s="90">
        <v>2</v>
      </c>
      <c r="Q86" s="28">
        <v>0</v>
      </c>
      <c r="R86" s="74">
        <v>0</v>
      </c>
      <c r="S86" s="615">
        <v>4</v>
      </c>
      <c r="Z86" s="651" t="s">
        <v>835</v>
      </c>
      <c r="AA86" s="74" t="s">
        <v>206</v>
      </c>
      <c r="AB86" s="116" t="s">
        <v>857</v>
      </c>
      <c r="AC86" s="88">
        <f>IFERROR((ATL_P163[[#This Row],[R]]*9)/ATL_P163[[#This Row],[IP]],0)</f>
        <v>4.3599776411403015</v>
      </c>
      <c r="AD86" s="28">
        <v>6</v>
      </c>
      <c r="AE86" s="74">
        <v>2</v>
      </c>
      <c r="AF86" s="28">
        <v>10</v>
      </c>
      <c r="AG86" s="584">
        <v>53.67</v>
      </c>
      <c r="AH86" s="28">
        <v>64</v>
      </c>
      <c r="AI86" s="28">
        <v>26</v>
      </c>
      <c r="AJ86" s="28">
        <v>20</v>
      </c>
      <c r="AK86" s="28">
        <v>41</v>
      </c>
      <c r="AL86" s="28">
        <v>0</v>
      </c>
      <c r="AM86" s="89">
        <f>IFERROR((ATL_P163[[#This Row],[BB]]+ATL_P163[[#This Row],[H]])/ATL_P163[[#This Row],[IP]],0)</f>
        <v>1.5651201788708775</v>
      </c>
      <c r="AN86" s="28">
        <v>4</v>
      </c>
      <c r="AO86" s="90">
        <v>1</v>
      </c>
      <c r="AP86" s="28">
        <v>0</v>
      </c>
      <c r="AQ86" s="74">
        <v>0</v>
      </c>
      <c r="AR86" s="615">
        <v>4</v>
      </c>
      <c r="AY86" s="651" t="s">
        <v>835</v>
      </c>
      <c r="AZ86" s="74" t="s">
        <v>206</v>
      </c>
      <c r="BA86" s="71" t="s">
        <v>858</v>
      </c>
      <c r="BB86" s="88">
        <f>IFERROR((ATL_P163177[[#This Row],[R]]*9)/ATL_P163177[[#This Row],[IP]],0)</f>
        <v>5.2105263157894735</v>
      </c>
      <c r="BC86" s="28">
        <v>2</v>
      </c>
      <c r="BD86" s="74">
        <v>4</v>
      </c>
      <c r="BE86" s="28">
        <v>10</v>
      </c>
      <c r="BF86" s="584">
        <v>57</v>
      </c>
      <c r="BG86" s="28">
        <v>67</v>
      </c>
      <c r="BH86" s="28">
        <v>33</v>
      </c>
      <c r="BI86" s="28">
        <v>25</v>
      </c>
      <c r="BJ86" s="28">
        <v>38</v>
      </c>
      <c r="BK86" s="28">
        <v>0</v>
      </c>
      <c r="BL86" s="89">
        <f>IFERROR((ATL_P163177[[#This Row],[BB]]+ATL_P163177[[#This Row],[H]])/ATL_P163177[[#This Row],[IP]],0)</f>
        <v>1.6140350877192982</v>
      </c>
      <c r="BM86" s="28">
        <v>5</v>
      </c>
      <c r="BN86" s="90">
        <v>0</v>
      </c>
      <c r="BO86" s="28">
        <v>0</v>
      </c>
      <c r="BP86" s="74">
        <v>0</v>
      </c>
      <c r="BQ86" s="615">
        <v>4</v>
      </c>
    </row>
    <row r="87" spans="1:73">
      <c r="A87" s="651" t="s">
        <v>835</v>
      </c>
      <c r="B87" s="74" t="s">
        <v>215</v>
      </c>
      <c r="C87" s="116" t="s">
        <v>860</v>
      </c>
      <c r="D87" s="88">
        <f>IFERROR((ATL_P[[#This Row],[R]]*9)/ATL_P[[#This Row],[IP]],0)</f>
        <v>12.709620476610768</v>
      </c>
      <c r="E87" s="28">
        <v>0</v>
      </c>
      <c r="F87" s="74">
        <v>0</v>
      </c>
      <c r="G87" s="28">
        <v>6</v>
      </c>
      <c r="H87" s="584">
        <v>11.33</v>
      </c>
      <c r="I87" s="28">
        <v>19</v>
      </c>
      <c r="J87" s="28">
        <v>16</v>
      </c>
      <c r="K87" s="28">
        <v>8</v>
      </c>
      <c r="L87" s="28">
        <v>7</v>
      </c>
      <c r="M87" s="28">
        <v>0</v>
      </c>
      <c r="N87" s="89">
        <f>IFERROR((ATL_P[[#This Row],[BB]]+ATL_P[[#This Row],[H]])/ATL_P[[#This Row],[IP]],0)</f>
        <v>2.3830538393645191</v>
      </c>
      <c r="O87" s="28">
        <v>0</v>
      </c>
      <c r="P87" s="90">
        <v>0</v>
      </c>
      <c r="Q87" s="28">
        <v>0</v>
      </c>
      <c r="R87" s="74">
        <v>0</v>
      </c>
      <c r="S87" s="615">
        <v>5</v>
      </c>
      <c r="Z87" s="651" t="s">
        <v>835</v>
      </c>
      <c r="AA87" s="74" t="s">
        <v>212</v>
      </c>
      <c r="AB87" s="116" t="s">
        <v>858</v>
      </c>
      <c r="AC87" s="88">
        <f>IFERROR((ATL_P163[[#This Row],[R]]*9)/ATL_P163[[#This Row],[IP]],0)</f>
        <v>2.3483365949119372</v>
      </c>
      <c r="AD87" s="28">
        <v>1</v>
      </c>
      <c r="AE87" s="74">
        <v>1</v>
      </c>
      <c r="AF87" s="28">
        <v>8</v>
      </c>
      <c r="AG87" s="584">
        <v>15.33</v>
      </c>
      <c r="AH87" s="28">
        <v>11</v>
      </c>
      <c r="AI87" s="28">
        <v>4</v>
      </c>
      <c r="AJ87" s="28">
        <v>11</v>
      </c>
      <c r="AK87" s="28">
        <v>8</v>
      </c>
      <c r="AL87" s="28">
        <v>0</v>
      </c>
      <c r="AM87" s="89">
        <f>IFERROR((ATL_P163[[#This Row],[BB]]+ATL_P163[[#This Row],[H]])/ATL_P163[[#This Row],[IP]],0)</f>
        <v>1.4350945857795172</v>
      </c>
      <c r="AN87" s="28">
        <v>0</v>
      </c>
      <c r="AO87" s="90">
        <v>0</v>
      </c>
      <c r="AP87" s="28">
        <v>0</v>
      </c>
      <c r="AQ87" s="74">
        <v>0</v>
      </c>
      <c r="AR87" s="615">
        <v>5</v>
      </c>
      <c r="AY87" s="651" t="s">
        <v>835</v>
      </c>
      <c r="AZ87" s="74" t="s">
        <v>215</v>
      </c>
      <c r="BA87" s="71" t="s">
        <v>857</v>
      </c>
      <c r="BB87" s="88">
        <f>IFERROR((ATL_P163177[[#This Row],[R]]*9)/ATL_P163177[[#This Row],[IP]],0)</f>
        <v>5</v>
      </c>
      <c r="BC87" s="28">
        <v>0</v>
      </c>
      <c r="BD87" s="74">
        <v>0</v>
      </c>
      <c r="BE87" s="28">
        <v>8</v>
      </c>
      <c r="BF87" s="584">
        <v>18</v>
      </c>
      <c r="BG87" s="28">
        <v>18</v>
      </c>
      <c r="BH87" s="28">
        <v>10</v>
      </c>
      <c r="BI87" s="28">
        <v>10</v>
      </c>
      <c r="BJ87" s="28">
        <v>12</v>
      </c>
      <c r="BK87" s="28">
        <v>0</v>
      </c>
      <c r="BL87" s="89">
        <f>IFERROR((ATL_P163177[[#This Row],[BB]]+ATL_P163177[[#This Row],[H]])/ATL_P163177[[#This Row],[IP]],0)</f>
        <v>1.5555555555555556</v>
      </c>
      <c r="BM87" s="28">
        <v>0</v>
      </c>
      <c r="BN87" s="90">
        <v>0</v>
      </c>
      <c r="BO87" s="28">
        <v>0</v>
      </c>
      <c r="BP87" s="74">
        <v>0</v>
      </c>
      <c r="BQ87" s="615">
        <v>5</v>
      </c>
    </row>
    <row r="88" spans="1:73">
      <c r="A88" s="651" t="s">
        <v>835</v>
      </c>
      <c r="B88" s="74" t="s">
        <v>212</v>
      </c>
      <c r="C88" s="116" t="s">
        <v>859</v>
      </c>
      <c r="D88" s="88">
        <f>IFERROR((ATL_P[[#This Row],[R]]*9)/ATL_P[[#This Row],[IP]],0)</f>
        <v>7.2421360643745425</v>
      </c>
      <c r="E88" s="28">
        <v>0</v>
      </c>
      <c r="F88" s="74">
        <v>2</v>
      </c>
      <c r="G88" s="28">
        <v>9</v>
      </c>
      <c r="H88" s="584">
        <v>13.67</v>
      </c>
      <c r="I88" s="28">
        <v>16</v>
      </c>
      <c r="J88" s="28">
        <v>11</v>
      </c>
      <c r="K88" s="28">
        <v>9</v>
      </c>
      <c r="L88" s="28">
        <v>12</v>
      </c>
      <c r="M88" s="28">
        <v>0</v>
      </c>
      <c r="N88" s="89">
        <f>IFERROR((ATL_P[[#This Row],[BB]]+ATL_P[[#This Row],[H]])/ATL_P[[#This Row],[IP]],0)</f>
        <v>1.8288222384784198</v>
      </c>
      <c r="O88" s="28">
        <v>0</v>
      </c>
      <c r="P88" s="90">
        <v>0</v>
      </c>
      <c r="Q88" s="28">
        <v>0</v>
      </c>
      <c r="R88" s="74">
        <v>0</v>
      </c>
      <c r="S88" s="615">
        <v>6</v>
      </c>
      <c r="Z88" s="651" t="s">
        <v>835</v>
      </c>
      <c r="AA88" s="74" t="s">
        <v>212</v>
      </c>
      <c r="AB88" s="116" t="s">
        <v>859</v>
      </c>
      <c r="AC88" s="88">
        <f>IFERROR((ATL_P163[[#This Row],[R]]*9)/ATL_P163[[#This Row],[IP]],0)</f>
        <v>7.9151577858251434</v>
      </c>
      <c r="AD88" s="28">
        <v>0</v>
      </c>
      <c r="AE88" s="74">
        <v>1</v>
      </c>
      <c r="AF88" s="28">
        <v>11</v>
      </c>
      <c r="AG88" s="584">
        <v>19.329999999999998</v>
      </c>
      <c r="AH88" s="28">
        <v>24</v>
      </c>
      <c r="AI88" s="28">
        <v>17</v>
      </c>
      <c r="AJ88" s="28">
        <v>14</v>
      </c>
      <c r="AK88" s="28">
        <v>20</v>
      </c>
      <c r="AL88" s="28">
        <v>0</v>
      </c>
      <c r="AM88" s="89">
        <f>IFERROR((ATL_P163[[#This Row],[BB]]+ATL_P163[[#This Row],[H]])/ATL_P163[[#This Row],[IP]],0)</f>
        <v>1.9658561821003624</v>
      </c>
      <c r="AN88" s="28">
        <v>0</v>
      </c>
      <c r="AO88" s="90">
        <v>0</v>
      </c>
      <c r="AP88" s="28">
        <v>0</v>
      </c>
      <c r="AQ88" s="74">
        <v>0</v>
      </c>
      <c r="AR88" s="615">
        <v>6</v>
      </c>
      <c r="AY88" s="651" t="s">
        <v>835</v>
      </c>
      <c r="AZ88" s="74" t="s">
        <v>215</v>
      </c>
      <c r="BA88" s="71" t="s">
        <v>859</v>
      </c>
      <c r="BB88" s="88">
        <f>IFERROR((ATL_P163177[[#This Row],[R]]*9)/ATL_P163177[[#This Row],[IP]],0)</f>
        <v>4.8</v>
      </c>
      <c r="BC88" s="28">
        <v>0</v>
      </c>
      <c r="BD88" s="74">
        <v>0</v>
      </c>
      <c r="BE88" s="28">
        <v>8</v>
      </c>
      <c r="BF88" s="584">
        <v>15</v>
      </c>
      <c r="BG88" s="28">
        <v>14</v>
      </c>
      <c r="BH88" s="28">
        <v>8</v>
      </c>
      <c r="BI88" s="28">
        <v>7</v>
      </c>
      <c r="BJ88" s="28">
        <v>15</v>
      </c>
      <c r="BK88" s="28">
        <v>0</v>
      </c>
      <c r="BL88" s="89">
        <f>IFERROR((ATL_P163177[[#This Row],[BB]]+ATL_P163177[[#This Row],[H]])/ATL_P163177[[#This Row],[IP]],0)</f>
        <v>1.4</v>
      </c>
      <c r="BM88" s="28">
        <v>0</v>
      </c>
      <c r="BN88" s="90">
        <v>0</v>
      </c>
      <c r="BO88" s="28">
        <v>0</v>
      </c>
      <c r="BP88" s="74">
        <v>0</v>
      </c>
      <c r="BQ88" s="615">
        <v>6</v>
      </c>
    </row>
    <row r="89" spans="1:73">
      <c r="A89" s="651" t="s">
        <v>835</v>
      </c>
      <c r="B89" s="74" t="s">
        <v>212</v>
      </c>
      <c r="C89" s="116" t="s">
        <v>861</v>
      </c>
      <c r="D89" s="88">
        <f>IFERROR((ATL_P[[#This Row],[R]]*9)/ATL_P[[#This Row],[IP]],0)</f>
        <v>2.5466893039049232</v>
      </c>
      <c r="E89" s="28">
        <v>1</v>
      </c>
      <c r="F89" s="74">
        <v>0</v>
      </c>
      <c r="G89" s="28">
        <v>13</v>
      </c>
      <c r="H89" s="584">
        <v>17.670000000000002</v>
      </c>
      <c r="I89" s="28">
        <v>14</v>
      </c>
      <c r="J89" s="28">
        <v>5</v>
      </c>
      <c r="K89" s="28">
        <v>7</v>
      </c>
      <c r="L89" s="28">
        <v>18</v>
      </c>
      <c r="M89" s="28">
        <v>0</v>
      </c>
      <c r="N89" s="89">
        <f>IFERROR((ATL_P[[#This Row],[BB]]+ATL_P[[#This Row],[H]])/ATL_P[[#This Row],[IP]],0)</f>
        <v>1.1884550084889642</v>
      </c>
      <c r="O89" s="28">
        <v>0</v>
      </c>
      <c r="P89" s="90">
        <v>0</v>
      </c>
      <c r="Q89" s="28">
        <v>0</v>
      </c>
      <c r="R89" s="74">
        <v>0</v>
      </c>
      <c r="S89" s="615">
        <v>7</v>
      </c>
      <c r="Z89" s="651" t="s">
        <v>835</v>
      </c>
      <c r="AA89" s="74" t="s">
        <v>212</v>
      </c>
      <c r="AB89" s="116" t="s">
        <v>861</v>
      </c>
      <c r="AC89" s="88">
        <f>IFERROR((ATL_P163[[#This Row],[R]]*9)/ATL_P163[[#This Row],[IP]],0)</f>
        <v>4.7426023510336437</v>
      </c>
      <c r="AD89" s="28">
        <v>2</v>
      </c>
      <c r="AE89" s="74">
        <v>3</v>
      </c>
      <c r="AF89" s="28">
        <v>19</v>
      </c>
      <c r="AG89" s="584">
        <v>24.67</v>
      </c>
      <c r="AH89" s="28">
        <v>25</v>
      </c>
      <c r="AI89" s="28">
        <v>13</v>
      </c>
      <c r="AJ89" s="28">
        <v>20</v>
      </c>
      <c r="AK89" s="28">
        <v>31</v>
      </c>
      <c r="AL89" s="28">
        <v>0</v>
      </c>
      <c r="AM89" s="89">
        <f>IFERROR((ATL_P163[[#This Row],[BB]]+ATL_P163[[#This Row],[H]])/ATL_P163[[#This Row],[IP]],0)</f>
        <v>1.8240778273206322</v>
      </c>
      <c r="AN89" s="28">
        <v>0</v>
      </c>
      <c r="AO89" s="90">
        <v>0</v>
      </c>
      <c r="AP89" s="28">
        <v>0</v>
      </c>
      <c r="AQ89" s="74">
        <v>0</v>
      </c>
      <c r="AR89" s="615">
        <v>7</v>
      </c>
      <c r="AY89" s="651" t="s">
        <v>835</v>
      </c>
      <c r="AZ89" s="74" t="s">
        <v>212</v>
      </c>
      <c r="BA89" s="71" t="s">
        <v>861</v>
      </c>
      <c r="BB89" s="88">
        <f>IFERROR((ATL_P163177[[#This Row],[R]]*9)/ATL_P163177[[#This Row],[IP]],0)</f>
        <v>1.588702559576346</v>
      </c>
      <c r="BC89" s="28">
        <v>0</v>
      </c>
      <c r="BD89" s="74">
        <v>0</v>
      </c>
      <c r="BE89" s="28">
        <v>9</v>
      </c>
      <c r="BF89" s="584">
        <v>11.33</v>
      </c>
      <c r="BG89" s="28">
        <v>3</v>
      </c>
      <c r="BH89" s="28">
        <v>2</v>
      </c>
      <c r="BI89" s="28">
        <v>3</v>
      </c>
      <c r="BJ89" s="28">
        <v>11</v>
      </c>
      <c r="BK89" s="28">
        <v>0</v>
      </c>
      <c r="BL89" s="89">
        <f>IFERROR((ATL_P163177[[#This Row],[BB]]+ATL_P163177[[#This Row],[H]])/ATL_P163177[[#This Row],[IP]],0)</f>
        <v>0.52956751985878203</v>
      </c>
      <c r="BM89" s="28">
        <v>0</v>
      </c>
      <c r="BN89" s="90">
        <v>0</v>
      </c>
      <c r="BO89" s="28">
        <v>0</v>
      </c>
      <c r="BP89" s="74">
        <v>0</v>
      </c>
      <c r="BQ89" s="615">
        <v>7</v>
      </c>
    </row>
    <row r="90" spans="1:73">
      <c r="A90" s="651" t="s">
        <v>835</v>
      </c>
      <c r="B90" s="74" t="s">
        <v>215</v>
      </c>
      <c r="C90" s="116" t="s">
        <v>862</v>
      </c>
      <c r="D90" s="88">
        <f>IFERROR((ATL_P[[#This Row],[R]]*9)/ATL_P[[#This Row],[IP]],0)</f>
        <v>3.086155165023575</v>
      </c>
      <c r="E90" s="28">
        <v>2</v>
      </c>
      <c r="F90" s="74">
        <v>2</v>
      </c>
      <c r="G90" s="28">
        <v>21</v>
      </c>
      <c r="H90" s="584">
        <v>23.33</v>
      </c>
      <c r="I90" s="28">
        <v>16</v>
      </c>
      <c r="J90" s="28">
        <v>8</v>
      </c>
      <c r="K90" s="28">
        <v>7</v>
      </c>
      <c r="L90" s="28">
        <v>22</v>
      </c>
      <c r="M90" s="28">
        <v>1</v>
      </c>
      <c r="N90" s="89">
        <f>IFERROR((ATL_P[[#This Row],[BB]]+ATL_P[[#This Row],[H]])/ATL_P[[#This Row],[IP]],0)</f>
        <v>0.98585512216030868</v>
      </c>
      <c r="O90" s="28">
        <v>0</v>
      </c>
      <c r="P90" s="90">
        <v>0</v>
      </c>
      <c r="Q90" s="28">
        <v>0</v>
      </c>
      <c r="R90" s="74">
        <v>0</v>
      </c>
      <c r="S90" s="615">
        <v>8</v>
      </c>
      <c r="Z90" s="651" t="s">
        <v>835</v>
      </c>
      <c r="AA90" s="74" t="s">
        <v>212</v>
      </c>
      <c r="AB90" s="116" t="s">
        <v>856</v>
      </c>
      <c r="AC90" s="88">
        <f>IFERROR((ATL_P163[[#This Row],[R]]*9)/ATL_P163[[#This Row],[IP]],0)</f>
        <v>12</v>
      </c>
      <c r="AD90" s="28">
        <v>0</v>
      </c>
      <c r="AE90" s="74">
        <v>0</v>
      </c>
      <c r="AF90" s="28">
        <v>4</v>
      </c>
      <c r="AG90" s="584">
        <v>6</v>
      </c>
      <c r="AH90" s="28">
        <v>9</v>
      </c>
      <c r="AI90" s="28">
        <v>8</v>
      </c>
      <c r="AJ90" s="28">
        <v>3</v>
      </c>
      <c r="AK90" s="28">
        <v>2</v>
      </c>
      <c r="AL90" s="28">
        <v>0</v>
      </c>
      <c r="AM90" s="89">
        <f>IFERROR((ATL_P163[[#This Row],[BB]]+ATL_P163[[#This Row],[H]])/ATL_P163[[#This Row],[IP]],0)</f>
        <v>2</v>
      </c>
      <c r="AN90" s="28">
        <v>0</v>
      </c>
      <c r="AO90" s="90">
        <v>0</v>
      </c>
      <c r="AP90" s="28">
        <v>0</v>
      </c>
      <c r="AQ90" s="74">
        <v>0</v>
      </c>
      <c r="AR90" s="615">
        <v>8</v>
      </c>
      <c r="AY90" s="651" t="s">
        <v>835</v>
      </c>
      <c r="AZ90" s="74" t="s">
        <v>212</v>
      </c>
      <c r="BA90" s="71" t="s">
        <v>864</v>
      </c>
      <c r="BB90" s="88">
        <f>IFERROR((ATL_P163177[[#This Row],[R]]*9)/ATL_P163177[[#This Row],[IP]],0)</f>
        <v>5.3991693585602212</v>
      </c>
      <c r="BC90" s="28">
        <v>2</v>
      </c>
      <c r="BD90" s="74">
        <v>2</v>
      </c>
      <c r="BE90" s="28">
        <v>22</v>
      </c>
      <c r="BF90" s="584">
        <v>21.67</v>
      </c>
      <c r="BG90" s="28">
        <v>30</v>
      </c>
      <c r="BH90" s="28">
        <v>13</v>
      </c>
      <c r="BI90" s="28">
        <v>10</v>
      </c>
      <c r="BJ90" s="28">
        <v>29</v>
      </c>
      <c r="BK90" s="28">
        <v>0</v>
      </c>
      <c r="BL90" s="89">
        <f>IFERROR((ATL_P163177[[#This Row],[BB]]+ATL_P163177[[#This Row],[H]])/ATL_P163177[[#This Row],[IP]],0)</f>
        <v>1.8458698661744346</v>
      </c>
      <c r="BM90" s="28">
        <v>0</v>
      </c>
      <c r="BN90" s="90">
        <v>0</v>
      </c>
      <c r="BO90" s="28">
        <v>0</v>
      </c>
      <c r="BP90" s="74">
        <v>0</v>
      </c>
      <c r="BQ90" s="615">
        <v>8</v>
      </c>
    </row>
    <row r="91" spans="1:73">
      <c r="A91" s="651" t="s">
        <v>835</v>
      </c>
      <c r="B91" s="74" t="s">
        <v>212</v>
      </c>
      <c r="C91" s="116" t="s">
        <v>863</v>
      </c>
      <c r="D91" s="88">
        <f>IFERROR((ATL_P[[#This Row],[R]]*9)/ATL_P[[#This Row],[IP]],0)</f>
        <v>2.5466893039049232</v>
      </c>
      <c r="E91" s="28">
        <v>0</v>
      </c>
      <c r="F91" s="74">
        <v>0</v>
      </c>
      <c r="G91" s="28">
        <v>18</v>
      </c>
      <c r="H91" s="584">
        <v>17.670000000000002</v>
      </c>
      <c r="I91" s="28">
        <v>17</v>
      </c>
      <c r="J91" s="28">
        <v>5</v>
      </c>
      <c r="K91" s="28">
        <v>5</v>
      </c>
      <c r="L91" s="28">
        <v>16</v>
      </c>
      <c r="M91" s="28">
        <v>0</v>
      </c>
      <c r="N91" s="89">
        <f>IFERROR((ATL_P[[#This Row],[BB]]+ATL_P[[#This Row],[H]])/ATL_P[[#This Row],[IP]],0)</f>
        <v>1.245048104131296</v>
      </c>
      <c r="O91" s="28">
        <v>0</v>
      </c>
      <c r="P91" s="90">
        <v>0</v>
      </c>
      <c r="Q91" s="28">
        <v>0</v>
      </c>
      <c r="R91" s="74">
        <v>0</v>
      </c>
      <c r="S91" s="615">
        <v>9</v>
      </c>
      <c r="Z91" s="651" t="s">
        <v>835</v>
      </c>
      <c r="AA91" s="74" t="s">
        <v>212</v>
      </c>
      <c r="AB91" s="116" t="s">
        <v>863</v>
      </c>
      <c r="AC91" s="88">
        <f>IFERROR((ATL_P163[[#This Row],[R]]*9)/ATL_P163[[#This Row],[IP]],0)</f>
        <v>4.6956521739130439</v>
      </c>
      <c r="AD91" s="28">
        <v>0</v>
      </c>
      <c r="AE91" s="74">
        <v>2</v>
      </c>
      <c r="AF91" s="28">
        <v>26</v>
      </c>
      <c r="AG91" s="584">
        <v>23</v>
      </c>
      <c r="AH91" s="28">
        <v>26</v>
      </c>
      <c r="AI91" s="28">
        <v>12</v>
      </c>
      <c r="AJ91" s="28">
        <v>7</v>
      </c>
      <c r="AK91" s="28">
        <v>30</v>
      </c>
      <c r="AL91" s="28">
        <v>1</v>
      </c>
      <c r="AM91" s="89">
        <f>IFERROR((ATL_P163[[#This Row],[BB]]+ATL_P163[[#This Row],[H]])/ATL_P163[[#This Row],[IP]],0)</f>
        <v>1.4347826086956521</v>
      </c>
      <c r="AN91" s="28">
        <v>0</v>
      </c>
      <c r="AO91" s="90">
        <v>0</v>
      </c>
      <c r="AP91" s="28">
        <v>0</v>
      </c>
      <c r="AQ91" s="74">
        <v>0</v>
      </c>
      <c r="AR91" s="615">
        <v>9</v>
      </c>
      <c r="AY91" s="651" t="s">
        <v>835</v>
      </c>
      <c r="AZ91" s="74" t="s">
        <v>212</v>
      </c>
      <c r="BA91" s="71" t="s">
        <v>863</v>
      </c>
      <c r="BB91" s="88">
        <f>IFERROR((ATL_P163177[[#This Row],[R]]*9)/ATL_P163177[[#This Row],[IP]],0)</f>
        <v>4.5578496299181923</v>
      </c>
      <c r="BC91" s="28">
        <v>3</v>
      </c>
      <c r="BD91" s="74">
        <v>0</v>
      </c>
      <c r="BE91" s="28">
        <v>23</v>
      </c>
      <c r="BF91" s="584">
        <v>25.67</v>
      </c>
      <c r="BG91" s="28">
        <v>30</v>
      </c>
      <c r="BH91" s="28">
        <v>13</v>
      </c>
      <c r="BI91" s="28">
        <v>9</v>
      </c>
      <c r="BJ91" s="28">
        <v>35</v>
      </c>
      <c r="BK91" s="28">
        <v>0</v>
      </c>
      <c r="BL91" s="89">
        <f>IFERROR((ATL_P163177[[#This Row],[BB]]+ATL_P163177[[#This Row],[H]])/ATL_P163177[[#This Row],[IP]],0)</f>
        <v>1.5192832099727307</v>
      </c>
      <c r="BM91" s="28">
        <v>0</v>
      </c>
      <c r="BN91" s="90">
        <v>0</v>
      </c>
      <c r="BO91" s="28">
        <v>0</v>
      </c>
      <c r="BP91" s="74">
        <v>0</v>
      </c>
      <c r="BQ91" s="615">
        <v>9</v>
      </c>
    </row>
    <row r="92" spans="1:73" ht="17" thickBot="1">
      <c r="A92" s="651" t="s">
        <v>835</v>
      </c>
      <c r="B92" s="74" t="s">
        <v>212</v>
      </c>
      <c r="C92" s="116" t="s">
        <v>865</v>
      </c>
      <c r="D92" s="88">
        <f>IFERROR((ATL_P[[#This Row],[R]]*9)/ATL_P[[#This Row],[IP]],0)</f>
        <v>2.9535864978902957</v>
      </c>
      <c r="E92" s="28">
        <v>3</v>
      </c>
      <c r="F92" s="74">
        <v>2</v>
      </c>
      <c r="G92" s="28">
        <v>20</v>
      </c>
      <c r="H92" s="584">
        <v>21.33</v>
      </c>
      <c r="I92" s="28">
        <v>17</v>
      </c>
      <c r="J92" s="28">
        <v>7</v>
      </c>
      <c r="K92" s="28">
        <v>18</v>
      </c>
      <c r="L92" s="28">
        <v>29</v>
      </c>
      <c r="M92" s="28">
        <v>7</v>
      </c>
      <c r="N92" s="89">
        <f>IFERROR((ATL_P[[#This Row],[BB]]+ATL_P[[#This Row],[H]])/ATL_P[[#This Row],[IP]],0)</f>
        <v>1.6408813877168309</v>
      </c>
      <c r="O92" s="28">
        <v>0</v>
      </c>
      <c r="P92" s="90">
        <v>0</v>
      </c>
      <c r="Q92" s="28">
        <v>0</v>
      </c>
      <c r="R92" s="74">
        <v>0</v>
      </c>
      <c r="S92" s="615">
        <v>10</v>
      </c>
      <c r="Z92" s="651" t="s">
        <v>835</v>
      </c>
      <c r="AA92" s="74" t="s">
        <v>212</v>
      </c>
      <c r="AB92" s="116" t="s">
        <v>865</v>
      </c>
      <c r="AC92" s="88">
        <f>IFERROR((ATL_P163[[#This Row],[R]]*9)/ATL_P163[[#This Row],[IP]],0)</f>
        <v>2.3927079377136349</v>
      </c>
      <c r="AD92" s="28">
        <v>0</v>
      </c>
      <c r="AE92" s="74">
        <v>0</v>
      </c>
      <c r="AF92" s="28">
        <v>22</v>
      </c>
      <c r="AG92" s="584">
        <v>26.33</v>
      </c>
      <c r="AH92" s="28">
        <v>15</v>
      </c>
      <c r="AI92" s="28">
        <v>7</v>
      </c>
      <c r="AJ92" s="28">
        <v>11</v>
      </c>
      <c r="AK92" s="28">
        <v>45</v>
      </c>
      <c r="AL92" s="28">
        <v>10</v>
      </c>
      <c r="AM92" s="89">
        <f>IFERROR((ATL_P163[[#This Row],[BB]]+ATL_P163[[#This Row],[H]])/ATL_P163[[#This Row],[IP]],0)</f>
        <v>0.98746676794530963</v>
      </c>
      <c r="AN92" s="28">
        <v>0</v>
      </c>
      <c r="AO92" s="90">
        <v>0</v>
      </c>
      <c r="AP92" s="28">
        <v>0</v>
      </c>
      <c r="AQ92" s="74">
        <v>0</v>
      </c>
      <c r="AR92" s="615">
        <v>10</v>
      </c>
      <c r="AY92" s="651" t="s">
        <v>835</v>
      </c>
      <c r="AZ92" s="74" t="s">
        <v>212</v>
      </c>
      <c r="BA92" s="71" t="s">
        <v>865</v>
      </c>
      <c r="BB92" s="88">
        <f>IFERROR((ATL_P163177[[#This Row],[R]]*9)/ATL_P163177[[#This Row],[IP]],0)</f>
        <v>1.6263100831225152</v>
      </c>
      <c r="BC92" s="28">
        <v>4</v>
      </c>
      <c r="BD92" s="74">
        <v>1</v>
      </c>
      <c r="BE92" s="28">
        <v>23</v>
      </c>
      <c r="BF92" s="584">
        <v>27.67</v>
      </c>
      <c r="BG92" s="28">
        <v>15</v>
      </c>
      <c r="BH92" s="28">
        <v>5</v>
      </c>
      <c r="BI92" s="28">
        <v>11</v>
      </c>
      <c r="BJ92" s="28">
        <v>46</v>
      </c>
      <c r="BK92" s="28">
        <v>6</v>
      </c>
      <c r="BL92" s="89">
        <f>IFERROR((ATL_P163177[[#This Row],[BB]]+ATL_P163177[[#This Row],[H]])/ATL_P163177[[#This Row],[IP]],0)</f>
        <v>0.93964582580411993</v>
      </c>
      <c r="BM92" s="28">
        <v>0</v>
      </c>
      <c r="BN92" s="90">
        <v>0</v>
      </c>
      <c r="BO92" s="28">
        <v>0</v>
      </c>
      <c r="BP92" s="74">
        <v>0</v>
      </c>
      <c r="BQ92" s="615">
        <v>10</v>
      </c>
    </row>
    <row r="93" spans="1:73" ht="17" thickBot="1">
      <c r="A93" s="674"/>
      <c r="B93" s="740"/>
      <c r="C93" s="676" t="s">
        <v>195</v>
      </c>
      <c r="D93" s="683">
        <f>(J93*9)/H93</f>
        <v>3.5368351137432885</v>
      </c>
      <c r="E93" s="679">
        <f>SUBTOTAL(109,ATL_P[W])</f>
        <v>24</v>
      </c>
      <c r="F93" s="680">
        <f>SUBTOTAL(109,ATL_P[L])</f>
        <v>16</v>
      </c>
      <c r="G93" s="679"/>
      <c r="H93" s="684">
        <f>SUBTOTAL(109,ATL_P[IP])</f>
        <v>361.34000000000003</v>
      </c>
      <c r="I93" s="679">
        <f>SUBTOTAL(109,ATL_P[H])</f>
        <v>341</v>
      </c>
      <c r="J93" s="679">
        <f>SUBTOTAL(109,ATL_P[R])</f>
        <v>142</v>
      </c>
      <c r="K93" s="679">
        <f>SUBTOTAL(109,ATL_P[BB])</f>
        <v>146</v>
      </c>
      <c r="L93" s="679">
        <f>SUBTOTAL(109,ATL_P[K])</f>
        <v>379</v>
      </c>
      <c r="M93" s="679">
        <f>SUBTOTAL(109,ATL_P[SV])</f>
        <v>8</v>
      </c>
      <c r="N93" s="741">
        <f>(K93+I93)/H93</f>
        <v>1.3477611114186083</v>
      </c>
      <c r="O93" s="742">
        <f>SUBTOTAL(109,ATL_P[QS])</f>
        <v>26</v>
      </c>
      <c r="P93" s="687">
        <f>SUBTOTAL(109,ATL_P[UQ])</f>
        <v>13</v>
      </c>
      <c r="Q93" s="831">
        <f>SUBTOTAL(109,ATL_P[CG])</f>
        <v>4</v>
      </c>
      <c r="R93" s="832">
        <f>SUBTOTAL(109,ATL_P[SH])</f>
        <v>4</v>
      </c>
      <c r="S93" s="681"/>
      <c r="Z93" s="674"/>
      <c r="AA93" s="740"/>
      <c r="AB93" s="676" t="s">
        <v>195</v>
      </c>
      <c r="AC93" s="683">
        <f>(AI93*9)/AG93</f>
        <v>3.6246575342465754</v>
      </c>
      <c r="AD93" s="679">
        <f>SUBTOTAL(109,ATL_P163[W])</f>
        <v>25</v>
      </c>
      <c r="AE93" s="680">
        <f>SUBTOTAL(109,ATL_P163[L])</f>
        <v>15</v>
      </c>
      <c r="AF93" s="679"/>
      <c r="AG93" s="684">
        <f>SUBTOTAL(109,ATL_P163[IP])</f>
        <v>365</v>
      </c>
      <c r="AH93" s="679">
        <f>SUBTOTAL(109,ATL_P163[H])</f>
        <v>336</v>
      </c>
      <c r="AI93" s="679">
        <f>SUBTOTAL(109,ATL_P163[R])</f>
        <v>147</v>
      </c>
      <c r="AJ93" s="679">
        <f>SUBTOTAL(109,ATL_P163[BB])</f>
        <v>171</v>
      </c>
      <c r="AK93" s="679">
        <f>SUBTOTAL(109,ATL_P163[K])</f>
        <v>415</v>
      </c>
      <c r="AL93" s="679">
        <f>SUBTOTAL(109,ATL_P163[SV])</f>
        <v>11</v>
      </c>
      <c r="AM93" s="741">
        <f>(AJ93+AH93)/AG93</f>
        <v>1.3890410958904109</v>
      </c>
      <c r="AN93" s="742">
        <f>SUBTOTAL(109,ATL_P163[QS])</f>
        <v>26</v>
      </c>
      <c r="AO93" s="687">
        <f>SUBTOTAL(109,ATL_P163[UQ])</f>
        <v>16</v>
      </c>
      <c r="AP93" s="686">
        <f>SUBTOTAL(109,ATL_P163[CG])</f>
        <v>2</v>
      </c>
      <c r="AQ93" s="688">
        <f>SUBTOTAL(109,ATL_P163[SH])</f>
        <v>2</v>
      </c>
      <c r="AR93" s="681"/>
      <c r="AY93" s="674"/>
      <c r="AZ93" s="740"/>
      <c r="BA93" s="676" t="s">
        <v>195</v>
      </c>
      <c r="BB93" s="683">
        <f>IFERROR((BH93*9)/BF93,0)</f>
        <v>4.3378299770089468</v>
      </c>
      <c r="BC93" s="679">
        <f>SUBTOTAL(109,ATL_P163177[W])</f>
        <v>21</v>
      </c>
      <c r="BD93" s="680">
        <f>SUBTOTAL(109,ATL_P163177[L])</f>
        <v>19</v>
      </c>
      <c r="BE93" s="679"/>
      <c r="BF93" s="684">
        <f>SUBTOTAL(109,ATL_P163177[IP])</f>
        <v>361.01000000000005</v>
      </c>
      <c r="BG93" s="679">
        <f>SUBTOTAL(109,ATL_P163177[H])</f>
        <v>362</v>
      </c>
      <c r="BH93" s="679">
        <f>SUBTOTAL(109,ATL_P163177[R])</f>
        <v>174</v>
      </c>
      <c r="BI93" s="679">
        <f>SUBTOTAL(109,ATL_P163177[BB])</f>
        <v>154</v>
      </c>
      <c r="BJ93" s="679">
        <f>SUBTOTAL(109,ATL_P163177[K])</f>
        <v>376</v>
      </c>
      <c r="BK93" s="679">
        <f>SUBTOTAL(109,ATL_P163177[SV])</f>
        <v>6</v>
      </c>
      <c r="BL93" s="741">
        <f>(BI93+BG93)/BF93</f>
        <v>1.4293232874435609</v>
      </c>
      <c r="BM93" s="742">
        <f>SUBTOTAL(109,ATL_P163177[QS])</f>
        <v>22</v>
      </c>
      <c r="BN93" s="687">
        <f>SUBTOTAL(109,ATL_P163177[UQ])</f>
        <v>6</v>
      </c>
      <c r="BO93" s="686">
        <f>SUM(BO83:BO92)</f>
        <v>3</v>
      </c>
      <c r="BP93" s="688">
        <f>SUM(BP83:BP92)</f>
        <v>3</v>
      </c>
      <c r="BQ93" s="681"/>
    </row>
    <row r="94" spans="1:73" ht="17" thickBot="1"/>
    <row r="95" spans="1:73" ht="24" thickBot="1">
      <c r="A95" s="1057" t="s">
        <v>866</v>
      </c>
      <c r="B95" s="1058"/>
      <c r="C95" s="1058"/>
      <c r="D95" s="1058"/>
      <c r="E95" s="1058"/>
      <c r="F95" s="1058"/>
      <c r="G95" s="1058"/>
      <c r="H95" s="1058"/>
      <c r="I95" s="1058"/>
      <c r="J95" s="1058"/>
      <c r="K95" s="1058"/>
      <c r="L95" s="1058"/>
      <c r="M95" s="1058"/>
      <c r="N95" s="1058"/>
      <c r="O95" s="1058"/>
      <c r="P95" s="1058"/>
      <c r="Q95" s="1058"/>
      <c r="R95" s="1058"/>
      <c r="S95" s="1058"/>
      <c r="T95" s="1058"/>
      <c r="U95" s="1058"/>
      <c r="V95" s="1058"/>
      <c r="W95" s="1059"/>
      <c r="Z95" s="1057" t="s">
        <v>867</v>
      </c>
      <c r="AA95" s="1058"/>
      <c r="AB95" s="1058"/>
      <c r="AC95" s="1058"/>
      <c r="AD95" s="1058"/>
      <c r="AE95" s="1058"/>
      <c r="AF95" s="1058"/>
      <c r="AG95" s="1058"/>
      <c r="AH95" s="1058"/>
      <c r="AI95" s="1058"/>
      <c r="AJ95" s="1058"/>
      <c r="AK95" s="1058"/>
      <c r="AL95" s="1058"/>
      <c r="AM95" s="1058"/>
      <c r="AN95" s="1058"/>
      <c r="AO95" s="1058"/>
      <c r="AP95" s="1058"/>
      <c r="AQ95" s="1058"/>
      <c r="AR95" s="1058"/>
      <c r="AS95" s="1058"/>
      <c r="AT95" s="1058"/>
      <c r="AU95" s="1058"/>
      <c r="AV95" s="1059"/>
      <c r="AY95" s="1057" t="s">
        <v>868</v>
      </c>
      <c r="AZ95" s="1058"/>
      <c r="BA95" s="1058"/>
      <c r="BB95" s="1058"/>
      <c r="BC95" s="1058"/>
      <c r="BD95" s="1058"/>
      <c r="BE95" s="1058"/>
      <c r="BF95" s="1058"/>
      <c r="BG95" s="1058"/>
      <c r="BH95" s="1058"/>
      <c r="BI95" s="1058"/>
      <c r="BJ95" s="1058"/>
      <c r="BK95" s="1058"/>
      <c r="BL95" s="1058"/>
      <c r="BM95" s="1058"/>
      <c r="BN95" s="1058"/>
      <c r="BO95" s="1058"/>
      <c r="BP95" s="1058"/>
      <c r="BQ95" s="1058"/>
      <c r="BR95" s="1058"/>
      <c r="BS95" s="1058"/>
      <c r="BT95" s="1058"/>
      <c r="BU95" s="1059"/>
    </row>
    <row r="96" spans="1:73" s="64" customFormat="1" ht="14" thickBot="1">
      <c r="A96" s="605" t="s">
        <v>143</v>
      </c>
      <c r="B96" s="606" t="s">
        <v>144</v>
      </c>
      <c r="C96" s="606" t="s">
        <v>145</v>
      </c>
      <c r="D96" s="606" t="s">
        <v>146</v>
      </c>
      <c r="E96" s="606" t="s">
        <v>147</v>
      </c>
      <c r="F96" s="606" t="s">
        <v>148</v>
      </c>
      <c r="G96" s="606" t="s">
        <v>149</v>
      </c>
      <c r="H96" s="606" t="s">
        <v>150</v>
      </c>
      <c r="I96" s="606" t="s">
        <v>151</v>
      </c>
      <c r="J96" s="606" t="s">
        <v>152</v>
      </c>
      <c r="K96" s="606" t="s">
        <v>153</v>
      </c>
      <c r="L96" s="606" t="s">
        <v>154</v>
      </c>
      <c r="M96" s="606" t="s">
        <v>155</v>
      </c>
      <c r="N96" s="606" t="s">
        <v>156</v>
      </c>
      <c r="O96" s="606" t="s">
        <v>157</v>
      </c>
      <c r="P96" s="606" t="s">
        <v>158</v>
      </c>
      <c r="Q96" s="606" t="s">
        <v>159</v>
      </c>
      <c r="R96" s="606" t="s">
        <v>160</v>
      </c>
      <c r="S96" s="606" t="s">
        <v>16</v>
      </c>
      <c r="T96" s="606" t="s">
        <v>161</v>
      </c>
      <c r="U96" s="606" t="s">
        <v>162</v>
      </c>
      <c r="V96" s="606" t="s">
        <v>163</v>
      </c>
      <c r="W96" s="607" t="s">
        <v>164</v>
      </c>
      <c r="Z96" s="605" t="s">
        <v>143</v>
      </c>
      <c r="AA96" s="606" t="s">
        <v>144</v>
      </c>
      <c r="AB96" s="606" t="s">
        <v>145</v>
      </c>
      <c r="AC96" s="606" t="s">
        <v>146</v>
      </c>
      <c r="AD96" s="606" t="s">
        <v>147</v>
      </c>
      <c r="AE96" s="606" t="s">
        <v>148</v>
      </c>
      <c r="AF96" s="606" t="s">
        <v>149</v>
      </c>
      <c r="AG96" s="606" t="s">
        <v>150</v>
      </c>
      <c r="AH96" s="606" t="s">
        <v>151</v>
      </c>
      <c r="AI96" s="606" t="s">
        <v>152</v>
      </c>
      <c r="AJ96" s="606" t="s">
        <v>153</v>
      </c>
      <c r="AK96" s="606" t="s">
        <v>154</v>
      </c>
      <c r="AL96" s="606" t="s">
        <v>155</v>
      </c>
      <c r="AM96" s="606" t="s">
        <v>156</v>
      </c>
      <c r="AN96" s="606" t="s">
        <v>157</v>
      </c>
      <c r="AO96" s="606" t="s">
        <v>158</v>
      </c>
      <c r="AP96" s="606" t="s">
        <v>159</v>
      </c>
      <c r="AQ96" s="606" t="s">
        <v>160</v>
      </c>
      <c r="AR96" s="606" t="s">
        <v>16</v>
      </c>
      <c r="AS96" s="606" t="s">
        <v>161</v>
      </c>
      <c r="AT96" s="606" t="s">
        <v>162</v>
      </c>
      <c r="AU96" s="606" t="s">
        <v>163</v>
      </c>
      <c r="AV96" s="607" t="s">
        <v>164</v>
      </c>
      <c r="AY96" s="605" t="s">
        <v>143</v>
      </c>
      <c r="AZ96" s="606" t="s">
        <v>144</v>
      </c>
      <c r="BA96" s="606" t="s">
        <v>145</v>
      </c>
      <c r="BB96" s="606" t="s">
        <v>146</v>
      </c>
      <c r="BC96" s="606" t="s">
        <v>147</v>
      </c>
      <c r="BD96" s="606" t="s">
        <v>148</v>
      </c>
      <c r="BE96" s="606" t="s">
        <v>149</v>
      </c>
      <c r="BF96" s="606" t="s">
        <v>150</v>
      </c>
      <c r="BG96" s="606" t="s">
        <v>151</v>
      </c>
      <c r="BH96" s="606" t="s">
        <v>152</v>
      </c>
      <c r="BI96" s="606" t="s">
        <v>153</v>
      </c>
      <c r="BJ96" s="606" t="s">
        <v>154</v>
      </c>
      <c r="BK96" s="606" t="s">
        <v>155</v>
      </c>
      <c r="BL96" s="606" t="s">
        <v>156</v>
      </c>
      <c r="BM96" s="606" t="s">
        <v>157</v>
      </c>
      <c r="BN96" s="606" t="s">
        <v>158</v>
      </c>
      <c r="BO96" s="606" t="s">
        <v>159</v>
      </c>
      <c r="BP96" s="606" t="s">
        <v>160</v>
      </c>
      <c r="BQ96" s="606" t="s">
        <v>16</v>
      </c>
      <c r="BR96" s="606" t="s">
        <v>161</v>
      </c>
      <c r="BS96" s="606" t="s">
        <v>162</v>
      </c>
      <c r="BT96" s="606" t="s">
        <v>163</v>
      </c>
      <c r="BU96" s="607" t="s">
        <v>164</v>
      </c>
    </row>
    <row r="97" spans="1:73">
      <c r="A97" s="650" t="s">
        <v>869</v>
      </c>
      <c r="B97" s="597" t="s">
        <v>179</v>
      </c>
      <c r="C97" s="597" t="s">
        <v>874</v>
      </c>
      <c r="D97" s="598">
        <f>IFERROR(WSH_H[[#This Row],[H]]/WSH_H[[#This Row],[AB]],0)</f>
        <v>0.23275862068965517</v>
      </c>
      <c r="E97" s="598">
        <f>IFERROR((WSH_H[[#This Row],[H]]+WSH_H[[#This Row],[BB]])/(WSH_H[[#This Row],[BB]]+WSH_H[[#This Row],[AB]]),0)</f>
        <v>0.25210084033613445</v>
      </c>
      <c r="F97" s="599">
        <f>IFERROR(((WSH_H[[#This Row],[H]]-WSH_H[[#This Row],[2B]]-WSH_H[[#This Row],[3B]]-WSH_H[[#This Row],[HR]])+(WSH_H[[#This Row],[2B]]*2)+(WSH_H[[#This Row],[3B]]*3)+(WSH_H[[#This Row],[HR]]*4))/WSH_H[[#This Row],[AB]],0)</f>
        <v>0.33620689655172414</v>
      </c>
      <c r="G97" s="600">
        <v>32</v>
      </c>
      <c r="H97" s="600">
        <v>116</v>
      </c>
      <c r="I97" s="600">
        <v>7</v>
      </c>
      <c r="J97" s="600">
        <v>27</v>
      </c>
      <c r="K97" s="600">
        <v>6</v>
      </c>
      <c r="L97" s="600">
        <v>0</v>
      </c>
      <c r="M97" s="600">
        <v>2</v>
      </c>
      <c r="N97" s="600">
        <v>13</v>
      </c>
      <c r="O97" s="600">
        <v>3</v>
      </c>
      <c r="P97" s="604">
        <v>25</v>
      </c>
      <c r="Q97" s="600">
        <v>0</v>
      </c>
      <c r="R97" s="600">
        <v>2</v>
      </c>
      <c r="S97" s="604">
        <v>7</v>
      </c>
      <c r="T97" s="600">
        <f>IFERROR((WSH_H[[#This Row],[H]]-WSH_H[[#This Row],[2B]]-WSH_H[[#This Row],[3B]]-WSH_H[[#This Row],[HR]])+(WSH_H[[#This Row],[2B]]*2)+(WSH_H[[#This Row],[3B]]*3)+(WSH_H[[#This Row],[HR]]*4),0)</f>
        <v>39</v>
      </c>
      <c r="U97" s="598">
        <f>WSH_H[[#This Row],[OBP]]+WSH_H[[#This Row],[SLG]]</f>
        <v>0.58830773688785865</v>
      </c>
      <c r="V97" s="604">
        <v>1</v>
      </c>
      <c r="W97" s="614">
        <v>1</v>
      </c>
      <c r="Z97" s="650" t="s">
        <v>869</v>
      </c>
      <c r="AA97" s="597" t="s">
        <v>179</v>
      </c>
      <c r="AB97" s="597" t="s">
        <v>874</v>
      </c>
      <c r="AC97" s="598">
        <f>IFERROR(WSH_H168[[#This Row],[H]]/WSH_H168[[#This Row],[AB]],0)</f>
        <v>0.23129251700680273</v>
      </c>
      <c r="AD97" s="598">
        <f>IFERROR((WSH_H168[[#This Row],[H]]+WSH_H168[[#This Row],[BB]])/(WSH_H168[[#This Row],[BB]]+WSH_H168[[#This Row],[AB]]),0)</f>
        <v>0.27564102564102566</v>
      </c>
      <c r="AE97" s="599">
        <f>IFERROR(((WSH_H168[[#This Row],[H]]-WSH_H168[[#This Row],[2B]]-WSH_H168[[#This Row],[3B]]-WSH_H168[[#This Row],[HR]])+(WSH_H168[[#This Row],[2B]]*2)+(WSH_H168[[#This Row],[3B]]*3)+(WSH_H168[[#This Row],[HR]]*4))/WSH_H168[[#This Row],[AB]],0)</f>
        <v>0.34693877551020408</v>
      </c>
      <c r="AF97" s="600">
        <v>38</v>
      </c>
      <c r="AG97" s="600">
        <v>147</v>
      </c>
      <c r="AH97" s="600">
        <v>13</v>
      </c>
      <c r="AI97" s="600">
        <v>34</v>
      </c>
      <c r="AJ97" s="600">
        <v>5</v>
      </c>
      <c r="AK97" s="600">
        <v>0</v>
      </c>
      <c r="AL97" s="600">
        <v>4</v>
      </c>
      <c r="AM97" s="600">
        <v>14</v>
      </c>
      <c r="AN97" s="600">
        <v>9</v>
      </c>
      <c r="AO97" s="604">
        <v>18</v>
      </c>
      <c r="AP97" s="600">
        <v>0</v>
      </c>
      <c r="AQ97" s="600">
        <v>6</v>
      </c>
      <c r="AR97" s="604">
        <v>9</v>
      </c>
      <c r="AS97" s="600">
        <f>IFERROR((WSH_H168[[#This Row],[H]]-WSH_H168[[#This Row],[2B]]-WSH_H168[[#This Row],[3B]]-WSH_H168[[#This Row],[HR]])+(WSH_H168[[#This Row],[2B]]*2)+(WSH_H168[[#This Row],[3B]]*3)+(WSH_H168[[#This Row],[HR]]*4),0)</f>
        <v>51</v>
      </c>
      <c r="AT97" s="598">
        <f>WSH_H168[[#This Row],[OBP]]+WSH_H168[[#This Row],[SLG]]</f>
        <v>0.62257980115122979</v>
      </c>
      <c r="AU97" s="604">
        <v>1</v>
      </c>
      <c r="AV97" s="614">
        <v>1</v>
      </c>
      <c r="AY97" s="650" t="s">
        <v>869</v>
      </c>
      <c r="AZ97" s="597" t="s">
        <v>179</v>
      </c>
      <c r="BA97" s="604" t="s">
        <v>874</v>
      </c>
      <c r="BB97" s="598">
        <f>IFERROR(WSH_H168182[[#This Row],[H]]/WSH_H168182[[#This Row],[AB]],0)</f>
        <v>0.2792207792207792</v>
      </c>
      <c r="BC97" s="598">
        <f>IFERROR((WSH_H168182[[#This Row],[BB]]+WSH_H168182[[#This Row],[H]])/(WSH_H168182[[#This Row],[BB]]+WSH_H168182[[#This Row],[AB]]),0)</f>
        <v>0.31481481481481483</v>
      </c>
      <c r="BD97" s="599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0.48051948051948051</v>
      </c>
      <c r="BE97" s="600">
        <v>40</v>
      </c>
      <c r="BF97" s="600">
        <v>154</v>
      </c>
      <c r="BG97" s="600">
        <v>17</v>
      </c>
      <c r="BH97" s="600">
        <v>43</v>
      </c>
      <c r="BI97" s="600">
        <v>7</v>
      </c>
      <c r="BJ97" s="600">
        <v>0</v>
      </c>
      <c r="BK97" s="600">
        <v>8</v>
      </c>
      <c r="BL97" s="600">
        <v>17</v>
      </c>
      <c r="BM97" s="600">
        <v>8</v>
      </c>
      <c r="BN97" s="604">
        <v>16</v>
      </c>
      <c r="BO97" s="600">
        <v>0</v>
      </c>
      <c r="BP97" s="600">
        <v>0</v>
      </c>
      <c r="BQ97" s="604">
        <v>11</v>
      </c>
      <c r="BR97" s="600">
        <f>IFERROR((WSH_H168182[[#This Row],[H]]-WSH_H168182[[#This Row],[2B]]-WSH_H168182[[#This Row],[3B]]-WSH_H168182[[#This Row],[HR]])+(WSH_H168182[[#This Row],[2B]]*2)+(WSH_H168182[[#This Row],[3B]]*3)+(WSH_H168182[[#This Row],[HR]]*4),0)</f>
        <v>74</v>
      </c>
      <c r="BS97" s="598">
        <f>IFERROR(WSH_H168182[[#This Row],[OBP]]+WSH_H168182[[#This Row],[SLG]],0)</f>
        <v>0.79533429533429534</v>
      </c>
      <c r="BT97" s="604">
        <v>3</v>
      </c>
      <c r="BU97" s="614">
        <v>1</v>
      </c>
    </row>
    <row r="98" spans="1:73">
      <c r="A98" s="651" t="s">
        <v>869</v>
      </c>
      <c r="B98" s="71" t="s">
        <v>154</v>
      </c>
      <c r="C98" s="71" t="s">
        <v>871</v>
      </c>
      <c r="D98" s="72">
        <f>IFERROR(WSH_H[[#This Row],[H]]/WSH_H[[#This Row],[AB]],0)</f>
        <v>0.26874999999999999</v>
      </c>
      <c r="E98" s="72">
        <f>IFERROR((WSH_H[[#This Row],[H]]+WSH_H[[#This Row],[BB]])/(WSH_H[[#This Row],[BB]]+WSH_H[[#This Row],[AB]]),0)</f>
        <v>0.34269662921348315</v>
      </c>
      <c r="F98" s="73">
        <f>IFERROR(((WSH_H[[#This Row],[H]]-WSH_H[[#This Row],[2B]]-WSH_H[[#This Row],[3B]]-WSH_H[[#This Row],[HR]])+(WSH_H[[#This Row],[2B]]*2)+(WSH_H[[#This Row],[3B]]*3)+(WSH_H[[#This Row],[HR]]*4))/WSH_H[[#This Row],[AB]],0)</f>
        <v>0.39374999999999999</v>
      </c>
      <c r="G98" s="28">
        <v>40</v>
      </c>
      <c r="H98" s="28">
        <v>160</v>
      </c>
      <c r="I98" s="28">
        <v>19</v>
      </c>
      <c r="J98" s="28">
        <v>43</v>
      </c>
      <c r="K98" s="28">
        <v>8</v>
      </c>
      <c r="L98" s="28">
        <v>0</v>
      </c>
      <c r="M98" s="28">
        <v>4</v>
      </c>
      <c r="N98" s="28">
        <v>14</v>
      </c>
      <c r="O98" s="28">
        <v>18</v>
      </c>
      <c r="P98" s="74">
        <v>32</v>
      </c>
      <c r="Q98" s="28">
        <v>0</v>
      </c>
      <c r="R98" s="28">
        <v>9</v>
      </c>
      <c r="S98" s="74">
        <v>9</v>
      </c>
      <c r="T98" s="28">
        <f>IFERROR((WSH_H[[#This Row],[H]]-WSH_H[[#This Row],[2B]]-WSH_H[[#This Row],[3B]]-WSH_H[[#This Row],[HR]])+(WSH_H[[#This Row],[2B]]*2)+(WSH_H[[#This Row],[3B]]*3)+(WSH_H[[#This Row],[HR]]*4),0)</f>
        <v>63</v>
      </c>
      <c r="U98" s="72">
        <f>WSH_H[[#This Row],[OBP]]+WSH_H[[#This Row],[SLG]]</f>
        <v>0.73644662921348314</v>
      </c>
      <c r="V98" s="74">
        <v>0</v>
      </c>
      <c r="W98" s="615">
        <v>2</v>
      </c>
      <c r="Z98" s="651" t="s">
        <v>869</v>
      </c>
      <c r="AA98" s="71" t="s">
        <v>154</v>
      </c>
      <c r="AB98" s="71" t="s">
        <v>873</v>
      </c>
      <c r="AC98" s="72">
        <f>IFERROR(WSH_H168[[#This Row],[H]]/WSH_H168[[#This Row],[AB]],0)</f>
        <v>0.26241134751773049</v>
      </c>
      <c r="AD98" s="72">
        <f>IFERROR((WSH_H168[[#This Row],[H]]+WSH_H168[[#This Row],[BB]])/(WSH_H168[[#This Row],[BB]]+WSH_H168[[#This Row],[AB]]),0)</f>
        <v>0.28275862068965518</v>
      </c>
      <c r="AE98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0.36879432624113473</v>
      </c>
      <c r="AF98" s="28">
        <v>36</v>
      </c>
      <c r="AG98" s="28">
        <v>141</v>
      </c>
      <c r="AH98" s="28">
        <v>12</v>
      </c>
      <c r="AI98" s="28">
        <v>37</v>
      </c>
      <c r="AJ98" s="28">
        <v>10</v>
      </c>
      <c r="AK98" s="28">
        <v>1</v>
      </c>
      <c r="AL98" s="28">
        <v>1</v>
      </c>
      <c r="AM98" s="28">
        <v>14</v>
      </c>
      <c r="AN98" s="28">
        <v>4</v>
      </c>
      <c r="AO98" s="74">
        <v>38</v>
      </c>
      <c r="AP98" s="28">
        <v>0</v>
      </c>
      <c r="AQ98" s="28">
        <v>0</v>
      </c>
      <c r="AR98" s="74">
        <v>10</v>
      </c>
      <c r="AS98" s="28">
        <f>IFERROR((WSH_H168[[#This Row],[H]]-WSH_H168[[#This Row],[2B]]-WSH_H168[[#This Row],[3B]]-WSH_H168[[#This Row],[HR]])+(WSH_H168[[#This Row],[2B]]*2)+(WSH_H168[[#This Row],[3B]]*3)+(WSH_H168[[#This Row],[HR]]*4),0)</f>
        <v>52</v>
      </c>
      <c r="AT98" s="72">
        <f>WSH_H168[[#This Row],[OBP]]+WSH_H168[[#This Row],[SLG]]</f>
        <v>0.65155294693078991</v>
      </c>
      <c r="AU98" s="74">
        <v>1</v>
      </c>
      <c r="AV98" s="615">
        <v>2</v>
      </c>
      <c r="AY98" s="651" t="s">
        <v>869</v>
      </c>
      <c r="AZ98" s="71" t="s">
        <v>154</v>
      </c>
      <c r="BA98" s="74" t="s">
        <v>873</v>
      </c>
      <c r="BB98" s="72">
        <f>IFERROR(WSH_H168182[[#This Row],[H]]/WSH_H168182[[#This Row],[AB]],0)</f>
        <v>0.25161290322580643</v>
      </c>
      <c r="BC98" s="72">
        <f>IFERROR((WSH_H168182[[#This Row],[BB]]+WSH_H168182[[#This Row],[H]])/(WSH_H168182[[#This Row],[BB]]+WSH_H168182[[#This Row],[AB]]),0)</f>
        <v>0.29696969696969699</v>
      </c>
      <c r="BD98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0.34838709677419355</v>
      </c>
      <c r="BE98" s="28">
        <v>40</v>
      </c>
      <c r="BF98" s="28">
        <v>155</v>
      </c>
      <c r="BG98" s="28">
        <v>12</v>
      </c>
      <c r="BH98" s="28">
        <v>39</v>
      </c>
      <c r="BI98" s="28">
        <v>10</v>
      </c>
      <c r="BJ98" s="28">
        <v>1</v>
      </c>
      <c r="BK98" s="28">
        <v>1</v>
      </c>
      <c r="BL98" s="28">
        <v>8</v>
      </c>
      <c r="BM98" s="28">
        <v>10</v>
      </c>
      <c r="BN98" s="74">
        <v>36</v>
      </c>
      <c r="BO98" s="28">
        <v>0</v>
      </c>
      <c r="BP98" s="28">
        <v>1</v>
      </c>
      <c r="BQ98" s="74">
        <v>8</v>
      </c>
      <c r="BR98" s="28">
        <f>IFERROR((WSH_H168182[[#This Row],[H]]-WSH_H168182[[#This Row],[2B]]-WSH_H168182[[#This Row],[3B]]-WSH_H168182[[#This Row],[HR]])+(WSH_H168182[[#This Row],[2B]]*2)+(WSH_H168182[[#This Row],[3B]]*3)+(WSH_H168182[[#This Row],[HR]]*4),0)</f>
        <v>54</v>
      </c>
      <c r="BS98" s="72">
        <f>IFERROR(WSH_H168182[[#This Row],[OBP]]+WSH_H168182[[#This Row],[SLG]],0)</f>
        <v>0.64535679374389054</v>
      </c>
      <c r="BT98" s="74">
        <v>0</v>
      </c>
      <c r="BU98" s="615">
        <v>2</v>
      </c>
    </row>
    <row r="99" spans="1:73">
      <c r="A99" s="651" t="s">
        <v>869</v>
      </c>
      <c r="B99" s="71" t="s">
        <v>172</v>
      </c>
      <c r="C99" s="71" t="s">
        <v>870</v>
      </c>
      <c r="D99" s="72">
        <f>IFERROR(WSH_H[[#This Row],[H]]/WSH_H[[#This Row],[AB]],0)</f>
        <v>0.31288343558282211</v>
      </c>
      <c r="E99" s="72">
        <f>IFERROR((WSH_H[[#This Row],[H]]+WSH_H[[#This Row],[BB]])/(WSH_H[[#This Row],[BB]]+WSH_H[[#This Row],[AB]]),0)</f>
        <v>0.35260115606936415</v>
      </c>
      <c r="F99" s="73">
        <f>IFERROR(((WSH_H[[#This Row],[H]]-WSH_H[[#This Row],[2B]]-WSH_H[[#This Row],[3B]]-WSH_H[[#This Row],[HR]])+(WSH_H[[#This Row],[2B]]*2)+(WSH_H[[#This Row],[3B]]*3)+(WSH_H[[#This Row],[HR]]*4))/WSH_H[[#This Row],[AB]],0)</f>
        <v>0.44171779141104295</v>
      </c>
      <c r="G99" s="28">
        <v>39</v>
      </c>
      <c r="H99" s="28">
        <v>163</v>
      </c>
      <c r="I99" s="28">
        <v>13</v>
      </c>
      <c r="J99" s="28">
        <v>51</v>
      </c>
      <c r="K99" s="76">
        <v>16</v>
      </c>
      <c r="L99" s="28">
        <v>1</v>
      </c>
      <c r="M99" s="28">
        <v>1</v>
      </c>
      <c r="N99" s="28">
        <v>13</v>
      </c>
      <c r="O99" s="28">
        <v>10</v>
      </c>
      <c r="P99" s="74">
        <v>37</v>
      </c>
      <c r="Q99" s="28">
        <v>13</v>
      </c>
      <c r="R99" s="28">
        <v>2</v>
      </c>
      <c r="S99" s="74">
        <v>14</v>
      </c>
      <c r="T99" s="28">
        <f>IFERROR((WSH_H[[#This Row],[H]]-WSH_H[[#This Row],[2B]]-WSH_H[[#This Row],[3B]]-WSH_H[[#This Row],[HR]])+(WSH_H[[#This Row],[2B]]*2)+(WSH_H[[#This Row],[3B]]*3)+(WSH_H[[#This Row],[HR]]*4),0)</f>
        <v>72</v>
      </c>
      <c r="U99" s="72">
        <f>WSH_H[[#This Row],[OBP]]+WSH_H[[#This Row],[SLG]]</f>
        <v>0.7943189474804071</v>
      </c>
      <c r="V99" s="74">
        <v>4</v>
      </c>
      <c r="W99" s="615">
        <v>3</v>
      </c>
      <c r="Z99" s="651" t="s">
        <v>869</v>
      </c>
      <c r="AA99" s="71" t="s">
        <v>235</v>
      </c>
      <c r="AB99" s="71" t="s">
        <v>870</v>
      </c>
      <c r="AC99" s="72">
        <f>IFERROR(WSH_H168[[#This Row],[H]]/WSH_H168[[#This Row],[AB]],0)</f>
        <v>0.28282828282828282</v>
      </c>
      <c r="AD99" s="72">
        <f>IFERROR((WSH_H168[[#This Row],[H]]+WSH_H168[[#This Row],[BB]])/(WSH_H168[[#This Row],[BB]]+WSH_H168[[#This Row],[AB]]),0)</f>
        <v>0.34259259259259262</v>
      </c>
      <c r="AE99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0.32323232323232326</v>
      </c>
      <c r="AF99" s="28">
        <v>28</v>
      </c>
      <c r="AG99" s="28">
        <v>99</v>
      </c>
      <c r="AH99" s="28">
        <v>6</v>
      </c>
      <c r="AI99" s="28">
        <v>28</v>
      </c>
      <c r="AJ99" s="28">
        <v>1</v>
      </c>
      <c r="AK99" s="28">
        <v>0</v>
      </c>
      <c r="AL99" s="28">
        <v>1</v>
      </c>
      <c r="AM99" s="28">
        <v>11</v>
      </c>
      <c r="AN99" s="28">
        <v>9</v>
      </c>
      <c r="AO99" s="74">
        <v>21</v>
      </c>
      <c r="AP99" s="28">
        <v>2</v>
      </c>
      <c r="AQ99" s="28">
        <v>0</v>
      </c>
      <c r="AR99" s="74">
        <v>9</v>
      </c>
      <c r="AS99" s="28">
        <f>IFERROR((WSH_H168[[#This Row],[H]]-WSH_H168[[#This Row],[2B]]-WSH_H168[[#This Row],[3B]]-WSH_H168[[#This Row],[HR]])+(WSH_H168[[#This Row],[2B]]*2)+(WSH_H168[[#This Row],[3B]]*3)+(WSH_H168[[#This Row],[HR]]*4),0)</f>
        <v>32</v>
      </c>
      <c r="AT99" s="72">
        <f>WSH_H168[[#This Row],[OBP]]+WSH_H168[[#This Row],[SLG]]</f>
        <v>0.66582491582491588</v>
      </c>
      <c r="AU99" s="74">
        <v>2</v>
      </c>
      <c r="AV99" s="615">
        <v>3</v>
      </c>
      <c r="AY99" s="651" t="s">
        <v>869</v>
      </c>
      <c r="AZ99" s="71" t="s">
        <v>172</v>
      </c>
      <c r="BA99" s="74" t="s">
        <v>872</v>
      </c>
      <c r="BB99" s="72">
        <f>IFERROR(WSH_H168182[[#This Row],[H]]/WSH_H168182[[#This Row],[AB]],0)</f>
        <v>0.24431818181818182</v>
      </c>
      <c r="BC99" s="72">
        <f>IFERROR((WSH_H168182[[#This Row],[BB]]+WSH_H168182[[#This Row],[H]])/(WSH_H168182[[#This Row],[BB]]+WSH_H168182[[#This Row],[AB]]),0)</f>
        <v>0.3</v>
      </c>
      <c r="BD99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0.43181818181818182</v>
      </c>
      <c r="BE99" s="28">
        <v>40</v>
      </c>
      <c r="BF99" s="76">
        <v>176</v>
      </c>
      <c r="BG99" s="28">
        <v>22</v>
      </c>
      <c r="BH99" s="28">
        <v>43</v>
      </c>
      <c r="BI99" s="28">
        <v>9</v>
      </c>
      <c r="BJ99" s="28">
        <v>0</v>
      </c>
      <c r="BK99" s="28">
        <v>8</v>
      </c>
      <c r="BL99" s="28">
        <v>15</v>
      </c>
      <c r="BM99" s="28">
        <v>14</v>
      </c>
      <c r="BN99" s="74">
        <v>41</v>
      </c>
      <c r="BO99" s="28">
        <v>22</v>
      </c>
      <c r="BP99" s="28">
        <v>1</v>
      </c>
      <c r="BQ99" s="74">
        <v>4</v>
      </c>
      <c r="BR99" s="28">
        <f>IFERROR((WSH_H168182[[#This Row],[H]]-WSH_H168182[[#This Row],[2B]]-WSH_H168182[[#This Row],[3B]]-WSH_H168182[[#This Row],[HR]])+(WSH_H168182[[#This Row],[2B]]*2)+(WSH_H168182[[#This Row],[3B]]*3)+(WSH_H168182[[#This Row],[HR]]*4),0)</f>
        <v>76</v>
      </c>
      <c r="BS99" s="72">
        <f>IFERROR(WSH_H168182[[#This Row],[OBP]]+WSH_H168182[[#This Row],[SLG]],0)</f>
        <v>0.73181818181818181</v>
      </c>
      <c r="BT99" s="74">
        <v>3</v>
      </c>
      <c r="BU99" s="615">
        <v>3</v>
      </c>
    </row>
    <row r="100" spans="1:73">
      <c r="A100" s="651" t="s">
        <v>869</v>
      </c>
      <c r="B100" s="71" t="s">
        <v>311</v>
      </c>
      <c r="C100" s="71" t="s">
        <v>603</v>
      </c>
      <c r="D100" s="72">
        <f>IFERROR(WSH_H[[#This Row],[H]]/WSH_H[[#This Row],[AB]],0)</f>
        <v>0.25333333333333335</v>
      </c>
      <c r="E100" s="72">
        <f>IFERROR((WSH_H[[#This Row],[H]]+WSH_H[[#This Row],[BB]])/(WSH_H[[#This Row],[BB]]+WSH_H[[#This Row],[AB]]),0)</f>
        <v>0.33333333333333331</v>
      </c>
      <c r="F100" s="73">
        <f>IFERROR(((WSH_H[[#This Row],[H]]-WSH_H[[#This Row],[2B]]-WSH_H[[#This Row],[3B]]-WSH_H[[#This Row],[HR]])+(WSH_H[[#This Row],[2B]]*2)+(WSH_H[[#This Row],[3B]]*3)+(WSH_H[[#This Row],[HR]]*4))/WSH_H[[#This Row],[AB]],0)</f>
        <v>0.48</v>
      </c>
      <c r="G100" s="28">
        <v>22</v>
      </c>
      <c r="H100" s="28">
        <v>75</v>
      </c>
      <c r="I100" s="28">
        <v>5</v>
      </c>
      <c r="J100" s="28">
        <v>19</v>
      </c>
      <c r="K100" s="28">
        <v>1</v>
      </c>
      <c r="L100" s="28">
        <v>2</v>
      </c>
      <c r="M100" s="28">
        <v>4</v>
      </c>
      <c r="N100" s="28">
        <v>14</v>
      </c>
      <c r="O100" s="28">
        <v>9</v>
      </c>
      <c r="P100" s="74">
        <v>21</v>
      </c>
      <c r="Q100" s="28">
        <v>0</v>
      </c>
      <c r="R100" s="28">
        <v>0</v>
      </c>
      <c r="S100" s="74">
        <v>6</v>
      </c>
      <c r="T100" s="28">
        <f>IFERROR((WSH_H[[#This Row],[H]]-WSH_H[[#This Row],[2B]]-WSH_H[[#This Row],[3B]]-WSH_H[[#This Row],[HR]])+(WSH_H[[#This Row],[2B]]*2)+(WSH_H[[#This Row],[3B]]*3)+(WSH_H[[#This Row],[HR]]*4),0)</f>
        <v>36</v>
      </c>
      <c r="U100" s="72">
        <f>WSH_H[[#This Row],[OBP]]+WSH_H[[#This Row],[SLG]]</f>
        <v>0.81333333333333324</v>
      </c>
      <c r="V100" s="74">
        <v>1</v>
      </c>
      <c r="W100" s="615">
        <v>4</v>
      </c>
      <c r="Z100" s="651" t="s">
        <v>869</v>
      </c>
      <c r="AA100" s="71" t="s">
        <v>153</v>
      </c>
      <c r="AB100" s="71" t="s">
        <v>880</v>
      </c>
      <c r="AC100" s="72">
        <f>IFERROR(WSH_H168[[#This Row],[H]]/WSH_H168[[#This Row],[AB]],0)</f>
        <v>0.20588235294117646</v>
      </c>
      <c r="AD100" s="72">
        <f>IFERROR((WSH_H168[[#This Row],[H]]+WSH_H168[[#This Row],[BB]])/(WSH_H168[[#This Row],[BB]]+WSH_H168[[#This Row],[AB]]),0)</f>
        <v>0.30769230769230771</v>
      </c>
      <c r="AE100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0.38235294117647056</v>
      </c>
      <c r="AF100" s="28">
        <v>19</v>
      </c>
      <c r="AG100" s="28">
        <v>68</v>
      </c>
      <c r="AH100" s="28">
        <v>7</v>
      </c>
      <c r="AI100" s="28">
        <v>14</v>
      </c>
      <c r="AJ100" s="28">
        <v>6</v>
      </c>
      <c r="AK100" s="28">
        <v>0</v>
      </c>
      <c r="AL100" s="28">
        <v>2</v>
      </c>
      <c r="AM100" s="28">
        <v>9</v>
      </c>
      <c r="AN100" s="28">
        <v>10</v>
      </c>
      <c r="AO100" s="74">
        <v>18</v>
      </c>
      <c r="AP100" s="28">
        <v>0</v>
      </c>
      <c r="AQ100" s="28">
        <v>2</v>
      </c>
      <c r="AR100" s="74">
        <v>5</v>
      </c>
      <c r="AS100" s="28">
        <f>IFERROR((WSH_H168[[#This Row],[H]]-WSH_H168[[#This Row],[2B]]-WSH_H168[[#This Row],[3B]]-WSH_H168[[#This Row],[HR]])+(WSH_H168[[#This Row],[2B]]*2)+(WSH_H168[[#This Row],[3B]]*3)+(WSH_H168[[#This Row],[HR]]*4),0)</f>
        <v>26</v>
      </c>
      <c r="AT100" s="72">
        <f>WSH_H168[[#This Row],[OBP]]+WSH_H168[[#This Row],[SLG]]</f>
        <v>0.69004524886877827</v>
      </c>
      <c r="AU100" s="74">
        <v>1</v>
      </c>
      <c r="AV100" s="615">
        <v>4</v>
      </c>
      <c r="AY100" s="651" t="s">
        <v>869</v>
      </c>
      <c r="AZ100" s="71" t="s">
        <v>153</v>
      </c>
      <c r="BA100" s="74" t="s">
        <v>880</v>
      </c>
      <c r="BB100" s="72">
        <f>IFERROR(WSH_H168182[[#This Row],[H]]/WSH_H168182[[#This Row],[AB]],0)</f>
        <v>0.22727272727272727</v>
      </c>
      <c r="BC100" s="72">
        <f>IFERROR((WSH_H168182[[#This Row],[BB]]+WSH_H168182[[#This Row],[H]])/(WSH_H168182[[#This Row],[BB]]+WSH_H168182[[#This Row],[AB]]),0)</f>
        <v>0.25624999999999998</v>
      </c>
      <c r="BD100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0.34415584415584416</v>
      </c>
      <c r="BE100" s="28">
        <v>40</v>
      </c>
      <c r="BF100" s="28">
        <v>154</v>
      </c>
      <c r="BG100" s="28">
        <v>13</v>
      </c>
      <c r="BH100" s="28">
        <v>35</v>
      </c>
      <c r="BI100" s="28">
        <v>9</v>
      </c>
      <c r="BJ100" s="28">
        <v>0</v>
      </c>
      <c r="BK100" s="28">
        <v>3</v>
      </c>
      <c r="BL100" s="28">
        <v>18</v>
      </c>
      <c r="BM100" s="28">
        <v>6</v>
      </c>
      <c r="BN100" s="74">
        <v>43</v>
      </c>
      <c r="BO100" s="28">
        <v>0</v>
      </c>
      <c r="BP100" s="28">
        <v>0</v>
      </c>
      <c r="BQ100" s="74">
        <v>4</v>
      </c>
      <c r="BR100" s="28">
        <f>IFERROR((WSH_H168182[[#This Row],[H]]-WSH_H168182[[#This Row],[2B]]-WSH_H168182[[#This Row],[3B]]-WSH_H168182[[#This Row],[HR]])+(WSH_H168182[[#This Row],[2B]]*2)+(WSH_H168182[[#This Row],[3B]]*3)+(WSH_H168182[[#This Row],[HR]]*4),0)</f>
        <v>53</v>
      </c>
      <c r="BS100" s="72">
        <f>IFERROR(WSH_H168182[[#This Row],[OBP]]+WSH_H168182[[#This Row],[SLG]],0)</f>
        <v>0.60040584415584419</v>
      </c>
      <c r="BT100" s="74">
        <v>2</v>
      </c>
      <c r="BU100" s="615">
        <v>4</v>
      </c>
    </row>
    <row r="101" spans="1:73">
      <c r="A101" s="651" t="s">
        <v>869</v>
      </c>
      <c r="B101" s="71" t="s">
        <v>177</v>
      </c>
      <c r="C101" s="71" t="s">
        <v>875</v>
      </c>
      <c r="D101" s="72">
        <f>IFERROR(WSH_H[[#This Row],[H]]/WSH_H[[#This Row],[AB]],0)</f>
        <v>0.22875816993464052</v>
      </c>
      <c r="E101" s="72">
        <f>IFERROR((WSH_H[[#This Row],[H]]+WSH_H[[#This Row],[BB]])/(WSH_H[[#This Row],[BB]]+WSH_H[[#This Row],[AB]]),0)</f>
        <v>0.31395348837209303</v>
      </c>
      <c r="F101" s="73">
        <f>IFERROR(((WSH_H[[#This Row],[H]]-WSH_H[[#This Row],[2B]]-WSH_H[[#This Row],[3B]]-WSH_H[[#This Row],[HR]])+(WSH_H[[#This Row],[2B]]*2)+(WSH_H[[#This Row],[3B]]*3)+(WSH_H[[#This Row],[HR]]*4))/WSH_H[[#This Row],[AB]],0)</f>
        <v>0.40522875816993464</v>
      </c>
      <c r="G101" s="28">
        <v>40</v>
      </c>
      <c r="H101" s="28">
        <v>153</v>
      </c>
      <c r="I101" s="28">
        <v>20</v>
      </c>
      <c r="J101" s="28">
        <v>35</v>
      </c>
      <c r="K101" s="28">
        <v>6</v>
      </c>
      <c r="L101" s="28">
        <v>3</v>
      </c>
      <c r="M101" s="28">
        <v>5</v>
      </c>
      <c r="N101" s="28">
        <v>15</v>
      </c>
      <c r="O101" s="28">
        <v>19</v>
      </c>
      <c r="P101" s="74">
        <v>43</v>
      </c>
      <c r="Q101" s="28">
        <v>0</v>
      </c>
      <c r="R101" s="28">
        <v>2</v>
      </c>
      <c r="S101" s="74">
        <v>12</v>
      </c>
      <c r="T101" s="28">
        <f>IFERROR((WSH_H[[#This Row],[H]]-WSH_H[[#This Row],[2B]]-WSH_H[[#This Row],[3B]]-WSH_H[[#This Row],[HR]])+(WSH_H[[#This Row],[2B]]*2)+(WSH_H[[#This Row],[3B]]*3)+(WSH_H[[#This Row],[HR]]*4),0)</f>
        <v>62</v>
      </c>
      <c r="U101" s="72">
        <f>WSH_H[[#This Row],[OBP]]+WSH_H[[#This Row],[SLG]]</f>
        <v>0.71918224654202767</v>
      </c>
      <c r="V101" s="74">
        <v>2</v>
      </c>
      <c r="W101" s="615">
        <v>5</v>
      </c>
      <c r="Z101" s="651" t="s">
        <v>869</v>
      </c>
      <c r="AA101" s="71" t="s">
        <v>177</v>
      </c>
      <c r="AB101" s="71" t="s">
        <v>871</v>
      </c>
      <c r="AC101" s="72">
        <f>IFERROR(WSH_H168[[#This Row],[H]]/WSH_H168[[#This Row],[AB]],0)</f>
        <v>0.28834355828220859</v>
      </c>
      <c r="AD101" s="72">
        <f>IFERROR((WSH_H168[[#This Row],[H]]+WSH_H168[[#This Row],[BB]])/(WSH_H168[[#This Row],[BB]]+WSH_H168[[#This Row],[AB]]),0)</f>
        <v>0.35195530726256985</v>
      </c>
      <c r="AE101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0.5214723926380368</v>
      </c>
      <c r="AF101" s="28">
        <v>40</v>
      </c>
      <c r="AG101" s="28">
        <v>163</v>
      </c>
      <c r="AH101" s="28">
        <v>24</v>
      </c>
      <c r="AI101" s="28">
        <v>47</v>
      </c>
      <c r="AJ101" s="28">
        <v>14</v>
      </c>
      <c r="AK101" s="28">
        <v>0</v>
      </c>
      <c r="AL101" s="28">
        <v>8</v>
      </c>
      <c r="AM101" s="28">
        <v>28</v>
      </c>
      <c r="AN101" s="28">
        <v>16</v>
      </c>
      <c r="AO101" s="74">
        <v>39</v>
      </c>
      <c r="AP101" s="28">
        <v>0</v>
      </c>
      <c r="AQ101" s="28">
        <v>3</v>
      </c>
      <c r="AR101" s="74">
        <v>7</v>
      </c>
      <c r="AS101" s="28">
        <f>IFERROR((WSH_H168[[#This Row],[H]]-WSH_H168[[#This Row],[2B]]-WSH_H168[[#This Row],[3B]]-WSH_H168[[#This Row],[HR]])+(WSH_H168[[#This Row],[2B]]*2)+(WSH_H168[[#This Row],[3B]]*3)+(WSH_H168[[#This Row],[HR]]*4),0)</f>
        <v>85</v>
      </c>
      <c r="AT101" s="72">
        <f>WSH_H168[[#This Row],[OBP]]+WSH_H168[[#This Row],[SLG]]</f>
        <v>0.87342769990060665</v>
      </c>
      <c r="AU101" s="74">
        <v>3</v>
      </c>
      <c r="AV101" s="615">
        <v>5</v>
      </c>
      <c r="AY101" s="651" t="s">
        <v>869</v>
      </c>
      <c r="AZ101" s="71" t="s">
        <v>177</v>
      </c>
      <c r="BA101" s="74" t="s">
        <v>871</v>
      </c>
      <c r="BB101" s="72">
        <f>IFERROR(WSH_H168182[[#This Row],[H]]/WSH_H168182[[#This Row],[AB]],0)</f>
        <v>0.23312883435582821</v>
      </c>
      <c r="BC101" s="72">
        <f>IFERROR((WSH_H168182[[#This Row],[BB]]+WSH_H168182[[#This Row],[H]])/(WSH_H168182[[#This Row],[BB]]+WSH_H168182[[#This Row],[AB]]),0)</f>
        <v>0.28977272727272729</v>
      </c>
      <c r="BD101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0.45398773006134968</v>
      </c>
      <c r="BE101" s="28">
        <v>40</v>
      </c>
      <c r="BF101" s="28">
        <v>163</v>
      </c>
      <c r="BG101" s="28">
        <v>17</v>
      </c>
      <c r="BH101" s="28">
        <v>38</v>
      </c>
      <c r="BI101" s="28">
        <v>12</v>
      </c>
      <c r="BJ101" s="28">
        <v>0</v>
      </c>
      <c r="BK101" s="28">
        <v>8</v>
      </c>
      <c r="BL101" s="28">
        <v>21</v>
      </c>
      <c r="BM101" s="28">
        <v>13</v>
      </c>
      <c r="BN101" s="74">
        <v>45</v>
      </c>
      <c r="BO101" s="28">
        <v>0</v>
      </c>
      <c r="BP101" s="28">
        <v>0</v>
      </c>
      <c r="BQ101" s="74">
        <v>4</v>
      </c>
      <c r="BR101" s="28">
        <f>IFERROR((WSH_H168182[[#This Row],[H]]-WSH_H168182[[#This Row],[2B]]-WSH_H168182[[#This Row],[3B]]-WSH_H168182[[#This Row],[HR]])+(WSH_H168182[[#This Row],[2B]]*2)+(WSH_H168182[[#This Row],[3B]]*3)+(WSH_H168182[[#This Row],[HR]]*4),0)</f>
        <v>74</v>
      </c>
      <c r="BS101" s="72">
        <f>IFERROR(WSH_H168182[[#This Row],[OBP]]+WSH_H168182[[#This Row],[SLG]],0)</f>
        <v>0.74376045733407703</v>
      </c>
      <c r="BT101" s="74">
        <v>6</v>
      </c>
      <c r="BU101" s="615">
        <v>5</v>
      </c>
    </row>
    <row r="102" spans="1:73">
      <c r="A102" s="651" t="s">
        <v>869</v>
      </c>
      <c r="B102" s="71" t="s">
        <v>234</v>
      </c>
      <c r="C102" s="71" t="s">
        <v>877</v>
      </c>
      <c r="D102" s="72">
        <f>IFERROR(WSH_H[[#This Row],[H]]/WSH_H[[#This Row],[AB]],0)</f>
        <v>0.23972602739726026</v>
      </c>
      <c r="E102" s="72">
        <f>IFERROR((WSH_H[[#This Row],[H]]+WSH_H[[#This Row],[BB]])/(WSH_H[[#This Row],[BB]]+WSH_H[[#This Row],[AB]]),0)</f>
        <v>0.31901840490797545</v>
      </c>
      <c r="F102" s="73">
        <f>IFERROR(((WSH_H[[#This Row],[H]]-WSH_H[[#This Row],[2B]]-WSH_H[[#This Row],[3B]]-WSH_H[[#This Row],[HR]])+(WSH_H[[#This Row],[2B]]*2)+(WSH_H[[#This Row],[3B]]*3)+(WSH_H[[#This Row],[HR]]*4))/WSH_H[[#This Row],[AB]],0)</f>
        <v>0.35616438356164382</v>
      </c>
      <c r="G102" s="28">
        <v>38</v>
      </c>
      <c r="H102" s="28">
        <v>146</v>
      </c>
      <c r="I102" s="28">
        <v>15</v>
      </c>
      <c r="J102" s="28">
        <v>35</v>
      </c>
      <c r="K102" s="28">
        <v>3</v>
      </c>
      <c r="L102" s="28">
        <v>1</v>
      </c>
      <c r="M102" s="28">
        <v>4</v>
      </c>
      <c r="N102" s="28">
        <v>13</v>
      </c>
      <c r="O102" s="28">
        <v>17</v>
      </c>
      <c r="P102" s="74">
        <v>47</v>
      </c>
      <c r="Q102" s="28">
        <v>0</v>
      </c>
      <c r="R102" s="28">
        <v>0</v>
      </c>
      <c r="S102" s="74">
        <v>7</v>
      </c>
      <c r="T102" s="28">
        <f>IFERROR((WSH_H[[#This Row],[H]]-WSH_H[[#This Row],[2B]]-WSH_H[[#This Row],[3B]]-WSH_H[[#This Row],[HR]])+(WSH_H[[#This Row],[2B]]*2)+(WSH_H[[#This Row],[3B]]*3)+(WSH_H[[#This Row],[HR]]*4),0)</f>
        <v>52</v>
      </c>
      <c r="U102" s="72">
        <f>WSH_H[[#This Row],[OBP]]+WSH_H[[#This Row],[SLG]]</f>
        <v>0.67518278846961932</v>
      </c>
      <c r="V102" s="74">
        <v>2</v>
      </c>
      <c r="W102" s="615">
        <v>6</v>
      </c>
      <c r="Z102" s="651" t="s">
        <v>869</v>
      </c>
      <c r="AA102" s="71" t="s">
        <v>174</v>
      </c>
      <c r="AB102" s="71" t="s">
        <v>878</v>
      </c>
      <c r="AC102" s="72">
        <f>IFERROR(WSH_H168[[#This Row],[H]]/WSH_H168[[#This Row],[AB]],0)</f>
        <v>0.18421052631578946</v>
      </c>
      <c r="AD102" s="72">
        <f>IFERROR((WSH_H168[[#This Row],[H]]+WSH_H168[[#This Row],[BB]])/(WSH_H168[[#This Row],[BB]]+WSH_H168[[#This Row],[AB]]),0)</f>
        <v>0.29545454545454547</v>
      </c>
      <c r="AE102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0.33333333333333331</v>
      </c>
      <c r="AF102" s="28">
        <v>30</v>
      </c>
      <c r="AG102" s="28">
        <v>114</v>
      </c>
      <c r="AH102" s="28">
        <v>13</v>
      </c>
      <c r="AI102" s="28">
        <v>21</v>
      </c>
      <c r="AJ102" s="28">
        <v>8</v>
      </c>
      <c r="AK102" s="28">
        <v>0</v>
      </c>
      <c r="AL102" s="28">
        <v>3</v>
      </c>
      <c r="AM102" s="28">
        <v>9</v>
      </c>
      <c r="AN102" s="28">
        <v>18</v>
      </c>
      <c r="AO102" s="74">
        <v>45</v>
      </c>
      <c r="AP102" s="28">
        <v>0</v>
      </c>
      <c r="AQ102" s="28">
        <v>0</v>
      </c>
      <c r="AR102" s="74">
        <v>4</v>
      </c>
      <c r="AS102" s="28">
        <f>IFERROR((WSH_H168[[#This Row],[H]]-WSH_H168[[#This Row],[2B]]-WSH_H168[[#This Row],[3B]]-WSH_H168[[#This Row],[HR]])+(WSH_H168[[#This Row],[2B]]*2)+(WSH_H168[[#This Row],[3B]]*3)+(WSH_H168[[#This Row],[HR]]*4),0)</f>
        <v>38</v>
      </c>
      <c r="AT102" s="72">
        <f>WSH_H168[[#This Row],[OBP]]+WSH_H168[[#This Row],[SLG]]</f>
        <v>0.62878787878787878</v>
      </c>
      <c r="AU102" s="74">
        <v>3</v>
      </c>
      <c r="AV102" s="615">
        <v>6</v>
      </c>
      <c r="AY102" s="651" t="s">
        <v>869</v>
      </c>
      <c r="AZ102" s="71" t="s">
        <v>174</v>
      </c>
      <c r="BA102" s="74" t="s">
        <v>878</v>
      </c>
      <c r="BB102" s="72">
        <f>IFERROR(WSH_H168182[[#This Row],[H]]/WSH_H168182[[#This Row],[AB]],0)</f>
        <v>0.22147651006711411</v>
      </c>
      <c r="BC102" s="72">
        <f>IFERROR((WSH_H168182[[#This Row],[BB]]+WSH_H168182[[#This Row],[H]])/(WSH_H168182[[#This Row],[BB]]+WSH_H168182[[#This Row],[AB]]),0)</f>
        <v>0.32558139534883723</v>
      </c>
      <c r="BD102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0.43624161073825501</v>
      </c>
      <c r="BE102" s="28">
        <v>40</v>
      </c>
      <c r="BF102" s="28">
        <v>149</v>
      </c>
      <c r="BG102" s="28">
        <v>20</v>
      </c>
      <c r="BH102" s="28">
        <v>33</v>
      </c>
      <c r="BI102" s="28">
        <v>8</v>
      </c>
      <c r="BJ102" s="28">
        <v>0</v>
      </c>
      <c r="BK102" s="28">
        <v>8</v>
      </c>
      <c r="BL102" s="28">
        <v>19</v>
      </c>
      <c r="BM102" s="28">
        <v>23</v>
      </c>
      <c r="BN102" s="74">
        <v>45</v>
      </c>
      <c r="BO102" s="28">
        <v>0</v>
      </c>
      <c r="BP102" s="28">
        <v>3</v>
      </c>
      <c r="BQ102" s="74">
        <v>4</v>
      </c>
      <c r="BR102" s="28">
        <f>IFERROR((WSH_H168182[[#This Row],[H]]-WSH_H168182[[#This Row],[2B]]-WSH_H168182[[#This Row],[3B]]-WSH_H168182[[#This Row],[HR]])+(WSH_H168182[[#This Row],[2B]]*2)+(WSH_H168182[[#This Row],[3B]]*3)+(WSH_H168182[[#This Row],[HR]]*4),0)</f>
        <v>65</v>
      </c>
      <c r="BS102" s="72">
        <f>IFERROR(WSH_H168182[[#This Row],[OBP]]+WSH_H168182[[#This Row],[SLG]],0)</f>
        <v>0.7618230060870923</v>
      </c>
      <c r="BT102" s="74">
        <v>2</v>
      </c>
      <c r="BU102" s="615">
        <v>6</v>
      </c>
    </row>
    <row r="103" spans="1:73">
      <c r="A103" s="651" t="s">
        <v>869</v>
      </c>
      <c r="B103" s="71" t="s">
        <v>383</v>
      </c>
      <c r="C103" s="71" t="s">
        <v>882</v>
      </c>
      <c r="D103" s="72">
        <f>IFERROR(WSH_H[[#This Row],[H]]/WSH_H[[#This Row],[AB]],0)</f>
        <v>0.19540229885057472</v>
      </c>
      <c r="E103" s="72">
        <f>IFERROR((WSH_H[[#This Row],[H]]+WSH_H[[#This Row],[BB]])/(WSH_H[[#This Row],[BB]]+WSH_H[[#This Row],[AB]]),0)</f>
        <v>0.26315789473684209</v>
      </c>
      <c r="F103" s="73">
        <f>IFERROR(((WSH_H[[#This Row],[H]]-WSH_H[[#This Row],[2B]]-WSH_H[[#This Row],[3B]]-WSH_H[[#This Row],[HR]])+(WSH_H[[#This Row],[2B]]*2)+(WSH_H[[#This Row],[3B]]*3)+(WSH_H[[#This Row],[HR]]*4))/WSH_H[[#This Row],[AB]],0)</f>
        <v>0.33333333333333331</v>
      </c>
      <c r="G103" s="28">
        <v>24</v>
      </c>
      <c r="H103" s="28">
        <v>87</v>
      </c>
      <c r="I103" s="28">
        <v>7</v>
      </c>
      <c r="J103" s="28">
        <v>17</v>
      </c>
      <c r="K103" s="28">
        <v>5</v>
      </c>
      <c r="L103" s="28">
        <v>2</v>
      </c>
      <c r="M103" s="28">
        <v>1</v>
      </c>
      <c r="N103" s="28">
        <v>8</v>
      </c>
      <c r="O103" s="28">
        <v>8</v>
      </c>
      <c r="P103" s="74">
        <v>26</v>
      </c>
      <c r="Q103" s="28">
        <v>3</v>
      </c>
      <c r="R103" s="28">
        <v>1</v>
      </c>
      <c r="S103" s="74">
        <v>6</v>
      </c>
      <c r="T103" s="28">
        <f>IFERROR((WSH_H[[#This Row],[H]]-WSH_H[[#This Row],[2B]]-WSH_H[[#This Row],[3B]]-WSH_H[[#This Row],[HR]])+(WSH_H[[#This Row],[2B]]*2)+(WSH_H[[#This Row],[3B]]*3)+(WSH_H[[#This Row],[HR]]*4),0)</f>
        <v>29</v>
      </c>
      <c r="U103" s="72">
        <f>WSH_H[[#This Row],[OBP]]+WSH_H[[#This Row],[SLG]]</f>
        <v>0.59649122807017541</v>
      </c>
      <c r="V103" s="74">
        <v>0</v>
      </c>
      <c r="W103" s="615">
        <v>7</v>
      </c>
      <c r="Z103" s="651" t="s">
        <v>869</v>
      </c>
      <c r="AA103" s="71" t="s">
        <v>181</v>
      </c>
      <c r="AB103" s="71" t="s">
        <v>879</v>
      </c>
      <c r="AC103" s="72">
        <f>IFERROR(WSH_H168[[#This Row],[H]]/WSH_H168[[#This Row],[AB]],0)</f>
        <v>0.23863636363636365</v>
      </c>
      <c r="AD103" s="72">
        <f>IFERROR((WSH_H168[[#This Row],[H]]+WSH_H168[[#This Row],[BB]])/(WSH_H168[[#This Row],[BB]]+WSH_H168[[#This Row],[AB]]),0)</f>
        <v>0.27956989247311825</v>
      </c>
      <c r="AE103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0.43181818181818182</v>
      </c>
      <c r="AF103" s="28">
        <v>24</v>
      </c>
      <c r="AG103" s="28">
        <v>88</v>
      </c>
      <c r="AH103" s="28">
        <v>10</v>
      </c>
      <c r="AI103" s="28">
        <v>21</v>
      </c>
      <c r="AJ103" s="28">
        <v>8</v>
      </c>
      <c r="AK103" s="28">
        <v>0</v>
      </c>
      <c r="AL103" s="28">
        <v>3</v>
      </c>
      <c r="AM103" s="28">
        <v>9</v>
      </c>
      <c r="AN103" s="28">
        <v>5</v>
      </c>
      <c r="AO103" s="74">
        <v>35</v>
      </c>
      <c r="AP103" s="28">
        <v>0</v>
      </c>
      <c r="AQ103" s="28">
        <v>1</v>
      </c>
      <c r="AR103" s="74">
        <v>5</v>
      </c>
      <c r="AS103" s="28">
        <f>IFERROR((WSH_H168[[#This Row],[H]]-WSH_H168[[#This Row],[2B]]-WSH_H168[[#This Row],[3B]]-WSH_H168[[#This Row],[HR]])+(WSH_H168[[#This Row],[2B]]*2)+(WSH_H168[[#This Row],[3B]]*3)+(WSH_H168[[#This Row],[HR]]*4),0)</f>
        <v>38</v>
      </c>
      <c r="AT103" s="72">
        <f>WSH_H168[[#This Row],[OBP]]+WSH_H168[[#This Row],[SLG]]</f>
        <v>0.71138807429130013</v>
      </c>
      <c r="AU103" s="74">
        <v>1</v>
      </c>
      <c r="AV103" s="615">
        <v>7</v>
      </c>
      <c r="AY103" s="651" t="s">
        <v>869</v>
      </c>
      <c r="AZ103" s="71" t="s">
        <v>181</v>
      </c>
      <c r="BA103" s="74" t="s">
        <v>879</v>
      </c>
      <c r="BB103" s="72">
        <f>IFERROR(WSH_H168182[[#This Row],[H]]/WSH_H168182[[#This Row],[AB]],0)</f>
        <v>0.20863309352517986</v>
      </c>
      <c r="BC103" s="72">
        <f>IFERROR((WSH_H168182[[#This Row],[BB]]+WSH_H168182[[#This Row],[H]])/(WSH_H168182[[#This Row],[BB]]+WSH_H168182[[#This Row],[AB]]),0)</f>
        <v>0.25675675675675674</v>
      </c>
      <c r="BD103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0.38129496402877699</v>
      </c>
      <c r="BE103" s="28">
        <v>40</v>
      </c>
      <c r="BF103" s="28">
        <v>139</v>
      </c>
      <c r="BG103" s="28">
        <v>11</v>
      </c>
      <c r="BH103" s="28">
        <v>29</v>
      </c>
      <c r="BI103" s="28">
        <v>8</v>
      </c>
      <c r="BJ103" s="28">
        <v>2</v>
      </c>
      <c r="BK103" s="28">
        <v>4</v>
      </c>
      <c r="BL103" s="28">
        <v>16</v>
      </c>
      <c r="BM103" s="28">
        <v>9</v>
      </c>
      <c r="BN103" s="74">
        <v>54</v>
      </c>
      <c r="BO103" s="28">
        <v>0</v>
      </c>
      <c r="BP103" s="28">
        <v>2</v>
      </c>
      <c r="BQ103" s="74">
        <v>3</v>
      </c>
      <c r="BR103" s="28">
        <f>IFERROR((WSH_H168182[[#This Row],[H]]-WSH_H168182[[#This Row],[2B]]-WSH_H168182[[#This Row],[3B]]-WSH_H168182[[#This Row],[HR]])+(WSH_H168182[[#This Row],[2B]]*2)+(WSH_H168182[[#This Row],[3B]]*3)+(WSH_H168182[[#This Row],[HR]]*4),0)</f>
        <v>53</v>
      </c>
      <c r="BS103" s="72">
        <f>IFERROR(WSH_H168182[[#This Row],[OBP]]+WSH_H168182[[#This Row],[SLG]],0)</f>
        <v>0.63805172078553374</v>
      </c>
      <c r="BT103" s="74">
        <v>1</v>
      </c>
      <c r="BU103" s="615">
        <v>7</v>
      </c>
    </row>
    <row r="104" spans="1:73">
      <c r="A104" s="651" t="s">
        <v>869</v>
      </c>
      <c r="B104" s="71" t="s">
        <v>166</v>
      </c>
      <c r="C104" s="71" t="s">
        <v>876</v>
      </c>
      <c r="D104" s="72">
        <f>IFERROR(WSH_H[[#This Row],[H]]/WSH_H[[#This Row],[AB]],0)</f>
        <v>0.21476510067114093</v>
      </c>
      <c r="E104" s="72">
        <f>IFERROR((WSH_H[[#This Row],[H]]+WSH_H[[#This Row],[BB]])/(WSH_H[[#This Row],[BB]]+WSH_H[[#This Row],[AB]]),0)</f>
        <v>0.35</v>
      </c>
      <c r="F104" s="73">
        <f>IFERROR(((WSH_H[[#This Row],[H]]-WSH_H[[#This Row],[2B]]-WSH_H[[#This Row],[3B]]-WSH_H[[#This Row],[HR]])+(WSH_H[[#This Row],[2B]]*2)+(WSH_H[[#This Row],[3B]]*3)+(WSH_H[[#This Row],[HR]]*4))/WSH_H[[#This Row],[AB]],0)</f>
        <v>0.37583892617449666</v>
      </c>
      <c r="G104" s="28">
        <v>40</v>
      </c>
      <c r="H104" s="28">
        <v>149</v>
      </c>
      <c r="I104" s="28">
        <v>15</v>
      </c>
      <c r="J104" s="28">
        <v>32</v>
      </c>
      <c r="K104" s="28">
        <v>9</v>
      </c>
      <c r="L104" s="28">
        <v>0</v>
      </c>
      <c r="M104" s="28">
        <v>5</v>
      </c>
      <c r="N104" s="28">
        <v>15</v>
      </c>
      <c r="O104" s="76">
        <v>31</v>
      </c>
      <c r="P104" s="74">
        <v>42</v>
      </c>
      <c r="Q104" s="28">
        <v>0</v>
      </c>
      <c r="R104" s="28">
        <v>0</v>
      </c>
      <c r="S104" s="74">
        <v>5</v>
      </c>
      <c r="T104" s="28">
        <f>IFERROR((WSH_H[[#This Row],[H]]-WSH_H[[#This Row],[2B]]-WSH_H[[#This Row],[3B]]-WSH_H[[#This Row],[HR]])+(WSH_H[[#This Row],[2B]]*2)+(WSH_H[[#This Row],[3B]]*3)+(WSH_H[[#This Row],[HR]]*4),0)</f>
        <v>56</v>
      </c>
      <c r="U104" s="72">
        <f>WSH_H[[#This Row],[OBP]]+WSH_H[[#This Row],[SLG]]</f>
        <v>0.72583892617449663</v>
      </c>
      <c r="V104" s="74">
        <v>2</v>
      </c>
      <c r="W104" s="615">
        <v>8</v>
      </c>
      <c r="Z104" s="651" t="s">
        <v>869</v>
      </c>
      <c r="AA104" s="71" t="s">
        <v>166</v>
      </c>
      <c r="AB104" s="71" t="s">
        <v>876</v>
      </c>
      <c r="AC104" s="72">
        <f>IFERROR(WSH_H168[[#This Row],[H]]/WSH_H168[[#This Row],[AB]],0)</f>
        <v>0.19708029197080293</v>
      </c>
      <c r="AD104" s="72">
        <f>IFERROR((WSH_H168[[#This Row],[H]]+WSH_H168[[#This Row],[BB]])/(WSH_H168[[#This Row],[BB]]+WSH_H168[[#This Row],[AB]]),0)</f>
        <v>0.35294117647058826</v>
      </c>
      <c r="AE104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0.28467153284671531</v>
      </c>
      <c r="AF104" s="28">
        <v>40</v>
      </c>
      <c r="AG104" s="28">
        <v>137</v>
      </c>
      <c r="AH104" s="28">
        <v>17</v>
      </c>
      <c r="AI104" s="28">
        <v>27</v>
      </c>
      <c r="AJ104" s="28">
        <v>2</v>
      </c>
      <c r="AK104" s="28">
        <v>2</v>
      </c>
      <c r="AL104" s="28">
        <v>2</v>
      </c>
      <c r="AM104" s="28">
        <v>8</v>
      </c>
      <c r="AN104" s="76">
        <v>33</v>
      </c>
      <c r="AO104" s="74">
        <v>40</v>
      </c>
      <c r="AP104" s="28">
        <v>0</v>
      </c>
      <c r="AQ104" s="28">
        <v>2</v>
      </c>
      <c r="AR104" s="74">
        <v>4</v>
      </c>
      <c r="AS104" s="28">
        <f>IFERROR((WSH_H168[[#This Row],[H]]-WSH_H168[[#This Row],[2B]]-WSH_H168[[#This Row],[3B]]-WSH_H168[[#This Row],[HR]])+(WSH_H168[[#This Row],[2B]]*2)+(WSH_H168[[#This Row],[3B]]*3)+(WSH_H168[[#This Row],[HR]]*4),0)</f>
        <v>39</v>
      </c>
      <c r="AT104" s="72">
        <f>WSH_H168[[#This Row],[OBP]]+WSH_H168[[#This Row],[SLG]]</f>
        <v>0.63761270931730363</v>
      </c>
      <c r="AU104" s="74">
        <v>1</v>
      </c>
      <c r="AV104" s="615">
        <v>8</v>
      </c>
      <c r="AY104" s="651" t="s">
        <v>869</v>
      </c>
      <c r="AZ104" s="71" t="s">
        <v>166</v>
      </c>
      <c r="BA104" s="74" t="s">
        <v>876</v>
      </c>
      <c r="BB104" s="72">
        <f>IFERROR(WSH_H168182[[#This Row],[H]]/WSH_H168182[[#This Row],[AB]],0)</f>
        <v>0.28767123287671231</v>
      </c>
      <c r="BC104" s="72">
        <f>IFERROR((WSH_H168182[[#This Row],[BB]]+WSH_H168182[[#This Row],[H]])/(WSH_H168182[[#This Row],[BB]]+WSH_H168182[[#This Row],[AB]]),0)</f>
        <v>0.42222222222222222</v>
      </c>
      <c r="BD104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0.49315068493150682</v>
      </c>
      <c r="BE104" s="28">
        <v>40</v>
      </c>
      <c r="BF104" s="28">
        <v>146</v>
      </c>
      <c r="BG104" s="28">
        <v>21</v>
      </c>
      <c r="BH104" s="28">
        <v>42</v>
      </c>
      <c r="BI104" s="28">
        <v>8</v>
      </c>
      <c r="BJ104" s="28">
        <v>2</v>
      </c>
      <c r="BK104" s="28">
        <v>6</v>
      </c>
      <c r="BL104" s="28">
        <v>16</v>
      </c>
      <c r="BM104" s="76">
        <v>34</v>
      </c>
      <c r="BN104" s="74">
        <v>41</v>
      </c>
      <c r="BO104" s="28">
        <v>0</v>
      </c>
      <c r="BP104" s="28">
        <v>10</v>
      </c>
      <c r="BQ104" s="74">
        <v>10</v>
      </c>
      <c r="BR104" s="28">
        <f>IFERROR((WSH_H168182[[#This Row],[H]]-WSH_H168182[[#This Row],[2B]]-WSH_H168182[[#This Row],[3B]]-WSH_H168182[[#This Row],[HR]])+(WSH_H168182[[#This Row],[2B]]*2)+(WSH_H168182[[#This Row],[3B]]*3)+(WSH_H168182[[#This Row],[HR]]*4),0)</f>
        <v>72</v>
      </c>
      <c r="BS104" s="72">
        <f>IFERROR(WSH_H168182[[#This Row],[OBP]]+WSH_H168182[[#This Row],[SLG]],0)</f>
        <v>0.9153729071537291</v>
      </c>
      <c r="BT104" s="74">
        <v>1</v>
      </c>
      <c r="BU104" s="615">
        <v>8</v>
      </c>
    </row>
    <row r="105" spans="1:73">
      <c r="A105" s="651" t="s">
        <v>869</v>
      </c>
      <c r="B105" s="71" t="s">
        <v>168</v>
      </c>
      <c r="C105" s="71" t="s">
        <v>878</v>
      </c>
      <c r="D105" s="72">
        <f>IFERROR(WSH_H[[#This Row],[H]]/WSH_H[[#This Row],[AB]],0)</f>
        <v>0.18367346938775511</v>
      </c>
      <c r="E105" s="72">
        <f>IFERROR((WSH_H[[#This Row],[H]]+WSH_H[[#This Row],[BB]])/(WSH_H[[#This Row],[BB]]+WSH_H[[#This Row],[AB]]),0)</f>
        <v>0.28994082840236685</v>
      </c>
      <c r="F105" s="73">
        <f>IFERROR(((WSH_H[[#This Row],[H]]-WSH_H[[#This Row],[2B]]-WSH_H[[#This Row],[3B]]-WSH_H[[#This Row],[HR]])+(WSH_H[[#This Row],[2B]]*2)+(WSH_H[[#This Row],[3B]]*3)+(WSH_H[[#This Row],[HR]]*4))/WSH_H[[#This Row],[AB]],0)</f>
        <v>0.32653061224489793</v>
      </c>
      <c r="G105" s="28">
        <v>39</v>
      </c>
      <c r="H105" s="28">
        <v>147</v>
      </c>
      <c r="I105" s="28">
        <v>16</v>
      </c>
      <c r="J105" s="28">
        <v>27</v>
      </c>
      <c r="K105" s="28">
        <v>4</v>
      </c>
      <c r="L105" s="28">
        <v>1</v>
      </c>
      <c r="M105" s="28">
        <v>5</v>
      </c>
      <c r="N105" s="28">
        <v>14</v>
      </c>
      <c r="O105" s="28">
        <v>22</v>
      </c>
      <c r="P105" s="74">
        <v>43</v>
      </c>
      <c r="Q105" s="28">
        <v>0</v>
      </c>
      <c r="R105" s="28">
        <v>0</v>
      </c>
      <c r="S105" s="74">
        <v>4</v>
      </c>
      <c r="T105" s="28">
        <f>IFERROR((WSH_H[[#This Row],[H]]-WSH_H[[#This Row],[2B]]-WSH_H[[#This Row],[3B]]-WSH_H[[#This Row],[HR]])+(WSH_H[[#This Row],[2B]]*2)+(WSH_H[[#This Row],[3B]]*3)+(WSH_H[[#This Row],[HR]]*4),0)</f>
        <v>48</v>
      </c>
      <c r="U105" s="72">
        <f>WSH_H[[#This Row],[OBP]]+WSH_H[[#This Row],[SLG]]</f>
        <v>0.61647144064726478</v>
      </c>
      <c r="V105" s="74">
        <v>1</v>
      </c>
      <c r="W105" s="615">
        <v>9</v>
      </c>
      <c r="Z105" s="651" t="s">
        <v>869</v>
      </c>
      <c r="AA105" s="71" t="s">
        <v>168</v>
      </c>
      <c r="AB105" s="71" t="s">
        <v>875</v>
      </c>
      <c r="AC105" s="72">
        <f>IFERROR(WSH_H168[[#This Row],[H]]/WSH_H168[[#This Row],[AB]],0)</f>
        <v>0.18421052631578946</v>
      </c>
      <c r="AD105" s="72">
        <f>IFERROR((WSH_H168[[#This Row],[H]]+WSH_H168[[#This Row],[BB]])/(WSH_H168[[#This Row],[BB]]+WSH_H168[[#This Row],[AB]]),0)</f>
        <v>0.25301204819277107</v>
      </c>
      <c r="AE105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0.33552631578947367</v>
      </c>
      <c r="AF105" s="28">
        <v>38</v>
      </c>
      <c r="AG105" s="28">
        <v>152</v>
      </c>
      <c r="AH105" s="28">
        <v>14</v>
      </c>
      <c r="AI105" s="28">
        <v>28</v>
      </c>
      <c r="AJ105" s="28">
        <v>5</v>
      </c>
      <c r="AK105" s="28">
        <v>0</v>
      </c>
      <c r="AL105" s="28">
        <v>6</v>
      </c>
      <c r="AM105" s="28">
        <v>20</v>
      </c>
      <c r="AN105" s="28">
        <v>14</v>
      </c>
      <c r="AO105" s="74">
        <v>38</v>
      </c>
      <c r="AP105" s="28">
        <v>0</v>
      </c>
      <c r="AQ105" s="28">
        <v>1</v>
      </c>
      <c r="AR105" s="74">
        <v>5</v>
      </c>
      <c r="AS105" s="28">
        <f>IFERROR((WSH_H168[[#This Row],[H]]-WSH_H168[[#This Row],[2B]]-WSH_H168[[#This Row],[3B]]-WSH_H168[[#This Row],[HR]])+(WSH_H168[[#This Row],[2B]]*2)+(WSH_H168[[#This Row],[3B]]*3)+(WSH_H168[[#This Row],[HR]]*4),0)</f>
        <v>51</v>
      </c>
      <c r="AT105" s="72">
        <f>WSH_H168[[#This Row],[OBP]]+WSH_H168[[#This Row],[SLG]]</f>
        <v>0.58853836398224479</v>
      </c>
      <c r="AU105" s="74">
        <v>3</v>
      </c>
      <c r="AV105" s="615">
        <v>9</v>
      </c>
      <c r="AY105" s="651" t="s">
        <v>869</v>
      </c>
      <c r="AZ105" s="71" t="s">
        <v>168</v>
      </c>
      <c r="BA105" s="74" t="s">
        <v>883</v>
      </c>
      <c r="BB105" s="72">
        <f>IFERROR(WSH_H168182[[#This Row],[H]]/WSH_H168182[[#This Row],[AB]],0)</f>
        <v>0.24761904761904763</v>
      </c>
      <c r="BC105" s="72">
        <f>IFERROR((WSH_H168182[[#This Row],[BB]]+WSH_H168182[[#This Row],[H]])/(WSH_H168182[[#This Row],[BB]]+WSH_H168182[[#This Row],[AB]]),0)</f>
        <v>0.31304347826086959</v>
      </c>
      <c r="BD105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0.3619047619047619</v>
      </c>
      <c r="BE105" s="28">
        <v>28</v>
      </c>
      <c r="BF105" s="28">
        <v>105</v>
      </c>
      <c r="BG105" s="28">
        <v>10</v>
      </c>
      <c r="BH105" s="28">
        <v>26</v>
      </c>
      <c r="BI105" s="28">
        <v>5</v>
      </c>
      <c r="BJ105" s="28">
        <v>2</v>
      </c>
      <c r="BK105" s="28">
        <v>1</v>
      </c>
      <c r="BL105" s="28">
        <v>11</v>
      </c>
      <c r="BM105" s="28">
        <v>10</v>
      </c>
      <c r="BN105" s="74">
        <v>18</v>
      </c>
      <c r="BO105" s="28">
        <v>0</v>
      </c>
      <c r="BP105" s="28">
        <v>3</v>
      </c>
      <c r="BQ105" s="74">
        <v>5</v>
      </c>
      <c r="BR105" s="28">
        <f>IFERROR((WSH_H168182[[#This Row],[H]]-WSH_H168182[[#This Row],[2B]]-WSH_H168182[[#This Row],[3B]]-WSH_H168182[[#This Row],[HR]])+(WSH_H168182[[#This Row],[2B]]*2)+(WSH_H168182[[#This Row],[3B]]*3)+(WSH_H168182[[#This Row],[HR]]*4),0)</f>
        <v>38</v>
      </c>
      <c r="BS105" s="72">
        <f>IFERROR(WSH_H168182[[#This Row],[OBP]]+WSH_H168182[[#This Row],[SLG]],0)</f>
        <v>0.67494824016563149</v>
      </c>
      <c r="BT105" s="74">
        <v>1</v>
      </c>
      <c r="BU105" s="615">
        <v>9</v>
      </c>
    </row>
    <row r="106" spans="1:73">
      <c r="A106" s="651" t="s">
        <v>869</v>
      </c>
      <c r="B106" s="71" t="s">
        <v>179</v>
      </c>
      <c r="C106" s="71" t="s">
        <v>886</v>
      </c>
      <c r="D106" s="72">
        <f>IFERROR(WSH_H[[#This Row],[H]]/WSH_H[[#This Row],[AB]],0)</f>
        <v>0.13793103448275862</v>
      </c>
      <c r="E106" s="72">
        <f>IFERROR((WSH_H[[#This Row],[H]]+WSH_H[[#This Row],[BB]])/(WSH_H[[#This Row],[BB]]+WSH_H[[#This Row],[AB]]),0)</f>
        <v>0.24242424242424243</v>
      </c>
      <c r="F106" s="73">
        <f>IFERROR(((WSH_H[[#This Row],[H]]-WSH_H[[#This Row],[2B]]-WSH_H[[#This Row],[3B]]-WSH_H[[#This Row],[HR]])+(WSH_H[[#This Row],[2B]]*2)+(WSH_H[[#This Row],[3B]]*3)+(WSH_H[[#This Row],[HR]]*4))/WSH_H[[#This Row],[AB]],0)</f>
        <v>0.31034482758620691</v>
      </c>
      <c r="G106" s="28">
        <v>11</v>
      </c>
      <c r="H106" s="28">
        <v>29</v>
      </c>
      <c r="I106" s="28">
        <v>3</v>
      </c>
      <c r="J106" s="28">
        <v>4</v>
      </c>
      <c r="K106" s="28">
        <v>2</v>
      </c>
      <c r="L106" s="28">
        <v>0</v>
      </c>
      <c r="M106" s="28">
        <v>1</v>
      </c>
      <c r="N106" s="28">
        <v>1</v>
      </c>
      <c r="O106" s="28">
        <v>4</v>
      </c>
      <c r="P106" s="74">
        <v>14</v>
      </c>
      <c r="Q106" s="28">
        <v>0</v>
      </c>
      <c r="R106" s="28">
        <v>0</v>
      </c>
      <c r="S106" s="74">
        <v>2</v>
      </c>
      <c r="T106" s="28">
        <f>IFERROR((WSH_H[[#This Row],[H]]-WSH_H[[#This Row],[2B]]-WSH_H[[#This Row],[3B]]-WSH_H[[#This Row],[HR]])+(WSH_H[[#This Row],[2B]]*2)+(WSH_H[[#This Row],[3B]]*3)+(WSH_H[[#This Row],[HR]]*4),0)</f>
        <v>9</v>
      </c>
      <c r="U106" s="72">
        <f>WSH_H[[#This Row],[OBP]]+WSH_H[[#This Row],[SLG]]</f>
        <v>0.55276907001044928</v>
      </c>
      <c r="V106" s="74">
        <v>0</v>
      </c>
      <c r="W106" s="615">
        <v>10</v>
      </c>
      <c r="Z106" s="651" t="s">
        <v>869</v>
      </c>
      <c r="AA106" s="71" t="s">
        <v>179</v>
      </c>
      <c r="AB106" s="71" t="s">
        <v>886</v>
      </c>
      <c r="AC106" s="72">
        <f>IFERROR(WSH_H168[[#This Row],[H]]/WSH_H168[[#This Row],[AB]],0)</f>
        <v>0.16666666666666666</v>
      </c>
      <c r="AD106" s="72">
        <f>IFERROR((WSH_H168[[#This Row],[H]]+WSH_H168[[#This Row],[BB]])/(WSH_H168[[#This Row],[BB]]+WSH_H168[[#This Row],[AB]]),0)</f>
        <v>0.375</v>
      </c>
      <c r="AE106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0.16666666666666666</v>
      </c>
      <c r="AF106" s="28">
        <v>2</v>
      </c>
      <c r="AG106" s="28">
        <v>6</v>
      </c>
      <c r="AH106" s="28">
        <v>1</v>
      </c>
      <c r="AI106" s="28">
        <v>1</v>
      </c>
      <c r="AJ106" s="28">
        <v>0</v>
      </c>
      <c r="AK106" s="28">
        <v>0</v>
      </c>
      <c r="AL106" s="28">
        <v>0</v>
      </c>
      <c r="AM106" s="28">
        <v>0</v>
      </c>
      <c r="AN106" s="28">
        <v>2</v>
      </c>
      <c r="AO106" s="74">
        <v>4</v>
      </c>
      <c r="AP106" s="28">
        <v>0</v>
      </c>
      <c r="AQ106" s="28">
        <v>0</v>
      </c>
      <c r="AR106" s="74">
        <v>1</v>
      </c>
      <c r="AS106" s="28">
        <f>IFERROR((WSH_H168[[#This Row],[H]]-WSH_H168[[#This Row],[2B]]-WSH_H168[[#This Row],[3B]]-WSH_H168[[#This Row],[HR]])+(WSH_H168[[#This Row],[2B]]*2)+(WSH_H168[[#This Row],[3B]]*3)+(WSH_H168[[#This Row],[HR]]*4),0)</f>
        <v>1</v>
      </c>
      <c r="AT106" s="72">
        <f>WSH_H168[[#This Row],[OBP]]+WSH_H168[[#This Row],[SLG]]</f>
        <v>0.54166666666666663</v>
      </c>
      <c r="AU106" s="74">
        <v>0</v>
      </c>
      <c r="AV106" s="615">
        <v>10</v>
      </c>
      <c r="AY106" s="651" t="s">
        <v>869</v>
      </c>
      <c r="AZ106" s="71" t="s">
        <v>308</v>
      </c>
      <c r="BA106" s="74" t="s">
        <v>886</v>
      </c>
      <c r="BB106" s="72">
        <f>IFERROR(WSH_H168182[[#This Row],[H]]/WSH_H168182[[#This Row],[AB]],0)</f>
        <v>0</v>
      </c>
      <c r="BC106" s="72">
        <f>IFERROR((WSH_H168182[[#This Row],[BB]]+WSH_H168182[[#This Row],[H]])/(WSH_H168182[[#This Row],[BB]]+WSH_H168182[[#This Row],[AB]]),0)</f>
        <v>0</v>
      </c>
      <c r="BD106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</v>
      </c>
      <c r="BE106" s="28">
        <v>0</v>
      </c>
      <c r="BF106" s="28">
        <v>0</v>
      </c>
      <c r="BG106" s="28">
        <v>0</v>
      </c>
      <c r="BH106" s="28">
        <v>0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74">
        <v>0</v>
      </c>
      <c r="BO106" s="28">
        <v>0</v>
      </c>
      <c r="BP106" s="28">
        <v>0</v>
      </c>
      <c r="BQ106" s="74">
        <v>0</v>
      </c>
      <c r="BR106" s="28">
        <f>IFERROR((WSH_H168182[[#This Row],[H]]-WSH_H168182[[#This Row],[2B]]-WSH_H168182[[#This Row],[3B]]-WSH_H168182[[#This Row],[HR]])+(WSH_H168182[[#This Row],[2B]]*2)+(WSH_H168182[[#This Row],[3B]]*3)+(WSH_H168182[[#This Row],[HR]]*4),0)</f>
        <v>0</v>
      </c>
      <c r="BS106" s="72">
        <f>IFERROR(WSH_H168182[[#This Row],[OBP]]+WSH_H168182[[#This Row],[SLG]],0)</f>
        <v>0</v>
      </c>
      <c r="BT106" s="74">
        <v>0</v>
      </c>
      <c r="BU106" s="615">
        <v>10</v>
      </c>
    </row>
    <row r="107" spans="1:73">
      <c r="A107" s="651" t="s">
        <v>869</v>
      </c>
      <c r="B107" s="71" t="s">
        <v>187</v>
      </c>
      <c r="C107" s="71" t="s">
        <v>884</v>
      </c>
      <c r="D107" s="72">
        <f>IFERROR(WSH_H[[#This Row],[H]]/WSH_H[[#This Row],[AB]],0)</f>
        <v>0.20930232558139536</v>
      </c>
      <c r="E107" s="72">
        <f>IFERROR((WSH_H[[#This Row],[H]]+WSH_H[[#This Row],[BB]])/(WSH_H[[#This Row],[BB]]+WSH_H[[#This Row],[AB]]),0)</f>
        <v>0.27659574468085107</v>
      </c>
      <c r="F107" s="73">
        <f>IFERROR(((WSH_H[[#This Row],[H]]-WSH_H[[#This Row],[2B]]-WSH_H[[#This Row],[3B]]-WSH_H[[#This Row],[HR]])+(WSH_H[[#This Row],[2B]]*2)+(WSH_H[[#This Row],[3B]]*3)+(WSH_H[[#This Row],[HR]]*4))/WSH_H[[#This Row],[AB]],0)</f>
        <v>0.23255813953488372</v>
      </c>
      <c r="G107" s="28">
        <v>13</v>
      </c>
      <c r="H107" s="28">
        <v>43</v>
      </c>
      <c r="I107" s="28">
        <v>1</v>
      </c>
      <c r="J107" s="28">
        <v>9</v>
      </c>
      <c r="K107" s="28">
        <v>1</v>
      </c>
      <c r="L107" s="28">
        <v>0</v>
      </c>
      <c r="M107" s="28">
        <v>0</v>
      </c>
      <c r="N107" s="28">
        <v>1</v>
      </c>
      <c r="O107" s="28">
        <v>4</v>
      </c>
      <c r="P107" s="74">
        <v>8</v>
      </c>
      <c r="Q107" s="28">
        <v>0</v>
      </c>
      <c r="R107" s="28">
        <v>0</v>
      </c>
      <c r="S107" s="74">
        <v>4</v>
      </c>
      <c r="T107" s="28">
        <f>IFERROR((WSH_H[[#This Row],[H]]-WSH_H[[#This Row],[2B]]-WSH_H[[#This Row],[3B]]-WSH_H[[#This Row],[HR]])+(WSH_H[[#This Row],[2B]]*2)+(WSH_H[[#This Row],[3B]]*3)+(WSH_H[[#This Row],[HR]]*4),0)</f>
        <v>10</v>
      </c>
      <c r="U107" s="72">
        <f>WSH_H[[#This Row],[OBP]]+WSH_H[[#This Row],[SLG]]</f>
        <v>0.50915388421573482</v>
      </c>
      <c r="V107" s="74">
        <v>0</v>
      </c>
      <c r="W107" s="615">
        <v>11</v>
      </c>
      <c r="Z107" s="651" t="s">
        <v>869</v>
      </c>
      <c r="AA107" s="71" t="s">
        <v>187</v>
      </c>
      <c r="AB107" s="71" t="s">
        <v>470</v>
      </c>
      <c r="AC107" s="72">
        <f>IFERROR(WSH_H168[[#This Row],[H]]/WSH_H168[[#This Row],[AB]],0)</f>
        <v>0.20967741935483872</v>
      </c>
      <c r="AD107" s="72">
        <f>IFERROR((WSH_H168[[#This Row],[H]]+WSH_H168[[#This Row],[BB]])/(WSH_H168[[#This Row],[BB]]+WSH_H168[[#This Row],[AB]]),0)</f>
        <v>0.27941176470588236</v>
      </c>
      <c r="AE107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0.30645161290322581</v>
      </c>
      <c r="AF107" s="28">
        <v>17</v>
      </c>
      <c r="AG107" s="28">
        <v>62</v>
      </c>
      <c r="AH107" s="28">
        <v>6</v>
      </c>
      <c r="AI107" s="28">
        <v>13</v>
      </c>
      <c r="AJ107" s="28">
        <v>2</v>
      </c>
      <c r="AK107" s="28">
        <v>2</v>
      </c>
      <c r="AL107" s="28">
        <v>0</v>
      </c>
      <c r="AM107" s="28">
        <v>7</v>
      </c>
      <c r="AN107" s="28">
        <v>6</v>
      </c>
      <c r="AO107" s="74">
        <v>21</v>
      </c>
      <c r="AP107" s="28">
        <v>0</v>
      </c>
      <c r="AQ107" s="28">
        <v>0</v>
      </c>
      <c r="AR107" s="74">
        <v>4</v>
      </c>
      <c r="AS107" s="28">
        <f>IFERROR((WSH_H168[[#This Row],[H]]-WSH_H168[[#This Row],[2B]]-WSH_H168[[#This Row],[3B]]-WSH_H168[[#This Row],[HR]])+(WSH_H168[[#This Row],[2B]]*2)+(WSH_H168[[#This Row],[3B]]*3)+(WSH_H168[[#This Row],[HR]]*4),0)</f>
        <v>19</v>
      </c>
      <c r="AT107" s="72">
        <f>WSH_H168[[#This Row],[OBP]]+WSH_H168[[#This Row],[SLG]]</f>
        <v>0.58586337760910823</v>
      </c>
      <c r="AU107" s="74">
        <v>0</v>
      </c>
      <c r="AV107" s="615">
        <v>11</v>
      </c>
      <c r="AY107" s="651" t="s">
        <v>869</v>
      </c>
      <c r="AZ107" s="71" t="s">
        <v>192</v>
      </c>
      <c r="BA107" s="74" t="s">
        <v>887</v>
      </c>
      <c r="BB107" s="72">
        <f>IFERROR(WSH_H168182[[#This Row],[H]]/WSH_H168182[[#This Row],[AB]],0)</f>
        <v>0</v>
      </c>
      <c r="BC107" s="72">
        <f>IFERROR((WSH_H168182[[#This Row],[BB]]+WSH_H168182[[#This Row],[H]])/(WSH_H168182[[#This Row],[BB]]+WSH_H168182[[#This Row],[AB]]),0)</f>
        <v>0</v>
      </c>
      <c r="BD107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0</v>
      </c>
      <c r="BN107" s="74">
        <v>0</v>
      </c>
      <c r="BO107" s="28">
        <v>0</v>
      </c>
      <c r="BP107" s="28">
        <v>0</v>
      </c>
      <c r="BQ107" s="74">
        <v>0</v>
      </c>
      <c r="BR107" s="28">
        <f>IFERROR((WSH_H168182[[#This Row],[H]]-WSH_H168182[[#This Row],[2B]]-WSH_H168182[[#This Row],[3B]]-WSH_H168182[[#This Row],[HR]])+(WSH_H168182[[#This Row],[2B]]*2)+(WSH_H168182[[#This Row],[3B]]*3)+(WSH_H168182[[#This Row],[HR]]*4),0)</f>
        <v>0</v>
      </c>
      <c r="BS107" s="72">
        <f>IFERROR(WSH_H168182[[#This Row],[OBP]]+WSH_H168182[[#This Row],[SLG]],0)</f>
        <v>0</v>
      </c>
      <c r="BT107" s="74">
        <v>0</v>
      </c>
      <c r="BU107" s="615">
        <v>11</v>
      </c>
    </row>
    <row r="108" spans="1:73">
      <c r="A108" s="651" t="s">
        <v>869</v>
      </c>
      <c r="B108" s="71" t="s">
        <v>187</v>
      </c>
      <c r="C108" s="71" t="s">
        <v>873</v>
      </c>
      <c r="D108" s="72">
        <f>IFERROR(WSH_H[[#This Row],[H]]/WSH_H[[#This Row],[AB]],0)</f>
        <v>0.1875</v>
      </c>
      <c r="E108" s="72">
        <f>IFERROR((WSH_H[[#This Row],[H]]+WSH_H[[#This Row],[BB]])/(WSH_H[[#This Row],[BB]]+WSH_H[[#This Row],[AB]]),0)</f>
        <v>0.23529411764705882</v>
      </c>
      <c r="F108" s="73">
        <f>IFERROR(((WSH_H[[#This Row],[H]]-WSH_H[[#This Row],[2B]]-WSH_H[[#This Row],[3B]]-WSH_H[[#This Row],[HR]])+(WSH_H[[#This Row],[2B]]*2)+(WSH_H[[#This Row],[3B]]*3)+(WSH_H[[#This Row],[HR]]*4))/WSH_H[[#This Row],[AB]],0)</f>
        <v>0.21875</v>
      </c>
      <c r="G108" s="28">
        <v>9</v>
      </c>
      <c r="H108" s="28">
        <v>32</v>
      </c>
      <c r="I108" s="28">
        <v>2</v>
      </c>
      <c r="J108" s="28">
        <v>6</v>
      </c>
      <c r="K108" s="28">
        <v>1</v>
      </c>
      <c r="L108" s="28">
        <v>0</v>
      </c>
      <c r="M108" s="28">
        <v>0</v>
      </c>
      <c r="N108" s="28">
        <v>2</v>
      </c>
      <c r="O108" s="28">
        <v>2</v>
      </c>
      <c r="P108" s="74">
        <v>12</v>
      </c>
      <c r="Q108" s="28">
        <v>0</v>
      </c>
      <c r="R108" s="28">
        <v>0</v>
      </c>
      <c r="S108" s="74">
        <v>4</v>
      </c>
      <c r="T108" s="28">
        <f>IFERROR((WSH_H[[#This Row],[H]]-WSH_H[[#This Row],[2B]]-WSH_H[[#This Row],[3B]]-WSH_H[[#This Row],[HR]])+(WSH_H[[#This Row],[2B]]*2)+(WSH_H[[#This Row],[3B]]*3)+(WSH_H[[#This Row],[HR]]*4),0)</f>
        <v>7</v>
      </c>
      <c r="U108" s="72">
        <f>WSH_H[[#This Row],[OBP]]+WSH_H[[#This Row],[SLG]]</f>
        <v>0.45404411764705882</v>
      </c>
      <c r="V108" s="74">
        <v>0</v>
      </c>
      <c r="W108" s="615">
        <v>12</v>
      </c>
      <c r="Z108" s="651" t="s">
        <v>869</v>
      </c>
      <c r="AA108" s="71" t="s">
        <v>187</v>
      </c>
      <c r="AB108" s="71" t="s">
        <v>883</v>
      </c>
      <c r="AC108" s="72">
        <f>IFERROR(WSH_H168[[#This Row],[H]]/WSH_H168[[#This Row],[AB]],0)</f>
        <v>0.1702127659574468</v>
      </c>
      <c r="AD108" s="72">
        <f>IFERROR((WSH_H168[[#This Row],[H]]+WSH_H168[[#This Row],[BB]])/(WSH_H168[[#This Row],[BB]]+WSH_H168[[#This Row],[AB]]),0)</f>
        <v>0.25</v>
      </c>
      <c r="AE108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0.21276595744680851</v>
      </c>
      <c r="AF108" s="28">
        <v>11</v>
      </c>
      <c r="AG108" s="28">
        <v>47</v>
      </c>
      <c r="AH108" s="28">
        <v>3</v>
      </c>
      <c r="AI108" s="28">
        <v>8</v>
      </c>
      <c r="AJ108" s="28">
        <v>2</v>
      </c>
      <c r="AK108" s="28">
        <v>0</v>
      </c>
      <c r="AL108" s="28">
        <v>0</v>
      </c>
      <c r="AM108" s="28">
        <v>2</v>
      </c>
      <c r="AN108" s="28">
        <v>5</v>
      </c>
      <c r="AO108" s="74">
        <v>15</v>
      </c>
      <c r="AP108" s="28">
        <v>0</v>
      </c>
      <c r="AQ108" s="28">
        <v>2</v>
      </c>
      <c r="AR108" s="74">
        <v>2</v>
      </c>
      <c r="AS108" s="28">
        <f>IFERROR((WSH_H168[[#This Row],[H]]-WSH_H168[[#This Row],[2B]]-WSH_H168[[#This Row],[3B]]-WSH_H168[[#This Row],[HR]])+(WSH_H168[[#This Row],[2B]]*2)+(WSH_H168[[#This Row],[3B]]*3)+(WSH_H168[[#This Row],[HR]]*4),0)</f>
        <v>10</v>
      </c>
      <c r="AT108" s="72">
        <f>WSH_H168[[#This Row],[OBP]]+WSH_H168[[#This Row],[SLG]]</f>
        <v>0.46276595744680848</v>
      </c>
      <c r="AU108" s="74">
        <v>0</v>
      </c>
      <c r="AV108" s="615">
        <v>12</v>
      </c>
      <c r="AY108" s="651" t="s">
        <v>869</v>
      </c>
      <c r="AZ108" s="71" t="s">
        <v>184</v>
      </c>
      <c r="BA108" s="74" t="s">
        <v>888</v>
      </c>
      <c r="BB108" s="72">
        <f>IFERROR(WSH_H168182[[#This Row],[H]]/WSH_H168182[[#This Row],[AB]],0)</f>
        <v>0</v>
      </c>
      <c r="BC108" s="72">
        <f>IFERROR((WSH_H168182[[#This Row],[BB]]+WSH_H168182[[#This Row],[H]])/(WSH_H168182[[#This Row],[BB]]+WSH_H168182[[#This Row],[AB]]),0)</f>
        <v>0</v>
      </c>
      <c r="BD108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74">
        <v>0</v>
      </c>
      <c r="BO108" s="28">
        <v>0</v>
      </c>
      <c r="BP108" s="28">
        <v>0</v>
      </c>
      <c r="BQ108" s="74">
        <v>0</v>
      </c>
      <c r="BR108" s="28">
        <f>IFERROR((WSH_H168182[[#This Row],[H]]-WSH_H168182[[#This Row],[2B]]-WSH_H168182[[#This Row],[3B]]-WSH_H168182[[#This Row],[HR]])+(WSH_H168182[[#This Row],[2B]]*2)+(WSH_H168182[[#This Row],[3B]]*3)+(WSH_H168182[[#This Row],[HR]]*4),0)</f>
        <v>0</v>
      </c>
      <c r="BS108" s="72">
        <f>IFERROR(WSH_H168182[[#This Row],[OBP]]+WSH_H168182[[#This Row],[SLG]],0)</f>
        <v>0</v>
      </c>
      <c r="BT108" s="74">
        <v>0</v>
      </c>
      <c r="BU108" s="615">
        <v>12</v>
      </c>
    </row>
    <row r="109" spans="1:73">
      <c r="A109" s="651" t="s">
        <v>869</v>
      </c>
      <c r="B109" s="71" t="s">
        <v>186</v>
      </c>
      <c r="C109" s="71" t="s">
        <v>885</v>
      </c>
      <c r="D109" s="72">
        <f>IFERROR(WSH_H[[#This Row],[H]]/WSH_H[[#This Row],[AB]],0)</f>
        <v>0.16129032258064516</v>
      </c>
      <c r="E109" s="72">
        <f>IFERROR((WSH_H[[#This Row],[H]]+WSH_H[[#This Row],[BB]])/(WSH_H[[#This Row],[BB]]+WSH_H[[#This Row],[AB]]),0)</f>
        <v>0.21212121212121213</v>
      </c>
      <c r="F109" s="73">
        <f>IFERROR(((WSH_H[[#This Row],[H]]-WSH_H[[#This Row],[2B]]-WSH_H[[#This Row],[3B]]-WSH_H[[#This Row],[HR]])+(WSH_H[[#This Row],[2B]]*2)+(WSH_H[[#This Row],[3B]]*3)+(WSH_H[[#This Row],[HR]]*4))/WSH_H[[#This Row],[AB]],0)</f>
        <v>0.22580645161290322</v>
      </c>
      <c r="G109" s="28">
        <v>11</v>
      </c>
      <c r="H109" s="28">
        <v>31</v>
      </c>
      <c r="I109" s="28">
        <v>2</v>
      </c>
      <c r="J109" s="28">
        <v>5</v>
      </c>
      <c r="K109" s="28">
        <v>2</v>
      </c>
      <c r="L109" s="28">
        <v>0</v>
      </c>
      <c r="M109" s="28">
        <v>0</v>
      </c>
      <c r="N109" s="28">
        <v>1</v>
      </c>
      <c r="O109" s="28">
        <v>2</v>
      </c>
      <c r="P109" s="74">
        <v>8</v>
      </c>
      <c r="Q109" s="28">
        <v>0</v>
      </c>
      <c r="R109" s="28">
        <v>2</v>
      </c>
      <c r="S109" s="74">
        <v>2</v>
      </c>
      <c r="T109" s="28">
        <f>IFERROR((WSH_H[[#This Row],[H]]-WSH_H[[#This Row],[2B]]-WSH_H[[#This Row],[3B]]-WSH_H[[#This Row],[HR]])+(WSH_H[[#This Row],[2B]]*2)+(WSH_H[[#This Row],[3B]]*3)+(WSH_H[[#This Row],[HR]]*4),0)</f>
        <v>7</v>
      </c>
      <c r="U109" s="72">
        <f>WSH_H[[#This Row],[OBP]]+WSH_H[[#This Row],[SLG]]</f>
        <v>0.43792766373411535</v>
      </c>
      <c r="V109" s="74">
        <v>0</v>
      </c>
      <c r="W109" s="615">
        <v>13</v>
      </c>
      <c r="Z109" s="651" t="s">
        <v>869</v>
      </c>
      <c r="AA109" s="71" t="s">
        <v>186</v>
      </c>
      <c r="AB109" s="71" t="s">
        <v>885</v>
      </c>
      <c r="AC109" s="72">
        <f>IFERROR(WSH_H168[[#This Row],[H]]/WSH_H168[[#This Row],[AB]],0)</f>
        <v>0.25</v>
      </c>
      <c r="AD109" s="72">
        <f>IFERROR((WSH_H168[[#This Row],[H]]+WSH_H168[[#This Row],[BB]])/(WSH_H168[[#This Row],[BB]]+WSH_H168[[#This Row],[AB]]),0)</f>
        <v>0.296875</v>
      </c>
      <c r="AE109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0.33333333333333331</v>
      </c>
      <c r="AF109" s="28">
        <v>16</v>
      </c>
      <c r="AG109" s="28">
        <v>60</v>
      </c>
      <c r="AH109" s="28">
        <v>4</v>
      </c>
      <c r="AI109" s="28">
        <v>15</v>
      </c>
      <c r="AJ109" s="28">
        <v>5</v>
      </c>
      <c r="AK109" s="28">
        <v>0</v>
      </c>
      <c r="AL109" s="28">
        <v>0</v>
      </c>
      <c r="AM109" s="28">
        <v>2</v>
      </c>
      <c r="AN109" s="28">
        <v>4</v>
      </c>
      <c r="AO109" s="74">
        <v>18</v>
      </c>
      <c r="AP109" s="28">
        <v>0</v>
      </c>
      <c r="AQ109" s="28">
        <v>1</v>
      </c>
      <c r="AR109" s="74">
        <v>4</v>
      </c>
      <c r="AS109" s="28">
        <f>IFERROR((WSH_H168[[#This Row],[H]]-WSH_H168[[#This Row],[2B]]-WSH_H168[[#This Row],[3B]]-WSH_H168[[#This Row],[HR]])+(WSH_H168[[#This Row],[2B]]*2)+(WSH_H168[[#This Row],[3B]]*3)+(WSH_H168[[#This Row],[HR]]*4),0)</f>
        <v>20</v>
      </c>
      <c r="AT109" s="72">
        <f>WSH_H168[[#This Row],[OBP]]+WSH_H168[[#This Row],[SLG]]</f>
        <v>0.63020833333333326</v>
      </c>
      <c r="AU109" s="74">
        <v>1</v>
      </c>
      <c r="AV109" s="615">
        <v>13</v>
      </c>
      <c r="AY109" s="651" t="s">
        <v>869</v>
      </c>
      <c r="AZ109" s="71" t="s">
        <v>184</v>
      </c>
      <c r="BA109" s="74" t="s">
        <v>885</v>
      </c>
      <c r="BB109" s="72">
        <f>IFERROR(WSH_H168182[[#This Row],[H]]/WSH_H168182[[#This Row],[AB]],0)</f>
        <v>7.407407407407407E-2</v>
      </c>
      <c r="BC109" s="72">
        <f>IFERROR((WSH_H168182[[#This Row],[BB]]+WSH_H168182[[#This Row],[H]])/(WSH_H168182[[#This Row],[BB]]+WSH_H168182[[#This Row],[AB]]),0)</f>
        <v>7.407407407407407E-2</v>
      </c>
      <c r="BD109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0.18518518518518517</v>
      </c>
      <c r="BE109" s="28">
        <v>15</v>
      </c>
      <c r="BF109" s="28">
        <v>54</v>
      </c>
      <c r="BG109" s="28">
        <v>1</v>
      </c>
      <c r="BH109" s="28">
        <v>4</v>
      </c>
      <c r="BI109" s="28">
        <v>1</v>
      </c>
      <c r="BJ109" s="28">
        <v>1</v>
      </c>
      <c r="BK109" s="28">
        <v>1</v>
      </c>
      <c r="BL109" s="28">
        <v>1</v>
      </c>
      <c r="BM109" s="28">
        <v>0</v>
      </c>
      <c r="BN109" s="74">
        <v>14</v>
      </c>
      <c r="BO109" s="28">
        <v>0</v>
      </c>
      <c r="BP109" s="28">
        <v>0</v>
      </c>
      <c r="BQ109" s="74">
        <v>3</v>
      </c>
      <c r="BR109" s="28">
        <f>IFERROR((WSH_H168182[[#This Row],[H]]-WSH_H168182[[#This Row],[2B]]-WSH_H168182[[#This Row],[3B]]-WSH_H168182[[#This Row],[HR]])+(WSH_H168182[[#This Row],[2B]]*2)+(WSH_H168182[[#This Row],[3B]]*3)+(WSH_H168182[[#This Row],[HR]]*4),0)</f>
        <v>10</v>
      </c>
      <c r="BS109" s="72">
        <f>IFERROR(WSH_H168182[[#This Row],[OBP]]+WSH_H168182[[#This Row],[SLG]],0)</f>
        <v>0.25925925925925924</v>
      </c>
      <c r="BT109" s="74">
        <v>1</v>
      </c>
      <c r="BU109" s="615">
        <v>13</v>
      </c>
    </row>
    <row r="110" spans="1:73" ht="17" thickBot="1">
      <c r="A110" s="651" t="s">
        <v>869</v>
      </c>
      <c r="B110" s="71" t="s">
        <v>186</v>
      </c>
      <c r="C110" s="71" t="s">
        <v>879</v>
      </c>
      <c r="D110" s="72">
        <f>IFERROR(WSH_H[[#This Row],[H]]/WSH_H[[#This Row],[AB]],0)</f>
        <v>0.21875</v>
      </c>
      <c r="E110" s="72">
        <f>IFERROR((WSH_H[[#This Row],[H]]+WSH_H[[#This Row],[BB]])/(WSH_H[[#This Row],[BB]]+WSH_H[[#This Row],[AB]]),0)</f>
        <v>0.26470588235294118</v>
      </c>
      <c r="F110" s="73">
        <f>IFERROR(((WSH_H[[#This Row],[H]]-WSH_H[[#This Row],[2B]]-WSH_H[[#This Row],[3B]]-WSH_H[[#This Row],[HR]])+(WSH_H[[#This Row],[2B]]*2)+(WSH_H[[#This Row],[3B]]*3)+(WSH_H[[#This Row],[HR]]*4))/WSH_H[[#This Row],[AB]],0)</f>
        <v>0.28125</v>
      </c>
      <c r="G110" s="28">
        <v>10</v>
      </c>
      <c r="H110" s="28">
        <v>32</v>
      </c>
      <c r="I110" s="28">
        <v>1</v>
      </c>
      <c r="J110" s="28">
        <v>7</v>
      </c>
      <c r="K110" s="28">
        <v>2</v>
      </c>
      <c r="L110" s="28">
        <v>0</v>
      </c>
      <c r="M110" s="28">
        <v>0</v>
      </c>
      <c r="N110" s="28">
        <v>2</v>
      </c>
      <c r="O110" s="28">
        <v>2</v>
      </c>
      <c r="P110" s="74">
        <v>4</v>
      </c>
      <c r="Q110" s="28">
        <v>0</v>
      </c>
      <c r="R110" s="28">
        <v>1</v>
      </c>
      <c r="S110" s="74">
        <v>2</v>
      </c>
      <c r="T110" s="28">
        <f>IFERROR((WSH_H[[#This Row],[H]]-WSH_H[[#This Row],[2B]]-WSH_H[[#This Row],[3B]]-WSH_H[[#This Row],[HR]])+(WSH_H[[#This Row],[2B]]*2)+(WSH_H[[#This Row],[3B]]*3)+(WSH_H[[#This Row],[HR]]*4),0)</f>
        <v>9</v>
      </c>
      <c r="U110" s="72">
        <f>WSH_H[[#This Row],[OBP]]+WSH_H[[#This Row],[SLG]]</f>
        <v>0.54595588235294112</v>
      </c>
      <c r="V110" s="74">
        <v>0</v>
      </c>
      <c r="W110" s="615">
        <v>14</v>
      </c>
      <c r="Z110" s="651" t="s">
        <v>869</v>
      </c>
      <c r="AA110" s="71" t="s">
        <v>186</v>
      </c>
      <c r="AB110" s="71" t="s">
        <v>881</v>
      </c>
      <c r="AC110" s="72">
        <f>IFERROR(WSH_H168[[#This Row],[H]]/WSH_H168[[#This Row],[AB]],0)</f>
        <v>0.26373626373626374</v>
      </c>
      <c r="AD110" s="72">
        <f>IFERROR((WSH_H168[[#This Row],[H]]+WSH_H168[[#This Row],[BB]])/(WSH_H168[[#This Row],[BB]]+WSH_H168[[#This Row],[AB]]),0)</f>
        <v>0.32323232323232326</v>
      </c>
      <c r="AE110" s="73">
        <f>IFERROR(((WSH_H168[[#This Row],[H]]-WSH_H168[[#This Row],[2B]]-WSH_H168[[#This Row],[3B]]-WSH_H168[[#This Row],[HR]])+(WSH_H168[[#This Row],[2B]]*2)+(WSH_H168[[#This Row],[3B]]*3)+(WSH_H168[[#This Row],[HR]]*4))/WSH_H168[[#This Row],[AB]],0)</f>
        <v>0.38461538461538464</v>
      </c>
      <c r="AF110" s="28">
        <v>21</v>
      </c>
      <c r="AG110" s="28">
        <v>91</v>
      </c>
      <c r="AH110" s="28">
        <v>7</v>
      </c>
      <c r="AI110" s="28">
        <v>24</v>
      </c>
      <c r="AJ110" s="28">
        <v>5</v>
      </c>
      <c r="AK110" s="28">
        <v>0</v>
      </c>
      <c r="AL110" s="28">
        <v>2</v>
      </c>
      <c r="AM110" s="28">
        <v>4</v>
      </c>
      <c r="AN110" s="28">
        <v>8</v>
      </c>
      <c r="AO110" s="74">
        <v>28</v>
      </c>
      <c r="AP110" s="28">
        <v>0</v>
      </c>
      <c r="AQ110" s="28">
        <v>0</v>
      </c>
      <c r="AR110" s="74">
        <v>4</v>
      </c>
      <c r="AS110" s="28">
        <f>IFERROR((WSH_H168[[#This Row],[H]]-WSH_H168[[#This Row],[2B]]-WSH_H168[[#This Row],[3B]]-WSH_H168[[#This Row],[HR]])+(WSH_H168[[#This Row],[2B]]*2)+(WSH_H168[[#This Row],[3B]]*3)+(WSH_H168[[#This Row],[HR]]*4),0)</f>
        <v>35</v>
      </c>
      <c r="AT110" s="72">
        <f>WSH_H168[[#This Row],[OBP]]+WSH_H168[[#This Row],[SLG]]</f>
        <v>0.7078477078477079</v>
      </c>
      <c r="AU110" s="74">
        <v>1</v>
      </c>
      <c r="AV110" s="615">
        <v>14</v>
      </c>
      <c r="AY110" s="651" t="s">
        <v>869</v>
      </c>
      <c r="AZ110" s="71" t="s">
        <v>184</v>
      </c>
      <c r="BA110" s="74" t="s">
        <v>881</v>
      </c>
      <c r="BB110" s="72">
        <f>IFERROR(WSH_H168182[[#This Row],[H]]/WSH_H168182[[#This Row],[AB]],0)</f>
        <v>0</v>
      </c>
      <c r="BC110" s="72">
        <f>IFERROR((WSH_H168182[[#This Row],[BB]]+WSH_H168182[[#This Row],[H]])/(WSH_H168182[[#This Row],[BB]]+WSH_H168182[[#This Row],[AB]]),0)</f>
        <v>0</v>
      </c>
      <c r="BD110" s="73">
        <f>IFERROR(((WSH_H168182[[#This Row],[H]]-WSH_H168182[[#This Row],[2B]]-WSH_H168182[[#This Row],[3B]]-WSH_H168182[[#This Row],[HR]])+(WSH_H168182[[#This Row],[2B]]*2)+(WSH_H168182[[#This Row],[3B]]*3)+(WSH_H168182[[#This Row],[HR]]*4))/WSH_H168182[[#This Row],[AB]],0)</f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74">
        <v>0</v>
      </c>
      <c r="BO110" s="28">
        <v>0</v>
      </c>
      <c r="BP110" s="28">
        <v>0</v>
      </c>
      <c r="BQ110" s="74">
        <v>0</v>
      </c>
      <c r="BR110" s="28">
        <f>IFERROR((WSH_H168182[[#This Row],[H]]-WSH_H168182[[#This Row],[2B]]-WSH_H168182[[#This Row],[3B]]-WSH_H168182[[#This Row],[HR]])+(WSH_H168182[[#This Row],[2B]]*2)+(WSH_H168182[[#This Row],[3B]]*3)+(WSH_H168182[[#This Row],[HR]]*4),0)</f>
        <v>0</v>
      </c>
      <c r="BS110" s="72">
        <f>IFERROR(WSH_H168182[[#This Row],[OBP]]+WSH_H168182[[#This Row],[SLG]],0)</f>
        <v>0</v>
      </c>
      <c r="BT110" s="74">
        <v>0</v>
      </c>
      <c r="BU110" s="615">
        <v>14</v>
      </c>
    </row>
    <row r="111" spans="1:73" ht="17" thickBot="1">
      <c r="A111" s="652"/>
      <c r="B111" s="653"/>
      <c r="C111" s="653" t="s">
        <v>195</v>
      </c>
      <c r="D111" s="656">
        <f>J111/H111</f>
        <v>0.23257520176082172</v>
      </c>
      <c r="E111" s="656">
        <f>(J111+O111)/(H111+O111)</f>
        <v>0.30911492734478202</v>
      </c>
      <c r="F111" s="657">
        <f>((J111-K111-L111-M111)+(K111*2)+(L111*3)+(M111*4))/H111</f>
        <v>0.3661041819515774</v>
      </c>
      <c r="G111" s="658"/>
      <c r="H111" s="658">
        <f>SUBTOTAL(109,WSH_H[AB])</f>
        <v>1363</v>
      </c>
      <c r="I111" s="658">
        <f>SUBTOTAL(109,WSH_H[R])</f>
        <v>126</v>
      </c>
      <c r="J111" s="658">
        <f>SUBTOTAL(109,WSH_H[H])</f>
        <v>317</v>
      </c>
      <c r="K111" s="658">
        <f>SUBTOTAL(109,WSH_H[2B])</f>
        <v>66</v>
      </c>
      <c r="L111" s="658">
        <f>SUBTOTAL(109,WSH_H[3B])</f>
        <v>10</v>
      </c>
      <c r="M111" s="658">
        <f>SUBTOTAL(109,WSH_H[HR])</f>
        <v>32</v>
      </c>
      <c r="N111" s="658">
        <f>SUBTOTAL(109,WSH_H[RBI])</f>
        <v>126</v>
      </c>
      <c r="O111" s="658">
        <f>SUBTOTAL(109,WSH_H[BB])</f>
        <v>151</v>
      </c>
      <c r="P111" s="660">
        <f>SUBTOTAL(109,WSH_H[K])</f>
        <v>362</v>
      </c>
      <c r="Q111" s="658">
        <f>SUBTOTAL(109,WSH_H[SB])</f>
        <v>16</v>
      </c>
      <c r="R111" s="658"/>
      <c r="S111" s="660"/>
      <c r="T111" s="658">
        <f>SUBTOTAL(109,WSH_H[TB])</f>
        <v>499</v>
      </c>
      <c r="U111" s="656">
        <f>E111+F111</f>
        <v>0.67521910929635942</v>
      </c>
      <c r="V111" s="660">
        <f>SUBTOTAL(109,WSH_H[*])</f>
        <v>13</v>
      </c>
      <c r="W111" s="662"/>
      <c r="Z111" s="652"/>
      <c r="AA111" s="653"/>
      <c r="AB111" s="653" t="s">
        <v>195</v>
      </c>
      <c r="AC111" s="656">
        <f>AI111/AG111</f>
        <v>0.23127272727272727</v>
      </c>
      <c r="AD111" s="656">
        <f>(AI111+AN111)/(AG111+AN111)</f>
        <v>0.30368906455862976</v>
      </c>
      <c r="AE111" s="657">
        <f>((AI111-AJ111-AK111-AL111)+(AJ111*2)+(AK111*3)+(AL111*4))/AG111</f>
        <v>0.36145454545454547</v>
      </c>
      <c r="AF111" s="658"/>
      <c r="AG111" s="658">
        <f>SUBTOTAL(109,WSH_H168[AB])</f>
        <v>1375</v>
      </c>
      <c r="AH111" s="658">
        <f>SUBTOTAL(109,WSH_H168[R])</f>
        <v>137</v>
      </c>
      <c r="AI111" s="658">
        <f>SUBTOTAL(109,WSH_H168[H])</f>
        <v>318</v>
      </c>
      <c r="AJ111" s="658">
        <f>SUBTOTAL(109,WSH_H168[2B])</f>
        <v>73</v>
      </c>
      <c r="AK111" s="658">
        <f>SUBTOTAL(109,WSH_H168[3B])</f>
        <v>5</v>
      </c>
      <c r="AL111" s="658">
        <f>SUBTOTAL(109,WSH_H168[HR])</f>
        <v>32</v>
      </c>
      <c r="AM111" s="658">
        <f>SUBTOTAL(109,WSH_H168[RBI])</f>
        <v>137</v>
      </c>
      <c r="AN111" s="658">
        <f>SUBTOTAL(109,WSH_H168[BB])</f>
        <v>143</v>
      </c>
      <c r="AO111" s="660">
        <f>SUBTOTAL(109,WSH_H168[K])</f>
        <v>378</v>
      </c>
      <c r="AP111" s="658">
        <f>SUBTOTAL(109,WSH_H168[SB])</f>
        <v>2</v>
      </c>
      <c r="AQ111" s="658"/>
      <c r="AR111" s="660"/>
      <c r="AS111" s="658">
        <f>SUBTOTAL(109,WSH_H168[TB])</f>
        <v>497</v>
      </c>
      <c r="AT111" s="656">
        <f>AD111+AE111</f>
        <v>0.66514361001317523</v>
      </c>
      <c r="AU111" s="660">
        <f>SUBTOTAL(109,WSH_H168[*])</f>
        <v>18</v>
      </c>
      <c r="AV111" s="662"/>
      <c r="AY111" s="652"/>
      <c r="AZ111" s="653"/>
      <c r="BA111" s="653" t="s">
        <v>195</v>
      </c>
      <c r="BB111" s="656">
        <f>IFERROR(BH111/BF111,0)</f>
        <v>0.23799283154121864</v>
      </c>
      <c r="BC111" s="656">
        <f>IFERROR((BM111+BH111)/(BM111+BF111),0)</f>
        <v>0.30157687253613669</v>
      </c>
      <c r="BD111" s="657">
        <f>IFERROR(((BH111-BI111-BJ111-BK111)+(BI111*2)+(BJ111*3)+(BK111*4))/BF111,0)</f>
        <v>0.40788530465949818</v>
      </c>
      <c r="BE111" s="658"/>
      <c r="BF111" s="658">
        <f>SUBTOTAL(109,WSH_H168182[AB])</f>
        <v>1395</v>
      </c>
      <c r="BG111" s="658">
        <f>SUBTOTAL(109,WSH_H168182[R])</f>
        <v>144</v>
      </c>
      <c r="BH111" s="658">
        <f>SUBTOTAL(109,WSH_H168182[H])</f>
        <v>332</v>
      </c>
      <c r="BI111" s="658">
        <f>SUBTOTAL(109,WSH_H168182[2B])</f>
        <v>77</v>
      </c>
      <c r="BJ111" s="658">
        <f>SUBTOTAL(109,WSH_H168182[3B])</f>
        <v>8</v>
      </c>
      <c r="BK111" s="658">
        <f>SUBTOTAL(109,WSH_H168182[HR])</f>
        <v>48</v>
      </c>
      <c r="BL111" s="658">
        <f>SUBTOTAL(109,WSH_H168182[RBI])</f>
        <v>142</v>
      </c>
      <c r="BM111" s="658">
        <f>SUBTOTAL(109,WSH_H168182[BB])</f>
        <v>127</v>
      </c>
      <c r="BN111" s="660">
        <f>SUBTOTAL(109,WSH_H168182[K])</f>
        <v>353</v>
      </c>
      <c r="BO111" s="658">
        <f>SUBTOTAL(109,WSH_H168182[SB])</f>
        <v>22</v>
      </c>
      <c r="BP111" s="658"/>
      <c r="BQ111" s="660"/>
      <c r="BR111" s="658">
        <f>SUBTOTAL(109,WSH_H168182[TB])</f>
        <v>569</v>
      </c>
      <c r="BS111" s="656">
        <f>IFERROR(BC111+BD111,0)</f>
        <v>0.70946217719563487</v>
      </c>
      <c r="BT111" s="660">
        <f>SUBTOTAL(109,WSH_H168182[*])</f>
        <v>20</v>
      </c>
      <c r="BU111" s="662"/>
    </row>
    <row r="112" spans="1:73" ht="17" thickBot="1"/>
    <row r="113" spans="1:73" s="64" customFormat="1" ht="14" thickBot="1">
      <c r="A113" s="605" t="s">
        <v>143</v>
      </c>
      <c r="B113" s="606" t="s">
        <v>144</v>
      </c>
      <c r="C113" s="606" t="s">
        <v>145</v>
      </c>
      <c r="D113" s="606" t="s">
        <v>196</v>
      </c>
      <c r="E113" s="606" t="s">
        <v>197</v>
      </c>
      <c r="F113" s="606" t="s">
        <v>198</v>
      </c>
      <c r="G113" s="606" t="s">
        <v>149</v>
      </c>
      <c r="H113" s="606" t="s">
        <v>199</v>
      </c>
      <c r="I113" s="606" t="s">
        <v>152</v>
      </c>
      <c r="J113" s="606" t="s">
        <v>151</v>
      </c>
      <c r="K113" s="606" t="s">
        <v>157</v>
      </c>
      <c r="L113" s="606" t="s">
        <v>158</v>
      </c>
      <c r="M113" s="606" t="s">
        <v>200</v>
      </c>
      <c r="N113" s="606" t="s">
        <v>201</v>
      </c>
      <c r="O113" s="606" t="s">
        <v>202</v>
      </c>
      <c r="P113" s="606" t="s">
        <v>203</v>
      </c>
      <c r="Q113" s="606" t="s">
        <v>204</v>
      </c>
      <c r="R113" s="606" t="s">
        <v>205</v>
      </c>
      <c r="S113" s="607" t="s">
        <v>164</v>
      </c>
      <c r="Z113" s="605" t="s">
        <v>143</v>
      </c>
      <c r="AA113" s="606" t="s">
        <v>144</v>
      </c>
      <c r="AB113" s="606" t="s">
        <v>145</v>
      </c>
      <c r="AC113" s="606" t="s">
        <v>196</v>
      </c>
      <c r="AD113" s="606" t="s">
        <v>197</v>
      </c>
      <c r="AE113" s="606" t="s">
        <v>198</v>
      </c>
      <c r="AF113" s="606" t="s">
        <v>149</v>
      </c>
      <c r="AG113" s="606" t="s">
        <v>199</v>
      </c>
      <c r="AH113" s="606" t="s">
        <v>152</v>
      </c>
      <c r="AI113" s="606" t="s">
        <v>151</v>
      </c>
      <c r="AJ113" s="606" t="s">
        <v>157</v>
      </c>
      <c r="AK113" s="606" t="s">
        <v>158</v>
      </c>
      <c r="AL113" s="606" t="s">
        <v>200</v>
      </c>
      <c r="AM113" s="606" t="s">
        <v>201</v>
      </c>
      <c r="AN113" s="606" t="s">
        <v>202</v>
      </c>
      <c r="AO113" s="606" t="s">
        <v>203</v>
      </c>
      <c r="AP113" s="606" t="s">
        <v>204</v>
      </c>
      <c r="AQ113" s="606" t="s">
        <v>205</v>
      </c>
      <c r="AR113" s="607" t="s">
        <v>164</v>
      </c>
      <c r="AY113" s="605" t="s">
        <v>143</v>
      </c>
      <c r="AZ113" s="606" t="s">
        <v>144</v>
      </c>
      <c r="BA113" s="606" t="s">
        <v>145</v>
      </c>
      <c r="BB113" s="606" t="s">
        <v>196</v>
      </c>
      <c r="BC113" s="606" t="s">
        <v>197</v>
      </c>
      <c r="BD113" s="606" t="s">
        <v>198</v>
      </c>
      <c r="BE113" s="606" t="s">
        <v>149</v>
      </c>
      <c r="BF113" s="606" t="s">
        <v>199</v>
      </c>
      <c r="BG113" s="606" t="s">
        <v>152</v>
      </c>
      <c r="BH113" s="606" t="s">
        <v>151</v>
      </c>
      <c r="BI113" s="606" t="s">
        <v>157</v>
      </c>
      <c r="BJ113" s="606" t="s">
        <v>158</v>
      </c>
      <c r="BK113" s="606" t="s">
        <v>200</v>
      </c>
      <c r="BL113" s="606" t="s">
        <v>201</v>
      </c>
      <c r="BM113" s="606" t="s">
        <v>202</v>
      </c>
      <c r="BN113" s="606" t="s">
        <v>203</v>
      </c>
      <c r="BO113" s="606" t="s">
        <v>204</v>
      </c>
      <c r="BP113" s="606" t="s">
        <v>205</v>
      </c>
      <c r="BQ113" s="607" t="s">
        <v>164</v>
      </c>
    </row>
    <row r="114" spans="1:73">
      <c r="A114" s="650" t="s">
        <v>869</v>
      </c>
      <c r="B114" s="604" t="s">
        <v>206</v>
      </c>
      <c r="C114" s="597" t="s">
        <v>889</v>
      </c>
      <c r="D114" s="663">
        <f>IFERROR((WSH_P[[#This Row],[R]]*9)/WSH_P[[#This Row],[IP]],0)</f>
        <v>3.8573396601867445</v>
      </c>
      <c r="E114" s="600">
        <v>0</v>
      </c>
      <c r="F114" s="604">
        <v>6</v>
      </c>
      <c r="G114" s="600">
        <v>10</v>
      </c>
      <c r="H114" s="630">
        <v>65.33</v>
      </c>
      <c r="I114" s="600">
        <v>59</v>
      </c>
      <c r="J114" s="600">
        <v>28</v>
      </c>
      <c r="K114" s="600">
        <v>24</v>
      </c>
      <c r="L114" s="600">
        <v>62</v>
      </c>
      <c r="M114" s="600">
        <v>0</v>
      </c>
      <c r="N114" s="631">
        <f>IFERROR((WSH_P[[#This Row],[BB]]+WSH_P[[#This Row],[H]])/WSH_P[[#This Row],[IP]],0)</f>
        <v>1.2704729833154753</v>
      </c>
      <c r="O114" s="600">
        <v>6</v>
      </c>
      <c r="P114" s="601">
        <v>3</v>
      </c>
      <c r="Q114" s="600">
        <v>1</v>
      </c>
      <c r="R114" s="604">
        <v>0</v>
      </c>
      <c r="S114" s="614">
        <v>1</v>
      </c>
      <c r="Z114" s="650" t="s">
        <v>869</v>
      </c>
      <c r="AA114" s="604" t="s">
        <v>206</v>
      </c>
      <c r="AB114" s="597" t="s">
        <v>821</v>
      </c>
      <c r="AC114" s="663">
        <f>IFERROR((WSH_P169[[#This Row],[R]]*9)/WSH_P169[[#This Row],[IP]],0)</f>
        <v>2.0864584753852449</v>
      </c>
      <c r="AD114" s="600">
        <v>4</v>
      </c>
      <c r="AE114" s="604">
        <v>4</v>
      </c>
      <c r="AF114" s="600">
        <v>10</v>
      </c>
      <c r="AG114" s="630">
        <v>73.33</v>
      </c>
      <c r="AH114" s="600">
        <v>48</v>
      </c>
      <c r="AI114" s="600">
        <v>17</v>
      </c>
      <c r="AJ114" s="600">
        <v>19</v>
      </c>
      <c r="AK114" s="600">
        <v>86</v>
      </c>
      <c r="AL114" s="600">
        <v>0</v>
      </c>
      <c r="AM114" s="631">
        <f>IFERROR((WSH_P169[[#This Row],[BB]]+WSH_P169[[#This Row],[H]])/WSH_P169[[#This Row],[IP]],0)</f>
        <v>0.91367789444974779</v>
      </c>
      <c r="AN114" s="600">
        <v>8</v>
      </c>
      <c r="AO114" s="602">
        <v>8</v>
      </c>
      <c r="AP114" s="600">
        <v>1</v>
      </c>
      <c r="AQ114" s="604">
        <v>1</v>
      </c>
      <c r="AR114" s="614">
        <v>1</v>
      </c>
      <c r="AY114" s="650" t="s">
        <v>869</v>
      </c>
      <c r="AZ114" s="632" t="s">
        <v>206</v>
      </c>
      <c r="BA114" s="596" t="s">
        <v>821</v>
      </c>
      <c r="BB114" s="663">
        <f>IFERROR((WSH_P169183[[#This Row],[R]]*9)/WSH_P169183[[#This Row],[IP]],0)</f>
        <v>1.6085790884718498</v>
      </c>
      <c r="BC114" s="708">
        <v>8</v>
      </c>
      <c r="BD114" s="604">
        <v>1</v>
      </c>
      <c r="BE114" s="600">
        <v>10</v>
      </c>
      <c r="BF114" s="784">
        <v>78.33</v>
      </c>
      <c r="BG114" s="600">
        <v>45</v>
      </c>
      <c r="BH114" s="600">
        <v>14</v>
      </c>
      <c r="BI114" s="600">
        <v>24</v>
      </c>
      <c r="BJ114" s="600">
        <v>95</v>
      </c>
      <c r="BK114" s="600">
        <v>0</v>
      </c>
      <c r="BL114" s="631">
        <f>IFERROR((WSH_P169183[[#This Row],[BB]]+WSH_P169183[[#This Row],[H]])/WSH_P169183[[#This Row],[IP]],0)</f>
        <v>0.88088854844887021</v>
      </c>
      <c r="BM114" s="708">
        <v>10</v>
      </c>
      <c r="BN114" s="707">
        <v>9</v>
      </c>
      <c r="BO114" s="627">
        <v>3</v>
      </c>
      <c r="BP114" s="604">
        <v>2</v>
      </c>
      <c r="BQ114" s="614">
        <v>1</v>
      </c>
    </row>
    <row r="115" spans="1:73">
      <c r="A115" s="651" t="s">
        <v>869</v>
      </c>
      <c r="B115" s="74" t="s">
        <v>206</v>
      </c>
      <c r="C115" s="116" t="s">
        <v>890</v>
      </c>
      <c r="D115" s="88">
        <f>IFERROR((WSH_P[[#This Row],[R]]*9)/WSH_P[[#This Row],[IP]],0)</f>
        <v>4.2631578947368425</v>
      </c>
      <c r="E115" s="28">
        <v>1</v>
      </c>
      <c r="F115" s="74">
        <v>5</v>
      </c>
      <c r="G115" s="28">
        <v>10</v>
      </c>
      <c r="H115" s="584">
        <v>57</v>
      </c>
      <c r="I115" s="28">
        <v>59</v>
      </c>
      <c r="J115" s="28">
        <v>27</v>
      </c>
      <c r="K115" s="76">
        <v>37</v>
      </c>
      <c r="L115" s="28">
        <v>49</v>
      </c>
      <c r="M115" s="28">
        <v>0</v>
      </c>
      <c r="N115" s="89">
        <f>IFERROR((WSH_P[[#This Row],[BB]]+WSH_P[[#This Row],[H]])/WSH_P[[#This Row],[IP]],0)</f>
        <v>1.6842105263157894</v>
      </c>
      <c r="O115" s="28">
        <v>6</v>
      </c>
      <c r="P115" s="90">
        <v>2</v>
      </c>
      <c r="Q115" s="28">
        <v>0</v>
      </c>
      <c r="R115" s="74">
        <v>0</v>
      </c>
      <c r="S115" s="615">
        <v>2</v>
      </c>
      <c r="Z115" s="651" t="s">
        <v>869</v>
      </c>
      <c r="AA115" s="74" t="s">
        <v>206</v>
      </c>
      <c r="AB115" s="71" t="s">
        <v>889</v>
      </c>
      <c r="AC115" s="88">
        <f>IFERROR((WSH_P169[[#This Row],[R]]*9)/WSH_P169[[#This Row],[IP]],0)</f>
        <v>3.4411764705882355</v>
      </c>
      <c r="AD115" s="28">
        <v>4</v>
      </c>
      <c r="AE115" s="74">
        <v>5</v>
      </c>
      <c r="AF115" s="28">
        <v>10</v>
      </c>
      <c r="AG115" s="584">
        <v>68</v>
      </c>
      <c r="AH115" s="28">
        <v>55</v>
      </c>
      <c r="AI115" s="28">
        <v>26</v>
      </c>
      <c r="AJ115" s="28">
        <v>19</v>
      </c>
      <c r="AK115" s="28">
        <v>77</v>
      </c>
      <c r="AL115" s="28">
        <v>0</v>
      </c>
      <c r="AM115" s="89">
        <f>IFERROR((WSH_P169[[#This Row],[BB]]+WSH_P169[[#This Row],[H]])/WSH_P169[[#This Row],[IP]],0)</f>
        <v>1.088235294117647</v>
      </c>
      <c r="AN115" s="28">
        <v>7</v>
      </c>
      <c r="AO115" s="90">
        <v>5</v>
      </c>
      <c r="AP115" s="28">
        <v>1</v>
      </c>
      <c r="AQ115" s="74">
        <v>1</v>
      </c>
      <c r="AR115" s="615">
        <v>2</v>
      </c>
      <c r="AY115" s="651" t="s">
        <v>869</v>
      </c>
      <c r="AZ115" s="74" t="s">
        <v>206</v>
      </c>
      <c r="BA115" s="71" t="s">
        <v>889</v>
      </c>
      <c r="BB115" s="349">
        <f>IFERROR((WSH_P169183[[#This Row],[R]]*9)/WSH_P169183[[#This Row],[IP]],0)</f>
        <v>1.5194805194805194</v>
      </c>
      <c r="BC115" s="28">
        <v>5</v>
      </c>
      <c r="BD115" s="74">
        <v>2</v>
      </c>
      <c r="BE115" s="28">
        <v>10</v>
      </c>
      <c r="BF115" s="584">
        <v>77</v>
      </c>
      <c r="BG115" s="28">
        <v>60</v>
      </c>
      <c r="BH115" s="28">
        <v>13</v>
      </c>
      <c r="BI115" s="28">
        <v>20</v>
      </c>
      <c r="BJ115" s="28">
        <v>92</v>
      </c>
      <c r="BK115" s="28">
        <v>0</v>
      </c>
      <c r="BL115" s="89">
        <f>IFERROR((WSH_P169183[[#This Row],[BB]]+WSH_P169183[[#This Row],[H]])/WSH_P169183[[#This Row],[IP]],0)</f>
        <v>1.0389610389610389</v>
      </c>
      <c r="BM115" s="28">
        <v>9</v>
      </c>
      <c r="BN115" s="90">
        <v>7</v>
      </c>
      <c r="BO115" s="76">
        <v>3</v>
      </c>
      <c r="BP115" s="74">
        <v>2</v>
      </c>
      <c r="BQ115" s="615">
        <v>2</v>
      </c>
    </row>
    <row r="116" spans="1:73">
      <c r="A116" s="651" t="s">
        <v>869</v>
      </c>
      <c r="B116" s="74" t="s">
        <v>206</v>
      </c>
      <c r="C116" s="116" t="s">
        <v>891</v>
      </c>
      <c r="D116" s="88">
        <f>IFERROR((WSH_P[[#This Row],[R]]*9)/WSH_P[[#This Row],[IP]],0)</f>
        <v>4.6245648930880163</v>
      </c>
      <c r="E116" s="28">
        <v>5</v>
      </c>
      <c r="F116" s="74">
        <v>3</v>
      </c>
      <c r="G116" s="28">
        <v>10</v>
      </c>
      <c r="H116" s="584">
        <v>60.33</v>
      </c>
      <c r="I116" s="28">
        <v>74</v>
      </c>
      <c r="J116" s="28">
        <v>31</v>
      </c>
      <c r="K116" s="28">
        <v>24</v>
      </c>
      <c r="L116" s="28">
        <v>67</v>
      </c>
      <c r="M116" s="28">
        <v>0</v>
      </c>
      <c r="N116" s="89">
        <f>IFERROR((WSH_P[[#This Row],[BB]]+WSH_P[[#This Row],[H]])/WSH_P[[#This Row],[IP]],0)</f>
        <v>1.6243991380739269</v>
      </c>
      <c r="O116" s="28">
        <v>6</v>
      </c>
      <c r="P116" s="90">
        <v>2</v>
      </c>
      <c r="Q116" s="28">
        <v>0</v>
      </c>
      <c r="R116" s="74">
        <v>0</v>
      </c>
      <c r="S116" s="615">
        <v>3</v>
      </c>
      <c r="Z116" s="651" t="s">
        <v>869</v>
      </c>
      <c r="AA116" s="74" t="s">
        <v>206</v>
      </c>
      <c r="AB116" s="116" t="s">
        <v>890</v>
      </c>
      <c r="AC116" s="88">
        <f>IFERROR((WSH_P169[[#This Row],[R]]*9)/WSH_P169[[#This Row],[IP]],0)</f>
        <v>3.856930937860557</v>
      </c>
      <c r="AD116" s="28">
        <v>2</v>
      </c>
      <c r="AE116" s="74">
        <v>4</v>
      </c>
      <c r="AF116" s="28">
        <v>10</v>
      </c>
      <c r="AG116" s="584">
        <v>60.67</v>
      </c>
      <c r="AH116" s="28">
        <v>52</v>
      </c>
      <c r="AI116" s="28">
        <v>26</v>
      </c>
      <c r="AJ116" s="28">
        <v>26</v>
      </c>
      <c r="AK116" s="28">
        <v>65</v>
      </c>
      <c r="AL116" s="28">
        <v>0</v>
      </c>
      <c r="AM116" s="89">
        <f>IFERROR((WSH_P169[[#This Row],[BB]]+WSH_P169[[#This Row],[H]])/WSH_P169[[#This Row],[IP]],0)</f>
        <v>1.285643645953519</v>
      </c>
      <c r="AN116" s="28">
        <v>6</v>
      </c>
      <c r="AO116" s="90">
        <v>3</v>
      </c>
      <c r="AP116" s="28">
        <v>0</v>
      </c>
      <c r="AQ116" s="74">
        <v>0</v>
      </c>
      <c r="AR116" s="615">
        <v>3</v>
      </c>
      <c r="AY116" s="651" t="s">
        <v>869</v>
      </c>
      <c r="AZ116" s="74" t="s">
        <v>206</v>
      </c>
      <c r="BA116" s="71" t="s">
        <v>892</v>
      </c>
      <c r="BB116" s="88">
        <f>IFERROR((WSH_P169183[[#This Row],[R]]*9)/WSH_P169183[[#This Row],[IP]],0)</f>
        <v>4.4769159023783613</v>
      </c>
      <c r="BC116" s="28">
        <v>5</v>
      </c>
      <c r="BD116" s="74">
        <v>3</v>
      </c>
      <c r="BE116" s="28">
        <v>10</v>
      </c>
      <c r="BF116" s="584">
        <v>64.33</v>
      </c>
      <c r="BG116" s="28">
        <v>76</v>
      </c>
      <c r="BH116" s="28">
        <v>32</v>
      </c>
      <c r="BI116" s="28">
        <v>17</v>
      </c>
      <c r="BJ116" s="28">
        <v>51</v>
      </c>
      <c r="BK116" s="28">
        <v>0</v>
      </c>
      <c r="BL116" s="89">
        <f>IFERROR((WSH_P169183[[#This Row],[BB]]+WSH_P169183[[#This Row],[H]])/WSH_P169183[[#This Row],[IP]],0)</f>
        <v>1.4456707601430125</v>
      </c>
      <c r="BM116" s="28">
        <v>6</v>
      </c>
      <c r="BN116" s="90">
        <v>2</v>
      </c>
      <c r="BO116" s="28">
        <v>0</v>
      </c>
      <c r="BP116" s="74">
        <v>0</v>
      </c>
      <c r="BQ116" s="615">
        <v>3</v>
      </c>
    </row>
    <row r="117" spans="1:73">
      <c r="A117" s="651" t="s">
        <v>869</v>
      </c>
      <c r="B117" s="74" t="s">
        <v>206</v>
      </c>
      <c r="C117" s="116" t="s">
        <v>892</v>
      </c>
      <c r="D117" s="88">
        <f>IFERROR((WSH_P[[#This Row],[R]]*9)/WSH_P[[#This Row],[IP]],0)</f>
        <v>5.3704624564893093</v>
      </c>
      <c r="E117" s="28">
        <v>2</v>
      </c>
      <c r="F117" s="74">
        <v>5</v>
      </c>
      <c r="G117" s="28">
        <v>10</v>
      </c>
      <c r="H117" s="584">
        <v>60.33</v>
      </c>
      <c r="I117" s="28">
        <v>67</v>
      </c>
      <c r="J117" s="28">
        <v>36</v>
      </c>
      <c r="K117" s="28">
        <v>13</v>
      </c>
      <c r="L117" s="28">
        <v>44</v>
      </c>
      <c r="M117" s="28">
        <v>0</v>
      </c>
      <c r="N117" s="89">
        <f>IFERROR((WSH_P[[#This Row],[BB]]+WSH_P[[#This Row],[H]])/WSH_P[[#This Row],[IP]],0)</f>
        <v>1.3260401127134096</v>
      </c>
      <c r="O117" s="28">
        <v>5</v>
      </c>
      <c r="P117" s="90">
        <v>3</v>
      </c>
      <c r="Q117" s="28">
        <v>0</v>
      </c>
      <c r="R117" s="74">
        <v>0</v>
      </c>
      <c r="S117" s="615">
        <v>4</v>
      </c>
      <c r="Z117" s="651" t="s">
        <v>869</v>
      </c>
      <c r="AA117" s="74" t="s">
        <v>206</v>
      </c>
      <c r="AB117" s="116" t="s">
        <v>892</v>
      </c>
      <c r="AC117" s="88">
        <f>IFERROR((WSH_P169[[#This Row],[R]]*9)/WSH_P169[[#This Row],[IP]],0)</f>
        <v>4.1770263550472402</v>
      </c>
      <c r="AD117" s="28">
        <v>3</v>
      </c>
      <c r="AE117" s="74">
        <v>4</v>
      </c>
      <c r="AF117" s="28">
        <v>10</v>
      </c>
      <c r="AG117" s="584">
        <v>60.33</v>
      </c>
      <c r="AH117" s="28">
        <v>69</v>
      </c>
      <c r="AI117" s="28">
        <v>28</v>
      </c>
      <c r="AJ117" s="28">
        <v>11</v>
      </c>
      <c r="AK117" s="28">
        <v>50</v>
      </c>
      <c r="AL117" s="28">
        <v>0</v>
      </c>
      <c r="AM117" s="89">
        <f>IFERROR((WSH_P169[[#This Row],[BB]]+WSH_P169[[#This Row],[H]])/WSH_P169[[#This Row],[IP]],0)</f>
        <v>1.3260401127134096</v>
      </c>
      <c r="AN117" s="28">
        <v>4</v>
      </c>
      <c r="AO117" s="90">
        <v>2</v>
      </c>
      <c r="AP117" s="28">
        <v>0</v>
      </c>
      <c r="AQ117" s="74">
        <v>0</v>
      </c>
      <c r="AR117" s="615">
        <v>4</v>
      </c>
      <c r="AY117" s="651" t="s">
        <v>869</v>
      </c>
      <c r="AZ117" s="74" t="s">
        <v>206</v>
      </c>
      <c r="BA117" s="71" t="s">
        <v>890</v>
      </c>
      <c r="BB117" s="88">
        <f>IFERROR((WSH_P169183[[#This Row],[R]]*9)/WSH_P169183[[#This Row],[IP]],0)</f>
        <v>5.9016393442622954</v>
      </c>
      <c r="BC117" s="28">
        <v>0</v>
      </c>
      <c r="BD117" s="74">
        <v>5</v>
      </c>
      <c r="BE117" s="28">
        <v>10</v>
      </c>
      <c r="BF117" s="584">
        <v>61</v>
      </c>
      <c r="BG117" s="28">
        <v>65</v>
      </c>
      <c r="BH117" s="28">
        <v>40</v>
      </c>
      <c r="BI117" s="28">
        <v>26</v>
      </c>
      <c r="BJ117" s="28">
        <v>57</v>
      </c>
      <c r="BK117" s="28">
        <v>0</v>
      </c>
      <c r="BL117" s="89">
        <f>IFERROR((WSH_P169183[[#This Row],[BB]]+WSH_P169183[[#This Row],[H]])/WSH_P169183[[#This Row],[IP]],0)</f>
        <v>1.4918032786885247</v>
      </c>
      <c r="BM117" s="28">
        <v>4</v>
      </c>
      <c r="BN117" s="90">
        <v>2</v>
      </c>
      <c r="BO117" s="28">
        <v>0</v>
      </c>
      <c r="BP117" s="74">
        <v>0</v>
      </c>
      <c r="BQ117" s="615">
        <v>4</v>
      </c>
    </row>
    <row r="118" spans="1:73">
      <c r="A118" s="651" t="s">
        <v>869</v>
      </c>
      <c r="B118" s="74" t="s">
        <v>215</v>
      </c>
      <c r="C118" s="116" t="s">
        <v>895</v>
      </c>
      <c r="D118" s="88">
        <f>IFERROR((WSH_P[[#This Row],[R]]*9)/WSH_P[[#This Row],[IP]],0)</f>
        <v>5.2249637155297526</v>
      </c>
      <c r="E118" s="28">
        <v>1</v>
      </c>
      <c r="F118" s="74">
        <v>0</v>
      </c>
      <c r="G118" s="28">
        <v>9</v>
      </c>
      <c r="H118" s="584">
        <v>20.67</v>
      </c>
      <c r="I118" s="28">
        <v>21</v>
      </c>
      <c r="J118" s="28">
        <v>12</v>
      </c>
      <c r="K118" s="28">
        <v>6</v>
      </c>
      <c r="L118" s="28">
        <v>22</v>
      </c>
      <c r="M118" s="28">
        <v>0</v>
      </c>
      <c r="N118" s="89">
        <f>IFERROR((WSH_P[[#This Row],[BB]]+WSH_P[[#This Row],[H]])/WSH_P[[#This Row],[IP]],0)</f>
        <v>1.3062409288824381</v>
      </c>
      <c r="O118" s="28">
        <v>0</v>
      </c>
      <c r="P118" s="90">
        <v>0</v>
      </c>
      <c r="Q118" s="28">
        <v>0</v>
      </c>
      <c r="R118" s="74">
        <v>0</v>
      </c>
      <c r="S118" s="615">
        <v>5</v>
      </c>
      <c r="Z118" s="651" t="s">
        <v>869</v>
      </c>
      <c r="AA118" s="74" t="s">
        <v>215</v>
      </c>
      <c r="AB118" s="116" t="s">
        <v>891</v>
      </c>
      <c r="AC118" s="88">
        <f>IFERROR((WSH_P169[[#This Row],[R]]*9)/WSH_P169[[#This Row],[IP]],0)</f>
        <v>5.6571428571428575</v>
      </c>
      <c r="AD118" s="28">
        <v>2</v>
      </c>
      <c r="AE118" s="74">
        <v>2</v>
      </c>
      <c r="AF118" s="28">
        <v>18</v>
      </c>
      <c r="AG118" s="584">
        <v>35</v>
      </c>
      <c r="AH118" s="28">
        <v>32</v>
      </c>
      <c r="AI118" s="28">
        <v>22</v>
      </c>
      <c r="AJ118" s="28">
        <v>12</v>
      </c>
      <c r="AK118" s="28">
        <v>33</v>
      </c>
      <c r="AL118" s="28">
        <v>0</v>
      </c>
      <c r="AM118" s="89">
        <f>IFERROR((WSH_P169[[#This Row],[BB]]+WSH_P169[[#This Row],[H]])/WSH_P169[[#This Row],[IP]],0)</f>
        <v>1.2571428571428571</v>
      </c>
      <c r="AN118" s="28">
        <v>0</v>
      </c>
      <c r="AO118" s="90">
        <v>0</v>
      </c>
      <c r="AP118" s="28">
        <v>0</v>
      </c>
      <c r="AQ118" s="74">
        <v>0</v>
      </c>
      <c r="AR118" s="615">
        <v>5</v>
      </c>
      <c r="AY118" s="651" t="s">
        <v>869</v>
      </c>
      <c r="AZ118" s="74" t="s">
        <v>212</v>
      </c>
      <c r="BA118" s="71" t="s">
        <v>897</v>
      </c>
      <c r="BB118" s="88">
        <f>IFERROR((WSH_P169183[[#This Row],[R]]*9)/WSH_P169183[[#This Row],[IP]],0)</f>
        <v>25.5</v>
      </c>
      <c r="BC118" s="28">
        <v>0</v>
      </c>
      <c r="BD118" s="74">
        <v>2</v>
      </c>
      <c r="BE118" s="28">
        <v>7</v>
      </c>
      <c r="BF118" s="584">
        <v>6</v>
      </c>
      <c r="BG118" s="28">
        <v>20</v>
      </c>
      <c r="BH118" s="28">
        <v>17</v>
      </c>
      <c r="BI118" s="28">
        <v>3</v>
      </c>
      <c r="BJ118" s="28">
        <v>5</v>
      </c>
      <c r="BK118" s="28">
        <v>0</v>
      </c>
      <c r="BL118" s="89">
        <f>IFERROR((WSH_P169183[[#This Row],[BB]]+WSH_P169183[[#This Row],[H]])/WSH_P169183[[#This Row],[IP]],0)</f>
        <v>3.8333333333333335</v>
      </c>
      <c r="BM118" s="28">
        <v>0</v>
      </c>
      <c r="BN118" s="90">
        <v>0</v>
      </c>
      <c r="BO118" s="28">
        <v>0</v>
      </c>
      <c r="BP118" s="74">
        <v>0</v>
      </c>
      <c r="BQ118" s="615">
        <v>5</v>
      </c>
    </row>
    <row r="119" spans="1:73">
      <c r="A119" s="651" t="s">
        <v>869</v>
      </c>
      <c r="B119" s="74" t="s">
        <v>212</v>
      </c>
      <c r="C119" s="116" t="s">
        <v>893</v>
      </c>
      <c r="D119" s="88">
        <f>IFERROR((WSH_P[[#This Row],[R]]*9)/WSH_P[[#This Row],[IP]],0)</f>
        <v>3.6</v>
      </c>
      <c r="E119" s="28">
        <v>0</v>
      </c>
      <c r="F119" s="74">
        <v>0</v>
      </c>
      <c r="G119" s="28">
        <v>4</v>
      </c>
      <c r="H119" s="584">
        <v>10</v>
      </c>
      <c r="I119" s="28">
        <v>10</v>
      </c>
      <c r="J119" s="28">
        <v>4</v>
      </c>
      <c r="K119" s="28">
        <v>7</v>
      </c>
      <c r="L119" s="28">
        <v>9</v>
      </c>
      <c r="M119" s="28">
        <v>0</v>
      </c>
      <c r="N119" s="89">
        <f>IFERROR((WSH_P[[#This Row],[BB]]+WSH_P[[#This Row],[H]])/WSH_P[[#This Row],[IP]],0)</f>
        <v>1.7</v>
      </c>
      <c r="O119" s="28">
        <v>0</v>
      </c>
      <c r="P119" s="90">
        <v>0</v>
      </c>
      <c r="Q119" s="28">
        <v>0</v>
      </c>
      <c r="R119" s="74">
        <v>0</v>
      </c>
      <c r="S119" s="615">
        <v>6</v>
      </c>
      <c r="Z119" s="651" t="s">
        <v>869</v>
      </c>
      <c r="AA119" s="74" t="s">
        <v>212</v>
      </c>
      <c r="AB119" s="116" t="s">
        <v>893</v>
      </c>
      <c r="AC119" s="88">
        <f>IFERROR((WSH_P169[[#This Row],[R]]*9)/WSH_P169[[#This Row],[IP]],0)</f>
        <v>0</v>
      </c>
      <c r="AD119" s="28">
        <v>0</v>
      </c>
      <c r="AE119" s="74">
        <v>0</v>
      </c>
      <c r="AF119" s="28">
        <v>0</v>
      </c>
      <c r="AG119" s="584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89">
        <f>IFERROR((WSH_P169[[#This Row],[BB]]+WSH_P169[[#This Row],[H]])/WSH_P169[[#This Row],[IP]],0)</f>
        <v>0</v>
      </c>
      <c r="AN119" s="28">
        <v>0</v>
      </c>
      <c r="AO119" s="90">
        <v>0</v>
      </c>
      <c r="AP119" s="28">
        <v>0</v>
      </c>
      <c r="AQ119" s="74">
        <v>0</v>
      </c>
      <c r="AR119" s="615">
        <v>6</v>
      </c>
      <c r="AY119" s="651" t="s">
        <v>869</v>
      </c>
      <c r="AZ119" s="74" t="s">
        <v>215</v>
      </c>
      <c r="BA119" s="71" t="s">
        <v>893</v>
      </c>
      <c r="BB119" s="88">
        <f>IFERROR((WSH_P169183[[#This Row],[R]]*9)/WSH_P169183[[#This Row],[IP]],0)</f>
        <v>6.4285714285714288</v>
      </c>
      <c r="BC119" s="28">
        <v>0</v>
      </c>
      <c r="BD119" s="74">
        <v>0</v>
      </c>
      <c r="BE119" s="28">
        <v>3</v>
      </c>
      <c r="BF119" s="584">
        <v>7</v>
      </c>
      <c r="BG119" s="28">
        <v>11</v>
      </c>
      <c r="BH119" s="28">
        <v>5</v>
      </c>
      <c r="BI119" s="28">
        <v>5</v>
      </c>
      <c r="BJ119" s="28">
        <v>5</v>
      </c>
      <c r="BK119" s="28">
        <v>0</v>
      </c>
      <c r="BL119" s="89">
        <f>IFERROR((WSH_P169183[[#This Row],[BB]]+WSH_P169183[[#This Row],[H]])/WSH_P169183[[#This Row],[IP]],0)</f>
        <v>2.2857142857142856</v>
      </c>
      <c r="BM119" s="28">
        <v>0</v>
      </c>
      <c r="BN119" s="90">
        <v>0</v>
      </c>
      <c r="BO119" s="28">
        <v>0</v>
      </c>
      <c r="BP119" s="74">
        <v>0</v>
      </c>
      <c r="BQ119" s="615">
        <v>6</v>
      </c>
    </row>
    <row r="120" spans="1:73">
      <c r="A120" s="651" t="s">
        <v>869</v>
      </c>
      <c r="B120" s="74" t="s">
        <v>215</v>
      </c>
      <c r="C120" s="71" t="s">
        <v>896</v>
      </c>
      <c r="D120" s="88">
        <f>IFERROR((WSH_P[[#This Row],[R]]*9)/WSH_P[[#This Row],[IP]],0)</f>
        <v>5.9044048734770387</v>
      </c>
      <c r="E120" s="28">
        <v>1</v>
      </c>
      <c r="F120" s="74">
        <v>1</v>
      </c>
      <c r="G120" s="28">
        <v>5</v>
      </c>
      <c r="H120" s="584">
        <v>10.67</v>
      </c>
      <c r="I120" s="28">
        <v>15</v>
      </c>
      <c r="J120" s="28">
        <v>7</v>
      </c>
      <c r="K120" s="28">
        <v>3</v>
      </c>
      <c r="L120" s="28">
        <v>8</v>
      </c>
      <c r="M120" s="28">
        <v>0</v>
      </c>
      <c r="N120" s="89">
        <f>IFERROR((WSH_P[[#This Row],[BB]]+WSH_P[[#This Row],[H]])/WSH_P[[#This Row],[IP]],0)</f>
        <v>1.6869728209934396</v>
      </c>
      <c r="O120" s="28">
        <v>0</v>
      </c>
      <c r="P120" s="90">
        <v>0</v>
      </c>
      <c r="Q120" s="28">
        <v>0</v>
      </c>
      <c r="R120" s="74">
        <v>0</v>
      </c>
      <c r="S120" s="615">
        <v>7</v>
      </c>
      <c r="Z120" s="651" t="s">
        <v>869</v>
      </c>
      <c r="AA120" s="74" t="s">
        <v>212</v>
      </c>
      <c r="AB120" s="116" t="s">
        <v>894</v>
      </c>
      <c r="AC120" s="88">
        <f>IFERROR((WSH_P169[[#This Row],[R]]*9)/WSH_P169[[#This Row],[IP]],0)</f>
        <v>3.6</v>
      </c>
      <c r="AD120" s="28">
        <v>0</v>
      </c>
      <c r="AE120" s="74">
        <v>0</v>
      </c>
      <c r="AF120" s="28">
        <v>3</v>
      </c>
      <c r="AG120" s="584">
        <v>5</v>
      </c>
      <c r="AH120" s="28">
        <v>3</v>
      </c>
      <c r="AI120" s="28">
        <v>2</v>
      </c>
      <c r="AJ120" s="28">
        <v>3</v>
      </c>
      <c r="AK120" s="28">
        <v>4</v>
      </c>
      <c r="AL120" s="28">
        <v>0</v>
      </c>
      <c r="AM120" s="89">
        <f>IFERROR((WSH_P169[[#This Row],[BB]]+WSH_P169[[#This Row],[H]])/WSH_P169[[#This Row],[IP]],0)</f>
        <v>1.2</v>
      </c>
      <c r="AN120" s="28">
        <v>0</v>
      </c>
      <c r="AO120" s="90">
        <v>0</v>
      </c>
      <c r="AP120" s="28">
        <v>0</v>
      </c>
      <c r="AQ120" s="74">
        <v>0</v>
      </c>
      <c r="AR120" s="615">
        <v>7</v>
      </c>
      <c r="AY120" s="651" t="s">
        <v>869</v>
      </c>
      <c r="AZ120" s="74" t="s">
        <v>212</v>
      </c>
      <c r="BA120" s="71" t="s">
        <v>894</v>
      </c>
      <c r="BB120" s="88">
        <f>IFERROR((WSH_P169183[[#This Row],[R]]*9)/WSH_P169183[[#This Row],[IP]],0)</f>
        <v>2.8213166144200628</v>
      </c>
      <c r="BC120" s="28">
        <v>0</v>
      </c>
      <c r="BD120" s="74">
        <v>1</v>
      </c>
      <c r="BE120" s="28">
        <v>12</v>
      </c>
      <c r="BF120" s="584">
        <v>22.33</v>
      </c>
      <c r="BG120" s="28">
        <v>19</v>
      </c>
      <c r="BH120" s="28">
        <v>7</v>
      </c>
      <c r="BI120" s="28">
        <v>9</v>
      </c>
      <c r="BJ120" s="28">
        <v>24</v>
      </c>
      <c r="BK120" s="28">
        <v>0</v>
      </c>
      <c r="BL120" s="89">
        <f>IFERROR((WSH_P169183[[#This Row],[BB]]+WSH_P169183[[#This Row],[H]])/WSH_P169183[[#This Row],[IP]],0)</f>
        <v>1.2539184952978057</v>
      </c>
      <c r="BM120" s="28">
        <v>0</v>
      </c>
      <c r="BN120" s="90">
        <v>0</v>
      </c>
      <c r="BO120" s="28">
        <v>0</v>
      </c>
      <c r="BP120" s="74">
        <v>0</v>
      </c>
      <c r="BQ120" s="615">
        <v>7</v>
      </c>
    </row>
    <row r="121" spans="1:73">
      <c r="A121" s="651" t="s">
        <v>869</v>
      </c>
      <c r="B121" s="74" t="s">
        <v>212</v>
      </c>
      <c r="C121" s="116" t="s">
        <v>898</v>
      </c>
      <c r="D121" s="88">
        <f>IFERROR((WSH_P[[#This Row],[R]]*9)/WSH_P[[#This Row],[IP]],0)</f>
        <v>2.9593094944512948</v>
      </c>
      <c r="E121" s="28">
        <v>1</v>
      </c>
      <c r="F121" s="74">
        <v>1</v>
      </c>
      <c r="G121" s="28">
        <v>20</v>
      </c>
      <c r="H121" s="584">
        <v>24.33</v>
      </c>
      <c r="I121" s="28">
        <v>24</v>
      </c>
      <c r="J121" s="28">
        <v>8</v>
      </c>
      <c r="K121" s="28">
        <v>9</v>
      </c>
      <c r="L121" s="28">
        <v>18</v>
      </c>
      <c r="M121" s="28">
        <v>0</v>
      </c>
      <c r="N121" s="89">
        <f>IFERROR((WSH_P[[#This Row],[BB]]+WSH_P[[#This Row],[H]])/WSH_P[[#This Row],[IP]],0)</f>
        <v>1.3563501849568436</v>
      </c>
      <c r="O121" s="28">
        <v>0</v>
      </c>
      <c r="P121" s="90">
        <v>0</v>
      </c>
      <c r="Q121" s="28">
        <v>0</v>
      </c>
      <c r="R121" s="74">
        <v>0</v>
      </c>
      <c r="S121" s="615">
        <v>8</v>
      </c>
      <c r="Z121" s="651" t="s">
        <v>869</v>
      </c>
      <c r="AA121" s="74" t="s">
        <v>212</v>
      </c>
      <c r="AB121" s="116" t="s">
        <v>898</v>
      </c>
      <c r="AC121" s="88">
        <f>IFERROR((WSH_P169[[#This Row],[R]]*9)/WSH_P169[[#This Row],[IP]],0)</f>
        <v>6.6</v>
      </c>
      <c r="AD121" s="28">
        <v>0</v>
      </c>
      <c r="AE121" s="74">
        <v>0</v>
      </c>
      <c r="AF121" s="28">
        <v>13</v>
      </c>
      <c r="AG121" s="584">
        <v>15</v>
      </c>
      <c r="AH121" s="28">
        <v>18</v>
      </c>
      <c r="AI121" s="28">
        <v>11</v>
      </c>
      <c r="AJ121" s="28">
        <v>5</v>
      </c>
      <c r="AK121" s="28">
        <v>7</v>
      </c>
      <c r="AL121" s="28">
        <v>0</v>
      </c>
      <c r="AM121" s="89">
        <f>IFERROR((WSH_P169[[#This Row],[BB]]+WSH_P169[[#This Row],[H]])/WSH_P169[[#This Row],[IP]],0)</f>
        <v>1.5333333333333334</v>
      </c>
      <c r="AN121" s="28">
        <v>0</v>
      </c>
      <c r="AO121" s="90">
        <v>0</v>
      </c>
      <c r="AP121" s="28">
        <v>0</v>
      </c>
      <c r="AQ121" s="74">
        <v>0</v>
      </c>
      <c r="AR121" s="615">
        <v>8</v>
      </c>
      <c r="AY121" s="651" t="s">
        <v>869</v>
      </c>
      <c r="AZ121" s="74" t="s">
        <v>212</v>
      </c>
      <c r="BA121" s="71" t="s">
        <v>898</v>
      </c>
      <c r="BB121" s="88">
        <f>IFERROR((WSH_P169183[[#This Row],[R]]*9)/WSH_P169183[[#This Row],[IP]],0)</f>
        <v>7.0714285714285712</v>
      </c>
      <c r="BC121" s="28">
        <v>1</v>
      </c>
      <c r="BD121" s="74">
        <v>1</v>
      </c>
      <c r="BE121" s="28">
        <v>14</v>
      </c>
      <c r="BF121" s="584">
        <v>14</v>
      </c>
      <c r="BG121" s="28">
        <v>21</v>
      </c>
      <c r="BH121" s="28">
        <v>11</v>
      </c>
      <c r="BI121" s="28">
        <v>8</v>
      </c>
      <c r="BJ121" s="28">
        <v>12</v>
      </c>
      <c r="BK121" s="28">
        <v>0</v>
      </c>
      <c r="BL121" s="89">
        <f>IFERROR((WSH_P169183[[#This Row],[BB]]+WSH_P169183[[#This Row],[H]])/WSH_P169183[[#This Row],[IP]],0)</f>
        <v>2.0714285714285716</v>
      </c>
      <c r="BM121" s="28">
        <v>0</v>
      </c>
      <c r="BN121" s="90">
        <v>0</v>
      </c>
      <c r="BO121" s="28">
        <v>0</v>
      </c>
      <c r="BP121" s="74">
        <v>0</v>
      </c>
      <c r="BQ121" s="615">
        <v>8</v>
      </c>
    </row>
    <row r="122" spans="1:73">
      <c r="A122" s="651" t="s">
        <v>869</v>
      </c>
      <c r="B122" s="74" t="s">
        <v>212</v>
      </c>
      <c r="C122" s="116" t="s">
        <v>900</v>
      </c>
      <c r="D122" s="88">
        <f>IFERROR((WSH_P[[#This Row],[R]]*9)/WSH_P[[#This Row],[IP]],0)</f>
        <v>1.8240778273206322</v>
      </c>
      <c r="E122" s="28">
        <v>2</v>
      </c>
      <c r="F122" s="74">
        <v>2</v>
      </c>
      <c r="G122" s="76">
        <v>24</v>
      </c>
      <c r="H122" s="584">
        <v>24.67</v>
      </c>
      <c r="I122" s="28">
        <v>16</v>
      </c>
      <c r="J122" s="28">
        <v>5</v>
      </c>
      <c r="K122" s="28">
        <v>8</v>
      </c>
      <c r="L122" s="28">
        <v>31</v>
      </c>
      <c r="M122" s="28">
        <v>1</v>
      </c>
      <c r="N122" s="89">
        <f>IFERROR((WSH_P[[#This Row],[BB]]+WSH_P[[#This Row],[H]])/WSH_P[[#This Row],[IP]],0)</f>
        <v>0.97284150790433721</v>
      </c>
      <c r="O122" s="28">
        <v>0</v>
      </c>
      <c r="P122" s="90">
        <v>0</v>
      </c>
      <c r="Q122" s="28">
        <v>0</v>
      </c>
      <c r="R122" s="74">
        <v>0</v>
      </c>
      <c r="S122" s="615">
        <v>9</v>
      </c>
      <c r="Z122" s="651" t="s">
        <v>869</v>
      </c>
      <c r="AA122" s="74" t="s">
        <v>212</v>
      </c>
      <c r="AB122" s="116" t="s">
        <v>900</v>
      </c>
      <c r="AC122" s="88">
        <f>IFERROR((WSH_P169[[#This Row],[R]]*9)/WSH_P169[[#This Row],[IP]],0)</f>
        <v>5.78468130690948</v>
      </c>
      <c r="AD122" s="28">
        <v>1</v>
      </c>
      <c r="AE122" s="74">
        <v>3</v>
      </c>
      <c r="AF122" s="28">
        <v>16</v>
      </c>
      <c r="AG122" s="584">
        <v>18.670000000000002</v>
      </c>
      <c r="AH122" s="28">
        <v>23</v>
      </c>
      <c r="AI122" s="28">
        <v>12</v>
      </c>
      <c r="AJ122" s="28">
        <v>4</v>
      </c>
      <c r="AK122" s="28">
        <v>17</v>
      </c>
      <c r="AL122" s="28">
        <v>1</v>
      </c>
      <c r="AM122" s="89">
        <f>IFERROR((WSH_P169[[#This Row],[BB]]+WSH_P169[[#This Row],[H]])/WSH_P169[[#This Row],[IP]],0)</f>
        <v>1.44617032672737</v>
      </c>
      <c r="AN122" s="28">
        <v>0</v>
      </c>
      <c r="AO122" s="90">
        <v>0</v>
      </c>
      <c r="AP122" s="28">
        <v>0</v>
      </c>
      <c r="AQ122" s="74">
        <v>0</v>
      </c>
      <c r="AR122" s="615">
        <v>9</v>
      </c>
      <c r="AY122" s="651" t="s">
        <v>869</v>
      </c>
      <c r="AZ122" s="74" t="s">
        <v>215</v>
      </c>
      <c r="BA122" s="116" t="s">
        <v>900</v>
      </c>
      <c r="BB122" s="88">
        <f>IFERROR((WSH_P169183[[#This Row],[R]]*9)/WSH_P169183[[#This Row],[IP]],0)</f>
        <v>10.199999999999999</v>
      </c>
      <c r="BC122" s="28">
        <v>1</v>
      </c>
      <c r="BD122" s="74">
        <v>4</v>
      </c>
      <c r="BE122" s="28">
        <v>14</v>
      </c>
      <c r="BF122" s="584">
        <v>15</v>
      </c>
      <c r="BG122" s="28">
        <v>20</v>
      </c>
      <c r="BH122" s="28">
        <v>17</v>
      </c>
      <c r="BI122" s="28">
        <v>7</v>
      </c>
      <c r="BJ122" s="28">
        <v>15</v>
      </c>
      <c r="BK122" s="28">
        <v>0</v>
      </c>
      <c r="BL122" s="89">
        <f>IFERROR((WSH_P169183[[#This Row],[BB]]+WSH_P169183[[#This Row],[H]])/WSH_P169183[[#This Row],[IP]],0)</f>
        <v>1.8</v>
      </c>
      <c r="BM122" s="28">
        <v>0</v>
      </c>
      <c r="BN122" s="90">
        <v>0</v>
      </c>
      <c r="BO122" s="28">
        <v>0</v>
      </c>
      <c r="BP122" s="74">
        <v>0</v>
      </c>
      <c r="BQ122" s="615">
        <v>9</v>
      </c>
    </row>
    <row r="123" spans="1:73" ht="17" thickBot="1">
      <c r="A123" s="651" t="s">
        <v>869</v>
      </c>
      <c r="B123" s="74" t="s">
        <v>212</v>
      </c>
      <c r="C123" s="71" t="s">
        <v>899</v>
      </c>
      <c r="D123" s="88">
        <f>IFERROR((WSH_P[[#This Row],[R]]*9)/WSH_P[[#This Row],[IP]],0)</f>
        <v>7.59493670886076</v>
      </c>
      <c r="E123" s="28">
        <v>0</v>
      </c>
      <c r="F123" s="74">
        <v>4</v>
      </c>
      <c r="G123" s="28">
        <v>20</v>
      </c>
      <c r="H123" s="584">
        <v>21.33</v>
      </c>
      <c r="I123" s="28">
        <v>30</v>
      </c>
      <c r="J123" s="28">
        <v>18</v>
      </c>
      <c r="K123" s="28">
        <v>14</v>
      </c>
      <c r="L123" s="28">
        <v>18</v>
      </c>
      <c r="M123" s="28">
        <v>6</v>
      </c>
      <c r="N123" s="89">
        <f>IFERROR((WSH_P[[#This Row],[BB]]+WSH_P[[#This Row],[H]])/WSH_P[[#This Row],[IP]],0)</f>
        <v>2.0628223159868733</v>
      </c>
      <c r="O123" s="28">
        <v>0</v>
      </c>
      <c r="P123" s="90">
        <v>0</v>
      </c>
      <c r="Q123" s="28">
        <v>0</v>
      </c>
      <c r="R123" s="74">
        <v>0</v>
      </c>
      <c r="S123" s="615">
        <v>10</v>
      </c>
      <c r="Z123" s="651" t="s">
        <v>869</v>
      </c>
      <c r="AA123" s="74" t="s">
        <v>212</v>
      </c>
      <c r="AB123" s="71" t="s">
        <v>899</v>
      </c>
      <c r="AC123" s="88">
        <f>IFERROR((WSH_P169[[#This Row],[R]]*9)/WSH_P169[[#This Row],[IP]],0)</f>
        <v>1.9758507135016468</v>
      </c>
      <c r="AD123" s="28">
        <v>2</v>
      </c>
      <c r="AE123" s="74">
        <v>0</v>
      </c>
      <c r="AF123" s="28">
        <v>22</v>
      </c>
      <c r="AG123" s="584">
        <v>27.33</v>
      </c>
      <c r="AH123" s="28">
        <v>28</v>
      </c>
      <c r="AI123" s="28">
        <v>6</v>
      </c>
      <c r="AJ123" s="28">
        <v>6</v>
      </c>
      <c r="AK123" s="28">
        <v>25</v>
      </c>
      <c r="AL123" s="28">
        <v>8</v>
      </c>
      <c r="AM123" s="89">
        <f>IFERROR((WSH_P169[[#This Row],[BB]]+WSH_P169[[#This Row],[H]])/WSH_P169[[#This Row],[IP]],0)</f>
        <v>1.2440541529454812</v>
      </c>
      <c r="AN123" s="28">
        <v>0</v>
      </c>
      <c r="AO123" s="90">
        <v>0</v>
      </c>
      <c r="AP123" s="28">
        <v>0</v>
      </c>
      <c r="AQ123" s="74">
        <v>0</v>
      </c>
      <c r="AR123" s="615">
        <v>10</v>
      </c>
      <c r="AY123" s="651" t="s">
        <v>869</v>
      </c>
      <c r="AZ123" s="74" t="s">
        <v>212</v>
      </c>
      <c r="BA123" s="71" t="s">
        <v>899</v>
      </c>
      <c r="BB123" s="88">
        <f>IFERROR((WSH_P169183[[#This Row],[R]]*9)/WSH_P169183[[#This Row],[IP]],0)</f>
        <v>1.875</v>
      </c>
      <c r="BC123" s="28">
        <v>0</v>
      </c>
      <c r="BD123" s="74">
        <v>1</v>
      </c>
      <c r="BE123" s="28">
        <v>22</v>
      </c>
      <c r="BF123" s="584">
        <v>24</v>
      </c>
      <c r="BG123" s="28">
        <v>13</v>
      </c>
      <c r="BH123" s="28">
        <v>5</v>
      </c>
      <c r="BI123" s="28">
        <v>9</v>
      </c>
      <c r="BJ123" s="28">
        <v>20</v>
      </c>
      <c r="BK123" s="28">
        <v>9</v>
      </c>
      <c r="BL123" s="89">
        <f>IFERROR((WSH_P169183[[#This Row],[BB]]+WSH_P169183[[#This Row],[H]])/WSH_P169183[[#This Row],[IP]],0)</f>
        <v>0.91666666666666663</v>
      </c>
      <c r="BM123" s="28">
        <v>0</v>
      </c>
      <c r="BN123" s="90">
        <v>0</v>
      </c>
      <c r="BO123" s="28">
        <v>0</v>
      </c>
      <c r="BP123" s="74">
        <v>0</v>
      </c>
      <c r="BQ123" s="615">
        <v>10</v>
      </c>
    </row>
    <row r="124" spans="1:73" ht="17" thickBot="1">
      <c r="A124" s="652"/>
      <c r="B124" s="653"/>
      <c r="C124" s="654" t="s">
        <v>195</v>
      </c>
      <c r="D124" s="665">
        <f>(J124*9)/H124</f>
        <v>4.4662493655895785</v>
      </c>
      <c r="E124" s="658">
        <f>SUBTOTAL(109,WSH_P[W])</f>
        <v>13</v>
      </c>
      <c r="F124" s="660">
        <f>SUBTOTAL(109,WSH_P[L])</f>
        <v>27</v>
      </c>
      <c r="G124" s="658"/>
      <c r="H124" s="666">
        <f>SUBTOTAL(109,WSH_P[IP])</f>
        <v>354.66</v>
      </c>
      <c r="I124" s="658">
        <f>SUBTOTAL(109,WSH_P[H])</f>
        <v>375</v>
      </c>
      <c r="J124" s="658">
        <f>SUBTOTAL(109,WSH_P[R])</f>
        <v>176</v>
      </c>
      <c r="K124" s="658">
        <f>SUBTOTAL(109,WSH_P[BB])</f>
        <v>145</v>
      </c>
      <c r="L124" s="658">
        <f>SUBTOTAL(109,WSH_P[K])</f>
        <v>328</v>
      </c>
      <c r="M124" s="658">
        <f>SUBTOTAL(109,WSH_P[SV])</f>
        <v>7</v>
      </c>
      <c r="N124" s="667">
        <f>(K124+I124)/H124</f>
        <v>1.4661929735521344</v>
      </c>
      <c r="O124" s="690">
        <f>SUBTOTAL(109,WSH_P[QS])</f>
        <v>23</v>
      </c>
      <c r="P124" s="669">
        <f>SUBTOTAL(109,WSH_P[UQ])</f>
        <v>10</v>
      </c>
      <c r="Q124" s="670">
        <f>SUBTOTAL(109,WSH_P[CG])</f>
        <v>1</v>
      </c>
      <c r="R124" s="671">
        <f>SUBTOTAL(109,WSH_P[SH])</f>
        <v>0</v>
      </c>
      <c r="S124" s="662"/>
      <c r="Z124" s="652"/>
      <c r="AA124" s="653"/>
      <c r="AB124" s="654" t="s">
        <v>195</v>
      </c>
      <c r="AC124" s="665">
        <f>(AI124*9)/AG124</f>
        <v>3.7156304186276938</v>
      </c>
      <c r="AD124" s="658">
        <f>SUBTOTAL(109,WSH_P169[W])</f>
        <v>18</v>
      </c>
      <c r="AE124" s="660">
        <f>SUBTOTAL(109,WSH_P169[L])</f>
        <v>22</v>
      </c>
      <c r="AF124" s="658"/>
      <c r="AG124" s="666">
        <f>SUBTOTAL(109,WSH_P169[IP])</f>
        <v>363.33</v>
      </c>
      <c r="AH124" s="658">
        <f>SUBTOTAL(109,WSH_P169[H])</f>
        <v>328</v>
      </c>
      <c r="AI124" s="658">
        <f>SUBTOTAL(109,WSH_P169[R])</f>
        <v>150</v>
      </c>
      <c r="AJ124" s="659">
        <f>SUBTOTAL(109,WSH_P169[BB])</f>
        <v>105</v>
      </c>
      <c r="AK124" s="658">
        <f>SUBTOTAL(109,WSH_P169[K])</f>
        <v>364</v>
      </c>
      <c r="AL124" s="658">
        <f>SUBTOTAL(109,WSH_P169[SV])</f>
        <v>9</v>
      </c>
      <c r="AM124" s="667">
        <f>(AJ124+AH124)/AG124</f>
        <v>1.1917540527894752</v>
      </c>
      <c r="AN124" s="690">
        <f>SUBTOTAL(109,WSH_P169[QS])</f>
        <v>25</v>
      </c>
      <c r="AO124" s="669">
        <f>SUBTOTAL(109,WSH_P169[UQ])</f>
        <v>18</v>
      </c>
      <c r="AP124" s="670">
        <f>SUBTOTAL(109,WSH_P169[CG])</f>
        <v>2</v>
      </c>
      <c r="AQ124" s="671">
        <f>SUBTOTAL(109,WSH_P169[SH])</f>
        <v>2</v>
      </c>
      <c r="AR124" s="662"/>
      <c r="AY124" s="652"/>
      <c r="AZ124" s="653"/>
      <c r="BA124" s="654" t="s">
        <v>195</v>
      </c>
      <c r="BB124" s="665">
        <f>IFERROR((BH124*9)/BF124,0)</f>
        <v>3.9269356893140741</v>
      </c>
      <c r="BC124" s="658">
        <f>SUBTOTAL(109,WSH_P169183[W])</f>
        <v>20</v>
      </c>
      <c r="BD124" s="660">
        <f>SUBTOTAL(109,WSH_P169183[L])</f>
        <v>20</v>
      </c>
      <c r="BE124" s="658"/>
      <c r="BF124" s="845">
        <f>SUBTOTAL(109,WSH_P169183[IP])</f>
        <v>368.98999999999995</v>
      </c>
      <c r="BG124" s="658">
        <f>SUBTOTAL(109,WSH_P169183[H])</f>
        <v>350</v>
      </c>
      <c r="BH124" s="658">
        <f>SUBTOTAL(109,WSH_P169183[R])</f>
        <v>161</v>
      </c>
      <c r="BI124" s="658">
        <f>SUBTOTAL(109,WSH_P169183[BB])</f>
        <v>128</v>
      </c>
      <c r="BJ124" s="658">
        <f>SUBTOTAL(109,WSH_P169183[K])</f>
        <v>376</v>
      </c>
      <c r="BK124" s="658">
        <f>SUBTOTAL(109,WSH_P169183[SV])</f>
        <v>9</v>
      </c>
      <c r="BL124" s="667">
        <f>(BI124+BG124)/BF124</f>
        <v>1.2954280603810404</v>
      </c>
      <c r="BM124" s="668">
        <f>SUBTOTAL(109,WSH_P169183[QS])</f>
        <v>29</v>
      </c>
      <c r="BN124" s="846">
        <f>SUM(BN114:BN123)</f>
        <v>20</v>
      </c>
      <c r="BO124" s="839">
        <f>SUM(BO114:BO123)</f>
        <v>6</v>
      </c>
      <c r="BP124" s="671">
        <f>SUM(BP114:BP123)</f>
        <v>4</v>
      </c>
      <c r="BQ124" s="662"/>
    </row>
    <row r="125" spans="1:73" ht="17" thickBot="1"/>
    <row r="126" spans="1:73" ht="24" thickBot="1">
      <c r="A126" s="1015" t="s">
        <v>901</v>
      </c>
      <c r="B126" s="1016"/>
      <c r="C126" s="1016"/>
      <c r="D126" s="1016"/>
      <c r="E126" s="1016"/>
      <c r="F126" s="1016"/>
      <c r="G126" s="1016"/>
      <c r="H126" s="1016"/>
      <c r="I126" s="1016"/>
      <c r="J126" s="1016"/>
      <c r="K126" s="1016"/>
      <c r="L126" s="1016"/>
      <c r="M126" s="1016"/>
      <c r="N126" s="1016"/>
      <c r="O126" s="1016"/>
      <c r="P126" s="1016"/>
      <c r="Q126" s="1016"/>
      <c r="R126" s="1016"/>
      <c r="S126" s="1016"/>
      <c r="T126" s="1016"/>
      <c r="U126" s="1016"/>
      <c r="V126" s="1016"/>
      <c r="W126" s="1017"/>
      <c r="Z126" s="1015" t="s">
        <v>902</v>
      </c>
      <c r="AA126" s="1016"/>
      <c r="AB126" s="1016"/>
      <c r="AC126" s="1016"/>
      <c r="AD126" s="1016"/>
      <c r="AE126" s="1016"/>
      <c r="AF126" s="1016"/>
      <c r="AG126" s="1016"/>
      <c r="AH126" s="1016"/>
      <c r="AI126" s="1016"/>
      <c r="AJ126" s="1016"/>
      <c r="AK126" s="1016"/>
      <c r="AL126" s="1016"/>
      <c r="AM126" s="1016"/>
      <c r="AN126" s="1016"/>
      <c r="AO126" s="1016"/>
      <c r="AP126" s="1016"/>
      <c r="AQ126" s="1016"/>
      <c r="AR126" s="1016"/>
      <c r="AS126" s="1016"/>
      <c r="AT126" s="1016"/>
      <c r="AU126" s="1016"/>
      <c r="AV126" s="1017"/>
      <c r="AY126" s="1015" t="s">
        <v>902</v>
      </c>
      <c r="AZ126" s="1016"/>
      <c r="BA126" s="1016"/>
      <c r="BB126" s="1016"/>
      <c r="BC126" s="1016"/>
      <c r="BD126" s="1016"/>
      <c r="BE126" s="1016"/>
      <c r="BF126" s="1016"/>
      <c r="BG126" s="1016"/>
      <c r="BH126" s="1016"/>
      <c r="BI126" s="1016"/>
      <c r="BJ126" s="1016"/>
      <c r="BK126" s="1016"/>
      <c r="BL126" s="1016"/>
      <c r="BM126" s="1016"/>
      <c r="BN126" s="1016"/>
      <c r="BO126" s="1016"/>
      <c r="BP126" s="1016"/>
      <c r="BQ126" s="1016"/>
      <c r="BR126" s="1016"/>
      <c r="BS126" s="1016"/>
      <c r="BT126" s="1016"/>
      <c r="BU126" s="1017"/>
    </row>
    <row r="127" spans="1:73" s="64" customFormat="1" ht="14" thickBot="1">
      <c r="A127" s="605" t="s">
        <v>143</v>
      </c>
      <c r="B127" s="606" t="s">
        <v>144</v>
      </c>
      <c r="C127" s="606" t="s">
        <v>145</v>
      </c>
      <c r="D127" s="606" t="s">
        <v>146</v>
      </c>
      <c r="E127" s="606" t="s">
        <v>147</v>
      </c>
      <c r="F127" s="606" t="s">
        <v>148</v>
      </c>
      <c r="G127" s="606" t="s">
        <v>149</v>
      </c>
      <c r="H127" s="606" t="s">
        <v>150</v>
      </c>
      <c r="I127" s="606" t="s">
        <v>151</v>
      </c>
      <c r="J127" s="606" t="s">
        <v>152</v>
      </c>
      <c r="K127" s="606" t="s">
        <v>153</v>
      </c>
      <c r="L127" s="606" t="s">
        <v>154</v>
      </c>
      <c r="M127" s="606" t="s">
        <v>155</v>
      </c>
      <c r="N127" s="606" t="s">
        <v>156</v>
      </c>
      <c r="O127" s="606" t="s">
        <v>157</v>
      </c>
      <c r="P127" s="606" t="s">
        <v>158</v>
      </c>
      <c r="Q127" s="606" t="s">
        <v>159</v>
      </c>
      <c r="R127" s="606" t="s">
        <v>160</v>
      </c>
      <c r="S127" s="606" t="s">
        <v>16</v>
      </c>
      <c r="T127" s="606" t="s">
        <v>161</v>
      </c>
      <c r="U127" s="606" t="s">
        <v>162</v>
      </c>
      <c r="V127" s="606" t="s">
        <v>163</v>
      </c>
      <c r="W127" s="607" t="s">
        <v>164</v>
      </c>
      <c r="Z127" s="605" t="s">
        <v>143</v>
      </c>
      <c r="AA127" s="606" t="s">
        <v>144</v>
      </c>
      <c r="AB127" s="606" t="s">
        <v>145</v>
      </c>
      <c r="AC127" s="606" t="s">
        <v>146</v>
      </c>
      <c r="AD127" s="606" t="s">
        <v>147</v>
      </c>
      <c r="AE127" s="606" t="s">
        <v>148</v>
      </c>
      <c r="AF127" s="606" t="s">
        <v>149</v>
      </c>
      <c r="AG127" s="606" t="s">
        <v>150</v>
      </c>
      <c r="AH127" s="606" t="s">
        <v>151</v>
      </c>
      <c r="AI127" s="606" t="s">
        <v>152</v>
      </c>
      <c r="AJ127" s="606" t="s">
        <v>153</v>
      </c>
      <c r="AK127" s="606" t="s">
        <v>154</v>
      </c>
      <c r="AL127" s="606" t="s">
        <v>155</v>
      </c>
      <c r="AM127" s="606" t="s">
        <v>156</v>
      </c>
      <c r="AN127" s="606" t="s">
        <v>157</v>
      </c>
      <c r="AO127" s="606" t="s">
        <v>158</v>
      </c>
      <c r="AP127" s="606" t="s">
        <v>159</v>
      </c>
      <c r="AQ127" s="606" t="s">
        <v>160</v>
      </c>
      <c r="AR127" s="606" t="s">
        <v>16</v>
      </c>
      <c r="AS127" s="606" t="s">
        <v>161</v>
      </c>
      <c r="AT127" s="606" t="s">
        <v>162</v>
      </c>
      <c r="AU127" s="606" t="s">
        <v>163</v>
      </c>
      <c r="AV127" s="607" t="s">
        <v>164</v>
      </c>
      <c r="AY127" s="605" t="s">
        <v>143</v>
      </c>
      <c r="AZ127" s="606" t="s">
        <v>144</v>
      </c>
      <c r="BA127" s="606" t="s">
        <v>145</v>
      </c>
      <c r="BB127" s="606" t="s">
        <v>146</v>
      </c>
      <c r="BC127" s="606" t="s">
        <v>147</v>
      </c>
      <c r="BD127" s="606" t="s">
        <v>148</v>
      </c>
      <c r="BE127" s="606" t="s">
        <v>149</v>
      </c>
      <c r="BF127" s="606" t="s">
        <v>150</v>
      </c>
      <c r="BG127" s="606" t="s">
        <v>151</v>
      </c>
      <c r="BH127" s="606" t="s">
        <v>152</v>
      </c>
      <c r="BI127" s="606" t="s">
        <v>153</v>
      </c>
      <c r="BJ127" s="606" t="s">
        <v>154</v>
      </c>
      <c r="BK127" s="606" t="s">
        <v>155</v>
      </c>
      <c r="BL127" s="606" t="s">
        <v>156</v>
      </c>
      <c r="BM127" s="606" t="s">
        <v>157</v>
      </c>
      <c r="BN127" s="606" t="s">
        <v>158</v>
      </c>
      <c r="BO127" s="606" t="s">
        <v>159</v>
      </c>
      <c r="BP127" s="606" t="s">
        <v>160</v>
      </c>
      <c r="BQ127" s="606" t="s">
        <v>16</v>
      </c>
      <c r="BR127" s="606" t="s">
        <v>161</v>
      </c>
      <c r="BS127" s="606" t="s">
        <v>162</v>
      </c>
      <c r="BT127" s="606" t="s">
        <v>163</v>
      </c>
      <c r="BU127" s="607" t="s">
        <v>164</v>
      </c>
    </row>
    <row r="128" spans="1:73">
      <c r="A128" s="650" t="s">
        <v>903</v>
      </c>
      <c r="B128" s="597" t="s">
        <v>308</v>
      </c>
      <c r="C128" s="597" t="s">
        <v>916</v>
      </c>
      <c r="D128" s="598">
        <f>IFERROR(MIA_H[[#This Row],[H]]/MIA_H[[#This Row],[AB]],0)</f>
        <v>0.30681818181818182</v>
      </c>
      <c r="E128" s="598">
        <f>IFERROR((MIA_H[[#This Row],[H]]+MIA_H[[#This Row],[BB]])/(MIA_H[[#This Row],[BB]]+MIA_H[[#This Row],[AB]]),0)</f>
        <v>0.37755102040816324</v>
      </c>
      <c r="F128" s="599">
        <f>IFERROR(((MIA_H[[#This Row],[H]]-MIA_H[[#This Row],[2B]]-MIA_H[[#This Row],[3B]]-MIA_H[[#This Row],[HR]])+(MIA_H[[#This Row],[2B]]*2)+(MIA_H[[#This Row],[3B]]*3)+(MIA_H[[#This Row],[HR]]*4))/MIA_H[[#This Row],[AB]],0)</f>
        <v>0.43181818181818182</v>
      </c>
      <c r="G128" s="600">
        <v>23</v>
      </c>
      <c r="H128" s="600">
        <v>88</v>
      </c>
      <c r="I128" s="600">
        <v>10</v>
      </c>
      <c r="J128" s="600">
        <v>27</v>
      </c>
      <c r="K128" s="600">
        <v>5</v>
      </c>
      <c r="L128" s="600">
        <v>0</v>
      </c>
      <c r="M128" s="600">
        <v>2</v>
      </c>
      <c r="N128" s="600">
        <v>13</v>
      </c>
      <c r="O128" s="600">
        <v>10</v>
      </c>
      <c r="P128" s="604">
        <v>23</v>
      </c>
      <c r="Q128" s="600">
        <v>0</v>
      </c>
      <c r="R128" s="600">
        <v>6</v>
      </c>
      <c r="S128" s="604">
        <v>6</v>
      </c>
      <c r="T128" s="600">
        <f>IFERROR((MIA_H[[#This Row],[H]]-MIA_H[[#This Row],[2B]]-MIA_H[[#This Row],[3B]]-MIA_H[[#This Row],[HR]])+(MIA_H[[#This Row],[2B]]*2)+(MIA_H[[#This Row],[3B]]*3)+(MIA_H[[#This Row],[HR]]*4),0)</f>
        <v>38</v>
      </c>
      <c r="U128" s="598">
        <f>MIA_H[[#This Row],[OBP]]+MIA_H[[#This Row],[SLG]]</f>
        <v>0.80936920222634501</v>
      </c>
      <c r="V128" s="604">
        <v>2</v>
      </c>
      <c r="W128" s="614">
        <v>1</v>
      </c>
      <c r="Z128" s="650" t="s">
        <v>903</v>
      </c>
      <c r="AA128" s="597" t="s">
        <v>179</v>
      </c>
      <c r="AB128" s="597" t="s">
        <v>915</v>
      </c>
      <c r="AC128" s="598">
        <f>IFERROR(MIA_H166[[#This Row],[H]]/MIA_H166[[#This Row],[AB]],0)</f>
        <v>0.18796992481203006</v>
      </c>
      <c r="AD128" s="598">
        <f>IFERROR((MIA_H166[[#This Row],[H]]+MIA_H166[[#This Row],[BB]])/(MIA_H166[[#This Row],[BB]]+MIA_H166[[#This Row],[AB]]),0)</f>
        <v>0.21167883211678831</v>
      </c>
      <c r="AE128" s="599">
        <f>IFERROR(((MIA_H166[[#This Row],[H]]-MIA_H166[[#This Row],[2B]]-MIA_H166[[#This Row],[3B]]-MIA_H166[[#This Row],[HR]])+(MIA_H166[[#This Row],[2B]]*2)+(MIA_H166[[#This Row],[3B]]*3)+(MIA_H166[[#This Row],[HR]]*4))/MIA_H166[[#This Row],[AB]],0)</f>
        <v>0.22556390977443608</v>
      </c>
      <c r="AF128" s="600">
        <v>38</v>
      </c>
      <c r="AG128" s="600">
        <v>133</v>
      </c>
      <c r="AH128" s="600">
        <v>10</v>
      </c>
      <c r="AI128" s="600">
        <v>25</v>
      </c>
      <c r="AJ128" s="600">
        <v>5</v>
      </c>
      <c r="AK128" s="600">
        <v>0</v>
      </c>
      <c r="AL128" s="600">
        <v>0</v>
      </c>
      <c r="AM128" s="600">
        <v>9</v>
      </c>
      <c r="AN128" s="600">
        <v>4</v>
      </c>
      <c r="AO128" s="604">
        <v>31</v>
      </c>
      <c r="AP128" s="600">
        <v>0</v>
      </c>
      <c r="AQ128" s="600">
        <v>0</v>
      </c>
      <c r="AR128" s="604">
        <v>4</v>
      </c>
      <c r="AS128" s="600">
        <f>IFERROR((MIA_H166[[#This Row],[H]]-MIA_H166[[#This Row],[2B]]-MIA_H166[[#This Row],[3B]]-MIA_H166[[#This Row],[HR]])+(MIA_H166[[#This Row],[2B]]*2)+(MIA_H166[[#This Row],[3B]]*3)+(MIA_H166[[#This Row],[HR]]*4),0)</f>
        <v>30</v>
      </c>
      <c r="AT128" s="598">
        <f>MIA_H166[[#This Row],[OBP]]+MIA_H166[[#This Row],[SLG]]</f>
        <v>0.43724274189122436</v>
      </c>
      <c r="AU128" s="604">
        <v>1</v>
      </c>
      <c r="AV128" s="614">
        <v>1</v>
      </c>
      <c r="AY128" s="650" t="s">
        <v>903</v>
      </c>
      <c r="AZ128" s="597" t="s">
        <v>179</v>
      </c>
      <c r="BA128" s="604" t="s">
        <v>915</v>
      </c>
      <c r="BB128" s="598">
        <f>IFERROR(MIA_H166180[[#This Row],[H]]/MIA_H166180[[#This Row],[AB]],0)</f>
        <v>0.22105263157894736</v>
      </c>
      <c r="BC128" s="598">
        <f>IFERROR((MIA_H166180[[#This Row],[BB]]+MIA_H166180[[#This Row],[H]])/(MIA_H166180[[#This Row],[BB]]+MIA_H166180[[#This Row],[AB]]),0)</f>
        <v>0.31481481481481483</v>
      </c>
      <c r="BD128" s="599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0.3473684210526316</v>
      </c>
      <c r="BE128" s="600">
        <v>29</v>
      </c>
      <c r="BF128" s="600">
        <v>95</v>
      </c>
      <c r="BG128" s="600">
        <v>12</v>
      </c>
      <c r="BH128" s="600">
        <v>21</v>
      </c>
      <c r="BI128" s="600">
        <v>3</v>
      </c>
      <c r="BJ128" s="600">
        <v>0</v>
      </c>
      <c r="BK128" s="600">
        <v>3</v>
      </c>
      <c r="BL128" s="600">
        <v>11</v>
      </c>
      <c r="BM128" s="600">
        <v>13</v>
      </c>
      <c r="BN128" s="604">
        <v>22</v>
      </c>
      <c r="BO128" s="600">
        <v>0</v>
      </c>
      <c r="BP128" s="600">
        <v>1</v>
      </c>
      <c r="BQ128" s="604">
        <v>5</v>
      </c>
      <c r="BR128" s="600">
        <f>(MIA_H166180[[#This Row],[H]]-MIA_H166180[[#This Row],[2B]]-MIA_H166180[[#This Row],[3B]]-MIA_H166180[[#This Row],[HR]])+(MIA_H166180[[#This Row],[2B]]*2)+(MIA_H166180[[#This Row],[3B]]*3)+(MIA_H166180[[#This Row],[HR]]*4)</f>
        <v>33</v>
      </c>
      <c r="BS128" s="598">
        <f>IFERROR(MIA_H166180[[#This Row],[OBP]]+MIA_H166180[[#This Row],[SLG]],0)</f>
        <v>0.66218323586744643</v>
      </c>
      <c r="BT128" s="604">
        <v>0</v>
      </c>
      <c r="BU128" s="614">
        <v>1</v>
      </c>
    </row>
    <row r="129" spans="1:73">
      <c r="A129" s="651" t="s">
        <v>903</v>
      </c>
      <c r="B129" s="71" t="s">
        <v>349</v>
      </c>
      <c r="C129" s="71" t="s">
        <v>909</v>
      </c>
      <c r="D129" s="72">
        <f>IFERROR(MIA_H[[#This Row],[H]]/MIA_H[[#This Row],[AB]],0)</f>
        <v>0.2978723404255319</v>
      </c>
      <c r="E129" s="72">
        <f>IFERROR((MIA_H[[#This Row],[H]]+MIA_H[[#This Row],[BB]])/(MIA_H[[#This Row],[BB]]+MIA_H[[#This Row],[AB]]),0)</f>
        <v>0.34868421052631576</v>
      </c>
      <c r="F129" s="73">
        <f>IFERROR(((MIA_H[[#This Row],[H]]-MIA_H[[#This Row],[2B]]-MIA_H[[#This Row],[3B]]-MIA_H[[#This Row],[HR]])+(MIA_H[[#This Row],[2B]]*2)+(MIA_H[[#This Row],[3B]]*3)+(MIA_H[[#This Row],[HR]]*4))/MIA_H[[#This Row],[AB]],0)</f>
        <v>0.39007092198581561</v>
      </c>
      <c r="G129" s="28">
        <v>40</v>
      </c>
      <c r="H129" s="28">
        <v>141</v>
      </c>
      <c r="I129" s="28">
        <v>12</v>
      </c>
      <c r="J129" s="28">
        <v>42</v>
      </c>
      <c r="K129" s="28">
        <v>6</v>
      </c>
      <c r="L129" s="28">
        <v>2</v>
      </c>
      <c r="M129" s="28">
        <v>1</v>
      </c>
      <c r="N129" s="28">
        <v>16</v>
      </c>
      <c r="O129" s="28">
        <v>11</v>
      </c>
      <c r="P129" s="74">
        <v>49</v>
      </c>
      <c r="Q129" s="28">
        <v>0</v>
      </c>
      <c r="R129" s="28">
        <v>3</v>
      </c>
      <c r="S129" s="74">
        <v>5</v>
      </c>
      <c r="T129" s="28">
        <f>IFERROR((MIA_H[[#This Row],[H]]-MIA_H[[#This Row],[2B]]-MIA_H[[#This Row],[3B]]-MIA_H[[#This Row],[HR]])+(MIA_H[[#This Row],[2B]]*2)+(MIA_H[[#This Row],[3B]]*3)+(MIA_H[[#This Row],[HR]]*4),0)</f>
        <v>55</v>
      </c>
      <c r="U129" s="72">
        <f>MIA_H[[#This Row],[OBP]]+MIA_H[[#This Row],[SLG]]</f>
        <v>0.73875513251213132</v>
      </c>
      <c r="V129" s="74">
        <v>2</v>
      </c>
      <c r="W129" s="615">
        <v>2</v>
      </c>
      <c r="Z129" s="651" t="s">
        <v>903</v>
      </c>
      <c r="AA129" s="71" t="s">
        <v>154</v>
      </c>
      <c r="AB129" s="71" t="s">
        <v>913</v>
      </c>
      <c r="AC129" s="72">
        <f>IFERROR(MIA_H166[[#This Row],[H]]/MIA_H166[[#This Row],[AB]],0)</f>
        <v>0.2032520325203252</v>
      </c>
      <c r="AD129" s="72">
        <f>IFERROR((MIA_H166[[#This Row],[H]]+MIA_H166[[#This Row],[BB]])/(MIA_H166[[#This Row],[BB]]+MIA_H166[[#This Row],[AB]]),0)</f>
        <v>0.25757575757575757</v>
      </c>
      <c r="AE129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0.32520325203252032</v>
      </c>
      <c r="AF129" s="28">
        <v>34</v>
      </c>
      <c r="AG129" s="28">
        <v>123</v>
      </c>
      <c r="AH129" s="28">
        <v>10</v>
      </c>
      <c r="AI129" s="28">
        <v>25</v>
      </c>
      <c r="AJ129" s="28">
        <v>6</v>
      </c>
      <c r="AK129" s="28">
        <v>0</v>
      </c>
      <c r="AL129" s="28">
        <v>3</v>
      </c>
      <c r="AM129" s="28">
        <v>10</v>
      </c>
      <c r="AN129" s="28">
        <v>9</v>
      </c>
      <c r="AO129" s="74">
        <v>40</v>
      </c>
      <c r="AP129" s="28">
        <v>0</v>
      </c>
      <c r="AQ129" s="28">
        <v>2</v>
      </c>
      <c r="AR129" s="74">
        <v>4</v>
      </c>
      <c r="AS129" s="28">
        <f>IFERROR((MIA_H166[[#This Row],[H]]-MIA_H166[[#This Row],[2B]]-MIA_H166[[#This Row],[3B]]-MIA_H166[[#This Row],[HR]])+(MIA_H166[[#This Row],[2B]]*2)+(MIA_H166[[#This Row],[3B]]*3)+(MIA_H166[[#This Row],[HR]]*4),0)</f>
        <v>40</v>
      </c>
      <c r="AT129" s="72">
        <f>MIA_H166[[#This Row],[OBP]]+MIA_H166[[#This Row],[SLG]]</f>
        <v>0.58277900960827789</v>
      </c>
      <c r="AU129" s="74">
        <v>1</v>
      </c>
      <c r="AV129" s="615">
        <v>2</v>
      </c>
      <c r="AY129" s="651" t="s">
        <v>903</v>
      </c>
      <c r="AZ129" s="71" t="s">
        <v>154</v>
      </c>
      <c r="BA129" s="74" t="s">
        <v>913</v>
      </c>
      <c r="BB129" s="72">
        <f>IFERROR(MIA_H166180[[#This Row],[H]]/MIA_H166180[[#This Row],[AB]],0)</f>
        <v>0.19658119658119658</v>
      </c>
      <c r="BC129" s="72">
        <f>IFERROR((MIA_H166180[[#This Row],[BB]]+MIA_H166180[[#This Row],[H]])/(MIA_H166180[[#This Row],[BB]]+MIA_H166180[[#This Row],[AB]]),0)</f>
        <v>0.25984251968503935</v>
      </c>
      <c r="BD129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0.30769230769230771</v>
      </c>
      <c r="BE129" s="28">
        <v>31</v>
      </c>
      <c r="BF129" s="28">
        <v>117</v>
      </c>
      <c r="BG129" s="28">
        <v>13</v>
      </c>
      <c r="BH129" s="28">
        <v>23</v>
      </c>
      <c r="BI129" s="28">
        <v>7</v>
      </c>
      <c r="BJ129" s="28">
        <v>0</v>
      </c>
      <c r="BK129" s="28">
        <v>2</v>
      </c>
      <c r="BL129" s="28">
        <v>7</v>
      </c>
      <c r="BM129" s="28">
        <v>10</v>
      </c>
      <c r="BN129" s="74">
        <v>30</v>
      </c>
      <c r="BO129" s="28">
        <v>0</v>
      </c>
      <c r="BP129" s="28">
        <v>0</v>
      </c>
      <c r="BQ129" s="74">
        <v>5</v>
      </c>
      <c r="BR129" s="28">
        <f>(MIA_H166180[[#This Row],[H]]-MIA_H166180[[#This Row],[2B]]-MIA_H166180[[#This Row],[3B]]-MIA_H166180[[#This Row],[HR]])+(MIA_H166180[[#This Row],[2B]]*2)+(MIA_H166180[[#This Row],[3B]]*3)+(MIA_H166180[[#This Row],[HR]]*4)</f>
        <v>36</v>
      </c>
      <c r="BS129" s="72">
        <f>IFERROR(MIA_H166180[[#This Row],[OBP]]+MIA_H166180[[#This Row],[SLG]],0)</f>
        <v>0.56753482737734706</v>
      </c>
      <c r="BT129" s="74">
        <v>1</v>
      </c>
      <c r="BU129" s="615">
        <v>2</v>
      </c>
    </row>
    <row r="130" spans="1:73">
      <c r="A130" s="651" t="s">
        <v>903</v>
      </c>
      <c r="B130" s="71" t="s">
        <v>235</v>
      </c>
      <c r="C130" s="71" t="s">
        <v>904</v>
      </c>
      <c r="D130" s="72">
        <f>IFERROR(MIA_H[[#This Row],[H]]/MIA_H[[#This Row],[AB]],0)</f>
        <v>0.32934131736526945</v>
      </c>
      <c r="E130" s="72">
        <f>IFERROR((MIA_H[[#This Row],[H]]+MIA_H[[#This Row],[BB]])/(MIA_H[[#This Row],[BB]]+MIA_H[[#This Row],[AB]]),0)</f>
        <v>0.39784946236559138</v>
      </c>
      <c r="F130" s="73">
        <f>IFERROR(((MIA_H[[#This Row],[H]]-MIA_H[[#This Row],[2B]]-MIA_H[[#This Row],[3B]]-MIA_H[[#This Row],[HR]])+(MIA_H[[#This Row],[2B]]*2)+(MIA_H[[#This Row],[3B]]*3)+(MIA_H[[#This Row],[HR]]*4))/MIA_H[[#This Row],[AB]],0)</f>
        <v>0.43712574850299402</v>
      </c>
      <c r="G130" s="28">
        <v>40</v>
      </c>
      <c r="H130" s="28">
        <v>167</v>
      </c>
      <c r="I130" s="28">
        <v>21</v>
      </c>
      <c r="J130" s="28">
        <v>55</v>
      </c>
      <c r="K130" s="28">
        <v>5</v>
      </c>
      <c r="L130" s="76">
        <v>5</v>
      </c>
      <c r="M130" s="28">
        <v>1</v>
      </c>
      <c r="N130" s="28">
        <v>16</v>
      </c>
      <c r="O130" s="28">
        <v>19</v>
      </c>
      <c r="P130" s="74">
        <v>47</v>
      </c>
      <c r="Q130" s="28">
        <v>24</v>
      </c>
      <c r="R130" s="28">
        <v>2</v>
      </c>
      <c r="S130" s="74">
        <v>15</v>
      </c>
      <c r="T130" s="28">
        <f>IFERROR((MIA_H[[#This Row],[H]]-MIA_H[[#This Row],[2B]]-MIA_H[[#This Row],[3B]]-MIA_H[[#This Row],[HR]])+(MIA_H[[#This Row],[2B]]*2)+(MIA_H[[#This Row],[3B]]*3)+(MIA_H[[#This Row],[HR]]*4),0)</f>
        <v>73</v>
      </c>
      <c r="U130" s="72">
        <f>MIA_H[[#This Row],[OBP]]+MIA_H[[#This Row],[SLG]]</f>
        <v>0.83497521086858539</v>
      </c>
      <c r="V130" s="74">
        <v>3</v>
      </c>
      <c r="W130" s="615">
        <v>3</v>
      </c>
      <c r="Z130" s="651" t="s">
        <v>903</v>
      </c>
      <c r="AA130" s="71" t="s">
        <v>172</v>
      </c>
      <c r="AB130" s="71" t="s">
        <v>906</v>
      </c>
      <c r="AC130" s="72">
        <f>IFERROR(MIA_H166[[#This Row],[H]]/MIA_H166[[#This Row],[AB]],0)</f>
        <v>0.21052631578947367</v>
      </c>
      <c r="AD130" s="72">
        <f>IFERROR((MIA_H166[[#This Row],[H]]+MIA_H166[[#This Row],[BB]])/(MIA_H166[[#This Row],[BB]]+MIA_H166[[#This Row],[AB]]),0)</f>
        <v>0.27710843373493976</v>
      </c>
      <c r="AE130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0.23684210526315788</v>
      </c>
      <c r="AF130" s="28">
        <v>23</v>
      </c>
      <c r="AG130" s="28">
        <v>76</v>
      </c>
      <c r="AH130" s="28">
        <v>5</v>
      </c>
      <c r="AI130" s="28">
        <v>16</v>
      </c>
      <c r="AJ130" s="28">
        <v>2</v>
      </c>
      <c r="AK130" s="28">
        <v>0</v>
      </c>
      <c r="AL130" s="28">
        <v>0</v>
      </c>
      <c r="AM130" s="28">
        <v>3</v>
      </c>
      <c r="AN130" s="28">
        <v>7</v>
      </c>
      <c r="AO130" s="74">
        <v>13</v>
      </c>
      <c r="AP130" s="28">
        <v>0</v>
      </c>
      <c r="AQ130" s="28">
        <v>1</v>
      </c>
      <c r="AR130" s="74">
        <v>3</v>
      </c>
      <c r="AS130" s="28">
        <f>IFERROR((MIA_H166[[#This Row],[H]]-MIA_H166[[#This Row],[2B]]-MIA_H166[[#This Row],[3B]]-MIA_H166[[#This Row],[HR]])+(MIA_H166[[#This Row],[2B]]*2)+(MIA_H166[[#This Row],[3B]]*3)+(MIA_H166[[#This Row],[HR]]*4),0)</f>
        <v>18</v>
      </c>
      <c r="AT130" s="72">
        <f>MIA_H166[[#This Row],[OBP]]+MIA_H166[[#This Row],[SLG]]</f>
        <v>0.51395053899809762</v>
      </c>
      <c r="AU130" s="74">
        <v>1</v>
      </c>
      <c r="AV130" s="615">
        <v>3</v>
      </c>
      <c r="AY130" s="651" t="s">
        <v>903</v>
      </c>
      <c r="AZ130" s="71" t="s">
        <v>172</v>
      </c>
      <c r="BA130" s="74" t="s">
        <v>906</v>
      </c>
      <c r="BB130" s="72">
        <f>IFERROR(MIA_H166180[[#This Row],[H]]/MIA_H166180[[#This Row],[AB]],0)</f>
        <v>0.26027397260273971</v>
      </c>
      <c r="BC130" s="72">
        <f>IFERROR((MIA_H166180[[#This Row],[BB]]+MIA_H166180[[#This Row],[H]])/(MIA_H166180[[#This Row],[BB]]+MIA_H166180[[#This Row],[AB]]),0)</f>
        <v>0.29870129870129869</v>
      </c>
      <c r="BD130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0.4863013698630137</v>
      </c>
      <c r="BE130" s="28">
        <v>39</v>
      </c>
      <c r="BF130" s="28">
        <v>146</v>
      </c>
      <c r="BG130" s="28">
        <v>18</v>
      </c>
      <c r="BH130" s="28">
        <v>38</v>
      </c>
      <c r="BI130" s="28">
        <v>9</v>
      </c>
      <c r="BJ130" s="28">
        <v>3</v>
      </c>
      <c r="BK130" s="28">
        <v>6</v>
      </c>
      <c r="BL130" s="28">
        <v>18</v>
      </c>
      <c r="BM130" s="28">
        <v>8</v>
      </c>
      <c r="BN130" s="74">
        <v>24</v>
      </c>
      <c r="BO130" s="28">
        <v>0</v>
      </c>
      <c r="BP130" s="28">
        <v>1</v>
      </c>
      <c r="BQ130" s="74">
        <v>11</v>
      </c>
      <c r="BR130" s="28">
        <f>(MIA_H166180[[#This Row],[H]]-MIA_H166180[[#This Row],[2B]]-MIA_H166180[[#This Row],[3B]]-MIA_H166180[[#This Row],[HR]])+(MIA_H166180[[#This Row],[2B]]*2)+(MIA_H166180[[#This Row],[3B]]*3)+(MIA_H166180[[#This Row],[HR]]*4)</f>
        <v>71</v>
      </c>
      <c r="BS130" s="72">
        <f>IFERROR(MIA_H166180[[#This Row],[OBP]]+MIA_H166180[[#This Row],[SLG]],0)</f>
        <v>0.78500266856431233</v>
      </c>
      <c r="BT130" s="74">
        <v>2</v>
      </c>
      <c r="BU130" s="615">
        <v>3</v>
      </c>
    </row>
    <row r="131" spans="1:73">
      <c r="A131" s="651" t="s">
        <v>903</v>
      </c>
      <c r="B131" s="71" t="s">
        <v>153</v>
      </c>
      <c r="C131" s="71" t="s">
        <v>905</v>
      </c>
      <c r="D131" s="72">
        <f>IFERROR(MIA_H[[#This Row],[H]]/MIA_H[[#This Row],[AB]],0)</f>
        <v>0.25454545454545452</v>
      </c>
      <c r="E131" s="72">
        <f>IFERROR((MIA_H[[#This Row],[H]]+MIA_H[[#This Row],[BB]])/(MIA_H[[#This Row],[BB]]+MIA_H[[#This Row],[AB]]),0)</f>
        <v>0.31666666666666665</v>
      </c>
      <c r="F131" s="73">
        <f>IFERROR(((MIA_H[[#This Row],[H]]-MIA_H[[#This Row],[2B]]-MIA_H[[#This Row],[3B]]-MIA_H[[#This Row],[HR]])+(MIA_H[[#This Row],[2B]]*2)+(MIA_H[[#This Row],[3B]]*3)+(MIA_H[[#This Row],[HR]]*4))/MIA_H[[#This Row],[AB]],0)</f>
        <v>0.43636363636363634</v>
      </c>
      <c r="G131" s="28">
        <v>40</v>
      </c>
      <c r="H131" s="28">
        <v>165</v>
      </c>
      <c r="I131" s="28">
        <v>20</v>
      </c>
      <c r="J131" s="28">
        <v>42</v>
      </c>
      <c r="K131" s="28">
        <v>7</v>
      </c>
      <c r="L131" s="28">
        <v>1</v>
      </c>
      <c r="M131" s="28">
        <v>7</v>
      </c>
      <c r="N131" s="28">
        <v>25</v>
      </c>
      <c r="O131" s="28">
        <v>15</v>
      </c>
      <c r="P131" s="104">
        <v>63</v>
      </c>
      <c r="Q131" s="28">
        <v>10</v>
      </c>
      <c r="R131" s="28">
        <v>3</v>
      </c>
      <c r="S131" s="74">
        <v>6</v>
      </c>
      <c r="T131" s="28">
        <f>IFERROR((MIA_H[[#This Row],[H]]-MIA_H[[#This Row],[2B]]-MIA_H[[#This Row],[3B]]-MIA_H[[#This Row],[HR]])+(MIA_H[[#This Row],[2B]]*2)+(MIA_H[[#This Row],[3B]]*3)+(MIA_H[[#This Row],[HR]]*4),0)</f>
        <v>72</v>
      </c>
      <c r="U131" s="72">
        <f>MIA_H[[#This Row],[OBP]]+MIA_H[[#This Row],[SLG]]</f>
        <v>0.75303030303030294</v>
      </c>
      <c r="V131" s="74">
        <v>3</v>
      </c>
      <c r="W131" s="615">
        <v>4</v>
      </c>
      <c r="Z131" s="651" t="s">
        <v>903</v>
      </c>
      <c r="AA131" s="71" t="s">
        <v>153</v>
      </c>
      <c r="AB131" s="71" t="s">
        <v>438</v>
      </c>
      <c r="AC131" s="72">
        <f>IFERROR(MIA_H166[[#This Row],[H]]/MIA_H166[[#This Row],[AB]],0)</f>
        <v>0.28658536585365851</v>
      </c>
      <c r="AD131" s="72">
        <f>IFERROR((MIA_H166[[#This Row],[H]]+MIA_H166[[#This Row],[BB]])/(MIA_H166[[#This Row],[BB]]+MIA_H166[[#This Row],[AB]]),0)</f>
        <v>0.34269662921348315</v>
      </c>
      <c r="AE131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0.40243902439024393</v>
      </c>
      <c r="AF131" s="28">
        <v>40</v>
      </c>
      <c r="AG131" s="28">
        <v>164</v>
      </c>
      <c r="AH131" s="28">
        <v>22</v>
      </c>
      <c r="AI131" s="28">
        <v>47</v>
      </c>
      <c r="AJ131" s="28">
        <v>14</v>
      </c>
      <c r="AK131" s="28">
        <v>1</v>
      </c>
      <c r="AL131" s="28">
        <v>1</v>
      </c>
      <c r="AM131" s="28">
        <v>13</v>
      </c>
      <c r="AN131" s="28">
        <v>14</v>
      </c>
      <c r="AO131" s="74">
        <v>21</v>
      </c>
      <c r="AP131" s="28">
        <v>0</v>
      </c>
      <c r="AQ131" s="28">
        <v>2</v>
      </c>
      <c r="AR131" s="74">
        <v>12</v>
      </c>
      <c r="AS131" s="28">
        <f>IFERROR((MIA_H166[[#This Row],[H]]-MIA_H166[[#This Row],[2B]]-MIA_H166[[#This Row],[3B]]-MIA_H166[[#This Row],[HR]])+(MIA_H166[[#This Row],[2B]]*2)+(MIA_H166[[#This Row],[3B]]*3)+(MIA_H166[[#This Row],[HR]]*4),0)</f>
        <v>66</v>
      </c>
      <c r="AT131" s="72">
        <f>MIA_H166[[#This Row],[OBP]]+MIA_H166[[#This Row],[SLG]]</f>
        <v>0.74513565360372702</v>
      </c>
      <c r="AU131" s="74">
        <v>2</v>
      </c>
      <c r="AV131" s="615">
        <v>4</v>
      </c>
      <c r="AY131" s="651" t="s">
        <v>903</v>
      </c>
      <c r="AZ131" s="71" t="s">
        <v>153</v>
      </c>
      <c r="BA131" s="74" t="s">
        <v>905</v>
      </c>
      <c r="BB131" s="72">
        <f>IFERROR(MIA_H166180[[#This Row],[H]]/MIA_H166180[[#This Row],[AB]],0)</f>
        <v>0.30827067669172931</v>
      </c>
      <c r="BC131" s="72">
        <f>IFERROR((MIA_H166180[[#This Row],[BB]]+MIA_H166180[[#This Row],[H]])/(MIA_H166180[[#This Row],[BB]]+MIA_H166180[[#This Row],[AB]]),0)</f>
        <v>0.35664335664335667</v>
      </c>
      <c r="BD131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0.42857142857142855</v>
      </c>
      <c r="BE131" s="28">
        <v>36</v>
      </c>
      <c r="BF131" s="28">
        <v>133</v>
      </c>
      <c r="BG131" s="28">
        <v>11</v>
      </c>
      <c r="BH131" s="28">
        <v>41</v>
      </c>
      <c r="BI131" s="28">
        <v>4</v>
      </c>
      <c r="BJ131" s="28">
        <v>0</v>
      </c>
      <c r="BK131" s="28">
        <v>4</v>
      </c>
      <c r="BL131" s="28">
        <v>23</v>
      </c>
      <c r="BM131" s="28">
        <v>10</v>
      </c>
      <c r="BN131" s="74">
        <v>32</v>
      </c>
      <c r="BO131" s="28">
        <v>14</v>
      </c>
      <c r="BP131" s="28">
        <v>4</v>
      </c>
      <c r="BQ131" s="74">
        <v>6</v>
      </c>
      <c r="BR131" s="28">
        <f>(MIA_H166180[[#This Row],[H]]-MIA_H166180[[#This Row],[2B]]-MIA_H166180[[#This Row],[3B]]-MIA_H166180[[#This Row],[HR]])+(MIA_H166180[[#This Row],[2B]]*2)+(MIA_H166180[[#This Row],[3B]]*3)+(MIA_H166180[[#This Row],[HR]]*4)</f>
        <v>57</v>
      </c>
      <c r="BS131" s="72">
        <f>IFERROR(MIA_H166180[[#This Row],[OBP]]+MIA_H166180[[#This Row],[SLG]],0)</f>
        <v>0.78521478521478527</v>
      </c>
      <c r="BT131" s="74">
        <v>3</v>
      </c>
      <c r="BU131" s="615">
        <v>4</v>
      </c>
    </row>
    <row r="132" spans="1:73">
      <c r="A132" s="651" t="s">
        <v>903</v>
      </c>
      <c r="B132" s="71" t="s">
        <v>177</v>
      </c>
      <c r="C132" s="71" t="s">
        <v>438</v>
      </c>
      <c r="D132" s="72">
        <f>IFERROR(MIA_H[[#This Row],[H]]/MIA_H[[#This Row],[AB]],0)</f>
        <v>0.34567901234567899</v>
      </c>
      <c r="E132" s="72">
        <f>IFERROR((MIA_H[[#This Row],[H]]+MIA_H[[#This Row],[BB]])/(MIA_H[[#This Row],[BB]]+MIA_H[[#This Row],[AB]]),0)</f>
        <v>0.4044943820224719</v>
      </c>
      <c r="F132" s="73">
        <f>IFERROR(((MIA_H[[#This Row],[H]]-MIA_H[[#This Row],[2B]]-MIA_H[[#This Row],[3B]]-MIA_H[[#This Row],[HR]])+(MIA_H[[#This Row],[2B]]*2)+(MIA_H[[#This Row],[3B]]*3)+(MIA_H[[#This Row],[HR]]*4))/MIA_H[[#This Row],[AB]],0)</f>
        <v>0.45061728395061729</v>
      </c>
      <c r="G132" s="28">
        <v>40</v>
      </c>
      <c r="H132" s="28">
        <v>162</v>
      </c>
      <c r="I132" s="28">
        <v>21</v>
      </c>
      <c r="J132" s="28">
        <v>56</v>
      </c>
      <c r="K132" s="28">
        <v>14</v>
      </c>
      <c r="L132" s="28">
        <v>0</v>
      </c>
      <c r="M132" s="28">
        <v>1</v>
      </c>
      <c r="N132" s="28">
        <v>24</v>
      </c>
      <c r="O132" s="28">
        <v>16</v>
      </c>
      <c r="P132" s="74">
        <v>33</v>
      </c>
      <c r="Q132" s="28">
        <v>0</v>
      </c>
      <c r="R132" s="28">
        <v>3</v>
      </c>
      <c r="S132" s="74">
        <v>10</v>
      </c>
      <c r="T132" s="28">
        <f>IFERROR((MIA_H[[#This Row],[H]]-MIA_H[[#This Row],[2B]]-MIA_H[[#This Row],[3B]]-MIA_H[[#This Row],[HR]])+(MIA_H[[#This Row],[2B]]*2)+(MIA_H[[#This Row],[3B]]*3)+(MIA_H[[#This Row],[HR]]*4),0)</f>
        <v>73</v>
      </c>
      <c r="U132" s="72">
        <f>MIA_H[[#This Row],[OBP]]+MIA_H[[#This Row],[SLG]]</f>
        <v>0.85511166597308919</v>
      </c>
      <c r="V132" s="74">
        <v>2</v>
      </c>
      <c r="W132" s="615">
        <v>5</v>
      </c>
      <c r="Z132" s="651" t="s">
        <v>903</v>
      </c>
      <c r="AA132" s="71" t="s">
        <v>177</v>
      </c>
      <c r="AB132" s="71" t="s">
        <v>908</v>
      </c>
      <c r="AC132" s="72">
        <f>IFERROR(MIA_H166[[#This Row],[H]]/MIA_H166[[#This Row],[AB]],0)</f>
        <v>0.21678321678321677</v>
      </c>
      <c r="AD132" s="72">
        <f>IFERROR((MIA_H166[[#This Row],[H]]+MIA_H166[[#This Row],[BB]])/(MIA_H166[[#This Row],[BB]]+MIA_H166[[#This Row],[AB]]),0)</f>
        <v>0.26315789473684209</v>
      </c>
      <c r="AE132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0.37062937062937062</v>
      </c>
      <c r="AF132" s="28">
        <v>38</v>
      </c>
      <c r="AG132" s="28">
        <v>143</v>
      </c>
      <c r="AH132" s="28">
        <v>12</v>
      </c>
      <c r="AI132" s="28">
        <v>31</v>
      </c>
      <c r="AJ132" s="28">
        <v>4</v>
      </c>
      <c r="AK132" s="28">
        <v>0</v>
      </c>
      <c r="AL132" s="28">
        <v>6</v>
      </c>
      <c r="AM132" s="28">
        <v>12</v>
      </c>
      <c r="AN132" s="28">
        <v>9</v>
      </c>
      <c r="AO132" s="74">
        <v>43</v>
      </c>
      <c r="AP132" s="28">
        <v>0</v>
      </c>
      <c r="AQ132" s="28">
        <v>0</v>
      </c>
      <c r="AR132" s="74">
        <v>5</v>
      </c>
      <c r="AS132" s="28">
        <f>IFERROR((MIA_H166[[#This Row],[H]]-MIA_H166[[#This Row],[2B]]-MIA_H166[[#This Row],[3B]]-MIA_H166[[#This Row],[HR]])+(MIA_H166[[#This Row],[2B]]*2)+(MIA_H166[[#This Row],[3B]]*3)+(MIA_H166[[#This Row],[HR]]*4),0)</f>
        <v>53</v>
      </c>
      <c r="AT132" s="72">
        <f>MIA_H166[[#This Row],[OBP]]+MIA_H166[[#This Row],[SLG]]</f>
        <v>0.63378726536621266</v>
      </c>
      <c r="AU132" s="74">
        <v>0</v>
      </c>
      <c r="AV132" s="615">
        <v>5</v>
      </c>
      <c r="AY132" s="651" t="s">
        <v>903</v>
      </c>
      <c r="AZ132" s="71" t="s">
        <v>177</v>
      </c>
      <c r="BA132" s="74" t="s">
        <v>908</v>
      </c>
      <c r="BB132" s="72">
        <f>IFERROR(MIA_H166180[[#This Row],[H]]/MIA_H166180[[#This Row],[AB]],0)</f>
        <v>0.18439716312056736</v>
      </c>
      <c r="BC132" s="72">
        <f>IFERROR((MIA_H166180[[#This Row],[BB]]+MIA_H166180[[#This Row],[H]])/(MIA_H166180[[#This Row],[BB]]+MIA_H166180[[#This Row],[AB]]),0)</f>
        <v>0.27215189873417722</v>
      </c>
      <c r="BD132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0.31205673758865249</v>
      </c>
      <c r="BE132" s="28">
        <v>37</v>
      </c>
      <c r="BF132" s="28">
        <v>141</v>
      </c>
      <c r="BG132" s="28">
        <v>11</v>
      </c>
      <c r="BH132" s="28">
        <v>26</v>
      </c>
      <c r="BI132" s="28">
        <v>6</v>
      </c>
      <c r="BJ132" s="28">
        <v>0</v>
      </c>
      <c r="BK132" s="28">
        <v>4</v>
      </c>
      <c r="BL132" s="28">
        <v>11</v>
      </c>
      <c r="BM132" s="28">
        <v>17</v>
      </c>
      <c r="BN132" s="74">
        <v>41</v>
      </c>
      <c r="BO132" s="28">
        <v>0</v>
      </c>
      <c r="BP132" s="28">
        <v>0</v>
      </c>
      <c r="BQ132" s="74">
        <v>4</v>
      </c>
      <c r="BR132" s="28">
        <f>(MIA_H166180[[#This Row],[H]]-MIA_H166180[[#This Row],[2B]]-MIA_H166180[[#This Row],[3B]]-MIA_H166180[[#This Row],[HR]])+(MIA_H166180[[#This Row],[2B]]*2)+(MIA_H166180[[#This Row],[3B]]*3)+(MIA_H166180[[#This Row],[HR]]*4)</f>
        <v>44</v>
      </c>
      <c r="BS132" s="72">
        <f>IFERROR(MIA_H166180[[#This Row],[OBP]]+MIA_H166180[[#This Row],[SLG]],0)</f>
        <v>0.58420863632282971</v>
      </c>
      <c r="BT132" s="74">
        <v>2</v>
      </c>
      <c r="BU132" s="615">
        <v>5</v>
      </c>
    </row>
    <row r="133" spans="1:73">
      <c r="A133" s="651" t="s">
        <v>903</v>
      </c>
      <c r="B133" s="71" t="s">
        <v>234</v>
      </c>
      <c r="C133" s="71" t="s">
        <v>912</v>
      </c>
      <c r="D133" s="72">
        <f>IFERROR(MIA_H[[#This Row],[H]]/MIA_H[[#This Row],[AB]],0)</f>
        <v>0.2857142857142857</v>
      </c>
      <c r="E133" s="72">
        <f>IFERROR((MIA_H[[#This Row],[H]]+MIA_H[[#This Row],[BB]])/(MIA_H[[#This Row],[BB]]+MIA_H[[#This Row],[AB]]),0)</f>
        <v>0.378698224852071</v>
      </c>
      <c r="F133" s="73">
        <f>IFERROR(((MIA_H[[#This Row],[H]]-MIA_H[[#This Row],[2B]]-MIA_H[[#This Row],[3B]]-MIA_H[[#This Row],[HR]])+(MIA_H[[#This Row],[2B]]*2)+(MIA_H[[#This Row],[3B]]*3)+(MIA_H[[#This Row],[HR]]*4))/MIA_H[[#This Row],[AB]],0)</f>
        <v>0.33333333333333331</v>
      </c>
      <c r="G133" s="28">
        <v>40</v>
      </c>
      <c r="H133" s="28">
        <v>147</v>
      </c>
      <c r="I133" s="28">
        <v>14</v>
      </c>
      <c r="J133" s="28">
        <v>42</v>
      </c>
      <c r="K133" s="28">
        <v>4</v>
      </c>
      <c r="L133" s="28">
        <v>0</v>
      </c>
      <c r="M133" s="28">
        <v>1</v>
      </c>
      <c r="N133" s="28">
        <v>10</v>
      </c>
      <c r="O133" s="28">
        <v>22</v>
      </c>
      <c r="P133" s="74">
        <v>44</v>
      </c>
      <c r="Q133" s="28">
        <v>0</v>
      </c>
      <c r="R133" s="28">
        <v>2</v>
      </c>
      <c r="S133" s="74">
        <v>12</v>
      </c>
      <c r="T133" s="28">
        <f>IFERROR((MIA_H[[#This Row],[H]]-MIA_H[[#This Row],[2B]]-MIA_H[[#This Row],[3B]]-MIA_H[[#This Row],[HR]])+(MIA_H[[#This Row],[2B]]*2)+(MIA_H[[#This Row],[3B]]*3)+(MIA_H[[#This Row],[HR]]*4),0)</f>
        <v>49</v>
      </c>
      <c r="U133" s="72">
        <f>MIA_H[[#This Row],[OBP]]+MIA_H[[#This Row],[SLG]]</f>
        <v>0.71203155818540431</v>
      </c>
      <c r="V133" s="74">
        <v>0</v>
      </c>
      <c r="W133" s="615">
        <v>6</v>
      </c>
      <c r="Z133" s="651" t="s">
        <v>903</v>
      </c>
      <c r="AA133" s="71" t="s">
        <v>174</v>
      </c>
      <c r="AB133" s="71" t="s">
        <v>910</v>
      </c>
      <c r="AC133" s="72">
        <f>IFERROR(MIA_H166[[#This Row],[H]]/MIA_H166[[#This Row],[AB]],0)</f>
        <v>0.2</v>
      </c>
      <c r="AD133" s="72">
        <f>IFERROR((MIA_H166[[#This Row],[H]]+MIA_H166[[#This Row],[BB]])/(MIA_H166[[#This Row],[BB]]+MIA_H166[[#This Row],[AB]]),0)</f>
        <v>0.30864197530864196</v>
      </c>
      <c r="AE133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0.30714285714285716</v>
      </c>
      <c r="AF133" s="28">
        <v>40</v>
      </c>
      <c r="AG133" s="28">
        <v>140</v>
      </c>
      <c r="AH133" s="28">
        <v>10</v>
      </c>
      <c r="AI133" s="28">
        <v>28</v>
      </c>
      <c r="AJ133" s="28">
        <v>6</v>
      </c>
      <c r="AK133" s="28">
        <v>0</v>
      </c>
      <c r="AL133" s="28">
        <v>3</v>
      </c>
      <c r="AM133" s="28">
        <v>16</v>
      </c>
      <c r="AN133" s="28">
        <v>22</v>
      </c>
      <c r="AO133" s="74">
        <v>31</v>
      </c>
      <c r="AP133" s="28">
        <v>0</v>
      </c>
      <c r="AQ133" s="28">
        <v>1</v>
      </c>
      <c r="AR133" s="74">
        <v>7</v>
      </c>
      <c r="AS133" s="28">
        <f>IFERROR((MIA_H166[[#This Row],[H]]-MIA_H166[[#This Row],[2B]]-MIA_H166[[#This Row],[3B]]-MIA_H166[[#This Row],[HR]])+(MIA_H166[[#This Row],[2B]]*2)+(MIA_H166[[#This Row],[3B]]*3)+(MIA_H166[[#This Row],[HR]]*4),0)</f>
        <v>43</v>
      </c>
      <c r="AT133" s="72">
        <f>MIA_H166[[#This Row],[OBP]]+MIA_H166[[#This Row],[SLG]]</f>
        <v>0.61578483245149918</v>
      </c>
      <c r="AU133" s="74">
        <v>3</v>
      </c>
      <c r="AV133" s="615">
        <v>6</v>
      </c>
      <c r="AY133" s="651" t="s">
        <v>903</v>
      </c>
      <c r="AZ133" s="71" t="s">
        <v>174</v>
      </c>
      <c r="BA133" s="74" t="s">
        <v>907</v>
      </c>
      <c r="BB133" s="72">
        <f>IFERROR(MIA_H166180[[#This Row],[H]]/MIA_H166180[[#This Row],[AB]],0)</f>
        <v>0.2890625</v>
      </c>
      <c r="BC133" s="72">
        <f>IFERROR((MIA_H166180[[#This Row],[BB]]+MIA_H166180[[#This Row],[H]])/(MIA_H166180[[#This Row],[BB]]+MIA_H166180[[#This Row],[AB]]),0)</f>
        <v>0.36363636363636365</v>
      </c>
      <c r="BD133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0.4296875</v>
      </c>
      <c r="BE133" s="28">
        <v>33</v>
      </c>
      <c r="BF133" s="28">
        <v>128</v>
      </c>
      <c r="BG133" s="28">
        <v>20</v>
      </c>
      <c r="BH133" s="28">
        <v>37</v>
      </c>
      <c r="BI133" s="28">
        <v>6</v>
      </c>
      <c r="BJ133" s="28">
        <v>0</v>
      </c>
      <c r="BK133" s="28">
        <v>4</v>
      </c>
      <c r="BL133" s="28">
        <v>17</v>
      </c>
      <c r="BM133" s="28">
        <v>15</v>
      </c>
      <c r="BN133" s="74">
        <v>36</v>
      </c>
      <c r="BO133" s="28">
        <v>16</v>
      </c>
      <c r="BP133" s="28">
        <v>0</v>
      </c>
      <c r="BQ133" s="74">
        <v>5</v>
      </c>
      <c r="BR133" s="28">
        <f>(MIA_H166180[[#This Row],[H]]-MIA_H166180[[#This Row],[2B]]-MIA_H166180[[#This Row],[3B]]-MIA_H166180[[#This Row],[HR]])+(MIA_H166180[[#This Row],[2B]]*2)+(MIA_H166180[[#This Row],[3B]]*3)+(MIA_H166180[[#This Row],[HR]]*4)</f>
        <v>55</v>
      </c>
      <c r="BS133" s="72">
        <f>IFERROR(MIA_H166180[[#This Row],[OBP]]+MIA_H166180[[#This Row],[SLG]],0)</f>
        <v>0.79332386363636365</v>
      </c>
      <c r="BT133" s="74">
        <v>4</v>
      </c>
      <c r="BU133" s="615">
        <v>6</v>
      </c>
    </row>
    <row r="134" spans="1:73">
      <c r="A134" s="651" t="s">
        <v>903</v>
      </c>
      <c r="B134" s="71" t="s">
        <v>181</v>
      </c>
      <c r="C134" s="71" t="s">
        <v>914</v>
      </c>
      <c r="D134" s="72">
        <f>IFERROR(MIA_H[[#This Row],[H]]/MIA_H[[#This Row],[AB]],0)</f>
        <v>0.21830985915492956</v>
      </c>
      <c r="E134" s="72">
        <f>IFERROR((MIA_H[[#This Row],[H]]+MIA_H[[#This Row],[BB]])/(MIA_H[[#This Row],[BB]]+MIA_H[[#This Row],[AB]]),0)</f>
        <v>0.29746835443037972</v>
      </c>
      <c r="F134" s="73">
        <f>IFERROR(((MIA_H[[#This Row],[H]]-MIA_H[[#This Row],[2B]]-MIA_H[[#This Row],[3B]]-MIA_H[[#This Row],[HR]])+(MIA_H[[#This Row],[2B]]*2)+(MIA_H[[#This Row],[3B]]*3)+(MIA_H[[#This Row],[HR]]*4))/MIA_H[[#This Row],[AB]],0)</f>
        <v>0.3380281690140845</v>
      </c>
      <c r="G134" s="28">
        <v>38</v>
      </c>
      <c r="H134" s="28">
        <v>142</v>
      </c>
      <c r="I134" s="28">
        <v>19</v>
      </c>
      <c r="J134" s="28">
        <v>31</v>
      </c>
      <c r="K134" s="28">
        <v>7</v>
      </c>
      <c r="L134" s="28">
        <v>2</v>
      </c>
      <c r="M134" s="28">
        <v>2</v>
      </c>
      <c r="N134" s="28">
        <v>11</v>
      </c>
      <c r="O134" s="28">
        <v>16</v>
      </c>
      <c r="P134" s="74">
        <v>52</v>
      </c>
      <c r="Q134" s="28">
        <v>0</v>
      </c>
      <c r="R134" s="28">
        <v>7</v>
      </c>
      <c r="S134" s="74">
        <v>7</v>
      </c>
      <c r="T134" s="28">
        <f>IFERROR((MIA_H[[#This Row],[H]]-MIA_H[[#This Row],[2B]]-MIA_H[[#This Row],[3B]]-MIA_H[[#This Row],[HR]])+(MIA_H[[#This Row],[2B]]*2)+(MIA_H[[#This Row],[3B]]*3)+(MIA_H[[#This Row],[HR]]*4),0)</f>
        <v>48</v>
      </c>
      <c r="U134" s="72">
        <f>MIA_H[[#This Row],[OBP]]+MIA_H[[#This Row],[SLG]]</f>
        <v>0.63549652344446428</v>
      </c>
      <c r="V134" s="74">
        <v>0</v>
      </c>
      <c r="W134" s="615">
        <v>7</v>
      </c>
      <c r="Z134" s="651" t="s">
        <v>903</v>
      </c>
      <c r="AA134" s="71" t="s">
        <v>181</v>
      </c>
      <c r="AB134" s="71" t="s">
        <v>905</v>
      </c>
      <c r="AC134" s="72">
        <f>IFERROR(MIA_H166[[#This Row],[H]]/MIA_H166[[#This Row],[AB]],0)</f>
        <v>0.25</v>
      </c>
      <c r="AD134" s="72">
        <f>IFERROR((MIA_H166[[#This Row],[H]]+MIA_H166[[#This Row],[BB]])/(MIA_H166[[#This Row],[BB]]+MIA_H166[[#This Row],[AB]]),0)</f>
        <v>0.33720930232558138</v>
      </c>
      <c r="AE134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0.44736842105263158</v>
      </c>
      <c r="AF134" s="28">
        <v>40</v>
      </c>
      <c r="AG134" s="28">
        <v>152</v>
      </c>
      <c r="AH134" s="28">
        <v>20</v>
      </c>
      <c r="AI134" s="28">
        <v>38</v>
      </c>
      <c r="AJ134" s="28">
        <v>9</v>
      </c>
      <c r="AK134" s="28">
        <v>0</v>
      </c>
      <c r="AL134" s="28">
        <v>7</v>
      </c>
      <c r="AM134" s="28">
        <v>28</v>
      </c>
      <c r="AN134" s="28">
        <v>20</v>
      </c>
      <c r="AO134" s="74">
        <v>47</v>
      </c>
      <c r="AP134" s="28">
        <v>6</v>
      </c>
      <c r="AQ134" s="28">
        <v>2</v>
      </c>
      <c r="AR134" s="74">
        <v>8</v>
      </c>
      <c r="AS134" s="28">
        <f>IFERROR((MIA_H166[[#This Row],[H]]-MIA_H166[[#This Row],[2B]]-MIA_H166[[#This Row],[3B]]-MIA_H166[[#This Row],[HR]])+(MIA_H166[[#This Row],[2B]]*2)+(MIA_H166[[#This Row],[3B]]*3)+(MIA_H166[[#This Row],[HR]]*4),0)</f>
        <v>68</v>
      </c>
      <c r="AT134" s="72">
        <f>MIA_H166[[#This Row],[OBP]]+MIA_H166[[#This Row],[SLG]]</f>
        <v>0.78457772337821297</v>
      </c>
      <c r="AU134" s="74">
        <v>5</v>
      </c>
      <c r="AV134" s="615">
        <v>7</v>
      </c>
      <c r="AY134" s="651" t="s">
        <v>903</v>
      </c>
      <c r="AZ134" s="71" t="s">
        <v>383</v>
      </c>
      <c r="BA134" s="74" t="s">
        <v>914</v>
      </c>
      <c r="BB134" s="72">
        <f>IFERROR(MIA_H166180[[#This Row],[H]]/MIA_H166180[[#This Row],[AB]],0)</f>
        <v>0.20143884892086331</v>
      </c>
      <c r="BC134" s="72">
        <f>IFERROR((MIA_H166180[[#This Row],[BB]]+MIA_H166180[[#This Row],[H]])/(MIA_H166180[[#This Row],[BB]]+MIA_H166180[[#This Row],[AB]]),0)</f>
        <v>0.24489795918367346</v>
      </c>
      <c r="BD134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0.34532374100719426</v>
      </c>
      <c r="BE134" s="28">
        <v>36</v>
      </c>
      <c r="BF134" s="28">
        <v>139</v>
      </c>
      <c r="BG134" s="28">
        <v>9</v>
      </c>
      <c r="BH134" s="28">
        <v>28</v>
      </c>
      <c r="BI134" s="28">
        <v>4</v>
      </c>
      <c r="BJ134" s="28">
        <v>2</v>
      </c>
      <c r="BK134" s="28">
        <v>4</v>
      </c>
      <c r="BL134" s="28">
        <v>18</v>
      </c>
      <c r="BM134" s="28">
        <v>8</v>
      </c>
      <c r="BN134" s="74">
        <v>44</v>
      </c>
      <c r="BO134" s="28">
        <v>0</v>
      </c>
      <c r="BP134" s="28">
        <v>1</v>
      </c>
      <c r="BQ134" s="74">
        <v>6</v>
      </c>
      <c r="BR134" s="28">
        <f>(MIA_H166180[[#This Row],[H]]-MIA_H166180[[#This Row],[2B]]-MIA_H166180[[#This Row],[3B]]-MIA_H166180[[#This Row],[HR]])+(MIA_H166180[[#This Row],[2B]]*2)+(MIA_H166180[[#This Row],[3B]]*3)+(MIA_H166180[[#This Row],[HR]]*4)</f>
        <v>48</v>
      </c>
      <c r="BS134" s="72">
        <f>IFERROR(MIA_H166180[[#This Row],[OBP]]+MIA_H166180[[#This Row],[SLG]],0)</f>
        <v>0.59022170019086773</v>
      </c>
      <c r="BT134" s="74">
        <v>1</v>
      </c>
      <c r="BU134" s="615">
        <v>7</v>
      </c>
    </row>
    <row r="135" spans="1:73">
      <c r="A135" s="651" t="s">
        <v>903</v>
      </c>
      <c r="B135" s="71" t="s">
        <v>166</v>
      </c>
      <c r="C135" s="71" t="s">
        <v>2172</v>
      </c>
      <c r="D135" s="72">
        <f>IFERROR(MIA_H[[#This Row],[H]]/MIA_H[[#This Row],[AB]],0)</f>
        <v>0.26946107784431139</v>
      </c>
      <c r="E135" s="72">
        <f>IFERROR((MIA_H[[#This Row],[H]]+MIA_H[[#This Row],[BB]])/(MIA_H[[#This Row],[BB]]+MIA_H[[#This Row],[AB]]),0)</f>
        <v>0.3146067415730337</v>
      </c>
      <c r="F135" s="73">
        <f>IFERROR(((MIA_H[[#This Row],[H]]-MIA_H[[#This Row],[2B]]-MIA_H[[#This Row],[3B]]-MIA_H[[#This Row],[HR]])+(MIA_H[[#This Row],[2B]]*2)+(MIA_H[[#This Row],[3B]]*3)+(MIA_H[[#This Row],[HR]]*4))/MIA_H[[#This Row],[AB]],0)</f>
        <v>0.3413173652694611</v>
      </c>
      <c r="G135" s="28">
        <v>37</v>
      </c>
      <c r="H135" s="28">
        <v>167</v>
      </c>
      <c r="I135" s="28">
        <v>18</v>
      </c>
      <c r="J135" s="28">
        <v>45</v>
      </c>
      <c r="K135" s="28">
        <v>10</v>
      </c>
      <c r="L135" s="28">
        <v>1</v>
      </c>
      <c r="M135" s="28">
        <v>0</v>
      </c>
      <c r="N135" s="28">
        <v>18</v>
      </c>
      <c r="O135" s="28">
        <v>11</v>
      </c>
      <c r="P135" s="74">
        <v>31</v>
      </c>
      <c r="Q135" s="28">
        <v>9</v>
      </c>
      <c r="R135" s="28">
        <v>6</v>
      </c>
      <c r="S135" s="74">
        <v>9</v>
      </c>
      <c r="T135" s="28">
        <f>IFERROR((MIA_H[[#This Row],[H]]-MIA_H[[#This Row],[2B]]-MIA_H[[#This Row],[3B]]-MIA_H[[#This Row],[HR]])+(MIA_H[[#This Row],[2B]]*2)+(MIA_H[[#This Row],[3B]]*3)+(MIA_H[[#This Row],[HR]]*4),0)</f>
        <v>57</v>
      </c>
      <c r="U135" s="72">
        <f>MIA_H[[#This Row],[OBP]]+MIA_H[[#This Row],[SLG]]</f>
        <v>0.6559241068424948</v>
      </c>
      <c r="V135" s="74">
        <v>2</v>
      </c>
      <c r="W135" s="615">
        <v>8</v>
      </c>
      <c r="Z135" s="651" t="s">
        <v>903</v>
      </c>
      <c r="AA135" s="71" t="s">
        <v>166</v>
      </c>
      <c r="AB135" s="71" t="s">
        <v>2172</v>
      </c>
      <c r="AC135" s="72">
        <f>IFERROR(MIA_H166[[#This Row],[H]]/MIA_H166[[#This Row],[AB]],0)</f>
        <v>0.30722891566265059</v>
      </c>
      <c r="AD135" s="72">
        <f>IFERROR((MIA_H166[[#This Row],[H]]+MIA_H166[[#This Row],[BB]])/(MIA_H166[[#This Row],[BB]]+MIA_H166[[#This Row],[AB]]),0)</f>
        <v>0.35754189944134079</v>
      </c>
      <c r="AE135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0.3493975903614458</v>
      </c>
      <c r="AF135" s="28">
        <v>40</v>
      </c>
      <c r="AG135" s="28">
        <v>166</v>
      </c>
      <c r="AH135" s="28">
        <v>19</v>
      </c>
      <c r="AI135" s="28">
        <v>51</v>
      </c>
      <c r="AJ135" s="28">
        <v>5</v>
      </c>
      <c r="AK135" s="28">
        <v>1</v>
      </c>
      <c r="AL135" s="28">
        <v>0</v>
      </c>
      <c r="AM135" s="28">
        <v>11</v>
      </c>
      <c r="AN135" s="28">
        <v>13</v>
      </c>
      <c r="AO135" s="74">
        <v>20</v>
      </c>
      <c r="AP135" s="28">
        <v>16</v>
      </c>
      <c r="AQ135" s="28">
        <v>2</v>
      </c>
      <c r="AR135" s="74">
        <v>5</v>
      </c>
      <c r="AS135" s="28">
        <f>IFERROR((MIA_H166[[#This Row],[H]]-MIA_H166[[#This Row],[2B]]-MIA_H166[[#This Row],[3B]]-MIA_H166[[#This Row],[HR]])+(MIA_H166[[#This Row],[2B]]*2)+(MIA_H166[[#This Row],[3B]]*3)+(MIA_H166[[#This Row],[HR]]*4),0)</f>
        <v>58</v>
      </c>
      <c r="AT135" s="72">
        <f>MIA_H166[[#This Row],[OBP]]+MIA_H166[[#This Row],[SLG]]</f>
        <v>0.70693948980278654</v>
      </c>
      <c r="AU135" s="74">
        <v>2</v>
      </c>
      <c r="AV135" s="615">
        <v>8</v>
      </c>
      <c r="AY135" s="651" t="s">
        <v>903</v>
      </c>
      <c r="AZ135" s="71" t="s">
        <v>166</v>
      </c>
      <c r="BA135" s="71" t="s">
        <v>2172</v>
      </c>
      <c r="BB135" s="72">
        <f>IFERROR(MIA_H166180[[#This Row],[H]]/MIA_H166180[[#This Row],[AB]],0)</f>
        <v>0.26845637583892618</v>
      </c>
      <c r="BC135" s="72">
        <f>IFERROR((MIA_H166180[[#This Row],[BB]]+MIA_H166180[[#This Row],[H]])/(MIA_H166180[[#This Row],[BB]]+MIA_H166180[[#This Row],[AB]]),0)</f>
        <v>0.3271604938271605</v>
      </c>
      <c r="BD135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0.34899328859060402</v>
      </c>
      <c r="BE135" s="28">
        <v>37</v>
      </c>
      <c r="BF135" s="28">
        <v>149</v>
      </c>
      <c r="BG135" s="28">
        <v>22</v>
      </c>
      <c r="BH135" s="28">
        <v>40</v>
      </c>
      <c r="BI135" s="28">
        <v>7</v>
      </c>
      <c r="BJ135" s="28">
        <v>1</v>
      </c>
      <c r="BK135" s="28">
        <v>1</v>
      </c>
      <c r="BL135" s="28">
        <v>9</v>
      </c>
      <c r="BM135" s="28">
        <v>13</v>
      </c>
      <c r="BN135" s="74">
        <v>26</v>
      </c>
      <c r="BO135" s="76">
        <v>27</v>
      </c>
      <c r="BP135" s="28">
        <v>2</v>
      </c>
      <c r="BQ135" s="74">
        <v>13</v>
      </c>
      <c r="BR135" s="28">
        <f>(MIA_H166180[[#This Row],[H]]-MIA_H166180[[#This Row],[2B]]-MIA_H166180[[#This Row],[3B]]-MIA_H166180[[#This Row],[HR]])+(MIA_H166180[[#This Row],[2B]]*2)+(MIA_H166180[[#This Row],[3B]]*3)+(MIA_H166180[[#This Row],[HR]]*4)</f>
        <v>52</v>
      </c>
      <c r="BS135" s="72">
        <f>IFERROR(MIA_H166180[[#This Row],[OBP]]+MIA_H166180[[#This Row],[SLG]],0)</f>
        <v>0.67615378241776458</v>
      </c>
      <c r="BT135" s="74">
        <v>1</v>
      </c>
      <c r="BU135" s="615">
        <v>8</v>
      </c>
    </row>
    <row r="136" spans="1:73">
      <c r="A136" s="651" t="s">
        <v>903</v>
      </c>
      <c r="B136" s="71" t="s">
        <v>168</v>
      </c>
      <c r="C136" s="71" t="s">
        <v>917</v>
      </c>
      <c r="D136" s="72">
        <f>IFERROR(MIA_H[[#This Row],[H]]/MIA_H[[#This Row],[AB]],0)</f>
        <v>0.26744186046511625</v>
      </c>
      <c r="E136" s="72">
        <f>IFERROR((MIA_H[[#This Row],[H]]+MIA_H[[#This Row],[BB]])/(MIA_H[[#This Row],[BB]]+MIA_H[[#This Row],[AB]]),0)</f>
        <v>0.31521739130434784</v>
      </c>
      <c r="F136" s="73">
        <f>IFERROR(((MIA_H[[#This Row],[H]]-MIA_H[[#This Row],[2B]]-MIA_H[[#This Row],[3B]]-MIA_H[[#This Row],[HR]])+(MIA_H[[#This Row],[2B]]*2)+(MIA_H[[#This Row],[3B]]*3)+(MIA_H[[#This Row],[HR]]*4))/MIA_H[[#This Row],[AB]],0)</f>
        <v>0.38372093023255816</v>
      </c>
      <c r="G136" s="28">
        <v>23</v>
      </c>
      <c r="H136" s="28">
        <v>86</v>
      </c>
      <c r="I136" s="28">
        <v>10</v>
      </c>
      <c r="J136" s="28">
        <v>23</v>
      </c>
      <c r="K136" s="28">
        <v>4</v>
      </c>
      <c r="L136" s="28">
        <v>0</v>
      </c>
      <c r="M136" s="28">
        <v>2</v>
      </c>
      <c r="N136" s="28">
        <v>8</v>
      </c>
      <c r="O136" s="28">
        <v>6</v>
      </c>
      <c r="P136" s="74">
        <v>34</v>
      </c>
      <c r="Q136" s="28">
        <v>0</v>
      </c>
      <c r="R136" s="28">
        <v>3</v>
      </c>
      <c r="S136" s="74">
        <v>4</v>
      </c>
      <c r="T136" s="28">
        <f>IFERROR((MIA_H[[#This Row],[H]]-MIA_H[[#This Row],[2B]]-MIA_H[[#This Row],[3B]]-MIA_H[[#This Row],[HR]])+(MIA_H[[#This Row],[2B]]*2)+(MIA_H[[#This Row],[3B]]*3)+(MIA_H[[#This Row],[HR]]*4),0)</f>
        <v>33</v>
      </c>
      <c r="U136" s="72">
        <f>MIA_H[[#This Row],[OBP]]+MIA_H[[#This Row],[SLG]]</f>
        <v>0.69893832153690605</v>
      </c>
      <c r="V136" s="74">
        <v>1</v>
      </c>
      <c r="W136" s="615">
        <v>9</v>
      </c>
      <c r="Z136" s="651" t="s">
        <v>903</v>
      </c>
      <c r="AA136" s="71" t="s">
        <v>168</v>
      </c>
      <c r="AB136" s="71" t="s">
        <v>911</v>
      </c>
      <c r="AC136" s="72">
        <f>IFERROR(MIA_H166[[#This Row],[H]]/MIA_H166[[#This Row],[AB]],0)</f>
        <v>0.22368421052631579</v>
      </c>
      <c r="AD136" s="72">
        <f>IFERROR((MIA_H166[[#This Row],[H]]+MIA_H166[[#This Row],[BB]])/(MIA_H166[[#This Row],[BB]]+MIA_H166[[#This Row],[AB]]),0)</f>
        <v>0.25316455696202533</v>
      </c>
      <c r="AE136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0.39473684210526316</v>
      </c>
      <c r="AF136" s="28">
        <v>20</v>
      </c>
      <c r="AG136" s="28">
        <v>76</v>
      </c>
      <c r="AH136" s="28">
        <v>7</v>
      </c>
      <c r="AI136" s="28">
        <v>17</v>
      </c>
      <c r="AJ136" s="28">
        <v>4</v>
      </c>
      <c r="AK136" s="28">
        <v>0</v>
      </c>
      <c r="AL136" s="28">
        <v>3</v>
      </c>
      <c r="AM136" s="28">
        <v>12</v>
      </c>
      <c r="AN136" s="28">
        <v>3</v>
      </c>
      <c r="AO136" s="74">
        <v>22</v>
      </c>
      <c r="AP136" s="28">
        <v>0</v>
      </c>
      <c r="AQ136" s="28">
        <v>2</v>
      </c>
      <c r="AR136" s="74">
        <v>4</v>
      </c>
      <c r="AS136" s="28">
        <f>IFERROR((MIA_H166[[#This Row],[H]]-MIA_H166[[#This Row],[2B]]-MIA_H166[[#This Row],[3B]]-MIA_H166[[#This Row],[HR]])+(MIA_H166[[#This Row],[2B]]*2)+(MIA_H166[[#This Row],[3B]]*3)+(MIA_H166[[#This Row],[HR]]*4),0)</f>
        <v>30</v>
      </c>
      <c r="AT136" s="72">
        <f>MIA_H166[[#This Row],[OBP]]+MIA_H166[[#This Row],[SLG]]</f>
        <v>0.6479013990672885</v>
      </c>
      <c r="AU136" s="74">
        <v>1</v>
      </c>
      <c r="AV136" s="615">
        <v>9</v>
      </c>
      <c r="AY136" s="651" t="s">
        <v>903</v>
      </c>
      <c r="AZ136" s="71" t="s">
        <v>168</v>
      </c>
      <c r="BA136" s="74" t="s">
        <v>911</v>
      </c>
      <c r="BB136" s="72">
        <f>IFERROR(MIA_H166180[[#This Row],[H]]/MIA_H166180[[#This Row],[AB]],0)</f>
        <v>0.23684210526315788</v>
      </c>
      <c r="BC136" s="72">
        <f>IFERROR((MIA_H166180[[#This Row],[BB]]+MIA_H166180[[#This Row],[H]])/(MIA_H166180[[#This Row],[BB]]+MIA_H166180[[#This Row],[AB]]),0)</f>
        <v>0.30952380952380953</v>
      </c>
      <c r="BD136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0.34210526315789475</v>
      </c>
      <c r="BE136" s="28">
        <v>40</v>
      </c>
      <c r="BF136" s="28">
        <v>152</v>
      </c>
      <c r="BG136" s="28">
        <v>13</v>
      </c>
      <c r="BH136" s="28">
        <v>36</v>
      </c>
      <c r="BI136" s="28">
        <v>4</v>
      </c>
      <c r="BJ136" s="28">
        <v>0</v>
      </c>
      <c r="BK136" s="28">
        <v>4</v>
      </c>
      <c r="BL136" s="28">
        <v>12</v>
      </c>
      <c r="BM136" s="28">
        <v>16</v>
      </c>
      <c r="BN136" s="74">
        <v>46</v>
      </c>
      <c r="BO136" s="28">
        <v>0</v>
      </c>
      <c r="BP136" s="28">
        <v>1</v>
      </c>
      <c r="BQ136" s="74">
        <v>9</v>
      </c>
      <c r="BR136" s="28">
        <f>(MIA_H166180[[#This Row],[H]]-MIA_H166180[[#This Row],[2B]]-MIA_H166180[[#This Row],[3B]]-MIA_H166180[[#This Row],[HR]])+(MIA_H166180[[#This Row],[2B]]*2)+(MIA_H166180[[#This Row],[3B]]*3)+(MIA_H166180[[#This Row],[HR]]*4)</f>
        <v>52</v>
      </c>
      <c r="BS136" s="72">
        <f>IFERROR(MIA_H166180[[#This Row],[OBP]]+MIA_H166180[[#This Row],[SLG]],0)</f>
        <v>0.65162907268170422</v>
      </c>
      <c r="BT136" s="74">
        <v>2</v>
      </c>
      <c r="BU136" s="615">
        <v>9</v>
      </c>
    </row>
    <row r="137" spans="1:73">
      <c r="A137" s="651" t="s">
        <v>903</v>
      </c>
      <c r="B137" s="71" t="s">
        <v>179</v>
      </c>
      <c r="C137" s="71" t="s">
        <v>915</v>
      </c>
      <c r="D137" s="72">
        <f>IFERROR(MIA_H[[#This Row],[H]]/MIA_H[[#This Row],[AB]],0)</f>
        <v>0.15384615384615385</v>
      </c>
      <c r="E137" s="72">
        <f>IFERROR((MIA_H[[#This Row],[H]]+MIA_H[[#This Row],[BB]])/(MIA_H[[#This Row],[BB]]+MIA_H[[#This Row],[AB]]),0)</f>
        <v>0.2413793103448276</v>
      </c>
      <c r="F137" s="73">
        <f>IFERROR(((MIA_H[[#This Row],[H]]-MIA_H[[#This Row],[2B]]-MIA_H[[#This Row],[3B]]-MIA_H[[#This Row],[HR]])+(MIA_H[[#This Row],[2B]]*2)+(MIA_H[[#This Row],[3B]]*3)+(MIA_H[[#This Row],[HR]]*4))/MIA_H[[#This Row],[AB]],0)</f>
        <v>0.19230769230769232</v>
      </c>
      <c r="G137" s="28">
        <v>7</v>
      </c>
      <c r="H137" s="28">
        <v>26</v>
      </c>
      <c r="I137" s="28">
        <v>0</v>
      </c>
      <c r="J137" s="28">
        <v>4</v>
      </c>
      <c r="K137" s="28">
        <v>1</v>
      </c>
      <c r="L137" s="28">
        <v>0</v>
      </c>
      <c r="M137" s="28">
        <v>0</v>
      </c>
      <c r="N137" s="28">
        <v>2</v>
      </c>
      <c r="O137" s="28">
        <v>3</v>
      </c>
      <c r="P137" s="74">
        <v>3</v>
      </c>
      <c r="Q137" s="28">
        <v>0</v>
      </c>
      <c r="R137" s="28">
        <v>0</v>
      </c>
      <c r="S137" s="74">
        <v>1</v>
      </c>
      <c r="T137" s="28">
        <f>IFERROR((MIA_H[[#This Row],[H]]-MIA_H[[#This Row],[2B]]-MIA_H[[#This Row],[3B]]-MIA_H[[#This Row],[HR]])+(MIA_H[[#This Row],[2B]]*2)+(MIA_H[[#This Row],[3B]]*3)+(MIA_H[[#This Row],[HR]]*4),0)</f>
        <v>5</v>
      </c>
      <c r="U137" s="72">
        <f>MIA_H[[#This Row],[OBP]]+MIA_H[[#This Row],[SLG]]</f>
        <v>0.43368700265251992</v>
      </c>
      <c r="V137" s="74">
        <v>0</v>
      </c>
      <c r="W137" s="615">
        <v>10</v>
      </c>
      <c r="Z137" s="651" t="s">
        <v>903</v>
      </c>
      <c r="AA137" s="71" t="s">
        <v>179</v>
      </c>
      <c r="AB137" s="71" t="s">
        <v>354</v>
      </c>
      <c r="AC137" s="72">
        <f>IFERROR(MIA_H166[[#This Row],[H]]/MIA_H166[[#This Row],[AB]],0)</f>
        <v>0.16666666666666666</v>
      </c>
      <c r="AD137" s="72">
        <f>IFERROR((MIA_H166[[#This Row],[H]]+MIA_H166[[#This Row],[BB]])/(MIA_H166[[#This Row],[BB]]+MIA_H166[[#This Row],[AB]]),0)</f>
        <v>0.2857142857142857</v>
      </c>
      <c r="AE137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0.33333333333333331</v>
      </c>
      <c r="AF137" s="28">
        <v>2</v>
      </c>
      <c r="AG137" s="28">
        <v>6</v>
      </c>
      <c r="AH137" s="28">
        <v>1</v>
      </c>
      <c r="AI137" s="28">
        <v>1</v>
      </c>
      <c r="AJ137" s="28">
        <v>1</v>
      </c>
      <c r="AK137" s="28">
        <v>0</v>
      </c>
      <c r="AL137" s="28">
        <v>0</v>
      </c>
      <c r="AM137" s="28">
        <v>3</v>
      </c>
      <c r="AN137" s="28">
        <v>1</v>
      </c>
      <c r="AO137" s="74">
        <v>3</v>
      </c>
      <c r="AP137" s="28">
        <v>0</v>
      </c>
      <c r="AQ137" s="28">
        <v>1</v>
      </c>
      <c r="AR137" s="74">
        <v>1</v>
      </c>
      <c r="AS137" s="28">
        <f>IFERROR((MIA_H166[[#This Row],[H]]-MIA_H166[[#This Row],[2B]]-MIA_H166[[#This Row],[3B]]-MIA_H166[[#This Row],[HR]])+(MIA_H166[[#This Row],[2B]]*2)+(MIA_H166[[#This Row],[3B]]*3)+(MIA_H166[[#This Row],[HR]]*4),0)</f>
        <v>2</v>
      </c>
      <c r="AT137" s="72">
        <f>MIA_H166[[#This Row],[OBP]]+MIA_H166[[#This Row],[SLG]]</f>
        <v>0.61904761904761907</v>
      </c>
      <c r="AU137" s="74">
        <v>0</v>
      </c>
      <c r="AV137" s="615">
        <v>10</v>
      </c>
      <c r="AY137" s="651" t="s">
        <v>903</v>
      </c>
      <c r="AZ137" s="71" t="s">
        <v>308</v>
      </c>
      <c r="BA137" s="74" t="s">
        <v>354</v>
      </c>
      <c r="BB137" s="72">
        <f>IFERROR(MIA_H166180[[#This Row],[H]]/MIA_H166180[[#This Row],[AB]],0)</f>
        <v>0.18181818181818182</v>
      </c>
      <c r="BC137" s="72">
        <f>IFERROR((MIA_H166180[[#This Row],[BB]]+MIA_H166180[[#This Row],[H]])/(MIA_H166180[[#This Row],[BB]]+MIA_H166180[[#This Row],[AB]]),0)</f>
        <v>0.2</v>
      </c>
      <c r="BD137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0.20454545454545456</v>
      </c>
      <c r="BE137" s="28">
        <v>13</v>
      </c>
      <c r="BF137" s="28">
        <v>44</v>
      </c>
      <c r="BG137" s="28">
        <v>0</v>
      </c>
      <c r="BH137" s="28">
        <v>8</v>
      </c>
      <c r="BI137" s="28">
        <v>1</v>
      </c>
      <c r="BJ137" s="28">
        <v>0</v>
      </c>
      <c r="BK137" s="28">
        <v>0</v>
      </c>
      <c r="BL137" s="28">
        <v>1</v>
      </c>
      <c r="BM137" s="28">
        <v>1</v>
      </c>
      <c r="BN137" s="74">
        <v>18</v>
      </c>
      <c r="BO137" s="28">
        <v>0</v>
      </c>
      <c r="BP137" s="28">
        <v>0</v>
      </c>
      <c r="BQ137" s="74">
        <v>3</v>
      </c>
      <c r="BR137" s="28">
        <f>(MIA_H166180[[#This Row],[H]]-MIA_H166180[[#This Row],[2B]]-MIA_H166180[[#This Row],[3B]]-MIA_H166180[[#This Row],[HR]])+(MIA_H166180[[#This Row],[2B]]*2)+(MIA_H166180[[#This Row],[3B]]*3)+(MIA_H166180[[#This Row],[HR]]*4)</f>
        <v>9</v>
      </c>
      <c r="BS137" s="72">
        <f>IFERROR(MIA_H166180[[#This Row],[OBP]]+MIA_H166180[[#This Row],[SLG]],0)</f>
        <v>0.40454545454545454</v>
      </c>
      <c r="BT137" s="74">
        <v>0</v>
      </c>
      <c r="BU137" s="615">
        <v>10</v>
      </c>
    </row>
    <row r="138" spans="1:73">
      <c r="A138" s="651" t="s">
        <v>903</v>
      </c>
      <c r="B138" s="71" t="s">
        <v>192</v>
      </c>
      <c r="C138" s="71" t="s">
        <v>919</v>
      </c>
      <c r="D138" s="72">
        <f>IFERROR(MIA_H[[#This Row],[H]]/MIA_H[[#This Row],[AB]],0)</f>
        <v>0.23636363636363636</v>
      </c>
      <c r="E138" s="72">
        <f>IFERROR((MIA_H[[#This Row],[H]]+MIA_H[[#This Row],[BB]])/(MIA_H[[#This Row],[BB]]+MIA_H[[#This Row],[AB]]),0)</f>
        <v>0.27586206896551724</v>
      </c>
      <c r="F138" s="73">
        <f>IFERROR(((MIA_H[[#This Row],[H]]-MIA_H[[#This Row],[2B]]-MIA_H[[#This Row],[3B]]-MIA_H[[#This Row],[HR]])+(MIA_H[[#This Row],[2B]]*2)+(MIA_H[[#This Row],[3B]]*3)+(MIA_H[[#This Row],[HR]]*4))/MIA_H[[#This Row],[AB]],0)</f>
        <v>0.32727272727272727</v>
      </c>
      <c r="G138" s="28">
        <v>15</v>
      </c>
      <c r="H138" s="28">
        <v>55</v>
      </c>
      <c r="I138" s="28">
        <v>3</v>
      </c>
      <c r="J138" s="28">
        <v>13</v>
      </c>
      <c r="K138" s="28">
        <v>5</v>
      </c>
      <c r="L138" s="28">
        <v>0</v>
      </c>
      <c r="M138" s="28">
        <v>0</v>
      </c>
      <c r="N138" s="28">
        <v>1</v>
      </c>
      <c r="O138" s="28">
        <v>3</v>
      </c>
      <c r="P138" s="74">
        <v>14</v>
      </c>
      <c r="Q138" s="28">
        <v>0</v>
      </c>
      <c r="R138" s="28">
        <v>1</v>
      </c>
      <c r="S138" s="74">
        <v>4</v>
      </c>
      <c r="T138" s="28">
        <f>IFERROR((MIA_H[[#This Row],[H]]-MIA_H[[#This Row],[2B]]-MIA_H[[#This Row],[3B]]-MIA_H[[#This Row],[HR]])+(MIA_H[[#This Row],[2B]]*2)+(MIA_H[[#This Row],[3B]]*3)+(MIA_H[[#This Row],[HR]]*4),0)</f>
        <v>18</v>
      </c>
      <c r="U138" s="72">
        <f>MIA_H[[#This Row],[OBP]]+MIA_H[[#This Row],[SLG]]</f>
        <v>0.60313479623824451</v>
      </c>
      <c r="V138" s="74">
        <v>1</v>
      </c>
      <c r="W138" s="615">
        <v>11</v>
      </c>
      <c r="Z138" s="651" t="s">
        <v>903</v>
      </c>
      <c r="AA138" s="71" t="s">
        <v>187</v>
      </c>
      <c r="AB138" s="71" t="s">
        <v>907</v>
      </c>
      <c r="AC138" s="72">
        <f>IFERROR(MIA_H166[[#This Row],[H]]/MIA_H166[[#This Row],[AB]],0)</f>
        <v>0.19607843137254902</v>
      </c>
      <c r="AD138" s="72">
        <f>IFERROR((MIA_H166[[#This Row],[H]]+MIA_H166[[#This Row],[BB]])/(MIA_H166[[#This Row],[BB]]+MIA_H166[[#This Row],[AB]]),0)</f>
        <v>0.24074074074074073</v>
      </c>
      <c r="AE138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0.31372549019607843</v>
      </c>
      <c r="AF138" s="28">
        <v>15</v>
      </c>
      <c r="AG138" s="28">
        <v>51</v>
      </c>
      <c r="AH138" s="28">
        <v>8</v>
      </c>
      <c r="AI138" s="28">
        <v>10</v>
      </c>
      <c r="AJ138" s="28">
        <v>4</v>
      </c>
      <c r="AK138" s="28">
        <v>1</v>
      </c>
      <c r="AL138" s="28">
        <v>0</v>
      </c>
      <c r="AM138" s="28">
        <v>2</v>
      </c>
      <c r="AN138" s="28">
        <v>3</v>
      </c>
      <c r="AO138" s="74">
        <v>9</v>
      </c>
      <c r="AP138" s="28">
        <v>1</v>
      </c>
      <c r="AQ138" s="28">
        <v>1</v>
      </c>
      <c r="AR138" s="74">
        <v>9</v>
      </c>
      <c r="AS138" s="28">
        <f>IFERROR((MIA_H166[[#This Row],[H]]-MIA_H166[[#This Row],[2B]]-MIA_H166[[#This Row],[3B]]-MIA_H166[[#This Row],[HR]])+(MIA_H166[[#This Row],[2B]]*2)+(MIA_H166[[#This Row],[3B]]*3)+(MIA_H166[[#This Row],[HR]]*4),0)</f>
        <v>16</v>
      </c>
      <c r="AT138" s="72">
        <f>MIA_H166[[#This Row],[OBP]]+MIA_H166[[#This Row],[SLG]]</f>
        <v>0.55446623093681913</v>
      </c>
      <c r="AU138" s="74">
        <v>0</v>
      </c>
      <c r="AV138" s="615">
        <v>11</v>
      </c>
      <c r="AY138" s="651" t="s">
        <v>903</v>
      </c>
      <c r="AZ138" s="71" t="s">
        <v>187</v>
      </c>
      <c r="BA138" s="74" t="s">
        <v>918</v>
      </c>
      <c r="BB138" s="72">
        <f>IFERROR(MIA_H166180[[#This Row],[H]]/MIA_H166180[[#This Row],[AB]],0)</f>
        <v>0.16981132075471697</v>
      </c>
      <c r="BC138" s="72">
        <f>IFERROR((MIA_H166180[[#This Row],[BB]]+MIA_H166180[[#This Row],[H]])/(MIA_H166180[[#This Row],[BB]]+MIA_H166180[[#This Row],[AB]]),0)</f>
        <v>0.2413793103448276</v>
      </c>
      <c r="BD138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0.26415094339622641</v>
      </c>
      <c r="BE138" s="28">
        <v>17</v>
      </c>
      <c r="BF138" s="28">
        <v>53</v>
      </c>
      <c r="BG138" s="28">
        <v>3</v>
      </c>
      <c r="BH138" s="28">
        <v>9</v>
      </c>
      <c r="BI138" s="28">
        <v>2</v>
      </c>
      <c r="BJ138" s="28">
        <v>0</v>
      </c>
      <c r="BK138" s="28">
        <v>1</v>
      </c>
      <c r="BL138" s="28">
        <v>4</v>
      </c>
      <c r="BM138" s="28">
        <v>5</v>
      </c>
      <c r="BN138" s="74">
        <v>18</v>
      </c>
      <c r="BO138" s="28">
        <v>2</v>
      </c>
      <c r="BP138" s="28">
        <v>0</v>
      </c>
      <c r="BQ138" s="74">
        <v>3</v>
      </c>
      <c r="BR138" s="28">
        <f>(MIA_H166180[[#This Row],[H]]-MIA_H166180[[#This Row],[2B]]-MIA_H166180[[#This Row],[3B]]-MIA_H166180[[#This Row],[HR]])+(MIA_H166180[[#This Row],[2B]]*2)+(MIA_H166180[[#This Row],[3B]]*3)+(MIA_H166180[[#This Row],[HR]]*4)</f>
        <v>14</v>
      </c>
      <c r="BS138" s="72">
        <f>IFERROR(MIA_H166180[[#This Row],[OBP]]+MIA_H166180[[#This Row],[SLG]],0)</f>
        <v>0.50553025374105398</v>
      </c>
      <c r="BT138" s="74">
        <v>0</v>
      </c>
      <c r="BU138" s="615">
        <v>11</v>
      </c>
    </row>
    <row r="139" spans="1:73">
      <c r="A139" s="651" t="s">
        <v>903</v>
      </c>
      <c r="B139" s="71" t="s">
        <v>187</v>
      </c>
      <c r="C139" s="71" t="s">
        <v>906</v>
      </c>
      <c r="D139" s="72">
        <f>IFERROR(MIA_H[[#This Row],[H]]/MIA_H[[#This Row],[AB]],0)</f>
        <v>0</v>
      </c>
      <c r="E139" s="72">
        <f>IFERROR((MIA_H[[#This Row],[H]]+MIA_H[[#This Row],[BB]])/(MIA_H[[#This Row],[BB]]+MIA_H[[#This Row],[AB]]),0)</f>
        <v>0</v>
      </c>
      <c r="F139" s="73">
        <f>IFERROR(((MIA_H[[#This Row],[H]]-MIA_H[[#This Row],[2B]]-MIA_H[[#This Row],[3B]]-MIA_H[[#This Row],[HR]])+(MIA_H[[#This Row],[2B]]*2)+(MIA_H[[#This Row],[3B]]*3)+(MIA_H[[#This Row],[HR]]*4))/MIA_H[[#This Row],[AB]],0)</f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74">
        <v>0</v>
      </c>
      <c r="Q139" s="28">
        <v>0</v>
      </c>
      <c r="R139" s="28">
        <v>0</v>
      </c>
      <c r="S139" s="74">
        <v>0</v>
      </c>
      <c r="T139" s="28">
        <f>IFERROR((MIA_H[[#This Row],[H]]-MIA_H[[#This Row],[2B]]-MIA_H[[#This Row],[3B]]-MIA_H[[#This Row],[HR]])+(MIA_H[[#This Row],[2B]]*2)+(MIA_H[[#This Row],[3B]]*3)+(MIA_H[[#This Row],[HR]]*4),0)</f>
        <v>0</v>
      </c>
      <c r="U139" s="72">
        <f>MIA_H[[#This Row],[OBP]]+MIA_H[[#This Row],[SLG]]</f>
        <v>0</v>
      </c>
      <c r="V139" s="74">
        <v>0</v>
      </c>
      <c r="W139" s="615">
        <v>12</v>
      </c>
      <c r="Z139" s="651" t="s">
        <v>903</v>
      </c>
      <c r="AA139" s="71" t="s">
        <v>187</v>
      </c>
      <c r="AB139" s="71" t="s">
        <v>922</v>
      </c>
      <c r="AC139" s="72">
        <f>IFERROR(MIA_H166[[#This Row],[H]]/MIA_H166[[#This Row],[AB]],0)</f>
        <v>7.6923076923076927E-2</v>
      </c>
      <c r="AD139" s="72">
        <f>IFERROR((MIA_H166[[#This Row],[H]]+MIA_H166[[#This Row],[BB]])/(MIA_H166[[#This Row],[BB]]+MIA_H166[[#This Row],[AB]]),0)</f>
        <v>0.14285714285714285</v>
      </c>
      <c r="AE139" s="73">
        <f>IFERROR(((MIA_H166[[#This Row],[H]]-MIA_H166[[#This Row],[2B]]-MIA_H166[[#This Row],[3B]]-MIA_H166[[#This Row],[HR]])+(MIA_H166[[#This Row],[2B]]*2)+(MIA_H166[[#This Row],[3B]]*3)+(MIA_H166[[#This Row],[HR]]*4))/MIA_H166[[#This Row],[AB]],0)</f>
        <v>7.6923076923076927E-2</v>
      </c>
      <c r="AF139" s="28">
        <v>4</v>
      </c>
      <c r="AG139" s="28">
        <v>13</v>
      </c>
      <c r="AH139" s="28">
        <v>0</v>
      </c>
      <c r="AI139" s="28">
        <v>1</v>
      </c>
      <c r="AJ139" s="28">
        <v>0</v>
      </c>
      <c r="AK139" s="28">
        <v>0</v>
      </c>
      <c r="AL139" s="28">
        <v>0</v>
      </c>
      <c r="AM139" s="28">
        <v>0</v>
      </c>
      <c r="AN139" s="28">
        <v>1</v>
      </c>
      <c r="AO139" s="74">
        <v>6</v>
      </c>
      <c r="AP139" s="28">
        <v>0</v>
      </c>
      <c r="AQ139" s="28">
        <v>0</v>
      </c>
      <c r="AR139" s="74">
        <v>1</v>
      </c>
      <c r="AS139" s="28">
        <f>IFERROR((MIA_H166[[#This Row],[H]]-MIA_H166[[#This Row],[2B]]-MIA_H166[[#This Row],[3B]]-MIA_H166[[#This Row],[HR]])+(MIA_H166[[#This Row],[2B]]*2)+(MIA_H166[[#This Row],[3B]]*3)+(MIA_H166[[#This Row],[HR]]*4),0)</f>
        <v>1</v>
      </c>
      <c r="AT139" s="72">
        <f>MIA_H166[[#This Row],[OBP]]+MIA_H166[[#This Row],[SLG]]</f>
        <v>0.21978021978021978</v>
      </c>
      <c r="AU139" s="74">
        <v>0</v>
      </c>
      <c r="AV139" s="615">
        <v>12</v>
      </c>
      <c r="AY139" s="651" t="s">
        <v>903</v>
      </c>
      <c r="AZ139" s="71" t="s">
        <v>192</v>
      </c>
      <c r="BA139" s="74" t="s">
        <v>922</v>
      </c>
      <c r="BB139" s="72">
        <f>IFERROR(MIA_H166180[[#This Row],[H]]/MIA_H166180[[#This Row],[AB]],0)</f>
        <v>0</v>
      </c>
      <c r="BC139" s="72">
        <f>IFERROR((MIA_H166180[[#This Row],[BB]]+MIA_H166180[[#This Row],[H]])/(MIA_H166180[[#This Row],[BB]]+MIA_H166180[[#This Row],[AB]]),0)</f>
        <v>0.25</v>
      </c>
      <c r="BD139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</v>
      </c>
      <c r="BE139" s="28">
        <v>4</v>
      </c>
      <c r="BF139" s="28">
        <v>9</v>
      </c>
      <c r="BG139" s="28">
        <v>0</v>
      </c>
      <c r="BH139" s="28">
        <v>0</v>
      </c>
      <c r="BI139" s="28">
        <v>0</v>
      </c>
      <c r="BJ139" s="28">
        <v>0</v>
      </c>
      <c r="BK139" s="28">
        <v>0</v>
      </c>
      <c r="BL139" s="28">
        <v>0</v>
      </c>
      <c r="BM139" s="28">
        <v>3</v>
      </c>
      <c r="BN139" s="74">
        <v>4</v>
      </c>
      <c r="BO139" s="28">
        <v>0</v>
      </c>
      <c r="BP139" s="28">
        <v>0</v>
      </c>
      <c r="BQ139" s="74">
        <v>0</v>
      </c>
      <c r="BR139" s="28">
        <f>(MIA_H166180[[#This Row],[H]]-MIA_H166180[[#This Row],[2B]]-MIA_H166180[[#This Row],[3B]]-MIA_H166180[[#This Row],[HR]])+(MIA_H166180[[#This Row],[2B]]*2)+(MIA_H166180[[#This Row],[3B]]*3)+(MIA_H166180[[#This Row],[HR]]*4)</f>
        <v>0</v>
      </c>
      <c r="BS139" s="72">
        <f>IFERROR(MIA_H166180[[#This Row],[OBP]]+MIA_H166180[[#This Row],[SLG]],0)</f>
        <v>0.25</v>
      </c>
      <c r="BT139" s="74">
        <v>0</v>
      </c>
      <c r="BU139" s="615">
        <v>12</v>
      </c>
    </row>
    <row r="140" spans="1:73">
      <c r="A140" s="651" t="s">
        <v>903</v>
      </c>
      <c r="B140" s="71" t="s">
        <v>186</v>
      </c>
      <c r="C140" s="71" t="s">
        <v>321</v>
      </c>
      <c r="D140" s="72">
        <f>IFERROR(MIA_H[[#This Row],[H]]/MIA_H[[#This Row],[AB]],0)</f>
        <v>0.20634920634920634</v>
      </c>
      <c r="E140" s="72">
        <f>IFERROR((MIA_H[[#This Row],[H]]+MIA_H[[#This Row],[BB]])/(MIA_H[[#This Row],[BB]]+MIA_H[[#This Row],[AB]]),0)</f>
        <v>0.24242424242424243</v>
      </c>
      <c r="F140" s="73">
        <f>IFERROR(((MIA_H[[#This Row],[H]]-MIA_H[[#This Row],[2B]]-MIA_H[[#This Row],[3B]]-MIA_H[[#This Row],[HR]])+(MIA_H[[#This Row],[2B]]*2)+(MIA_H[[#This Row],[3B]]*3)+(MIA_H[[#This Row],[HR]]*4))/MIA_H[[#This Row],[AB]],0)</f>
        <v>0.36507936507936506</v>
      </c>
      <c r="G140" s="28">
        <v>16</v>
      </c>
      <c r="H140" s="28">
        <v>63</v>
      </c>
      <c r="I140" s="28">
        <v>5</v>
      </c>
      <c r="J140" s="28">
        <v>13</v>
      </c>
      <c r="K140" s="28">
        <v>4</v>
      </c>
      <c r="L140" s="28">
        <v>0</v>
      </c>
      <c r="M140" s="28">
        <v>2</v>
      </c>
      <c r="N140" s="28">
        <v>8</v>
      </c>
      <c r="O140" s="28">
        <v>3</v>
      </c>
      <c r="P140" s="74">
        <v>17</v>
      </c>
      <c r="Q140" s="28">
        <v>0</v>
      </c>
      <c r="R140" s="28">
        <v>0</v>
      </c>
      <c r="S140" s="74">
        <v>4</v>
      </c>
      <c r="T140" s="28">
        <f>IFERROR((MIA_H[[#This Row],[H]]-MIA_H[[#This Row],[2B]]-MIA_H[[#This Row],[3B]]-MIA_H[[#This Row],[HR]])+(MIA_H[[#This Row],[2B]]*2)+(MIA_H[[#This Row],[3B]]*3)+(MIA_H[[#This Row],[HR]]*4),0)</f>
        <v>23</v>
      </c>
      <c r="U140" s="72">
        <f>MIA_H[[#This Row],[OBP]]+MIA_H[[#This Row],[SLG]]</f>
        <v>0.60750360750360755</v>
      </c>
      <c r="V140" s="74">
        <v>1</v>
      </c>
      <c r="W140" s="615">
        <v>13</v>
      </c>
      <c r="Z140" s="651" t="s">
        <v>903</v>
      </c>
      <c r="AA140" s="71" t="s">
        <v>186</v>
      </c>
      <c r="AB140" s="71" t="s">
        <v>914</v>
      </c>
      <c r="AC140" s="72">
        <f>IFERROR(MIA_H166[[#This Row],[H]]/MIA_H166[[#This Row],[AB]],0)</f>
        <v>0.19230769230769232</v>
      </c>
      <c r="AD140" s="72">
        <f>IFERROR((MIA_H166[[#This Row],[H]]+MIA_H166[[#This Row],[BB]])/(MIA_H166[[#This Row],[BB]]+MIA_H166[[#This Row],[AB]]),0)</f>
        <v>0.21249999999999999</v>
      </c>
      <c r="AE140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0.35897435897435898</v>
      </c>
      <c r="AF140" s="28">
        <v>21</v>
      </c>
      <c r="AG140" s="28">
        <v>78</v>
      </c>
      <c r="AH140" s="28">
        <v>5</v>
      </c>
      <c r="AI140" s="28">
        <v>15</v>
      </c>
      <c r="AJ140" s="28">
        <v>1</v>
      </c>
      <c r="AK140" s="28">
        <v>0</v>
      </c>
      <c r="AL140" s="28">
        <v>4</v>
      </c>
      <c r="AM140" s="28">
        <v>8</v>
      </c>
      <c r="AN140" s="28">
        <v>2</v>
      </c>
      <c r="AO140" s="74">
        <v>35</v>
      </c>
      <c r="AP140" s="28">
        <v>0</v>
      </c>
      <c r="AQ140" s="28">
        <v>0</v>
      </c>
      <c r="AR140" s="74">
        <v>5</v>
      </c>
      <c r="AS140" s="28">
        <f>IFERROR((MIA_H166[[#This Row],[H]]-MIA_H166[[#This Row],[2B]]-MIA_H166[[#This Row],[3B]]-MIA_H166[[#This Row],[HR]])+(MIA_H166[[#This Row],[2B]]*2)+(MIA_H166[[#This Row],[3B]]*3)+(MIA_H166[[#This Row],[HR]]*4),0)</f>
        <v>28</v>
      </c>
      <c r="AT140" s="72">
        <f>MIA_H166[[#This Row],[OBP]]+MIA_H166[[#This Row],[SLG]]</f>
        <v>0.57147435897435894</v>
      </c>
      <c r="AU140" s="74">
        <v>1</v>
      </c>
      <c r="AV140" s="615">
        <v>13</v>
      </c>
      <c r="AY140" s="651" t="s">
        <v>903</v>
      </c>
      <c r="AZ140" s="71" t="s">
        <v>184</v>
      </c>
      <c r="BA140" s="74" t="s">
        <v>920</v>
      </c>
      <c r="BB140" s="72">
        <f>IFERROR(MIA_H166180[[#This Row],[H]]/MIA_H166180[[#This Row],[AB]],0)</f>
        <v>0.22580645161290322</v>
      </c>
      <c r="BC140" s="72">
        <f>IFERROR((MIA_H166180[[#This Row],[BB]]+MIA_H166180[[#This Row],[H]])/(MIA_H166180[[#This Row],[BB]]+MIA_H166180[[#This Row],[AB]]),0)</f>
        <v>0.33333333333333331</v>
      </c>
      <c r="BD140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0.38709677419354838</v>
      </c>
      <c r="BE140" s="28">
        <v>10</v>
      </c>
      <c r="BF140" s="28">
        <v>31</v>
      </c>
      <c r="BG140" s="28">
        <v>2</v>
      </c>
      <c r="BH140" s="28">
        <v>7</v>
      </c>
      <c r="BI140" s="28">
        <v>2</v>
      </c>
      <c r="BJ140" s="28">
        <v>0</v>
      </c>
      <c r="BK140" s="28">
        <v>1</v>
      </c>
      <c r="BL140" s="28">
        <v>3</v>
      </c>
      <c r="BM140" s="28">
        <v>5</v>
      </c>
      <c r="BN140" s="74">
        <v>9</v>
      </c>
      <c r="BO140" s="28">
        <v>0</v>
      </c>
      <c r="BP140" s="28">
        <v>0</v>
      </c>
      <c r="BQ140" s="74">
        <v>2</v>
      </c>
      <c r="BR140" s="28">
        <f>(MIA_H166180[[#This Row],[H]]-MIA_H166180[[#This Row],[2B]]-MIA_H166180[[#This Row],[3B]]-MIA_H166180[[#This Row],[HR]])+(MIA_H166180[[#This Row],[2B]]*2)+(MIA_H166180[[#This Row],[3B]]*3)+(MIA_H166180[[#This Row],[HR]]*4)</f>
        <v>12</v>
      </c>
      <c r="BS140" s="72">
        <f>IFERROR(MIA_H166180[[#This Row],[OBP]]+MIA_H166180[[#This Row],[SLG]],0)</f>
        <v>0.72043010752688175</v>
      </c>
      <c r="BT140" s="74">
        <v>1</v>
      </c>
      <c r="BU140" s="615">
        <v>13</v>
      </c>
    </row>
    <row r="141" spans="1:73" ht="17" thickBot="1">
      <c r="A141" s="651" t="s">
        <v>903</v>
      </c>
      <c r="B141" s="71" t="s">
        <v>184</v>
      </c>
      <c r="C141" s="71" t="s">
        <v>921</v>
      </c>
      <c r="D141" s="72">
        <f>IFERROR(MIA_H[[#This Row],[H]]/MIA_H[[#This Row],[AB]],0)</f>
        <v>0</v>
      </c>
      <c r="E141" s="72">
        <f>IFERROR((MIA_H[[#This Row],[H]]+MIA_H[[#This Row],[BB]])/(MIA_H[[#This Row],[BB]]+MIA_H[[#This Row],[AB]]),0)</f>
        <v>0</v>
      </c>
      <c r="F141" s="73">
        <f>IFERROR(((MIA_H[[#This Row],[H]]-MIA_H[[#This Row],[2B]]-MIA_H[[#This Row],[3B]]-MIA_H[[#This Row],[HR]])+(MIA_H[[#This Row],[2B]]*2)+(MIA_H[[#This Row],[3B]]*3)+(MIA_H[[#This Row],[HR]]*4))/MIA_H[[#This Row],[AB]],0)</f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74">
        <v>0</v>
      </c>
      <c r="Q141" s="28">
        <v>0</v>
      </c>
      <c r="R141" s="28">
        <v>0</v>
      </c>
      <c r="S141" s="74">
        <v>0</v>
      </c>
      <c r="T141" s="28">
        <f>IFERROR((MIA_H[[#This Row],[H]]-MIA_H[[#This Row],[2B]]-MIA_H[[#This Row],[3B]]-MIA_H[[#This Row],[HR]])+(MIA_H[[#This Row],[2B]]*2)+(MIA_H[[#This Row],[3B]]*3)+(MIA_H[[#This Row],[HR]]*4),0)</f>
        <v>0</v>
      </c>
      <c r="U141" s="72">
        <f>MIA_H[[#This Row],[OBP]]+MIA_H[[#This Row],[SLG]]</f>
        <v>0</v>
      </c>
      <c r="V141" s="74">
        <v>0</v>
      </c>
      <c r="W141" s="615">
        <v>14</v>
      </c>
      <c r="Z141" s="651" t="s">
        <v>903</v>
      </c>
      <c r="AA141" s="71" t="s">
        <v>186</v>
      </c>
      <c r="AB141" s="71" t="s">
        <v>917</v>
      </c>
      <c r="AC141" s="72">
        <f>IFERROR(MIA_H166[[#This Row],[H]]/MIA_H166[[#This Row],[AB]],0)</f>
        <v>0.1111111111111111</v>
      </c>
      <c r="AD141" s="72">
        <f>IFERROR((MIA_H166[[#This Row],[H]]+MIA_H166[[#This Row],[BB]])/(MIA_H166[[#This Row],[BB]]+MIA_H166[[#This Row],[AB]]),0)</f>
        <v>0.15789473684210525</v>
      </c>
      <c r="AE141" s="73">
        <f>IFERROR(((MIA_H166[[#This Row],[H]]-MIA_H166[[#This Row],[2B]]-MIA_H166[[#This Row],[3B]]-MIA_H166[[#This Row],[HR]])+(MIA_H166[[#This Row],[2B]]*2)+(MIA_H166[[#This Row],[3B]]*3)+(MIA_H166[[#This Row],[HR]]*4))/MIA_H166[[#This Row],[AB]],0)</f>
        <v>0.1111111111111111</v>
      </c>
      <c r="AF141" s="28">
        <v>6</v>
      </c>
      <c r="AG141" s="28">
        <v>18</v>
      </c>
      <c r="AH141" s="28">
        <v>0</v>
      </c>
      <c r="AI141" s="28">
        <v>2</v>
      </c>
      <c r="AJ141" s="28">
        <v>0</v>
      </c>
      <c r="AK141" s="28">
        <v>0</v>
      </c>
      <c r="AL141" s="28">
        <v>0</v>
      </c>
      <c r="AM141" s="28">
        <v>1</v>
      </c>
      <c r="AN141" s="28">
        <v>1</v>
      </c>
      <c r="AO141" s="74">
        <v>5</v>
      </c>
      <c r="AP141" s="28">
        <v>0</v>
      </c>
      <c r="AQ141" s="28">
        <v>0</v>
      </c>
      <c r="AR141" s="74">
        <v>1</v>
      </c>
      <c r="AS141" s="28">
        <f>IFERROR((MIA_H166[[#This Row],[H]]-MIA_H166[[#This Row],[2B]]-MIA_H166[[#This Row],[3B]]-MIA_H166[[#This Row],[HR]])+(MIA_H166[[#This Row],[2B]]*2)+(MIA_H166[[#This Row],[3B]]*3)+(MIA_H166[[#This Row],[HR]]*4),0)</f>
        <v>2</v>
      </c>
      <c r="AT141" s="72">
        <f>MIA_H166[[#This Row],[OBP]]+MIA_H166[[#This Row],[SLG]]</f>
        <v>0.26900584795321636</v>
      </c>
      <c r="AU141" s="74">
        <v>0</v>
      </c>
      <c r="AV141" s="615">
        <v>14</v>
      </c>
      <c r="AY141" s="651" t="s">
        <v>903</v>
      </c>
      <c r="AZ141" s="71" t="s">
        <v>184</v>
      </c>
      <c r="BA141" s="74" t="s">
        <v>917</v>
      </c>
      <c r="BB141" s="72">
        <f>IFERROR(MIA_H166180[[#This Row],[H]]/MIA_H166180[[#This Row],[AB]],0)</f>
        <v>0.2</v>
      </c>
      <c r="BC141" s="72">
        <f>IFERROR((MIA_H166180[[#This Row],[BB]]+MIA_H166180[[#This Row],[H]])/(MIA_H166180[[#This Row],[BB]]+MIA_H166180[[#This Row],[AB]]),0)</f>
        <v>0.26530612244897961</v>
      </c>
      <c r="BD141" s="73">
        <f>IFERROR(((MIA_H166180[[#This Row],[H]]-MIA_H166180[[#This Row],[2B]]-MIA_H166180[[#This Row],[3B]]-MIA_H166180[[#This Row],[HR]])+(MIA_H166180[[#This Row],[2B]]*2)+(MIA_H166180[[#This Row],[3B]]*3)+(MIA_H166180[[#This Row],[HR]]*4))/MIA_H166180[[#This Row],[AB]],0)</f>
        <v>0.26666666666666666</v>
      </c>
      <c r="BE141" s="28">
        <v>14</v>
      </c>
      <c r="BF141" s="28">
        <v>45</v>
      </c>
      <c r="BG141" s="28">
        <v>2</v>
      </c>
      <c r="BH141" s="28">
        <v>9</v>
      </c>
      <c r="BI141" s="28">
        <v>3</v>
      </c>
      <c r="BJ141" s="28">
        <v>0</v>
      </c>
      <c r="BK141" s="28">
        <v>0</v>
      </c>
      <c r="BL141" s="28">
        <v>2</v>
      </c>
      <c r="BM141" s="28">
        <v>4</v>
      </c>
      <c r="BN141" s="74">
        <v>13</v>
      </c>
      <c r="BO141" s="28">
        <v>0</v>
      </c>
      <c r="BP141" s="28">
        <v>1</v>
      </c>
      <c r="BQ141" s="74">
        <v>2</v>
      </c>
      <c r="BR141" s="28">
        <f>(MIA_H166180[[#This Row],[H]]-MIA_H166180[[#This Row],[2B]]-MIA_H166180[[#This Row],[3B]]-MIA_H166180[[#This Row],[HR]])+(MIA_H166180[[#This Row],[2B]]*2)+(MIA_H166180[[#This Row],[3B]]*3)+(MIA_H166180[[#This Row],[HR]]*4)</f>
        <v>12</v>
      </c>
      <c r="BS141" s="72">
        <f>IFERROR(MIA_H166180[[#This Row],[OBP]]+MIA_H166180[[#This Row],[SLG]],0)</f>
        <v>0.53197278911564627</v>
      </c>
      <c r="BT141" s="74">
        <v>0</v>
      </c>
      <c r="BU141" s="615">
        <v>14</v>
      </c>
    </row>
    <row r="142" spans="1:73" ht="17" thickBot="1">
      <c r="A142" s="823"/>
      <c r="B142" s="824"/>
      <c r="C142" s="824" t="s">
        <v>195</v>
      </c>
      <c r="D142" s="792">
        <f>J142/H142</f>
        <v>0.27892122072391767</v>
      </c>
      <c r="E142" s="792">
        <f>(J142+O142)/(H142+O142)</f>
        <v>0.34196891191709844</v>
      </c>
      <c r="F142" s="793">
        <f>((J142-K142-L142-M142)+(K142*2)+(L142*3)+(M142*4))/H142</f>
        <v>0.38608942512420158</v>
      </c>
      <c r="G142" s="794"/>
      <c r="H142" s="794">
        <f>SUBTOTAL(109,MIA_H[AB])</f>
        <v>1409</v>
      </c>
      <c r="I142" s="794">
        <f>SUBTOTAL(109,MIA_H[R])</f>
        <v>153</v>
      </c>
      <c r="J142" s="794">
        <f>SUBTOTAL(109,MIA_H[H])</f>
        <v>393</v>
      </c>
      <c r="K142" s="794">
        <f>SUBTOTAL(109,MIA_H[2B])</f>
        <v>72</v>
      </c>
      <c r="L142" s="794">
        <f>SUBTOTAL(109,MIA_H[3B])</f>
        <v>11</v>
      </c>
      <c r="M142" s="794">
        <f>SUBTOTAL(109,MIA_H[HR])</f>
        <v>19</v>
      </c>
      <c r="N142" s="794">
        <f>SUBTOTAL(109,MIA_H[RBI])</f>
        <v>152</v>
      </c>
      <c r="O142" s="794">
        <f>SUBTOTAL(109,MIA_H[BB])</f>
        <v>135</v>
      </c>
      <c r="P142" s="833">
        <f>SUBTOTAL(109,MIA_H[K])</f>
        <v>410</v>
      </c>
      <c r="Q142" s="795">
        <f>SUBTOTAL(109,MIA_H[SB])</f>
        <v>43</v>
      </c>
      <c r="R142" s="794"/>
      <c r="S142" s="796"/>
      <c r="T142" s="794">
        <f>SUBTOTAL(109,MIA_H[TB])</f>
        <v>544</v>
      </c>
      <c r="U142" s="792">
        <f>E142+F142</f>
        <v>0.72805833704130007</v>
      </c>
      <c r="V142" s="796">
        <f>SUBTOTAL(109,MIA_H[*])</f>
        <v>17</v>
      </c>
      <c r="W142" s="797"/>
      <c r="Z142" s="823"/>
      <c r="AA142" s="824"/>
      <c r="AB142" s="824" t="s">
        <v>195</v>
      </c>
      <c r="AC142" s="792">
        <f>AI142/AG142</f>
        <v>0.2292755787901419</v>
      </c>
      <c r="AD142" s="792">
        <f>(AI142+AN142)/(AG142+AN142)</f>
        <v>0.287292817679558</v>
      </c>
      <c r="AE142" s="793">
        <f>((AI142-AJ142-AK142-AL142)+(AJ142*2)+(AK142*3)+(AL142*4))/AG142</f>
        <v>0.33980582524271846</v>
      </c>
      <c r="AF142" s="794"/>
      <c r="AG142" s="794">
        <f>SUBTOTAL(109,MIA_H166[AB])</f>
        <v>1339</v>
      </c>
      <c r="AH142" s="794">
        <f>SUBTOTAL(109,MIA_H166[R])</f>
        <v>129</v>
      </c>
      <c r="AI142" s="794">
        <f>SUBTOTAL(109,MIA_H166[H])</f>
        <v>307</v>
      </c>
      <c r="AJ142" s="794">
        <f>SUBTOTAL(109,MIA_H166[2B])</f>
        <v>61</v>
      </c>
      <c r="AK142" s="794">
        <f>SUBTOTAL(109,MIA_H166[3B])</f>
        <v>3</v>
      </c>
      <c r="AL142" s="794">
        <f>SUBTOTAL(109,MIA_H166[HR])</f>
        <v>27</v>
      </c>
      <c r="AM142" s="794">
        <f>SUBTOTAL(109,MIA_H166[RBI])</f>
        <v>128</v>
      </c>
      <c r="AN142" s="794">
        <f>SUBTOTAL(109,MIA_H166[BB])</f>
        <v>109</v>
      </c>
      <c r="AO142" s="796">
        <f>SUBTOTAL(109,MIA_H166[K])</f>
        <v>326</v>
      </c>
      <c r="AP142" s="794">
        <f>SUBTOTAL(109,MIA_H166[SB])</f>
        <v>23</v>
      </c>
      <c r="AQ142" s="794"/>
      <c r="AR142" s="796"/>
      <c r="AS142" s="794">
        <f>SUBTOTAL(109,MIA_H166[TB])</f>
        <v>455</v>
      </c>
      <c r="AT142" s="792">
        <f>AD142+AE142</f>
        <v>0.62709864292227646</v>
      </c>
      <c r="AU142" s="796">
        <f>SUBTOTAL(109,MIA_H166[*])</f>
        <v>17</v>
      </c>
      <c r="AV142" s="797"/>
      <c r="AY142" s="823"/>
      <c r="AZ142" s="824"/>
      <c r="BA142" s="824" t="s">
        <v>195</v>
      </c>
      <c r="BB142" s="792">
        <f>IFERROR(BH142/BF142,0)</f>
        <v>0.2337192474674385</v>
      </c>
      <c r="BC142" s="792">
        <f>IFERROR((BM142+BH142)/(BM142+BF142),0)</f>
        <v>0.29867549668874172</v>
      </c>
      <c r="BD142" s="793">
        <f>IFERROR(((BH142-BI142-BJ142-BK142)+(BI142*2)+(BJ142*3)+(BK142*4))/BF142,0)</f>
        <v>0.3581765557163531</v>
      </c>
      <c r="BE142" s="794"/>
      <c r="BF142" s="794">
        <f>SUBTOTAL(109,MIA_H166180[AB])</f>
        <v>1382</v>
      </c>
      <c r="BG142" s="794">
        <f>SUBTOTAL(109,MIA_H166180[R])</f>
        <v>136</v>
      </c>
      <c r="BH142" s="794">
        <f>SUBTOTAL(109,MIA_H166180[H])</f>
        <v>323</v>
      </c>
      <c r="BI142" s="794">
        <f>SUBTOTAL(109,MIA_H166180[2B])</f>
        <v>58</v>
      </c>
      <c r="BJ142" s="794">
        <f>SUBTOTAL(109,MIA_H166180[3B])</f>
        <v>6</v>
      </c>
      <c r="BK142" s="794">
        <f>SUBTOTAL(109,MIA_H166180[HR])</f>
        <v>34</v>
      </c>
      <c r="BL142" s="794">
        <f>SUBTOTAL(109,MIA_H166180[RBI])</f>
        <v>136</v>
      </c>
      <c r="BM142" s="794">
        <f>SUBTOTAL(109,MIA_H166180[BB])</f>
        <v>128</v>
      </c>
      <c r="BN142" s="796">
        <f>SUBTOTAL(109,MIA_H166180[K])</f>
        <v>363</v>
      </c>
      <c r="BO142" s="795">
        <f>SUBTOTAL(109,MIA_H166180[SB])</f>
        <v>59</v>
      </c>
      <c r="BP142" s="794"/>
      <c r="BQ142" s="796"/>
      <c r="BR142" s="794">
        <f>SUBTOTAL(109,MIA_H166180[TB])</f>
        <v>495</v>
      </c>
      <c r="BS142" s="792">
        <f>IFERROR(BC142+BD142,0)</f>
        <v>0.65685205240509481</v>
      </c>
      <c r="BT142" s="796">
        <f>SUBTOTAL(109,MIA_H166180[*])</f>
        <v>17</v>
      </c>
      <c r="BU142" s="797"/>
    </row>
    <row r="143" spans="1:73" ht="17" thickBot="1"/>
    <row r="144" spans="1:73" s="64" customFormat="1" ht="14" thickBot="1">
      <c r="A144" s="605" t="s">
        <v>143</v>
      </c>
      <c r="B144" s="606" t="s">
        <v>144</v>
      </c>
      <c r="C144" s="606" t="s">
        <v>145</v>
      </c>
      <c r="D144" s="606" t="s">
        <v>196</v>
      </c>
      <c r="E144" s="606" t="s">
        <v>197</v>
      </c>
      <c r="F144" s="606" t="s">
        <v>198</v>
      </c>
      <c r="G144" s="606" t="s">
        <v>149</v>
      </c>
      <c r="H144" s="606" t="s">
        <v>199</v>
      </c>
      <c r="I144" s="606" t="s">
        <v>152</v>
      </c>
      <c r="J144" s="606" t="s">
        <v>151</v>
      </c>
      <c r="K144" s="606" t="s">
        <v>157</v>
      </c>
      <c r="L144" s="606" t="s">
        <v>158</v>
      </c>
      <c r="M144" s="606" t="s">
        <v>200</v>
      </c>
      <c r="N144" s="606" t="s">
        <v>201</v>
      </c>
      <c r="O144" s="606" t="s">
        <v>202</v>
      </c>
      <c r="P144" s="606" t="s">
        <v>203</v>
      </c>
      <c r="Q144" s="606" t="s">
        <v>204</v>
      </c>
      <c r="R144" s="606" t="s">
        <v>205</v>
      </c>
      <c r="S144" s="607" t="s">
        <v>164</v>
      </c>
      <c r="Z144" s="605" t="s">
        <v>143</v>
      </c>
      <c r="AA144" s="606" t="s">
        <v>144</v>
      </c>
      <c r="AB144" s="606" t="s">
        <v>145</v>
      </c>
      <c r="AC144" s="606" t="s">
        <v>196</v>
      </c>
      <c r="AD144" s="606" t="s">
        <v>197</v>
      </c>
      <c r="AE144" s="606" t="s">
        <v>198</v>
      </c>
      <c r="AF144" s="606" t="s">
        <v>149</v>
      </c>
      <c r="AG144" s="606" t="s">
        <v>199</v>
      </c>
      <c r="AH144" s="606" t="s">
        <v>152</v>
      </c>
      <c r="AI144" s="606" t="s">
        <v>151</v>
      </c>
      <c r="AJ144" s="606" t="s">
        <v>157</v>
      </c>
      <c r="AK144" s="606" t="s">
        <v>158</v>
      </c>
      <c r="AL144" s="606" t="s">
        <v>200</v>
      </c>
      <c r="AM144" s="606" t="s">
        <v>201</v>
      </c>
      <c r="AN144" s="606" t="s">
        <v>202</v>
      </c>
      <c r="AO144" s="606" t="s">
        <v>203</v>
      </c>
      <c r="AP144" s="606" t="s">
        <v>204</v>
      </c>
      <c r="AQ144" s="606" t="s">
        <v>205</v>
      </c>
      <c r="AR144" s="607" t="s">
        <v>164</v>
      </c>
      <c r="AY144" s="605" t="s">
        <v>143</v>
      </c>
      <c r="AZ144" s="606" t="s">
        <v>144</v>
      </c>
      <c r="BA144" s="606" t="s">
        <v>145</v>
      </c>
      <c r="BB144" s="606" t="s">
        <v>196</v>
      </c>
      <c r="BC144" s="606" t="s">
        <v>197</v>
      </c>
      <c r="BD144" s="606" t="s">
        <v>198</v>
      </c>
      <c r="BE144" s="606" t="s">
        <v>149</v>
      </c>
      <c r="BF144" s="606" t="s">
        <v>199</v>
      </c>
      <c r="BG144" s="606" t="s">
        <v>152</v>
      </c>
      <c r="BH144" s="606" t="s">
        <v>151</v>
      </c>
      <c r="BI144" s="606" t="s">
        <v>157</v>
      </c>
      <c r="BJ144" s="606" t="s">
        <v>158</v>
      </c>
      <c r="BK144" s="606" t="s">
        <v>200</v>
      </c>
      <c r="BL144" s="606" t="s">
        <v>201</v>
      </c>
      <c r="BM144" s="606" t="s">
        <v>202</v>
      </c>
      <c r="BN144" s="606" t="s">
        <v>203</v>
      </c>
      <c r="BO144" s="606" t="s">
        <v>204</v>
      </c>
      <c r="BP144" s="606" t="s">
        <v>205</v>
      </c>
      <c r="BQ144" s="607" t="s">
        <v>164</v>
      </c>
    </row>
    <row r="145" spans="1:73">
      <c r="A145" s="650" t="s">
        <v>903</v>
      </c>
      <c r="B145" s="604" t="s">
        <v>206</v>
      </c>
      <c r="C145" s="597" t="s">
        <v>923</v>
      </c>
      <c r="D145" s="663">
        <f>IFERROR((MIA_P[[#This Row],[R]]*9)/MIA_P[[#This Row],[IP]],0)</f>
        <v>2.0864584753852449</v>
      </c>
      <c r="E145" s="600">
        <v>3</v>
      </c>
      <c r="F145" s="604">
        <v>6</v>
      </c>
      <c r="G145" s="600">
        <v>10</v>
      </c>
      <c r="H145" s="630">
        <v>73.33</v>
      </c>
      <c r="I145" s="600">
        <v>51</v>
      </c>
      <c r="J145" s="600">
        <v>17</v>
      </c>
      <c r="K145" s="600">
        <v>17</v>
      </c>
      <c r="L145" s="600">
        <v>89</v>
      </c>
      <c r="M145" s="600">
        <v>0</v>
      </c>
      <c r="N145" s="631">
        <f>IFERROR((MIA_P[[#This Row],[BB]]+MIA_P[[#This Row],[H]])/MIA_P[[#This Row],[IP]],0)</f>
        <v>0.9273148779489977</v>
      </c>
      <c r="O145" s="600">
        <v>9</v>
      </c>
      <c r="P145" s="602">
        <v>7</v>
      </c>
      <c r="Q145" s="600">
        <v>1</v>
      </c>
      <c r="R145" s="604">
        <v>0</v>
      </c>
      <c r="S145" s="614">
        <v>1</v>
      </c>
      <c r="Z145" s="650" t="s">
        <v>903</v>
      </c>
      <c r="AA145" s="604" t="s">
        <v>206</v>
      </c>
      <c r="AB145" s="597" t="s">
        <v>923</v>
      </c>
      <c r="AC145" s="663">
        <f>IFERROR((MIA_P167[[#This Row],[R]]*9)/MIA_P167[[#This Row],[IP]],0)</f>
        <v>2.310810810810811</v>
      </c>
      <c r="AD145" s="600">
        <v>5</v>
      </c>
      <c r="AE145" s="604">
        <v>3</v>
      </c>
      <c r="AF145" s="600">
        <v>10</v>
      </c>
      <c r="AG145" s="630">
        <v>74</v>
      </c>
      <c r="AH145" s="600">
        <v>53</v>
      </c>
      <c r="AI145" s="600">
        <v>19</v>
      </c>
      <c r="AJ145" s="600">
        <v>24</v>
      </c>
      <c r="AK145" s="600">
        <v>91</v>
      </c>
      <c r="AL145" s="600">
        <v>0</v>
      </c>
      <c r="AM145" s="631">
        <f>IFERROR((MIA_P167[[#This Row],[BB]]+MIA_P167[[#This Row],[H]])/MIA_P167[[#This Row],[IP]],0)</f>
        <v>1.0405405405405406</v>
      </c>
      <c r="AN145" s="600">
        <v>8</v>
      </c>
      <c r="AO145" s="601">
        <v>6</v>
      </c>
      <c r="AP145" s="600">
        <v>3</v>
      </c>
      <c r="AQ145" s="604">
        <v>2</v>
      </c>
      <c r="AR145" s="614">
        <v>1</v>
      </c>
      <c r="AY145" s="650" t="s">
        <v>903</v>
      </c>
      <c r="AZ145" s="604" t="s">
        <v>206</v>
      </c>
      <c r="BA145" s="597" t="s">
        <v>923</v>
      </c>
      <c r="BB145" s="663">
        <f>IFERROR((MIA_P167181[[#This Row],[R]]*9)/MIA_P167181[[#This Row],[IP]],0)</f>
        <v>2.297970126388357</v>
      </c>
      <c r="BC145" s="600">
        <v>6</v>
      </c>
      <c r="BD145" s="604">
        <v>1</v>
      </c>
      <c r="BE145" s="600">
        <v>10</v>
      </c>
      <c r="BF145" s="784">
        <v>78.33</v>
      </c>
      <c r="BG145" s="600">
        <v>60</v>
      </c>
      <c r="BH145" s="600">
        <v>20</v>
      </c>
      <c r="BI145" s="600">
        <v>22</v>
      </c>
      <c r="BJ145" s="600">
        <v>80</v>
      </c>
      <c r="BK145" s="600">
        <v>0</v>
      </c>
      <c r="BL145" s="631">
        <f>IFERROR((MIA_P167181[[#This Row],[BB]]+MIA_P167181[[#This Row],[H]])/MIA_P167181[[#This Row],[IP]],0)</f>
        <v>1.0468530575769182</v>
      </c>
      <c r="BM145" s="600">
        <v>9</v>
      </c>
      <c r="BN145" s="601">
        <v>7</v>
      </c>
      <c r="BO145" s="600">
        <v>1</v>
      </c>
      <c r="BP145" s="604">
        <v>1</v>
      </c>
      <c r="BQ145" s="614">
        <v>1</v>
      </c>
    </row>
    <row r="146" spans="1:73">
      <c r="A146" s="651" t="s">
        <v>903</v>
      </c>
      <c r="B146" s="74" t="s">
        <v>206</v>
      </c>
      <c r="C146" s="71" t="s">
        <v>924</v>
      </c>
      <c r="D146" s="88">
        <f>IFERROR((MIA_P[[#This Row],[R]]*9)/MIA_P[[#This Row],[IP]],0)</f>
        <v>4.2485153037916854</v>
      </c>
      <c r="E146" s="28">
        <v>2</v>
      </c>
      <c r="F146" s="74">
        <v>5</v>
      </c>
      <c r="G146" s="28">
        <v>10</v>
      </c>
      <c r="H146" s="584">
        <v>65.67</v>
      </c>
      <c r="I146" s="28">
        <v>60</v>
      </c>
      <c r="J146" s="28">
        <v>31</v>
      </c>
      <c r="K146" s="28">
        <v>29</v>
      </c>
      <c r="L146" s="28">
        <v>55</v>
      </c>
      <c r="M146" s="28">
        <v>0</v>
      </c>
      <c r="N146" s="89">
        <f>IFERROR((MIA_P[[#This Row],[BB]]+MIA_P[[#This Row],[H]])/MIA_P[[#This Row],[IP]],0)</f>
        <v>1.355261154256129</v>
      </c>
      <c r="O146" s="28">
        <v>8</v>
      </c>
      <c r="P146" s="90">
        <v>4</v>
      </c>
      <c r="Q146" s="28">
        <v>1</v>
      </c>
      <c r="R146" s="74">
        <v>1</v>
      </c>
      <c r="S146" s="615">
        <v>2</v>
      </c>
      <c r="Z146" s="651" t="s">
        <v>903</v>
      </c>
      <c r="AA146" s="74" t="s">
        <v>206</v>
      </c>
      <c r="AB146" s="71" t="s">
        <v>924</v>
      </c>
      <c r="AC146" s="88">
        <f>IFERROR((MIA_P167[[#This Row],[R]]*9)/MIA_P167[[#This Row],[IP]],0)</f>
        <v>3.1763268630378714</v>
      </c>
      <c r="AD146" s="28">
        <v>3</v>
      </c>
      <c r="AE146" s="74">
        <v>4</v>
      </c>
      <c r="AF146" s="28">
        <v>10</v>
      </c>
      <c r="AG146" s="584">
        <v>73.67</v>
      </c>
      <c r="AH146" s="28">
        <v>66</v>
      </c>
      <c r="AI146" s="28">
        <v>26</v>
      </c>
      <c r="AJ146" s="28">
        <v>17</v>
      </c>
      <c r="AK146" s="28">
        <v>79</v>
      </c>
      <c r="AL146" s="28">
        <v>0</v>
      </c>
      <c r="AM146" s="89">
        <f>IFERROR((MIA_P167[[#This Row],[BB]]+MIA_P167[[#This Row],[H]])/MIA_P167[[#This Row],[IP]],0)</f>
        <v>1.1266458531288177</v>
      </c>
      <c r="AN146" s="28">
        <v>7</v>
      </c>
      <c r="AO146" s="90">
        <v>5</v>
      </c>
      <c r="AP146" s="28">
        <v>2</v>
      </c>
      <c r="AQ146" s="74">
        <v>1</v>
      </c>
      <c r="AR146" s="615">
        <v>2</v>
      </c>
      <c r="AY146" s="651" t="s">
        <v>903</v>
      </c>
      <c r="AZ146" s="74" t="s">
        <v>206</v>
      </c>
      <c r="BA146" s="71" t="s">
        <v>924</v>
      </c>
      <c r="BB146" s="88">
        <f>IFERROR((MIA_P167181[[#This Row],[R]]*9)/MIA_P167181[[#This Row],[IP]],0)</f>
        <v>3.8205745012027732</v>
      </c>
      <c r="BC146" s="28">
        <v>2</v>
      </c>
      <c r="BD146" s="74">
        <v>4</v>
      </c>
      <c r="BE146" s="28">
        <v>10</v>
      </c>
      <c r="BF146" s="584">
        <v>70.67</v>
      </c>
      <c r="BG146" s="28">
        <v>66</v>
      </c>
      <c r="BH146" s="28">
        <v>30</v>
      </c>
      <c r="BI146" s="28">
        <v>37</v>
      </c>
      <c r="BJ146" s="28">
        <v>64</v>
      </c>
      <c r="BK146" s="28">
        <v>0</v>
      </c>
      <c r="BL146" s="89">
        <f>IFERROR((MIA_P167181[[#This Row],[BB]]+MIA_P167181[[#This Row],[H]])/MIA_P167181[[#This Row],[IP]],0)</f>
        <v>1.4574784208292062</v>
      </c>
      <c r="BM146" s="28">
        <v>6</v>
      </c>
      <c r="BN146" s="90">
        <v>6</v>
      </c>
      <c r="BO146" s="28">
        <v>0</v>
      </c>
      <c r="BP146" s="74">
        <v>0</v>
      </c>
      <c r="BQ146" s="615">
        <v>2</v>
      </c>
    </row>
    <row r="147" spans="1:73">
      <c r="A147" s="651" t="s">
        <v>903</v>
      </c>
      <c r="B147" s="74" t="s">
        <v>206</v>
      </c>
      <c r="C147" s="116" t="s">
        <v>925</v>
      </c>
      <c r="D147" s="88">
        <f>IFERROR((MIA_P[[#This Row],[R]]*9)/MIA_P[[#This Row],[IP]],0)</f>
        <v>4.1873896999839566</v>
      </c>
      <c r="E147" s="28">
        <v>4</v>
      </c>
      <c r="F147" s="74">
        <v>3</v>
      </c>
      <c r="G147" s="28">
        <v>10</v>
      </c>
      <c r="H147" s="584">
        <v>62.33</v>
      </c>
      <c r="I147" s="28">
        <v>56</v>
      </c>
      <c r="J147" s="28">
        <v>29</v>
      </c>
      <c r="K147" s="28">
        <v>16</v>
      </c>
      <c r="L147" s="28">
        <v>50</v>
      </c>
      <c r="M147" s="28">
        <v>0</v>
      </c>
      <c r="N147" s="89">
        <f>IFERROR((MIA_P[[#This Row],[BB]]+MIA_P[[#This Row],[H]])/MIA_P[[#This Row],[IP]],0)</f>
        <v>1.1551419862024708</v>
      </c>
      <c r="O147" s="28">
        <v>6</v>
      </c>
      <c r="P147" s="90">
        <v>3</v>
      </c>
      <c r="Q147" s="28">
        <v>1</v>
      </c>
      <c r="R147" s="74">
        <v>0</v>
      </c>
      <c r="S147" s="615">
        <v>3</v>
      </c>
      <c r="Z147" s="651" t="s">
        <v>903</v>
      </c>
      <c r="AA147" s="74" t="s">
        <v>206</v>
      </c>
      <c r="AB147" s="116" t="s">
        <v>926</v>
      </c>
      <c r="AC147" s="88">
        <f>IFERROR((MIA_P167[[#This Row],[R]]*9)/MIA_P167[[#This Row],[IP]],0)</f>
        <v>4.5508174616551491</v>
      </c>
      <c r="AD147" s="28">
        <v>4</v>
      </c>
      <c r="AE147" s="74">
        <v>5</v>
      </c>
      <c r="AF147" s="28">
        <v>10</v>
      </c>
      <c r="AG147" s="584">
        <v>59.33</v>
      </c>
      <c r="AH147" s="28">
        <v>59</v>
      </c>
      <c r="AI147" s="28">
        <v>30</v>
      </c>
      <c r="AJ147" s="28">
        <v>25</v>
      </c>
      <c r="AK147" s="28">
        <v>57</v>
      </c>
      <c r="AL147" s="28">
        <v>0</v>
      </c>
      <c r="AM147" s="89">
        <f>IFERROR((MIA_P167[[#This Row],[BB]]+MIA_P167[[#This Row],[H]])/MIA_P167[[#This Row],[IP]],0)</f>
        <v>1.4158098769593799</v>
      </c>
      <c r="AN147" s="28">
        <v>4</v>
      </c>
      <c r="AO147" s="90">
        <v>2</v>
      </c>
      <c r="AP147" s="28">
        <v>0</v>
      </c>
      <c r="AQ147" s="74">
        <v>0</v>
      </c>
      <c r="AR147" s="615">
        <v>3</v>
      </c>
      <c r="AY147" s="651" t="s">
        <v>903</v>
      </c>
      <c r="AZ147" s="74" t="s">
        <v>206</v>
      </c>
      <c r="BA147" s="71" t="s">
        <v>926</v>
      </c>
      <c r="BB147" s="88">
        <f>IFERROR((MIA_P167181[[#This Row],[R]]*9)/MIA_P167181[[#This Row],[IP]],0)</f>
        <v>3.876429526214169</v>
      </c>
      <c r="BC147" s="28">
        <v>3</v>
      </c>
      <c r="BD147" s="74">
        <v>6</v>
      </c>
      <c r="BE147" s="28">
        <v>10</v>
      </c>
      <c r="BF147" s="584">
        <v>67.33</v>
      </c>
      <c r="BG147" s="28">
        <v>65</v>
      </c>
      <c r="BH147" s="28">
        <v>29</v>
      </c>
      <c r="BI147" s="28">
        <v>33</v>
      </c>
      <c r="BJ147" s="28">
        <v>78</v>
      </c>
      <c r="BK147" s="28">
        <v>0</v>
      </c>
      <c r="BL147" s="89">
        <f>IFERROR((MIA_P167181[[#This Row],[BB]]+MIA_P167181[[#This Row],[H]])/MIA_P167181[[#This Row],[IP]],0)</f>
        <v>1.4555175998811822</v>
      </c>
      <c r="BM147" s="28">
        <v>7</v>
      </c>
      <c r="BN147" s="90">
        <v>3</v>
      </c>
      <c r="BO147" s="28">
        <v>1</v>
      </c>
      <c r="BP147" s="74">
        <v>1</v>
      </c>
      <c r="BQ147" s="615">
        <v>3</v>
      </c>
    </row>
    <row r="148" spans="1:73">
      <c r="A148" s="651" t="s">
        <v>903</v>
      </c>
      <c r="B148" s="74" t="s">
        <v>206</v>
      </c>
      <c r="C148" s="116" t="s">
        <v>927</v>
      </c>
      <c r="D148" s="88">
        <f>IFERROR((MIA_P[[#This Row],[R]]*9)/MIA_P[[#This Row],[IP]],0)</f>
        <v>3.1766404620567945</v>
      </c>
      <c r="E148" s="28">
        <v>3</v>
      </c>
      <c r="F148" s="74">
        <v>2</v>
      </c>
      <c r="G148" s="28">
        <v>10</v>
      </c>
      <c r="H148" s="584">
        <v>62.33</v>
      </c>
      <c r="I148" s="28">
        <v>56</v>
      </c>
      <c r="J148" s="28">
        <v>22</v>
      </c>
      <c r="K148" s="28">
        <v>26</v>
      </c>
      <c r="L148" s="28">
        <v>79</v>
      </c>
      <c r="M148" s="28">
        <v>0</v>
      </c>
      <c r="N148" s="89">
        <f>IFERROR((MIA_P[[#This Row],[BB]]+MIA_P[[#This Row],[H]])/MIA_P[[#This Row],[IP]],0)</f>
        <v>1.3155783731750361</v>
      </c>
      <c r="O148" s="28">
        <v>6</v>
      </c>
      <c r="P148" s="90">
        <v>4</v>
      </c>
      <c r="Q148" s="28">
        <v>1</v>
      </c>
      <c r="R148" s="74">
        <v>1</v>
      </c>
      <c r="S148" s="615">
        <v>4</v>
      </c>
      <c r="Z148" s="651" t="s">
        <v>903</v>
      </c>
      <c r="AA148" s="74" t="s">
        <v>206</v>
      </c>
      <c r="AB148" s="116" t="s">
        <v>927</v>
      </c>
      <c r="AC148" s="88">
        <f>IFERROR((MIA_P167[[#This Row],[R]]*9)/MIA_P167[[#This Row],[IP]],0)</f>
        <v>8.4738340267133783</v>
      </c>
      <c r="AD148" s="28">
        <v>3</v>
      </c>
      <c r="AE148" s="74">
        <v>6</v>
      </c>
      <c r="AF148" s="28">
        <v>10</v>
      </c>
      <c r="AG148" s="584">
        <v>45.67</v>
      </c>
      <c r="AH148" s="28">
        <v>61</v>
      </c>
      <c r="AI148" s="28">
        <v>43</v>
      </c>
      <c r="AJ148" s="28">
        <v>27</v>
      </c>
      <c r="AK148" s="28">
        <v>49</v>
      </c>
      <c r="AL148" s="28">
        <v>0</v>
      </c>
      <c r="AM148" s="89">
        <f>IFERROR((MIA_P167[[#This Row],[BB]]+MIA_P167[[#This Row],[H]])/MIA_P167[[#This Row],[IP]],0)</f>
        <v>1.9268666520691919</v>
      </c>
      <c r="AN148" s="28">
        <v>3</v>
      </c>
      <c r="AO148" s="90">
        <v>1</v>
      </c>
      <c r="AP148" s="28">
        <v>1</v>
      </c>
      <c r="AQ148" s="74">
        <v>1</v>
      </c>
      <c r="AR148" s="615">
        <v>4</v>
      </c>
      <c r="AY148" s="651" t="s">
        <v>903</v>
      </c>
      <c r="AZ148" s="74" t="s">
        <v>206</v>
      </c>
      <c r="BA148" s="71" t="s">
        <v>449</v>
      </c>
      <c r="BB148" s="88">
        <f>IFERROR((MIA_P167181[[#This Row],[R]]*9)/MIA_P167181[[#This Row],[IP]],0)</f>
        <v>5.806451612903226</v>
      </c>
      <c r="BC148" s="28">
        <v>2</v>
      </c>
      <c r="BD148" s="104">
        <v>7</v>
      </c>
      <c r="BE148" s="28">
        <v>10</v>
      </c>
      <c r="BF148" s="584">
        <v>62</v>
      </c>
      <c r="BG148" s="28">
        <v>78</v>
      </c>
      <c r="BH148" s="28">
        <v>40</v>
      </c>
      <c r="BI148" s="28">
        <v>19</v>
      </c>
      <c r="BJ148" s="28">
        <v>67</v>
      </c>
      <c r="BK148" s="28">
        <v>0</v>
      </c>
      <c r="BL148" s="89">
        <f>IFERROR((MIA_P167181[[#This Row],[BB]]+MIA_P167181[[#This Row],[H]])/MIA_P167181[[#This Row],[IP]],0)</f>
        <v>1.564516129032258</v>
      </c>
      <c r="BM148" s="28">
        <v>2</v>
      </c>
      <c r="BN148" s="90">
        <v>0</v>
      </c>
      <c r="BO148" s="28">
        <v>0</v>
      </c>
      <c r="BP148" s="74">
        <v>0</v>
      </c>
      <c r="BQ148" s="615">
        <v>4</v>
      </c>
    </row>
    <row r="149" spans="1:73">
      <c r="A149" s="651" t="s">
        <v>903</v>
      </c>
      <c r="B149" s="74" t="s">
        <v>212</v>
      </c>
      <c r="C149" s="116" t="s">
        <v>928</v>
      </c>
      <c r="D149" s="88">
        <f>IFERROR((MIA_P[[#This Row],[R]]*9)/MIA_P[[#This Row],[IP]],0)</f>
        <v>4.7087547959539586</v>
      </c>
      <c r="E149" s="28">
        <v>1</v>
      </c>
      <c r="F149" s="74">
        <v>3</v>
      </c>
      <c r="G149" s="28">
        <v>15</v>
      </c>
      <c r="H149" s="584">
        <v>28.67</v>
      </c>
      <c r="I149" s="28">
        <v>28</v>
      </c>
      <c r="J149" s="28">
        <v>15</v>
      </c>
      <c r="K149" s="28">
        <v>17</v>
      </c>
      <c r="L149" s="28">
        <v>31</v>
      </c>
      <c r="M149" s="28">
        <v>2</v>
      </c>
      <c r="N149" s="89">
        <f>IFERROR((MIA_P[[#This Row],[BB]]+MIA_P[[#This Row],[H]])/MIA_P[[#This Row],[IP]],0)</f>
        <v>1.5695849319846529</v>
      </c>
      <c r="O149" s="28">
        <v>0</v>
      </c>
      <c r="P149" s="90">
        <v>0</v>
      </c>
      <c r="Q149" s="28">
        <v>0</v>
      </c>
      <c r="R149" s="74">
        <v>0</v>
      </c>
      <c r="S149" s="615">
        <v>5</v>
      </c>
      <c r="Z149" s="651" t="s">
        <v>903</v>
      </c>
      <c r="AA149" s="74" t="s">
        <v>212</v>
      </c>
      <c r="AB149" s="116" t="s">
        <v>928</v>
      </c>
      <c r="AC149" s="88">
        <f>IFERROR((MIA_P167[[#This Row],[R]]*9)/MIA_P167[[#This Row],[IP]],0)</f>
        <v>3.96</v>
      </c>
      <c r="AD149" s="28">
        <v>0</v>
      </c>
      <c r="AE149" s="74">
        <v>0</v>
      </c>
      <c r="AF149" s="28">
        <v>9</v>
      </c>
      <c r="AG149" s="584">
        <v>25</v>
      </c>
      <c r="AH149" s="28">
        <v>25</v>
      </c>
      <c r="AI149" s="28">
        <v>11</v>
      </c>
      <c r="AJ149" s="28">
        <v>10</v>
      </c>
      <c r="AK149" s="28">
        <v>20</v>
      </c>
      <c r="AL149" s="28">
        <v>1</v>
      </c>
      <c r="AM149" s="89">
        <f>IFERROR((MIA_P167[[#This Row],[BB]]+MIA_P167[[#This Row],[H]])/MIA_P167[[#This Row],[IP]],0)</f>
        <v>1.4</v>
      </c>
      <c r="AN149" s="28">
        <v>0</v>
      </c>
      <c r="AO149" s="90">
        <v>0</v>
      </c>
      <c r="AP149" s="28">
        <v>0</v>
      </c>
      <c r="AQ149" s="74">
        <v>0</v>
      </c>
      <c r="AR149" s="615">
        <v>5</v>
      </c>
      <c r="AY149" s="651" t="s">
        <v>903</v>
      </c>
      <c r="AZ149" s="74" t="s">
        <v>215</v>
      </c>
      <c r="BA149" s="983" t="s">
        <v>928</v>
      </c>
      <c r="BB149" s="88">
        <f>IFERROR((MIA_P167181[[#This Row],[R]]*9)/MIA_P167181[[#This Row],[IP]],0)</f>
        <v>15</v>
      </c>
      <c r="BC149" s="28">
        <v>0</v>
      </c>
      <c r="BD149" s="74">
        <v>0</v>
      </c>
      <c r="BE149" s="28">
        <v>3</v>
      </c>
      <c r="BF149" s="584">
        <v>3</v>
      </c>
      <c r="BG149" s="28">
        <v>6</v>
      </c>
      <c r="BH149" s="28">
        <v>5</v>
      </c>
      <c r="BI149" s="28">
        <v>1</v>
      </c>
      <c r="BJ149" s="28">
        <v>1</v>
      </c>
      <c r="BK149" s="28">
        <v>0</v>
      </c>
      <c r="BL149" s="89">
        <f>IFERROR((MIA_P167181[[#This Row],[BB]]+MIA_P167181[[#This Row],[H]])/MIA_P167181[[#This Row],[IP]],0)</f>
        <v>2.3333333333333335</v>
      </c>
      <c r="BM149" s="28">
        <v>0</v>
      </c>
      <c r="BN149" s="90">
        <v>0</v>
      </c>
      <c r="BO149" s="28">
        <v>0</v>
      </c>
      <c r="BP149" s="74">
        <v>0</v>
      </c>
      <c r="BQ149" s="615">
        <v>5</v>
      </c>
    </row>
    <row r="150" spans="1:73">
      <c r="A150" s="651" t="s">
        <v>903</v>
      </c>
      <c r="B150" s="74" t="s">
        <v>215</v>
      </c>
      <c r="C150" s="116" t="s">
        <v>932</v>
      </c>
      <c r="D150" s="88">
        <f>IFERROR((MIA_P[[#This Row],[R]]*9)/MIA_P[[#This Row],[IP]],0)</f>
        <v>4.9113233287858113</v>
      </c>
      <c r="E150" s="28">
        <v>0</v>
      </c>
      <c r="F150" s="74">
        <v>0</v>
      </c>
      <c r="G150" s="28">
        <v>3</v>
      </c>
      <c r="H150" s="584">
        <v>7.33</v>
      </c>
      <c r="I150" s="28">
        <v>5</v>
      </c>
      <c r="J150" s="28">
        <v>4</v>
      </c>
      <c r="K150" s="28">
        <v>3</v>
      </c>
      <c r="L150" s="28">
        <v>5</v>
      </c>
      <c r="M150" s="28">
        <v>0</v>
      </c>
      <c r="N150" s="89">
        <f>IFERROR((MIA_P[[#This Row],[BB]]+MIA_P[[#This Row],[H]])/MIA_P[[#This Row],[IP]],0)</f>
        <v>1.0914051841746248</v>
      </c>
      <c r="O150" s="28">
        <v>0</v>
      </c>
      <c r="P150" s="90">
        <v>0</v>
      </c>
      <c r="Q150" s="28">
        <v>0</v>
      </c>
      <c r="R150" s="74">
        <v>0</v>
      </c>
      <c r="S150" s="615">
        <v>6</v>
      </c>
      <c r="Z150" s="651" t="s">
        <v>903</v>
      </c>
      <c r="AA150" s="74" t="s">
        <v>212</v>
      </c>
      <c r="AB150" s="116" t="s">
        <v>931</v>
      </c>
      <c r="AC150" s="88">
        <f>IFERROR((MIA_P167[[#This Row],[R]]*9)/MIA_P167[[#This Row],[IP]],0)</f>
        <v>0</v>
      </c>
      <c r="AD150" s="28">
        <v>0</v>
      </c>
      <c r="AE150" s="74">
        <v>0</v>
      </c>
      <c r="AF150" s="28">
        <v>0</v>
      </c>
      <c r="AG150" s="584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89">
        <f>IFERROR((MIA_P167[[#This Row],[BB]]+MIA_P167[[#This Row],[H]])/MIA_P167[[#This Row],[IP]],0)</f>
        <v>0</v>
      </c>
      <c r="AN150" s="28">
        <v>0</v>
      </c>
      <c r="AO150" s="90">
        <v>0</v>
      </c>
      <c r="AP150" s="28">
        <v>0</v>
      </c>
      <c r="AQ150" s="74">
        <v>0</v>
      </c>
      <c r="AR150" s="615">
        <v>6</v>
      </c>
      <c r="AY150" s="651" t="s">
        <v>903</v>
      </c>
      <c r="AZ150" s="74" t="s">
        <v>215</v>
      </c>
      <c r="BA150" s="71" t="s">
        <v>931</v>
      </c>
      <c r="BB150" s="88">
        <f>IFERROR((MIA_P167181[[#This Row],[R]]*9)/MIA_P167181[[#This Row],[IP]],0)</f>
        <v>5.25</v>
      </c>
      <c r="BC150" s="28">
        <v>0</v>
      </c>
      <c r="BD150" s="74">
        <v>0</v>
      </c>
      <c r="BE150" s="28">
        <v>8</v>
      </c>
      <c r="BF150" s="584">
        <v>12</v>
      </c>
      <c r="BG150" s="28">
        <v>11</v>
      </c>
      <c r="BH150" s="28">
        <v>7</v>
      </c>
      <c r="BI150" s="28">
        <v>8</v>
      </c>
      <c r="BJ150" s="28">
        <v>9</v>
      </c>
      <c r="BK150" s="28">
        <v>0</v>
      </c>
      <c r="BL150" s="89">
        <f>IFERROR((MIA_P167181[[#This Row],[BB]]+MIA_P167181[[#This Row],[H]])/MIA_P167181[[#This Row],[IP]],0)</f>
        <v>1.5833333333333333</v>
      </c>
      <c r="BM150" s="28">
        <v>0</v>
      </c>
      <c r="BN150" s="90">
        <v>0</v>
      </c>
      <c r="BO150" s="28">
        <v>0</v>
      </c>
      <c r="BP150" s="74">
        <v>0</v>
      </c>
      <c r="BQ150" s="615">
        <v>6</v>
      </c>
    </row>
    <row r="151" spans="1:73">
      <c r="A151" s="651" t="s">
        <v>903</v>
      </c>
      <c r="B151" s="74" t="s">
        <v>212</v>
      </c>
      <c r="C151" s="116" t="s">
        <v>931</v>
      </c>
      <c r="D151" s="88">
        <f>IFERROR((MIA_P[[#This Row],[R]]*9)/MIA_P[[#This Row],[IP]],0)</f>
        <v>2.7006751687921979</v>
      </c>
      <c r="E151" s="28">
        <v>0</v>
      </c>
      <c r="F151" s="74">
        <v>0</v>
      </c>
      <c r="G151" s="28">
        <v>7</v>
      </c>
      <c r="H151" s="584">
        <v>13.33</v>
      </c>
      <c r="I151" s="28">
        <v>8</v>
      </c>
      <c r="J151" s="28">
        <v>4</v>
      </c>
      <c r="K151" s="28">
        <v>5</v>
      </c>
      <c r="L151" s="28">
        <v>13</v>
      </c>
      <c r="M151" s="28">
        <v>1</v>
      </c>
      <c r="N151" s="89">
        <f>IFERROR((MIA_P[[#This Row],[BB]]+MIA_P[[#This Row],[H]])/MIA_P[[#This Row],[IP]],0)</f>
        <v>0.97524381095273815</v>
      </c>
      <c r="O151" s="28">
        <v>0</v>
      </c>
      <c r="P151" s="90">
        <v>0</v>
      </c>
      <c r="Q151" s="28">
        <v>0</v>
      </c>
      <c r="R151" s="74">
        <v>0</v>
      </c>
      <c r="S151" s="615">
        <v>7</v>
      </c>
      <c r="Z151" s="651" t="s">
        <v>903</v>
      </c>
      <c r="AA151" s="74" t="s">
        <v>212</v>
      </c>
      <c r="AB151" s="116" t="s">
        <v>933</v>
      </c>
      <c r="AC151" s="88">
        <f>IFERROR((MIA_P167[[#This Row],[R]]*9)/MIA_P167[[#This Row],[IP]],0)</f>
        <v>7.3649754500818334</v>
      </c>
      <c r="AD151" s="28">
        <v>0</v>
      </c>
      <c r="AE151" s="74">
        <v>0</v>
      </c>
      <c r="AF151" s="28">
        <v>10</v>
      </c>
      <c r="AG151" s="584">
        <v>18.329999999999998</v>
      </c>
      <c r="AH151" s="28">
        <v>27</v>
      </c>
      <c r="AI151" s="28">
        <v>15</v>
      </c>
      <c r="AJ151" s="28">
        <v>7</v>
      </c>
      <c r="AK151" s="28">
        <v>16</v>
      </c>
      <c r="AL151" s="28">
        <v>0</v>
      </c>
      <c r="AM151" s="89">
        <f>IFERROR((MIA_P167[[#This Row],[BB]]+MIA_P167[[#This Row],[H]])/MIA_P167[[#This Row],[IP]],0)</f>
        <v>1.8548827059465358</v>
      </c>
      <c r="AN151" s="28">
        <v>0</v>
      </c>
      <c r="AO151" s="90">
        <v>0</v>
      </c>
      <c r="AP151" s="28">
        <v>0</v>
      </c>
      <c r="AQ151" s="74">
        <v>0</v>
      </c>
      <c r="AR151" s="615">
        <v>7</v>
      </c>
      <c r="AY151" s="651" t="s">
        <v>903</v>
      </c>
      <c r="AZ151" s="74" t="s">
        <v>212</v>
      </c>
      <c r="BA151" s="71" t="s">
        <v>927</v>
      </c>
      <c r="BB151" s="88">
        <f>IFERROR((MIA_P167181[[#This Row],[R]]*9)/MIA_P167181[[#This Row],[IP]],0)</f>
        <v>6.7478912839737584</v>
      </c>
      <c r="BC151" s="28">
        <v>3</v>
      </c>
      <c r="BD151" s="74">
        <v>0</v>
      </c>
      <c r="BE151" s="28">
        <v>7</v>
      </c>
      <c r="BF151" s="584">
        <v>10.67</v>
      </c>
      <c r="BG151" s="28">
        <v>11</v>
      </c>
      <c r="BH151" s="28">
        <v>8</v>
      </c>
      <c r="BI151" s="28">
        <v>4</v>
      </c>
      <c r="BJ151" s="28">
        <v>12</v>
      </c>
      <c r="BK151" s="28">
        <v>0</v>
      </c>
      <c r="BL151" s="89">
        <f>IFERROR((MIA_P167181[[#This Row],[BB]]+MIA_P167181[[#This Row],[H]])/MIA_P167181[[#This Row],[IP]],0)</f>
        <v>1.4058106841611997</v>
      </c>
      <c r="BM151" s="28">
        <v>0</v>
      </c>
      <c r="BN151" s="90">
        <v>0</v>
      </c>
      <c r="BO151" s="28">
        <v>0</v>
      </c>
      <c r="BP151" s="74">
        <v>0</v>
      </c>
      <c r="BQ151" s="615">
        <v>7</v>
      </c>
    </row>
    <row r="152" spans="1:73">
      <c r="A152" s="651" t="s">
        <v>903</v>
      </c>
      <c r="B152" s="74" t="s">
        <v>212</v>
      </c>
      <c r="C152" s="116" t="s">
        <v>2173</v>
      </c>
      <c r="D152" s="88">
        <f>IFERROR((MIA_P[[#This Row],[R]]*9)/MIA_P[[#This Row],[IP]],0)</f>
        <v>6.3548102383053839</v>
      </c>
      <c r="E152" s="28">
        <v>0</v>
      </c>
      <c r="F152" s="74">
        <v>2</v>
      </c>
      <c r="G152" s="28">
        <v>10</v>
      </c>
      <c r="H152" s="584">
        <v>11.33</v>
      </c>
      <c r="I152" s="28">
        <v>20</v>
      </c>
      <c r="J152" s="28">
        <v>8</v>
      </c>
      <c r="K152" s="28">
        <v>2</v>
      </c>
      <c r="L152" s="28">
        <v>10</v>
      </c>
      <c r="M152" s="28">
        <v>0</v>
      </c>
      <c r="N152" s="89">
        <f>IFERROR((MIA_P[[#This Row],[BB]]+MIA_P[[#This Row],[H]])/MIA_P[[#This Row],[IP]],0)</f>
        <v>1.941747572815534</v>
      </c>
      <c r="O152" s="28">
        <v>0</v>
      </c>
      <c r="P152" s="90">
        <v>0</v>
      </c>
      <c r="Q152" s="28">
        <v>0</v>
      </c>
      <c r="R152" s="74">
        <v>0</v>
      </c>
      <c r="S152" s="615">
        <v>8</v>
      </c>
      <c r="Z152" s="651" t="s">
        <v>903</v>
      </c>
      <c r="AA152" s="74" t="s">
        <v>212</v>
      </c>
      <c r="AB152" s="984" t="s">
        <v>2173</v>
      </c>
      <c r="AC152" s="88">
        <f>IFERROR((MIA_P167[[#This Row],[R]]*9)/MIA_P167[[#This Row],[IP]],0)</f>
        <v>7.9435127978817297</v>
      </c>
      <c r="AD152" s="28">
        <v>0</v>
      </c>
      <c r="AE152" s="74">
        <v>3</v>
      </c>
      <c r="AF152" s="28">
        <v>12</v>
      </c>
      <c r="AG152" s="584">
        <v>11.33</v>
      </c>
      <c r="AH152" s="28">
        <v>16</v>
      </c>
      <c r="AI152" s="28">
        <v>10</v>
      </c>
      <c r="AJ152" s="28">
        <v>12</v>
      </c>
      <c r="AK152" s="28">
        <v>17</v>
      </c>
      <c r="AL152" s="28">
        <v>0</v>
      </c>
      <c r="AM152" s="89">
        <f>IFERROR((MIA_P167[[#This Row],[BB]]+MIA_P167[[#This Row],[H]])/MIA_P167[[#This Row],[IP]],0)</f>
        <v>2.4713150926743159</v>
      </c>
      <c r="AN152" s="28">
        <v>0</v>
      </c>
      <c r="AO152" s="90">
        <v>0</v>
      </c>
      <c r="AP152" s="28">
        <v>0</v>
      </c>
      <c r="AQ152" s="74">
        <v>0</v>
      </c>
      <c r="AR152" s="615">
        <v>8</v>
      </c>
      <c r="AY152" s="651" t="s">
        <v>903</v>
      </c>
      <c r="AZ152" s="74" t="s">
        <v>212</v>
      </c>
      <c r="BA152" s="984" t="s">
        <v>2173</v>
      </c>
      <c r="BB152" s="88">
        <f>IFERROR((MIA_P167181[[#This Row],[R]]*9)/MIA_P167181[[#This Row],[IP]],0)</f>
        <v>2.1897810218978102</v>
      </c>
      <c r="BC152" s="28">
        <v>0</v>
      </c>
      <c r="BD152" s="74">
        <v>0</v>
      </c>
      <c r="BE152" s="28">
        <v>6</v>
      </c>
      <c r="BF152" s="584">
        <v>12.33</v>
      </c>
      <c r="BG152" s="28">
        <v>12</v>
      </c>
      <c r="BH152" s="28">
        <v>3</v>
      </c>
      <c r="BI152" s="28">
        <v>4</v>
      </c>
      <c r="BJ152" s="28">
        <v>13</v>
      </c>
      <c r="BK152" s="28">
        <v>0</v>
      </c>
      <c r="BL152" s="89">
        <f>IFERROR((MIA_P167181[[#This Row],[BB]]+MIA_P167181[[#This Row],[H]])/MIA_P167181[[#This Row],[IP]],0)</f>
        <v>1.29764801297648</v>
      </c>
      <c r="BM152" s="28">
        <v>0</v>
      </c>
      <c r="BN152" s="90">
        <v>0</v>
      </c>
      <c r="BO152" s="28">
        <v>0</v>
      </c>
      <c r="BP152" s="74">
        <v>0</v>
      </c>
      <c r="BQ152" s="615">
        <v>8</v>
      </c>
    </row>
    <row r="153" spans="1:73">
      <c r="A153" s="651" t="s">
        <v>903</v>
      </c>
      <c r="B153" s="74" t="s">
        <v>212</v>
      </c>
      <c r="C153" s="116" t="s">
        <v>929</v>
      </c>
      <c r="D153" s="88">
        <f>IFERROR((MIA_P[[#This Row],[R]]*9)/MIA_P[[#This Row],[IP]],0)</f>
        <v>4.7647058823529411</v>
      </c>
      <c r="E153" s="28">
        <v>1</v>
      </c>
      <c r="F153" s="74">
        <v>0</v>
      </c>
      <c r="G153" s="28">
        <v>11</v>
      </c>
      <c r="H153" s="584">
        <v>17</v>
      </c>
      <c r="I153" s="28">
        <v>12</v>
      </c>
      <c r="J153" s="28">
        <v>9</v>
      </c>
      <c r="K153" s="28">
        <v>10</v>
      </c>
      <c r="L153" s="28">
        <v>15</v>
      </c>
      <c r="M153" s="28">
        <v>0</v>
      </c>
      <c r="N153" s="89">
        <f>IFERROR((MIA_P[[#This Row],[BB]]+MIA_P[[#This Row],[H]])/MIA_P[[#This Row],[IP]],0)</f>
        <v>1.2941176470588236</v>
      </c>
      <c r="O153" s="28">
        <v>0</v>
      </c>
      <c r="P153" s="90">
        <v>0</v>
      </c>
      <c r="Q153" s="28">
        <v>0</v>
      </c>
      <c r="R153" s="74">
        <v>0</v>
      </c>
      <c r="S153" s="615">
        <v>9</v>
      </c>
      <c r="Z153" s="651" t="s">
        <v>903</v>
      </c>
      <c r="AA153" s="74" t="s">
        <v>212</v>
      </c>
      <c r="AB153" s="983" t="s">
        <v>929</v>
      </c>
      <c r="AC153" s="88">
        <f>IFERROR((MIA_P167[[#This Row],[R]]*9)/MIA_P167[[#This Row],[IP]],0)</f>
        <v>3.6991368680641186</v>
      </c>
      <c r="AD153" s="28">
        <v>1</v>
      </c>
      <c r="AE153" s="74">
        <v>1</v>
      </c>
      <c r="AF153" s="28">
        <v>10</v>
      </c>
      <c r="AG153" s="584">
        <v>24.33</v>
      </c>
      <c r="AH153" s="28">
        <v>22</v>
      </c>
      <c r="AI153" s="28">
        <v>10</v>
      </c>
      <c r="AJ153" s="28">
        <v>9</v>
      </c>
      <c r="AK153" s="28">
        <v>34</v>
      </c>
      <c r="AL153" s="28">
        <v>0</v>
      </c>
      <c r="AM153" s="89">
        <f>IFERROR((MIA_P167[[#This Row],[BB]]+MIA_P167[[#This Row],[H]])/MIA_P167[[#This Row],[IP]],0)</f>
        <v>1.2741471434443075</v>
      </c>
      <c r="AN153" s="28">
        <v>0</v>
      </c>
      <c r="AO153" s="90">
        <v>0</v>
      </c>
      <c r="AP153" s="28">
        <v>0</v>
      </c>
      <c r="AQ153" s="74">
        <v>0</v>
      </c>
      <c r="AR153" s="615">
        <v>9</v>
      </c>
      <c r="AY153" s="651" t="s">
        <v>903</v>
      </c>
      <c r="AZ153" s="74" t="s">
        <v>215</v>
      </c>
      <c r="BA153" s="116" t="s">
        <v>929</v>
      </c>
      <c r="BB153" s="88">
        <f>IFERROR((MIA_P167181[[#This Row],[R]]*9)/MIA_P167181[[#This Row],[IP]],0)</f>
        <v>7</v>
      </c>
      <c r="BC153" s="28">
        <v>1</v>
      </c>
      <c r="BD153" s="74">
        <v>4</v>
      </c>
      <c r="BE153" s="28">
        <v>16</v>
      </c>
      <c r="BF153" s="584">
        <v>18</v>
      </c>
      <c r="BG153" s="28">
        <v>28</v>
      </c>
      <c r="BH153" s="28">
        <v>14</v>
      </c>
      <c r="BI153" s="28">
        <v>6</v>
      </c>
      <c r="BJ153" s="28">
        <v>17</v>
      </c>
      <c r="BK153" s="28">
        <v>3</v>
      </c>
      <c r="BL153" s="89">
        <f>IFERROR((MIA_P167181[[#This Row],[BB]]+MIA_P167181[[#This Row],[H]])/MIA_P167181[[#This Row],[IP]],0)</f>
        <v>1.8888888888888888</v>
      </c>
      <c r="BM153" s="28">
        <v>0</v>
      </c>
      <c r="BN153" s="90">
        <v>0</v>
      </c>
      <c r="BO153" s="28">
        <v>0</v>
      </c>
      <c r="BP153" s="74">
        <v>0</v>
      </c>
      <c r="BQ153" s="615">
        <v>9</v>
      </c>
    </row>
    <row r="154" spans="1:73" ht="17" thickBot="1">
      <c r="A154" s="651" t="s">
        <v>903</v>
      </c>
      <c r="B154" s="74" t="s">
        <v>215</v>
      </c>
      <c r="C154" s="116" t="s">
        <v>934</v>
      </c>
      <c r="D154" s="88">
        <f>IFERROR((MIA_P[[#This Row],[R]]*9)/MIA_P[[#This Row],[IP]],0)</f>
        <v>8.7378640776699026</v>
      </c>
      <c r="E154" s="28">
        <v>3</v>
      </c>
      <c r="F154" s="74">
        <v>2</v>
      </c>
      <c r="G154" s="28">
        <v>13</v>
      </c>
      <c r="H154" s="584">
        <v>11.33</v>
      </c>
      <c r="I154" s="28">
        <v>14</v>
      </c>
      <c r="J154" s="28">
        <v>11</v>
      </c>
      <c r="K154" s="28">
        <v>11</v>
      </c>
      <c r="L154" s="28">
        <v>11</v>
      </c>
      <c r="M154" s="28">
        <v>2</v>
      </c>
      <c r="N154" s="89">
        <f>IFERROR((MIA_P[[#This Row],[BB]]+MIA_P[[#This Row],[H]])/MIA_P[[#This Row],[IP]],0)</f>
        <v>2.206531332744925</v>
      </c>
      <c r="O154" s="28">
        <v>0</v>
      </c>
      <c r="P154" s="90">
        <v>0</v>
      </c>
      <c r="Q154" s="28">
        <v>0</v>
      </c>
      <c r="R154" s="74">
        <v>0</v>
      </c>
      <c r="S154" s="615">
        <v>10</v>
      </c>
      <c r="Z154" s="651" t="s">
        <v>903</v>
      </c>
      <c r="AA154" s="74" t="s">
        <v>212</v>
      </c>
      <c r="AB154" s="116" t="s">
        <v>935</v>
      </c>
      <c r="AC154" s="88">
        <f>IFERROR((MIA_P167[[#This Row],[R]]*9)/MIA_P167[[#This Row],[IP]],0)</f>
        <v>2.5</v>
      </c>
      <c r="AD154" s="28">
        <v>1</v>
      </c>
      <c r="AE154" s="74">
        <v>1</v>
      </c>
      <c r="AF154" s="28">
        <v>15</v>
      </c>
      <c r="AG154" s="584">
        <v>18</v>
      </c>
      <c r="AH154" s="28">
        <v>14</v>
      </c>
      <c r="AI154" s="28">
        <v>5</v>
      </c>
      <c r="AJ154" s="28">
        <v>7</v>
      </c>
      <c r="AK154" s="28">
        <v>11</v>
      </c>
      <c r="AL154" s="28">
        <v>6</v>
      </c>
      <c r="AM154" s="89">
        <f>IFERROR((MIA_P167[[#This Row],[BB]]+MIA_P167[[#This Row],[H]])/MIA_P167[[#This Row],[IP]],0)</f>
        <v>1.1666666666666667</v>
      </c>
      <c r="AN154" s="28">
        <v>0</v>
      </c>
      <c r="AO154" s="90">
        <v>0</v>
      </c>
      <c r="AP154" s="28">
        <v>0</v>
      </c>
      <c r="AQ154" s="74">
        <v>0</v>
      </c>
      <c r="AR154" s="615">
        <v>10</v>
      </c>
      <c r="AY154" s="651" t="s">
        <v>903</v>
      </c>
      <c r="AZ154" s="74" t="s">
        <v>212</v>
      </c>
      <c r="BA154" s="71" t="s">
        <v>936</v>
      </c>
      <c r="BB154" s="88">
        <f>IFERROR((MIA_P167181[[#This Row],[R]]*9)/MIA_P167181[[#This Row],[IP]],0)</f>
        <v>3.4945287680903636</v>
      </c>
      <c r="BC154" s="28">
        <v>0</v>
      </c>
      <c r="BD154" s="74">
        <v>1</v>
      </c>
      <c r="BE154" s="28">
        <v>25</v>
      </c>
      <c r="BF154" s="584">
        <v>28.33</v>
      </c>
      <c r="BG154" s="28">
        <v>23</v>
      </c>
      <c r="BH154" s="28">
        <v>11</v>
      </c>
      <c r="BI154" s="28">
        <v>10</v>
      </c>
      <c r="BJ154" s="28">
        <v>35</v>
      </c>
      <c r="BK154" s="28">
        <v>5</v>
      </c>
      <c r="BL154" s="89">
        <f>IFERROR((MIA_P167181[[#This Row],[BB]]+MIA_P167181[[#This Row],[H]])/MIA_P167181[[#This Row],[IP]],0)</f>
        <v>1.164842922696788</v>
      </c>
      <c r="BM154" s="28">
        <v>0</v>
      </c>
      <c r="BN154" s="90">
        <v>0</v>
      </c>
      <c r="BO154" s="28">
        <v>0</v>
      </c>
      <c r="BP154" s="74">
        <v>0</v>
      </c>
      <c r="BQ154" s="615">
        <v>10</v>
      </c>
    </row>
    <row r="155" spans="1:73" ht="17" thickBot="1">
      <c r="A155" s="823"/>
      <c r="B155" s="824"/>
      <c r="C155" s="791" t="s">
        <v>195</v>
      </c>
      <c r="D155" s="798">
        <f>(J155*9)/H155</f>
        <v>3.8281582305401964</v>
      </c>
      <c r="E155" s="794">
        <f>SUBTOTAL(109,MIA_P[W])</f>
        <v>17</v>
      </c>
      <c r="F155" s="796">
        <f>SUBTOTAL(109,MIA_P[L])</f>
        <v>23</v>
      </c>
      <c r="G155" s="794"/>
      <c r="H155" s="799">
        <f>SUBTOTAL(109,MIA_P[IP])</f>
        <v>352.64999999999992</v>
      </c>
      <c r="I155" s="795">
        <f>SUBTOTAL(109,MIA_P[H])</f>
        <v>310</v>
      </c>
      <c r="J155" s="794">
        <f>SUBTOTAL(109,MIA_P[R])</f>
        <v>150</v>
      </c>
      <c r="K155" s="794">
        <f>SUBTOTAL(109,MIA_P[BB])</f>
        <v>136</v>
      </c>
      <c r="L155" s="794">
        <f>SUBTOTAL(109,MIA_P[K])</f>
        <v>358</v>
      </c>
      <c r="M155" s="794">
        <f>SUBTOTAL(109,MIA_P[SV])</f>
        <v>5</v>
      </c>
      <c r="N155" s="800">
        <f>(K155+I155)/H155</f>
        <v>1.2647100524599464</v>
      </c>
      <c r="O155" s="834">
        <f>SUBTOTAL(109,MIA_P[QS])</f>
        <v>29</v>
      </c>
      <c r="P155" s="835">
        <f>SUBTOTAL(109,MIA_P[UQ])</f>
        <v>18</v>
      </c>
      <c r="Q155" s="795">
        <f>SUBTOTAL(109,MIA_P[CG])</f>
        <v>4</v>
      </c>
      <c r="R155" s="796">
        <f>SUBTOTAL(109,MIA_P[SH])</f>
        <v>2</v>
      </c>
      <c r="S155" s="836"/>
      <c r="Z155" s="823"/>
      <c r="AA155" s="824"/>
      <c r="AB155" s="791" t="s">
        <v>195</v>
      </c>
      <c r="AC155" s="798">
        <f>(AI155*9)/AG155</f>
        <v>4.3499399416576106</v>
      </c>
      <c r="AD155" s="794">
        <f>SUBTOTAL(109,MIA_P167[W])</f>
        <v>17</v>
      </c>
      <c r="AE155" s="796">
        <f>SUBTOTAL(109,MIA_P167[L])</f>
        <v>23</v>
      </c>
      <c r="AF155" s="794"/>
      <c r="AG155" s="799">
        <f>SUBTOTAL(109,MIA_P167[IP])</f>
        <v>349.65999999999997</v>
      </c>
      <c r="AH155" s="794">
        <f>SUBTOTAL(109,MIA_P167[H])</f>
        <v>343</v>
      </c>
      <c r="AI155" s="794">
        <f>SUBTOTAL(109,MIA_P167[R])</f>
        <v>169</v>
      </c>
      <c r="AJ155" s="794">
        <f>SUBTOTAL(109,MIA_P167[BB])</f>
        <v>138</v>
      </c>
      <c r="AK155" s="794">
        <f>SUBTOTAL(109,MIA_P167[K])</f>
        <v>374</v>
      </c>
      <c r="AL155" s="794">
        <f>SUBTOTAL(109,MIA_P167[SV])</f>
        <v>7</v>
      </c>
      <c r="AM155" s="800">
        <f>(AJ155+AH155)/AG155</f>
        <v>1.375622032831894</v>
      </c>
      <c r="AN155" s="834">
        <f>SUBTOTAL(109,MIA_P167[QS])</f>
        <v>22</v>
      </c>
      <c r="AO155" s="835">
        <f>SUBTOTAL(109,MIA_P167[UQ])</f>
        <v>14</v>
      </c>
      <c r="AP155" s="841">
        <f>SUBTOTAL(109,MIA_P167[CG])</f>
        <v>6</v>
      </c>
      <c r="AQ155" s="796">
        <f>SUBTOTAL(109,MIA_P167[SH])</f>
        <v>4</v>
      </c>
      <c r="AR155" s="836"/>
      <c r="AY155" s="823"/>
      <c r="AZ155" s="824"/>
      <c r="BA155" s="791" t="s">
        <v>195</v>
      </c>
      <c r="BB155" s="798">
        <f>IFERROR((BH155*9)/BF155,0)</f>
        <v>4.1443776540009933</v>
      </c>
      <c r="BC155" s="794">
        <f>SUBTOTAL(109,MIA_P167181[W])</f>
        <v>17</v>
      </c>
      <c r="BD155" s="796">
        <f>SUBTOTAL(109,MIA_P167181[L])</f>
        <v>23</v>
      </c>
      <c r="BE155" s="794"/>
      <c r="BF155" s="799">
        <f>SUBTOTAL(109,MIA_P167181[IP])</f>
        <v>362.65999999999997</v>
      </c>
      <c r="BG155" s="794">
        <f>SUBTOTAL(109,MIA_P167181[H])</f>
        <v>360</v>
      </c>
      <c r="BH155" s="794">
        <f>SUBTOTAL(109,MIA_P167181[R])</f>
        <v>167</v>
      </c>
      <c r="BI155" s="794">
        <f>SUBTOTAL(109,MIA_P167181[BB])</f>
        <v>144</v>
      </c>
      <c r="BJ155" s="794">
        <f>SUBTOTAL(109,MIA_P167181[K])</f>
        <v>376</v>
      </c>
      <c r="BK155" s="794">
        <f>SUBTOTAL(109,MIA_P167181[SV])</f>
        <v>8</v>
      </c>
      <c r="BL155" s="800">
        <f>(BI155+BG155)/BF155</f>
        <v>1.3897314288865605</v>
      </c>
      <c r="BM155" s="834">
        <f>SUBTOTAL(109,MIA_P167181[QS])</f>
        <v>24</v>
      </c>
      <c r="BN155" s="835">
        <f>SUM(BN145:BN154)</f>
        <v>16</v>
      </c>
      <c r="BO155" s="794">
        <f>SUBTOTAL(109,MIA_P167181[CG])</f>
        <v>2</v>
      </c>
      <c r="BP155" s="796">
        <f>SUBTOTAL(109,MIA_P167181[SH])</f>
        <v>2</v>
      </c>
      <c r="BQ155" s="836"/>
    </row>
    <row r="156" spans="1:73" ht="17" thickBot="1"/>
    <row r="157" spans="1:73" ht="29" thickBot="1">
      <c r="A157" s="1018" t="s">
        <v>937</v>
      </c>
      <c r="B157" s="1019"/>
      <c r="C157" s="1019"/>
      <c r="D157" s="1019"/>
      <c r="E157" s="1019"/>
      <c r="F157" s="1019"/>
      <c r="G157" s="1019"/>
      <c r="H157" s="1019"/>
      <c r="I157" s="1019"/>
      <c r="J157" s="1019"/>
      <c r="K157" s="1019"/>
      <c r="L157" s="1019"/>
      <c r="M157" s="1019"/>
      <c r="N157" s="1019"/>
      <c r="O157" s="1019"/>
      <c r="P157" s="1019"/>
      <c r="Q157" s="1019"/>
      <c r="R157" s="1019"/>
      <c r="S157" s="1019"/>
      <c r="T157" s="1019"/>
      <c r="U157" s="1019"/>
      <c r="V157" s="1019"/>
      <c r="W157" s="1020"/>
      <c r="Z157" s="1018" t="s">
        <v>937</v>
      </c>
      <c r="AA157" s="1019"/>
      <c r="AB157" s="1019"/>
      <c r="AC157" s="1019"/>
      <c r="AD157" s="1019"/>
      <c r="AE157" s="1019"/>
      <c r="AF157" s="1019"/>
      <c r="AG157" s="1019"/>
      <c r="AH157" s="1019"/>
      <c r="AI157" s="1019"/>
      <c r="AJ157" s="1019"/>
      <c r="AK157" s="1019"/>
      <c r="AL157" s="1019"/>
      <c r="AM157" s="1019"/>
      <c r="AN157" s="1019"/>
      <c r="AO157" s="1019"/>
      <c r="AP157" s="1019"/>
      <c r="AQ157" s="1019"/>
      <c r="AR157" s="1019"/>
      <c r="AS157" s="1019"/>
      <c r="AT157" s="1019"/>
      <c r="AU157" s="1019"/>
      <c r="AV157" s="1020"/>
      <c r="AY157" s="1018" t="s">
        <v>937</v>
      </c>
      <c r="AZ157" s="1019"/>
      <c r="BA157" s="1019"/>
      <c r="BB157" s="1019"/>
      <c r="BC157" s="1019"/>
      <c r="BD157" s="1019"/>
      <c r="BE157" s="1019"/>
      <c r="BF157" s="1019"/>
      <c r="BG157" s="1019"/>
      <c r="BH157" s="1019"/>
      <c r="BI157" s="1019"/>
      <c r="BJ157" s="1019"/>
      <c r="BK157" s="1019"/>
      <c r="BL157" s="1019"/>
      <c r="BM157" s="1019"/>
      <c r="BN157" s="1019"/>
      <c r="BO157" s="1019"/>
      <c r="BP157" s="1019"/>
      <c r="BQ157" s="1019"/>
      <c r="BR157" s="1019"/>
      <c r="BS157" s="1019"/>
      <c r="BT157" s="1019"/>
      <c r="BU157" s="1020"/>
    </row>
    <row r="158" spans="1:73" ht="24" thickBot="1">
      <c r="A158" s="1015" t="s">
        <v>938</v>
      </c>
      <c r="B158" s="1016"/>
      <c r="C158" s="1016"/>
      <c r="D158" s="1016"/>
      <c r="E158" s="1016"/>
      <c r="F158" s="1016"/>
      <c r="G158" s="1016"/>
      <c r="H158" s="1016"/>
      <c r="I158" s="1016"/>
      <c r="J158" s="1016"/>
      <c r="K158" s="1016"/>
      <c r="L158" s="1016"/>
      <c r="M158" s="1016"/>
      <c r="N158" s="1016"/>
      <c r="O158" s="1016"/>
      <c r="P158" s="1016"/>
      <c r="Q158" s="1016"/>
      <c r="R158" s="1016"/>
      <c r="S158" s="1016"/>
      <c r="T158" s="1016"/>
      <c r="U158" s="1016"/>
      <c r="V158" s="1016"/>
      <c r="W158" s="1017"/>
      <c r="Z158" s="1024" t="s">
        <v>939</v>
      </c>
      <c r="AA158" s="1025"/>
      <c r="AB158" s="1025"/>
      <c r="AC158" s="1025"/>
      <c r="AD158" s="1025"/>
      <c r="AE158" s="1025"/>
      <c r="AF158" s="1025"/>
      <c r="AG158" s="1025"/>
      <c r="AH158" s="1025"/>
      <c r="AI158" s="1025"/>
      <c r="AJ158" s="1025"/>
      <c r="AK158" s="1025"/>
      <c r="AL158" s="1025"/>
      <c r="AM158" s="1025"/>
      <c r="AN158" s="1025"/>
      <c r="AO158" s="1025"/>
      <c r="AP158" s="1025"/>
      <c r="AQ158" s="1025"/>
      <c r="AR158" s="1025"/>
      <c r="AS158" s="1025"/>
      <c r="AT158" s="1025"/>
      <c r="AU158" s="1025"/>
      <c r="AV158" s="1026"/>
      <c r="AY158" s="1060" t="s">
        <v>940</v>
      </c>
      <c r="AZ158" s="1061"/>
      <c r="BA158" s="1061"/>
      <c r="BB158" s="1061"/>
      <c r="BC158" s="1061"/>
      <c r="BD158" s="1061"/>
      <c r="BE158" s="1061"/>
      <c r="BF158" s="1061"/>
      <c r="BG158" s="1061"/>
      <c r="BH158" s="1061"/>
      <c r="BI158" s="1061"/>
      <c r="BJ158" s="1061"/>
      <c r="BK158" s="1061"/>
      <c r="BL158" s="1061"/>
      <c r="BM158" s="1061"/>
      <c r="BN158" s="1061"/>
      <c r="BO158" s="1061"/>
      <c r="BP158" s="1061"/>
      <c r="BQ158" s="1061"/>
      <c r="BR158" s="1061"/>
      <c r="BS158" s="1061"/>
      <c r="BT158" s="1061"/>
      <c r="BU158" s="1062"/>
    </row>
    <row r="159" spans="1:73" s="64" customFormat="1" ht="14" thickBot="1">
      <c r="A159" s="605" t="s">
        <v>143</v>
      </c>
      <c r="B159" s="606" t="s">
        <v>144</v>
      </c>
      <c r="C159" s="606" t="s">
        <v>145</v>
      </c>
      <c r="D159" s="606" t="s">
        <v>146</v>
      </c>
      <c r="E159" s="606" t="s">
        <v>147</v>
      </c>
      <c r="F159" s="606" t="s">
        <v>148</v>
      </c>
      <c r="G159" s="606" t="s">
        <v>149</v>
      </c>
      <c r="H159" s="606" t="s">
        <v>150</v>
      </c>
      <c r="I159" s="606" t="s">
        <v>151</v>
      </c>
      <c r="J159" s="606" t="s">
        <v>152</v>
      </c>
      <c r="K159" s="606" t="s">
        <v>153</v>
      </c>
      <c r="L159" s="606" t="s">
        <v>154</v>
      </c>
      <c r="M159" s="606" t="s">
        <v>155</v>
      </c>
      <c r="N159" s="606" t="s">
        <v>156</v>
      </c>
      <c r="O159" s="606" t="s">
        <v>157</v>
      </c>
      <c r="P159" s="606" t="s">
        <v>158</v>
      </c>
      <c r="Q159" s="606" t="s">
        <v>159</v>
      </c>
      <c r="R159" s="606" t="s">
        <v>160</v>
      </c>
      <c r="S159" s="606" t="s">
        <v>16</v>
      </c>
      <c r="T159" s="606" t="s">
        <v>161</v>
      </c>
      <c r="U159" s="606" t="s">
        <v>162</v>
      </c>
      <c r="V159" s="606" t="s">
        <v>163</v>
      </c>
      <c r="W159" s="607" t="s">
        <v>164</v>
      </c>
      <c r="Z159" s="605" t="s">
        <v>143</v>
      </c>
      <c r="AA159" s="606" t="s">
        <v>144</v>
      </c>
      <c r="AB159" s="606" t="s">
        <v>145</v>
      </c>
      <c r="AC159" s="606" t="s">
        <v>146</v>
      </c>
      <c r="AD159" s="606" t="s">
        <v>147</v>
      </c>
      <c r="AE159" s="606" t="s">
        <v>148</v>
      </c>
      <c r="AF159" s="606" t="s">
        <v>149</v>
      </c>
      <c r="AG159" s="606" t="s">
        <v>150</v>
      </c>
      <c r="AH159" s="606" t="s">
        <v>151</v>
      </c>
      <c r="AI159" s="606" t="s">
        <v>152</v>
      </c>
      <c r="AJ159" s="606" t="s">
        <v>153</v>
      </c>
      <c r="AK159" s="606" t="s">
        <v>154</v>
      </c>
      <c r="AL159" s="606" t="s">
        <v>155</v>
      </c>
      <c r="AM159" s="606" t="s">
        <v>156</v>
      </c>
      <c r="AN159" s="606" t="s">
        <v>157</v>
      </c>
      <c r="AO159" s="606" t="s">
        <v>158</v>
      </c>
      <c r="AP159" s="606" t="s">
        <v>159</v>
      </c>
      <c r="AQ159" s="606" t="s">
        <v>160</v>
      </c>
      <c r="AR159" s="606" t="s">
        <v>16</v>
      </c>
      <c r="AS159" s="606" t="s">
        <v>161</v>
      </c>
      <c r="AT159" s="606" t="s">
        <v>162</v>
      </c>
      <c r="AU159" s="606" t="s">
        <v>163</v>
      </c>
      <c r="AV159" s="607" t="s">
        <v>164</v>
      </c>
      <c r="AY159" s="605" t="s">
        <v>143</v>
      </c>
      <c r="AZ159" s="606" t="s">
        <v>144</v>
      </c>
      <c r="BA159" s="606" t="s">
        <v>145</v>
      </c>
      <c r="BB159" s="606" t="s">
        <v>146</v>
      </c>
      <c r="BC159" s="606" t="s">
        <v>147</v>
      </c>
      <c r="BD159" s="606" t="s">
        <v>148</v>
      </c>
      <c r="BE159" s="606" t="s">
        <v>149</v>
      </c>
      <c r="BF159" s="606" t="s">
        <v>150</v>
      </c>
      <c r="BG159" s="606" t="s">
        <v>151</v>
      </c>
      <c r="BH159" s="606" t="s">
        <v>152</v>
      </c>
      <c r="BI159" s="606" t="s">
        <v>153</v>
      </c>
      <c r="BJ159" s="606" t="s">
        <v>154</v>
      </c>
      <c r="BK159" s="606" t="s">
        <v>155</v>
      </c>
      <c r="BL159" s="606" t="s">
        <v>156</v>
      </c>
      <c r="BM159" s="606" t="s">
        <v>157</v>
      </c>
      <c r="BN159" s="606" t="s">
        <v>158</v>
      </c>
      <c r="BO159" s="606" t="s">
        <v>159</v>
      </c>
      <c r="BP159" s="606" t="s">
        <v>160</v>
      </c>
      <c r="BQ159" s="606" t="s">
        <v>16</v>
      </c>
      <c r="BR159" s="606" t="s">
        <v>161</v>
      </c>
      <c r="BS159" s="606" t="s">
        <v>162</v>
      </c>
      <c r="BT159" s="606" t="s">
        <v>163</v>
      </c>
      <c r="BU159" s="607" t="s">
        <v>164</v>
      </c>
    </row>
    <row r="160" spans="1:73">
      <c r="A160" s="650" t="s">
        <v>770</v>
      </c>
      <c r="B160" s="597" t="s">
        <v>179</v>
      </c>
      <c r="C160" s="597" t="s">
        <v>779</v>
      </c>
      <c r="D160" s="598">
        <f>IFERROR(PHI_H265[[#This Row],[H]]/PHI_H265[[#This Row],[AB]],0)</f>
        <v>8.8235294117647065E-2</v>
      </c>
      <c r="E160" s="598">
        <f>IFERROR((PHI_H265[[#This Row],[H]]+PHI_H265[[#This Row],[BB]])/(PHI_H265[[#This Row],[BB]]+PHI_H265[[#This Row],[AB]]),0)</f>
        <v>8.8235294117647065E-2</v>
      </c>
      <c r="F160" s="599">
        <f>IFERROR(((PHI_H265[[#This Row],[H]]-PHI_H265[[#This Row],[2B]]-PHI_H265[[#This Row],[3B]]-PHI_H265[[#This Row],[HR]])+(PHI_H265[[#This Row],[2B]]*2)+(PHI_H265[[#This Row],[3B]]*3)+(PHI_H265[[#This Row],[HR]]*4))/PHI_H265[[#This Row],[AB]],0)</f>
        <v>0.20588235294117646</v>
      </c>
      <c r="G160" s="673">
        <v>8</v>
      </c>
      <c r="H160" s="600">
        <v>34</v>
      </c>
      <c r="I160" s="600">
        <v>3</v>
      </c>
      <c r="J160" s="600">
        <v>3</v>
      </c>
      <c r="K160" s="600">
        <v>1</v>
      </c>
      <c r="L160" s="600">
        <v>0</v>
      </c>
      <c r="M160" s="600">
        <v>1</v>
      </c>
      <c r="N160" s="600">
        <v>1</v>
      </c>
      <c r="O160" s="600">
        <v>0</v>
      </c>
      <c r="P160" s="604">
        <v>14</v>
      </c>
      <c r="Q160" s="600">
        <v>0</v>
      </c>
      <c r="R160" s="600">
        <v>0</v>
      </c>
      <c r="S160" s="604">
        <v>1</v>
      </c>
      <c r="T160" s="600">
        <f>IFERROR((PHI_H265[[#This Row],[H]]-PHI_H265[[#This Row],[2B]]-PHI_H265[[#This Row],[3B]]-PHI_H265[[#This Row],[HR]])+(PHI_H265[[#This Row],[2B]]*2)+(PHI_H265[[#This Row],[3B]]*3)+(PHI_H265[[#This Row],[HR]]*4),0)</f>
        <v>7</v>
      </c>
      <c r="U160" s="598">
        <f>PHI_H265[[#This Row],[OBP]]+PHI_H265[[#This Row],[SLG]]</f>
        <v>0.29411764705882354</v>
      </c>
      <c r="V160" s="604">
        <v>1</v>
      </c>
      <c r="W160" s="614">
        <v>1</v>
      </c>
      <c r="Z160" s="650" t="s">
        <v>835</v>
      </c>
      <c r="AA160" s="597" t="s">
        <v>179</v>
      </c>
      <c r="AB160" s="597" t="s">
        <v>842</v>
      </c>
      <c r="AC160" s="598">
        <f>IFERROR(ATL_H67[[#This Row],[H]]/ATL_H67[[#This Row],[AB]],0)</f>
        <v>0.125</v>
      </c>
      <c r="AD160" s="598">
        <f>IFERROR((ATL_H67[[#This Row],[H]]+ATL_H67[[#This Row],[BB]])/(ATL_H67[[#This Row],[BB]]+ATL_H67[[#This Row],[AB]]),0)</f>
        <v>0.125</v>
      </c>
      <c r="AE160" s="599">
        <f>IFERROR(((ATL_H67[[#This Row],[H]]-ATL_H67[[#This Row],[2B]]-ATL_H67[[#This Row],[3B]]-ATL_H67[[#This Row],[HR]])+(ATL_H67[[#This Row],[2B]]*2)+(ATL_H67[[#This Row],[3B]]*3)+(ATL_H67[[#This Row],[HR]]*4))/ATL_H67[[#This Row],[AB]],0)</f>
        <v>0.1875</v>
      </c>
      <c r="AF160" s="600">
        <v>4</v>
      </c>
      <c r="AG160" s="600">
        <v>16</v>
      </c>
      <c r="AH160" s="600">
        <v>0</v>
      </c>
      <c r="AI160" s="600">
        <v>2</v>
      </c>
      <c r="AJ160" s="600">
        <v>1</v>
      </c>
      <c r="AK160" s="600">
        <v>0</v>
      </c>
      <c r="AL160" s="600">
        <v>0</v>
      </c>
      <c r="AM160" s="600">
        <v>0</v>
      </c>
      <c r="AN160" s="600">
        <v>0</v>
      </c>
      <c r="AO160" s="604">
        <v>6</v>
      </c>
      <c r="AP160" s="600">
        <v>0</v>
      </c>
      <c r="AQ160" s="600">
        <v>0</v>
      </c>
      <c r="AR160" s="604">
        <v>2</v>
      </c>
      <c r="AS160" s="600">
        <f>IFERROR((ATL_H67[[#This Row],[H]]-ATL_H67[[#This Row],[2B]]-ATL_H67[[#This Row],[3B]]-ATL_H67[[#This Row],[HR]])+(ATL_H67[[#This Row],[2B]]*2)+(ATL_H67[[#This Row],[3B]]*3)+(ATL_H67[[#This Row],[HR]]*4),0)</f>
        <v>3</v>
      </c>
      <c r="AT160" s="598">
        <f>ATL_H67[[#This Row],[OBP]]+ATL_H67[[#This Row],[SLG]]</f>
        <v>0.3125</v>
      </c>
      <c r="AU160" s="604">
        <v>0</v>
      </c>
      <c r="AV160" s="614">
        <v>1</v>
      </c>
      <c r="AY160" s="719" t="s">
        <v>770</v>
      </c>
      <c r="AZ160" s="632" t="s">
        <v>179</v>
      </c>
      <c r="BA160" s="597" t="s">
        <v>779</v>
      </c>
      <c r="BB160" s="598">
        <f>IFERROR(PHI_H74[[#This Row],[H]]/PHI_H74[[#This Row],[AB]],0)</f>
        <v>0.3</v>
      </c>
      <c r="BC160" s="598">
        <f>IFERROR((PHI_H74[[#This Row],[BB]]+PHI_H74[[#This Row],[H]])/(PHI_H74[[#This Row],[BB]]+PHI_H74[[#This Row],[AB]]),0)</f>
        <v>0.35384615384615387</v>
      </c>
      <c r="BD160" s="599">
        <f>IFERROR(((PHI_H74[[#This Row],[H]]-PHI_H74[[#This Row],[2B]]-PHI_H74[[#This Row],[3B]]-PHI_H74[[#This Row],[HR]])+(PHI_H74[[#This Row],[2B]]*2)+(PHI_H74[[#This Row],[3B]]*3)+(PHI_H74[[#This Row],[HR]]*4))/PHI_H74[[#This Row],[AB]],0)</f>
        <v>0.41666666666666669</v>
      </c>
      <c r="BE160" s="600">
        <v>14</v>
      </c>
      <c r="BF160" s="600">
        <v>60</v>
      </c>
      <c r="BG160" s="600">
        <v>7</v>
      </c>
      <c r="BH160" s="600">
        <v>18</v>
      </c>
      <c r="BI160" s="600">
        <v>4</v>
      </c>
      <c r="BJ160" s="600">
        <v>0</v>
      </c>
      <c r="BK160" s="600">
        <v>1</v>
      </c>
      <c r="BL160" s="600">
        <v>8</v>
      </c>
      <c r="BM160" s="600">
        <v>5</v>
      </c>
      <c r="BN160" s="604">
        <v>19</v>
      </c>
      <c r="BO160" s="600">
        <v>0</v>
      </c>
      <c r="BP160" s="600">
        <v>5</v>
      </c>
      <c r="BQ160" s="604">
        <v>8</v>
      </c>
      <c r="BR160" s="600">
        <f>(PHI_H74[[#This Row],[H]]-PHI_H74[[#This Row],[2B]]-PHI_H74[[#This Row],[3B]]-PHI_H74[[#This Row],[HR]])+(PHI_H74[[#This Row],[2B]]*2)+(PHI_H74[[#This Row],[3B]]*3)+(PHI_H74[[#This Row],[HR]]*4)</f>
        <v>25</v>
      </c>
      <c r="BS160" s="598">
        <f>IFERROR(PHI_H74[[#This Row],[OBP]]+PHI_H74[[#This Row],[SLG]],0)</f>
        <v>0.77051282051282055</v>
      </c>
      <c r="BT160" s="604">
        <v>1</v>
      </c>
      <c r="BU160" s="614">
        <v>1</v>
      </c>
    </row>
    <row r="161" spans="1:73">
      <c r="A161" s="651" t="s">
        <v>770</v>
      </c>
      <c r="B161" s="71" t="s">
        <v>154</v>
      </c>
      <c r="C161" s="71" t="s">
        <v>771</v>
      </c>
      <c r="D161" s="72">
        <f>IFERROR(PHI_H265[[#This Row],[H]]/PHI_H265[[#This Row],[AB]],0)</f>
        <v>0.15151515151515152</v>
      </c>
      <c r="E161" s="72">
        <f>IFERROR((PHI_H265[[#This Row],[H]]+PHI_H265[[#This Row],[BB]])/(PHI_H265[[#This Row],[BB]]+PHI_H265[[#This Row],[AB]]),0)</f>
        <v>0.2</v>
      </c>
      <c r="F161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0.24242424242424243</v>
      </c>
      <c r="G161" s="77">
        <v>8</v>
      </c>
      <c r="H161" s="28">
        <v>33</v>
      </c>
      <c r="I161" s="28">
        <v>2</v>
      </c>
      <c r="J161" s="28">
        <v>5</v>
      </c>
      <c r="K161" s="28">
        <v>3</v>
      </c>
      <c r="L161" s="28">
        <v>0</v>
      </c>
      <c r="M161" s="28">
        <v>0</v>
      </c>
      <c r="N161" s="28">
        <v>1</v>
      </c>
      <c r="O161" s="28">
        <v>2</v>
      </c>
      <c r="P161" s="74">
        <v>11</v>
      </c>
      <c r="Q161" s="28">
        <v>0</v>
      </c>
      <c r="R161" s="28">
        <v>3</v>
      </c>
      <c r="S161" s="74">
        <v>3</v>
      </c>
      <c r="T161" s="28">
        <f>IFERROR((PHI_H265[[#This Row],[H]]-PHI_H265[[#This Row],[2B]]-PHI_H265[[#This Row],[3B]]-PHI_H265[[#This Row],[HR]])+(PHI_H265[[#This Row],[2B]]*2)+(PHI_H265[[#This Row],[3B]]*3)+(PHI_H265[[#This Row],[HR]]*4),0)</f>
        <v>8</v>
      </c>
      <c r="U161" s="72">
        <f>PHI_H265[[#This Row],[OBP]]+PHI_H265[[#This Row],[SLG]]</f>
        <v>0.44242424242424244</v>
      </c>
      <c r="V161" s="74">
        <v>1</v>
      </c>
      <c r="W161" s="615">
        <v>2</v>
      </c>
      <c r="Z161" s="651" t="s">
        <v>835</v>
      </c>
      <c r="AA161" s="71" t="s">
        <v>154</v>
      </c>
      <c r="AB161" s="71" t="s">
        <v>836</v>
      </c>
      <c r="AC161" s="72">
        <f>IFERROR(ATL_H67[[#This Row],[H]]/ATL_H67[[#This Row],[AB]],0)</f>
        <v>0.35294117647058826</v>
      </c>
      <c r="AD161" s="72">
        <f>IFERROR((ATL_H67[[#This Row],[H]]+ATL_H67[[#This Row],[BB]])/(ATL_H67[[#This Row],[BB]]+ATL_H67[[#This Row],[AB]]),0)</f>
        <v>0.3888888888888889</v>
      </c>
      <c r="AE161" s="73">
        <f>IFERROR(((ATL_H67[[#This Row],[H]]-ATL_H67[[#This Row],[2B]]-ATL_H67[[#This Row],[3B]]-ATL_H67[[#This Row],[HR]])+(ATL_H67[[#This Row],[2B]]*2)+(ATL_H67[[#This Row],[3B]]*3)+(ATL_H67[[#This Row],[HR]]*4))/ATL_H67[[#This Row],[AB]],0)</f>
        <v>0.58823529411764708</v>
      </c>
      <c r="AF161" s="28">
        <v>4</v>
      </c>
      <c r="AG161" s="28">
        <v>17</v>
      </c>
      <c r="AH161" s="28">
        <v>3</v>
      </c>
      <c r="AI161" s="28">
        <v>6</v>
      </c>
      <c r="AJ161" s="28">
        <v>1</v>
      </c>
      <c r="AK161" s="28">
        <v>0</v>
      </c>
      <c r="AL161" s="28">
        <v>1</v>
      </c>
      <c r="AM161" s="28">
        <v>2</v>
      </c>
      <c r="AN161" s="28">
        <v>1</v>
      </c>
      <c r="AO161" s="74">
        <v>7</v>
      </c>
      <c r="AP161" s="28">
        <v>0</v>
      </c>
      <c r="AQ161" s="28">
        <v>2</v>
      </c>
      <c r="AR161" s="74">
        <v>2</v>
      </c>
      <c r="AS161" s="28">
        <f>IFERROR((ATL_H67[[#This Row],[H]]-ATL_H67[[#This Row],[2B]]-ATL_H67[[#This Row],[3B]]-ATL_H67[[#This Row],[HR]])+(ATL_H67[[#This Row],[2B]]*2)+(ATL_H67[[#This Row],[3B]]*3)+(ATL_H67[[#This Row],[HR]]*4),0)</f>
        <v>10</v>
      </c>
      <c r="AT161" s="72">
        <f>ATL_H67[[#This Row],[OBP]]+ATL_H67[[#This Row],[SLG]]</f>
        <v>0.97712418300653603</v>
      </c>
      <c r="AU161" s="74">
        <v>0</v>
      </c>
      <c r="AV161" s="615">
        <v>2</v>
      </c>
      <c r="AY161" s="720" t="s">
        <v>770</v>
      </c>
      <c r="AZ161" s="104" t="s">
        <v>154</v>
      </c>
      <c r="BA161" s="71" t="s">
        <v>775</v>
      </c>
      <c r="BB161" s="72">
        <f>IFERROR(PHI_H74[[#This Row],[H]]/PHI_H74[[#This Row],[AB]],0)</f>
        <v>0.26315789473684209</v>
      </c>
      <c r="BC161" s="72">
        <f>IFERROR((PHI_H74[[#This Row],[BB]]+PHI_H74[[#This Row],[H]])/(PHI_H74[[#This Row],[BB]]+PHI_H74[[#This Row],[AB]]),0)</f>
        <v>0.38235294117647056</v>
      </c>
      <c r="BD161" s="73">
        <f>IFERROR(((PHI_H74[[#This Row],[H]]-PHI_H74[[#This Row],[2B]]-PHI_H74[[#This Row],[3B]]-PHI_H74[[#This Row],[HR]])+(PHI_H74[[#This Row],[2B]]*2)+(PHI_H74[[#This Row],[3B]]*3)+(PHI_H74[[#This Row],[HR]]*4))/PHI_H74[[#This Row],[AB]],0)</f>
        <v>0.43859649122807015</v>
      </c>
      <c r="BE161" s="28">
        <v>14</v>
      </c>
      <c r="BF161" s="28">
        <v>57</v>
      </c>
      <c r="BG161" s="28">
        <v>12</v>
      </c>
      <c r="BH161" s="28">
        <v>15</v>
      </c>
      <c r="BI161" s="28">
        <v>1</v>
      </c>
      <c r="BJ161" s="28">
        <v>0</v>
      </c>
      <c r="BK161" s="28">
        <v>3</v>
      </c>
      <c r="BL161" s="28">
        <v>12</v>
      </c>
      <c r="BM161" s="28">
        <v>11</v>
      </c>
      <c r="BN161" s="74">
        <v>24</v>
      </c>
      <c r="BO161" s="28">
        <v>0</v>
      </c>
      <c r="BP161" s="28">
        <v>2</v>
      </c>
      <c r="BQ161" s="74">
        <v>6</v>
      </c>
      <c r="BR161" s="28">
        <f>(PHI_H74[[#This Row],[H]]-PHI_H74[[#This Row],[2B]]-PHI_H74[[#This Row],[3B]]-PHI_H74[[#This Row],[HR]])+(PHI_H74[[#This Row],[2B]]*2)+(PHI_H74[[#This Row],[3B]]*3)+(PHI_H74[[#This Row],[HR]]*4)</f>
        <v>25</v>
      </c>
      <c r="BS161" s="72">
        <f>IFERROR(PHI_H74[[#This Row],[OBP]]+PHI_H74[[#This Row],[SLG]],0)</f>
        <v>0.82094943240454077</v>
      </c>
      <c r="BT161" s="74">
        <v>2</v>
      </c>
      <c r="BU161" s="615">
        <v>2</v>
      </c>
    </row>
    <row r="162" spans="1:73">
      <c r="A162" s="651" t="s">
        <v>770</v>
      </c>
      <c r="B162" s="71" t="s">
        <v>172</v>
      </c>
      <c r="C162" s="71" t="s">
        <v>778</v>
      </c>
      <c r="D162" s="72">
        <f>IFERROR(PHI_H265[[#This Row],[H]]/PHI_H265[[#This Row],[AB]],0)</f>
        <v>0.13333333333333333</v>
      </c>
      <c r="E162" s="72">
        <f>IFERROR((PHI_H265[[#This Row],[H]]+PHI_H265[[#This Row],[BB]])/(PHI_H265[[#This Row],[BB]]+PHI_H265[[#This Row],[AB]]),0)</f>
        <v>0.16129032258064516</v>
      </c>
      <c r="F162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0.3</v>
      </c>
      <c r="G162" s="77">
        <v>8</v>
      </c>
      <c r="H162" s="28">
        <v>30</v>
      </c>
      <c r="I162" s="28">
        <v>2</v>
      </c>
      <c r="J162" s="28">
        <v>4</v>
      </c>
      <c r="K162" s="28">
        <v>2</v>
      </c>
      <c r="L162" s="28">
        <v>0</v>
      </c>
      <c r="M162" s="28">
        <v>1</v>
      </c>
      <c r="N162" s="28">
        <v>2</v>
      </c>
      <c r="O162" s="28">
        <v>1</v>
      </c>
      <c r="P162" s="74">
        <v>7</v>
      </c>
      <c r="Q162" s="28">
        <v>0</v>
      </c>
      <c r="R162" s="28">
        <v>0</v>
      </c>
      <c r="S162" s="74">
        <v>1</v>
      </c>
      <c r="T162" s="28">
        <f>IFERROR((PHI_H265[[#This Row],[H]]-PHI_H265[[#This Row],[2B]]-PHI_H265[[#This Row],[3B]]-PHI_H265[[#This Row],[HR]])+(PHI_H265[[#This Row],[2B]]*2)+(PHI_H265[[#This Row],[3B]]*3)+(PHI_H265[[#This Row],[HR]]*4),0)</f>
        <v>9</v>
      </c>
      <c r="U162" s="72">
        <f>PHI_H265[[#This Row],[OBP]]+PHI_H265[[#This Row],[SLG]]</f>
        <v>0.46129032258064517</v>
      </c>
      <c r="V162" s="74">
        <v>0</v>
      </c>
      <c r="W162" s="615">
        <v>3</v>
      </c>
      <c r="Z162" s="651" t="s">
        <v>835</v>
      </c>
      <c r="AA162" s="71" t="s">
        <v>172</v>
      </c>
      <c r="AB162" s="71" t="s">
        <v>847</v>
      </c>
      <c r="AC162" s="72">
        <f>IFERROR(ATL_H67[[#This Row],[H]]/ATL_H67[[#This Row],[AB]],0)</f>
        <v>7.6923076923076927E-2</v>
      </c>
      <c r="AD162" s="72">
        <f>IFERROR((ATL_H67[[#This Row],[H]]+ATL_H67[[#This Row],[BB]])/(ATL_H67[[#This Row],[BB]]+ATL_H67[[#This Row],[AB]]),0)</f>
        <v>0.14285714285714285</v>
      </c>
      <c r="AE162" s="73">
        <f>IFERROR(((ATL_H67[[#This Row],[H]]-ATL_H67[[#This Row],[2B]]-ATL_H67[[#This Row],[3B]]-ATL_H67[[#This Row],[HR]])+(ATL_H67[[#This Row],[2B]]*2)+(ATL_H67[[#This Row],[3B]]*3)+(ATL_H67[[#This Row],[HR]]*4))/ATL_H67[[#This Row],[AB]],0)</f>
        <v>0.15384615384615385</v>
      </c>
      <c r="AF162" s="28">
        <v>4</v>
      </c>
      <c r="AG162" s="28">
        <v>13</v>
      </c>
      <c r="AH162" s="28">
        <v>1</v>
      </c>
      <c r="AI162" s="28">
        <v>1</v>
      </c>
      <c r="AJ162" s="28">
        <v>1</v>
      </c>
      <c r="AK162" s="28">
        <v>0</v>
      </c>
      <c r="AL162" s="28">
        <v>0</v>
      </c>
      <c r="AM162" s="28">
        <v>0</v>
      </c>
      <c r="AN162" s="28">
        <v>1</v>
      </c>
      <c r="AO162" s="74">
        <v>6</v>
      </c>
      <c r="AP162" s="28">
        <v>0</v>
      </c>
      <c r="AQ162" s="28">
        <v>0</v>
      </c>
      <c r="AR162" s="74">
        <v>1</v>
      </c>
      <c r="AS162" s="28">
        <f>IFERROR((ATL_H67[[#This Row],[H]]-ATL_H67[[#This Row],[2B]]-ATL_H67[[#This Row],[3B]]-ATL_H67[[#This Row],[HR]])+(ATL_H67[[#This Row],[2B]]*2)+(ATL_H67[[#This Row],[3B]]*3)+(ATL_H67[[#This Row],[HR]]*4),0)</f>
        <v>2</v>
      </c>
      <c r="AT162" s="72">
        <f>ATL_H67[[#This Row],[OBP]]+ATL_H67[[#This Row],[SLG]]</f>
        <v>0.2967032967032967</v>
      </c>
      <c r="AU162" s="74">
        <v>0</v>
      </c>
      <c r="AV162" s="615">
        <v>3</v>
      </c>
      <c r="AY162" s="720" t="s">
        <v>770</v>
      </c>
      <c r="AZ162" s="74" t="s">
        <v>235</v>
      </c>
      <c r="BA162" s="71" t="s">
        <v>778</v>
      </c>
      <c r="BB162" s="72">
        <f>IFERROR(PHI_H74[[#This Row],[H]]/PHI_H74[[#This Row],[AB]],0)</f>
        <v>0.32692307692307693</v>
      </c>
      <c r="BC162" s="72">
        <f>IFERROR((PHI_H74[[#This Row],[BB]]+PHI_H74[[#This Row],[H]])/(PHI_H74[[#This Row],[BB]]+PHI_H74[[#This Row],[AB]]),0)</f>
        <v>0.38596491228070173</v>
      </c>
      <c r="BD162" s="73">
        <f>IFERROR(((PHI_H74[[#This Row],[H]]-PHI_H74[[#This Row],[2B]]-PHI_H74[[#This Row],[3B]]-PHI_H74[[#This Row],[HR]])+(PHI_H74[[#This Row],[2B]]*2)+(PHI_H74[[#This Row],[3B]]*3)+(PHI_H74[[#This Row],[HR]]*4))/PHI_H74[[#This Row],[AB]],0)</f>
        <v>0.44230769230769229</v>
      </c>
      <c r="BE162" s="28">
        <v>14</v>
      </c>
      <c r="BF162" s="28">
        <v>52</v>
      </c>
      <c r="BG162" s="28">
        <v>7</v>
      </c>
      <c r="BH162" s="28">
        <v>17</v>
      </c>
      <c r="BI162" s="28">
        <v>3</v>
      </c>
      <c r="BJ162" s="28">
        <v>0</v>
      </c>
      <c r="BK162" s="28">
        <v>1</v>
      </c>
      <c r="BL162" s="28">
        <v>8</v>
      </c>
      <c r="BM162" s="28">
        <v>5</v>
      </c>
      <c r="BN162" s="74">
        <v>22</v>
      </c>
      <c r="BO162" s="28">
        <v>0</v>
      </c>
      <c r="BP162" s="28">
        <v>1</v>
      </c>
      <c r="BQ162" s="74">
        <v>6</v>
      </c>
      <c r="BR162" s="28">
        <f>(PHI_H74[[#This Row],[H]]-PHI_H74[[#This Row],[2B]]-PHI_H74[[#This Row],[3B]]-PHI_H74[[#This Row],[HR]])+(PHI_H74[[#This Row],[2B]]*2)+(PHI_H74[[#This Row],[3B]]*3)+(PHI_H74[[#This Row],[HR]]*4)</f>
        <v>23</v>
      </c>
      <c r="BS162" s="72">
        <f>IFERROR(PHI_H74[[#This Row],[OBP]]+PHI_H74[[#This Row],[SLG]],0)</f>
        <v>0.82827260458839402</v>
      </c>
      <c r="BT162" s="74">
        <v>0</v>
      </c>
      <c r="BU162" s="615">
        <v>3</v>
      </c>
    </row>
    <row r="163" spans="1:73">
      <c r="A163" s="651" t="s">
        <v>770</v>
      </c>
      <c r="B163" s="71" t="s">
        <v>153</v>
      </c>
      <c r="C163" s="71" t="s">
        <v>777</v>
      </c>
      <c r="D163" s="72">
        <f>IFERROR(PHI_H265[[#This Row],[H]]/PHI_H265[[#This Row],[AB]],0)</f>
        <v>0.22857142857142856</v>
      </c>
      <c r="E163" s="72">
        <f>IFERROR((PHI_H265[[#This Row],[H]]+PHI_H265[[#This Row],[BB]])/(PHI_H265[[#This Row],[BB]]+PHI_H265[[#This Row],[AB]]),0)</f>
        <v>0.27027027027027029</v>
      </c>
      <c r="F163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0.2857142857142857</v>
      </c>
      <c r="G163" s="77">
        <v>8</v>
      </c>
      <c r="H163" s="28">
        <v>35</v>
      </c>
      <c r="I163" s="28">
        <v>1</v>
      </c>
      <c r="J163" s="28">
        <v>8</v>
      </c>
      <c r="K163" s="28">
        <v>2</v>
      </c>
      <c r="L163" s="28">
        <v>0</v>
      </c>
      <c r="M163" s="28">
        <v>0</v>
      </c>
      <c r="N163" s="28">
        <v>2</v>
      </c>
      <c r="O163" s="28">
        <v>2</v>
      </c>
      <c r="P163" s="74">
        <v>11</v>
      </c>
      <c r="Q163" s="28">
        <v>0</v>
      </c>
      <c r="R163" s="28">
        <v>1</v>
      </c>
      <c r="S163" s="74">
        <v>3</v>
      </c>
      <c r="T163" s="28">
        <f>IFERROR((PHI_H265[[#This Row],[H]]-PHI_H265[[#This Row],[2B]]-PHI_H265[[#This Row],[3B]]-PHI_H265[[#This Row],[HR]])+(PHI_H265[[#This Row],[2B]]*2)+(PHI_H265[[#This Row],[3B]]*3)+(PHI_H265[[#This Row],[HR]]*4),0)</f>
        <v>10</v>
      </c>
      <c r="U163" s="72">
        <f>PHI_H265[[#This Row],[OBP]]+PHI_H265[[#This Row],[SLG]]</f>
        <v>0.55598455598455598</v>
      </c>
      <c r="V163" s="74">
        <v>0</v>
      </c>
      <c r="W163" s="615">
        <v>4</v>
      </c>
      <c r="Z163" s="651" t="s">
        <v>835</v>
      </c>
      <c r="AA163" s="71" t="s">
        <v>153</v>
      </c>
      <c r="AB163" s="71" t="s">
        <v>839</v>
      </c>
      <c r="AC163" s="72">
        <f>IFERROR(ATL_H67[[#This Row],[H]]/ATL_H67[[#This Row],[AB]],0)</f>
        <v>0.18181818181818182</v>
      </c>
      <c r="AD163" s="72">
        <f>IFERROR((ATL_H67[[#This Row],[H]]+ATL_H67[[#This Row],[BB]])/(ATL_H67[[#This Row],[BB]]+ATL_H67[[#This Row],[AB]]),0)</f>
        <v>0.35714285714285715</v>
      </c>
      <c r="AE163" s="73">
        <f>IFERROR(((ATL_H67[[#This Row],[H]]-ATL_H67[[#This Row],[2B]]-ATL_H67[[#This Row],[3B]]-ATL_H67[[#This Row],[HR]])+(ATL_H67[[#This Row],[2B]]*2)+(ATL_H67[[#This Row],[3B]]*3)+(ATL_H67[[#This Row],[HR]]*4))/ATL_H67[[#This Row],[AB]],0)</f>
        <v>0.18181818181818182</v>
      </c>
      <c r="AF163" s="28">
        <v>4</v>
      </c>
      <c r="AG163" s="28">
        <v>11</v>
      </c>
      <c r="AH163" s="28">
        <v>0</v>
      </c>
      <c r="AI163" s="28">
        <v>2</v>
      </c>
      <c r="AJ163" s="28">
        <v>0</v>
      </c>
      <c r="AK163" s="28">
        <v>0</v>
      </c>
      <c r="AL163" s="28">
        <v>0</v>
      </c>
      <c r="AM163" s="28">
        <v>0</v>
      </c>
      <c r="AN163" s="28">
        <v>3</v>
      </c>
      <c r="AO163" s="74">
        <v>3</v>
      </c>
      <c r="AP163" s="28">
        <v>0</v>
      </c>
      <c r="AQ163" s="28">
        <v>1</v>
      </c>
      <c r="AR163" s="74">
        <v>1</v>
      </c>
      <c r="AS163" s="28">
        <f>IFERROR((ATL_H67[[#This Row],[H]]-ATL_H67[[#This Row],[2B]]-ATL_H67[[#This Row],[3B]]-ATL_H67[[#This Row],[HR]])+(ATL_H67[[#This Row],[2B]]*2)+(ATL_H67[[#This Row],[3B]]*3)+(ATL_H67[[#This Row],[HR]]*4),0)</f>
        <v>2</v>
      </c>
      <c r="AT163" s="72">
        <f>ATL_H67[[#This Row],[OBP]]+ATL_H67[[#This Row],[SLG]]</f>
        <v>0.53896103896103897</v>
      </c>
      <c r="AU163" s="74">
        <v>0</v>
      </c>
      <c r="AV163" s="615">
        <v>4</v>
      </c>
      <c r="AY163" s="720" t="s">
        <v>770</v>
      </c>
      <c r="AZ163" s="74" t="s">
        <v>153</v>
      </c>
      <c r="BA163" s="71" t="s">
        <v>780</v>
      </c>
      <c r="BB163" s="72">
        <f>IFERROR(PHI_H74[[#This Row],[H]]/PHI_H74[[#This Row],[AB]],0)</f>
        <v>0.25862068965517243</v>
      </c>
      <c r="BC163" s="72">
        <f>IFERROR((PHI_H74[[#This Row],[BB]]+PHI_H74[[#This Row],[H]])/(PHI_H74[[#This Row],[BB]]+PHI_H74[[#This Row],[AB]]),0)</f>
        <v>0.30645161290322581</v>
      </c>
      <c r="BD163" s="73">
        <f>IFERROR(((PHI_H74[[#This Row],[H]]-PHI_H74[[#This Row],[2B]]-PHI_H74[[#This Row],[3B]]-PHI_H74[[#This Row],[HR]])+(PHI_H74[[#This Row],[2B]]*2)+(PHI_H74[[#This Row],[3B]]*3)+(PHI_H74[[#This Row],[HR]]*4))/PHI_H74[[#This Row],[AB]],0)</f>
        <v>0.32758620689655171</v>
      </c>
      <c r="BE163" s="28">
        <v>14</v>
      </c>
      <c r="BF163" s="28">
        <v>58</v>
      </c>
      <c r="BG163" s="28">
        <v>2</v>
      </c>
      <c r="BH163" s="28">
        <v>15</v>
      </c>
      <c r="BI163" s="28">
        <v>2</v>
      </c>
      <c r="BJ163" s="28">
        <v>1</v>
      </c>
      <c r="BK163" s="28">
        <v>0</v>
      </c>
      <c r="BL163" s="28">
        <v>2</v>
      </c>
      <c r="BM163" s="28">
        <v>4</v>
      </c>
      <c r="BN163" s="74">
        <v>18</v>
      </c>
      <c r="BO163" s="28">
        <v>0</v>
      </c>
      <c r="BP163" s="28">
        <v>0</v>
      </c>
      <c r="BQ163" s="74">
        <v>5</v>
      </c>
      <c r="BR163" s="28">
        <f>(PHI_H74[[#This Row],[H]]-PHI_H74[[#This Row],[2B]]-PHI_H74[[#This Row],[3B]]-PHI_H74[[#This Row],[HR]])+(PHI_H74[[#This Row],[2B]]*2)+(PHI_H74[[#This Row],[3B]]*3)+(PHI_H74[[#This Row],[HR]]*4)</f>
        <v>19</v>
      </c>
      <c r="BS163" s="72">
        <f>IFERROR(PHI_H74[[#This Row],[OBP]]+PHI_H74[[#This Row],[SLG]],0)</f>
        <v>0.63403781979977758</v>
      </c>
      <c r="BT163" s="74">
        <v>0</v>
      </c>
      <c r="BU163" s="615">
        <v>4</v>
      </c>
    </row>
    <row r="164" spans="1:73">
      <c r="A164" s="651" t="s">
        <v>770</v>
      </c>
      <c r="B164" s="71" t="s">
        <v>177</v>
      </c>
      <c r="C164" s="71" t="s">
        <v>773</v>
      </c>
      <c r="D164" s="72">
        <f>IFERROR(PHI_H265[[#This Row],[H]]/PHI_H265[[#This Row],[AB]],0)</f>
        <v>0.20588235294117646</v>
      </c>
      <c r="E164" s="72">
        <f>IFERROR((PHI_H265[[#This Row],[H]]+PHI_H265[[#This Row],[BB]])/(PHI_H265[[#This Row],[BB]]+PHI_H265[[#This Row],[AB]]),0)</f>
        <v>0.25</v>
      </c>
      <c r="F164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0.3235294117647059</v>
      </c>
      <c r="G164" s="77">
        <v>8</v>
      </c>
      <c r="H164" s="28">
        <v>34</v>
      </c>
      <c r="I164" s="28">
        <v>3</v>
      </c>
      <c r="J164" s="28">
        <v>7</v>
      </c>
      <c r="K164" s="28">
        <v>1</v>
      </c>
      <c r="L164" s="28">
        <v>0</v>
      </c>
      <c r="M164" s="28">
        <v>1</v>
      </c>
      <c r="N164" s="28">
        <v>4</v>
      </c>
      <c r="O164" s="28">
        <v>2</v>
      </c>
      <c r="P164" s="74">
        <v>8</v>
      </c>
      <c r="Q164" s="28">
        <v>0</v>
      </c>
      <c r="R164" s="28">
        <v>0</v>
      </c>
      <c r="S164" s="74">
        <v>4</v>
      </c>
      <c r="T164" s="28">
        <f>IFERROR((PHI_H265[[#This Row],[H]]-PHI_H265[[#This Row],[2B]]-PHI_H265[[#This Row],[3B]]-PHI_H265[[#This Row],[HR]])+(PHI_H265[[#This Row],[2B]]*2)+(PHI_H265[[#This Row],[3B]]*3)+(PHI_H265[[#This Row],[HR]]*4),0)</f>
        <v>11</v>
      </c>
      <c r="U164" s="72">
        <f>PHI_H265[[#This Row],[OBP]]+PHI_H265[[#This Row],[SLG]]</f>
        <v>0.57352941176470584</v>
      </c>
      <c r="V164" s="74">
        <v>1</v>
      </c>
      <c r="W164" s="615">
        <v>5</v>
      </c>
      <c r="Z164" s="651" t="s">
        <v>835</v>
      </c>
      <c r="AA164" s="71" t="s">
        <v>177</v>
      </c>
      <c r="AB164" s="71" t="s">
        <v>720</v>
      </c>
      <c r="AC164" s="72">
        <f>IFERROR(ATL_H67[[#This Row],[H]]/ATL_H67[[#This Row],[AB]],0)</f>
        <v>0.14285714285714285</v>
      </c>
      <c r="AD164" s="72">
        <f>IFERROR((ATL_H67[[#This Row],[H]]+ATL_H67[[#This Row],[BB]])/(ATL_H67[[#This Row],[BB]]+ATL_H67[[#This Row],[AB]]),0)</f>
        <v>0.33333333333333331</v>
      </c>
      <c r="AE164" s="73">
        <f>IFERROR(((ATL_H67[[#This Row],[H]]-ATL_H67[[#This Row],[2B]]-ATL_H67[[#This Row],[3B]]-ATL_H67[[#This Row],[HR]])+(ATL_H67[[#This Row],[2B]]*2)+(ATL_H67[[#This Row],[3B]]*3)+(ATL_H67[[#This Row],[HR]]*4))/ATL_H67[[#This Row],[AB]],0)</f>
        <v>0.35714285714285715</v>
      </c>
      <c r="AF164" s="28">
        <v>4</v>
      </c>
      <c r="AG164" s="28">
        <v>14</v>
      </c>
      <c r="AH164" s="28">
        <v>1</v>
      </c>
      <c r="AI164" s="28">
        <v>2</v>
      </c>
      <c r="AJ164" s="28">
        <v>0</v>
      </c>
      <c r="AK164" s="28">
        <v>0</v>
      </c>
      <c r="AL164" s="28">
        <v>1</v>
      </c>
      <c r="AM164" s="28">
        <v>1</v>
      </c>
      <c r="AN164" s="28">
        <v>4</v>
      </c>
      <c r="AO164" s="74">
        <v>5</v>
      </c>
      <c r="AP164" s="28">
        <v>0</v>
      </c>
      <c r="AQ164" s="28">
        <v>2</v>
      </c>
      <c r="AR164" s="74">
        <v>2</v>
      </c>
      <c r="AS164" s="28">
        <f>IFERROR((ATL_H67[[#This Row],[H]]-ATL_H67[[#This Row],[2B]]-ATL_H67[[#This Row],[3B]]-ATL_H67[[#This Row],[HR]])+(ATL_H67[[#This Row],[2B]]*2)+(ATL_H67[[#This Row],[3B]]*3)+(ATL_H67[[#This Row],[HR]]*4),0)</f>
        <v>5</v>
      </c>
      <c r="AT164" s="72">
        <f>ATL_H67[[#This Row],[OBP]]+ATL_H67[[#This Row],[SLG]]</f>
        <v>0.69047619047619047</v>
      </c>
      <c r="AU164" s="74">
        <v>0</v>
      </c>
      <c r="AV164" s="615">
        <v>5</v>
      </c>
      <c r="AY164" s="720" t="s">
        <v>770</v>
      </c>
      <c r="AZ164" s="104" t="s">
        <v>177</v>
      </c>
      <c r="BA164" s="71" t="s">
        <v>781</v>
      </c>
      <c r="BB164" s="72">
        <f>IFERROR(PHI_H74[[#This Row],[H]]/PHI_H74[[#This Row],[AB]],0)</f>
        <v>0.19354838709677419</v>
      </c>
      <c r="BC164" s="72">
        <f>IFERROR((PHI_H74[[#This Row],[BB]]+PHI_H74[[#This Row],[H]])/(PHI_H74[[#This Row],[BB]]+PHI_H74[[#This Row],[AB]]),0)</f>
        <v>0.30555555555555558</v>
      </c>
      <c r="BD164" s="73">
        <f>IFERROR(((PHI_H74[[#This Row],[H]]-PHI_H74[[#This Row],[2B]]-PHI_H74[[#This Row],[3B]]-PHI_H74[[#This Row],[HR]])+(PHI_H74[[#This Row],[2B]]*2)+(PHI_H74[[#This Row],[3B]]*3)+(PHI_H74[[#This Row],[HR]]*4))/PHI_H74[[#This Row],[AB]],0)</f>
        <v>0.46774193548387094</v>
      </c>
      <c r="BE164" s="28">
        <v>14</v>
      </c>
      <c r="BF164" s="76">
        <v>62</v>
      </c>
      <c r="BG164" s="28">
        <v>12</v>
      </c>
      <c r="BH164" s="28">
        <v>12</v>
      </c>
      <c r="BI164" s="28">
        <v>2</v>
      </c>
      <c r="BJ164" s="28">
        <v>0</v>
      </c>
      <c r="BK164" s="28">
        <v>5</v>
      </c>
      <c r="BL164" s="28">
        <v>9</v>
      </c>
      <c r="BM164" s="28">
        <v>10</v>
      </c>
      <c r="BN164" s="74">
        <v>22</v>
      </c>
      <c r="BO164" s="28">
        <v>0</v>
      </c>
      <c r="BP164" s="28">
        <v>2</v>
      </c>
      <c r="BQ164" s="74">
        <v>3</v>
      </c>
      <c r="BR164" s="28">
        <f>(PHI_H74[[#This Row],[H]]-PHI_H74[[#This Row],[2B]]-PHI_H74[[#This Row],[3B]]-PHI_H74[[#This Row],[HR]])+(PHI_H74[[#This Row],[2B]]*2)+(PHI_H74[[#This Row],[3B]]*3)+(PHI_H74[[#This Row],[HR]]*4)</f>
        <v>29</v>
      </c>
      <c r="BS164" s="72">
        <f>IFERROR(PHI_H74[[#This Row],[OBP]]+PHI_H74[[#This Row],[SLG]],0)</f>
        <v>0.77329749103942658</v>
      </c>
      <c r="BT164" s="74">
        <v>2</v>
      </c>
      <c r="BU164" s="615">
        <v>5</v>
      </c>
    </row>
    <row r="165" spans="1:73">
      <c r="A165" s="651" t="s">
        <v>770</v>
      </c>
      <c r="B165" s="71" t="s">
        <v>174</v>
      </c>
      <c r="C165" s="71" t="s">
        <v>782</v>
      </c>
      <c r="D165" s="72">
        <f>IFERROR(PHI_H265[[#This Row],[H]]/PHI_H265[[#This Row],[AB]],0)</f>
        <v>0.25</v>
      </c>
      <c r="E165" s="72">
        <f>IFERROR((PHI_H265[[#This Row],[H]]+PHI_H265[[#This Row],[BB]])/(PHI_H265[[#This Row],[BB]]+PHI_H265[[#This Row],[AB]]),0)</f>
        <v>0.31428571428571428</v>
      </c>
      <c r="F165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0.5</v>
      </c>
      <c r="G165" s="77">
        <v>8</v>
      </c>
      <c r="H165" s="28">
        <v>32</v>
      </c>
      <c r="I165" s="28">
        <v>4</v>
      </c>
      <c r="J165" s="28">
        <v>8</v>
      </c>
      <c r="K165" s="28">
        <v>2</v>
      </c>
      <c r="L165" s="28">
        <v>0</v>
      </c>
      <c r="M165" s="28">
        <v>2</v>
      </c>
      <c r="N165" s="28">
        <v>5</v>
      </c>
      <c r="O165" s="28">
        <v>3</v>
      </c>
      <c r="P165" s="74">
        <v>10</v>
      </c>
      <c r="Q165" s="28">
        <v>0</v>
      </c>
      <c r="R165" s="28">
        <v>5</v>
      </c>
      <c r="S165" s="74">
        <v>5</v>
      </c>
      <c r="T165" s="28">
        <f>IFERROR((PHI_H265[[#This Row],[H]]-PHI_H265[[#This Row],[2B]]-PHI_H265[[#This Row],[3B]]-PHI_H265[[#This Row],[HR]])+(PHI_H265[[#This Row],[2B]]*2)+(PHI_H265[[#This Row],[3B]]*3)+(PHI_H265[[#This Row],[HR]]*4),0)</f>
        <v>16</v>
      </c>
      <c r="U165" s="72">
        <f>PHI_H265[[#This Row],[OBP]]+PHI_H265[[#This Row],[SLG]]</f>
        <v>0.81428571428571428</v>
      </c>
      <c r="V165" s="74">
        <v>0</v>
      </c>
      <c r="W165" s="615">
        <v>6</v>
      </c>
      <c r="Z165" s="651" t="s">
        <v>835</v>
      </c>
      <c r="AA165" s="71" t="s">
        <v>174</v>
      </c>
      <c r="AB165" s="71" t="s">
        <v>843</v>
      </c>
      <c r="AC165" s="594">
        <f>IFERROR(ATL_H67[[#This Row],[H]]/ATL_H67[[#This Row],[AB]],0)</f>
        <v>0.4375</v>
      </c>
      <c r="AD165" s="72">
        <f>IFERROR((ATL_H67[[#This Row],[H]]+ATL_H67[[#This Row],[BB]])/(ATL_H67[[#This Row],[BB]]+ATL_H67[[#This Row],[AB]]),0)</f>
        <v>0.47058823529411764</v>
      </c>
      <c r="AE165" s="346">
        <f>IFERROR(((ATL_H67[[#This Row],[H]]-ATL_H67[[#This Row],[2B]]-ATL_H67[[#This Row],[3B]]-ATL_H67[[#This Row],[HR]])+(ATL_H67[[#This Row],[2B]]*2)+(ATL_H67[[#This Row],[3B]]*3)+(ATL_H67[[#This Row],[HR]]*4))/ATL_H67[[#This Row],[AB]],0)</f>
        <v>0.8125</v>
      </c>
      <c r="AF165" s="28">
        <v>4</v>
      </c>
      <c r="AG165" s="28">
        <v>16</v>
      </c>
      <c r="AH165" s="28">
        <v>2</v>
      </c>
      <c r="AI165" s="28">
        <v>7</v>
      </c>
      <c r="AJ165" s="28">
        <v>0</v>
      </c>
      <c r="AK165" s="28">
        <v>0</v>
      </c>
      <c r="AL165" s="28">
        <v>2</v>
      </c>
      <c r="AM165" s="28">
        <v>7</v>
      </c>
      <c r="AN165" s="28">
        <v>1</v>
      </c>
      <c r="AO165" s="74">
        <v>3</v>
      </c>
      <c r="AP165" s="28">
        <v>0</v>
      </c>
      <c r="AQ165" s="28">
        <v>4</v>
      </c>
      <c r="AR165" s="74">
        <v>4</v>
      </c>
      <c r="AS165" s="28">
        <f>IFERROR((ATL_H67[[#This Row],[H]]-ATL_H67[[#This Row],[2B]]-ATL_H67[[#This Row],[3B]]-ATL_H67[[#This Row],[HR]])+(ATL_H67[[#This Row],[2B]]*2)+(ATL_H67[[#This Row],[3B]]*3)+(ATL_H67[[#This Row],[HR]]*4),0)</f>
        <v>13</v>
      </c>
      <c r="AT165" s="594">
        <f>ATL_H67[[#This Row],[OBP]]+ATL_H67[[#This Row],[SLG]]</f>
        <v>1.2830882352941178</v>
      </c>
      <c r="AU165" s="74">
        <v>0</v>
      </c>
      <c r="AV165" s="615">
        <v>6</v>
      </c>
      <c r="AY165" s="720" t="s">
        <v>770</v>
      </c>
      <c r="AZ165" s="74" t="s">
        <v>234</v>
      </c>
      <c r="BA165" s="71" t="s">
        <v>784</v>
      </c>
      <c r="BB165" s="72">
        <f>IFERROR(PHI_H74[[#This Row],[H]]/PHI_H74[[#This Row],[AB]],0)</f>
        <v>0.22033898305084745</v>
      </c>
      <c r="BC165" s="72">
        <f>IFERROR((PHI_H74[[#This Row],[BB]]+PHI_H74[[#This Row],[H]])/(PHI_H74[[#This Row],[BB]]+PHI_H74[[#This Row],[AB]]),0)</f>
        <v>0.26984126984126983</v>
      </c>
      <c r="BD165" s="73">
        <f>IFERROR(((PHI_H74[[#This Row],[H]]-PHI_H74[[#This Row],[2B]]-PHI_H74[[#This Row],[3B]]-PHI_H74[[#This Row],[HR]])+(PHI_H74[[#This Row],[2B]]*2)+(PHI_H74[[#This Row],[3B]]*3)+(PHI_H74[[#This Row],[HR]]*4))/PHI_H74[[#This Row],[AB]],0)</f>
        <v>0.30508474576271188</v>
      </c>
      <c r="BE165" s="28">
        <v>14</v>
      </c>
      <c r="BF165" s="28">
        <v>59</v>
      </c>
      <c r="BG165" s="28">
        <v>4</v>
      </c>
      <c r="BH165" s="28">
        <v>13</v>
      </c>
      <c r="BI165" s="28">
        <v>2</v>
      </c>
      <c r="BJ165" s="28">
        <v>0</v>
      </c>
      <c r="BK165" s="28">
        <v>1</v>
      </c>
      <c r="BL165" s="28">
        <v>8</v>
      </c>
      <c r="BM165" s="28">
        <v>4</v>
      </c>
      <c r="BN165" s="74">
        <v>23</v>
      </c>
      <c r="BO165" s="28">
        <v>0</v>
      </c>
      <c r="BP165" s="28">
        <v>0</v>
      </c>
      <c r="BQ165" s="74">
        <v>7</v>
      </c>
      <c r="BR165" s="28">
        <f>(PHI_H74[[#This Row],[H]]-PHI_H74[[#This Row],[2B]]-PHI_H74[[#This Row],[3B]]-PHI_H74[[#This Row],[HR]])+(PHI_H74[[#This Row],[2B]]*2)+(PHI_H74[[#This Row],[3B]]*3)+(PHI_H74[[#This Row],[HR]]*4)</f>
        <v>18</v>
      </c>
      <c r="BS165" s="72">
        <f>IFERROR(PHI_H74[[#This Row],[OBP]]+PHI_H74[[#This Row],[SLG]],0)</f>
        <v>0.57492601560398171</v>
      </c>
      <c r="BT165" s="74">
        <v>1</v>
      </c>
      <c r="BU165" s="615">
        <v>6</v>
      </c>
    </row>
    <row r="166" spans="1:73">
      <c r="A166" s="651" t="s">
        <v>770</v>
      </c>
      <c r="B166" s="71" t="s">
        <v>181</v>
      </c>
      <c r="C166" s="71" t="s">
        <v>776</v>
      </c>
      <c r="D166" s="72">
        <f>IFERROR(PHI_H265[[#This Row],[H]]/PHI_H265[[#This Row],[AB]],0)</f>
        <v>0.22580645161290322</v>
      </c>
      <c r="E166" s="72">
        <f>IFERROR((PHI_H265[[#This Row],[H]]+PHI_H265[[#This Row],[BB]])/(PHI_H265[[#This Row],[BB]]+PHI_H265[[#This Row],[AB]]),0)</f>
        <v>0.35135135135135137</v>
      </c>
      <c r="F166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0.29032258064516131</v>
      </c>
      <c r="G166" s="77">
        <v>8</v>
      </c>
      <c r="H166" s="28">
        <v>31</v>
      </c>
      <c r="I166" s="28">
        <v>3</v>
      </c>
      <c r="J166" s="28">
        <v>7</v>
      </c>
      <c r="K166" s="28">
        <v>2</v>
      </c>
      <c r="L166" s="28">
        <v>0</v>
      </c>
      <c r="M166" s="28">
        <v>0</v>
      </c>
      <c r="N166" s="28">
        <v>1</v>
      </c>
      <c r="O166" s="28">
        <v>6</v>
      </c>
      <c r="P166" s="74">
        <v>7</v>
      </c>
      <c r="Q166" s="28">
        <v>2</v>
      </c>
      <c r="R166" s="28">
        <v>2</v>
      </c>
      <c r="S166" s="74">
        <v>3</v>
      </c>
      <c r="T166" s="28">
        <f>IFERROR((PHI_H265[[#This Row],[H]]-PHI_H265[[#This Row],[2B]]-PHI_H265[[#This Row],[3B]]-PHI_H265[[#This Row],[HR]])+(PHI_H265[[#This Row],[2B]]*2)+(PHI_H265[[#This Row],[3B]]*3)+(PHI_H265[[#This Row],[HR]]*4),0)</f>
        <v>9</v>
      </c>
      <c r="U166" s="72">
        <f>PHI_H265[[#This Row],[OBP]]+PHI_H265[[#This Row],[SLG]]</f>
        <v>0.64167393199651268</v>
      </c>
      <c r="V166" s="74">
        <v>1</v>
      </c>
      <c r="W166" s="615">
        <v>7</v>
      </c>
      <c r="Z166" s="651" t="s">
        <v>835</v>
      </c>
      <c r="AA166" s="71" t="s">
        <v>383</v>
      </c>
      <c r="AB166" s="71" t="s">
        <v>841</v>
      </c>
      <c r="AC166" s="72">
        <f>IFERROR(ATL_H67[[#This Row],[H]]/ATL_H67[[#This Row],[AB]],0)</f>
        <v>8.3333333333333329E-2</v>
      </c>
      <c r="AD166" s="72">
        <f>IFERROR((ATL_H67[[#This Row],[H]]+ATL_H67[[#This Row],[BB]])/(ATL_H67[[#This Row],[BB]]+ATL_H67[[#This Row],[AB]]),0)</f>
        <v>0.21428571428571427</v>
      </c>
      <c r="AE166" s="73">
        <f>IFERROR(((ATL_H67[[#This Row],[H]]-ATL_H67[[#This Row],[2B]]-ATL_H67[[#This Row],[3B]]-ATL_H67[[#This Row],[HR]])+(ATL_H67[[#This Row],[2B]]*2)+(ATL_H67[[#This Row],[3B]]*3)+(ATL_H67[[#This Row],[HR]]*4))/ATL_H67[[#This Row],[AB]],0)</f>
        <v>8.3333333333333329E-2</v>
      </c>
      <c r="AF166" s="28">
        <v>4</v>
      </c>
      <c r="AG166" s="28">
        <v>12</v>
      </c>
      <c r="AH166" s="28">
        <v>0</v>
      </c>
      <c r="AI166" s="28">
        <v>1</v>
      </c>
      <c r="AJ166" s="28">
        <v>0</v>
      </c>
      <c r="AK166" s="28">
        <v>0</v>
      </c>
      <c r="AL166" s="28">
        <v>0</v>
      </c>
      <c r="AM166" s="28">
        <v>0</v>
      </c>
      <c r="AN166" s="28">
        <v>2</v>
      </c>
      <c r="AO166" s="74">
        <v>4</v>
      </c>
      <c r="AP166" s="28">
        <v>0</v>
      </c>
      <c r="AQ166" s="28">
        <v>0</v>
      </c>
      <c r="AR166" s="74">
        <v>1</v>
      </c>
      <c r="AS166" s="28">
        <f>IFERROR((ATL_H67[[#This Row],[H]]-ATL_H67[[#This Row],[2B]]-ATL_H67[[#This Row],[3B]]-ATL_H67[[#This Row],[HR]])+(ATL_H67[[#This Row],[2B]]*2)+(ATL_H67[[#This Row],[3B]]*3)+(ATL_H67[[#This Row],[HR]]*4),0)</f>
        <v>1</v>
      </c>
      <c r="AT166" s="72">
        <f>ATL_H67[[#This Row],[OBP]]+ATL_H67[[#This Row],[SLG]]</f>
        <v>0.29761904761904762</v>
      </c>
      <c r="AU166" s="74">
        <v>0</v>
      </c>
      <c r="AV166" s="615">
        <v>7</v>
      </c>
      <c r="AY166" s="720" t="s">
        <v>770</v>
      </c>
      <c r="AZ166" s="104" t="s">
        <v>181</v>
      </c>
      <c r="BA166" s="71" t="s">
        <v>776</v>
      </c>
      <c r="BB166" s="72">
        <f>IFERROR(PHI_H74[[#This Row],[H]]/PHI_H74[[#This Row],[AB]],0)</f>
        <v>0.33333333333333331</v>
      </c>
      <c r="BC166" s="594">
        <f>IFERROR((PHI_H74[[#This Row],[BB]]+PHI_H74[[#This Row],[H]])/(PHI_H74[[#This Row],[BB]]+PHI_H74[[#This Row],[AB]]),0)</f>
        <v>0.47945205479452052</v>
      </c>
      <c r="BD166" s="73">
        <f>IFERROR(((PHI_H74[[#This Row],[H]]-PHI_H74[[#This Row],[2B]]-PHI_H74[[#This Row],[3B]]-PHI_H74[[#This Row],[HR]])+(PHI_H74[[#This Row],[2B]]*2)+(PHI_H74[[#This Row],[3B]]*3)+(PHI_H74[[#This Row],[HR]]*4))/PHI_H74[[#This Row],[AB]],0)</f>
        <v>0.47368421052631576</v>
      </c>
      <c r="BE166" s="28">
        <v>14</v>
      </c>
      <c r="BF166" s="28">
        <v>57</v>
      </c>
      <c r="BG166" s="586">
        <v>13</v>
      </c>
      <c r="BH166" s="28">
        <v>19</v>
      </c>
      <c r="BI166" s="76">
        <v>6</v>
      </c>
      <c r="BJ166" s="28">
        <v>1</v>
      </c>
      <c r="BK166" s="28">
        <v>0</v>
      </c>
      <c r="BL166" s="28">
        <v>3</v>
      </c>
      <c r="BM166" s="586">
        <v>16</v>
      </c>
      <c r="BN166" s="74">
        <v>13</v>
      </c>
      <c r="BO166" s="76">
        <v>6</v>
      </c>
      <c r="BP166" s="28">
        <v>0</v>
      </c>
      <c r="BQ166" s="104">
        <v>9</v>
      </c>
      <c r="BR166" s="28">
        <f>(PHI_H74[[#This Row],[H]]-PHI_H74[[#This Row],[2B]]-PHI_H74[[#This Row],[3B]]-PHI_H74[[#This Row],[HR]])+(PHI_H74[[#This Row],[2B]]*2)+(PHI_H74[[#This Row],[3B]]*3)+(PHI_H74[[#This Row],[HR]]*4)</f>
        <v>27</v>
      </c>
      <c r="BS166" s="72">
        <f>IFERROR(PHI_H74[[#This Row],[OBP]]+PHI_H74[[#This Row],[SLG]],0)</f>
        <v>0.95313626532083628</v>
      </c>
      <c r="BT166" s="74">
        <v>0</v>
      </c>
      <c r="BU166" s="615">
        <v>7</v>
      </c>
    </row>
    <row r="167" spans="1:73">
      <c r="A167" s="651" t="s">
        <v>770</v>
      </c>
      <c r="B167" s="71" t="s">
        <v>166</v>
      </c>
      <c r="C167" s="71" t="s">
        <v>772</v>
      </c>
      <c r="D167" s="72">
        <f>IFERROR(PHI_H265[[#This Row],[H]]/PHI_H265[[#This Row],[AB]],0)</f>
        <v>0.14705882352941177</v>
      </c>
      <c r="E167" s="72">
        <f>IFERROR((PHI_H265[[#This Row],[H]]+PHI_H265[[#This Row],[BB]])/(PHI_H265[[#This Row],[BB]]+PHI_H265[[#This Row],[AB]]),0)</f>
        <v>0.21621621621621623</v>
      </c>
      <c r="F167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0.20588235294117646</v>
      </c>
      <c r="G167" s="77">
        <v>8</v>
      </c>
      <c r="H167" s="28">
        <v>34</v>
      </c>
      <c r="I167" s="28">
        <v>3</v>
      </c>
      <c r="J167" s="28">
        <v>5</v>
      </c>
      <c r="K167" s="28">
        <v>2</v>
      </c>
      <c r="L167" s="28">
        <v>0</v>
      </c>
      <c r="M167" s="28">
        <v>0</v>
      </c>
      <c r="N167" s="28">
        <v>3</v>
      </c>
      <c r="O167" s="28">
        <v>3</v>
      </c>
      <c r="P167" s="74">
        <v>12</v>
      </c>
      <c r="Q167" s="28">
        <v>0</v>
      </c>
      <c r="R167" s="28">
        <v>3</v>
      </c>
      <c r="S167" s="74">
        <v>3</v>
      </c>
      <c r="T167" s="28">
        <f>IFERROR((PHI_H265[[#This Row],[H]]-PHI_H265[[#This Row],[2B]]-PHI_H265[[#This Row],[3B]]-PHI_H265[[#This Row],[HR]])+(PHI_H265[[#This Row],[2B]]*2)+(PHI_H265[[#This Row],[3B]]*3)+(PHI_H265[[#This Row],[HR]]*4),0)</f>
        <v>7</v>
      </c>
      <c r="U167" s="72">
        <f>PHI_H265[[#This Row],[OBP]]+PHI_H265[[#This Row],[SLG]]</f>
        <v>0.42209856915739269</v>
      </c>
      <c r="V167" s="74">
        <v>0</v>
      </c>
      <c r="W167" s="615">
        <v>8</v>
      </c>
      <c r="Z167" s="651" t="s">
        <v>835</v>
      </c>
      <c r="AA167" s="71" t="s">
        <v>166</v>
      </c>
      <c r="AB167" s="71" t="s">
        <v>840</v>
      </c>
      <c r="AC167" s="72">
        <f>IFERROR(ATL_H67[[#This Row],[H]]/ATL_H67[[#This Row],[AB]],0)</f>
        <v>0.23529411764705882</v>
      </c>
      <c r="AD167" s="72">
        <f>IFERROR((ATL_H67[[#This Row],[H]]+ATL_H67[[#This Row],[BB]])/(ATL_H67[[#This Row],[BB]]+ATL_H67[[#This Row],[AB]]),0)</f>
        <v>0.27777777777777779</v>
      </c>
      <c r="AE167" s="73">
        <f>IFERROR(((ATL_H67[[#This Row],[H]]-ATL_H67[[#This Row],[2B]]-ATL_H67[[#This Row],[3B]]-ATL_H67[[#This Row],[HR]])+(ATL_H67[[#This Row],[2B]]*2)+(ATL_H67[[#This Row],[3B]]*3)+(ATL_H67[[#This Row],[HR]]*4))/ATL_H67[[#This Row],[AB]],0)</f>
        <v>0.41176470588235292</v>
      </c>
      <c r="AF167" s="28">
        <v>4</v>
      </c>
      <c r="AG167" s="28">
        <v>17</v>
      </c>
      <c r="AH167" s="28">
        <v>3</v>
      </c>
      <c r="AI167" s="28">
        <v>4</v>
      </c>
      <c r="AJ167" s="28">
        <v>0</v>
      </c>
      <c r="AK167" s="28">
        <v>0</v>
      </c>
      <c r="AL167" s="28">
        <v>1</v>
      </c>
      <c r="AM167" s="28">
        <v>1</v>
      </c>
      <c r="AN167" s="28">
        <v>1</v>
      </c>
      <c r="AO167" s="74">
        <v>4</v>
      </c>
      <c r="AP167" s="28">
        <v>0</v>
      </c>
      <c r="AQ167" s="28">
        <v>0</v>
      </c>
      <c r="AR167" s="74">
        <v>1</v>
      </c>
      <c r="AS167" s="28">
        <f>IFERROR((ATL_H67[[#This Row],[H]]-ATL_H67[[#This Row],[2B]]-ATL_H67[[#This Row],[3B]]-ATL_H67[[#This Row],[HR]])+(ATL_H67[[#This Row],[2B]]*2)+(ATL_H67[[#This Row],[3B]]*3)+(ATL_H67[[#This Row],[HR]]*4),0)</f>
        <v>7</v>
      </c>
      <c r="AT167" s="72">
        <f>ATL_H67[[#This Row],[OBP]]+ATL_H67[[#This Row],[SLG]]</f>
        <v>0.68954248366013071</v>
      </c>
      <c r="AU167" s="74">
        <v>0</v>
      </c>
      <c r="AV167" s="615">
        <v>8</v>
      </c>
      <c r="AY167" s="720" t="s">
        <v>770</v>
      </c>
      <c r="AZ167" s="74" t="s">
        <v>166</v>
      </c>
      <c r="BA167" s="71" t="s">
        <v>772</v>
      </c>
      <c r="BB167" s="72">
        <f>IFERROR(PHI_H74[[#This Row],[H]]/PHI_H74[[#This Row],[AB]],0)</f>
        <v>0.27419354838709675</v>
      </c>
      <c r="BC167" s="72">
        <f>IFERROR((PHI_H74[[#This Row],[BB]]+PHI_H74[[#This Row],[H]])/(PHI_H74[[#This Row],[BB]]+PHI_H74[[#This Row],[AB]]),0)</f>
        <v>0.35714285714285715</v>
      </c>
      <c r="BD167" s="73">
        <f>IFERROR(((PHI_H74[[#This Row],[H]]-PHI_H74[[#This Row],[2B]]-PHI_H74[[#This Row],[3B]]-PHI_H74[[#This Row],[HR]])+(PHI_H74[[#This Row],[2B]]*2)+(PHI_H74[[#This Row],[3B]]*3)+(PHI_H74[[#This Row],[HR]]*4))/PHI_H74[[#This Row],[AB]],0)</f>
        <v>0.40322580645161288</v>
      </c>
      <c r="BE167" s="28">
        <v>14</v>
      </c>
      <c r="BF167" s="76">
        <v>62</v>
      </c>
      <c r="BG167" s="28">
        <v>9</v>
      </c>
      <c r="BH167" s="28">
        <v>17</v>
      </c>
      <c r="BI167" s="28">
        <v>2</v>
      </c>
      <c r="BJ167" s="28">
        <v>0</v>
      </c>
      <c r="BK167" s="28">
        <v>2</v>
      </c>
      <c r="BL167" s="28">
        <v>8</v>
      </c>
      <c r="BM167" s="28">
        <v>8</v>
      </c>
      <c r="BN167" s="74">
        <v>26</v>
      </c>
      <c r="BO167" s="28">
        <v>0</v>
      </c>
      <c r="BP167" s="28">
        <v>5</v>
      </c>
      <c r="BQ167" s="74">
        <v>5</v>
      </c>
      <c r="BR167" s="28">
        <f>(PHI_H74[[#This Row],[H]]-PHI_H74[[#This Row],[2B]]-PHI_H74[[#This Row],[3B]]-PHI_H74[[#This Row],[HR]])+(PHI_H74[[#This Row],[2B]]*2)+(PHI_H74[[#This Row],[3B]]*3)+(PHI_H74[[#This Row],[HR]]*4)</f>
        <v>25</v>
      </c>
      <c r="BS167" s="72">
        <f>IFERROR(PHI_H74[[#This Row],[OBP]]+PHI_H74[[#This Row],[SLG]],0)</f>
        <v>0.76036866359446997</v>
      </c>
      <c r="BT167" s="104">
        <v>3</v>
      </c>
      <c r="BU167" s="615">
        <v>8</v>
      </c>
    </row>
    <row r="168" spans="1:73">
      <c r="A168" s="651" t="s">
        <v>770</v>
      </c>
      <c r="B168" s="71" t="s">
        <v>168</v>
      </c>
      <c r="C168" s="71" t="s">
        <v>774</v>
      </c>
      <c r="D168" s="72">
        <f>IFERROR(PHI_H265[[#This Row],[H]]/PHI_H265[[#This Row],[AB]],0)</f>
        <v>0.25806451612903225</v>
      </c>
      <c r="E168" s="72">
        <f>IFERROR((PHI_H265[[#This Row],[H]]+PHI_H265[[#This Row],[BB]])/(PHI_H265[[#This Row],[BB]]+PHI_H265[[#This Row],[AB]]),0)</f>
        <v>0.3235294117647059</v>
      </c>
      <c r="F168" s="73">
        <f>IFERROR(((PHI_H265[[#This Row],[H]]-PHI_H265[[#This Row],[2B]]-PHI_H265[[#This Row],[3B]]-PHI_H265[[#This Row],[HR]])+(PHI_H265[[#This Row],[2B]]*2)+(PHI_H265[[#This Row],[3B]]*3)+(PHI_H265[[#This Row],[HR]]*4))/PHI_H265[[#This Row],[AB]],0)</f>
        <v>0.58064516129032262</v>
      </c>
      <c r="G168" s="77">
        <v>8</v>
      </c>
      <c r="H168" s="28">
        <v>31</v>
      </c>
      <c r="I168" s="28">
        <v>3</v>
      </c>
      <c r="J168" s="28">
        <v>8</v>
      </c>
      <c r="K168" s="28">
        <v>1</v>
      </c>
      <c r="L168" s="28">
        <v>0</v>
      </c>
      <c r="M168" s="28">
        <v>3</v>
      </c>
      <c r="N168" s="28">
        <v>5</v>
      </c>
      <c r="O168" s="28">
        <v>3</v>
      </c>
      <c r="P168" s="74">
        <v>10</v>
      </c>
      <c r="Q168" s="28">
        <v>0</v>
      </c>
      <c r="R168" s="28">
        <v>1</v>
      </c>
      <c r="S168" s="74">
        <v>3</v>
      </c>
      <c r="T168" s="28">
        <f>IFERROR((PHI_H265[[#This Row],[H]]-PHI_H265[[#This Row],[2B]]-PHI_H265[[#This Row],[3B]]-PHI_H265[[#This Row],[HR]])+(PHI_H265[[#This Row],[2B]]*2)+(PHI_H265[[#This Row],[3B]]*3)+(PHI_H265[[#This Row],[HR]]*4),0)</f>
        <v>18</v>
      </c>
      <c r="U168" s="72">
        <f>PHI_H265[[#This Row],[OBP]]+PHI_H265[[#This Row],[SLG]]</f>
        <v>0.90417457305502857</v>
      </c>
      <c r="V168" s="74">
        <v>0</v>
      </c>
      <c r="W168" s="615">
        <v>9</v>
      </c>
      <c r="Z168" s="651" t="s">
        <v>835</v>
      </c>
      <c r="AA168" s="71" t="s">
        <v>168</v>
      </c>
      <c r="AB168" s="71" t="s">
        <v>837</v>
      </c>
      <c r="AC168" s="72">
        <f>IFERROR(ATL_H67[[#This Row],[H]]/ATL_H67[[#This Row],[AB]],0)</f>
        <v>0.23529411764705882</v>
      </c>
      <c r="AD168" s="72">
        <f>IFERROR((ATL_H67[[#This Row],[H]]+ATL_H67[[#This Row],[BB]])/(ATL_H67[[#This Row],[BB]]+ATL_H67[[#This Row],[AB]]),0)</f>
        <v>0.27777777777777779</v>
      </c>
      <c r="AE168" s="73">
        <f>IFERROR(((ATL_H67[[#This Row],[H]]-ATL_H67[[#This Row],[2B]]-ATL_H67[[#This Row],[3B]]-ATL_H67[[#This Row],[HR]])+(ATL_H67[[#This Row],[2B]]*2)+(ATL_H67[[#This Row],[3B]]*3)+(ATL_H67[[#This Row],[HR]]*4))/ATL_H67[[#This Row],[AB]],0)</f>
        <v>0.52941176470588236</v>
      </c>
      <c r="AF168" s="28">
        <v>4</v>
      </c>
      <c r="AG168" s="28">
        <v>17</v>
      </c>
      <c r="AH168" s="28">
        <v>2</v>
      </c>
      <c r="AI168" s="28">
        <v>4</v>
      </c>
      <c r="AJ168" s="28">
        <v>2</v>
      </c>
      <c r="AK168" s="28">
        <v>0</v>
      </c>
      <c r="AL168" s="28">
        <v>1</v>
      </c>
      <c r="AM168" s="28">
        <v>1</v>
      </c>
      <c r="AN168" s="28">
        <v>1</v>
      </c>
      <c r="AO168" s="74">
        <v>6</v>
      </c>
      <c r="AP168" s="28">
        <v>0</v>
      </c>
      <c r="AQ168" s="28">
        <v>0</v>
      </c>
      <c r="AR168" s="74">
        <v>2</v>
      </c>
      <c r="AS168" s="28">
        <f>IFERROR((ATL_H67[[#This Row],[H]]-ATL_H67[[#This Row],[2B]]-ATL_H67[[#This Row],[3B]]-ATL_H67[[#This Row],[HR]])+(ATL_H67[[#This Row],[2B]]*2)+(ATL_H67[[#This Row],[3B]]*3)+(ATL_H67[[#This Row],[HR]]*4),0)</f>
        <v>9</v>
      </c>
      <c r="AT168" s="72">
        <f>ATL_H67[[#This Row],[OBP]]+ATL_H67[[#This Row],[SLG]]</f>
        <v>0.80718954248366015</v>
      </c>
      <c r="AU168" s="74">
        <v>0</v>
      </c>
      <c r="AV168" s="615">
        <v>9</v>
      </c>
      <c r="AY168" s="720" t="s">
        <v>770</v>
      </c>
      <c r="AZ168" s="74" t="s">
        <v>168</v>
      </c>
      <c r="BA168" s="71" t="s">
        <v>773</v>
      </c>
      <c r="BB168" s="72">
        <f>IFERROR(PHI_H74[[#This Row],[H]]/PHI_H74[[#This Row],[AB]],0)</f>
        <v>0.25</v>
      </c>
      <c r="BC168" s="72">
        <f>IFERROR((PHI_H74[[#This Row],[BB]]+PHI_H74[[#This Row],[H]])/(PHI_H74[[#This Row],[BB]]+PHI_H74[[#This Row],[AB]]),0)</f>
        <v>0.35384615384615387</v>
      </c>
      <c r="BD168" s="73">
        <f>IFERROR(((PHI_H74[[#This Row],[H]]-PHI_H74[[#This Row],[2B]]-PHI_H74[[#This Row],[3B]]-PHI_H74[[#This Row],[HR]])+(PHI_H74[[#This Row],[2B]]*2)+(PHI_H74[[#This Row],[3B]]*3)+(PHI_H74[[#This Row],[HR]]*4))/PHI_H74[[#This Row],[AB]],0)</f>
        <v>0.44642857142857145</v>
      </c>
      <c r="BE168" s="28">
        <v>14</v>
      </c>
      <c r="BF168" s="28">
        <v>56</v>
      </c>
      <c r="BG168" s="28">
        <v>6</v>
      </c>
      <c r="BH168" s="28">
        <v>14</v>
      </c>
      <c r="BI168" s="28">
        <v>2</v>
      </c>
      <c r="BJ168" s="28">
        <v>0</v>
      </c>
      <c r="BK168" s="28">
        <v>3</v>
      </c>
      <c r="BL168" s="28">
        <v>12</v>
      </c>
      <c r="BM168" s="28">
        <v>9</v>
      </c>
      <c r="BN168" s="74">
        <v>18</v>
      </c>
      <c r="BO168" s="28">
        <v>0</v>
      </c>
      <c r="BP168" s="28">
        <v>2</v>
      </c>
      <c r="BQ168" s="74">
        <v>3</v>
      </c>
      <c r="BR168" s="28">
        <f>(PHI_H74[[#This Row],[H]]-PHI_H74[[#This Row],[2B]]-PHI_H74[[#This Row],[3B]]-PHI_H74[[#This Row],[HR]])+(PHI_H74[[#This Row],[2B]]*2)+(PHI_H74[[#This Row],[3B]]*3)+(PHI_H74[[#This Row],[HR]]*4)</f>
        <v>25</v>
      </c>
      <c r="BS168" s="72">
        <f>IFERROR(PHI_H74[[#This Row],[OBP]]+PHI_H74[[#This Row],[SLG]],0)</f>
        <v>0.80027472527472532</v>
      </c>
      <c r="BT168" s="74">
        <v>2</v>
      </c>
      <c r="BU168" s="615">
        <v>9</v>
      </c>
    </row>
    <row r="169" spans="1:73">
      <c r="A169" s="651" t="s">
        <v>770</v>
      </c>
      <c r="B169" s="71" t="s">
        <v>179</v>
      </c>
      <c r="C169" s="71" t="s">
        <v>787</v>
      </c>
      <c r="D169" s="72">
        <f>IFERROR(PHI_H265[[#This Row],[H]]/PHI_H265[[#This Row],[AB]],0)</f>
        <v>0</v>
      </c>
      <c r="E169" s="72">
        <f>IFERROR((PHI_H265[[#This Row],[H]]+PHI_H265[[#This Row],[BB]])/(PHI_H265[[#This Row],[BB]]+PHI_H265[[#This Row],[AB]]),0)</f>
        <v>0</v>
      </c>
      <c r="F169" s="73">
        <f>IFERROR(((PHI_H265[[#This Row],[H]]-PHI_H265[[#This Row],[2B]]-PHI_H265[[#This Row],[3B]]-PHI_H265[[#This Row],[HR]])+(PHI_H265[[#This Row],[2B]]*2)+(PHI_H265[[#This Row],[3B]]*3)+(PHI_H265[[#This Row],[HR]]*4))/PHI_H265[[#This Row],[AB]],0)</f>
        <v>0</v>
      </c>
      <c r="G169" s="77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74">
        <v>0</v>
      </c>
      <c r="Q169" s="28">
        <v>0</v>
      </c>
      <c r="R169" s="28">
        <v>0</v>
      </c>
      <c r="S169" s="74">
        <v>0</v>
      </c>
      <c r="T169" s="28">
        <f>IFERROR((PHI_H265[[#This Row],[H]]-PHI_H265[[#This Row],[2B]]-PHI_H265[[#This Row],[3B]]-PHI_H265[[#This Row],[HR]])+(PHI_H265[[#This Row],[2B]]*2)+(PHI_H265[[#This Row],[3B]]*3)+(PHI_H265[[#This Row],[HR]]*4),0)</f>
        <v>0</v>
      </c>
      <c r="U169" s="72">
        <f>PHI_H265[[#This Row],[OBP]]+PHI_H265[[#This Row],[SLG]]</f>
        <v>0</v>
      </c>
      <c r="V169" s="74">
        <v>0</v>
      </c>
      <c r="W169" s="615">
        <v>10</v>
      </c>
      <c r="Z169" s="651" t="s">
        <v>835</v>
      </c>
      <c r="AA169" s="71" t="s">
        <v>179</v>
      </c>
      <c r="AB169" s="71" t="s">
        <v>846</v>
      </c>
      <c r="AC169" s="72">
        <f>IFERROR(ATL_H67[[#This Row],[H]]/ATL_H67[[#This Row],[AB]],0)</f>
        <v>0</v>
      </c>
      <c r="AD169" s="72">
        <f>IFERROR((ATL_H67[[#This Row],[H]]+ATL_H67[[#This Row],[BB]])/(ATL_H67[[#This Row],[BB]]+ATL_H67[[#This Row],[AB]]),0)</f>
        <v>0</v>
      </c>
      <c r="AE169" s="73">
        <f>IFERROR(((ATL_H67[[#This Row],[H]]-ATL_H67[[#This Row],[2B]]-ATL_H67[[#This Row],[3B]]-ATL_H67[[#This Row],[HR]])+(ATL_H67[[#This Row],[2B]]*2)+(ATL_H67[[#This Row],[3B]]*3)+(ATL_H67[[#This Row],[HR]]*4))/ATL_H67[[#This Row],[AB]],0)</f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0</v>
      </c>
      <c r="AP169" s="28">
        <v>0</v>
      </c>
      <c r="AQ169" s="28">
        <v>0</v>
      </c>
      <c r="AR169" s="74">
        <v>0</v>
      </c>
      <c r="AS169" s="28">
        <f>IFERROR((ATL_H67[[#This Row],[H]]-ATL_H67[[#This Row],[2B]]-ATL_H67[[#This Row],[3B]]-ATL_H67[[#This Row],[HR]])+(ATL_H67[[#This Row],[2B]]*2)+(ATL_H67[[#This Row],[3B]]*3)+(ATL_H67[[#This Row],[HR]]*4),0)</f>
        <v>0</v>
      </c>
      <c r="AT169" s="72">
        <f>ATL_H67[[#This Row],[OBP]]+ATL_H67[[#This Row],[SLG]]</f>
        <v>0</v>
      </c>
      <c r="AU169" s="74">
        <v>0</v>
      </c>
      <c r="AV169" s="615">
        <v>10</v>
      </c>
      <c r="AY169" s="720" t="s">
        <v>770</v>
      </c>
      <c r="AZ169" s="74" t="s">
        <v>179</v>
      </c>
      <c r="BA169" s="71" t="s">
        <v>787</v>
      </c>
      <c r="BB169" s="72">
        <f>IFERROR(PHI_H74[[#This Row],[H]]/PHI_H74[[#This Row],[AB]],0)</f>
        <v>0</v>
      </c>
      <c r="BC169" s="72">
        <f>IFERROR((PHI_H74[[#This Row],[BB]]+PHI_H74[[#This Row],[H]])/(PHI_H74[[#This Row],[BB]]+PHI_H74[[#This Row],[AB]]),0)</f>
        <v>0</v>
      </c>
      <c r="BD169" s="73">
        <f>IFERROR(((PHI_H74[[#This Row],[H]]-PHI_H74[[#This Row],[2B]]-PHI_H74[[#This Row],[3B]]-PHI_H74[[#This Row],[HR]])+(PHI_H74[[#This Row],[2B]]*2)+(PHI_H74[[#This Row],[3B]]*3)+(PHI_H74[[#This Row],[HR]]*4))/PHI_H74[[#This Row],[AB]],0)</f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28">
        <v>0</v>
      </c>
      <c r="BP169" s="28">
        <v>0</v>
      </c>
      <c r="BQ169" s="74">
        <v>0</v>
      </c>
      <c r="BR169" s="28">
        <f>(PHI_H74[[#This Row],[H]]-PHI_H74[[#This Row],[2B]]-PHI_H74[[#This Row],[3B]]-PHI_H74[[#This Row],[HR]])+(PHI_H74[[#This Row],[2B]]*2)+(PHI_H74[[#This Row],[3B]]*3)+(PHI_H74[[#This Row],[HR]]*4)</f>
        <v>0</v>
      </c>
      <c r="BS169" s="72">
        <f>IFERROR(PHI_H74[[#This Row],[OBP]]+PHI_H74[[#This Row],[SLG]],0)</f>
        <v>0</v>
      </c>
      <c r="BT169" s="74">
        <v>0</v>
      </c>
      <c r="BU169" s="615">
        <v>10</v>
      </c>
    </row>
    <row r="170" spans="1:73">
      <c r="A170" s="651" t="s">
        <v>770</v>
      </c>
      <c r="B170" s="71" t="s">
        <v>187</v>
      </c>
      <c r="C170" s="71" t="s">
        <v>786</v>
      </c>
      <c r="D170" s="72">
        <f>IFERROR(PHI_H265[[#This Row],[H]]/PHI_H265[[#This Row],[AB]],0)</f>
        <v>0</v>
      </c>
      <c r="E170" s="72">
        <f>IFERROR((PHI_H265[[#This Row],[H]]+PHI_H265[[#This Row],[BB]])/(PHI_H265[[#This Row],[BB]]+PHI_H265[[#This Row],[AB]]),0)</f>
        <v>0</v>
      </c>
      <c r="F170" s="73">
        <f>IFERROR(((PHI_H265[[#This Row],[H]]-PHI_H265[[#This Row],[2B]]-PHI_H265[[#This Row],[3B]]-PHI_H265[[#This Row],[HR]])+(PHI_H265[[#This Row],[2B]]*2)+(PHI_H265[[#This Row],[3B]]*3)+(PHI_H265[[#This Row],[HR]]*4))/PHI_H265[[#This Row],[AB]],0)</f>
        <v>0</v>
      </c>
      <c r="G170" s="77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74">
        <v>0</v>
      </c>
      <c r="Q170" s="28">
        <v>0</v>
      </c>
      <c r="R170" s="28">
        <v>0</v>
      </c>
      <c r="S170" s="74">
        <v>0</v>
      </c>
      <c r="T170" s="28">
        <f>IFERROR((PHI_H265[[#This Row],[H]]-PHI_H265[[#This Row],[2B]]-PHI_H265[[#This Row],[3B]]-PHI_H265[[#This Row],[HR]])+(PHI_H265[[#This Row],[2B]]*2)+(PHI_H265[[#This Row],[3B]]*3)+(PHI_H265[[#This Row],[HR]]*4),0)</f>
        <v>0</v>
      </c>
      <c r="U170" s="72">
        <f>PHI_H265[[#This Row],[OBP]]+PHI_H265[[#This Row],[SLG]]</f>
        <v>0</v>
      </c>
      <c r="V170" s="74">
        <v>0</v>
      </c>
      <c r="W170" s="615">
        <v>11</v>
      </c>
      <c r="Z170" s="651" t="s">
        <v>835</v>
      </c>
      <c r="AA170" s="71" t="s">
        <v>192</v>
      </c>
      <c r="AB170" s="71" t="s">
        <v>851</v>
      </c>
      <c r="AC170" s="72">
        <f>IFERROR(ATL_H67[[#This Row],[H]]/ATL_H67[[#This Row],[AB]],0)</f>
        <v>0</v>
      </c>
      <c r="AD170" s="72">
        <f>IFERROR((ATL_H67[[#This Row],[H]]+ATL_H67[[#This Row],[BB]])/(ATL_H67[[#This Row],[BB]]+ATL_H67[[#This Row],[AB]]),0)</f>
        <v>0</v>
      </c>
      <c r="AE170" s="73">
        <f>IFERROR(((ATL_H67[[#This Row],[H]]-ATL_H67[[#This Row],[2B]]-ATL_H67[[#This Row],[3B]]-ATL_H67[[#This Row],[HR]])+(ATL_H67[[#This Row],[2B]]*2)+(ATL_H67[[#This Row],[3B]]*3)+(ATL_H67[[#This Row],[HR]]*4))/ATL_H67[[#This Row],[AB]],0)</f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74">
        <v>0</v>
      </c>
      <c r="AP170" s="28">
        <v>0</v>
      </c>
      <c r="AQ170" s="28">
        <v>0</v>
      </c>
      <c r="AR170" s="74">
        <v>0</v>
      </c>
      <c r="AS170" s="28">
        <f>IFERROR((ATL_H67[[#This Row],[H]]-ATL_H67[[#This Row],[2B]]-ATL_H67[[#This Row],[3B]]-ATL_H67[[#This Row],[HR]])+(ATL_H67[[#This Row],[2B]]*2)+(ATL_H67[[#This Row],[3B]]*3)+(ATL_H67[[#This Row],[HR]]*4),0)</f>
        <v>0</v>
      </c>
      <c r="AT170" s="72">
        <f>ATL_H67[[#This Row],[OBP]]+ATL_H67[[#This Row],[SLG]]</f>
        <v>0</v>
      </c>
      <c r="AU170" s="74">
        <v>0</v>
      </c>
      <c r="AV170" s="615">
        <v>11</v>
      </c>
      <c r="AY170" s="720" t="s">
        <v>770</v>
      </c>
      <c r="AZ170" s="74" t="s">
        <v>192</v>
      </c>
      <c r="BA170" s="71" t="s">
        <v>786</v>
      </c>
      <c r="BB170" s="72">
        <f>IFERROR(PHI_H74[[#This Row],[H]]/PHI_H74[[#This Row],[AB]],0)</f>
        <v>0</v>
      </c>
      <c r="BC170" s="72">
        <f>IFERROR((PHI_H74[[#This Row],[BB]]+PHI_H74[[#This Row],[H]])/(PHI_H74[[#This Row],[BB]]+PHI_H74[[#This Row],[AB]]),0)</f>
        <v>0</v>
      </c>
      <c r="BD170" s="73">
        <f>IFERROR(((PHI_H74[[#This Row],[H]]-PHI_H74[[#This Row],[2B]]-PHI_H74[[#This Row],[3B]]-PHI_H74[[#This Row],[HR]])+(PHI_H74[[#This Row],[2B]]*2)+(PHI_H74[[#This Row],[3B]]*3)+(PHI_H74[[#This Row],[HR]]*4))/PHI_H74[[#This Row],[AB]],0)</f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74">
        <v>0</v>
      </c>
      <c r="BO170" s="28">
        <v>0</v>
      </c>
      <c r="BP170" s="28">
        <v>0</v>
      </c>
      <c r="BQ170" s="74">
        <v>0</v>
      </c>
      <c r="BR170" s="28">
        <f>(PHI_H74[[#This Row],[H]]-PHI_H74[[#This Row],[2B]]-PHI_H74[[#This Row],[3B]]-PHI_H74[[#This Row],[HR]])+(PHI_H74[[#This Row],[2B]]*2)+(PHI_H74[[#This Row],[3B]]*3)+(PHI_H74[[#This Row],[HR]]*4)</f>
        <v>0</v>
      </c>
      <c r="BS170" s="72">
        <f>IFERROR(PHI_H74[[#This Row],[OBP]]+PHI_H74[[#This Row],[SLG]],0)</f>
        <v>0</v>
      </c>
      <c r="BT170" s="74">
        <v>0</v>
      </c>
      <c r="BU170" s="615">
        <v>11</v>
      </c>
    </row>
    <row r="171" spans="1:73">
      <c r="A171" s="651" t="s">
        <v>770</v>
      </c>
      <c r="B171" s="77" t="s">
        <v>187</v>
      </c>
      <c r="C171" s="77" t="s">
        <v>780</v>
      </c>
      <c r="D171" s="996">
        <f>IFERROR(PHI_H265[[#This Row],[H]]/PHI_H265[[#This Row],[AB]],0)</f>
        <v>0</v>
      </c>
      <c r="E171" s="72">
        <f>IFERROR((PHI_H265[[#This Row],[H]]+PHI_H265[[#This Row],[BB]])/(PHI_H265[[#This Row],[BB]]+PHI_H265[[#This Row],[AB]]),0)</f>
        <v>0</v>
      </c>
      <c r="F171" s="73">
        <f>IFERROR(((PHI_H265[[#This Row],[H]]-PHI_H265[[#This Row],[2B]]-PHI_H265[[#This Row],[3B]]-PHI_H265[[#This Row],[HR]])+(PHI_H265[[#This Row],[2B]]*2)+(PHI_H265[[#This Row],[3B]]*3)+(PHI_H265[[#This Row],[HR]]*4))/PHI_H265[[#This Row],[AB]],0)</f>
        <v>0</v>
      </c>
      <c r="G171" s="77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74">
        <v>0</v>
      </c>
      <c r="Q171" s="28">
        <v>0</v>
      </c>
      <c r="R171" s="28">
        <v>0</v>
      </c>
      <c r="S171" s="74">
        <v>0</v>
      </c>
      <c r="T171" s="28">
        <f>IFERROR((PHI_H265[[#This Row],[H]]-PHI_H265[[#This Row],[2B]]-PHI_H265[[#This Row],[3B]]-PHI_H265[[#This Row],[HR]])+(PHI_H265[[#This Row],[2B]]*2)+(PHI_H265[[#This Row],[3B]]*3)+(PHI_H265[[#This Row],[HR]]*4),0)</f>
        <v>0</v>
      </c>
      <c r="U171" s="72">
        <f>PHI_H265[[#This Row],[OBP]]+PHI_H265[[#This Row],[SLG]]</f>
        <v>0</v>
      </c>
      <c r="V171" s="74">
        <v>0</v>
      </c>
      <c r="W171" s="615">
        <v>12</v>
      </c>
      <c r="Z171" s="651" t="s">
        <v>835</v>
      </c>
      <c r="AA171" s="71" t="s">
        <v>186</v>
      </c>
      <c r="AB171" s="71" t="s">
        <v>845</v>
      </c>
      <c r="AC171" s="72">
        <f>IFERROR(ATL_H67[[#This Row],[H]]/ATL_H67[[#This Row],[AB]],0)</f>
        <v>0</v>
      </c>
      <c r="AD171" s="72">
        <f>IFERROR((ATL_H67[[#This Row],[H]]+ATL_H67[[#This Row],[BB]])/(ATL_H67[[#This Row],[BB]]+ATL_H67[[#This Row],[AB]]),0)</f>
        <v>0</v>
      </c>
      <c r="AE171" s="73">
        <f>IFERROR(((ATL_H67[[#This Row],[H]]-ATL_H67[[#This Row],[2B]]-ATL_H67[[#This Row],[3B]]-ATL_H67[[#This Row],[HR]])+(ATL_H67[[#This Row],[2B]]*2)+(ATL_H67[[#This Row],[3B]]*3)+(ATL_H67[[#This Row],[HR]]*4))/ATL_H67[[#This Row],[AB]],0)</f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74">
        <v>0</v>
      </c>
      <c r="AP171" s="28">
        <v>0</v>
      </c>
      <c r="AQ171" s="28">
        <v>0</v>
      </c>
      <c r="AR171" s="74">
        <v>0</v>
      </c>
      <c r="AS171" s="28">
        <f>IFERROR((ATL_H67[[#This Row],[H]]-ATL_H67[[#This Row],[2B]]-ATL_H67[[#This Row],[3B]]-ATL_H67[[#This Row],[HR]])+(ATL_H67[[#This Row],[2B]]*2)+(ATL_H67[[#This Row],[3B]]*3)+(ATL_H67[[#This Row],[HR]]*4),0)</f>
        <v>0</v>
      </c>
      <c r="AT171" s="72">
        <f>ATL_H67[[#This Row],[OBP]]+ATL_H67[[#This Row],[SLG]]</f>
        <v>0</v>
      </c>
      <c r="AU171" s="74">
        <v>0</v>
      </c>
      <c r="AV171" s="615">
        <v>12</v>
      </c>
      <c r="AY171" s="720" t="s">
        <v>770</v>
      </c>
      <c r="AZ171" s="74" t="s">
        <v>192</v>
      </c>
      <c r="BA171" s="71" t="s">
        <v>785</v>
      </c>
      <c r="BB171" s="72">
        <f>IFERROR(PHI_H74[[#This Row],[H]]/PHI_H74[[#This Row],[AB]],0)</f>
        <v>0</v>
      </c>
      <c r="BC171" s="72">
        <f>IFERROR((PHI_H74[[#This Row],[BB]]+PHI_H74[[#This Row],[H]])/(PHI_H74[[#This Row],[BB]]+PHI_H74[[#This Row],[AB]]),0)</f>
        <v>0</v>
      </c>
      <c r="BD171" s="73">
        <f>IFERROR(((PHI_H74[[#This Row],[H]]-PHI_H74[[#This Row],[2B]]-PHI_H74[[#This Row],[3B]]-PHI_H74[[#This Row],[HR]])+(PHI_H74[[#This Row],[2B]]*2)+(PHI_H74[[#This Row],[3B]]*3)+(PHI_H74[[#This Row],[HR]]*4))/PHI_H74[[#This Row],[AB]],0)</f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74">
        <v>0</v>
      </c>
      <c r="BO171" s="28">
        <v>0</v>
      </c>
      <c r="BP171" s="28">
        <v>0</v>
      </c>
      <c r="BQ171" s="74">
        <v>0</v>
      </c>
      <c r="BR171" s="28">
        <f>(PHI_H74[[#This Row],[H]]-PHI_H74[[#This Row],[2B]]-PHI_H74[[#This Row],[3B]]-PHI_H74[[#This Row],[HR]])+(PHI_H74[[#This Row],[2B]]*2)+(PHI_H74[[#This Row],[3B]]*3)+(PHI_H74[[#This Row],[HR]]*4)</f>
        <v>0</v>
      </c>
      <c r="BS171" s="72">
        <f>IFERROR(PHI_H74[[#This Row],[OBP]]+PHI_H74[[#This Row],[SLG]],0)</f>
        <v>0</v>
      </c>
      <c r="BT171" s="74">
        <v>0</v>
      </c>
      <c r="BU171" s="615">
        <v>12</v>
      </c>
    </row>
    <row r="172" spans="1:73">
      <c r="A172" s="651" t="s">
        <v>770</v>
      </c>
      <c r="B172" s="77" t="s">
        <v>187</v>
      </c>
      <c r="C172" s="71" t="s">
        <v>781</v>
      </c>
      <c r="D172" s="72">
        <f>IFERROR(PHI_H265[[#This Row],[H]]/PHI_H265[[#This Row],[AB]],0)</f>
        <v>0</v>
      </c>
      <c r="E172" s="72">
        <f>IFERROR((PHI_H265[[#This Row],[H]]+PHI_H265[[#This Row],[BB]])/(PHI_H265[[#This Row],[BB]]+PHI_H265[[#This Row],[AB]]),0)</f>
        <v>0</v>
      </c>
      <c r="F172" s="73">
        <f>IFERROR(((PHI_H265[[#This Row],[H]]-PHI_H265[[#This Row],[2B]]-PHI_H265[[#This Row],[3B]]-PHI_H265[[#This Row],[HR]])+(PHI_H265[[#This Row],[2B]]*2)+(PHI_H265[[#This Row],[3B]]*3)+(PHI_H265[[#This Row],[HR]]*4))/PHI_H265[[#This Row],[AB]],0)</f>
        <v>0</v>
      </c>
      <c r="G172" s="77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74">
        <v>0</v>
      </c>
      <c r="Q172" s="28">
        <v>0</v>
      </c>
      <c r="R172" s="28">
        <v>0</v>
      </c>
      <c r="S172" s="74">
        <v>0</v>
      </c>
      <c r="T172" s="28">
        <f>IFERROR((PHI_H265[[#This Row],[H]]-PHI_H265[[#This Row],[2B]]-PHI_H265[[#This Row],[3B]]-PHI_H265[[#This Row],[HR]])+(PHI_H265[[#This Row],[2B]]*2)+(PHI_H265[[#This Row],[3B]]*3)+(PHI_H265[[#This Row],[HR]]*4),0)</f>
        <v>0</v>
      </c>
      <c r="U172" s="72">
        <f>PHI_H265[[#This Row],[OBP]]+PHI_H265[[#This Row],[SLG]]</f>
        <v>0</v>
      </c>
      <c r="V172" s="74">
        <v>0</v>
      </c>
      <c r="W172" s="615">
        <v>13</v>
      </c>
      <c r="Z172" s="651" t="s">
        <v>835</v>
      </c>
      <c r="AA172" s="71" t="s">
        <v>186</v>
      </c>
      <c r="AB172" s="71" t="s">
        <v>848</v>
      </c>
      <c r="AC172" s="72">
        <f>IFERROR(ATL_H67[[#This Row],[H]]/ATL_H67[[#This Row],[AB]],0)</f>
        <v>0</v>
      </c>
      <c r="AD172" s="72">
        <f>IFERROR((ATL_H67[[#This Row],[H]]+ATL_H67[[#This Row],[BB]])/(ATL_H67[[#This Row],[BB]]+ATL_H67[[#This Row],[AB]]),0)</f>
        <v>0</v>
      </c>
      <c r="AE172" s="73">
        <f>IFERROR(((ATL_H67[[#This Row],[H]]-ATL_H67[[#This Row],[2B]]-ATL_H67[[#This Row],[3B]]-ATL_H67[[#This Row],[HR]])+(ATL_H67[[#This Row],[2B]]*2)+(ATL_H67[[#This Row],[3B]]*3)+(ATL_H67[[#This Row],[HR]]*4))/ATL_H67[[#This Row],[AB]],0)</f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74">
        <v>0</v>
      </c>
      <c r="AP172" s="28">
        <v>0</v>
      </c>
      <c r="AQ172" s="28">
        <v>0</v>
      </c>
      <c r="AR172" s="74">
        <v>0</v>
      </c>
      <c r="AS172" s="28">
        <f>IFERROR((ATL_H67[[#This Row],[H]]-ATL_H67[[#This Row],[2B]]-ATL_H67[[#This Row],[3B]]-ATL_H67[[#This Row],[HR]])+(ATL_H67[[#This Row],[2B]]*2)+(ATL_H67[[#This Row],[3B]]*3)+(ATL_H67[[#This Row],[HR]]*4),0)</f>
        <v>0</v>
      </c>
      <c r="AT172" s="72">
        <f>ATL_H67[[#This Row],[OBP]]+ATL_H67[[#This Row],[SLG]]</f>
        <v>0</v>
      </c>
      <c r="AU172" s="74">
        <v>0</v>
      </c>
      <c r="AV172" s="615">
        <v>13</v>
      </c>
      <c r="AY172" s="720" t="s">
        <v>770</v>
      </c>
      <c r="AZ172" s="74" t="s">
        <v>187</v>
      </c>
      <c r="BA172" s="71" t="s">
        <v>789</v>
      </c>
      <c r="BB172" s="72">
        <f>IFERROR(PHI_H74[[#This Row],[H]]/PHI_H74[[#This Row],[AB]],0)</f>
        <v>0</v>
      </c>
      <c r="BC172" s="72">
        <f>IFERROR((PHI_H74[[#This Row],[BB]]+PHI_H74[[#This Row],[H]])/(PHI_H74[[#This Row],[BB]]+PHI_H74[[#This Row],[AB]]),0)</f>
        <v>0</v>
      </c>
      <c r="BD172" s="73">
        <f>IFERROR(((PHI_H74[[#This Row],[H]]-PHI_H74[[#This Row],[2B]]-PHI_H74[[#This Row],[3B]]-PHI_H74[[#This Row],[HR]])+(PHI_H74[[#This Row],[2B]]*2)+(PHI_H74[[#This Row],[3B]]*3)+(PHI_H74[[#This Row],[HR]]*4))/PHI_H74[[#This Row],[AB]],0)</f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74">
        <v>0</v>
      </c>
      <c r="BO172" s="28">
        <v>0</v>
      </c>
      <c r="BP172" s="28">
        <v>0</v>
      </c>
      <c r="BQ172" s="74">
        <v>0</v>
      </c>
      <c r="BR172" s="28">
        <f>(PHI_H74[[#This Row],[H]]-PHI_H74[[#This Row],[2B]]-PHI_H74[[#This Row],[3B]]-PHI_H74[[#This Row],[HR]])+(PHI_H74[[#This Row],[2B]]*2)+(PHI_H74[[#This Row],[3B]]*3)+(PHI_H74[[#This Row],[HR]]*4)</f>
        <v>0</v>
      </c>
      <c r="BS172" s="72">
        <f>IFERROR(PHI_H74[[#This Row],[OBP]]+PHI_H74[[#This Row],[SLG]],0)</f>
        <v>0</v>
      </c>
      <c r="BT172" s="74">
        <v>0</v>
      </c>
      <c r="BU172" s="615">
        <v>13</v>
      </c>
    </row>
    <row r="173" spans="1:73" ht="17" thickBot="1">
      <c r="A173" s="651" t="s">
        <v>770</v>
      </c>
      <c r="B173" s="71" t="s">
        <v>184</v>
      </c>
      <c r="C173" s="71" t="s">
        <v>788</v>
      </c>
      <c r="D173" s="72">
        <f>IFERROR(PHI_H265[[#This Row],[H]]/PHI_H265[[#This Row],[AB]],0)</f>
        <v>0</v>
      </c>
      <c r="E173" s="72">
        <f>IFERROR((PHI_H265[[#This Row],[H]]+PHI_H265[[#This Row],[BB]])/(PHI_H265[[#This Row],[BB]]+PHI_H265[[#This Row],[AB]]),0)</f>
        <v>0</v>
      </c>
      <c r="F173" s="73">
        <f>IFERROR(((PHI_H265[[#This Row],[H]]-PHI_H265[[#This Row],[2B]]-PHI_H265[[#This Row],[3B]]-PHI_H265[[#This Row],[HR]])+(PHI_H265[[#This Row],[2B]]*2)+(PHI_H265[[#This Row],[3B]]*3)+(PHI_H265[[#This Row],[HR]]*4))/PHI_H265[[#This Row],[AB]],0)</f>
        <v>0</v>
      </c>
      <c r="G173" s="636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74">
        <v>0</v>
      </c>
      <c r="Q173" s="28">
        <v>0</v>
      </c>
      <c r="R173" s="28">
        <v>0</v>
      </c>
      <c r="S173" s="74">
        <v>0</v>
      </c>
      <c r="T173" s="28">
        <f>IFERROR((PHI_H265[[#This Row],[H]]-PHI_H265[[#This Row],[2B]]-PHI_H265[[#This Row],[3B]]-PHI_H265[[#This Row],[HR]])+(PHI_H265[[#This Row],[2B]]*2)+(PHI_H265[[#This Row],[3B]]*3)+(PHI_H265[[#This Row],[HR]]*4),0)</f>
        <v>0</v>
      </c>
      <c r="U173" s="72">
        <f>PHI_H265[[#This Row],[OBP]]+PHI_H265[[#This Row],[SLG]]</f>
        <v>0</v>
      </c>
      <c r="V173" s="74">
        <v>0</v>
      </c>
      <c r="W173" s="615">
        <v>14</v>
      </c>
      <c r="Z173" s="651" t="s">
        <v>835</v>
      </c>
      <c r="AA173" s="71" t="s">
        <v>186</v>
      </c>
      <c r="AB173" s="71" t="s">
        <v>849</v>
      </c>
      <c r="AC173" s="72">
        <f>IFERROR(ATL_H67[[#This Row],[H]]/ATL_H67[[#This Row],[AB]],0)</f>
        <v>0</v>
      </c>
      <c r="AD173" s="72">
        <f>IFERROR((ATL_H67[[#This Row],[H]]+ATL_H67[[#This Row],[BB]])/(ATL_H67[[#This Row],[BB]]+ATL_H67[[#This Row],[AB]]),0)</f>
        <v>0</v>
      </c>
      <c r="AE173" s="73">
        <f>IFERROR(((ATL_H67[[#This Row],[H]]-ATL_H67[[#This Row],[2B]]-ATL_H67[[#This Row],[3B]]-ATL_H67[[#This Row],[HR]])+(ATL_H67[[#This Row],[2B]]*2)+(ATL_H67[[#This Row],[3B]]*3)+(ATL_H67[[#This Row],[HR]]*4))/ATL_H67[[#This Row],[AB]],0)</f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74">
        <v>0</v>
      </c>
      <c r="AP173" s="28">
        <v>0</v>
      </c>
      <c r="AQ173" s="28">
        <v>0</v>
      </c>
      <c r="AR173" s="74">
        <v>0</v>
      </c>
      <c r="AS173" s="28">
        <f>IFERROR((ATL_H67[[#This Row],[H]]-ATL_H67[[#This Row],[2B]]-ATL_H67[[#This Row],[3B]]-ATL_H67[[#This Row],[HR]])+(ATL_H67[[#This Row],[2B]]*2)+(ATL_H67[[#This Row],[3B]]*3)+(ATL_H67[[#This Row],[HR]]*4),0)</f>
        <v>0</v>
      </c>
      <c r="AT173" s="72">
        <f>ATL_H67[[#This Row],[OBP]]+ATL_H67[[#This Row],[SLG]]</f>
        <v>0</v>
      </c>
      <c r="AU173" s="74">
        <v>0</v>
      </c>
      <c r="AV173" s="615">
        <v>14</v>
      </c>
      <c r="AY173" s="720" t="s">
        <v>770</v>
      </c>
      <c r="AZ173" s="74" t="s">
        <v>186</v>
      </c>
      <c r="BA173" s="71" t="s">
        <v>783</v>
      </c>
      <c r="BB173" s="72">
        <f>IFERROR(PHI_H74[[#This Row],[H]]/PHI_H74[[#This Row],[AB]],0)</f>
        <v>0</v>
      </c>
      <c r="BC173" s="72">
        <f>IFERROR((PHI_H74[[#This Row],[BB]]+PHI_H74[[#This Row],[H]])/(PHI_H74[[#This Row],[BB]]+PHI_H74[[#This Row],[AB]]),0)</f>
        <v>0</v>
      </c>
      <c r="BD173" s="73">
        <f>IFERROR(((PHI_H74[[#This Row],[H]]-PHI_H74[[#This Row],[2B]]-PHI_H74[[#This Row],[3B]]-PHI_H74[[#This Row],[HR]])+(PHI_H74[[#This Row],[2B]]*2)+(PHI_H74[[#This Row],[3B]]*3)+(PHI_H74[[#This Row],[HR]]*4))/PHI_H74[[#This Row],[AB]],0)</f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74">
        <v>0</v>
      </c>
      <c r="BO173" s="28">
        <v>0</v>
      </c>
      <c r="BP173" s="28">
        <v>0</v>
      </c>
      <c r="BQ173" s="74">
        <v>0</v>
      </c>
      <c r="BR173" s="28">
        <f>(PHI_H74[[#This Row],[H]]-PHI_H74[[#This Row],[2B]]-PHI_H74[[#This Row],[3B]]-PHI_H74[[#This Row],[HR]])+(PHI_H74[[#This Row],[2B]]*2)+(PHI_H74[[#This Row],[3B]]*3)+(PHI_H74[[#This Row],[HR]]*4)</f>
        <v>0</v>
      </c>
      <c r="BS173" s="72">
        <f>IFERROR(PHI_H74[[#This Row],[OBP]]+PHI_H74[[#This Row],[SLG]],0)</f>
        <v>0</v>
      </c>
      <c r="BT173" s="74">
        <v>0</v>
      </c>
      <c r="BU173" s="615">
        <v>14</v>
      </c>
    </row>
    <row r="174" spans="1:73" ht="17" thickBot="1">
      <c r="A174" s="823"/>
      <c r="B174" s="824"/>
      <c r="C174" s="791" t="s">
        <v>195</v>
      </c>
      <c r="D174" s="792">
        <f>J174/H174</f>
        <v>0.1870748299319728</v>
      </c>
      <c r="E174" s="792">
        <f>(O174+J174)/H174</f>
        <v>0.26190476190476192</v>
      </c>
      <c r="F174" s="793">
        <f>((J174-K174-L174-M174)+(K174*2)+(L174*3)+(M174*4))/H174</f>
        <v>0.3231292517006803</v>
      </c>
      <c r="G174" s="794"/>
      <c r="H174" s="794">
        <f>SUBTOTAL(109,PHI_H265[AB])</f>
        <v>294</v>
      </c>
      <c r="I174" s="794">
        <f>SUBTOTAL(109,PHI_H265[R])</f>
        <v>24</v>
      </c>
      <c r="J174" s="794">
        <f>SUBTOTAL(109,PHI_H265[H])</f>
        <v>55</v>
      </c>
      <c r="K174" s="794">
        <f>SUBTOTAL(109,PHI_H265[2B])</f>
        <v>16</v>
      </c>
      <c r="L174" s="794">
        <f>SUBTOTAL(109,PHI_H265[3B])</f>
        <v>0</v>
      </c>
      <c r="M174" s="794">
        <f>SUBTOTAL(109,PHI_H265[HR])</f>
        <v>8</v>
      </c>
      <c r="N174" s="794">
        <f>SUBTOTAL(109,PHI_H265[RBI])</f>
        <v>24</v>
      </c>
      <c r="O174" s="794">
        <f>SUBTOTAL(109,PHI_H265[BB])</f>
        <v>22</v>
      </c>
      <c r="P174" s="796">
        <f>SUBTOTAL(109,PHI_H265[K])</f>
        <v>90</v>
      </c>
      <c r="Q174" s="794">
        <f>SUBTOTAL(109,PHI_H265[SB])</f>
        <v>2</v>
      </c>
      <c r="R174" s="794"/>
      <c r="S174" s="796"/>
      <c r="T174" s="794">
        <f>SUBTOTAL(109,PHI_H265[TB])</f>
        <v>95</v>
      </c>
      <c r="U174" s="792">
        <f>F174+E174</f>
        <v>0.58503401360544216</v>
      </c>
      <c r="V174" s="796">
        <f>SUBTOTAL(109,PHI_H265[*])</f>
        <v>4</v>
      </c>
      <c r="W174" s="797"/>
      <c r="Z174" s="674"/>
      <c r="AA174" s="740"/>
      <c r="AB174" s="676" t="s">
        <v>195</v>
      </c>
      <c r="AC174" s="677">
        <f>AI174/AG174</f>
        <v>0.21804511278195488</v>
      </c>
      <c r="AD174" s="677">
        <f>(AI174+AN174)/AG174</f>
        <v>0.32330827067669171</v>
      </c>
      <c r="AE174" s="739">
        <f>((AI174-AJ174-AK174-AL174)+(AJ174*2)+(AK174*3)+(AL174*4))/AG174</f>
        <v>0.39097744360902253</v>
      </c>
      <c r="AF174" s="679"/>
      <c r="AG174" s="679">
        <f>SUBTOTAL(109,ATL_H67[AB])</f>
        <v>133</v>
      </c>
      <c r="AH174" s="679">
        <f>SUBTOTAL(109,ATL_H67[R])</f>
        <v>12</v>
      </c>
      <c r="AI174" s="679">
        <f>SUBTOTAL(109,ATL_H67[H])</f>
        <v>29</v>
      </c>
      <c r="AJ174" s="679">
        <f>SUBTOTAL(109,ATL_H67[2B])</f>
        <v>5</v>
      </c>
      <c r="AK174" s="679">
        <f>SUBTOTAL(109,ATL_H67[3B])</f>
        <v>0</v>
      </c>
      <c r="AL174" s="679">
        <f>SUBTOTAL(109,ATL_H67[HR])</f>
        <v>6</v>
      </c>
      <c r="AM174" s="679">
        <f>SUBTOTAL(109,ATL_H67[RBI])</f>
        <v>12</v>
      </c>
      <c r="AN174" s="679">
        <f>SUBTOTAL(109,ATL_H67[BB])</f>
        <v>14</v>
      </c>
      <c r="AO174" s="680">
        <f>SUBTOTAL(109,ATL_H67[K])</f>
        <v>44</v>
      </c>
      <c r="AP174" s="679">
        <f>SUBTOTAL(109,ATL_H67[SB])</f>
        <v>0</v>
      </c>
      <c r="AQ174" s="679"/>
      <c r="AR174" s="680"/>
      <c r="AS174" s="679">
        <f>SUBTOTAL(109,ATL_H67[TB])</f>
        <v>52</v>
      </c>
      <c r="AT174" s="677">
        <f>AD174+AE174</f>
        <v>0.71428571428571419</v>
      </c>
      <c r="AU174" s="680">
        <f>SUBTOTAL(109,ATL_H67[*])</f>
        <v>0</v>
      </c>
      <c r="AV174" s="681"/>
      <c r="AY174" s="823"/>
      <c r="AZ174" s="824"/>
      <c r="BA174" s="791" t="s">
        <v>195</v>
      </c>
      <c r="BB174" s="792">
        <f>IFERROR(BH174/BF174,0)</f>
        <v>0.26768642447418739</v>
      </c>
      <c r="BC174" s="792">
        <f>IFERROR((BM174+BH174)/(BM174+BF174),0)</f>
        <v>0.35630252100840337</v>
      </c>
      <c r="BD174" s="793">
        <f>IFERROR(((BH174-BI174-BJ174-BK174)+(BI174*2)+(BJ174*3)+(BK174*4))/BF174,0)</f>
        <v>0.4130019120458891</v>
      </c>
      <c r="BE174" s="794"/>
      <c r="BF174" s="794">
        <f>SUBTOTAL(109,PHI_H74[AB])</f>
        <v>523</v>
      </c>
      <c r="BG174" s="794">
        <f>SUBTOTAL(109,PHI_H74[R])</f>
        <v>72</v>
      </c>
      <c r="BH174" s="794">
        <f>SUBTOTAL(109,PHI_H74[H])</f>
        <v>140</v>
      </c>
      <c r="BI174" s="794">
        <f>SUBTOTAL(109,PHI_H74[2B])</f>
        <v>24</v>
      </c>
      <c r="BJ174" s="794">
        <f>SUBTOTAL(109,PHI_H74[3B])</f>
        <v>2</v>
      </c>
      <c r="BK174" s="794">
        <f>SUBTOTAL(109,PHI_H74[HR])</f>
        <v>16</v>
      </c>
      <c r="BL174" s="794">
        <f>SUBTOTAL(109,PHI_H74[RBI])</f>
        <v>70</v>
      </c>
      <c r="BM174" s="794">
        <f>SUBTOTAL(109,PHI_H74[BB])</f>
        <v>72</v>
      </c>
      <c r="BN174" s="796">
        <f>SUBTOTAL(109,PHI_H74[K])</f>
        <v>185</v>
      </c>
      <c r="BO174" s="794">
        <f>SUBTOTAL(109,PHI_H74[SB])</f>
        <v>6</v>
      </c>
      <c r="BP174" s="794"/>
      <c r="BQ174" s="796"/>
      <c r="BR174" s="794">
        <f>SUBTOTAL(109,PHI_H74[TB])</f>
        <v>216</v>
      </c>
      <c r="BS174" s="792">
        <f>IFERROR(BC174+BD174,0)</f>
        <v>0.76930443305429241</v>
      </c>
      <c r="BT174" s="796">
        <f>SUBTOTAL(109,PHI_H74[*])</f>
        <v>11</v>
      </c>
      <c r="BU174" s="797"/>
    </row>
    <row r="175" spans="1:73" ht="17" thickBot="1"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73" s="64" customFormat="1" ht="17" thickBot="1">
      <c r="A176" s="605" t="s">
        <v>143</v>
      </c>
      <c r="B176" s="606" t="s">
        <v>144</v>
      </c>
      <c r="C176" s="606" t="s">
        <v>145</v>
      </c>
      <c r="D176" s="606" t="s">
        <v>196</v>
      </c>
      <c r="E176" s="606" t="s">
        <v>197</v>
      </c>
      <c r="F176" s="606" t="s">
        <v>198</v>
      </c>
      <c r="G176" s="606" t="s">
        <v>149</v>
      </c>
      <c r="H176" s="606" t="s">
        <v>199</v>
      </c>
      <c r="I176" s="606" t="s">
        <v>152</v>
      </c>
      <c r="J176" s="606" t="s">
        <v>151</v>
      </c>
      <c r="K176" s="606" t="s">
        <v>157</v>
      </c>
      <c r="L176" s="606" t="s">
        <v>158</v>
      </c>
      <c r="M176" s="606" t="s">
        <v>200</v>
      </c>
      <c r="N176" s="606" t="s">
        <v>201</v>
      </c>
      <c r="O176" s="606" t="s">
        <v>202</v>
      </c>
      <c r="P176" s="606" t="s">
        <v>203</v>
      </c>
      <c r="Q176" s="606" t="s">
        <v>204</v>
      </c>
      <c r="R176" s="606" t="s">
        <v>205</v>
      </c>
      <c r="S176" s="607" t="s">
        <v>164</v>
      </c>
      <c r="Z176" s="605" t="s">
        <v>143</v>
      </c>
      <c r="AA176" s="606" t="s">
        <v>144</v>
      </c>
      <c r="AB176" s="606" t="s">
        <v>145</v>
      </c>
      <c r="AC176" s="606" t="s">
        <v>196</v>
      </c>
      <c r="AD176" s="606" t="s">
        <v>197</v>
      </c>
      <c r="AE176" s="606" t="s">
        <v>198</v>
      </c>
      <c r="AF176" s="606" t="s">
        <v>149</v>
      </c>
      <c r="AG176" s="606" t="s">
        <v>199</v>
      </c>
      <c r="AH176" s="606" t="s">
        <v>152</v>
      </c>
      <c r="AI176" s="606" t="s">
        <v>151</v>
      </c>
      <c r="AJ176" s="606" t="s">
        <v>157</v>
      </c>
      <c r="AK176" s="606" t="s">
        <v>158</v>
      </c>
      <c r="AL176" s="606" t="s">
        <v>200</v>
      </c>
      <c r="AM176" s="606" t="s">
        <v>201</v>
      </c>
      <c r="AN176" s="606" t="s">
        <v>202</v>
      </c>
      <c r="AO176" s="606" t="s">
        <v>203</v>
      </c>
      <c r="AP176" s="606" t="s">
        <v>204</v>
      </c>
      <c r="AQ176" s="606" t="s">
        <v>205</v>
      </c>
      <c r="AR176" s="607" t="s">
        <v>164</v>
      </c>
      <c r="AS176"/>
      <c r="AT176"/>
      <c r="AU176"/>
      <c r="AV176"/>
      <c r="AY176" s="605" t="s">
        <v>143</v>
      </c>
      <c r="AZ176" s="606" t="s">
        <v>144</v>
      </c>
      <c r="BA176" s="606" t="s">
        <v>145</v>
      </c>
      <c r="BB176" s="606" t="s">
        <v>196</v>
      </c>
      <c r="BC176" s="606" t="s">
        <v>197</v>
      </c>
      <c r="BD176" s="606" t="s">
        <v>198</v>
      </c>
      <c r="BE176" s="606" t="s">
        <v>149</v>
      </c>
      <c r="BF176" s="606" t="s">
        <v>199</v>
      </c>
      <c r="BG176" s="606" t="s">
        <v>152</v>
      </c>
      <c r="BH176" s="606" t="s">
        <v>151</v>
      </c>
      <c r="BI176" s="606" t="s">
        <v>157</v>
      </c>
      <c r="BJ176" s="606" t="s">
        <v>158</v>
      </c>
      <c r="BK176" s="606" t="s">
        <v>200</v>
      </c>
      <c r="BL176" s="606" t="s">
        <v>201</v>
      </c>
      <c r="BM176" s="606" t="s">
        <v>202</v>
      </c>
      <c r="BN176" s="606" t="s">
        <v>203</v>
      </c>
      <c r="BO176" s="606" t="s">
        <v>204</v>
      </c>
      <c r="BP176" s="606" t="s">
        <v>205</v>
      </c>
      <c r="BQ176" s="607" t="s">
        <v>164</v>
      </c>
    </row>
    <row r="177" spans="1:73">
      <c r="A177" s="827" t="s">
        <v>770</v>
      </c>
      <c r="B177" s="825" t="s">
        <v>206</v>
      </c>
      <c r="C177" s="826" t="s">
        <v>790</v>
      </c>
      <c r="D177" s="837">
        <f>IFERROR((PHI_P270[[#This Row],[R]]*9)/PHI_P270[[#This Row],[IP]],0)</f>
        <v>0.78260869565217395</v>
      </c>
      <c r="E177" s="600">
        <v>1</v>
      </c>
      <c r="F177" s="604">
        <v>0</v>
      </c>
      <c r="G177" s="600">
        <v>3</v>
      </c>
      <c r="H177" s="630">
        <v>23</v>
      </c>
      <c r="I177" s="600">
        <v>16</v>
      </c>
      <c r="J177" s="600">
        <v>2</v>
      </c>
      <c r="K177" s="600">
        <v>7</v>
      </c>
      <c r="L177" s="600">
        <v>21</v>
      </c>
      <c r="M177" s="600">
        <v>0</v>
      </c>
      <c r="N177" s="744">
        <f>IFERROR((PHI_P270[[#This Row],[BB]]+PHI_P270[[#This Row],[H]])/PHI_P270[[#This Row],[IP]],0)</f>
        <v>1</v>
      </c>
      <c r="O177" s="673">
        <v>3</v>
      </c>
      <c r="P177" s="601">
        <v>3</v>
      </c>
      <c r="Q177" s="627">
        <v>1</v>
      </c>
      <c r="R177" s="604">
        <v>0</v>
      </c>
      <c r="S177" s="779">
        <v>1</v>
      </c>
      <c r="Z177" s="650" t="s">
        <v>835</v>
      </c>
      <c r="AA177" s="604" t="s">
        <v>365</v>
      </c>
      <c r="AB177" s="752" t="s">
        <v>853</v>
      </c>
      <c r="AC177" s="663">
        <f>IFERROR((ATL_P68[[#This Row],[R]]*9)/ATL_P68[[#This Row],[IP]],0)</f>
        <v>1.2269938650306749</v>
      </c>
      <c r="AD177" s="600">
        <v>0</v>
      </c>
      <c r="AE177" s="604">
        <v>1</v>
      </c>
      <c r="AF177" s="600">
        <v>2</v>
      </c>
      <c r="AG177" s="630">
        <v>14.67</v>
      </c>
      <c r="AH177" s="600">
        <v>9</v>
      </c>
      <c r="AI177" s="600">
        <v>2</v>
      </c>
      <c r="AJ177" s="600">
        <v>3</v>
      </c>
      <c r="AK177" s="600">
        <v>23</v>
      </c>
      <c r="AL177" s="600">
        <v>0</v>
      </c>
      <c r="AM177" s="631">
        <f>IFERROR((ATL_P68[[#This Row],[BB]]+ATL_P68[[#This Row],[H]])/ATL_P68[[#This Row],[IP]],0)</f>
        <v>0.81799591002044991</v>
      </c>
      <c r="AN177" s="600">
        <v>2</v>
      </c>
      <c r="AO177" s="601">
        <v>2</v>
      </c>
      <c r="AP177" s="600">
        <v>0</v>
      </c>
      <c r="AQ177" s="604">
        <v>0</v>
      </c>
      <c r="AR177" s="614">
        <v>1</v>
      </c>
      <c r="AS177"/>
      <c r="AT177"/>
      <c r="AU177"/>
      <c r="AV177"/>
      <c r="AY177" s="842" t="s">
        <v>770</v>
      </c>
      <c r="AZ177" s="825" t="s">
        <v>206</v>
      </c>
      <c r="BA177" s="826" t="s">
        <v>790</v>
      </c>
      <c r="BB177" s="663">
        <f>IFERROR((PHI_P87[[#This Row],[R]]*9)/PHI_P87[[#This Row],[IP]],0)</f>
        <v>2.097290999126129</v>
      </c>
      <c r="BC177" s="627">
        <v>3</v>
      </c>
      <c r="BD177" s="604">
        <v>1</v>
      </c>
      <c r="BE177" s="600">
        <v>5</v>
      </c>
      <c r="BF177" s="630">
        <v>34.33</v>
      </c>
      <c r="BG177" s="600">
        <v>28</v>
      </c>
      <c r="BH177" s="600">
        <v>8</v>
      </c>
      <c r="BI177" s="600">
        <v>16</v>
      </c>
      <c r="BJ177" s="600">
        <v>34</v>
      </c>
      <c r="BK177" s="600">
        <v>0</v>
      </c>
      <c r="BL177" s="744">
        <f>IFERROR((PHI_P87[[#This Row],[BB]]+PHI_P87[[#This Row],[H]])/PHI_P87[[#This Row],[IP]],0)</f>
        <v>1.281677832799301</v>
      </c>
      <c r="BM177" s="673">
        <v>4</v>
      </c>
      <c r="BN177" s="602">
        <v>3</v>
      </c>
      <c r="BO177" s="600">
        <v>0</v>
      </c>
      <c r="BP177" s="604">
        <v>0</v>
      </c>
      <c r="BQ177" s="779">
        <v>1</v>
      </c>
    </row>
    <row r="178" spans="1:73">
      <c r="A178" s="828" t="s">
        <v>770</v>
      </c>
      <c r="B178" s="114" t="s">
        <v>206</v>
      </c>
      <c r="C178" s="115" t="s">
        <v>624</v>
      </c>
      <c r="D178" s="88">
        <f>IFERROR((PHI_P270[[#This Row],[R]]*9)/PHI_P270[[#This Row],[IP]],0)</f>
        <v>3.6603965429588201</v>
      </c>
      <c r="E178" s="28">
        <v>0</v>
      </c>
      <c r="F178" s="74">
        <v>1</v>
      </c>
      <c r="G178" s="28">
        <v>3</v>
      </c>
      <c r="H178" s="584">
        <v>19.670000000000002</v>
      </c>
      <c r="I178" s="28">
        <v>17</v>
      </c>
      <c r="J178" s="28">
        <v>8</v>
      </c>
      <c r="K178" s="28">
        <v>9</v>
      </c>
      <c r="L178" s="28">
        <v>18</v>
      </c>
      <c r="M178" s="28">
        <v>0</v>
      </c>
      <c r="N178" s="106">
        <f>IFERROR((PHI_P270[[#This Row],[BB]]+PHI_P270[[#This Row],[H]])/PHI_P270[[#This Row],[IP]],0)</f>
        <v>1.3218098627351296</v>
      </c>
      <c r="O178" s="77">
        <v>3</v>
      </c>
      <c r="P178" s="90">
        <v>1</v>
      </c>
      <c r="Q178" s="28">
        <v>0</v>
      </c>
      <c r="R178" s="74">
        <v>0</v>
      </c>
      <c r="S178" s="780">
        <v>2</v>
      </c>
      <c r="Z178" s="651" t="s">
        <v>835</v>
      </c>
      <c r="AA178" s="74" t="s">
        <v>206</v>
      </c>
      <c r="AB178" s="116" t="s">
        <v>855</v>
      </c>
      <c r="AC178" s="88">
        <f>IFERROR((ATL_P68[[#This Row],[R]]*9)/ATL_P68[[#This Row],[IP]],0)</f>
        <v>1.2857142857142858</v>
      </c>
      <c r="AD178" s="28">
        <v>1</v>
      </c>
      <c r="AE178" s="74">
        <v>0</v>
      </c>
      <c r="AF178" s="28">
        <v>1</v>
      </c>
      <c r="AG178" s="584">
        <v>7</v>
      </c>
      <c r="AH178" s="28">
        <v>5</v>
      </c>
      <c r="AI178" s="28">
        <v>1</v>
      </c>
      <c r="AJ178" s="28">
        <v>2</v>
      </c>
      <c r="AK178" s="28">
        <v>10</v>
      </c>
      <c r="AL178" s="28">
        <v>0</v>
      </c>
      <c r="AM178" s="89">
        <f>IFERROR((ATL_P68[[#This Row],[BB]]+ATL_P68[[#This Row],[H]])/ATL_P68[[#This Row],[IP]],0)</f>
        <v>1</v>
      </c>
      <c r="AN178" s="28">
        <v>1</v>
      </c>
      <c r="AO178" s="90">
        <v>1</v>
      </c>
      <c r="AP178" s="28">
        <v>0</v>
      </c>
      <c r="AQ178" s="74">
        <v>0</v>
      </c>
      <c r="AR178" s="615">
        <v>2</v>
      </c>
      <c r="AS178"/>
      <c r="AT178"/>
      <c r="AU178"/>
      <c r="AV178"/>
      <c r="AY178" s="843" t="s">
        <v>770</v>
      </c>
      <c r="AZ178" s="356" t="s">
        <v>206</v>
      </c>
      <c r="BA178" s="357" t="s">
        <v>624</v>
      </c>
      <c r="BB178" s="88">
        <f>IFERROR((PHI_P87[[#This Row],[R]]*9)/PHI_P87[[#This Row],[IP]],0)</f>
        <v>1.9459459459459461</v>
      </c>
      <c r="BC178" s="76">
        <v>3</v>
      </c>
      <c r="BD178" s="74">
        <v>0</v>
      </c>
      <c r="BE178" s="28">
        <v>5</v>
      </c>
      <c r="BF178" s="582">
        <v>37</v>
      </c>
      <c r="BG178" s="28">
        <v>28</v>
      </c>
      <c r="BH178" s="28">
        <v>8</v>
      </c>
      <c r="BI178" s="28">
        <v>11</v>
      </c>
      <c r="BJ178" s="28">
        <v>43</v>
      </c>
      <c r="BK178" s="28">
        <v>0</v>
      </c>
      <c r="BL178" s="106">
        <f>IFERROR((PHI_P87[[#This Row],[BB]]+PHI_P87[[#This Row],[H]])/PHI_P87[[#This Row],[IP]],0)</f>
        <v>1.0540540540540539</v>
      </c>
      <c r="BM178" s="352">
        <v>5</v>
      </c>
      <c r="BN178" s="595">
        <v>3</v>
      </c>
      <c r="BO178" s="76">
        <v>1</v>
      </c>
      <c r="BP178" s="74">
        <v>0</v>
      </c>
      <c r="BQ178" s="780">
        <v>2</v>
      </c>
    </row>
    <row r="179" spans="1:73">
      <c r="A179" s="828" t="s">
        <v>770</v>
      </c>
      <c r="B179" s="114" t="s">
        <v>206</v>
      </c>
      <c r="C179" s="115" t="s">
        <v>791</v>
      </c>
      <c r="D179" s="88">
        <f>IFERROR((PHI_P270[[#This Row],[R]]*9)/PHI_P270[[#This Row],[IP]],0)</f>
        <v>2.5714285714285716</v>
      </c>
      <c r="E179" s="28">
        <v>1</v>
      </c>
      <c r="F179" s="74">
        <v>0</v>
      </c>
      <c r="G179" s="28">
        <v>2</v>
      </c>
      <c r="H179" s="584">
        <v>14</v>
      </c>
      <c r="I179" s="28">
        <v>9</v>
      </c>
      <c r="J179" s="28">
        <v>4</v>
      </c>
      <c r="K179" s="28">
        <v>2</v>
      </c>
      <c r="L179" s="28">
        <v>13</v>
      </c>
      <c r="M179" s="28">
        <v>0</v>
      </c>
      <c r="N179" s="583">
        <f>IFERROR((PHI_P270[[#This Row],[BB]]+PHI_P270[[#This Row],[H]])/PHI_P270[[#This Row],[IP]],0)</f>
        <v>0.7857142857142857</v>
      </c>
      <c r="O179" s="77">
        <v>2</v>
      </c>
      <c r="P179" s="90">
        <v>2</v>
      </c>
      <c r="Q179" s="28">
        <v>0</v>
      </c>
      <c r="R179" s="74">
        <v>0</v>
      </c>
      <c r="S179" s="780">
        <v>3</v>
      </c>
      <c r="Z179" s="651" t="s">
        <v>835</v>
      </c>
      <c r="AA179" s="74" t="s">
        <v>206</v>
      </c>
      <c r="AB179" s="116" t="s">
        <v>854</v>
      </c>
      <c r="AC179" s="88">
        <f>IFERROR((ATL_P68[[#This Row],[R]]*9)/ATL_P68[[#This Row],[IP]],0)</f>
        <v>13.5</v>
      </c>
      <c r="AD179" s="28">
        <v>0</v>
      </c>
      <c r="AE179" s="74">
        <v>0</v>
      </c>
      <c r="AF179" s="28">
        <v>1</v>
      </c>
      <c r="AG179" s="584">
        <v>4</v>
      </c>
      <c r="AH179" s="28">
        <v>8</v>
      </c>
      <c r="AI179" s="28">
        <v>6</v>
      </c>
      <c r="AJ179" s="28">
        <v>3</v>
      </c>
      <c r="AK179" s="28">
        <v>3</v>
      </c>
      <c r="AL179" s="28">
        <v>0</v>
      </c>
      <c r="AM179" s="89">
        <f>IFERROR((ATL_P68[[#This Row],[BB]]+ATL_P68[[#This Row],[H]])/ATL_P68[[#This Row],[IP]],0)</f>
        <v>2.75</v>
      </c>
      <c r="AN179" s="28">
        <v>0</v>
      </c>
      <c r="AO179" s="90">
        <v>0</v>
      </c>
      <c r="AP179" s="28">
        <v>0</v>
      </c>
      <c r="AQ179" s="74">
        <v>0</v>
      </c>
      <c r="AR179" s="615">
        <v>3</v>
      </c>
      <c r="AS179"/>
      <c r="AT179"/>
      <c r="AU179"/>
      <c r="AV179"/>
      <c r="AY179" s="843" t="s">
        <v>770</v>
      </c>
      <c r="AZ179" s="114" t="s">
        <v>206</v>
      </c>
      <c r="BA179" s="115" t="s">
        <v>791</v>
      </c>
      <c r="BB179" s="88">
        <f>IFERROR((PHI_P87[[#This Row],[R]]*9)/PHI_P87[[#This Row],[IP]],0)</f>
        <v>4.4436004557538933</v>
      </c>
      <c r="BC179" s="28">
        <v>2</v>
      </c>
      <c r="BD179" s="74">
        <v>1</v>
      </c>
      <c r="BE179" s="28">
        <v>4</v>
      </c>
      <c r="BF179" s="584">
        <v>26.33</v>
      </c>
      <c r="BG179" s="28">
        <v>30</v>
      </c>
      <c r="BH179" s="28">
        <v>13</v>
      </c>
      <c r="BI179" s="28">
        <v>5</v>
      </c>
      <c r="BJ179" s="28">
        <v>21</v>
      </c>
      <c r="BK179" s="28">
        <v>0</v>
      </c>
      <c r="BL179" s="106">
        <f>IFERROR((PHI_P87[[#This Row],[BB]]+PHI_P87[[#This Row],[H]])/PHI_P87[[#This Row],[IP]],0)</f>
        <v>1.329282187618686</v>
      </c>
      <c r="BM179" s="77">
        <v>2</v>
      </c>
      <c r="BN179" s="90">
        <v>1</v>
      </c>
      <c r="BO179" s="28">
        <v>0</v>
      </c>
      <c r="BP179" s="74">
        <v>0</v>
      </c>
      <c r="BQ179" s="780">
        <v>3</v>
      </c>
    </row>
    <row r="180" spans="1:73">
      <c r="A180" s="828" t="s">
        <v>770</v>
      </c>
      <c r="B180" s="114" t="s">
        <v>206</v>
      </c>
      <c r="C180" s="116" t="s">
        <v>792</v>
      </c>
      <c r="D180" s="88">
        <f>IFERROR((PHI_P270[[#This Row],[R]]*9)/PHI_P270[[#This Row],[IP]],0)</f>
        <v>3.3771106941838647</v>
      </c>
      <c r="E180" s="28">
        <v>1</v>
      </c>
      <c r="F180" s="74">
        <v>1</v>
      </c>
      <c r="G180" s="28">
        <v>2</v>
      </c>
      <c r="H180" s="584">
        <v>5.33</v>
      </c>
      <c r="I180" s="28">
        <v>7</v>
      </c>
      <c r="J180" s="28">
        <v>2</v>
      </c>
      <c r="K180" s="28">
        <v>2</v>
      </c>
      <c r="L180" s="28">
        <v>5</v>
      </c>
      <c r="M180" s="28">
        <v>0</v>
      </c>
      <c r="N180" s="106">
        <f>IFERROR((PHI_P270[[#This Row],[BB]]+PHI_P270[[#This Row],[H]])/PHI_P270[[#This Row],[IP]],0)</f>
        <v>1.6885553470919323</v>
      </c>
      <c r="O180" s="77">
        <v>0</v>
      </c>
      <c r="P180" s="90">
        <v>0</v>
      </c>
      <c r="Q180" s="28">
        <v>0</v>
      </c>
      <c r="R180" s="74">
        <v>0</v>
      </c>
      <c r="S180" s="780">
        <v>4</v>
      </c>
      <c r="Z180" s="651" t="s">
        <v>835</v>
      </c>
      <c r="AA180" s="74" t="s">
        <v>206</v>
      </c>
      <c r="AB180" s="116" t="s">
        <v>857</v>
      </c>
      <c r="AC180" s="88">
        <f>IFERROR((ATL_P68[[#This Row],[R]]*9)/ATL_P68[[#This Row],[IP]],0)</f>
        <v>9</v>
      </c>
      <c r="AD180" s="28">
        <v>0</v>
      </c>
      <c r="AE180" s="74">
        <v>0</v>
      </c>
      <c r="AF180" s="28">
        <v>1</v>
      </c>
      <c r="AG180" s="584">
        <v>3</v>
      </c>
      <c r="AH180" s="28">
        <v>4</v>
      </c>
      <c r="AI180" s="28">
        <v>3</v>
      </c>
      <c r="AJ180" s="28">
        <v>1</v>
      </c>
      <c r="AK180" s="28">
        <v>3</v>
      </c>
      <c r="AL180" s="28">
        <v>0</v>
      </c>
      <c r="AM180" s="89">
        <f>IFERROR((ATL_P68[[#This Row],[BB]]+ATL_P68[[#This Row],[H]])/ATL_P68[[#This Row],[IP]],0)</f>
        <v>1.6666666666666667</v>
      </c>
      <c r="AN180" s="28">
        <v>0</v>
      </c>
      <c r="AO180" s="90">
        <v>0</v>
      </c>
      <c r="AP180" s="28">
        <v>0</v>
      </c>
      <c r="AQ180" s="74">
        <v>0</v>
      </c>
      <c r="AR180" s="615">
        <v>4</v>
      </c>
      <c r="AS180"/>
      <c r="AT180"/>
      <c r="AU180"/>
      <c r="AV180"/>
      <c r="AY180" s="843" t="s">
        <v>770</v>
      </c>
      <c r="AZ180" s="114" t="s">
        <v>365</v>
      </c>
      <c r="BA180" s="115" t="s">
        <v>792</v>
      </c>
      <c r="BB180" s="88">
        <f>IFERROR((PHI_P87[[#This Row],[R]]*9)/PHI_P87[[#This Row],[IP]],0)</f>
        <v>0</v>
      </c>
      <c r="BC180" s="28">
        <v>0</v>
      </c>
      <c r="BD180" s="74">
        <v>0</v>
      </c>
      <c r="BE180" s="28">
        <v>3</v>
      </c>
      <c r="BF180" s="584">
        <v>4.67</v>
      </c>
      <c r="BG180" s="28">
        <v>4</v>
      </c>
      <c r="BH180" s="28">
        <v>0</v>
      </c>
      <c r="BI180" s="28">
        <v>0</v>
      </c>
      <c r="BJ180" s="28">
        <v>4</v>
      </c>
      <c r="BK180" s="28">
        <v>0</v>
      </c>
      <c r="BL180" s="106">
        <f>IFERROR((PHI_P87[[#This Row],[BB]]+PHI_P87[[#This Row],[H]])/PHI_P87[[#This Row],[IP]],0)</f>
        <v>0.85653104925053536</v>
      </c>
      <c r="BM180" s="77">
        <v>0</v>
      </c>
      <c r="BN180" s="90">
        <v>0</v>
      </c>
      <c r="BO180" s="28">
        <v>0</v>
      </c>
      <c r="BP180" s="74">
        <v>0</v>
      </c>
      <c r="BQ180" s="780">
        <v>4</v>
      </c>
    </row>
    <row r="181" spans="1:73">
      <c r="A181" s="828" t="s">
        <v>770</v>
      </c>
      <c r="B181" s="114" t="s">
        <v>212</v>
      </c>
      <c r="C181" s="116" t="s">
        <v>793</v>
      </c>
      <c r="D181" s="88">
        <f>IFERROR((PHI_P270[[#This Row],[R]]*9)/PHI_P270[[#This Row],[IP]],0)</f>
        <v>0</v>
      </c>
      <c r="E181" s="28">
        <v>0</v>
      </c>
      <c r="F181" s="74">
        <v>0</v>
      </c>
      <c r="G181" s="28">
        <v>0</v>
      </c>
      <c r="H181" s="584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106">
        <f>IFERROR((PHI_P270[[#This Row],[BB]]+PHI_P270[[#This Row],[H]])/PHI_P270[[#This Row],[IP]],0)</f>
        <v>0</v>
      </c>
      <c r="O181" s="77">
        <v>0</v>
      </c>
      <c r="P181" s="90">
        <v>0</v>
      </c>
      <c r="Q181" s="28">
        <v>0</v>
      </c>
      <c r="R181" s="74">
        <v>0</v>
      </c>
      <c r="S181" s="780">
        <v>5</v>
      </c>
      <c r="Z181" s="651" t="s">
        <v>835</v>
      </c>
      <c r="AA181" s="74" t="s">
        <v>212</v>
      </c>
      <c r="AB181" s="116" t="s">
        <v>858</v>
      </c>
      <c r="AC181" s="88">
        <f>IFERROR((ATL_P68[[#This Row],[R]]*9)/ATL_P68[[#This Row],[IP]],0)</f>
        <v>0</v>
      </c>
      <c r="AD181" s="28">
        <v>0</v>
      </c>
      <c r="AE181" s="74">
        <v>0</v>
      </c>
      <c r="AF181" s="28">
        <v>0</v>
      </c>
      <c r="AG181" s="584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89">
        <f>IFERROR((ATL_P68[[#This Row],[BB]]+ATL_P68[[#This Row],[H]])/ATL_P68[[#This Row],[IP]],0)</f>
        <v>0</v>
      </c>
      <c r="AN181" s="28">
        <v>0</v>
      </c>
      <c r="AO181" s="90">
        <v>0</v>
      </c>
      <c r="AP181" s="28">
        <v>0</v>
      </c>
      <c r="AQ181" s="74">
        <v>0</v>
      </c>
      <c r="AR181" s="615">
        <v>5</v>
      </c>
      <c r="AS181"/>
      <c r="AT181"/>
      <c r="AU181"/>
      <c r="AV181"/>
      <c r="AY181" s="843" t="s">
        <v>770</v>
      </c>
      <c r="AZ181" s="114" t="s">
        <v>212</v>
      </c>
      <c r="BA181" s="115" t="s">
        <v>793</v>
      </c>
      <c r="BB181" s="88">
        <f>IFERROR((PHI_P87[[#This Row],[R]]*9)/PHI_P87[[#This Row],[IP]],0)</f>
        <v>6</v>
      </c>
      <c r="BC181" s="28">
        <v>0</v>
      </c>
      <c r="BD181" s="74">
        <v>0</v>
      </c>
      <c r="BE181" s="28">
        <v>1</v>
      </c>
      <c r="BF181" s="584">
        <v>3</v>
      </c>
      <c r="BG181" s="28">
        <v>5</v>
      </c>
      <c r="BH181" s="28">
        <v>2</v>
      </c>
      <c r="BI181" s="28">
        <v>1</v>
      </c>
      <c r="BJ181" s="28">
        <v>2</v>
      </c>
      <c r="BK181" s="28">
        <v>0</v>
      </c>
      <c r="BL181" s="106">
        <f>IFERROR((PHI_P87[[#This Row],[BB]]+PHI_P87[[#This Row],[H]])/PHI_P87[[#This Row],[IP]],0)</f>
        <v>2</v>
      </c>
      <c r="BM181" s="77">
        <v>0</v>
      </c>
      <c r="BN181" s="90">
        <v>0</v>
      </c>
      <c r="BO181" s="28">
        <v>0</v>
      </c>
      <c r="BP181" s="74">
        <v>0</v>
      </c>
      <c r="BQ181" s="780">
        <v>5</v>
      </c>
    </row>
    <row r="182" spans="1:73">
      <c r="A182" s="828" t="s">
        <v>770</v>
      </c>
      <c r="B182" s="114" t="s">
        <v>212</v>
      </c>
      <c r="C182" s="116" t="s">
        <v>797</v>
      </c>
      <c r="D182" s="88">
        <f>IFERROR((PHI_P270[[#This Row],[R]]*9)/PHI_P270[[#This Row],[IP]],0)</f>
        <v>0</v>
      </c>
      <c r="E182" s="28">
        <v>1</v>
      </c>
      <c r="F182" s="74">
        <v>0</v>
      </c>
      <c r="G182" s="28">
        <v>5</v>
      </c>
      <c r="H182" s="584">
        <v>9.33</v>
      </c>
      <c r="I182" s="28">
        <v>4</v>
      </c>
      <c r="J182" s="28">
        <v>0</v>
      </c>
      <c r="K182" s="28">
        <v>0</v>
      </c>
      <c r="L182" s="28">
        <v>13</v>
      </c>
      <c r="M182" s="28">
        <v>1</v>
      </c>
      <c r="N182" s="592">
        <f>IFERROR((PHI_P270[[#This Row],[BB]]+PHI_P270[[#This Row],[H]])/PHI_P270[[#This Row],[IP]],0)</f>
        <v>0.4287245444801715</v>
      </c>
      <c r="O182" s="77">
        <v>0</v>
      </c>
      <c r="P182" s="90">
        <v>0</v>
      </c>
      <c r="Q182" s="28">
        <v>0</v>
      </c>
      <c r="R182" s="74">
        <v>0</v>
      </c>
      <c r="S182" s="780">
        <v>6</v>
      </c>
      <c r="Z182" s="651" t="s">
        <v>835</v>
      </c>
      <c r="AA182" s="74" t="s">
        <v>212</v>
      </c>
      <c r="AB182" s="116" t="s">
        <v>859</v>
      </c>
      <c r="AC182" s="88">
        <f>IFERROR((ATL_P68[[#This Row],[R]]*9)/ATL_P68[[#This Row],[IP]],0)</f>
        <v>0</v>
      </c>
      <c r="AD182" s="28">
        <v>0</v>
      </c>
      <c r="AE182" s="74">
        <v>0</v>
      </c>
      <c r="AF182" s="28">
        <v>0</v>
      </c>
      <c r="AG182" s="584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89">
        <f>IFERROR((ATL_P68[[#This Row],[BB]]+ATL_P68[[#This Row],[H]])/ATL_P68[[#This Row],[IP]],0)</f>
        <v>0</v>
      </c>
      <c r="AN182" s="28">
        <v>0</v>
      </c>
      <c r="AO182" s="90">
        <v>0</v>
      </c>
      <c r="AP182" s="28">
        <v>0</v>
      </c>
      <c r="AQ182" s="74">
        <v>0</v>
      </c>
      <c r="AR182" s="615">
        <v>6</v>
      </c>
      <c r="AS182"/>
      <c r="AT182"/>
      <c r="AU182"/>
      <c r="AV182"/>
      <c r="AY182" s="843" t="s">
        <v>770</v>
      </c>
      <c r="AZ182" s="114" t="s">
        <v>212</v>
      </c>
      <c r="BA182" s="115" t="s">
        <v>797</v>
      </c>
      <c r="BB182" s="88">
        <f>IFERROR((PHI_P87[[#This Row],[R]]*9)/PHI_P87[[#This Row],[IP]],0)</f>
        <v>0</v>
      </c>
      <c r="BC182" s="28">
        <v>1</v>
      </c>
      <c r="BD182" s="74">
        <v>0</v>
      </c>
      <c r="BE182" s="28">
        <v>4</v>
      </c>
      <c r="BF182" s="584">
        <v>4.33</v>
      </c>
      <c r="BG182" s="28">
        <v>0</v>
      </c>
      <c r="BH182" s="28">
        <v>0</v>
      </c>
      <c r="BI182" s="28">
        <v>3</v>
      </c>
      <c r="BJ182" s="28">
        <v>4</v>
      </c>
      <c r="BK182" s="28">
        <v>0</v>
      </c>
      <c r="BL182" s="106">
        <f>IFERROR((PHI_P87[[#This Row],[BB]]+PHI_P87[[#This Row],[H]])/PHI_P87[[#This Row],[IP]],0)</f>
        <v>0.69284064665127021</v>
      </c>
      <c r="BM182" s="77">
        <v>0</v>
      </c>
      <c r="BN182" s="90">
        <v>0</v>
      </c>
      <c r="BO182" s="28">
        <v>0</v>
      </c>
      <c r="BP182" s="74">
        <v>0</v>
      </c>
      <c r="BQ182" s="780">
        <v>6</v>
      </c>
    </row>
    <row r="183" spans="1:73">
      <c r="A183" s="828" t="s">
        <v>770</v>
      </c>
      <c r="B183" s="114" t="s">
        <v>212</v>
      </c>
      <c r="C183" s="116" t="s">
        <v>798</v>
      </c>
      <c r="D183" s="88">
        <f>IFERROR((PHI_P270[[#This Row],[R]]*9)/PHI_P270[[#This Row],[IP]],0)</f>
        <v>1.3493253373313343</v>
      </c>
      <c r="E183" s="28">
        <v>0</v>
      </c>
      <c r="F183" s="74">
        <v>1</v>
      </c>
      <c r="G183" s="28">
        <v>4</v>
      </c>
      <c r="H183" s="584">
        <v>6.67</v>
      </c>
      <c r="I183" s="28">
        <v>5</v>
      </c>
      <c r="J183" s="28">
        <v>1</v>
      </c>
      <c r="K183" s="28">
        <v>1</v>
      </c>
      <c r="L183" s="28">
        <v>4</v>
      </c>
      <c r="M183" s="28">
        <v>1</v>
      </c>
      <c r="N183" s="106">
        <f>IFERROR((PHI_P270[[#This Row],[BB]]+PHI_P270[[#This Row],[H]])/PHI_P270[[#This Row],[IP]],0)</f>
        <v>0.8995502248875562</v>
      </c>
      <c r="O183" s="77">
        <v>0</v>
      </c>
      <c r="P183" s="90">
        <v>0</v>
      </c>
      <c r="Q183" s="28">
        <v>0</v>
      </c>
      <c r="R183" s="74">
        <v>0</v>
      </c>
      <c r="S183" s="780">
        <v>7</v>
      </c>
      <c r="Z183" s="651" t="s">
        <v>835</v>
      </c>
      <c r="AA183" s="74" t="s">
        <v>212</v>
      </c>
      <c r="AB183" s="116" t="s">
        <v>861</v>
      </c>
      <c r="AC183" s="88">
        <f>IFERROR((ATL_P68[[#This Row],[R]]*9)/ATL_P68[[#This Row],[IP]],0)</f>
        <v>0</v>
      </c>
      <c r="AD183" s="28">
        <v>0</v>
      </c>
      <c r="AE183" s="74">
        <v>0</v>
      </c>
      <c r="AF183" s="28">
        <v>0</v>
      </c>
      <c r="AG183" s="584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89">
        <f>IFERROR((ATL_P68[[#This Row],[BB]]+ATL_P68[[#This Row],[H]])/ATL_P68[[#This Row],[IP]],0)</f>
        <v>0</v>
      </c>
      <c r="AN183" s="28">
        <v>0</v>
      </c>
      <c r="AO183" s="90">
        <v>0</v>
      </c>
      <c r="AP183" s="28">
        <v>0</v>
      </c>
      <c r="AQ183" s="74">
        <v>0</v>
      </c>
      <c r="AR183" s="615">
        <v>7</v>
      </c>
      <c r="AS183"/>
      <c r="AT183"/>
      <c r="AU183"/>
      <c r="AV183"/>
      <c r="AY183" s="843" t="s">
        <v>770</v>
      </c>
      <c r="AZ183" s="114" t="s">
        <v>212</v>
      </c>
      <c r="BA183" s="115" t="s">
        <v>798</v>
      </c>
      <c r="BB183" s="88">
        <f>IFERROR((PHI_P87[[#This Row],[R]]*9)/PHI_P87[[#This Row],[IP]],0)</f>
        <v>2.0785219399538106</v>
      </c>
      <c r="BC183" s="28">
        <v>0</v>
      </c>
      <c r="BD183" s="74">
        <v>0</v>
      </c>
      <c r="BE183" s="28">
        <v>4</v>
      </c>
      <c r="BF183" s="584">
        <v>4.33</v>
      </c>
      <c r="BG183" s="28">
        <v>2</v>
      </c>
      <c r="BH183" s="28">
        <v>1</v>
      </c>
      <c r="BI183" s="28">
        <v>2</v>
      </c>
      <c r="BJ183" s="28">
        <v>5</v>
      </c>
      <c r="BK183" s="28">
        <v>0</v>
      </c>
      <c r="BL183" s="106">
        <f>IFERROR((PHI_P87[[#This Row],[BB]]+PHI_P87[[#This Row],[H]])/PHI_P87[[#This Row],[IP]],0)</f>
        <v>0.92378752886836024</v>
      </c>
      <c r="BM183" s="77">
        <v>0</v>
      </c>
      <c r="BN183" s="90">
        <v>0</v>
      </c>
      <c r="BO183" s="28">
        <v>0</v>
      </c>
      <c r="BP183" s="74">
        <v>0</v>
      </c>
      <c r="BQ183" s="780">
        <v>7</v>
      </c>
    </row>
    <row r="184" spans="1:73">
      <c r="A184" s="828" t="s">
        <v>770</v>
      </c>
      <c r="B184" s="114" t="s">
        <v>212</v>
      </c>
      <c r="C184" s="116" t="s">
        <v>795</v>
      </c>
      <c r="D184" s="88">
        <f>IFERROR((PHI_P270[[#This Row],[R]]*9)/PHI_P270[[#This Row],[IP]],0)</f>
        <v>0</v>
      </c>
      <c r="E184" s="28">
        <v>0</v>
      </c>
      <c r="F184" s="74">
        <v>0</v>
      </c>
      <c r="G184" s="28">
        <v>0</v>
      </c>
      <c r="H184" s="584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106">
        <f>IFERROR((PHI_P270[[#This Row],[BB]]+PHI_P270[[#This Row],[H]])/PHI_P270[[#This Row],[IP]],0)</f>
        <v>0</v>
      </c>
      <c r="O184" s="77">
        <v>0</v>
      </c>
      <c r="P184" s="90">
        <v>0</v>
      </c>
      <c r="Q184" s="28">
        <v>0</v>
      </c>
      <c r="R184" s="74">
        <v>0</v>
      </c>
      <c r="S184" s="780">
        <v>8</v>
      </c>
      <c r="Z184" s="651" t="s">
        <v>835</v>
      </c>
      <c r="AA184" s="74" t="s">
        <v>212</v>
      </c>
      <c r="AB184" s="116" t="s">
        <v>856</v>
      </c>
      <c r="AC184" s="88">
        <f>IFERROR((ATL_P68[[#This Row],[R]]*9)/ATL_P68[[#This Row],[IP]],0)</f>
        <v>0</v>
      </c>
      <c r="AD184" s="28">
        <v>0</v>
      </c>
      <c r="AE184" s="74">
        <v>0</v>
      </c>
      <c r="AF184" s="28">
        <v>0</v>
      </c>
      <c r="AG184" s="584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89">
        <f>IFERROR((ATL_P68[[#This Row],[BB]]+ATL_P68[[#This Row],[H]])/ATL_P68[[#This Row],[IP]],0)</f>
        <v>0</v>
      </c>
      <c r="AN184" s="28">
        <v>0</v>
      </c>
      <c r="AO184" s="90">
        <v>0</v>
      </c>
      <c r="AP184" s="28">
        <v>0</v>
      </c>
      <c r="AQ184" s="74">
        <v>0</v>
      </c>
      <c r="AR184" s="615">
        <v>8</v>
      </c>
      <c r="AS184"/>
      <c r="AT184"/>
      <c r="AU184"/>
      <c r="AV184"/>
      <c r="AY184" s="843" t="s">
        <v>770</v>
      </c>
      <c r="AZ184" s="114" t="s">
        <v>215</v>
      </c>
      <c r="BA184" s="115" t="s">
        <v>796</v>
      </c>
      <c r="BB184" s="88">
        <f>IFERROR((PHI_P87[[#This Row],[R]]*9)/PHI_P87[[#This Row],[IP]],0)</f>
        <v>0</v>
      </c>
      <c r="BC184" s="28">
        <v>0</v>
      </c>
      <c r="BD184" s="74">
        <v>0</v>
      </c>
      <c r="BE184" s="28">
        <v>0</v>
      </c>
      <c r="BF184" s="584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106">
        <f>IFERROR((PHI_P87[[#This Row],[BB]]+PHI_P87[[#This Row],[H]])/PHI_P87[[#This Row],[IP]],0)</f>
        <v>0</v>
      </c>
      <c r="BM184" s="77">
        <v>0</v>
      </c>
      <c r="BN184" s="90">
        <v>0</v>
      </c>
      <c r="BO184" s="28">
        <v>0</v>
      </c>
      <c r="BP184" s="74">
        <v>0</v>
      </c>
      <c r="BQ184" s="780">
        <v>8</v>
      </c>
    </row>
    <row r="185" spans="1:73">
      <c r="A185" s="828" t="s">
        <v>770</v>
      </c>
      <c r="B185" s="114" t="s">
        <v>212</v>
      </c>
      <c r="C185" s="116" t="s">
        <v>794</v>
      </c>
      <c r="D185" s="88">
        <f>IFERROR((PHI_P270[[#This Row],[R]]*9)/PHI_P270[[#This Row],[IP]],0)</f>
        <v>3</v>
      </c>
      <c r="E185" s="28">
        <v>0</v>
      </c>
      <c r="F185" s="74">
        <v>0</v>
      </c>
      <c r="G185" s="28">
        <v>2</v>
      </c>
      <c r="H185" s="584">
        <v>3</v>
      </c>
      <c r="I185" s="28">
        <v>3</v>
      </c>
      <c r="J185" s="28">
        <v>1</v>
      </c>
      <c r="K185" s="28">
        <v>2</v>
      </c>
      <c r="L185" s="28">
        <v>4</v>
      </c>
      <c r="M185" s="28">
        <v>0</v>
      </c>
      <c r="N185" s="106">
        <f>IFERROR((PHI_P270[[#This Row],[BB]]+PHI_P270[[#This Row],[H]])/PHI_P270[[#This Row],[IP]],0)</f>
        <v>1.6666666666666667</v>
      </c>
      <c r="O185" s="77">
        <v>0</v>
      </c>
      <c r="P185" s="90">
        <v>0</v>
      </c>
      <c r="Q185" s="28">
        <v>0</v>
      </c>
      <c r="R185" s="74">
        <v>0</v>
      </c>
      <c r="S185" s="780">
        <v>9</v>
      </c>
      <c r="Z185" s="651" t="s">
        <v>835</v>
      </c>
      <c r="AA185" s="74" t="s">
        <v>212</v>
      </c>
      <c r="AB185" s="116" t="s">
        <v>863</v>
      </c>
      <c r="AC185" s="88">
        <f>IFERROR((ATL_P68[[#This Row],[R]]*9)/ATL_P68[[#This Row],[IP]],0)</f>
        <v>0</v>
      </c>
      <c r="AD185" s="28">
        <v>0</v>
      </c>
      <c r="AE185" s="74">
        <v>0</v>
      </c>
      <c r="AF185" s="28">
        <v>2</v>
      </c>
      <c r="AG185" s="584">
        <v>2</v>
      </c>
      <c r="AH185" s="28">
        <v>1</v>
      </c>
      <c r="AI185" s="28">
        <v>0</v>
      </c>
      <c r="AJ185" s="28">
        <v>0</v>
      </c>
      <c r="AK185" s="28">
        <v>2</v>
      </c>
      <c r="AL185" s="28">
        <v>0</v>
      </c>
      <c r="AM185" s="89">
        <f>IFERROR((ATL_P68[[#This Row],[BB]]+ATL_P68[[#This Row],[H]])/ATL_P68[[#This Row],[IP]],0)</f>
        <v>0.5</v>
      </c>
      <c r="AN185" s="28">
        <v>0</v>
      </c>
      <c r="AO185" s="90">
        <v>0</v>
      </c>
      <c r="AP185" s="28">
        <v>0</v>
      </c>
      <c r="AQ185" s="74">
        <v>0</v>
      </c>
      <c r="AR185" s="615">
        <v>9</v>
      </c>
      <c r="AS185"/>
      <c r="AT185"/>
      <c r="AU185"/>
      <c r="AV185"/>
      <c r="AY185" s="843" t="s">
        <v>770</v>
      </c>
      <c r="AZ185" s="114" t="s">
        <v>212</v>
      </c>
      <c r="BA185" s="115" t="s">
        <v>799</v>
      </c>
      <c r="BB185" s="88">
        <f>IFERROR((PHI_P87[[#This Row],[R]]*9)/PHI_P87[[#This Row],[IP]],0)</f>
        <v>5.8670143415906129</v>
      </c>
      <c r="BC185" s="28">
        <v>0</v>
      </c>
      <c r="BD185" s="74">
        <v>0</v>
      </c>
      <c r="BE185" s="28">
        <v>8</v>
      </c>
      <c r="BF185" s="584">
        <v>7.67</v>
      </c>
      <c r="BG185" s="28">
        <v>8</v>
      </c>
      <c r="BH185" s="28">
        <v>5</v>
      </c>
      <c r="BI185" s="28">
        <v>6</v>
      </c>
      <c r="BJ185" s="28">
        <v>9</v>
      </c>
      <c r="BK185" s="28">
        <v>0</v>
      </c>
      <c r="BL185" s="106">
        <f>IFERROR((PHI_P87[[#This Row],[BB]]+PHI_P87[[#This Row],[H]])/PHI_P87[[#This Row],[IP]],0)</f>
        <v>1.8252933507170797</v>
      </c>
      <c r="BM185" s="77">
        <v>0</v>
      </c>
      <c r="BN185" s="90">
        <v>0</v>
      </c>
      <c r="BO185" s="28">
        <v>0</v>
      </c>
      <c r="BP185" s="74">
        <v>0</v>
      </c>
      <c r="BQ185" s="780">
        <v>9</v>
      </c>
    </row>
    <row r="186" spans="1:73" ht="17" thickBot="1">
      <c r="A186" s="828" t="s">
        <v>770</v>
      </c>
      <c r="B186" s="114" t="s">
        <v>212</v>
      </c>
      <c r="C186" s="116" t="s">
        <v>796</v>
      </c>
      <c r="D186" s="88">
        <f>IFERROR((PHI_P270[[#This Row],[R]]*9)/PHI_P270[[#This Row],[IP]],0)</f>
        <v>53.731343283582085</v>
      </c>
      <c r="E186" s="28">
        <v>0</v>
      </c>
      <c r="F186" s="74">
        <v>1</v>
      </c>
      <c r="G186" s="28">
        <v>1</v>
      </c>
      <c r="H186" s="584">
        <v>0.67</v>
      </c>
      <c r="I186" s="28">
        <v>2</v>
      </c>
      <c r="J186" s="28">
        <v>4</v>
      </c>
      <c r="K186" s="28">
        <v>2</v>
      </c>
      <c r="L186" s="28">
        <v>0</v>
      </c>
      <c r="M186" s="28">
        <v>0</v>
      </c>
      <c r="N186" s="106">
        <f>IFERROR((PHI_P270[[#This Row],[BB]]+PHI_P270[[#This Row],[H]])/PHI_P270[[#This Row],[IP]],0)</f>
        <v>5.9701492537313428</v>
      </c>
      <c r="O186" s="77">
        <v>0</v>
      </c>
      <c r="P186" s="90">
        <v>0</v>
      </c>
      <c r="Q186" s="28">
        <v>0</v>
      </c>
      <c r="R186" s="74">
        <v>0</v>
      </c>
      <c r="S186" s="780">
        <v>10</v>
      </c>
      <c r="Z186" s="651" t="s">
        <v>835</v>
      </c>
      <c r="AA186" s="74" t="s">
        <v>212</v>
      </c>
      <c r="AB186" s="116" t="s">
        <v>865</v>
      </c>
      <c r="AC186" s="88">
        <f>IFERROR((ATL_P68[[#This Row],[R]]*9)/ATL_P68[[#This Row],[IP]],0)</f>
        <v>6.75</v>
      </c>
      <c r="AD186" s="28">
        <v>0</v>
      </c>
      <c r="AE186" s="74">
        <v>2</v>
      </c>
      <c r="AF186" s="28">
        <v>4</v>
      </c>
      <c r="AG186" s="584">
        <v>4</v>
      </c>
      <c r="AH186" s="28">
        <v>4</v>
      </c>
      <c r="AI186" s="28">
        <v>3</v>
      </c>
      <c r="AJ186" s="28">
        <v>0</v>
      </c>
      <c r="AK186" s="28">
        <v>6</v>
      </c>
      <c r="AL186" s="28">
        <v>1</v>
      </c>
      <c r="AM186" s="89">
        <f>IFERROR((ATL_P68[[#This Row],[BB]]+ATL_P68[[#This Row],[H]])/ATL_P68[[#This Row],[IP]],0)</f>
        <v>1</v>
      </c>
      <c r="AN186" s="28">
        <v>0</v>
      </c>
      <c r="AO186" s="90">
        <v>0</v>
      </c>
      <c r="AP186" s="28">
        <v>0</v>
      </c>
      <c r="AQ186" s="74">
        <v>0</v>
      </c>
      <c r="AR186" s="615">
        <v>10</v>
      </c>
      <c r="AS186"/>
      <c r="AT186"/>
      <c r="AU186"/>
      <c r="AV186"/>
      <c r="AY186" s="843" t="s">
        <v>770</v>
      </c>
      <c r="AZ186" s="356" t="s">
        <v>212</v>
      </c>
      <c r="BA186" s="357" t="s">
        <v>800</v>
      </c>
      <c r="BB186" s="88">
        <f>IFERROR((PHI_P87[[#This Row],[R]]*9)/PHI_P87[[#This Row],[IP]],0)</f>
        <v>1.2857142857142858</v>
      </c>
      <c r="BC186" s="28">
        <v>2</v>
      </c>
      <c r="BD186" s="74">
        <v>1</v>
      </c>
      <c r="BE186" s="28">
        <v>10</v>
      </c>
      <c r="BF186" s="584">
        <v>14</v>
      </c>
      <c r="BG186" s="28">
        <v>8</v>
      </c>
      <c r="BH186" s="28">
        <v>2</v>
      </c>
      <c r="BI186" s="28">
        <v>2</v>
      </c>
      <c r="BJ186" s="28">
        <v>14</v>
      </c>
      <c r="BK186" s="28">
        <v>2</v>
      </c>
      <c r="BL186" s="106">
        <f>IFERROR((PHI_P87[[#This Row],[BB]]+PHI_P87[[#This Row],[H]])/PHI_P87[[#This Row],[IP]],0)</f>
        <v>0.7142857142857143</v>
      </c>
      <c r="BM186" s="77">
        <v>0</v>
      </c>
      <c r="BN186" s="90">
        <v>0</v>
      </c>
      <c r="BO186" s="28">
        <v>0</v>
      </c>
      <c r="BP186" s="74">
        <v>0</v>
      </c>
      <c r="BQ186" s="780">
        <v>10</v>
      </c>
    </row>
    <row r="187" spans="1:73" ht="17" thickBot="1">
      <c r="A187" s="823"/>
      <c r="B187" s="824"/>
      <c r="C187" s="829" t="s">
        <v>195</v>
      </c>
      <c r="D187" s="798">
        <f>(J187*9)/H187</f>
        <v>2.4243908411901556</v>
      </c>
      <c r="E187" s="794">
        <f>SUBTOTAL(109,PHI_P270[W])</f>
        <v>4</v>
      </c>
      <c r="F187" s="796">
        <f>SUBTOTAL(109,PHI_P270[L])</f>
        <v>4</v>
      </c>
      <c r="G187" s="794"/>
      <c r="H187" s="799">
        <f>SUBTOTAL(109,PHI_P270[IP])</f>
        <v>81.67</v>
      </c>
      <c r="I187" s="794">
        <f>SUBTOTAL(109,PHI_P270[H])</f>
        <v>63</v>
      </c>
      <c r="J187" s="794">
        <f>SUBTOTAL(109,PHI_P270[R])</f>
        <v>22</v>
      </c>
      <c r="K187" s="794">
        <f>SUBTOTAL(109,PHI_P270[BB])</f>
        <v>25</v>
      </c>
      <c r="L187" s="794">
        <f>SUBTOTAL(109,PHI_P270[K])</f>
        <v>78</v>
      </c>
      <c r="M187" s="794">
        <f>SUBTOTAL(109,PHI_P270[SV])</f>
        <v>2</v>
      </c>
      <c r="N187" s="800">
        <f>(I187+K187)/H187</f>
        <v>1.077507040528958</v>
      </c>
      <c r="O187" s="801">
        <f>SUBTOTAL(109,PHI_P270[QS])</f>
        <v>8</v>
      </c>
      <c r="P187" s="802">
        <f>SUBTOTAL(109,PHI_P270[UQ])</f>
        <v>6</v>
      </c>
      <c r="Q187" s="813">
        <f>SUBTOTAL(109,PHI_P270[CG])</f>
        <v>1</v>
      </c>
      <c r="R187" s="814">
        <f>SUBTOTAL(109,PHI_P270[SH])</f>
        <v>0</v>
      </c>
      <c r="S187" s="797"/>
      <c r="Z187" s="674"/>
      <c r="AA187" s="740"/>
      <c r="AB187" s="676" t="s">
        <v>195</v>
      </c>
      <c r="AC187" s="683">
        <f>(AI187*9)/AG187</f>
        <v>3.8938563599653877</v>
      </c>
      <c r="AD187" s="679">
        <f>SUBTOTAL(109,ATL_P68[W])</f>
        <v>1</v>
      </c>
      <c r="AE187" s="680">
        <f>SUBTOTAL(109,ATL_P68[L])</f>
        <v>3</v>
      </c>
      <c r="AF187" s="679"/>
      <c r="AG187" s="684">
        <f>SUBTOTAL(109,ATL_P68[IP])</f>
        <v>34.67</v>
      </c>
      <c r="AH187" s="679">
        <f>SUBTOTAL(109,ATL_P68[H])</f>
        <v>31</v>
      </c>
      <c r="AI187" s="679">
        <f>SUBTOTAL(109,ATL_P68[R])</f>
        <v>15</v>
      </c>
      <c r="AJ187" s="679">
        <f>SUBTOTAL(109,ATL_P68[BB])</f>
        <v>9</v>
      </c>
      <c r="AK187" s="679">
        <f>SUBTOTAL(109,ATL_P68[K])</f>
        <v>47</v>
      </c>
      <c r="AL187" s="679">
        <f>SUBTOTAL(109,ATL_P68[SV])</f>
        <v>1</v>
      </c>
      <c r="AM187" s="741">
        <f>(AJ187+AH187)/AG187</f>
        <v>1.1537352177675222</v>
      </c>
      <c r="AN187" s="742">
        <f>SUBTOTAL(109,ATL_P68[QS])</f>
        <v>3</v>
      </c>
      <c r="AO187" s="687">
        <f>SUBTOTAL(109,ATL_P68[UQ])</f>
        <v>3</v>
      </c>
      <c r="AP187" s="686">
        <f>SUBTOTAL(109,ATL_P68[CG])</f>
        <v>0</v>
      </c>
      <c r="AQ187" s="688">
        <f>SUBTOTAL(109,ATL_P68[SH])</f>
        <v>0</v>
      </c>
      <c r="AR187" s="681"/>
      <c r="AS187"/>
      <c r="AT187"/>
      <c r="AU187"/>
      <c r="AV187"/>
      <c r="AY187" s="823"/>
      <c r="AZ187" s="824"/>
      <c r="BA187" s="829" t="s">
        <v>195</v>
      </c>
      <c r="BB187" s="798">
        <f>IFERROR((BH187*9)/BF187,0)</f>
        <v>2.5873507297655904</v>
      </c>
      <c r="BC187" s="794">
        <f>SUBTOTAL(109,PHI_P87[W])</f>
        <v>11</v>
      </c>
      <c r="BD187" s="796">
        <f>SUBTOTAL(109,PHI_P87[L])</f>
        <v>3</v>
      </c>
      <c r="BE187" s="794"/>
      <c r="BF187" s="799">
        <f>SUBTOTAL(109,PHI_P87[IP])</f>
        <v>135.66</v>
      </c>
      <c r="BG187" s="794">
        <f>SUBTOTAL(109,PHI_P87[H])</f>
        <v>113</v>
      </c>
      <c r="BH187" s="794">
        <f>SUBTOTAL(109,PHI_P87[R])</f>
        <v>39</v>
      </c>
      <c r="BI187" s="794">
        <f>SUBTOTAL(109,PHI_P87[BB])</f>
        <v>46</v>
      </c>
      <c r="BJ187" s="794">
        <f>SUBTOTAL(109,PHI_P87[K])</f>
        <v>136</v>
      </c>
      <c r="BK187" s="794">
        <f>SUBTOTAL(109,PHI_P87[SV])</f>
        <v>2</v>
      </c>
      <c r="BL187" s="800">
        <f>IFERROR((BI187+BG187)/BF187,0)</f>
        <v>1.1720477664750111</v>
      </c>
      <c r="BM187" s="801">
        <f>SUBTOTAL(109,PHI_P87[QS])</f>
        <v>11</v>
      </c>
      <c r="BN187" s="802">
        <f>SUBTOTAL(109,PHI_P87[UQ])</f>
        <v>7</v>
      </c>
      <c r="BO187" s="813">
        <f>SUM(BO177:BO186)</f>
        <v>1</v>
      </c>
      <c r="BP187" s="814">
        <f>SUM(BP177:BP186)</f>
        <v>0</v>
      </c>
      <c r="BQ187" s="797"/>
    </row>
    <row r="188" spans="1:73" ht="17" thickBot="1"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73" ht="24" thickBot="1">
      <c r="A189" s="1012" t="s">
        <v>941</v>
      </c>
      <c r="B189" s="1013"/>
      <c r="C189" s="1013"/>
      <c r="D189" s="1013"/>
      <c r="E189" s="1013"/>
      <c r="F189" s="1013"/>
      <c r="G189" s="1013"/>
      <c r="H189" s="1013"/>
      <c r="I189" s="1013"/>
      <c r="J189" s="1013"/>
      <c r="K189" s="1013"/>
      <c r="L189" s="1013"/>
      <c r="M189" s="1013"/>
      <c r="N189" s="1013"/>
      <c r="O189" s="1013"/>
      <c r="P189" s="1013"/>
      <c r="Q189" s="1013"/>
      <c r="R189" s="1013"/>
      <c r="S189" s="1013"/>
      <c r="T189" s="1013"/>
      <c r="U189" s="1013"/>
      <c r="V189" s="1013"/>
      <c r="W189" s="1014"/>
      <c r="Z189" s="1012" t="s">
        <v>942</v>
      </c>
      <c r="AA189" s="1013"/>
      <c r="AB189" s="1013"/>
      <c r="AC189" s="1013"/>
      <c r="AD189" s="1013"/>
      <c r="AE189" s="1013"/>
      <c r="AF189" s="1013"/>
      <c r="AG189" s="1013"/>
      <c r="AH189" s="1013"/>
      <c r="AI189" s="1013"/>
      <c r="AJ189" s="1013"/>
      <c r="AK189" s="1013"/>
      <c r="AL189" s="1013"/>
      <c r="AM189" s="1013"/>
      <c r="AN189" s="1013"/>
      <c r="AO189" s="1013"/>
      <c r="AP189" s="1013"/>
      <c r="AQ189" s="1013"/>
      <c r="AR189" s="1013"/>
      <c r="AS189" s="1013"/>
      <c r="AT189" s="1013"/>
      <c r="AU189" s="1013"/>
      <c r="AV189" s="1014"/>
      <c r="AY189" s="1012" t="s">
        <v>943</v>
      </c>
      <c r="AZ189" s="1013"/>
      <c r="BA189" s="1013"/>
      <c r="BB189" s="1013"/>
      <c r="BC189" s="1013"/>
      <c r="BD189" s="1013"/>
      <c r="BE189" s="1013"/>
      <c r="BF189" s="1013"/>
      <c r="BG189" s="1013"/>
      <c r="BH189" s="1013"/>
      <c r="BI189" s="1013"/>
      <c r="BJ189" s="1013"/>
      <c r="BK189" s="1013"/>
      <c r="BL189" s="1013"/>
      <c r="BM189" s="1013"/>
      <c r="BN189" s="1013"/>
      <c r="BO189" s="1013"/>
      <c r="BP189" s="1013"/>
      <c r="BQ189" s="1013"/>
      <c r="BR189" s="1013"/>
      <c r="BS189" s="1013"/>
      <c r="BT189" s="1013"/>
      <c r="BU189" s="1014"/>
    </row>
    <row r="190" spans="1:73" s="64" customFormat="1" ht="14" thickBot="1">
      <c r="A190" s="605" t="s">
        <v>143</v>
      </c>
      <c r="B190" s="606" t="s">
        <v>144</v>
      </c>
      <c r="C190" s="606" t="s">
        <v>145</v>
      </c>
      <c r="D190" s="606" t="s">
        <v>146</v>
      </c>
      <c r="E190" s="606" t="s">
        <v>147</v>
      </c>
      <c r="F190" s="606" t="s">
        <v>148</v>
      </c>
      <c r="G190" s="606" t="s">
        <v>149</v>
      </c>
      <c r="H190" s="606" t="s">
        <v>150</v>
      </c>
      <c r="I190" s="606" t="s">
        <v>151</v>
      </c>
      <c r="J190" s="606" t="s">
        <v>152</v>
      </c>
      <c r="K190" s="606" t="s">
        <v>153</v>
      </c>
      <c r="L190" s="606" t="s">
        <v>154</v>
      </c>
      <c r="M190" s="606" t="s">
        <v>155</v>
      </c>
      <c r="N190" s="606" t="s">
        <v>156</v>
      </c>
      <c r="O190" s="606" t="s">
        <v>157</v>
      </c>
      <c r="P190" s="606" t="s">
        <v>158</v>
      </c>
      <c r="Q190" s="606" t="s">
        <v>159</v>
      </c>
      <c r="R190" s="606" t="s">
        <v>160</v>
      </c>
      <c r="S190" s="606" t="s">
        <v>16</v>
      </c>
      <c r="T190" s="606" t="s">
        <v>161</v>
      </c>
      <c r="U190" s="606" t="s">
        <v>162</v>
      </c>
      <c r="V190" s="606" t="s">
        <v>163</v>
      </c>
      <c r="W190" s="607" t="s">
        <v>164</v>
      </c>
      <c r="Z190" s="605" t="s">
        <v>143</v>
      </c>
      <c r="AA190" s="606" t="s">
        <v>144</v>
      </c>
      <c r="AB190" s="606" t="s">
        <v>145</v>
      </c>
      <c r="AC190" s="606" t="s">
        <v>146</v>
      </c>
      <c r="AD190" s="606" t="s">
        <v>147</v>
      </c>
      <c r="AE190" s="606" t="s">
        <v>148</v>
      </c>
      <c r="AF190" s="606" t="s">
        <v>149</v>
      </c>
      <c r="AG190" s="606" t="s">
        <v>150</v>
      </c>
      <c r="AH190" s="606" t="s">
        <v>151</v>
      </c>
      <c r="AI190" s="606" t="s">
        <v>152</v>
      </c>
      <c r="AJ190" s="606" t="s">
        <v>153</v>
      </c>
      <c r="AK190" s="606" t="s">
        <v>154</v>
      </c>
      <c r="AL190" s="606" t="s">
        <v>155</v>
      </c>
      <c r="AM190" s="606" t="s">
        <v>156</v>
      </c>
      <c r="AN190" s="606" t="s">
        <v>157</v>
      </c>
      <c r="AO190" s="606" t="s">
        <v>158</v>
      </c>
      <c r="AP190" s="606" t="s">
        <v>159</v>
      </c>
      <c r="AQ190" s="606" t="s">
        <v>160</v>
      </c>
      <c r="AR190" s="606" t="s">
        <v>16</v>
      </c>
      <c r="AS190" s="606" t="s">
        <v>161</v>
      </c>
      <c r="AT190" s="606" t="s">
        <v>162</v>
      </c>
      <c r="AU190" s="606" t="s">
        <v>163</v>
      </c>
      <c r="AV190" s="607" t="s">
        <v>164</v>
      </c>
      <c r="AY190" s="605" t="s">
        <v>143</v>
      </c>
      <c r="AZ190" s="606" t="s">
        <v>144</v>
      </c>
      <c r="BA190" s="606" t="s">
        <v>145</v>
      </c>
      <c r="BB190" s="606" t="s">
        <v>146</v>
      </c>
      <c r="BC190" s="606" t="s">
        <v>147</v>
      </c>
      <c r="BD190" s="606" t="s">
        <v>148</v>
      </c>
      <c r="BE190" s="606" t="s">
        <v>149</v>
      </c>
      <c r="BF190" s="606" t="s">
        <v>150</v>
      </c>
      <c r="BG190" s="606" t="s">
        <v>151</v>
      </c>
      <c r="BH190" s="606" t="s">
        <v>152</v>
      </c>
      <c r="BI190" s="606" t="s">
        <v>153</v>
      </c>
      <c r="BJ190" s="606" t="s">
        <v>154</v>
      </c>
      <c r="BK190" s="606" t="s">
        <v>155</v>
      </c>
      <c r="BL190" s="606" t="s">
        <v>156</v>
      </c>
      <c r="BM190" s="606" t="s">
        <v>157</v>
      </c>
      <c r="BN190" s="606" t="s">
        <v>158</v>
      </c>
      <c r="BO190" s="606" t="s">
        <v>159</v>
      </c>
      <c r="BP190" s="606" t="s">
        <v>160</v>
      </c>
      <c r="BQ190" s="606" t="s">
        <v>16</v>
      </c>
      <c r="BR190" s="606" t="s">
        <v>161</v>
      </c>
      <c r="BS190" s="606" t="s">
        <v>162</v>
      </c>
      <c r="BT190" s="606" t="s">
        <v>163</v>
      </c>
      <c r="BU190" s="607" t="s">
        <v>164</v>
      </c>
    </row>
    <row r="191" spans="1:73">
      <c r="A191" s="650" t="s">
        <v>804</v>
      </c>
      <c r="B191" s="597" t="s">
        <v>179</v>
      </c>
      <c r="C191" s="597" t="s">
        <v>813</v>
      </c>
      <c r="D191" s="598">
        <f>IFERROR(NYM_H102[[#This Row],[H]]/NYM_H102[[#This Row],[AB]],0)</f>
        <v>0.30769230769230771</v>
      </c>
      <c r="E191" s="598">
        <f>IFERROR((NYM_H102[[#This Row],[H]]+NYM_H102[[#This Row],[BB]])/(NYM_H102[[#This Row],[BB]]+NYM_H102[[#This Row],[AB]]),0)</f>
        <v>0.4375</v>
      </c>
      <c r="F191" s="599">
        <f>IFERROR(((NYM_H102[[#This Row],[H]]-NYM_H102[[#This Row],[2B]]-NYM_H102[[#This Row],[3B]]-NYM_H102[[#This Row],[HR]])+(NYM_H102[[#This Row],[2B]]*2)+(NYM_H102[[#This Row],[3B]]*3)+(NYM_H102[[#This Row],[HR]]*4))/NYM_H102[[#This Row],[AB]],0)</f>
        <v>0.53846153846153844</v>
      </c>
      <c r="G191" s="600">
        <v>4</v>
      </c>
      <c r="H191" s="600">
        <v>13</v>
      </c>
      <c r="I191" s="600">
        <v>2</v>
      </c>
      <c r="J191" s="600">
        <v>4</v>
      </c>
      <c r="K191" s="600">
        <v>0</v>
      </c>
      <c r="L191" s="600">
        <v>0</v>
      </c>
      <c r="M191" s="600">
        <v>1</v>
      </c>
      <c r="N191" s="600">
        <v>2</v>
      </c>
      <c r="O191" s="600">
        <v>3</v>
      </c>
      <c r="P191" s="604">
        <v>5</v>
      </c>
      <c r="Q191" s="600">
        <v>0</v>
      </c>
      <c r="R191" s="600">
        <v>0</v>
      </c>
      <c r="S191" s="604">
        <v>3</v>
      </c>
      <c r="T191" s="600">
        <f>IFERROR((NYM_H102[[#This Row],[H]]-NYM_H102[[#This Row],[2B]]-NYM_H102[[#This Row],[3B]]-NYM_H102[[#This Row],[HR]])+(NYM_H102[[#This Row],[2B]]*2)+(NYM_H102[[#This Row],[3B]]*3)+(NYM_H102[[#This Row],[HR]]*4),0)</f>
        <v>7</v>
      </c>
      <c r="U191" s="598">
        <f>NYM_H102[[#This Row],[OBP]]+NYM_H102[[#This Row],[SLG]]</f>
        <v>0.97596153846153844</v>
      </c>
      <c r="V191" s="604">
        <v>0</v>
      </c>
      <c r="W191" s="614">
        <v>1</v>
      </c>
      <c r="Z191" s="650" t="s">
        <v>804</v>
      </c>
      <c r="AA191" s="597" t="s">
        <v>179</v>
      </c>
      <c r="AB191" s="597" t="s">
        <v>813</v>
      </c>
      <c r="AC191" s="598">
        <f>IFERROR(NYM_H69[[#This Row],[H]]/NYM_H69[[#This Row],[AB]],0)</f>
        <v>0.16666666666666666</v>
      </c>
      <c r="AD191" s="598">
        <f>IFERROR((NYM_H69[[#This Row],[H]]+NYM_H69[[#This Row],[BB]])/(NYM_H69[[#This Row],[BB]]+NYM_H69[[#This Row],[AB]]),0)</f>
        <v>0.16666666666666666</v>
      </c>
      <c r="AE191" s="599">
        <f>IFERROR(((NYM_H69[[#This Row],[H]]-NYM_H69[[#This Row],[2B]]-NYM_H69[[#This Row],[3B]]-NYM_H69[[#This Row],[HR]])+(NYM_H69[[#This Row],[2B]]*2)+(NYM_H69[[#This Row],[3B]]*3)+(NYM_H69[[#This Row],[HR]]*4))/NYM_H69[[#This Row],[AB]],0)</f>
        <v>0.41666666666666669</v>
      </c>
      <c r="AF191" s="600">
        <v>3</v>
      </c>
      <c r="AG191" s="600">
        <v>12</v>
      </c>
      <c r="AH191" s="600">
        <v>1</v>
      </c>
      <c r="AI191" s="600">
        <v>2</v>
      </c>
      <c r="AJ191" s="600">
        <v>0</v>
      </c>
      <c r="AK191" s="600">
        <v>0</v>
      </c>
      <c r="AL191" s="600">
        <v>1</v>
      </c>
      <c r="AM191" s="600">
        <v>1</v>
      </c>
      <c r="AN191" s="600">
        <v>0</v>
      </c>
      <c r="AO191" s="604">
        <v>6</v>
      </c>
      <c r="AP191" s="600">
        <v>0</v>
      </c>
      <c r="AQ191" s="600">
        <v>1</v>
      </c>
      <c r="AR191" s="604">
        <v>1</v>
      </c>
      <c r="AS191" s="600">
        <f>IFERROR((NYM_H69[[#This Row],[H]]-NYM_H69[[#This Row],[2B]]-NYM_H69[[#This Row],[3B]]-NYM_H69[[#This Row],[HR]])+(NYM_H69[[#This Row],[2B]]*2)+(NYM_H69[[#This Row],[3B]]*3)+(NYM_H69[[#This Row],[HR]]*4),0)</f>
        <v>5</v>
      </c>
      <c r="AT191" s="598">
        <f>NYM_H69[[#This Row],[OBP]]+NYM_H69[[#This Row],[SLG]]</f>
        <v>0.58333333333333337</v>
      </c>
      <c r="AU191" s="604">
        <v>0</v>
      </c>
      <c r="AV191" s="614">
        <v>1</v>
      </c>
      <c r="AY191" s="650" t="s">
        <v>804</v>
      </c>
      <c r="AZ191" s="604" t="s">
        <v>179</v>
      </c>
      <c r="BA191" s="597" t="s">
        <v>813</v>
      </c>
      <c r="BB191" s="598">
        <f>IFERROR(NYM_H59[[#This Row],[H]]/NYM_H59[[#This Row],[AB]],0)</f>
        <v>0.27272727272727271</v>
      </c>
      <c r="BC191" s="598">
        <f>IFERROR((NYM_H59[[#This Row],[H]]+NYM_H59[[#This Row],[BB]])/(NYM_H59[[#This Row],[BB]]+NYM_H59[[#This Row],[AB]]),0)</f>
        <v>0.27272727272727271</v>
      </c>
      <c r="BD191" s="599">
        <f>IFERROR(((NYM_H59[[#This Row],[H]]-NYM_H59[[#This Row],[2B]]-NYM_H59[[#This Row],[3B]]-NYM_H59[[#This Row],[HR]])+(NYM_H59[[#This Row],[2B]]*2)+(NYM_H59[[#This Row],[3B]]*3)+(NYM_H59[[#This Row],[HR]]*4))/NYM_H59[[#This Row],[AB]],0)</f>
        <v>0.45454545454545453</v>
      </c>
      <c r="BE191" s="600">
        <v>3</v>
      </c>
      <c r="BF191" s="600">
        <v>11</v>
      </c>
      <c r="BG191" s="600">
        <v>2</v>
      </c>
      <c r="BH191" s="600">
        <v>3</v>
      </c>
      <c r="BI191" s="600">
        <v>2</v>
      </c>
      <c r="BJ191" s="600">
        <v>0</v>
      </c>
      <c r="BK191" s="600">
        <v>0</v>
      </c>
      <c r="BL191" s="600">
        <v>0</v>
      </c>
      <c r="BM191" s="600">
        <v>0</v>
      </c>
      <c r="BN191" s="604">
        <v>2</v>
      </c>
      <c r="BO191" s="600">
        <v>0</v>
      </c>
      <c r="BP191" s="600">
        <v>2</v>
      </c>
      <c r="BQ191" s="604">
        <v>2</v>
      </c>
      <c r="BR191" s="600">
        <f>(NYM_H59[[#This Row],[H]]-NYM_H59[[#This Row],[2B]]-NYM_H59[[#This Row],[3B]]-NYM_H59[[#This Row],[HR]])+(NYM_H59[[#This Row],[2B]]*2)+(NYM_H59[[#This Row],[3B]]*3)+(NYM_H59[[#This Row],[HR]]*4)</f>
        <v>5</v>
      </c>
      <c r="BS191" s="598">
        <f>IFERROR(NYM_H59[[#This Row],[OBP]]+NYM_H59[[#This Row],[SLG]],0)</f>
        <v>0.72727272727272729</v>
      </c>
      <c r="BT191" s="604">
        <v>0</v>
      </c>
      <c r="BU191" s="779">
        <v>1</v>
      </c>
    </row>
    <row r="192" spans="1:73">
      <c r="A192" s="651" t="s">
        <v>804</v>
      </c>
      <c r="B192" s="71" t="s">
        <v>154</v>
      </c>
      <c r="C192" s="71" t="s">
        <v>808</v>
      </c>
      <c r="D192" s="72">
        <f>IFERROR(NYM_H102[[#This Row],[H]]/NYM_H102[[#This Row],[AB]],0)</f>
        <v>0.21052631578947367</v>
      </c>
      <c r="E192" s="72">
        <f>IFERROR((NYM_H102[[#This Row],[H]]+NYM_H102[[#This Row],[BB]])/(NYM_H102[[#This Row],[BB]]+NYM_H102[[#This Row],[AB]]),0)</f>
        <v>0.21052631578947367</v>
      </c>
      <c r="F192" s="73">
        <f>IFERROR(((NYM_H102[[#This Row],[H]]-NYM_H102[[#This Row],[2B]]-NYM_H102[[#This Row],[3B]]-NYM_H102[[#This Row],[HR]])+(NYM_H102[[#This Row],[2B]]*2)+(NYM_H102[[#This Row],[3B]]*3)+(NYM_H102[[#This Row],[HR]]*4))/NYM_H102[[#This Row],[AB]],0)</f>
        <v>0.42105263157894735</v>
      </c>
      <c r="G192" s="28">
        <v>4</v>
      </c>
      <c r="H192" s="28">
        <v>19</v>
      </c>
      <c r="I192" s="28">
        <v>1</v>
      </c>
      <c r="J192" s="28">
        <v>4</v>
      </c>
      <c r="K192" s="28">
        <v>1</v>
      </c>
      <c r="L192" s="28">
        <v>0</v>
      </c>
      <c r="M192" s="28">
        <v>1</v>
      </c>
      <c r="N192" s="28">
        <v>3</v>
      </c>
      <c r="O192" s="28">
        <v>0</v>
      </c>
      <c r="P192" s="74">
        <v>7</v>
      </c>
      <c r="Q192" s="28">
        <v>0</v>
      </c>
      <c r="R192" s="28">
        <v>1</v>
      </c>
      <c r="S192" s="74">
        <v>2</v>
      </c>
      <c r="T192" s="28">
        <f>IFERROR((NYM_H102[[#This Row],[H]]-NYM_H102[[#This Row],[2B]]-NYM_H102[[#This Row],[3B]]-NYM_H102[[#This Row],[HR]])+(NYM_H102[[#This Row],[2B]]*2)+(NYM_H102[[#This Row],[3B]]*3)+(NYM_H102[[#This Row],[HR]]*4),0)</f>
        <v>8</v>
      </c>
      <c r="U192" s="72">
        <f>NYM_H102[[#This Row],[OBP]]+NYM_H102[[#This Row],[SLG]]</f>
        <v>0.63157894736842102</v>
      </c>
      <c r="V192" s="74">
        <v>0</v>
      </c>
      <c r="W192" s="615">
        <v>2</v>
      </c>
      <c r="Z192" s="651" t="s">
        <v>804</v>
      </c>
      <c r="AA192" s="71" t="s">
        <v>154</v>
      </c>
      <c r="AB192" s="71" t="s">
        <v>808</v>
      </c>
      <c r="AC192" s="72">
        <f>IFERROR(NYM_H69[[#This Row],[H]]/NYM_H69[[#This Row],[AB]],0)</f>
        <v>0.25</v>
      </c>
      <c r="AD192" s="72">
        <f>IFERROR((NYM_H69[[#This Row],[H]]+NYM_H69[[#This Row],[BB]])/(NYM_H69[[#This Row],[BB]]+NYM_H69[[#This Row],[AB]]),0)</f>
        <v>0.30769230769230771</v>
      </c>
      <c r="AE192" s="73">
        <f>IFERROR(((NYM_H69[[#This Row],[H]]-NYM_H69[[#This Row],[2B]]-NYM_H69[[#This Row],[3B]]-NYM_H69[[#This Row],[HR]])+(NYM_H69[[#This Row],[2B]]*2)+(NYM_H69[[#This Row],[3B]]*3)+(NYM_H69[[#This Row],[HR]]*4))/NYM_H69[[#This Row],[AB]],0)</f>
        <v>0.33333333333333331</v>
      </c>
      <c r="AF192" s="28">
        <v>3</v>
      </c>
      <c r="AG192" s="28">
        <v>12</v>
      </c>
      <c r="AH192" s="28">
        <v>1</v>
      </c>
      <c r="AI192" s="28">
        <v>3</v>
      </c>
      <c r="AJ192" s="28">
        <v>1</v>
      </c>
      <c r="AK192" s="28">
        <v>0</v>
      </c>
      <c r="AL192" s="28">
        <v>0</v>
      </c>
      <c r="AM192" s="28">
        <v>0</v>
      </c>
      <c r="AN192" s="28">
        <v>1</v>
      </c>
      <c r="AO192" s="74">
        <v>3</v>
      </c>
      <c r="AP192" s="28">
        <v>0</v>
      </c>
      <c r="AQ192" s="28">
        <v>2</v>
      </c>
      <c r="AR192" s="74">
        <v>2</v>
      </c>
      <c r="AS192" s="28">
        <f>IFERROR((NYM_H69[[#This Row],[H]]-NYM_H69[[#This Row],[2B]]-NYM_H69[[#This Row],[3B]]-NYM_H69[[#This Row],[HR]])+(NYM_H69[[#This Row],[2B]]*2)+(NYM_H69[[#This Row],[3B]]*3)+(NYM_H69[[#This Row],[HR]]*4),0)</f>
        <v>4</v>
      </c>
      <c r="AT192" s="72">
        <f>NYM_H69[[#This Row],[OBP]]+NYM_H69[[#This Row],[SLG]]</f>
        <v>0.64102564102564097</v>
      </c>
      <c r="AU192" s="74">
        <v>0</v>
      </c>
      <c r="AV192" s="615">
        <v>2</v>
      </c>
      <c r="AY192" s="651" t="s">
        <v>804</v>
      </c>
      <c r="AZ192" s="74" t="s">
        <v>154</v>
      </c>
      <c r="BA192" s="71" t="s">
        <v>808</v>
      </c>
      <c r="BB192" s="72">
        <f>IFERROR(NYM_H59[[#This Row],[H]]/NYM_H59[[#This Row],[AB]],0)</f>
        <v>0.33333333333333331</v>
      </c>
      <c r="BC192" s="72">
        <f>IFERROR((NYM_H59[[#This Row],[H]]+NYM_H59[[#This Row],[BB]])/(NYM_H59[[#This Row],[BB]]+NYM_H59[[#This Row],[AB]]),0)</f>
        <v>0.42857142857142855</v>
      </c>
      <c r="BD192" s="73">
        <f>IFERROR(((NYM_H59[[#This Row],[H]]-NYM_H59[[#This Row],[2B]]-NYM_H59[[#This Row],[3B]]-NYM_H59[[#This Row],[HR]])+(NYM_H59[[#This Row],[2B]]*2)+(NYM_H59[[#This Row],[3B]]*3)+(NYM_H59[[#This Row],[HR]]*4))/NYM_H59[[#This Row],[AB]],0)</f>
        <v>0.41666666666666669</v>
      </c>
      <c r="BE192" s="28">
        <v>3</v>
      </c>
      <c r="BF192" s="28">
        <v>12</v>
      </c>
      <c r="BG192" s="28">
        <v>3</v>
      </c>
      <c r="BH192" s="28">
        <v>4</v>
      </c>
      <c r="BI192" s="28">
        <v>1</v>
      </c>
      <c r="BJ192" s="28">
        <v>0</v>
      </c>
      <c r="BK192" s="28">
        <v>0</v>
      </c>
      <c r="BL192" s="28">
        <v>3</v>
      </c>
      <c r="BM192" s="28">
        <v>2</v>
      </c>
      <c r="BN192" s="74">
        <v>3</v>
      </c>
      <c r="BO192" s="28">
        <v>0</v>
      </c>
      <c r="BP192" s="28">
        <v>2</v>
      </c>
      <c r="BQ192" s="74">
        <v>2</v>
      </c>
      <c r="BR192" s="28">
        <f>(NYM_H59[[#This Row],[H]]-NYM_H59[[#This Row],[2B]]-NYM_H59[[#This Row],[3B]]-NYM_H59[[#This Row],[HR]])+(NYM_H59[[#This Row],[2B]]*2)+(NYM_H59[[#This Row],[3B]]*3)+(NYM_H59[[#This Row],[HR]]*4)</f>
        <v>5</v>
      </c>
      <c r="BS192" s="72">
        <f>IFERROR(NYM_H59[[#This Row],[OBP]]+NYM_H59[[#This Row],[SLG]],0)</f>
        <v>0.84523809523809523</v>
      </c>
      <c r="BT192" s="74">
        <v>1</v>
      </c>
      <c r="BU192" s="780">
        <v>2</v>
      </c>
    </row>
    <row r="193" spans="1:73">
      <c r="A193" s="651" t="s">
        <v>804</v>
      </c>
      <c r="B193" s="71" t="s">
        <v>172</v>
      </c>
      <c r="C193" s="71" t="s">
        <v>805</v>
      </c>
      <c r="D193" s="72">
        <f>IFERROR(NYM_H102[[#This Row],[H]]/NYM_H102[[#This Row],[AB]],0)</f>
        <v>0.1875</v>
      </c>
      <c r="E193" s="72">
        <f>IFERROR((NYM_H102[[#This Row],[H]]+NYM_H102[[#This Row],[BB]])/(NYM_H102[[#This Row],[BB]]+NYM_H102[[#This Row],[AB]]),0)</f>
        <v>0.35</v>
      </c>
      <c r="F193" s="73">
        <f>IFERROR(((NYM_H102[[#This Row],[H]]-NYM_H102[[#This Row],[2B]]-NYM_H102[[#This Row],[3B]]-NYM_H102[[#This Row],[HR]])+(NYM_H102[[#This Row],[2B]]*2)+(NYM_H102[[#This Row],[3B]]*3)+(NYM_H102[[#This Row],[HR]]*4))/NYM_H102[[#This Row],[AB]],0)</f>
        <v>0.375</v>
      </c>
      <c r="G193" s="28">
        <v>4</v>
      </c>
      <c r="H193" s="28">
        <v>16</v>
      </c>
      <c r="I193" s="28">
        <v>3</v>
      </c>
      <c r="J193" s="28">
        <v>3</v>
      </c>
      <c r="K193" s="28">
        <v>0</v>
      </c>
      <c r="L193" s="28">
        <v>0</v>
      </c>
      <c r="M193" s="28">
        <v>1</v>
      </c>
      <c r="N193" s="28">
        <v>2</v>
      </c>
      <c r="O193" s="28">
        <v>4</v>
      </c>
      <c r="P193" s="74">
        <v>3</v>
      </c>
      <c r="Q193" s="28">
        <v>0</v>
      </c>
      <c r="R193" s="28">
        <v>0</v>
      </c>
      <c r="S193" s="74">
        <v>2</v>
      </c>
      <c r="T193" s="28">
        <f>IFERROR((NYM_H102[[#This Row],[H]]-NYM_H102[[#This Row],[2B]]-NYM_H102[[#This Row],[3B]]-NYM_H102[[#This Row],[HR]])+(NYM_H102[[#This Row],[2B]]*2)+(NYM_H102[[#This Row],[3B]]*3)+(NYM_H102[[#This Row],[HR]]*4),0)</f>
        <v>6</v>
      </c>
      <c r="U193" s="72">
        <f>NYM_H102[[#This Row],[OBP]]+NYM_H102[[#This Row],[SLG]]</f>
        <v>0.72499999999999998</v>
      </c>
      <c r="V193" s="74">
        <v>0</v>
      </c>
      <c r="W193" s="615">
        <v>3</v>
      </c>
      <c r="Z193" s="651" t="s">
        <v>804</v>
      </c>
      <c r="AA193" s="71" t="s">
        <v>172</v>
      </c>
      <c r="AB193" s="71" t="s">
        <v>805</v>
      </c>
      <c r="AC193" s="72">
        <f>IFERROR(NYM_H69[[#This Row],[H]]/NYM_H69[[#This Row],[AB]],0)</f>
        <v>9.0909090909090912E-2</v>
      </c>
      <c r="AD193" s="72">
        <f>IFERROR((NYM_H69[[#This Row],[H]]+NYM_H69[[#This Row],[BB]])/(NYM_H69[[#This Row],[BB]]+NYM_H69[[#This Row],[AB]]),0)</f>
        <v>0.23076923076923078</v>
      </c>
      <c r="AE193" s="73">
        <f>IFERROR(((NYM_H69[[#This Row],[H]]-NYM_H69[[#This Row],[2B]]-NYM_H69[[#This Row],[3B]]-NYM_H69[[#This Row],[HR]])+(NYM_H69[[#This Row],[2B]]*2)+(NYM_H69[[#This Row],[3B]]*3)+(NYM_H69[[#This Row],[HR]]*4))/NYM_H69[[#This Row],[AB]],0)</f>
        <v>0.36363636363636365</v>
      </c>
      <c r="AF193" s="28">
        <v>3</v>
      </c>
      <c r="AG193" s="28">
        <v>11</v>
      </c>
      <c r="AH193" s="28">
        <v>1</v>
      </c>
      <c r="AI193" s="28">
        <v>1</v>
      </c>
      <c r="AJ193" s="28">
        <v>0</v>
      </c>
      <c r="AK193" s="28">
        <v>0</v>
      </c>
      <c r="AL193" s="28">
        <v>1</v>
      </c>
      <c r="AM193" s="28">
        <v>1</v>
      </c>
      <c r="AN193" s="28">
        <v>2</v>
      </c>
      <c r="AO193" s="74">
        <v>1</v>
      </c>
      <c r="AP193" s="28">
        <v>0</v>
      </c>
      <c r="AQ193" s="28">
        <v>0</v>
      </c>
      <c r="AR193" s="74">
        <v>1</v>
      </c>
      <c r="AS193" s="28">
        <f>IFERROR((NYM_H69[[#This Row],[H]]-NYM_H69[[#This Row],[2B]]-NYM_H69[[#This Row],[3B]]-NYM_H69[[#This Row],[HR]])+(NYM_H69[[#This Row],[2B]]*2)+(NYM_H69[[#This Row],[3B]]*3)+(NYM_H69[[#This Row],[HR]]*4),0)</f>
        <v>4</v>
      </c>
      <c r="AT193" s="72">
        <f>NYM_H69[[#This Row],[OBP]]+NYM_H69[[#This Row],[SLG]]</f>
        <v>0.59440559440559437</v>
      </c>
      <c r="AU193" s="74">
        <v>0</v>
      </c>
      <c r="AV193" s="615">
        <v>3</v>
      </c>
      <c r="AY193" s="651" t="s">
        <v>804</v>
      </c>
      <c r="AZ193" s="74" t="s">
        <v>172</v>
      </c>
      <c r="BA193" s="71" t="s">
        <v>805</v>
      </c>
      <c r="BB193" s="72">
        <f>IFERROR(NYM_H59[[#This Row],[H]]/NYM_H59[[#This Row],[AB]],0)</f>
        <v>0.25</v>
      </c>
      <c r="BC193" s="72">
        <f>IFERROR((NYM_H59[[#This Row],[H]]+NYM_H59[[#This Row],[BB]])/(NYM_H59[[#This Row],[BB]]+NYM_H59[[#This Row],[AB]]),0)</f>
        <v>0.35714285714285715</v>
      </c>
      <c r="BD193" s="73">
        <f>IFERROR(((NYM_H59[[#This Row],[H]]-NYM_H59[[#This Row],[2B]]-NYM_H59[[#This Row],[3B]]-NYM_H59[[#This Row],[HR]])+(NYM_H59[[#This Row],[2B]]*2)+(NYM_H59[[#This Row],[3B]]*3)+(NYM_H59[[#This Row],[HR]]*4))/NYM_H59[[#This Row],[AB]],0)</f>
        <v>0.25</v>
      </c>
      <c r="BE193" s="28">
        <v>3</v>
      </c>
      <c r="BF193" s="28">
        <v>12</v>
      </c>
      <c r="BG193" s="28">
        <v>4</v>
      </c>
      <c r="BH193" s="28">
        <v>3</v>
      </c>
      <c r="BI193" s="28">
        <v>0</v>
      </c>
      <c r="BJ193" s="28">
        <v>0</v>
      </c>
      <c r="BK193" s="28">
        <v>0</v>
      </c>
      <c r="BL193" s="28">
        <v>0</v>
      </c>
      <c r="BM193" s="28">
        <v>2</v>
      </c>
      <c r="BN193" s="74">
        <v>3</v>
      </c>
      <c r="BO193" s="28">
        <v>0</v>
      </c>
      <c r="BP193" s="28">
        <v>2</v>
      </c>
      <c r="BQ193" s="74">
        <v>2</v>
      </c>
      <c r="BR193" s="28">
        <f>(NYM_H59[[#This Row],[H]]-NYM_H59[[#This Row],[2B]]-NYM_H59[[#This Row],[3B]]-NYM_H59[[#This Row],[HR]])+(NYM_H59[[#This Row],[2B]]*2)+(NYM_H59[[#This Row],[3B]]*3)+(NYM_H59[[#This Row],[HR]]*4)</f>
        <v>3</v>
      </c>
      <c r="BS193" s="72">
        <f>IFERROR(NYM_H59[[#This Row],[OBP]]+NYM_H59[[#This Row],[SLG]],0)</f>
        <v>0.60714285714285721</v>
      </c>
      <c r="BT193" s="74">
        <v>0</v>
      </c>
      <c r="BU193" s="780">
        <v>3</v>
      </c>
    </row>
    <row r="194" spans="1:73">
      <c r="A194" s="651" t="s">
        <v>804</v>
      </c>
      <c r="B194" s="71" t="s">
        <v>153</v>
      </c>
      <c r="C194" s="71" t="s">
        <v>811</v>
      </c>
      <c r="D194" s="594">
        <f>IFERROR(NYM_H102[[#This Row],[H]]/NYM_H102[[#This Row],[AB]],0)</f>
        <v>0.46666666666666667</v>
      </c>
      <c r="E194" s="72">
        <f>IFERROR((NYM_H102[[#This Row],[H]]+NYM_H102[[#This Row],[BB]])/(NYM_H102[[#This Row],[BB]]+NYM_H102[[#This Row],[AB]]),0)</f>
        <v>0.52941176470588236</v>
      </c>
      <c r="F194" s="73">
        <f>IFERROR(((NYM_H102[[#This Row],[H]]-NYM_H102[[#This Row],[2B]]-NYM_H102[[#This Row],[3B]]-NYM_H102[[#This Row],[HR]])+(NYM_H102[[#This Row],[2B]]*2)+(NYM_H102[[#This Row],[3B]]*3)+(NYM_H102[[#This Row],[HR]]*4))/NYM_H102[[#This Row],[AB]],0)</f>
        <v>0.73333333333333328</v>
      </c>
      <c r="G194" s="28">
        <v>4</v>
      </c>
      <c r="H194" s="28">
        <v>15</v>
      </c>
      <c r="I194" s="28">
        <v>1</v>
      </c>
      <c r="J194" s="28">
        <v>7</v>
      </c>
      <c r="K194" s="28">
        <v>1</v>
      </c>
      <c r="L194" s="28">
        <v>0</v>
      </c>
      <c r="M194" s="28">
        <v>1</v>
      </c>
      <c r="N194" s="28">
        <v>3</v>
      </c>
      <c r="O194" s="28">
        <v>2</v>
      </c>
      <c r="P194" s="74">
        <v>5</v>
      </c>
      <c r="Q194" s="28">
        <v>0</v>
      </c>
      <c r="R194" s="28">
        <v>4</v>
      </c>
      <c r="S194" s="74">
        <v>4</v>
      </c>
      <c r="T194" s="28">
        <f>IFERROR((NYM_H102[[#This Row],[H]]-NYM_H102[[#This Row],[2B]]-NYM_H102[[#This Row],[3B]]-NYM_H102[[#This Row],[HR]])+(NYM_H102[[#This Row],[2B]]*2)+(NYM_H102[[#This Row],[3B]]*3)+(NYM_H102[[#This Row],[HR]]*4),0)</f>
        <v>11</v>
      </c>
      <c r="U194" s="594">
        <f>NYM_H102[[#This Row],[OBP]]+NYM_H102[[#This Row],[SLG]]</f>
        <v>1.2627450980392156</v>
      </c>
      <c r="V194" s="74">
        <v>0</v>
      </c>
      <c r="W194" s="615">
        <v>4</v>
      </c>
      <c r="Z194" s="651" t="s">
        <v>804</v>
      </c>
      <c r="AA194" s="71" t="s">
        <v>153</v>
      </c>
      <c r="AB194" s="71" t="s">
        <v>811</v>
      </c>
      <c r="AC194" s="72">
        <f>IFERROR(NYM_H69[[#This Row],[H]]/NYM_H69[[#This Row],[AB]],0)</f>
        <v>0.15384615384615385</v>
      </c>
      <c r="AD194" s="72">
        <f>IFERROR((NYM_H69[[#This Row],[H]]+NYM_H69[[#This Row],[BB]])/(NYM_H69[[#This Row],[BB]]+NYM_H69[[#This Row],[AB]]),0)</f>
        <v>0.15384615384615385</v>
      </c>
      <c r="AE194" s="73">
        <f>IFERROR(((NYM_H69[[#This Row],[H]]-NYM_H69[[#This Row],[2B]]-NYM_H69[[#This Row],[3B]]-NYM_H69[[#This Row],[HR]])+(NYM_H69[[#This Row],[2B]]*2)+(NYM_H69[[#This Row],[3B]]*3)+(NYM_H69[[#This Row],[HR]]*4))/NYM_H69[[#This Row],[AB]],0)</f>
        <v>0.15384615384615385</v>
      </c>
      <c r="AF194" s="28">
        <v>3</v>
      </c>
      <c r="AG194" s="28">
        <v>13</v>
      </c>
      <c r="AH194" s="28">
        <v>1</v>
      </c>
      <c r="AI194" s="28">
        <v>2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74">
        <v>5</v>
      </c>
      <c r="AP194" s="28">
        <v>0</v>
      </c>
      <c r="AQ194" s="28">
        <v>1</v>
      </c>
      <c r="AR194" s="74">
        <v>1</v>
      </c>
      <c r="AS194" s="28">
        <f>IFERROR((NYM_H69[[#This Row],[H]]-NYM_H69[[#This Row],[2B]]-NYM_H69[[#This Row],[3B]]-NYM_H69[[#This Row],[HR]])+(NYM_H69[[#This Row],[2B]]*2)+(NYM_H69[[#This Row],[3B]]*3)+(NYM_H69[[#This Row],[HR]]*4),0)</f>
        <v>2</v>
      </c>
      <c r="AT194" s="72">
        <f>NYM_H69[[#This Row],[OBP]]+NYM_H69[[#This Row],[SLG]]</f>
        <v>0.30769230769230771</v>
      </c>
      <c r="AU194" s="74">
        <v>0</v>
      </c>
      <c r="AV194" s="615">
        <v>4</v>
      </c>
      <c r="AY194" s="651" t="s">
        <v>804</v>
      </c>
      <c r="AZ194" s="74" t="s">
        <v>153</v>
      </c>
      <c r="BA194" s="71" t="s">
        <v>811</v>
      </c>
      <c r="BB194" s="72">
        <f>IFERROR(NYM_H59[[#This Row],[H]]/NYM_H59[[#This Row],[AB]],0)</f>
        <v>0.18181818181818182</v>
      </c>
      <c r="BC194" s="72">
        <f>IFERROR((NYM_H59[[#This Row],[H]]+NYM_H59[[#This Row],[BB]])/(NYM_H59[[#This Row],[BB]]+NYM_H59[[#This Row],[AB]]),0)</f>
        <v>0.18181818181818182</v>
      </c>
      <c r="BD194" s="73">
        <f>IFERROR(((NYM_H59[[#This Row],[H]]-NYM_H59[[#This Row],[2B]]-NYM_H59[[#This Row],[3B]]-NYM_H59[[#This Row],[HR]])+(NYM_H59[[#This Row],[2B]]*2)+(NYM_H59[[#This Row],[3B]]*3)+(NYM_H59[[#This Row],[HR]]*4))/NYM_H59[[#This Row],[AB]],0)</f>
        <v>0.36363636363636365</v>
      </c>
      <c r="BE194" s="28">
        <v>3</v>
      </c>
      <c r="BF194" s="28">
        <v>11</v>
      </c>
      <c r="BG194" s="28">
        <v>0</v>
      </c>
      <c r="BH194" s="28">
        <v>2</v>
      </c>
      <c r="BI194" s="28">
        <v>2</v>
      </c>
      <c r="BJ194" s="28">
        <v>0</v>
      </c>
      <c r="BK194" s="28">
        <v>0</v>
      </c>
      <c r="BL194" s="28">
        <v>0</v>
      </c>
      <c r="BM194" s="28">
        <v>0</v>
      </c>
      <c r="BN194" s="74">
        <v>3</v>
      </c>
      <c r="BO194" s="28">
        <v>0</v>
      </c>
      <c r="BP194" s="28">
        <v>1</v>
      </c>
      <c r="BQ194" s="74">
        <v>1</v>
      </c>
      <c r="BR194" s="28">
        <f>(NYM_H59[[#This Row],[H]]-NYM_H59[[#This Row],[2B]]-NYM_H59[[#This Row],[3B]]-NYM_H59[[#This Row],[HR]])+(NYM_H59[[#This Row],[2B]]*2)+(NYM_H59[[#This Row],[3B]]*3)+(NYM_H59[[#This Row],[HR]]*4)</f>
        <v>4</v>
      </c>
      <c r="BS194" s="72">
        <f>IFERROR(NYM_H59[[#This Row],[OBP]]+NYM_H59[[#This Row],[SLG]],0)</f>
        <v>0.54545454545454541</v>
      </c>
      <c r="BT194" s="74">
        <v>0</v>
      </c>
      <c r="BU194" s="780">
        <v>4</v>
      </c>
    </row>
    <row r="195" spans="1:73">
      <c r="A195" s="651" t="s">
        <v>804</v>
      </c>
      <c r="B195" s="71" t="s">
        <v>177</v>
      </c>
      <c r="C195" s="71" t="s">
        <v>806</v>
      </c>
      <c r="D195" s="72">
        <f>IFERROR(NYM_H102[[#This Row],[H]]/NYM_H102[[#This Row],[AB]],0)</f>
        <v>0.1875</v>
      </c>
      <c r="E195" s="72">
        <f>IFERROR((NYM_H102[[#This Row],[H]]+NYM_H102[[#This Row],[BB]])/(NYM_H102[[#This Row],[BB]]+NYM_H102[[#This Row],[AB]]),0)</f>
        <v>0.27777777777777779</v>
      </c>
      <c r="F195" s="73">
        <f>IFERROR(((NYM_H102[[#This Row],[H]]-NYM_H102[[#This Row],[2B]]-NYM_H102[[#This Row],[3B]]-NYM_H102[[#This Row],[HR]])+(NYM_H102[[#This Row],[2B]]*2)+(NYM_H102[[#This Row],[3B]]*3)+(NYM_H102[[#This Row],[HR]]*4))/NYM_H102[[#This Row],[AB]],0)</f>
        <v>0.1875</v>
      </c>
      <c r="G195" s="28">
        <v>4</v>
      </c>
      <c r="H195" s="28">
        <v>16</v>
      </c>
      <c r="I195" s="28">
        <v>0</v>
      </c>
      <c r="J195" s="28">
        <v>3</v>
      </c>
      <c r="K195" s="28">
        <v>0</v>
      </c>
      <c r="L195" s="28">
        <v>0</v>
      </c>
      <c r="M195" s="28">
        <v>0</v>
      </c>
      <c r="N195" s="28">
        <v>0</v>
      </c>
      <c r="O195" s="28">
        <v>2</v>
      </c>
      <c r="P195" s="74">
        <v>6</v>
      </c>
      <c r="Q195" s="28">
        <v>0</v>
      </c>
      <c r="R195" s="28">
        <v>0</v>
      </c>
      <c r="S195" s="74">
        <v>3</v>
      </c>
      <c r="T195" s="28">
        <f>IFERROR((NYM_H102[[#This Row],[H]]-NYM_H102[[#This Row],[2B]]-NYM_H102[[#This Row],[3B]]-NYM_H102[[#This Row],[HR]])+(NYM_H102[[#This Row],[2B]]*2)+(NYM_H102[[#This Row],[3B]]*3)+(NYM_H102[[#This Row],[HR]]*4),0)</f>
        <v>3</v>
      </c>
      <c r="U195" s="72">
        <f>NYM_H102[[#This Row],[OBP]]+NYM_H102[[#This Row],[SLG]]</f>
        <v>0.46527777777777779</v>
      </c>
      <c r="V195" s="74">
        <v>0</v>
      </c>
      <c r="W195" s="615">
        <v>5</v>
      </c>
      <c r="Z195" s="651" t="s">
        <v>804</v>
      </c>
      <c r="AA195" s="71" t="s">
        <v>177</v>
      </c>
      <c r="AB195" s="71" t="s">
        <v>806</v>
      </c>
      <c r="AC195" s="72">
        <f>IFERROR(NYM_H69[[#This Row],[H]]/NYM_H69[[#This Row],[AB]],0)</f>
        <v>0.16666666666666666</v>
      </c>
      <c r="AD195" s="72">
        <f>IFERROR((NYM_H69[[#This Row],[H]]+NYM_H69[[#This Row],[BB]])/(NYM_H69[[#This Row],[BB]]+NYM_H69[[#This Row],[AB]]),0)</f>
        <v>0.23076923076923078</v>
      </c>
      <c r="AE195" s="73">
        <f>IFERROR(((NYM_H69[[#This Row],[H]]-NYM_H69[[#This Row],[2B]]-NYM_H69[[#This Row],[3B]]-NYM_H69[[#This Row],[HR]])+(NYM_H69[[#This Row],[2B]]*2)+(NYM_H69[[#This Row],[3B]]*3)+(NYM_H69[[#This Row],[HR]]*4))/NYM_H69[[#This Row],[AB]],0)</f>
        <v>0.16666666666666666</v>
      </c>
      <c r="AF195" s="28">
        <v>3</v>
      </c>
      <c r="AG195" s="28">
        <v>12</v>
      </c>
      <c r="AH195" s="28">
        <v>0</v>
      </c>
      <c r="AI195" s="28">
        <v>2</v>
      </c>
      <c r="AJ195" s="28">
        <v>0</v>
      </c>
      <c r="AK195" s="28">
        <v>0</v>
      </c>
      <c r="AL195" s="28">
        <v>0</v>
      </c>
      <c r="AM195" s="28">
        <v>1</v>
      </c>
      <c r="AN195" s="28">
        <v>1</v>
      </c>
      <c r="AO195" s="74">
        <v>3</v>
      </c>
      <c r="AP195" s="28">
        <v>0</v>
      </c>
      <c r="AQ195" s="28">
        <v>0</v>
      </c>
      <c r="AR195" s="74">
        <v>1</v>
      </c>
      <c r="AS195" s="28">
        <f>IFERROR((NYM_H69[[#This Row],[H]]-NYM_H69[[#This Row],[2B]]-NYM_H69[[#This Row],[3B]]-NYM_H69[[#This Row],[HR]])+(NYM_H69[[#This Row],[2B]]*2)+(NYM_H69[[#This Row],[3B]]*3)+(NYM_H69[[#This Row],[HR]]*4),0)</f>
        <v>2</v>
      </c>
      <c r="AT195" s="72">
        <f>NYM_H69[[#This Row],[OBP]]+NYM_H69[[#This Row],[SLG]]</f>
        <v>0.39743589743589747</v>
      </c>
      <c r="AU195" s="74">
        <v>0</v>
      </c>
      <c r="AV195" s="615">
        <v>5</v>
      </c>
      <c r="AY195" s="651" t="s">
        <v>804</v>
      </c>
      <c r="AZ195" s="74" t="s">
        <v>177</v>
      </c>
      <c r="BA195" s="71" t="s">
        <v>806</v>
      </c>
      <c r="BB195" s="72">
        <f>IFERROR(NYM_H59[[#This Row],[H]]/NYM_H59[[#This Row],[AB]],0)</f>
        <v>0.36363636363636365</v>
      </c>
      <c r="BC195" s="72">
        <f>IFERROR((NYM_H59[[#This Row],[H]]+NYM_H59[[#This Row],[BB]])/(NYM_H59[[#This Row],[BB]]+NYM_H59[[#This Row],[AB]]),0)</f>
        <v>0.5</v>
      </c>
      <c r="BD195" s="73">
        <f>IFERROR(((NYM_H59[[#This Row],[H]]-NYM_H59[[#This Row],[2B]]-NYM_H59[[#This Row],[3B]]-NYM_H59[[#This Row],[HR]])+(NYM_H59[[#This Row],[2B]]*2)+(NYM_H59[[#This Row],[3B]]*3)+(NYM_H59[[#This Row],[HR]]*4))/NYM_H59[[#This Row],[AB]],0)</f>
        <v>0.90909090909090906</v>
      </c>
      <c r="BE195" s="28">
        <v>3</v>
      </c>
      <c r="BF195" s="28">
        <v>11</v>
      </c>
      <c r="BG195" s="28">
        <v>3</v>
      </c>
      <c r="BH195" s="28">
        <v>4</v>
      </c>
      <c r="BI195" s="28">
        <v>0</v>
      </c>
      <c r="BJ195" s="28">
        <v>0</v>
      </c>
      <c r="BK195" s="28">
        <v>2</v>
      </c>
      <c r="BL195" s="28">
        <v>6</v>
      </c>
      <c r="BM195" s="28">
        <v>3</v>
      </c>
      <c r="BN195" s="74">
        <v>4</v>
      </c>
      <c r="BO195" s="28">
        <v>0</v>
      </c>
      <c r="BP195" s="28">
        <v>2</v>
      </c>
      <c r="BQ195" s="74">
        <v>2</v>
      </c>
      <c r="BR195" s="28">
        <f>(NYM_H59[[#This Row],[H]]-NYM_H59[[#This Row],[2B]]-NYM_H59[[#This Row],[3B]]-NYM_H59[[#This Row],[HR]])+(NYM_H59[[#This Row],[2B]]*2)+(NYM_H59[[#This Row],[3B]]*3)+(NYM_H59[[#This Row],[HR]]*4)</f>
        <v>10</v>
      </c>
      <c r="BS195" s="72">
        <f>IFERROR(NYM_H59[[#This Row],[OBP]]+NYM_H59[[#This Row],[SLG]],0)</f>
        <v>1.4090909090909092</v>
      </c>
      <c r="BT195" s="74">
        <v>0</v>
      </c>
      <c r="BU195" s="780">
        <v>5</v>
      </c>
    </row>
    <row r="196" spans="1:73">
      <c r="A196" s="651" t="s">
        <v>804</v>
      </c>
      <c r="B196" s="71" t="s">
        <v>174</v>
      </c>
      <c r="C196" s="71" t="s">
        <v>814</v>
      </c>
      <c r="D196" s="72">
        <f>IFERROR(NYM_H102[[#This Row],[H]]/NYM_H102[[#This Row],[AB]],0)</f>
        <v>0.33333333333333331</v>
      </c>
      <c r="E196" s="72">
        <f>IFERROR((NYM_H102[[#This Row],[H]]+NYM_H102[[#This Row],[BB]])/(NYM_H102[[#This Row],[BB]]+NYM_H102[[#This Row],[AB]]),0)</f>
        <v>0.33333333333333331</v>
      </c>
      <c r="F196" s="73">
        <f>IFERROR(((NYM_H102[[#This Row],[H]]-NYM_H102[[#This Row],[2B]]-NYM_H102[[#This Row],[3B]]-NYM_H102[[#This Row],[HR]])+(NYM_H102[[#This Row],[2B]]*2)+(NYM_H102[[#This Row],[3B]]*3)+(NYM_H102[[#This Row],[HR]]*4))/NYM_H102[[#This Row],[AB]],0)</f>
        <v>0.53333333333333333</v>
      </c>
      <c r="G196" s="28">
        <v>4</v>
      </c>
      <c r="H196" s="28">
        <v>15</v>
      </c>
      <c r="I196" s="28">
        <v>2</v>
      </c>
      <c r="J196" s="28">
        <v>5</v>
      </c>
      <c r="K196" s="28">
        <v>0</v>
      </c>
      <c r="L196" s="28">
        <v>0</v>
      </c>
      <c r="M196" s="28">
        <v>1</v>
      </c>
      <c r="N196" s="28">
        <v>1</v>
      </c>
      <c r="O196" s="28">
        <v>0</v>
      </c>
      <c r="P196" s="74">
        <v>5</v>
      </c>
      <c r="Q196" s="28">
        <v>0</v>
      </c>
      <c r="R196" s="28">
        <v>4</v>
      </c>
      <c r="S196" s="74">
        <v>4</v>
      </c>
      <c r="T196" s="28">
        <f>IFERROR((NYM_H102[[#This Row],[H]]-NYM_H102[[#This Row],[2B]]-NYM_H102[[#This Row],[3B]]-NYM_H102[[#This Row],[HR]])+(NYM_H102[[#This Row],[2B]]*2)+(NYM_H102[[#This Row],[3B]]*3)+(NYM_H102[[#This Row],[HR]]*4),0)</f>
        <v>8</v>
      </c>
      <c r="U196" s="72">
        <f>NYM_H102[[#This Row],[OBP]]+NYM_H102[[#This Row],[SLG]]</f>
        <v>0.8666666666666667</v>
      </c>
      <c r="V196" s="74">
        <v>0</v>
      </c>
      <c r="W196" s="615">
        <v>6</v>
      </c>
      <c r="Z196" s="651" t="s">
        <v>804</v>
      </c>
      <c r="AA196" s="71" t="s">
        <v>174</v>
      </c>
      <c r="AB196" s="71" t="s">
        <v>812</v>
      </c>
      <c r="AC196" s="72">
        <f>IFERROR(NYM_H69[[#This Row],[H]]/NYM_H69[[#This Row],[AB]],0)</f>
        <v>0.33333333333333331</v>
      </c>
      <c r="AD196" s="72">
        <f>IFERROR((NYM_H69[[#This Row],[H]]+NYM_H69[[#This Row],[BB]])/(NYM_H69[[#This Row],[BB]]+NYM_H69[[#This Row],[AB]]),0)</f>
        <v>0.38461538461538464</v>
      </c>
      <c r="AE196" s="73">
        <f>IFERROR(((NYM_H69[[#This Row],[H]]-NYM_H69[[#This Row],[2B]]-NYM_H69[[#This Row],[3B]]-NYM_H69[[#This Row],[HR]])+(NYM_H69[[#This Row],[2B]]*2)+(NYM_H69[[#This Row],[3B]]*3)+(NYM_H69[[#This Row],[HR]]*4))/NYM_H69[[#This Row],[AB]],0)</f>
        <v>0.5</v>
      </c>
      <c r="AF196" s="28">
        <v>3</v>
      </c>
      <c r="AG196" s="28">
        <v>12</v>
      </c>
      <c r="AH196" s="28">
        <v>0</v>
      </c>
      <c r="AI196" s="28">
        <v>4</v>
      </c>
      <c r="AJ196" s="28">
        <v>2</v>
      </c>
      <c r="AK196" s="28">
        <v>0</v>
      </c>
      <c r="AL196" s="28">
        <v>0</v>
      </c>
      <c r="AM196" s="28">
        <v>1</v>
      </c>
      <c r="AN196" s="28">
        <v>1</v>
      </c>
      <c r="AO196" s="74">
        <v>3</v>
      </c>
      <c r="AP196" s="28">
        <v>0</v>
      </c>
      <c r="AQ196" s="28">
        <v>0</v>
      </c>
      <c r="AR196" s="74">
        <v>2</v>
      </c>
      <c r="AS196" s="28">
        <f>IFERROR((NYM_H69[[#This Row],[H]]-NYM_H69[[#This Row],[2B]]-NYM_H69[[#This Row],[3B]]-NYM_H69[[#This Row],[HR]])+(NYM_H69[[#This Row],[2B]]*2)+(NYM_H69[[#This Row],[3B]]*3)+(NYM_H69[[#This Row],[HR]]*4),0)</f>
        <v>6</v>
      </c>
      <c r="AT196" s="72">
        <f>NYM_H69[[#This Row],[OBP]]+NYM_H69[[#This Row],[SLG]]</f>
        <v>0.88461538461538458</v>
      </c>
      <c r="AU196" s="74">
        <v>0</v>
      </c>
      <c r="AV196" s="615">
        <v>6</v>
      </c>
      <c r="AY196" s="651" t="s">
        <v>804</v>
      </c>
      <c r="AZ196" s="74" t="s">
        <v>174</v>
      </c>
      <c r="BA196" s="71" t="s">
        <v>812</v>
      </c>
      <c r="BB196" s="72">
        <f>IFERROR(NYM_H59[[#This Row],[H]]/NYM_H59[[#This Row],[AB]],0)</f>
        <v>0.22222222222222221</v>
      </c>
      <c r="BC196" s="72">
        <f>IFERROR((NYM_H59[[#This Row],[H]]+NYM_H59[[#This Row],[BB]])/(NYM_H59[[#This Row],[BB]]+NYM_H59[[#This Row],[AB]]),0)</f>
        <v>0.46153846153846156</v>
      </c>
      <c r="BD196" s="73">
        <f>IFERROR(((NYM_H59[[#This Row],[H]]-NYM_H59[[#This Row],[2B]]-NYM_H59[[#This Row],[3B]]-NYM_H59[[#This Row],[HR]])+(NYM_H59[[#This Row],[2B]]*2)+(NYM_H59[[#This Row],[3B]]*3)+(NYM_H59[[#This Row],[HR]]*4))/NYM_H59[[#This Row],[AB]],0)</f>
        <v>0.22222222222222221</v>
      </c>
      <c r="BE196" s="28">
        <v>3</v>
      </c>
      <c r="BF196" s="28">
        <v>9</v>
      </c>
      <c r="BG196" s="28">
        <v>0</v>
      </c>
      <c r="BH196" s="28">
        <v>2</v>
      </c>
      <c r="BI196" s="28">
        <v>0</v>
      </c>
      <c r="BJ196" s="28">
        <v>0</v>
      </c>
      <c r="BK196" s="28">
        <v>0</v>
      </c>
      <c r="BL196" s="28">
        <v>0</v>
      </c>
      <c r="BM196" s="28">
        <v>4</v>
      </c>
      <c r="BN196" s="74">
        <v>2</v>
      </c>
      <c r="BO196" s="28">
        <v>0</v>
      </c>
      <c r="BP196" s="28">
        <v>0</v>
      </c>
      <c r="BQ196" s="74">
        <v>1</v>
      </c>
      <c r="BR196" s="28">
        <f>(NYM_H59[[#This Row],[H]]-NYM_H59[[#This Row],[2B]]-NYM_H59[[#This Row],[3B]]-NYM_H59[[#This Row],[HR]])+(NYM_H59[[#This Row],[2B]]*2)+(NYM_H59[[#This Row],[3B]]*3)+(NYM_H59[[#This Row],[HR]]*4)</f>
        <v>2</v>
      </c>
      <c r="BS196" s="72">
        <f>IFERROR(NYM_H59[[#This Row],[OBP]]+NYM_H59[[#This Row],[SLG]],0)</f>
        <v>0.68376068376068377</v>
      </c>
      <c r="BT196" s="74">
        <v>0</v>
      </c>
      <c r="BU196" s="780">
        <v>6</v>
      </c>
    </row>
    <row r="197" spans="1:73">
      <c r="A197" s="651" t="s">
        <v>804</v>
      </c>
      <c r="B197" s="71" t="s">
        <v>181</v>
      </c>
      <c r="C197" s="71" t="s">
        <v>810</v>
      </c>
      <c r="D197" s="72">
        <f>IFERROR(NYM_H102[[#This Row],[H]]/NYM_H102[[#This Row],[AB]],0)</f>
        <v>6.25E-2</v>
      </c>
      <c r="E197" s="72">
        <f>IFERROR((NYM_H102[[#This Row],[H]]+NYM_H102[[#This Row],[BB]])/(NYM_H102[[#This Row],[BB]]+NYM_H102[[#This Row],[AB]]),0)</f>
        <v>0.25</v>
      </c>
      <c r="F197" s="73">
        <f>IFERROR(((NYM_H102[[#This Row],[H]]-NYM_H102[[#This Row],[2B]]-NYM_H102[[#This Row],[3B]]-NYM_H102[[#This Row],[HR]])+(NYM_H102[[#This Row],[2B]]*2)+(NYM_H102[[#This Row],[3B]]*3)+(NYM_H102[[#This Row],[HR]]*4))/NYM_H102[[#This Row],[AB]],0)</f>
        <v>6.25E-2</v>
      </c>
      <c r="G197" s="28">
        <v>4</v>
      </c>
      <c r="H197" s="28">
        <v>16</v>
      </c>
      <c r="I197" s="28">
        <v>2</v>
      </c>
      <c r="J197" s="28">
        <v>1</v>
      </c>
      <c r="K197" s="28">
        <v>0</v>
      </c>
      <c r="L197" s="28">
        <v>0</v>
      </c>
      <c r="M197" s="28">
        <v>0</v>
      </c>
      <c r="N197" s="28">
        <v>1</v>
      </c>
      <c r="O197" s="28">
        <v>4</v>
      </c>
      <c r="P197" s="74">
        <v>7</v>
      </c>
      <c r="Q197" s="28">
        <v>0</v>
      </c>
      <c r="R197" s="28">
        <v>0</v>
      </c>
      <c r="S197" s="74">
        <v>1</v>
      </c>
      <c r="T197" s="28">
        <f>IFERROR((NYM_H102[[#This Row],[H]]-NYM_H102[[#This Row],[2B]]-NYM_H102[[#This Row],[3B]]-NYM_H102[[#This Row],[HR]])+(NYM_H102[[#This Row],[2B]]*2)+(NYM_H102[[#This Row],[3B]]*3)+(NYM_H102[[#This Row],[HR]]*4),0)</f>
        <v>1</v>
      </c>
      <c r="U197" s="72">
        <f>NYM_H102[[#This Row],[OBP]]+NYM_H102[[#This Row],[SLG]]</f>
        <v>0.3125</v>
      </c>
      <c r="V197" s="74">
        <v>0</v>
      </c>
      <c r="W197" s="615">
        <v>7</v>
      </c>
      <c r="Z197" s="651" t="s">
        <v>804</v>
      </c>
      <c r="AA197" s="71" t="s">
        <v>181</v>
      </c>
      <c r="AB197" s="71" t="s">
        <v>810</v>
      </c>
      <c r="AC197" s="72">
        <f>IFERROR(NYM_H69[[#This Row],[H]]/NYM_H69[[#This Row],[AB]],0)</f>
        <v>0.33333333333333331</v>
      </c>
      <c r="AD197" s="72">
        <f>IFERROR((NYM_H69[[#This Row],[H]]+NYM_H69[[#This Row],[BB]])/(NYM_H69[[#This Row],[BB]]+NYM_H69[[#This Row],[AB]]),0)</f>
        <v>0.38461538461538464</v>
      </c>
      <c r="AE197" s="73">
        <f>IFERROR(((NYM_H69[[#This Row],[H]]-NYM_H69[[#This Row],[2B]]-NYM_H69[[#This Row],[3B]]-NYM_H69[[#This Row],[HR]])+(NYM_H69[[#This Row],[2B]]*2)+(NYM_H69[[#This Row],[3B]]*3)+(NYM_H69[[#This Row],[HR]]*4))/NYM_H69[[#This Row],[AB]],0)</f>
        <v>0.58333333333333337</v>
      </c>
      <c r="AF197" s="28">
        <v>3</v>
      </c>
      <c r="AG197" s="28">
        <v>12</v>
      </c>
      <c r="AH197" s="28">
        <v>2</v>
      </c>
      <c r="AI197" s="28">
        <v>4</v>
      </c>
      <c r="AJ197" s="28">
        <v>3</v>
      </c>
      <c r="AK197" s="28">
        <v>0</v>
      </c>
      <c r="AL197" s="28">
        <v>0</v>
      </c>
      <c r="AM197" s="28">
        <v>1</v>
      </c>
      <c r="AN197" s="28">
        <v>1</v>
      </c>
      <c r="AO197" s="74">
        <v>1</v>
      </c>
      <c r="AP197" s="28">
        <v>0</v>
      </c>
      <c r="AQ197" s="28">
        <v>0</v>
      </c>
      <c r="AR197" s="74">
        <v>2</v>
      </c>
      <c r="AS197" s="28">
        <f>IFERROR((NYM_H69[[#This Row],[H]]-NYM_H69[[#This Row],[2B]]-NYM_H69[[#This Row],[3B]]-NYM_H69[[#This Row],[HR]])+(NYM_H69[[#This Row],[2B]]*2)+(NYM_H69[[#This Row],[3B]]*3)+(NYM_H69[[#This Row],[HR]]*4),0)</f>
        <v>7</v>
      </c>
      <c r="AT197" s="72">
        <f>NYM_H69[[#This Row],[OBP]]+NYM_H69[[#This Row],[SLG]]</f>
        <v>0.96794871794871806</v>
      </c>
      <c r="AU197" s="74">
        <v>1</v>
      </c>
      <c r="AV197" s="615">
        <v>7</v>
      </c>
      <c r="AY197" s="651" t="s">
        <v>804</v>
      </c>
      <c r="AZ197" s="74" t="s">
        <v>181</v>
      </c>
      <c r="BA197" s="71" t="s">
        <v>810</v>
      </c>
      <c r="BB197" s="72">
        <f>IFERROR(NYM_H59[[#This Row],[H]]/NYM_H59[[#This Row],[AB]],0)</f>
        <v>0.18181818181818182</v>
      </c>
      <c r="BC197" s="72">
        <f>IFERROR((NYM_H59[[#This Row],[H]]+NYM_H59[[#This Row],[BB]])/(NYM_H59[[#This Row],[BB]]+NYM_H59[[#This Row],[AB]]),0)</f>
        <v>0.18181818181818182</v>
      </c>
      <c r="BD197" s="73">
        <f>IFERROR(((NYM_H59[[#This Row],[H]]-NYM_H59[[#This Row],[2B]]-NYM_H59[[#This Row],[3B]]-NYM_H59[[#This Row],[HR]])+(NYM_H59[[#This Row],[2B]]*2)+(NYM_H59[[#This Row],[3B]]*3)+(NYM_H59[[#This Row],[HR]]*4))/NYM_H59[[#This Row],[AB]],0)</f>
        <v>0.45454545454545453</v>
      </c>
      <c r="BE197" s="28">
        <v>3</v>
      </c>
      <c r="BF197" s="28">
        <v>11</v>
      </c>
      <c r="BG197" s="28">
        <v>1</v>
      </c>
      <c r="BH197" s="28">
        <v>2</v>
      </c>
      <c r="BI197" s="28">
        <v>0</v>
      </c>
      <c r="BJ197" s="28">
        <v>0</v>
      </c>
      <c r="BK197" s="28">
        <v>1</v>
      </c>
      <c r="BL197" s="28">
        <v>1</v>
      </c>
      <c r="BM197" s="28">
        <v>0</v>
      </c>
      <c r="BN197" s="74">
        <v>6</v>
      </c>
      <c r="BO197" s="28">
        <v>0</v>
      </c>
      <c r="BP197" s="28">
        <v>0</v>
      </c>
      <c r="BQ197" s="74">
        <v>1</v>
      </c>
      <c r="BR197" s="28">
        <f>(NYM_H59[[#This Row],[H]]-NYM_H59[[#This Row],[2B]]-NYM_H59[[#This Row],[3B]]-NYM_H59[[#This Row],[HR]])+(NYM_H59[[#This Row],[2B]]*2)+(NYM_H59[[#This Row],[3B]]*3)+(NYM_H59[[#This Row],[HR]]*4)</f>
        <v>5</v>
      </c>
      <c r="BS197" s="72">
        <f>IFERROR(NYM_H59[[#This Row],[OBP]]+NYM_H59[[#This Row],[SLG]],0)</f>
        <v>0.63636363636363635</v>
      </c>
      <c r="BT197" s="74">
        <v>0</v>
      </c>
      <c r="BU197" s="780">
        <v>7</v>
      </c>
    </row>
    <row r="198" spans="1:73">
      <c r="A198" s="651" t="s">
        <v>804</v>
      </c>
      <c r="B198" s="71" t="s">
        <v>166</v>
      </c>
      <c r="C198" s="71" t="s">
        <v>809</v>
      </c>
      <c r="D198" s="72">
        <f>IFERROR(NYM_H102[[#This Row],[H]]/NYM_H102[[#This Row],[AB]],0)</f>
        <v>0.14285714285714285</v>
      </c>
      <c r="E198" s="72">
        <f>IFERROR((NYM_H102[[#This Row],[H]]+NYM_H102[[#This Row],[BB]])/(NYM_H102[[#This Row],[BB]]+NYM_H102[[#This Row],[AB]]),0)</f>
        <v>0.33333333333333331</v>
      </c>
      <c r="F198" s="72">
        <f>IFERROR(((NYM_H102[[#This Row],[H]]-NYM_H102[[#This Row],[2B]]-NYM_H102[[#This Row],[3B]]-NYM_H102[[#This Row],[HR]])+(NYM_H102[[#This Row],[2B]]*2)+(NYM_H102[[#This Row],[3B]]*3)+(NYM_H102[[#This Row],[HR]]*4))/NYM_H102[[#This Row],[AB]],0)</f>
        <v>0.21428571428571427</v>
      </c>
      <c r="G198" s="77">
        <v>4</v>
      </c>
      <c r="H198" s="28">
        <v>14</v>
      </c>
      <c r="I198" s="28">
        <v>0</v>
      </c>
      <c r="J198" s="28">
        <v>2</v>
      </c>
      <c r="K198" s="28">
        <v>1</v>
      </c>
      <c r="L198" s="28">
        <v>0</v>
      </c>
      <c r="M198" s="28">
        <v>0</v>
      </c>
      <c r="N198" s="28">
        <v>0</v>
      </c>
      <c r="O198" s="28">
        <v>4</v>
      </c>
      <c r="P198" s="74">
        <v>8</v>
      </c>
      <c r="Q198" s="28">
        <v>0</v>
      </c>
      <c r="R198" s="28">
        <v>2</v>
      </c>
      <c r="S198" s="74">
        <v>2</v>
      </c>
      <c r="T198" s="28">
        <f>IFERROR((NYM_H102[[#This Row],[H]]-NYM_H102[[#This Row],[2B]]-NYM_H102[[#This Row],[3B]]-NYM_H102[[#This Row],[HR]])+(NYM_H102[[#This Row],[2B]]*2)+(NYM_H102[[#This Row],[3B]]*3)+(NYM_H102[[#This Row],[HR]]*4),0)</f>
        <v>3</v>
      </c>
      <c r="U198" s="72">
        <f>NYM_H102[[#This Row],[OBP]]+NYM_H102[[#This Row],[SLG]]</f>
        <v>0.54761904761904756</v>
      </c>
      <c r="V198" s="74">
        <v>0</v>
      </c>
      <c r="W198" s="615">
        <v>8</v>
      </c>
      <c r="Z198" s="651" t="s">
        <v>804</v>
      </c>
      <c r="AA198" s="71" t="s">
        <v>166</v>
      </c>
      <c r="AB198" s="71" t="s">
        <v>809</v>
      </c>
      <c r="AC198" s="72">
        <f>IFERROR(NYM_H69[[#This Row],[H]]/NYM_H69[[#This Row],[AB]],0)</f>
        <v>0.18181818181818182</v>
      </c>
      <c r="AD198" s="72">
        <f>IFERROR((NYM_H69[[#This Row],[H]]+NYM_H69[[#This Row],[BB]])/(NYM_H69[[#This Row],[BB]]+NYM_H69[[#This Row],[AB]]),0)</f>
        <v>0.30769230769230771</v>
      </c>
      <c r="AE198" s="72">
        <f>IFERROR(((NYM_H69[[#This Row],[H]]-NYM_H69[[#This Row],[2B]]-NYM_H69[[#This Row],[3B]]-NYM_H69[[#This Row],[HR]])+(NYM_H69[[#This Row],[2B]]*2)+(NYM_H69[[#This Row],[3B]]*3)+(NYM_H69[[#This Row],[HR]]*4))/NYM_H69[[#This Row],[AB]],0)</f>
        <v>0.45454545454545453</v>
      </c>
      <c r="AF198" s="77">
        <v>3</v>
      </c>
      <c r="AG198" s="28">
        <v>11</v>
      </c>
      <c r="AH198" s="28">
        <v>2</v>
      </c>
      <c r="AI198" s="28">
        <v>2</v>
      </c>
      <c r="AJ198" s="28">
        <v>0</v>
      </c>
      <c r="AK198" s="28">
        <v>0</v>
      </c>
      <c r="AL198" s="28">
        <v>1</v>
      </c>
      <c r="AM198" s="28">
        <v>1</v>
      </c>
      <c r="AN198" s="28">
        <v>2</v>
      </c>
      <c r="AO198" s="74">
        <v>3</v>
      </c>
      <c r="AP198" s="28">
        <v>0</v>
      </c>
      <c r="AQ198" s="28">
        <v>0</v>
      </c>
      <c r="AR198" s="74">
        <v>1</v>
      </c>
      <c r="AS198" s="28">
        <f>IFERROR((NYM_H69[[#This Row],[H]]-NYM_H69[[#This Row],[2B]]-NYM_H69[[#This Row],[3B]]-NYM_H69[[#This Row],[HR]])+(NYM_H69[[#This Row],[2B]]*2)+(NYM_H69[[#This Row],[3B]]*3)+(NYM_H69[[#This Row],[HR]]*4),0)</f>
        <v>5</v>
      </c>
      <c r="AT198" s="72">
        <f>NYM_H69[[#This Row],[OBP]]+NYM_H69[[#This Row],[SLG]]</f>
        <v>0.7622377622377623</v>
      </c>
      <c r="AU198" s="74">
        <v>0</v>
      </c>
      <c r="AV198" s="615">
        <v>8</v>
      </c>
      <c r="AY198" s="651" t="s">
        <v>804</v>
      </c>
      <c r="AZ198" s="74" t="s">
        <v>166</v>
      </c>
      <c r="BA198" s="71" t="s">
        <v>809</v>
      </c>
      <c r="BB198" s="72">
        <f>IFERROR(NYM_H59[[#This Row],[H]]/NYM_H59[[#This Row],[AB]],0)</f>
        <v>0.21428571428571427</v>
      </c>
      <c r="BC198" s="72">
        <f>IFERROR((NYM_H59[[#This Row],[H]]+NYM_H59[[#This Row],[BB]])/(NYM_H59[[#This Row],[BB]]+NYM_H59[[#This Row],[AB]]),0)</f>
        <v>0.21428571428571427</v>
      </c>
      <c r="BD198" s="72">
        <f>IFERROR(((NYM_H59[[#This Row],[H]]-NYM_H59[[#This Row],[2B]]-NYM_H59[[#This Row],[3B]]-NYM_H59[[#This Row],[HR]])+(NYM_H59[[#This Row],[2B]]*2)+(NYM_H59[[#This Row],[3B]]*3)+(NYM_H59[[#This Row],[HR]]*4))/NYM_H59[[#This Row],[AB]],0)</f>
        <v>0.2857142857142857</v>
      </c>
      <c r="BE198" s="77">
        <v>3</v>
      </c>
      <c r="BF198" s="28">
        <v>14</v>
      </c>
      <c r="BG198" s="28">
        <v>0</v>
      </c>
      <c r="BH198" s="28">
        <v>3</v>
      </c>
      <c r="BI198" s="28">
        <v>1</v>
      </c>
      <c r="BJ198" s="28">
        <v>0</v>
      </c>
      <c r="BK198" s="28">
        <v>0</v>
      </c>
      <c r="BL198" s="28">
        <v>1</v>
      </c>
      <c r="BM198" s="28">
        <v>0</v>
      </c>
      <c r="BN198" s="74">
        <v>6</v>
      </c>
      <c r="BO198" s="28">
        <v>0</v>
      </c>
      <c r="BP198" s="28">
        <v>0</v>
      </c>
      <c r="BQ198" s="74">
        <v>2</v>
      </c>
      <c r="BR198" s="28">
        <f>(NYM_H59[[#This Row],[H]]-NYM_H59[[#This Row],[2B]]-NYM_H59[[#This Row],[3B]]-NYM_H59[[#This Row],[HR]])+(NYM_H59[[#This Row],[2B]]*2)+(NYM_H59[[#This Row],[3B]]*3)+(NYM_H59[[#This Row],[HR]]*4)</f>
        <v>4</v>
      </c>
      <c r="BS198" s="72">
        <f>IFERROR(NYM_H59[[#This Row],[OBP]]+NYM_H59[[#This Row],[SLG]],0)</f>
        <v>0.5</v>
      </c>
      <c r="BT198" s="74">
        <v>0</v>
      </c>
      <c r="BU198" s="780">
        <v>8</v>
      </c>
    </row>
    <row r="199" spans="1:73">
      <c r="A199" s="651" t="s">
        <v>804</v>
      </c>
      <c r="B199" s="71" t="s">
        <v>168</v>
      </c>
      <c r="C199" s="71" t="s">
        <v>807</v>
      </c>
      <c r="D199" s="72">
        <f>IFERROR(NYM_H102[[#This Row],[H]]/NYM_H102[[#This Row],[AB]],0)</f>
        <v>0.13333333333333333</v>
      </c>
      <c r="E199" s="72">
        <f>IFERROR((NYM_H102[[#This Row],[H]]+NYM_H102[[#This Row],[BB]])/(NYM_H102[[#This Row],[BB]]+NYM_H102[[#This Row],[AB]]),0)</f>
        <v>0.27777777777777779</v>
      </c>
      <c r="F199" s="73">
        <f>IFERROR(((NYM_H102[[#This Row],[H]]-NYM_H102[[#This Row],[2B]]-NYM_H102[[#This Row],[3B]]-NYM_H102[[#This Row],[HR]])+(NYM_H102[[#This Row],[2B]]*2)+(NYM_H102[[#This Row],[3B]]*3)+(NYM_H102[[#This Row],[HR]]*4))/NYM_H102[[#This Row],[AB]],0)</f>
        <v>0.33333333333333331</v>
      </c>
      <c r="G199" s="28">
        <v>4</v>
      </c>
      <c r="H199" s="28">
        <v>15</v>
      </c>
      <c r="I199" s="28">
        <v>2</v>
      </c>
      <c r="J199" s="28">
        <v>2</v>
      </c>
      <c r="K199" s="28">
        <v>0</v>
      </c>
      <c r="L199" s="28">
        <v>0</v>
      </c>
      <c r="M199" s="28">
        <v>1</v>
      </c>
      <c r="N199" s="28">
        <v>1</v>
      </c>
      <c r="O199" s="28">
        <v>3</v>
      </c>
      <c r="P199" s="74">
        <v>5</v>
      </c>
      <c r="Q199" s="28">
        <v>0</v>
      </c>
      <c r="R199" s="28">
        <v>0</v>
      </c>
      <c r="S199" s="74">
        <v>1</v>
      </c>
      <c r="T199" s="28">
        <f>IFERROR((NYM_H102[[#This Row],[H]]-NYM_H102[[#This Row],[2B]]-NYM_H102[[#This Row],[3B]]-NYM_H102[[#This Row],[HR]])+(NYM_H102[[#This Row],[2B]]*2)+(NYM_H102[[#This Row],[3B]]*3)+(NYM_H102[[#This Row],[HR]]*4),0)</f>
        <v>5</v>
      </c>
      <c r="U199" s="72">
        <f>NYM_H102[[#This Row],[OBP]]+NYM_H102[[#This Row],[SLG]]</f>
        <v>0.61111111111111116</v>
      </c>
      <c r="V199" s="74">
        <v>1</v>
      </c>
      <c r="W199" s="615">
        <v>9</v>
      </c>
      <c r="Z199" s="651" t="s">
        <v>804</v>
      </c>
      <c r="AA199" s="71" t="s">
        <v>168</v>
      </c>
      <c r="AB199" s="71" t="s">
        <v>807</v>
      </c>
      <c r="AC199" s="72">
        <f>IFERROR(NYM_H69[[#This Row],[H]]/NYM_H69[[#This Row],[AB]],0)</f>
        <v>0.16666666666666666</v>
      </c>
      <c r="AD199" s="72">
        <f>IFERROR((NYM_H69[[#This Row],[H]]+NYM_H69[[#This Row],[BB]])/(NYM_H69[[#This Row],[BB]]+NYM_H69[[#This Row],[AB]]),0)</f>
        <v>0.23076923076923078</v>
      </c>
      <c r="AE199" s="73">
        <f>IFERROR(((NYM_H69[[#This Row],[H]]-NYM_H69[[#This Row],[2B]]-NYM_H69[[#This Row],[3B]]-NYM_H69[[#This Row],[HR]])+(NYM_H69[[#This Row],[2B]]*2)+(NYM_H69[[#This Row],[3B]]*3)+(NYM_H69[[#This Row],[HR]]*4))/NYM_H69[[#This Row],[AB]],0)</f>
        <v>0.41666666666666669</v>
      </c>
      <c r="AF199" s="28">
        <v>3</v>
      </c>
      <c r="AG199" s="28">
        <v>12</v>
      </c>
      <c r="AH199" s="28">
        <v>1</v>
      </c>
      <c r="AI199" s="28">
        <v>2</v>
      </c>
      <c r="AJ199" s="28">
        <v>0</v>
      </c>
      <c r="AK199" s="28">
        <v>0</v>
      </c>
      <c r="AL199" s="28">
        <v>1</v>
      </c>
      <c r="AM199" s="28">
        <v>3</v>
      </c>
      <c r="AN199" s="28">
        <v>1</v>
      </c>
      <c r="AO199" s="74">
        <v>2</v>
      </c>
      <c r="AP199" s="28">
        <v>0</v>
      </c>
      <c r="AQ199" s="28">
        <v>0</v>
      </c>
      <c r="AR199" s="74">
        <v>1</v>
      </c>
      <c r="AS199" s="28">
        <f>IFERROR((NYM_H69[[#This Row],[H]]-NYM_H69[[#This Row],[2B]]-NYM_H69[[#This Row],[3B]]-NYM_H69[[#This Row],[HR]])+(NYM_H69[[#This Row],[2B]]*2)+(NYM_H69[[#This Row],[3B]]*3)+(NYM_H69[[#This Row],[HR]]*4),0)</f>
        <v>5</v>
      </c>
      <c r="AT199" s="72">
        <f>NYM_H69[[#This Row],[OBP]]+NYM_H69[[#This Row],[SLG]]</f>
        <v>0.64743589743589747</v>
      </c>
      <c r="AU199" s="74">
        <v>0</v>
      </c>
      <c r="AV199" s="615">
        <v>9</v>
      </c>
      <c r="AY199" s="651" t="s">
        <v>804</v>
      </c>
      <c r="AZ199" s="74" t="s">
        <v>168</v>
      </c>
      <c r="BA199" s="71" t="s">
        <v>807</v>
      </c>
      <c r="BB199" s="72">
        <f>IFERROR(NYM_H59[[#This Row],[H]]/NYM_H59[[#This Row],[AB]],0)</f>
        <v>0.35714285714285715</v>
      </c>
      <c r="BC199" s="72">
        <f>IFERROR((NYM_H59[[#This Row],[H]]+NYM_H59[[#This Row],[BB]])/(NYM_H59[[#This Row],[BB]]+NYM_H59[[#This Row],[AB]]),0)</f>
        <v>0.35714285714285715</v>
      </c>
      <c r="BD199" s="73">
        <f>IFERROR(((NYM_H59[[#This Row],[H]]-NYM_H59[[#This Row],[2B]]-NYM_H59[[#This Row],[3B]]-NYM_H59[[#This Row],[HR]])+(NYM_H59[[#This Row],[2B]]*2)+(NYM_H59[[#This Row],[3B]]*3)+(NYM_H59[[#This Row],[HR]]*4))/NYM_H59[[#This Row],[AB]],0)</f>
        <v>0.6428571428571429</v>
      </c>
      <c r="BE199" s="28">
        <v>3</v>
      </c>
      <c r="BF199" s="28">
        <v>14</v>
      </c>
      <c r="BG199" s="28">
        <v>2</v>
      </c>
      <c r="BH199" s="28">
        <v>5</v>
      </c>
      <c r="BI199" s="28">
        <v>1</v>
      </c>
      <c r="BJ199" s="28">
        <v>0</v>
      </c>
      <c r="BK199" s="28">
        <v>1</v>
      </c>
      <c r="BL199" s="28">
        <v>4</v>
      </c>
      <c r="BM199" s="28">
        <v>0</v>
      </c>
      <c r="BN199" s="74">
        <v>4</v>
      </c>
      <c r="BO199" s="28">
        <v>0</v>
      </c>
      <c r="BP199" s="28">
        <v>2</v>
      </c>
      <c r="BQ199" s="74">
        <v>2</v>
      </c>
      <c r="BR199" s="28">
        <f>(NYM_H59[[#This Row],[H]]-NYM_H59[[#This Row],[2B]]-NYM_H59[[#This Row],[3B]]-NYM_H59[[#This Row],[HR]])+(NYM_H59[[#This Row],[2B]]*2)+(NYM_H59[[#This Row],[3B]]*3)+(NYM_H59[[#This Row],[HR]]*4)</f>
        <v>9</v>
      </c>
      <c r="BS199" s="72">
        <f>IFERROR(NYM_H59[[#This Row],[OBP]]+NYM_H59[[#This Row],[SLG]],0)</f>
        <v>1</v>
      </c>
      <c r="BT199" s="74">
        <v>0</v>
      </c>
      <c r="BU199" s="780">
        <v>9</v>
      </c>
    </row>
    <row r="200" spans="1:73">
      <c r="A200" s="651" t="s">
        <v>804</v>
      </c>
      <c r="B200" s="71" t="s">
        <v>179</v>
      </c>
      <c r="C200" s="71" t="s">
        <v>818</v>
      </c>
      <c r="D200" s="72">
        <f>IFERROR(NYM_H102[[#This Row],[H]]/NYM_H102[[#This Row],[AB]],0)</f>
        <v>0</v>
      </c>
      <c r="E200" s="72">
        <f>IFERROR((NYM_H102[[#This Row],[H]]+NYM_H102[[#This Row],[BB]])/(NYM_H102[[#This Row],[BB]]+NYM_H102[[#This Row],[AB]]),0)</f>
        <v>0</v>
      </c>
      <c r="F200" s="73">
        <f>IFERROR(((NYM_H102[[#This Row],[H]]-NYM_H102[[#This Row],[2B]]-NYM_H102[[#This Row],[3B]]-NYM_H102[[#This Row],[HR]])+(NYM_H102[[#This Row],[2B]]*2)+(NYM_H102[[#This Row],[3B]]*3)+(NYM_H102[[#This Row],[HR]]*4))/NYM_H102[[#This Row],[AB]],0)</f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74">
        <v>0</v>
      </c>
      <c r="Q200" s="28">
        <v>0</v>
      </c>
      <c r="R200" s="28">
        <v>0</v>
      </c>
      <c r="S200" s="74">
        <v>0</v>
      </c>
      <c r="T200" s="28">
        <f>IFERROR((NYM_H102[[#This Row],[H]]-NYM_H102[[#This Row],[2B]]-NYM_H102[[#This Row],[3B]]-NYM_H102[[#This Row],[HR]])+(NYM_H102[[#This Row],[2B]]*2)+(NYM_H102[[#This Row],[3B]]*3)+(NYM_H102[[#This Row],[HR]]*4),0)</f>
        <v>0</v>
      </c>
      <c r="U200" s="72">
        <f>NYM_H102[[#This Row],[OBP]]+NYM_H102[[#This Row],[SLG]]</f>
        <v>0</v>
      </c>
      <c r="V200" s="74">
        <v>0</v>
      </c>
      <c r="W200" s="615">
        <v>10</v>
      </c>
      <c r="Z200" s="651" t="s">
        <v>804</v>
      </c>
      <c r="AA200" s="71" t="s">
        <v>179</v>
      </c>
      <c r="AB200" s="71" t="s">
        <v>818</v>
      </c>
      <c r="AC200" s="72">
        <f>IFERROR(NYM_H69[[#This Row],[H]]/NYM_H69[[#This Row],[AB]],0)</f>
        <v>0</v>
      </c>
      <c r="AD200" s="72">
        <f>IFERROR((NYM_H69[[#This Row],[H]]+NYM_H69[[#This Row],[BB]])/(NYM_H69[[#This Row],[BB]]+NYM_H69[[#This Row],[AB]]),0)</f>
        <v>0</v>
      </c>
      <c r="AE200" s="73">
        <f>IFERROR(((NYM_H69[[#This Row],[H]]-NYM_H69[[#This Row],[2B]]-NYM_H69[[#This Row],[3B]]-NYM_H69[[#This Row],[HR]])+(NYM_H69[[#This Row],[2B]]*2)+(NYM_H69[[#This Row],[3B]]*3)+(NYM_H69[[#This Row],[HR]]*4))/NYM_H69[[#This Row],[AB]],0)</f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74">
        <v>0</v>
      </c>
      <c r="AP200" s="28">
        <v>0</v>
      </c>
      <c r="AQ200" s="28">
        <v>0</v>
      </c>
      <c r="AR200" s="74">
        <v>0</v>
      </c>
      <c r="AS200" s="28">
        <f>IFERROR((NYM_H69[[#This Row],[H]]-NYM_H69[[#This Row],[2B]]-NYM_H69[[#This Row],[3B]]-NYM_H69[[#This Row],[HR]])+(NYM_H69[[#This Row],[2B]]*2)+(NYM_H69[[#This Row],[3B]]*3)+(NYM_H69[[#This Row],[HR]]*4),0)</f>
        <v>0</v>
      </c>
      <c r="AT200" s="72">
        <f>NYM_H69[[#This Row],[OBP]]+NYM_H69[[#This Row],[SLG]]</f>
        <v>0</v>
      </c>
      <c r="AU200" s="74">
        <v>0</v>
      </c>
      <c r="AV200" s="615">
        <v>10</v>
      </c>
      <c r="AY200" s="651" t="s">
        <v>804</v>
      </c>
      <c r="AZ200" s="74" t="s">
        <v>187</v>
      </c>
      <c r="BA200" s="71" t="s">
        <v>815</v>
      </c>
      <c r="BB200" s="72">
        <f>IFERROR(NYM_H59[[#This Row],[H]]/NYM_H59[[#This Row],[AB]],0)</f>
        <v>0</v>
      </c>
      <c r="BC200" s="72">
        <f>IFERROR((NYM_H59[[#This Row],[H]]+NYM_H59[[#This Row],[BB]])/(NYM_H59[[#This Row],[BB]]+NYM_H59[[#This Row],[AB]]),0)</f>
        <v>0</v>
      </c>
      <c r="BD200" s="73">
        <f>IFERROR(((NYM_H59[[#This Row],[H]]-NYM_H59[[#This Row],[2B]]-NYM_H59[[#This Row],[3B]]-NYM_H59[[#This Row],[HR]])+(NYM_H59[[#This Row],[2B]]*2)+(NYM_H59[[#This Row],[3B]]*3)+(NYM_H59[[#This Row],[HR]]*4))/NYM_H59[[#This Row],[AB]],0)</f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74">
        <v>0</v>
      </c>
      <c r="BO200" s="28">
        <v>0</v>
      </c>
      <c r="BP200" s="28">
        <v>0</v>
      </c>
      <c r="BQ200" s="74">
        <v>0</v>
      </c>
      <c r="BR200" s="28">
        <f>(NYM_H59[[#This Row],[H]]-NYM_H59[[#This Row],[2B]]-NYM_H59[[#This Row],[3B]]-NYM_H59[[#This Row],[HR]])+(NYM_H59[[#This Row],[2B]]*2)+(NYM_H59[[#This Row],[3B]]*3)+(NYM_H59[[#This Row],[HR]]*4)</f>
        <v>0</v>
      </c>
      <c r="BS200" s="72">
        <f>IFERROR(NYM_H59[[#This Row],[OBP]]+NYM_H59[[#This Row],[SLG]],0)</f>
        <v>0</v>
      </c>
      <c r="BT200" s="74">
        <v>0</v>
      </c>
      <c r="BU200" s="780">
        <v>10</v>
      </c>
    </row>
    <row r="201" spans="1:73">
      <c r="A201" s="651" t="s">
        <v>804</v>
      </c>
      <c r="B201" s="71" t="s">
        <v>187</v>
      </c>
      <c r="C201" s="71" t="s">
        <v>817</v>
      </c>
      <c r="D201" s="72">
        <f>IFERROR(NYM_H102[[#This Row],[H]]/NYM_H102[[#This Row],[AB]],0)</f>
        <v>0</v>
      </c>
      <c r="E201" s="72">
        <f>IFERROR((NYM_H102[[#This Row],[H]]+NYM_H102[[#This Row],[BB]])/(NYM_H102[[#This Row],[BB]]+NYM_H102[[#This Row],[AB]]),0)</f>
        <v>0</v>
      </c>
      <c r="F201" s="73">
        <f>IFERROR(((NYM_H102[[#This Row],[H]]-NYM_H102[[#This Row],[2B]]-NYM_H102[[#This Row],[3B]]-NYM_H102[[#This Row],[HR]])+(NYM_H102[[#This Row],[2B]]*2)+(NYM_H102[[#This Row],[3B]]*3)+(NYM_H102[[#This Row],[HR]]*4))/NYM_H102[[#This Row],[AB]],0)</f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74">
        <v>0</v>
      </c>
      <c r="Q201" s="28">
        <v>0</v>
      </c>
      <c r="R201" s="28">
        <v>0</v>
      </c>
      <c r="S201" s="74">
        <v>0</v>
      </c>
      <c r="T201" s="28">
        <f>IFERROR((NYM_H102[[#This Row],[H]]-NYM_H102[[#This Row],[2B]]-NYM_H102[[#This Row],[3B]]-NYM_H102[[#This Row],[HR]])+(NYM_H102[[#This Row],[2B]]*2)+(NYM_H102[[#This Row],[3B]]*3)+(NYM_H102[[#This Row],[HR]]*4),0)</f>
        <v>0</v>
      </c>
      <c r="U201" s="72">
        <f>NYM_H102[[#This Row],[OBP]]+NYM_H102[[#This Row],[SLG]]</f>
        <v>0</v>
      </c>
      <c r="V201" s="74">
        <v>0</v>
      </c>
      <c r="W201" s="615">
        <v>11</v>
      </c>
      <c r="Z201" s="651" t="s">
        <v>804</v>
      </c>
      <c r="AA201" s="71" t="s">
        <v>187</v>
      </c>
      <c r="AB201" s="71" t="s">
        <v>817</v>
      </c>
      <c r="AC201" s="72">
        <f>IFERROR(NYM_H69[[#This Row],[H]]/NYM_H69[[#This Row],[AB]],0)</f>
        <v>0</v>
      </c>
      <c r="AD201" s="72">
        <f>IFERROR((NYM_H69[[#This Row],[H]]+NYM_H69[[#This Row],[BB]])/(NYM_H69[[#This Row],[BB]]+NYM_H69[[#This Row],[AB]]),0)</f>
        <v>0</v>
      </c>
      <c r="AE201" s="73">
        <f>IFERROR(((NYM_H69[[#This Row],[H]]-NYM_H69[[#This Row],[2B]]-NYM_H69[[#This Row],[3B]]-NYM_H69[[#This Row],[HR]])+(NYM_H69[[#This Row],[2B]]*2)+(NYM_H69[[#This Row],[3B]]*3)+(NYM_H69[[#This Row],[HR]]*4))/NYM_H69[[#This Row],[AB]],0)</f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74">
        <v>0</v>
      </c>
      <c r="AP201" s="28">
        <v>0</v>
      </c>
      <c r="AQ201" s="28">
        <v>0</v>
      </c>
      <c r="AR201" s="74">
        <v>0</v>
      </c>
      <c r="AS201" s="28">
        <f>IFERROR((NYM_H69[[#This Row],[H]]-NYM_H69[[#This Row],[2B]]-NYM_H69[[#This Row],[3B]]-NYM_H69[[#This Row],[HR]])+(NYM_H69[[#This Row],[2B]]*2)+(NYM_H69[[#This Row],[3B]]*3)+(NYM_H69[[#This Row],[HR]]*4),0)</f>
        <v>0</v>
      </c>
      <c r="AT201" s="72">
        <f>NYM_H69[[#This Row],[OBP]]+NYM_H69[[#This Row],[SLG]]</f>
        <v>0</v>
      </c>
      <c r="AU201" s="74">
        <v>0</v>
      </c>
      <c r="AV201" s="615">
        <v>11</v>
      </c>
      <c r="AY201" s="651" t="s">
        <v>804</v>
      </c>
      <c r="AZ201" s="74" t="s">
        <v>192</v>
      </c>
      <c r="BA201" s="71" t="s">
        <v>817</v>
      </c>
      <c r="BB201" s="72">
        <f>IFERROR(NYM_H59[[#This Row],[H]]/NYM_H59[[#This Row],[AB]],0)</f>
        <v>0</v>
      </c>
      <c r="BC201" s="72">
        <f>IFERROR((NYM_H59[[#This Row],[H]]+NYM_H59[[#This Row],[BB]])/(NYM_H59[[#This Row],[BB]]+NYM_H59[[#This Row],[AB]]),0)</f>
        <v>0</v>
      </c>
      <c r="BD201" s="73">
        <f>IFERROR(((NYM_H59[[#This Row],[H]]-NYM_H59[[#This Row],[2B]]-NYM_H59[[#This Row],[3B]]-NYM_H59[[#This Row],[HR]])+(NYM_H59[[#This Row],[2B]]*2)+(NYM_H59[[#This Row],[3B]]*3)+(NYM_H59[[#This Row],[HR]]*4))/NYM_H59[[#This Row],[AB]],0)</f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74">
        <v>0</v>
      </c>
      <c r="BO201" s="28">
        <v>0</v>
      </c>
      <c r="BP201" s="28">
        <v>0</v>
      </c>
      <c r="BQ201" s="74">
        <v>0</v>
      </c>
      <c r="BR201" s="28">
        <f>(NYM_H59[[#This Row],[H]]-NYM_H59[[#This Row],[2B]]-NYM_H59[[#This Row],[3B]]-NYM_H59[[#This Row],[HR]])+(NYM_H59[[#This Row],[2B]]*2)+(NYM_H59[[#This Row],[3B]]*3)+(NYM_H59[[#This Row],[HR]]*4)</f>
        <v>0</v>
      </c>
      <c r="BS201" s="72">
        <f>IFERROR(NYM_H59[[#This Row],[OBP]]+NYM_H59[[#This Row],[SLG]],0)</f>
        <v>0</v>
      </c>
      <c r="BT201" s="74">
        <v>0</v>
      </c>
      <c r="BU201" s="780">
        <v>11</v>
      </c>
    </row>
    <row r="202" spans="1:73">
      <c r="A202" s="651" t="s">
        <v>804</v>
      </c>
      <c r="B202" s="71" t="s">
        <v>192</v>
      </c>
      <c r="C202" s="71" t="s">
        <v>819</v>
      </c>
      <c r="D202" s="72">
        <f>IFERROR(NYM_H102[[#This Row],[H]]/NYM_H102[[#This Row],[AB]],0)</f>
        <v>0</v>
      </c>
      <c r="E202" s="72">
        <f>IFERROR((NYM_H102[[#This Row],[H]]+NYM_H102[[#This Row],[BB]])/(NYM_H102[[#This Row],[BB]]+NYM_H102[[#This Row],[AB]]),0)</f>
        <v>0</v>
      </c>
      <c r="F202" s="73">
        <f>IFERROR(((NYM_H102[[#This Row],[H]]-NYM_H102[[#This Row],[2B]]-NYM_H102[[#This Row],[3B]]-NYM_H102[[#This Row],[HR]])+(NYM_H102[[#This Row],[2B]]*2)+(NYM_H102[[#This Row],[3B]]*3)+(NYM_H102[[#This Row],[HR]]*4))/NYM_H102[[#This Row],[AB]],0)</f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74">
        <v>0</v>
      </c>
      <c r="Q202" s="28">
        <v>0</v>
      </c>
      <c r="R202" s="28">
        <v>0</v>
      </c>
      <c r="S202" s="74">
        <v>0</v>
      </c>
      <c r="T202" s="28">
        <f>IFERROR((NYM_H102[[#This Row],[H]]-NYM_H102[[#This Row],[2B]]-NYM_H102[[#This Row],[3B]]-NYM_H102[[#This Row],[HR]])+(NYM_H102[[#This Row],[2B]]*2)+(NYM_H102[[#This Row],[3B]]*3)+(NYM_H102[[#This Row],[HR]]*4),0)</f>
        <v>0</v>
      </c>
      <c r="U202" s="72">
        <f>NYM_H102[[#This Row],[OBP]]+NYM_H102[[#This Row],[SLG]]</f>
        <v>0</v>
      </c>
      <c r="V202" s="74">
        <v>0</v>
      </c>
      <c r="W202" s="615">
        <v>12</v>
      </c>
      <c r="Z202" s="651" t="s">
        <v>804</v>
      </c>
      <c r="AA202" s="71" t="s">
        <v>187</v>
      </c>
      <c r="AB202" s="71" t="s">
        <v>815</v>
      </c>
      <c r="AC202" s="72">
        <f>IFERROR(NYM_H69[[#This Row],[H]]/NYM_H69[[#This Row],[AB]],0)</f>
        <v>0</v>
      </c>
      <c r="AD202" s="72">
        <f>IFERROR((NYM_H69[[#This Row],[H]]+NYM_H69[[#This Row],[BB]])/(NYM_H69[[#This Row],[BB]]+NYM_H69[[#This Row],[AB]]),0)</f>
        <v>0</v>
      </c>
      <c r="AE202" s="73">
        <f>IFERROR(((NYM_H69[[#This Row],[H]]-NYM_H69[[#This Row],[2B]]-NYM_H69[[#This Row],[3B]]-NYM_H69[[#This Row],[HR]])+(NYM_H69[[#This Row],[2B]]*2)+(NYM_H69[[#This Row],[3B]]*3)+(NYM_H69[[#This Row],[HR]]*4))/NYM_H69[[#This Row],[AB]],0)</f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74">
        <v>0</v>
      </c>
      <c r="AP202" s="28">
        <v>0</v>
      </c>
      <c r="AQ202" s="28">
        <v>0</v>
      </c>
      <c r="AR202" s="74">
        <v>0</v>
      </c>
      <c r="AS202" s="28">
        <f>IFERROR((NYM_H69[[#This Row],[H]]-NYM_H69[[#This Row],[2B]]-NYM_H69[[#This Row],[3B]]-NYM_H69[[#This Row],[HR]])+(NYM_H69[[#This Row],[2B]]*2)+(NYM_H69[[#This Row],[3B]]*3)+(NYM_H69[[#This Row],[HR]]*4),0)</f>
        <v>0</v>
      </c>
      <c r="AT202" s="72">
        <f>NYM_H69[[#This Row],[OBP]]+NYM_H69[[#This Row],[SLG]]</f>
        <v>0</v>
      </c>
      <c r="AU202" s="74">
        <v>0</v>
      </c>
      <c r="AV202" s="615">
        <v>12</v>
      </c>
      <c r="AY202" s="651" t="s">
        <v>804</v>
      </c>
      <c r="AZ202" s="74" t="s">
        <v>186</v>
      </c>
      <c r="BA202" s="71" t="s">
        <v>814</v>
      </c>
      <c r="BB202" s="72">
        <f>IFERROR(NYM_H59[[#This Row],[H]]/NYM_H59[[#This Row],[AB]],0)</f>
        <v>0</v>
      </c>
      <c r="BC202" s="72">
        <f>IFERROR((NYM_H59[[#This Row],[H]]+NYM_H59[[#This Row],[BB]])/(NYM_H59[[#This Row],[BB]]+NYM_H59[[#This Row],[AB]]),0)</f>
        <v>0</v>
      </c>
      <c r="BD202" s="73">
        <f>IFERROR(((NYM_H59[[#This Row],[H]]-NYM_H59[[#This Row],[2B]]-NYM_H59[[#This Row],[3B]]-NYM_H59[[#This Row],[HR]])+(NYM_H59[[#This Row],[2B]]*2)+(NYM_H59[[#This Row],[3B]]*3)+(NYM_H59[[#This Row],[HR]]*4))/NYM_H59[[#This Row],[AB]],0)</f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74">
        <v>0</v>
      </c>
      <c r="BO202" s="28">
        <v>0</v>
      </c>
      <c r="BP202" s="28">
        <v>0</v>
      </c>
      <c r="BQ202" s="74">
        <v>0</v>
      </c>
      <c r="BR202" s="28">
        <f>(NYM_H59[[#This Row],[H]]-NYM_H59[[#This Row],[2B]]-NYM_H59[[#This Row],[3B]]-NYM_H59[[#This Row],[HR]])+(NYM_H59[[#This Row],[2B]]*2)+(NYM_H59[[#This Row],[3B]]*3)+(NYM_H59[[#This Row],[HR]]*4)</f>
        <v>0</v>
      </c>
      <c r="BS202" s="72">
        <f>IFERROR(NYM_H59[[#This Row],[OBP]]+NYM_H59[[#This Row],[SLG]],0)</f>
        <v>0</v>
      </c>
      <c r="BT202" s="74">
        <v>0</v>
      </c>
      <c r="BU202" s="780">
        <v>12</v>
      </c>
    </row>
    <row r="203" spans="1:73">
      <c r="A203" s="651" t="s">
        <v>804</v>
      </c>
      <c r="B203" s="71" t="s">
        <v>186</v>
      </c>
      <c r="C203" s="71" t="s">
        <v>812</v>
      </c>
      <c r="D203" s="72">
        <f>IFERROR(NYM_H102[[#This Row],[H]]/NYM_H102[[#This Row],[AB]],0)</f>
        <v>0</v>
      </c>
      <c r="E203" s="72">
        <f>IFERROR((NYM_H102[[#This Row],[H]]+NYM_H102[[#This Row],[BB]])/(NYM_H102[[#This Row],[BB]]+NYM_H102[[#This Row],[AB]]),0)</f>
        <v>0</v>
      </c>
      <c r="F203" s="73">
        <f>IFERROR(((NYM_H102[[#This Row],[H]]-NYM_H102[[#This Row],[2B]]-NYM_H102[[#This Row],[3B]]-NYM_H102[[#This Row],[HR]])+(NYM_H102[[#This Row],[2B]]*2)+(NYM_H102[[#This Row],[3B]]*3)+(NYM_H102[[#This Row],[HR]]*4))/NYM_H102[[#This Row],[AB]],0)</f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74">
        <v>0</v>
      </c>
      <c r="Q203" s="28">
        <v>0</v>
      </c>
      <c r="R203" s="28">
        <v>0</v>
      </c>
      <c r="S203" s="74">
        <v>0</v>
      </c>
      <c r="T203" s="28">
        <f>IFERROR((NYM_H102[[#This Row],[H]]-NYM_H102[[#This Row],[2B]]-NYM_H102[[#This Row],[3B]]-NYM_H102[[#This Row],[HR]])+(NYM_H102[[#This Row],[2B]]*2)+(NYM_H102[[#This Row],[3B]]*3)+(NYM_H102[[#This Row],[HR]]*4),0)</f>
        <v>0</v>
      </c>
      <c r="U203" s="72">
        <f>NYM_H102[[#This Row],[OBP]]+NYM_H102[[#This Row],[SLG]]</f>
        <v>0</v>
      </c>
      <c r="V203" s="74">
        <v>0</v>
      </c>
      <c r="W203" s="615">
        <v>13</v>
      </c>
      <c r="Z203" s="651" t="s">
        <v>804</v>
      </c>
      <c r="AA203" s="71" t="s">
        <v>186</v>
      </c>
      <c r="AB203" s="71" t="s">
        <v>814</v>
      </c>
      <c r="AC203" s="72">
        <f>IFERROR(NYM_H69[[#This Row],[H]]/NYM_H69[[#This Row],[AB]],0)</f>
        <v>0</v>
      </c>
      <c r="AD203" s="72">
        <f>IFERROR((NYM_H69[[#This Row],[H]]+NYM_H69[[#This Row],[BB]])/(NYM_H69[[#This Row],[BB]]+NYM_H69[[#This Row],[AB]]),0)</f>
        <v>0</v>
      </c>
      <c r="AE203" s="73">
        <f>IFERROR(((NYM_H69[[#This Row],[H]]-NYM_H69[[#This Row],[2B]]-NYM_H69[[#This Row],[3B]]-NYM_H69[[#This Row],[HR]])+(NYM_H69[[#This Row],[2B]]*2)+(NYM_H69[[#This Row],[3B]]*3)+(NYM_H69[[#This Row],[HR]]*4))/NYM_H69[[#This Row],[AB]],0)</f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74">
        <v>0</v>
      </c>
      <c r="AP203" s="28">
        <v>0</v>
      </c>
      <c r="AQ203" s="28">
        <v>0</v>
      </c>
      <c r="AR203" s="74">
        <v>0</v>
      </c>
      <c r="AS203" s="28">
        <f>IFERROR((NYM_H69[[#This Row],[H]]-NYM_H69[[#This Row],[2B]]-NYM_H69[[#This Row],[3B]]-NYM_H69[[#This Row],[HR]])+(NYM_H69[[#This Row],[2B]]*2)+(NYM_H69[[#This Row],[3B]]*3)+(NYM_H69[[#This Row],[HR]]*4),0)</f>
        <v>0</v>
      </c>
      <c r="AT203" s="72">
        <f>NYM_H69[[#This Row],[OBP]]+NYM_H69[[#This Row],[SLG]]</f>
        <v>0</v>
      </c>
      <c r="AU203" s="74">
        <v>0</v>
      </c>
      <c r="AV203" s="615">
        <v>13</v>
      </c>
      <c r="AY203" s="651" t="s">
        <v>804</v>
      </c>
      <c r="AZ203" s="74" t="s">
        <v>186</v>
      </c>
      <c r="BA203" s="71" t="s">
        <v>816</v>
      </c>
      <c r="BB203" s="72">
        <f>IFERROR(NYM_H59[[#This Row],[H]]/NYM_H59[[#This Row],[AB]],0)</f>
        <v>0</v>
      </c>
      <c r="BC203" s="72">
        <f>IFERROR((NYM_H59[[#This Row],[H]]+NYM_H59[[#This Row],[BB]])/(NYM_H59[[#This Row],[BB]]+NYM_H59[[#This Row],[AB]]),0)</f>
        <v>0</v>
      </c>
      <c r="BD203" s="73">
        <f>IFERROR(((NYM_H59[[#This Row],[H]]-NYM_H59[[#This Row],[2B]]-NYM_H59[[#This Row],[3B]]-NYM_H59[[#This Row],[HR]])+(NYM_H59[[#This Row],[2B]]*2)+(NYM_H59[[#This Row],[3B]]*3)+(NYM_H59[[#This Row],[HR]]*4))/NYM_H59[[#This Row],[AB]],0)</f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74">
        <v>0</v>
      </c>
      <c r="BO203" s="28">
        <v>0</v>
      </c>
      <c r="BP203" s="28">
        <v>0</v>
      </c>
      <c r="BQ203" s="74">
        <v>0</v>
      </c>
      <c r="BR203" s="28">
        <f>(NYM_H59[[#This Row],[H]]-NYM_H59[[#This Row],[2B]]-NYM_H59[[#This Row],[3B]]-NYM_H59[[#This Row],[HR]])+(NYM_H59[[#This Row],[2B]]*2)+(NYM_H59[[#This Row],[3B]]*3)+(NYM_H59[[#This Row],[HR]]*4)</f>
        <v>0</v>
      </c>
      <c r="BS203" s="72">
        <f>IFERROR(NYM_H59[[#This Row],[OBP]]+NYM_H59[[#This Row],[SLG]],0)</f>
        <v>0</v>
      </c>
      <c r="BT203" s="74">
        <v>0</v>
      </c>
      <c r="BU203" s="780">
        <v>13</v>
      </c>
    </row>
    <row r="204" spans="1:73" ht="17" thickBot="1">
      <c r="A204" s="651" t="s">
        <v>804</v>
      </c>
      <c r="B204" s="71" t="s">
        <v>186</v>
      </c>
      <c r="C204" s="71" t="s">
        <v>816</v>
      </c>
      <c r="D204" s="72">
        <f>IFERROR(NYM_H102[[#This Row],[H]]/NYM_H102[[#This Row],[AB]],0)</f>
        <v>0</v>
      </c>
      <c r="E204" s="72">
        <f>IFERROR((NYM_H102[[#This Row],[H]]+NYM_H102[[#This Row],[BB]])/(NYM_H102[[#This Row],[BB]]+NYM_H102[[#This Row],[AB]]),0)</f>
        <v>0</v>
      </c>
      <c r="F204" s="73">
        <f>IFERROR(((NYM_H102[[#This Row],[H]]-NYM_H102[[#This Row],[2B]]-NYM_H102[[#This Row],[3B]]-NYM_H102[[#This Row],[HR]])+(NYM_H102[[#This Row],[2B]]*2)+(NYM_H102[[#This Row],[3B]]*3)+(NYM_H102[[#This Row],[HR]]*4))/NYM_H102[[#This Row],[AB]],0)</f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74">
        <v>0</v>
      </c>
      <c r="Q204" s="28">
        <v>0</v>
      </c>
      <c r="R204" s="28">
        <v>0</v>
      </c>
      <c r="S204" s="74">
        <v>0</v>
      </c>
      <c r="T204" s="28">
        <f>IFERROR((NYM_H102[[#This Row],[H]]-NYM_H102[[#This Row],[2B]]-NYM_H102[[#This Row],[3B]]-NYM_H102[[#This Row],[HR]])+(NYM_H102[[#This Row],[2B]]*2)+(NYM_H102[[#This Row],[3B]]*3)+(NYM_H102[[#This Row],[HR]]*4),0)</f>
        <v>0</v>
      </c>
      <c r="U204" s="72">
        <f>NYM_H102[[#This Row],[OBP]]+NYM_H102[[#This Row],[SLG]]</f>
        <v>0</v>
      </c>
      <c r="V204" s="74">
        <v>0</v>
      </c>
      <c r="W204" s="615">
        <v>14</v>
      </c>
      <c r="Z204" s="651" t="s">
        <v>804</v>
      </c>
      <c r="AA204" s="71" t="s">
        <v>186</v>
      </c>
      <c r="AB204" s="71" t="s">
        <v>816</v>
      </c>
      <c r="AC204" s="72">
        <f>IFERROR(NYM_H69[[#This Row],[H]]/NYM_H69[[#This Row],[AB]],0)</f>
        <v>0</v>
      </c>
      <c r="AD204" s="72">
        <f>IFERROR((NYM_H69[[#This Row],[H]]+NYM_H69[[#This Row],[BB]])/(NYM_H69[[#This Row],[BB]]+NYM_H69[[#This Row],[AB]]),0)</f>
        <v>0</v>
      </c>
      <c r="AE204" s="73">
        <f>IFERROR(((NYM_H69[[#This Row],[H]]-NYM_H69[[#This Row],[2B]]-NYM_H69[[#This Row],[3B]]-NYM_H69[[#This Row],[HR]])+(NYM_H69[[#This Row],[2B]]*2)+(NYM_H69[[#This Row],[3B]]*3)+(NYM_H69[[#This Row],[HR]]*4))/NYM_H69[[#This Row],[AB]],0)</f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74">
        <v>0</v>
      </c>
      <c r="AP204" s="28">
        <v>0</v>
      </c>
      <c r="AQ204" s="28">
        <v>0</v>
      </c>
      <c r="AR204" s="74">
        <v>0</v>
      </c>
      <c r="AS204" s="28">
        <f>IFERROR((NYM_H69[[#This Row],[H]]-NYM_H69[[#This Row],[2B]]-NYM_H69[[#This Row],[3B]]-NYM_H69[[#This Row],[HR]])+(NYM_H69[[#This Row],[2B]]*2)+(NYM_H69[[#This Row],[3B]]*3)+(NYM_H69[[#This Row],[HR]]*4),0)</f>
        <v>0</v>
      </c>
      <c r="AT204" s="72">
        <f>NYM_H69[[#This Row],[OBP]]+NYM_H69[[#This Row],[SLG]]</f>
        <v>0</v>
      </c>
      <c r="AU204" s="74">
        <v>0</v>
      </c>
      <c r="AV204" s="615">
        <v>14</v>
      </c>
      <c r="AY204" s="651" t="s">
        <v>804</v>
      </c>
      <c r="AZ204" s="71" t="s">
        <v>308</v>
      </c>
      <c r="BA204" s="71" t="s">
        <v>818</v>
      </c>
      <c r="BB204" s="72">
        <f>IFERROR(NYM_H59[[#This Row],[H]]/NYM_H59[[#This Row],[AB]],0)</f>
        <v>0</v>
      </c>
      <c r="BC204" s="72">
        <f>IFERROR((NYM_H59[[#This Row],[H]]+NYM_H59[[#This Row],[BB]])/(NYM_H59[[#This Row],[BB]]+NYM_H59[[#This Row],[AB]]),0)</f>
        <v>0</v>
      </c>
      <c r="BD204" s="73">
        <f>IFERROR(((NYM_H59[[#This Row],[H]]-NYM_H59[[#This Row],[2B]]-NYM_H59[[#This Row],[3B]]-NYM_H59[[#This Row],[HR]])+(NYM_H59[[#This Row],[2B]]*2)+(NYM_H59[[#This Row],[3B]]*3)+(NYM_H59[[#This Row],[HR]]*4))/NYM_H59[[#This Row],[AB]],0)</f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74">
        <v>0</v>
      </c>
      <c r="BO204" s="28">
        <v>0</v>
      </c>
      <c r="BP204" s="28">
        <v>0</v>
      </c>
      <c r="BQ204" s="74">
        <v>0</v>
      </c>
      <c r="BR204" s="28">
        <f>(NYM_H59[[#This Row],[H]]-NYM_H59[[#This Row],[2B]]-NYM_H59[[#This Row],[3B]]-NYM_H59[[#This Row],[HR]])+(NYM_H59[[#This Row],[2B]]*2)+(NYM_H59[[#This Row],[3B]]*3)+(NYM_H59[[#This Row],[HR]]*4)</f>
        <v>0</v>
      </c>
      <c r="BS204" s="72">
        <f>IFERROR(NYM_H59[[#This Row],[OBP]]+NYM_H59[[#This Row],[SLG]],0)</f>
        <v>0</v>
      </c>
      <c r="BT204" s="74">
        <v>0</v>
      </c>
      <c r="BU204" s="780">
        <v>14</v>
      </c>
    </row>
    <row r="205" spans="1:73" ht="17" thickBot="1">
      <c r="A205" s="652"/>
      <c r="B205" s="653"/>
      <c r="C205" s="654" t="s">
        <v>195</v>
      </c>
      <c r="D205" s="656">
        <f>J205/H205</f>
        <v>0.22302158273381295</v>
      </c>
      <c r="E205" s="656">
        <f>(J205+O205)/H205</f>
        <v>0.38129496402877699</v>
      </c>
      <c r="F205" s="657">
        <f>((J205-K205-L205-M205)+(K205*2)+(L205*3)+(M205*4))/H205</f>
        <v>0.37410071942446044</v>
      </c>
      <c r="G205" s="658"/>
      <c r="H205" s="658">
        <f>SUBTOTAL(109,NYM_H102[AB])</f>
        <v>139</v>
      </c>
      <c r="I205" s="658">
        <f>SUBTOTAL(109,NYM_H102[R])</f>
        <v>13</v>
      </c>
      <c r="J205" s="658">
        <f>SUBTOTAL(109,NYM_H102[H])</f>
        <v>31</v>
      </c>
      <c r="K205" s="658">
        <f>SUBTOTAL(109,NYM_H102[2B])</f>
        <v>3</v>
      </c>
      <c r="L205" s="658">
        <f>SUBTOTAL(109,NYM_H102[3B])</f>
        <v>0</v>
      </c>
      <c r="M205" s="658">
        <f>SUBTOTAL(109,NYM_H102[HR])</f>
        <v>6</v>
      </c>
      <c r="N205" s="658">
        <f>SUBTOTAL(109,NYM_H102[RBI])</f>
        <v>13</v>
      </c>
      <c r="O205" s="658">
        <f>SUBTOTAL(109,NYM_H102[BB])</f>
        <v>22</v>
      </c>
      <c r="P205" s="660">
        <f>SUBTOTAL(109,NYM_H102[K])</f>
        <v>51</v>
      </c>
      <c r="Q205" s="658">
        <f>SUBTOTAL(109,NYM_H102[SB])</f>
        <v>0</v>
      </c>
      <c r="R205" s="658"/>
      <c r="S205" s="660"/>
      <c r="T205" s="658">
        <f>SUBTOTAL(109,NYM_H102[TB])</f>
        <v>52</v>
      </c>
      <c r="U205" s="656">
        <f>E205+F205</f>
        <v>0.75539568345323738</v>
      </c>
      <c r="V205" s="660">
        <f>SUBTOTAL(109,NYM_H102[*])</f>
        <v>1</v>
      </c>
      <c r="W205" s="662"/>
      <c r="Z205" s="652"/>
      <c r="AA205" s="653"/>
      <c r="AB205" s="654" t="s">
        <v>195</v>
      </c>
      <c r="AC205" s="656">
        <f>AI205/AG205</f>
        <v>0.20560747663551401</v>
      </c>
      <c r="AD205" s="656">
        <f>(AI205+AN205)/AG205</f>
        <v>0.28971962616822428</v>
      </c>
      <c r="AE205" s="657">
        <f>((AI205-AJ205-AK205-AL205)+(AJ205*2)+(AK205*3)+(AL205*4))/AG205</f>
        <v>0.37383177570093457</v>
      </c>
      <c r="AF205" s="658"/>
      <c r="AG205" s="658">
        <f>SUBTOTAL(109,NYM_H69[AB])</f>
        <v>107</v>
      </c>
      <c r="AH205" s="658">
        <f>SUBTOTAL(109,NYM_H69[R])</f>
        <v>9</v>
      </c>
      <c r="AI205" s="658">
        <f>SUBTOTAL(109,NYM_H69[H])</f>
        <v>22</v>
      </c>
      <c r="AJ205" s="658">
        <f>SUBTOTAL(109,NYM_H69[2B])</f>
        <v>6</v>
      </c>
      <c r="AK205" s="658">
        <f>SUBTOTAL(109,NYM_H69[3B])</f>
        <v>0</v>
      </c>
      <c r="AL205" s="658">
        <f>SUBTOTAL(109,NYM_H69[HR])</f>
        <v>4</v>
      </c>
      <c r="AM205" s="658">
        <f>SUBTOTAL(109,NYM_H69[RBI])</f>
        <v>9</v>
      </c>
      <c r="AN205" s="658">
        <f>SUBTOTAL(109,NYM_H69[BB])</f>
        <v>9</v>
      </c>
      <c r="AO205" s="660">
        <f>SUBTOTAL(109,NYM_H69[K])</f>
        <v>27</v>
      </c>
      <c r="AP205" s="658">
        <f>SUBTOTAL(109,NYM_H69[SB])</f>
        <v>0</v>
      </c>
      <c r="AQ205" s="658"/>
      <c r="AR205" s="660"/>
      <c r="AS205" s="658">
        <f>SUBTOTAL(109,NYM_H69[TB])</f>
        <v>40</v>
      </c>
      <c r="AT205" s="656">
        <f>AD205+AE205</f>
        <v>0.66355140186915884</v>
      </c>
      <c r="AU205" s="660">
        <f>SUBTOTAL(109,NYM_H69[*])</f>
        <v>1</v>
      </c>
      <c r="AV205" s="662"/>
      <c r="AY205" s="652"/>
      <c r="AZ205" s="653"/>
      <c r="BA205" s="654" t="s">
        <v>195</v>
      </c>
      <c r="BB205" s="656">
        <f>IFERROR(BH205/BF205,0)</f>
        <v>0.26666666666666666</v>
      </c>
      <c r="BC205" s="656">
        <f>IFERROR((BH205+BM205)/(BM205+BF205),0)</f>
        <v>0.33620689655172414</v>
      </c>
      <c r="BD205" s="657">
        <f>IFERROR(((BH205-BI205-BJ205-BK205)+(BI205*2)+(BJ205*3)+(BK205*4))/BF205,0)</f>
        <v>0.44761904761904764</v>
      </c>
      <c r="BE205" s="658"/>
      <c r="BF205" s="658">
        <f>SUBTOTAL(109,NYM_H59[AB])</f>
        <v>105</v>
      </c>
      <c r="BG205" s="658">
        <f>SUBTOTAL(109,NYM_H59[R])</f>
        <v>15</v>
      </c>
      <c r="BH205" s="658">
        <f>SUBTOTAL(109,NYM_H59[H])</f>
        <v>28</v>
      </c>
      <c r="BI205" s="658">
        <f>SUBTOTAL(109,NYM_H59[2B])</f>
        <v>7</v>
      </c>
      <c r="BJ205" s="658">
        <f>SUBTOTAL(109,NYM_H59[3B])</f>
        <v>0</v>
      </c>
      <c r="BK205" s="658">
        <f>SUBTOTAL(109,NYM_H59[HR])</f>
        <v>4</v>
      </c>
      <c r="BL205" s="658">
        <f>SUBTOTAL(109,NYM_H59[RBI])</f>
        <v>15</v>
      </c>
      <c r="BM205" s="658">
        <f>SUBTOTAL(109,NYM_H59[BB])</f>
        <v>11</v>
      </c>
      <c r="BN205" s="660">
        <f>SUBTOTAL(109,NYM_H59[K])</f>
        <v>33</v>
      </c>
      <c r="BO205" s="658">
        <f>SUBTOTAL(109,NYM_H59[SB])</f>
        <v>0</v>
      </c>
      <c r="BP205" s="658"/>
      <c r="BQ205" s="660"/>
      <c r="BR205" s="658">
        <f>SUBTOTAL(109,NYM_H59[TB])</f>
        <v>47</v>
      </c>
      <c r="BS205" s="656">
        <f>BC205+BD205</f>
        <v>0.78382594417077178</v>
      </c>
      <c r="BT205" s="660">
        <f>SUBTOTAL(109,NYM_H59[*])</f>
        <v>1</v>
      </c>
      <c r="BU205" s="662"/>
    </row>
    <row r="206" spans="1:73" ht="17" thickBot="1"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73" s="64" customFormat="1" ht="17" thickBot="1">
      <c r="A207" s="605" t="s">
        <v>143</v>
      </c>
      <c r="B207" s="606" t="s">
        <v>144</v>
      </c>
      <c r="C207" s="606" t="s">
        <v>145</v>
      </c>
      <c r="D207" s="606" t="s">
        <v>196</v>
      </c>
      <c r="E207" s="606" t="s">
        <v>197</v>
      </c>
      <c r="F207" s="606" t="s">
        <v>198</v>
      </c>
      <c r="G207" s="606" t="s">
        <v>149</v>
      </c>
      <c r="H207" s="606" t="s">
        <v>199</v>
      </c>
      <c r="I207" s="606" t="s">
        <v>152</v>
      </c>
      <c r="J207" s="606" t="s">
        <v>151</v>
      </c>
      <c r="K207" s="606" t="s">
        <v>157</v>
      </c>
      <c r="L207" s="606" t="s">
        <v>158</v>
      </c>
      <c r="M207" s="606" t="s">
        <v>200</v>
      </c>
      <c r="N207" s="606" t="s">
        <v>201</v>
      </c>
      <c r="O207" s="606" t="s">
        <v>202</v>
      </c>
      <c r="P207" s="606" t="s">
        <v>203</v>
      </c>
      <c r="Q207" s="606" t="s">
        <v>204</v>
      </c>
      <c r="R207" s="606" t="s">
        <v>205</v>
      </c>
      <c r="S207" s="607" t="s">
        <v>164</v>
      </c>
      <c r="Z207" s="605" t="s">
        <v>143</v>
      </c>
      <c r="AA207" s="606" t="s">
        <v>144</v>
      </c>
      <c r="AB207" s="606" t="s">
        <v>145</v>
      </c>
      <c r="AC207" s="606" t="s">
        <v>196</v>
      </c>
      <c r="AD207" s="606" t="s">
        <v>197</v>
      </c>
      <c r="AE207" s="606" t="s">
        <v>198</v>
      </c>
      <c r="AF207" s="606" t="s">
        <v>149</v>
      </c>
      <c r="AG207" s="606" t="s">
        <v>199</v>
      </c>
      <c r="AH207" s="606" t="s">
        <v>152</v>
      </c>
      <c r="AI207" s="606" t="s">
        <v>151</v>
      </c>
      <c r="AJ207" s="606" t="s">
        <v>157</v>
      </c>
      <c r="AK207" s="606" t="s">
        <v>158</v>
      </c>
      <c r="AL207" s="606" t="s">
        <v>200</v>
      </c>
      <c r="AM207" s="606" t="s">
        <v>201</v>
      </c>
      <c r="AN207" s="606" t="s">
        <v>202</v>
      </c>
      <c r="AO207" s="606" t="s">
        <v>203</v>
      </c>
      <c r="AP207" s="606" t="s">
        <v>204</v>
      </c>
      <c r="AQ207" s="606" t="s">
        <v>205</v>
      </c>
      <c r="AR207" s="607" t="s">
        <v>164</v>
      </c>
      <c r="AS207"/>
      <c r="AT207"/>
      <c r="AU207"/>
      <c r="AV207"/>
      <c r="AY207" s="605" t="s">
        <v>143</v>
      </c>
      <c r="AZ207" s="606" t="s">
        <v>144</v>
      </c>
      <c r="BA207" s="606" t="s">
        <v>145</v>
      </c>
      <c r="BB207" s="606" t="s">
        <v>196</v>
      </c>
      <c r="BC207" s="606" t="s">
        <v>197</v>
      </c>
      <c r="BD207" s="606" t="s">
        <v>198</v>
      </c>
      <c r="BE207" s="606" t="s">
        <v>149</v>
      </c>
      <c r="BF207" s="606" t="s">
        <v>199</v>
      </c>
      <c r="BG207" s="606" t="s">
        <v>152</v>
      </c>
      <c r="BH207" s="606" t="s">
        <v>151</v>
      </c>
      <c r="BI207" s="606" t="s">
        <v>157</v>
      </c>
      <c r="BJ207" s="606" t="s">
        <v>158</v>
      </c>
      <c r="BK207" s="606" t="s">
        <v>200</v>
      </c>
      <c r="BL207" s="606" t="s">
        <v>201</v>
      </c>
      <c r="BM207" s="606" t="s">
        <v>202</v>
      </c>
      <c r="BN207" s="606" t="s">
        <v>203</v>
      </c>
      <c r="BO207" s="606" t="s">
        <v>204</v>
      </c>
      <c r="BP207" s="606" t="s">
        <v>205</v>
      </c>
      <c r="BQ207" s="607" t="s">
        <v>164</v>
      </c>
    </row>
    <row r="208" spans="1:73">
      <c r="A208" s="650" t="s">
        <v>804</v>
      </c>
      <c r="B208" s="604" t="s">
        <v>206</v>
      </c>
      <c r="C208" s="597" t="s">
        <v>820</v>
      </c>
      <c r="D208" s="663">
        <f>IFERROR((NYM_P264[[#This Row],[R]]*9)/NYM_P264[[#This Row],[IP]],0)</f>
        <v>2.5714285714285716</v>
      </c>
      <c r="E208" s="600">
        <v>1</v>
      </c>
      <c r="F208" s="604">
        <v>1</v>
      </c>
      <c r="G208" s="600">
        <v>2</v>
      </c>
      <c r="H208" s="630">
        <v>14</v>
      </c>
      <c r="I208" s="600">
        <v>11</v>
      </c>
      <c r="J208" s="600">
        <v>4</v>
      </c>
      <c r="K208" s="600">
        <v>3</v>
      </c>
      <c r="L208" s="600">
        <v>16</v>
      </c>
      <c r="M208" s="600">
        <v>0</v>
      </c>
      <c r="N208" s="631">
        <f>IFERROR((NYM_P264[[#This Row],[BB]]+NYM_P264[[#This Row],[H]])/NYM_P264[[#This Row],[IP]],0)</f>
        <v>1</v>
      </c>
      <c r="O208" s="600">
        <v>2</v>
      </c>
      <c r="P208" s="601">
        <v>1</v>
      </c>
      <c r="Q208" s="600">
        <v>0</v>
      </c>
      <c r="R208" s="604">
        <v>0</v>
      </c>
      <c r="S208" s="614">
        <v>1</v>
      </c>
      <c r="Z208" s="650" t="s">
        <v>804</v>
      </c>
      <c r="AA208" s="604" t="s">
        <v>206</v>
      </c>
      <c r="AB208" s="597" t="s">
        <v>820</v>
      </c>
      <c r="AC208" s="663">
        <f>IFERROR((NYM_P70[[#This Row],[R]]*9)/NYM_P70[[#This Row],[IP]],0)</f>
        <v>1.125</v>
      </c>
      <c r="AD208" s="600">
        <v>1</v>
      </c>
      <c r="AE208" s="604">
        <v>0</v>
      </c>
      <c r="AF208" s="600">
        <v>1</v>
      </c>
      <c r="AG208" s="630">
        <v>8</v>
      </c>
      <c r="AH208" s="600">
        <v>3</v>
      </c>
      <c r="AI208" s="600">
        <v>1</v>
      </c>
      <c r="AJ208" s="600">
        <v>2</v>
      </c>
      <c r="AK208" s="600">
        <v>8</v>
      </c>
      <c r="AL208" s="600">
        <v>0</v>
      </c>
      <c r="AM208" s="631">
        <f>IFERROR((NYM_P70[[#This Row],[BB]]+NYM_P70[[#This Row],[H]])/NYM_P70[[#This Row],[IP]],0)</f>
        <v>0.625</v>
      </c>
      <c r="AN208" s="600">
        <v>1</v>
      </c>
      <c r="AO208" s="601">
        <v>1</v>
      </c>
      <c r="AP208" s="600">
        <v>0</v>
      </c>
      <c r="AQ208" s="604">
        <v>0</v>
      </c>
      <c r="AR208" s="614">
        <v>1</v>
      </c>
      <c r="AS208"/>
      <c r="AT208"/>
      <c r="AU208"/>
      <c r="AV208"/>
      <c r="AY208" s="650" t="s">
        <v>804</v>
      </c>
      <c r="AZ208" s="604" t="s">
        <v>206</v>
      </c>
      <c r="BA208" s="597" t="s">
        <v>820</v>
      </c>
      <c r="BB208" s="663">
        <f>IFERROR((NYM_P60[[#This Row],[R]]*9)/NYM_P60[[#This Row],[IP]],0)</f>
        <v>10.8</v>
      </c>
      <c r="BC208" s="600">
        <v>0</v>
      </c>
      <c r="BD208" s="604">
        <v>1</v>
      </c>
      <c r="BE208" s="600">
        <v>1</v>
      </c>
      <c r="BF208" s="630">
        <v>5</v>
      </c>
      <c r="BG208" s="600">
        <v>9</v>
      </c>
      <c r="BH208" s="600">
        <v>6</v>
      </c>
      <c r="BI208" s="600">
        <v>3</v>
      </c>
      <c r="BJ208" s="600">
        <v>6</v>
      </c>
      <c r="BK208" s="600">
        <v>0</v>
      </c>
      <c r="BL208" s="631">
        <f>IFERROR((NYM_P60[[#This Row],[BB]]+NYM_P60[[#This Row],[H]])/NYM_P60[[#This Row],[IP]],0)</f>
        <v>2.4</v>
      </c>
      <c r="BM208" s="600">
        <v>0</v>
      </c>
      <c r="BN208" s="601">
        <v>0</v>
      </c>
      <c r="BO208" s="600">
        <v>0</v>
      </c>
      <c r="BP208" s="604">
        <v>0</v>
      </c>
      <c r="BQ208" s="614">
        <v>1</v>
      </c>
    </row>
    <row r="209" spans="1:73">
      <c r="A209" s="651" t="s">
        <v>804</v>
      </c>
      <c r="B209" s="74" t="s">
        <v>206</v>
      </c>
      <c r="C209" s="116" t="s">
        <v>821</v>
      </c>
      <c r="D209" s="88">
        <f>IFERROR((NYM_P264[[#This Row],[R]]*9)/NYM_P264[[#This Row],[IP]],0)</f>
        <v>6.4285714285714288</v>
      </c>
      <c r="E209" s="28">
        <v>0</v>
      </c>
      <c r="F209" s="74">
        <v>0</v>
      </c>
      <c r="G209" s="28">
        <v>1</v>
      </c>
      <c r="H209" s="584">
        <v>7</v>
      </c>
      <c r="I209" s="28">
        <v>7</v>
      </c>
      <c r="J209" s="28">
        <v>5</v>
      </c>
      <c r="K209" s="28">
        <v>3</v>
      </c>
      <c r="L209" s="28">
        <v>9</v>
      </c>
      <c r="M209" s="28">
        <v>0</v>
      </c>
      <c r="N209" s="89">
        <f>IFERROR((NYM_P264[[#This Row],[BB]]+NYM_P264[[#This Row],[H]])/NYM_P264[[#This Row],[IP]],0)</f>
        <v>1.4285714285714286</v>
      </c>
      <c r="O209" s="28">
        <v>0</v>
      </c>
      <c r="P209" s="90">
        <v>0</v>
      </c>
      <c r="Q209" s="28">
        <v>0</v>
      </c>
      <c r="R209" s="74">
        <v>0</v>
      </c>
      <c r="S209" s="615">
        <v>2</v>
      </c>
      <c r="Z209" s="651" t="s">
        <v>804</v>
      </c>
      <c r="AA209" s="74" t="s">
        <v>206</v>
      </c>
      <c r="AB209" s="71" t="s">
        <v>822</v>
      </c>
      <c r="AC209" s="88">
        <f>IFERROR((NYM_P70[[#This Row],[R]]*9)/NYM_P70[[#This Row],[IP]],0)</f>
        <v>36</v>
      </c>
      <c r="AD209" s="28">
        <v>0</v>
      </c>
      <c r="AE209" s="74">
        <v>1</v>
      </c>
      <c r="AF209" s="28">
        <v>1</v>
      </c>
      <c r="AG209" s="584">
        <v>2</v>
      </c>
      <c r="AH209" s="28">
        <v>9</v>
      </c>
      <c r="AI209" s="28">
        <v>8</v>
      </c>
      <c r="AJ209" s="28">
        <v>1</v>
      </c>
      <c r="AK209" s="28">
        <v>3</v>
      </c>
      <c r="AL209" s="28">
        <v>0</v>
      </c>
      <c r="AM209" s="89">
        <f>IFERROR((NYM_P70[[#This Row],[BB]]+NYM_P70[[#This Row],[H]])/NYM_P70[[#This Row],[IP]],0)</f>
        <v>5</v>
      </c>
      <c r="AN209" s="28">
        <v>0</v>
      </c>
      <c r="AO209" s="90">
        <v>0</v>
      </c>
      <c r="AP209" s="28">
        <v>0</v>
      </c>
      <c r="AQ209" s="74">
        <v>0</v>
      </c>
      <c r="AR209" s="615">
        <v>2</v>
      </c>
      <c r="AS209"/>
      <c r="AT209"/>
      <c r="AU209"/>
      <c r="AV209"/>
      <c r="AY209" s="651" t="s">
        <v>804</v>
      </c>
      <c r="AZ209" s="74" t="s">
        <v>206</v>
      </c>
      <c r="BA209" s="71" t="s">
        <v>822</v>
      </c>
      <c r="BB209" s="88">
        <f>IFERROR((NYM_P60[[#This Row],[R]]*9)/NYM_P60[[#This Row],[IP]],0)</f>
        <v>3.375</v>
      </c>
      <c r="BC209" s="28">
        <v>1</v>
      </c>
      <c r="BD209" s="74">
        <v>0</v>
      </c>
      <c r="BE209" s="28">
        <v>1</v>
      </c>
      <c r="BF209" s="584">
        <v>8</v>
      </c>
      <c r="BG209" s="28">
        <v>6</v>
      </c>
      <c r="BH209" s="28">
        <v>3</v>
      </c>
      <c r="BI209" s="28">
        <v>2</v>
      </c>
      <c r="BJ209" s="28">
        <v>5</v>
      </c>
      <c r="BK209" s="28">
        <v>0</v>
      </c>
      <c r="BL209" s="89">
        <f>IFERROR((NYM_P60[[#This Row],[BB]]+NYM_P60[[#This Row],[H]])/NYM_P60[[#This Row],[IP]],0)</f>
        <v>1</v>
      </c>
      <c r="BM209" s="28">
        <v>1</v>
      </c>
      <c r="BN209" s="90">
        <v>0</v>
      </c>
      <c r="BO209" s="28">
        <v>0</v>
      </c>
      <c r="BP209" s="74">
        <v>0</v>
      </c>
      <c r="BQ209" s="615">
        <v>2</v>
      </c>
    </row>
    <row r="210" spans="1:73">
      <c r="A210" s="651" t="s">
        <v>804</v>
      </c>
      <c r="B210" s="74" t="s">
        <v>206</v>
      </c>
      <c r="C210" s="71" t="s">
        <v>822</v>
      </c>
      <c r="D210" s="88">
        <f>IFERROR((NYM_P264[[#This Row],[R]]*9)/NYM_P264[[#This Row],[IP]],0)</f>
        <v>2.5714285714285716</v>
      </c>
      <c r="E210" s="28">
        <v>0</v>
      </c>
      <c r="F210" s="74">
        <v>1</v>
      </c>
      <c r="G210" s="28">
        <v>1</v>
      </c>
      <c r="H210" s="584">
        <v>7</v>
      </c>
      <c r="I210" s="28">
        <v>6</v>
      </c>
      <c r="J210" s="28">
        <v>2</v>
      </c>
      <c r="K210" s="28">
        <v>0</v>
      </c>
      <c r="L210" s="28">
        <v>8</v>
      </c>
      <c r="M210" s="28">
        <v>0</v>
      </c>
      <c r="N210" s="89">
        <f>IFERROR((NYM_P264[[#This Row],[BB]]+NYM_P264[[#This Row],[H]])/NYM_P264[[#This Row],[IP]],0)</f>
        <v>0.8571428571428571</v>
      </c>
      <c r="O210" s="28">
        <v>1</v>
      </c>
      <c r="P210" s="90">
        <v>1</v>
      </c>
      <c r="Q210" s="28">
        <v>0</v>
      </c>
      <c r="R210" s="74">
        <v>0</v>
      </c>
      <c r="S210" s="615">
        <v>3</v>
      </c>
      <c r="Z210" s="651" t="s">
        <v>804</v>
      </c>
      <c r="AA210" s="74" t="s">
        <v>365</v>
      </c>
      <c r="AB210" s="116" t="s">
        <v>823</v>
      </c>
      <c r="AC210" s="88">
        <f>IFERROR((NYM_P70[[#This Row],[R]]*9)/NYM_P70[[#This Row],[IP]],0)</f>
        <v>0</v>
      </c>
      <c r="AD210" s="28">
        <v>0</v>
      </c>
      <c r="AE210" s="74">
        <v>0</v>
      </c>
      <c r="AF210" s="28">
        <v>1</v>
      </c>
      <c r="AG210" s="584">
        <v>7</v>
      </c>
      <c r="AH210" s="28">
        <v>5</v>
      </c>
      <c r="AI210" s="28">
        <v>0</v>
      </c>
      <c r="AJ210" s="28">
        <v>2</v>
      </c>
      <c r="AK210" s="28">
        <v>11</v>
      </c>
      <c r="AL210" s="28">
        <v>0</v>
      </c>
      <c r="AM210" s="89">
        <f>IFERROR((NYM_P70[[#This Row],[BB]]+NYM_P70[[#This Row],[H]])/NYM_P70[[#This Row],[IP]],0)</f>
        <v>1</v>
      </c>
      <c r="AN210" s="28">
        <v>1</v>
      </c>
      <c r="AO210" s="90">
        <v>1</v>
      </c>
      <c r="AP210" s="28">
        <v>0</v>
      </c>
      <c r="AQ210" s="74">
        <v>0</v>
      </c>
      <c r="AR210" s="615">
        <v>3</v>
      </c>
      <c r="AS210"/>
      <c r="AT210"/>
      <c r="AU210"/>
      <c r="AV210"/>
      <c r="AY210" s="651" t="s">
        <v>804</v>
      </c>
      <c r="AZ210" s="74" t="s">
        <v>206</v>
      </c>
      <c r="BA210" s="71" t="s">
        <v>824</v>
      </c>
      <c r="BB210" s="88">
        <f>IFERROR((NYM_P60[[#This Row],[R]]*9)/NYM_P60[[#This Row],[IP]],0)</f>
        <v>10.8</v>
      </c>
      <c r="BC210" s="28">
        <v>0</v>
      </c>
      <c r="BD210" s="74">
        <v>0</v>
      </c>
      <c r="BE210" s="28">
        <v>1</v>
      </c>
      <c r="BF210" s="584">
        <v>5</v>
      </c>
      <c r="BG210" s="28">
        <v>6</v>
      </c>
      <c r="BH210" s="28">
        <v>6</v>
      </c>
      <c r="BI210" s="28">
        <v>3</v>
      </c>
      <c r="BJ210" s="28">
        <v>5</v>
      </c>
      <c r="BK210" s="28">
        <v>0</v>
      </c>
      <c r="BL210" s="89">
        <f>IFERROR((NYM_P60[[#This Row],[BB]]+NYM_P60[[#This Row],[H]])/NYM_P60[[#This Row],[IP]],0)</f>
        <v>1.8</v>
      </c>
      <c r="BM210" s="28">
        <v>0</v>
      </c>
      <c r="BN210" s="90">
        <v>0</v>
      </c>
      <c r="BO210" s="28">
        <v>0</v>
      </c>
      <c r="BP210" s="74">
        <v>0</v>
      </c>
      <c r="BQ210" s="615">
        <v>3</v>
      </c>
    </row>
    <row r="211" spans="1:73">
      <c r="A211" s="651" t="s">
        <v>804</v>
      </c>
      <c r="B211" s="74" t="s">
        <v>206</v>
      </c>
      <c r="C211" s="116" t="s">
        <v>823</v>
      </c>
      <c r="D211" s="88">
        <f>IFERROR((NYM_P264[[#This Row],[R]]*9)/NYM_P264[[#This Row],[IP]],0)</f>
        <v>9</v>
      </c>
      <c r="E211" s="28">
        <v>0</v>
      </c>
      <c r="F211" s="74">
        <v>1</v>
      </c>
      <c r="G211" s="28">
        <v>1</v>
      </c>
      <c r="H211" s="584">
        <v>1</v>
      </c>
      <c r="I211" s="28">
        <v>2</v>
      </c>
      <c r="J211" s="28">
        <v>1</v>
      </c>
      <c r="K211" s="28">
        <v>0</v>
      </c>
      <c r="L211" s="28">
        <v>2</v>
      </c>
      <c r="M211" s="28">
        <v>0</v>
      </c>
      <c r="N211" s="89">
        <f>IFERROR((NYM_P264[[#This Row],[BB]]+NYM_P264[[#This Row],[H]])/NYM_P264[[#This Row],[IP]],0)</f>
        <v>2</v>
      </c>
      <c r="O211" s="28">
        <v>0</v>
      </c>
      <c r="P211" s="90">
        <v>0</v>
      </c>
      <c r="Q211" s="28">
        <v>0</v>
      </c>
      <c r="R211" s="74">
        <v>0</v>
      </c>
      <c r="S211" s="615">
        <v>4</v>
      </c>
      <c r="Z211" s="651" t="s">
        <v>804</v>
      </c>
      <c r="AA211" s="74" t="s">
        <v>206</v>
      </c>
      <c r="AB211" s="116" t="s">
        <v>825</v>
      </c>
      <c r="AC211" s="88">
        <f>IFERROR((NYM_P70[[#This Row],[R]]*9)/NYM_P70[[#This Row],[IP]],0)</f>
        <v>0</v>
      </c>
      <c r="AD211" s="28">
        <v>0</v>
      </c>
      <c r="AE211" s="74">
        <v>0</v>
      </c>
      <c r="AF211" s="28">
        <v>0</v>
      </c>
      <c r="AG211" s="584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89">
        <f>IFERROR((NYM_P70[[#This Row],[BB]]+NYM_P70[[#This Row],[H]])/NYM_P70[[#This Row],[IP]],0)</f>
        <v>0</v>
      </c>
      <c r="AN211" s="28">
        <v>0</v>
      </c>
      <c r="AO211" s="90">
        <v>0</v>
      </c>
      <c r="AP211" s="28">
        <v>0</v>
      </c>
      <c r="AQ211" s="74">
        <v>0</v>
      </c>
      <c r="AR211" s="615">
        <v>4</v>
      </c>
      <c r="AS211"/>
      <c r="AT211"/>
      <c r="AU211"/>
      <c r="AV211"/>
      <c r="AY211" s="651" t="s">
        <v>804</v>
      </c>
      <c r="AZ211" s="74" t="s">
        <v>206</v>
      </c>
      <c r="BA211" s="71" t="s">
        <v>825</v>
      </c>
      <c r="BB211" s="88">
        <f>IFERROR((NYM_P60[[#This Row],[R]]*9)/NYM_P60[[#This Row],[IP]],0)</f>
        <v>0</v>
      </c>
      <c r="BC211" s="28">
        <v>0</v>
      </c>
      <c r="BD211" s="74">
        <v>0</v>
      </c>
      <c r="BE211" s="28">
        <v>0</v>
      </c>
      <c r="BF211" s="584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89">
        <f>IFERROR((NYM_P60[[#This Row],[BB]]+NYM_P60[[#This Row],[H]])/NYM_P60[[#This Row],[IP]],0)</f>
        <v>0</v>
      </c>
      <c r="BM211" s="28">
        <v>0</v>
      </c>
      <c r="BN211" s="90">
        <v>0</v>
      </c>
      <c r="BO211" s="28">
        <v>0</v>
      </c>
      <c r="BP211" s="74">
        <v>0</v>
      </c>
      <c r="BQ211" s="615">
        <v>4</v>
      </c>
    </row>
    <row r="212" spans="1:73">
      <c r="A212" s="651" t="s">
        <v>804</v>
      </c>
      <c r="B212" s="74" t="s">
        <v>212</v>
      </c>
      <c r="C212" s="71" t="s">
        <v>743</v>
      </c>
      <c r="D212" s="88">
        <f>IFERROR((NYM_P264[[#This Row],[R]]*9)/NYM_P264[[#This Row],[IP]],0)</f>
        <v>0</v>
      </c>
      <c r="E212" s="28">
        <v>0</v>
      </c>
      <c r="F212" s="74">
        <v>0</v>
      </c>
      <c r="G212" s="28">
        <v>0</v>
      </c>
      <c r="H212" s="584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89">
        <f>IFERROR((NYM_P264[[#This Row],[BB]]+NYM_P264[[#This Row],[H]])/NYM_P264[[#This Row],[IP]],0)</f>
        <v>0</v>
      </c>
      <c r="O212" s="28">
        <v>0</v>
      </c>
      <c r="P212" s="90">
        <v>0</v>
      </c>
      <c r="Q212" s="28">
        <v>0</v>
      </c>
      <c r="R212" s="74">
        <v>0</v>
      </c>
      <c r="S212" s="615">
        <v>5</v>
      </c>
      <c r="Z212" s="651" t="s">
        <v>804</v>
      </c>
      <c r="AA212" s="74" t="s">
        <v>212</v>
      </c>
      <c r="AB212" s="71" t="s">
        <v>829</v>
      </c>
      <c r="AC212" s="88">
        <f>IFERROR((NYM_P70[[#This Row],[R]]*9)/NYM_P70[[#This Row],[IP]],0)</f>
        <v>18</v>
      </c>
      <c r="AD212" s="28">
        <v>0</v>
      </c>
      <c r="AE212" s="74">
        <v>0</v>
      </c>
      <c r="AF212" s="28">
        <v>1</v>
      </c>
      <c r="AG212" s="584">
        <v>2</v>
      </c>
      <c r="AH212" s="28">
        <v>3</v>
      </c>
      <c r="AI212" s="28">
        <v>4</v>
      </c>
      <c r="AJ212" s="28">
        <v>2</v>
      </c>
      <c r="AK212" s="28">
        <v>1</v>
      </c>
      <c r="AL212" s="28">
        <v>0</v>
      </c>
      <c r="AM212" s="89">
        <f>IFERROR((NYM_P70[[#This Row],[BB]]+NYM_P70[[#This Row],[H]])/NYM_P70[[#This Row],[IP]],0)</f>
        <v>2.5</v>
      </c>
      <c r="AN212" s="28">
        <v>0</v>
      </c>
      <c r="AO212" s="90">
        <v>0</v>
      </c>
      <c r="AP212" s="28">
        <v>0</v>
      </c>
      <c r="AQ212" s="74">
        <v>0</v>
      </c>
      <c r="AR212" s="615">
        <v>5</v>
      </c>
      <c r="AS212"/>
      <c r="AT212"/>
      <c r="AU212"/>
      <c r="AV212"/>
      <c r="AY212" s="651" t="s">
        <v>804</v>
      </c>
      <c r="AZ212" s="74" t="s">
        <v>212</v>
      </c>
      <c r="BA212" s="71" t="s">
        <v>829</v>
      </c>
      <c r="BB212" s="88">
        <f>IFERROR((NYM_P60[[#This Row],[R]]*9)/NYM_P60[[#This Row],[IP]],0)</f>
        <v>13.5</v>
      </c>
      <c r="BC212" s="28">
        <v>0</v>
      </c>
      <c r="BD212" s="74">
        <v>0</v>
      </c>
      <c r="BE212" s="28">
        <v>2</v>
      </c>
      <c r="BF212" s="584">
        <v>2</v>
      </c>
      <c r="BG212" s="28">
        <v>3</v>
      </c>
      <c r="BH212" s="28">
        <v>3</v>
      </c>
      <c r="BI212" s="28">
        <v>3</v>
      </c>
      <c r="BJ212" s="28">
        <v>2</v>
      </c>
      <c r="BK212" s="28">
        <v>0</v>
      </c>
      <c r="BL212" s="89">
        <f>IFERROR((NYM_P60[[#This Row],[BB]]+NYM_P60[[#This Row],[H]])/NYM_P60[[#This Row],[IP]],0)</f>
        <v>3</v>
      </c>
      <c r="BM212" s="28">
        <v>0</v>
      </c>
      <c r="BN212" s="90">
        <v>0</v>
      </c>
      <c r="BO212" s="28">
        <v>0</v>
      </c>
      <c r="BP212" s="74">
        <v>0</v>
      </c>
      <c r="BQ212" s="615">
        <v>5</v>
      </c>
    </row>
    <row r="213" spans="1:73">
      <c r="A213" s="651" t="s">
        <v>804</v>
      </c>
      <c r="B213" s="74" t="s">
        <v>212</v>
      </c>
      <c r="C213" s="116" t="s">
        <v>827</v>
      </c>
      <c r="D213" s="88">
        <f>IFERROR((NYM_P264[[#This Row],[R]]*9)/NYM_P264[[#This Row],[IP]],0)</f>
        <v>0</v>
      </c>
      <c r="E213" s="28">
        <v>0</v>
      </c>
      <c r="F213" s="74">
        <v>0</v>
      </c>
      <c r="G213" s="28">
        <v>0</v>
      </c>
      <c r="H213" s="584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89">
        <f>IFERROR((NYM_P264[[#This Row],[BB]]+NYM_P264[[#This Row],[H]])/NYM_P264[[#This Row],[IP]],0)</f>
        <v>0</v>
      </c>
      <c r="O213" s="28">
        <v>0</v>
      </c>
      <c r="P213" s="90">
        <v>0</v>
      </c>
      <c r="Q213" s="28">
        <v>0</v>
      </c>
      <c r="R213" s="74">
        <v>0</v>
      </c>
      <c r="S213" s="615">
        <v>6</v>
      </c>
      <c r="Z213" s="651" t="s">
        <v>804</v>
      </c>
      <c r="AA213" s="74" t="s">
        <v>212</v>
      </c>
      <c r="AB213" s="116" t="s">
        <v>827</v>
      </c>
      <c r="AC213" s="88">
        <f>IFERROR((NYM_P70[[#This Row],[R]]*9)/NYM_P70[[#This Row],[IP]],0)</f>
        <v>0</v>
      </c>
      <c r="AD213" s="28">
        <v>0</v>
      </c>
      <c r="AE213" s="74">
        <v>0</v>
      </c>
      <c r="AF213" s="28">
        <v>0</v>
      </c>
      <c r="AG213" s="584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89">
        <f>IFERROR((NYM_P70[[#This Row],[BB]]+NYM_P70[[#This Row],[H]])/NYM_P70[[#This Row],[IP]],0)</f>
        <v>0</v>
      </c>
      <c r="AN213" s="28">
        <v>0</v>
      </c>
      <c r="AO213" s="90">
        <v>0</v>
      </c>
      <c r="AP213" s="28">
        <v>0</v>
      </c>
      <c r="AQ213" s="74">
        <v>0</v>
      </c>
      <c r="AR213" s="615">
        <v>6</v>
      </c>
      <c r="AS213"/>
      <c r="AT213"/>
      <c r="AU213"/>
      <c r="AV213"/>
      <c r="AY213" s="651" t="s">
        <v>804</v>
      </c>
      <c r="AZ213" s="74" t="s">
        <v>215</v>
      </c>
      <c r="BA213" s="116" t="s">
        <v>827</v>
      </c>
      <c r="BB213" s="88">
        <f>IFERROR((NYM_P60[[#This Row],[R]]*9)/NYM_P60[[#This Row],[IP]],0)</f>
        <v>0</v>
      </c>
      <c r="BC213" s="28">
        <v>0</v>
      </c>
      <c r="BD213" s="74">
        <v>0</v>
      </c>
      <c r="BE213" s="28">
        <v>0</v>
      </c>
      <c r="BF213" s="584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89">
        <f>IFERROR((NYM_P60[[#This Row],[BB]]+NYM_P60[[#This Row],[H]])/NYM_P60[[#This Row],[IP]],0)</f>
        <v>0</v>
      </c>
      <c r="BM213" s="28">
        <v>0</v>
      </c>
      <c r="BN213" s="90">
        <v>0</v>
      </c>
      <c r="BO213" s="28">
        <v>0</v>
      </c>
      <c r="BP213" s="74">
        <v>0</v>
      </c>
      <c r="BQ213" s="615">
        <v>6</v>
      </c>
    </row>
    <row r="214" spans="1:73">
      <c r="A214" s="651" t="s">
        <v>804</v>
      </c>
      <c r="B214" s="74" t="s">
        <v>212</v>
      </c>
      <c r="C214" s="116" t="s">
        <v>826</v>
      </c>
      <c r="D214" s="88">
        <f>IFERROR((NYM_P264[[#This Row],[R]]*9)/NYM_P264[[#This Row],[IP]],0)</f>
        <v>0</v>
      </c>
      <c r="E214" s="28">
        <v>0</v>
      </c>
      <c r="F214" s="74">
        <v>0</v>
      </c>
      <c r="G214" s="28">
        <v>0</v>
      </c>
      <c r="H214" s="584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89">
        <f>IFERROR((NYM_P264[[#This Row],[BB]]+NYM_P264[[#This Row],[H]])/NYM_P264[[#This Row],[IP]],0)</f>
        <v>0</v>
      </c>
      <c r="O214" s="28">
        <v>0</v>
      </c>
      <c r="P214" s="90">
        <v>0</v>
      </c>
      <c r="Q214" s="28">
        <v>0</v>
      </c>
      <c r="R214" s="74">
        <v>0</v>
      </c>
      <c r="S214" s="615">
        <v>7</v>
      </c>
      <c r="Z214" s="651" t="s">
        <v>804</v>
      </c>
      <c r="AA214" s="74" t="s">
        <v>212</v>
      </c>
      <c r="AB214" s="116" t="s">
        <v>826</v>
      </c>
      <c r="AC214" s="88">
        <f>IFERROR((NYM_P70[[#This Row],[R]]*9)/NYM_P70[[#This Row],[IP]],0)</f>
        <v>0</v>
      </c>
      <c r="AD214" s="28">
        <v>0</v>
      </c>
      <c r="AE214" s="74">
        <v>0</v>
      </c>
      <c r="AF214" s="28">
        <v>0</v>
      </c>
      <c r="AG214" s="584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89">
        <f>IFERROR((NYM_P70[[#This Row],[BB]]+NYM_P70[[#This Row],[H]])/NYM_P70[[#This Row],[IP]],0)</f>
        <v>0</v>
      </c>
      <c r="AN214" s="28">
        <v>0</v>
      </c>
      <c r="AO214" s="90">
        <v>0</v>
      </c>
      <c r="AP214" s="28">
        <v>0</v>
      </c>
      <c r="AQ214" s="74">
        <v>0</v>
      </c>
      <c r="AR214" s="615">
        <v>7</v>
      </c>
      <c r="AS214"/>
      <c r="AT214"/>
      <c r="AU214"/>
      <c r="AV214"/>
      <c r="AY214" s="651" t="s">
        <v>804</v>
      </c>
      <c r="AZ214" s="74" t="s">
        <v>212</v>
      </c>
      <c r="BA214" s="71" t="s">
        <v>826</v>
      </c>
      <c r="BB214" s="88">
        <f>IFERROR((NYM_P60[[#This Row],[R]]*9)/NYM_P60[[#This Row],[IP]],0)</f>
        <v>0</v>
      </c>
      <c r="BC214" s="28">
        <v>0</v>
      </c>
      <c r="BD214" s="74">
        <v>0</v>
      </c>
      <c r="BE214" s="28">
        <v>0</v>
      </c>
      <c r="BF214" s="584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89">
        <f>IFERROR((NYM_P60[[#This Row],[BB]]+NYM_P60[[#This Row],[H]])/NYM_P60[[#This Row],[IP]],0)</f>
        <v>0</v>
      </c>
      <c r="BM214" s="28">
        <v>0</v>
      </c>
      <c r="BN214" s="90">
        <v>0</v>
      </c>
      <c r="BO214" s="28">
        <v>0</v>
      </c>
      <c r="BP214" s="74">
        <v>0</v>
      </c>
      <c r="BQ214" s="615">
        <v>7</v>
      </c>
    </row>
    <row r="215" spans="1:73">
      <c r="A215" s="651" t="s">
        <v>804</v>
      </c>
      <c r="B215" s="74" t="s">
        <v>212</v>
      </c>
      <c r="C215" s="71" t="s">
        <v>828</v>
      </c>
      <c r="D215" s="88">
        <f>IFERROR((NYM_P264[[#This Row],[R]]*9)/NYM_P264[[#This Row],[IP]],0)</f>
        <v>13.432835820895521</v>
      </c>
      <c r="E215" s="28">
        <v>0</v>
      </c>
      <c r="F215" s="74">
        <v>0</v>
      </c>
      <c r="G215" s="28">
        <v>1</v>
      </c>
      <c r="H215" s="584">
        <v>0.67</v>
      </c>
      <c r="I215" s="28">
        <v>3</v>
      </c>
      <c r="J215" s="28">
        <v>1</v>
      </c>
      <c r="K215" s="28">
        <v>1</v>
      </c>
      <c r="L215" s="28">
        <v>2</v>
      </c>
      <c r="M215" s="28">
        <v>0</v>
      </c>
      <c r="N215" s="89">
        <f>IFERROR((NYM_P264[[#This Row],[BB]]+NYM_P264[[#This Row],[H]])/NYM_P264[[#This Row],[IP]],0)</f>
        <v>5.9701492537313428</v>
      </c>
      <c r="O215" s="28">
        <v>0</v>
      </c>
      <c r="P215" s="90">
        <v>0</v>
      </c>
      <c r="Q215" s="28">
        <v>0</v>
      </c>
      <c r="R215" s="74">
        <v>0</v>
      </c>
      <c r="S215" s="615">
        <v>8</v>
      </c>
      <c r="Z215" s="651" t="s">
        <v>804</v>
      </c>
      <c r="AA215" s="74" t="s">
        <v>212</v>
      </c>
      <c r="AB215" s="71" t="s">
        <v>828</v>
      </c>
      <c r="AC215" s="88">
        <f>IFERROR((NYM_P70[[#This Row],[R]]*9)/NYM_P70[[#This Row],[IP]],0)</f>
        <v>6</v>
      </c>
      <c r="AD215" s="28">
        <v>0</v>
      </c>
      <c r="AE215" s="74">
        <v>1</v>
      </c>
      <c r="AF215" s="28">
        <v>2</v>
      </c>
      <c r="AG215" s="584">
        <v>3</v>
      </c>
      <c r="AH215" s="28">
        <v>3</v>
      </c>
      <c r="AI215" s="28">
        <v>2</v>
      </c>
      <c r="AJ215" s="28">
        <v>0</v>
      </c>
      <c r="AK215" s="28">
        <v>4</v>
      </c>
      <c r="AL215" s="28">
        <v>0</v>
      </c>
      <c r="AM215" s="89">
        <f>IFERROR((NYM_P70[[#This Row],[BB]]+NYM_P70[[#This Row],[H]])/NYM_P70[[#This Row],[IP]],0)</f>
        <v>1</v>
      </c>
      <c r="AN215" s="28">
        <v>0</v>
      </c>
      <c r="AO215" s="90">
        <v>0</v>
      </c>
      <c r="AP215" s="28">
        <v>0</v>
      </c>
      <c r="AQ215" s="74">
        <v>0</v>
      </c>
      <c r="AR215" s="615">
        <v>8</v>
      </c>
      <c r="AS215"/>
      <c r="AT215"/>
      <c r="AU215"/>
      <c r="AV215"/>
      <c r="AY215" s="651" t="s">
        <v>804</v>
      </c>
      <c r="AZ215" s="74" t="s">
        <v>212</v>
      </c>
      <c r="BA215" s="71" t="s">
        <v>828</v>
      </c>
      <c r="BB215" s="88">
        <f>IFERROR((NYM_P60[[#This Row],[R]]*9)/NYM_P60[[#This Row],[IP]],0)</f>
        <v>9</v>
      </c>
      <c r="BC215" s="28">
        <v>0</v>
      </c>
      <c r="BD215" s="74">
        <v>0</v>
      </c>
      <c r="BE215" s="28">
        <v>2</v>
      </c>
      <c r="BF215" s="584">
        <v>2</v>
      </c>
      <c r="BG215" s="28">
        <v>2</v>
      </c>
      <c r="BH215" s="28">
        <v>2</v>
      </c>
      <c r="BI215" s="28">
        <v>2</v>
      </c>
      <c r="BJ215" s="28">
        <v>3</v>
      </c>
      <c r="BK215" s="28">
        <v>0</v>
      </c>
      <c r="BL215" s="89">
        <f>IFERROR((NYM_P60[[#This Row],[BB]]+NYM_P60[[#This Row],[H]])/NYM_P60[[#This Row],[IP]],0)</f>
        <v>2</v>
      </c>
      <c r="BM215" s="28">
        <v>0</v>
      </c>
      <c r="BN215" s="90">
        <v>0</v>
      </c>
      <c r="BO215" s="28">
        <v>0</v>
      </c>
      <c r="BP215" s="74">
        <v>0</v>
      </c>
      <c r="BQ215" s="615">
        <v>8</v>
      </c>
    </row>
    <row r="216" spans="1:73">
      <c r="A216" s="651" t="s">
        <v>804</v>
      </c>
      <c r="B216" s="74" t="s">
        <v>212</v>
      </c>
      <c r="C216" s="71" t="s">
        <v>830</v>
      </c>
      <c r="D216" s="88">
        <f>IFERROR((NYM_P264[[#This Row],[R]]*9)/NYM_P264[[#This Row],[IP]],0)</f>
        <v>0</v>
      </c>
      <c r="E216" s="28">
        <v>0</v>
      </c>
      <c r="F216" s="74">
        <v>0</v>
      </c>
      <c r="G216" s="28">
        <v>1</v>
      </c>
      <c r="H216" s="584">
        <v>2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89">
        <f>IFERROR((NYM_P264[[#This Row],[BB]]+NYM_P264[[#This Row],[H]])/NYM_P264[[#This Row],[IP]],0)</f>
        <v>0</v>
      </c>
      <c r="O216" s="28">
        <v>0</v>
      </c>
      <c r="P216" s="90">
        <v>0</v>
      </c>
      <c r="Q216" s="28">
        <v>0</v>
      </c>
      <c r="R216" s="74">
        <v>0</v>
      </c>
      <c r="S216" s="615">
        <v>9</v>
      </c>
      <c r="Z216" s="651" t="s">
        <v>804</v>
      </c>
      <c r="AA216" s="74" t="s">
        <v>212</v>
      </c>
      <c r="AB216" s="71" t="s">
        <v>830</v>
      </c>
      <c r="AC216" s="88">
        <f>IFERROR((NYM_P70[[#This Row],[R]]*9)/NYM_P70[[#This Row],[IP]],0)</f>
        <v>0</v>
      </c>
      <c r="AD216" s="28">
        <v>0</v>
      </c>
      <c r="AE216" s="74">
        <v>0</v>
      </c>
      <c r="AF216" s="28">
        <v>1</v>
      </c>
      <c r="AG216" s="584">
        <v>2</v>
      </c>
      <c r="AH216" s="28">
        <v>0</v>
      </c>
      <c r="AI216" s="28">
        <v>0</v>
      </c>
      <c r="AJ216" s="28">
        <v>0</v>
      </c>
      <c r="AK216" s="28">
        <v>2</v>
      </c>
      <c r="AL216" s="28">
        <v>0</v>
      </c>
      <c r="AM216" s="89">
        <f>IFERROR((NYM_P70[[#This Row],[BB]]+NYM_P70[[#This Row],[H]])/NYM_P70[[#This Row],[IP]],0)</f>
        <v>0</v>
      </c>
      <c r="AN216" s="28">
        <v>0</v>
      </c>
      <c r="AO216" s="90">
        <v>0</v>
      </c>
      <c r="AP216" s="28">
        <v>0</v>
      </c>
      <c r="AQ216" s="74">
        <v>0</v>
      </c>
      <c r="AR216" s="615">
        <v>9</v>
      </c>
      <c r="AS216"/>
      <c r="AT216"/>
      <c r="AU216"/>
      <c r="AV216"/>
      <c r="AY216" s="651" t="s">
        <v>804</v>
      </c>
      <c r="AZ216" s="74" t="s">
        <v>212</v>
      </c>
      <c r="BA216" s="71" t="s">
        <v>830</v>
      </c>
      <c r="BB216" s="88">
        <f>IFERROR((NYM_P60[[#This Row],[R]]*9)/NYM_P60[[#This Row],[IP]],0)</f>
        <v>0</v>
      </c>
      <c r="BC216" s="28">
        <v>0</v>
      </c>
      <c r="BD216" s="74">
        <v>0</v>
      </c>
      <c r="BE216" s="28">
        <v>1</v>
      </c>
      <c r="BF216" s="584">
        <v>1</v>
      </c>
      <c r="BG216" s="28">
        <v>1</v>
      </c>
      <c r="BH216" s="28">
        <v>0</v>
      </c>
      <c r="BI216" s="28">
        <v>1</v>
      </c>
      <c r="BJ216" s="28">
        <v>0</v>
      </c>
      <c r="BK216" s="28">
        <v>0</v>
      </c>
      <c r="BL216" s="89">
        <f>IFERROR((NYM_P60[[#This Row],[BB]]+NYM_P60[[#This Row],[H]])/NYM_P60[[#This Row],[IP]],0)</f>
        <v>2</v>
      </c>
      <c r="BM216" s="28">
        <v>0</v>
      </c>
      <c r="BN216" s="90">
        <v>0</v>
      </c>
      <c r="BO216" s="28">
        <v>0</v>
      </c>
      <c r="BP216" s="74">
        <v>0</v>
      </c>
      <c r="BQ216" s="615">
        <v>9</v>
      </c>
    </row>
    <row r="217" spans="1:73" ht="17" thickBot="1">
      <c r="A217" s="651" t="s">
        <v>804</v>
      </c>
      <c r="B217" s="74" t="s">
        <v>212</v>
      </c>
      <c r="C217" s="71" t="s">
        <v>831</v>
      </c>
      <c r="D217" s="88">
        <f>IFERROR((NYM_P264[[#This Row],[R]]*9)/NYM_P264[[#This Row],[IP]],0)</f>
        <v>5.0656660412757972</v>
      </c>
      <c r="E217" s="28">
        <v>0</v>
      </c>
      <c r="F217" s="74">
        <v>0</v>
      </c>
      <c r="G217" s="28">
        <v>4</v>
      </c>
      <c r="H217" s="584">
        <v>5.33</v>
      </c>
      <c r="I217" s="28">
        <v>4</v>
      </c>
      <c r="J217" s="28">
        <v>3</v>
      </c>
      <c r="K217" s="28">
        <v>1</v>
      </c>
      <c r="L217" s="28">
        <v>12</v>
      </c>
      <c r="M217" s="28">
        <v>1</v>
      </c>
      <c r="N217" s="89">
        <f>IFERROR((NYM_P264[[#This Row],[BB]]+NYM_P264[[#This Row],[H]])/NYM_P264[[#This Row],[IP]],0)</f>
        <v>0.93808630393996251</v>
      </c>
      <c r="O217" s="28">
        <v>0</v>
      </c>
      <c r="P217" s="90">
        <v>0</v>
      </c>
      <c r="Q217" s="28">
        <v>0</v>
      </c>
      <c r="R217" s="74">
        <v>0</v>
      </c>
      <c r="S217" s="615">
        <v>10</v>
      </c>
      <c r="Z217" s="651" t="s">
        <v>804</v>
      </c>
      <c r="AA217" s="74" t="s">
        <v>212</v>
      </c>
      <c r="AB217" s="71" t="s">
        <v>831</v>
      </c>
      <c r="AC217" s="88">
        <f>IFERROR((NYM_P70[[#This Row],[R]]*9)/NYM_P70[[#This Row],[IP]],0)</f>
        <v>0</v>
      </c>
      <c r="AD217" s="28">
        <v>0</v>
      </c>
      <c r="AE217" s="74">
        <v>0</v>
      </c>
      <c r="AF217" s="28">
        <v>2</v>
      </c>
      <c r="AG217" s="584">
        <v>4</v>
      </c>
      <c r="AH217" s="28">
        <v>1</v>
      </c>
      <c r="AI217" s="28">
        <v>0</v>
      </c>
      <c r="AJ217" s="28">
        <v>2</v>
      </c>
      <c r="AK217" s="28">
        <v>7</v>
      </c>
      <c r="AL217" s="28">
        <v>1</v>
      </c>
      <c r="AM217" s="89">
        <f>IFERROR((NYM_P70[[#This Row],[BB]]+NYM_P70[[#This Row],[H]])/NYM_P70[[#This Row],[IP]],0)</f>
        <v>0.75</v>
      </c>
      <c r="AN217" s="28">
        <v>0</v>
      </c>
      <c r="AO217" s="90">
        <v>0</v>
      </c>
      <c r="AP217" s="28">
        <v>0</v>
      </c>
      <c r="AQ217" s="74">
        <v>0</v>
      </c>
      <c r="AR217" s="615">
        <v>10</v>
      </c>
      <c r="AS217"/>
      <c r="AT217"/>
      <c r="AU217"/>
      <c r="AV217"/>
      <c r="AY217" s="651" t="s">
        <v>804</v>
      </c>
      <c r="AZ217" s="74" t="s">
        <v>212</v>
      </c>
      <c r="BA217" s="71" t="s">
        <v>831</v>
      </c>
      <c r="BB217" s="88">
        <f>IFERROR((NYM_P60[[#This Row],[R]]*9)/NYM_P60[[#This Row],[IP]],0)</f>
        <v>7.7253218884120169</v>
      </c>
      <c r="BC217" s="28">
        <v>0</v>
      </c>
      <c r="BD217" s="74">
        <v>1</v>
      </c>
      <c r="BE217" s="28">
        <v>2</v>
      </c>
      <c r="BF217" s="584">
        <v>2.33</v>
      </c>
      <c r="BG217" s="28">
        <v>2</v>
      </c>
      <c r="BH217" s="28">
        <v>2</v>
      </c>
      <c r="BI217" s="28">
        <v>2</v>
      </c>
      <c r="BJ217" s="28">
        <v>5</v>
      </c>
      <c r="BK217" s="28">
        <v>1</v>
      </c>
      <c r="BL217" s="89">
        <f>IFERROR((NYM_P60[[#This Row],[BB]]+NYM_P60[[#This Row],[H]])/NYM_P60[[#This Row],[IP]],0)</f>
        <v>1.7167381974248928</v>
      </c>
      <c r="BM217" s="28">
        <v>0</v>
      </c>
      <c r="BN217" s="90">
        <v>0</v>
      </c>
      <c r="BO217" s="28">
        <v>0</v>
      </c>
      <c r="BP217" s="74">
        <v>0</v>
      </c>
      <c r="BQ217" s="615">
        <v>10</v>
      </c>
    </row>
    <row r="218" spans="1:73" ht="17" thickBot="1">
      <c r="A218" s="652"/>
      <c r="B218" s="653"/>
      <c r="C218" s="654" t="s">
        <v>195</v>
      </c>
      <c r="D218" s="665">
        <f>(J218*9)/H218</f>
        <v>3.8918918918918921</v>
      </c>
      <c r="E218" s="658">
        <f>SUBTOTAL(109,NYM_P264[W])</f>
        <v>1</v>
      </c>
      <c r="F218" s="660">
        <f>SUBTOTAL(109,NYM_P264[L])</f>
        <v>3</v>
      </c>
      <c r="G218" s="658"/>
      <c r="H218" s="666">
        <f>SUBTOTAL(109,NYM_P264[IP])</f>
        <v>37</v>
      </c>
      <c r="I218" s="658">
        <f>SUBTOTAL(109,NYM_P264[H])</f>
        <v>33</v>
      </c>
      <c r="J218" s="658">
        <f>SUBTOTAL(109,NYM_P264[R])</f>
        <v>16</v>
      </c>
      <c r="K218" s="658">
        <f>SUBTOTAL(109,NYM_P264[BB])</f>
        <v>8</v>
      </c>
      <c r="L218" s="658">
        <f>SUBTOTAL(109,NYM_P264[K])</f>
        <v>49</v>
      </c>
      <c r="M218" s="658">
        <f>SUBTOTAL(109,NYM_P264[SV])</f>
        <v>1</v>
      </c>
      <c r="N218" s="667">
        <f>(K218+I218)/H218</f>
        <v>1.1081081081081081</v>
      </c>
      <c r="O218" s="690">
        <f>SUBTOTAL(109,NYM_P264[QS])</f>
        <v>3</v>
      </c>
      <c r="P218" s="669">
        <f>SUBTOTAL(109,NYM_P264[UQ])</f>
        <v>2</v>
      </c>
      <c r="Q218" s="670">
        <f>SUBTOTAL(109,NYM_P264[CG])</f>
        <v>0</v>
      </c>
      <c r="R218" s="671">
        <f>SUBTOTAL(109,NYM_P264[SH])</f>
        <v>0</v>
      </c>
      <c r="S218" s="662"/>
      <c r="Z218" s="652"/>
      <c r="AA218" s="653"/>
      <c r="AB218" s="654" t="s">
        <v>195</v>
      </c>
      <c r="AC218" s="665">
        <f>(AI218*9)/AG218</f>
        <v>4.8214285714285712</v>
      </c>
      <c r="AD218" s="658">
        <f>SUBTOTAL(109,NYM_P70[W])</f>
        <v>1</v>
      </c>
      <c r="AE218" s="660">
        <f>SUBTOTAL(109,NYM_P70[L])</f>
        <v>2</v>
      </c>
      <c r="AF218" s="658"/>
      <c r="AG218" s="666">
        <f>SUBTOTAL(109,NYM_P70[IP])</f>
        <v>28</v>
      </c>
      <c r="AH218" s="658">
        <f>SUBTOTAL(109,NYM_P70[H])</f>
        <v>24</v>
      </c>
      <c r="AI218" s="658">
        <f>SUBTOTAL(109,NYM_P70[R])</f>
        <v>15</v>
      </c>
      <c r="AJ218" s="658">
        <f>SUBTOTAL(109,NYM_P70[BB])</f>
        <v>9</v>
      </c>
      <c r="AK218" s="658">
        <f>SUBTOTAL(109,NYM_P70[K])</f>
        <v>36</v>
      </c>
      <c r="AL218" s="658">
        <f>SUBTOTAL(109,NYM_P70[SV])</f>
        <v>1</v>
      </c>
      <c r="AM218" s="667">
        <f>(AJ218+AH218)/AG218</f>
        <v>1.1785714285714286</v>
      </c>
      <c r="AN218" s="690">
        <f>SUBTOTAL(109,NYM_P70[QS])</f>
        <v>2</v>
      </c>
      <c r="AO218" s="669">
        <f>SUBTOTAL(109,NYM_P70[UQ])</f>
        <v>2</v>
      </c>
      <c r="AP218" s="670">
        <f>SUBTOTAL(109,NYM_P70[CG])</f>
        <v>0</v>
      </c>
      <c r="AQ218" s="671">
        <f>SUBTOTAL(109,NYM_P70[SH])</f>
        <v>0</v>
      </c>
      <c r="AR218" s="662"/>
      <c r="AS218"/>
      <c r="AT218"/>
      <c r="AU218"/>
      <c r="AV218"/>
      <c r="AY218" s="652"/>
      <c r="AZ218" s="653"/>
      <c r="BA218" s="654" t="s">
        <v>195</v>
      </c>
      <c r="BB218" s="665">
        <f>IFERROR((BH218*9)/BF218,0)</f>
        <v>7.8168180023687333</v>
      </c>
      <c r="BC218" s="658">
        <f>SUBTOTAL(109,NYM_P60[W])</f>
        <v>1</v>
      </c>
      <c r="BD218" s="660">
        <f>SUBTOTAL(109,NYM_P60[L])</f>
        <v>2</v>
      </c>
      <c r="BE218" s="658"/>
      <c r="BF218" s="666">
        <f>SUBTOTAL(109,NYM_P60[IP])</f>
        <v>25.33</v>
      </c>
      <c r="BG218" s="658">
        <f>SUBTOTAL(109,NYM_P60[H])</f>
        <v>29</v>
      </c>
      <c r="BH218" s="658">
        <f>SUBTOTAL(109,NYM_P60[R])</f>
        <v>22</v>
      </c>
      <c r="BI218" s="658">
        <f>SUBTOTAL(109,NYM_P60[BB])</f>
        <v>16</v>
      </c>
      <c r="BJ218" s="658">
        <f>SUBTOTAL(109,NYM_P60[K])</f>
        <v>26</v>
      </c>
      <c r="BK218" s="658">
        <f>SUBTOTAL(109,NYM_P60[SV])</f>
        <v>1</v>
      </c>
      <c r="BL218" s="667">
        <f>IFERROR((BI218+BG218)/BF218,0)</f>
        <v>1.7765495459928939</v>
      </c>
      <c r="BM218" s="690">
        <f>SUBTOTAL(109,NYM_P60[QS])</f>
        <v>1</v>
      </c>
      <c r="BN218" s="669">
        <f>SUBTOTAL(109,NYM_P60[UQ])</f>
        <v>0</v>
      </c>
      <c r="BO218" s="670">
        <f>SUM(BO208:BO217)</f>
        <v>0</v>
      </c>
      <c r="BP218" s="671">
        <f>SUM(BP208:BP217)</f>
        <v>0</v>
      </c>
      <c r="BQ218" s="662"/>
    </row>
    <row r="219" spans="1:73" ht="17" thickBot="1"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73" ht="24" thickBot="1">
      <c r="A220" s="1024" t="s">
        <v>944</v>
      </c>
      <c r="B220" s="1025"/>
      <c r="C220" s="1025"/>
      <c r="D220" s="1025"/>
      <c r="E220" s="1025"/>
      <c r="F220" s="1025"/>
      <c r="G220" s="1025"/>
      <c r="H220" s="1025"/>
      <c r="I220" s="1025"/>
      <c r="J220" s="1025"/>
      <c r="K220" s="1025"/>
      <c r="L220" s="1025"/>
      <c r="M220" s="1025"/>
      <c r="N220" s="1025"/>
      <c r="O220" s="1025"/>
      <c r="P220" s="1025"/>
      <c r="Q220" s="1025"/>
      <c r="R220" s="1025"/>
      <c r="S220" s="1025"/>
      <c r="T220" s="1025"/>
      <c r="U220" s="1025"/>
      <c r="V220" s="1025"/>
      <c r="W220" s="1026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Y220" s="1060" t="s">
        <v>945</v>
      </c>
      <c r="AZ220" s="1061"/>
      <c r="BA220" s="1061"/>
      <c r="BB220" s="1061"/>
      <c r="BC220" s="1061"/>
      <c r="BD220" s="1061"/>
      <c r="BE220" s="1061"/>
      <c r="BF220" s="1061"/>
      <c r="BG220" s="1061"/>
      <c r="BH220" s="1061"/>
      <c r="BI220" s="1061"/>
      <c r="BJ220" s="1061"/>
      <c r="BK220" s="1061"/>
      <c r="BL220" s="1061"/>
      <c r="BM220" s="1061"/>
      <c r="BN220" s="1061"/>
      <c r="BO220" s="1061"/>
      <c r="BP220" s="1061"/>
      <c r="BQ220" s="1061"/>
      <c r="BR220" s="1061"/>
      <c r="BS220" s="1061"/>
      <c r="BT220" s="1061"/>
      <c r="BU220" s="1062"/>
    </row>
    <row r="221" spans="1:73" s="64" customFormat="1" ht="17" thickBot="1">
      <c r="A221" s="605" t="s">
        <v>143</v>
      </c>
      <c r="B221" s="606" t="s">
        <v>144</v>
      </c>
      <c r="C221" s="606" t="s">
        <v>145</v>
      </c>
      <c r="D221" s="606" t="s">
        <v>146</v>
      </c>
      <c r="E221" s="606" t="s">
        <v>147</v>
      </c>
      <c r="F221" s="606" t="s">
        <v>148</v>
      </c>
      <c r="G221" s="606" t="s">
        <v>149</v>
      </c>
      <c r="H221" s="606" t="s">
        <v>150</v>
      </c>
      <c r="I221" s="606" t="s">
        <v>151</v>
      </c>
      <c r="J221" s="606" t="s">
        <v>152</v>
      </c>
      <c r="K221" s="606" t="s">
        <v>153</v>
      </c>
      <c r="L221" s="606" t="s">
        <v>154</v>
      </c>
      <c r="M221" s="606" t="s">
        <v>155</v>
      </c>
      <c r="N221" s="606" t="s">
        <v>156</v>
      </c>
      <c r="O221" s="606" t="s">
        <v>157</v>
      </c>
      <c r="P221" s="606" t="s">
        <v>158</v>
      </c>
      <c r="Q221" s="606" t="s">
        <v>159</v>
      </c>
      <c r="R221" s="606" t="s">
        <v>160</v>
      </c>
      <c r="S221" s="606" t="s">
        <v>16</v>
      </c>
      <c r="T221" s="606" t="s">
        <v>161</v>
      </c>
      <c r="U221" s="606" t="s">
        <v>162</v>
      </c>
      <c r="V221" s="606" t="s">
        <v>163</v>
      </c>
      <c r="W221" s="607" t="s">
        <v>164</v>
      </c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Y221" s="605" t="s">
        <v>143</v>
      </c>
      <c r="AZ221" s="606" t="s">
        <v>144</v>
      </c>
      <c r="BA221" s="606" t="s">
        <v>145</v>
      </c>
      <c r="BB221" s="606" t="s">
        <v>146</v>
      </c>
      <c r="BC221" s="606" t="s">
        <v>147</v>
      </c>
      <c r="BD221" s="606" t="s">
        <v>148</v>
      </c>
      <c r="BE221" s="606" t="s">
        <v>149</v>
      </c>
      <c r="BF221" s="606" t="s">
        <v>150</v>
      </c>
      <c r="BG221" s="606" t="s">
        <v>151</v>
      </c>
      <c r="BH221" s="606" t="s">
        <v>152</v>
      </c>
      <c r="BI221" s="606" t="s">
        <v>153</v>
      </c>
      <c r="BJ221" s="606" t="s">
        <v>154</v>
      </c>
      <c r="BK221" s="606" t="s">
        <v>155</v>
      </c>
      <c r="BL221" s="606" t="s">
        <v>156</v>
      </c>
      <c r="BM221" s="606" t="s">
        <v>157</v>
      </c>
      <c r="BN221" s="606" t="s">
        <v>158</v>
      </c>
      <c r="BO221" s="606" t="s">
        <v>159</v>
      </c>
      <c r="BP221" s="606" t="s">
        <v>160</v>
      </c>
      <c r="BQ221" s="606" t="s">
        <v>16</v>
      </c>
      <c r="BR221" s="606" t="s">
        <v>161</v>
      </c>
      <c r="BS221" s="606" t="s">
        <v>162</v>
      </c>
      <c r="BT221" s="606" t="s">
        <v>163</v>
      </c>
      <c r="BU221" s="607" t="s">
        <v>164</v>
      </c>
    </row>
    <row r="222" spans="1:73">
      <c r="A222" s="650" t="s">
        <v>835</v>
      </c>
      <c r="B222" s="597" t="s">
        <v>179</v>
      </c>
      <c r="C222" s="597" t="s">
        <v>846</v>
      </c>
      <c r="D222" s="598">
        <f>IFERROR(ATL_H90[[#This Row],[H]]/ATL_H90[[#This Row],[AB]],0)</f>
        <v>0.13333333333333333</v>
      </c>
      <c r="E222" s="598">
        <f>IFERROR((ATL_H90[[#This Row],[H]]+ATL_H90[[#This Row],[BB]])/(ATL_H90[[#This Row],[BB]]+ATL_H90[[#This Row],[AB]]),0)</f>
        <v>0.22</v>
      </c>
      <c r="F222" s="599">
        <f>IFERROR(((ATL_H90[[#This Row],[H]]-ATL_H90[[#This Row],[2B]]-ATL_H90[[#This Row],[3B]]-ATL_H90[[#This Row],[HR]])+(ATL_H90[[#This Row],[2B]]*2)+(ATL_H90[[#This Row],[3B]]*3)+(ATL_H90[[#This Row],[HR]]*4))/ATL_H90[[#This Row],[AB]],0)</f>
        <v>0.15555555555555556</v>
      </c>
      <c r="G222" s="600">
        <v>13</v>
      </c>
      <c r="H222" s="600">
        <v>45</v>
      </c>
      <c r="I222" s="600">
        <v>2</v>
      </c>
      <c r="J222" s="600">
        <v>6</v>
      </c>
      <c r="K222" s="600">
        <v>1</v>
      </c>
      <c r="L222" s="600">
        <v>0</v>
      </c>
      <c r="M222" s="600">
        <v>0</v>
      </c>
      <c r="N222" s="600">
        <v>2</v>
      </c>
      <c r="O222" s="600">
        <v>5</v>
      </c>
      <c r="P222" s="604">
        <v>14</v>
      </c>
      <c r="Q222" s="600">
        <v>0</v>
      </c>
      <c r="R222" s="600">
        <v>0</v>
      </c>
      <c r="S222" s="604">
        <v>3</v>
      </c>
      <c r="T222" s="600">
        <f>IFERROR((ATL_H90[[#This Row],[H]]-ATL_H90[[#This Row],[2B]]-ATL_H90[[#This Row],[3B]]-ATL_H90[[#This Row],[HR]])+(ATL_H90[[#This Row],[2B]]*2)+(ATL_H90[[#This Row],[3B]]*3)+(ATL_H90[[#This Row],[HR]]*4),0)</f>
        <v>7</v>
      </c>
      <c r="U222" s="598">
        <f>ATL_H90[[#This Row],[OBP]]+ATL_H90[[#This Row],[SLG]]</f>
        <v>0.37555555555555553</v>
      </c>
      <c r="V222" s="604">
        <v>1</v>
      </c>
      <c r="W222" s="614">
        <v>1</v>
      </c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Y222" s="719" t="s">
        <v>770</v>
      </c>
      <c r="AZ222" s="632" t="s">
        <v>179</v>
      </c>
      <c r="BA222" s="597" t="s">
        <v>779</v>
      </c>
      <c r="BB222" s="598">
        <f>IFERROR(PHI_H74120[[#This Row],[H]]/PHI_H74120[[#This Row],[AB]],0)</f>
        <v>0.42105263157894735</v>
      </c>
      <c r="BC222" s="598">
        <f>IFERROR((PHI_H74120[[#This Row],[BB]]+PHI_H74120[[#This Row],[H]])/(PHI_H74120[[#This Row],[BB]]+PHI_H74120[[#This Row],[AB]]),0)</f>
        <v>0.5</v>
      </c>
      <c r="BD222" s="599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0.63157894736842102</v>
      </c>
      <c r="BE222" s="600">
        <v>5</v>
      </c>
      <c r="BF222" s="600">
        <v>19</v>
      </c>
      <c r="BG222" s="600">
        <v>3</v>
      </c>
      <c r="BH222" s="600">
        <v>8</v>
      </c>
      <c r="BI222" s="600">
        <v>1</v>
      </c>
      <c r="BJ222" s="600">
        <v>0</v>
      </c>
      <c r="BK222" s="600">
        <v>1</v>
      </c>
      <c r="BL222" s="600">
        <v>5</v>
      </c>
      <c r="BM222" s="600">
        <v>3</v>
      </c>
      <c r="BN222" s="604">
        <v>4</v>
      </c>
      <c r="BO222" s="600">
        <v>0</v>
      </c>
      <c r="BP222" s="600">
        <v>5</v>
      </c>
      <c r="BQ222" s="604">
        <v>5</v>
      </c>
      <c r="BR222" s="600">
        <f>(PHI_H74120[[#This Row],[H]]-PHI_H74120[[#This Row],[2B]]-PHI_H74120[[#This Row],[3B]]-PHI_H74120[[#This Row],[HR]])+(PHI_H74120[[#This Row],[2B]]*2)+(PHI_H74120[[#This Row],[3B]]*3)+(PHI_H74120[[#This Row],[HR]]*4)</f>
        <v>12</v>
      </c>
      <c r="BS222" s="598">
        <f>IFERROR(PHI_H74120[[#This Row],[OBP]]+PHI_H74120[[#This Row],[SLG]],0)</f>
        <v>1.131578947368421</v>
      </c>
      <c r="BT222" s="604">
        <v>1</v>
      </c>
      <c r="BU222" s="614">
        <v>1</v>
      </c>
    </row>
    <row r="223" spans="1:73">
      <c r="A223" s="651" t="s">
        <v>835</v>
      </c>
      <c r="B223" s="71" t="s">
        <v>154</v>
      </c>
      <c r="C223" s="71" t="s">
        <v>836</v>
      </c>
      <c r="D223" s="72">
        <f>IFERROR(ATL_H90[[#This Row],[H]]/ATL_H90[[#This Row],[AB]],0)</f>
        <v>0.31372549019607843</v>
      </c>
      <c r="E223" s="72">
        <f>IFERROR((ATL_H90[[#This Row],[H]]+ATL_H90[[#This Row],[BB]])/(ATL_H90[[#This Row],[BB]]+ATL_H90[[#This Row],[AB]]),0)</f>
        <v>0.39655172413793105</v>
      </c>
      <c r="F223" s="73">
        <f>IFERROR(((ATL_H90[[#This Row],[H]]-ATL_H90[[#This Row],[2B]]-ATL_H90[[#This Row],[3B]]-ATL_H90[[#This Row],[HR]])+(ATL_H90[[#This Row],[2B]]*2)+(ATL_H90[[#This Row],[3B]]*3)+(ATL_H90[[#This Row],[HR]]*4))/ATL_H90[[#This Row],[AB]],0)</f>
        <v>0.49019607843137253</v>
      </c>
      <c r="G223" s="28">
        <v>13</v>
      </c>
      <c r="H223" s="28">
        <v>51</v>
      </c>
      <c r="I223" s="28">
        <v>7</v>
      </c>
      <c r="J223" s="28">
        <v>16</v>
      </c>
      <c r="K223" s="28">
        <v>0</v>
      </c>
      <c r="L223" s="28">
        <v>0</v>
      </c>
      <c r="M223" s="28">
        <v>3</v>
      </c>
      <c r="N223" s="28">
        <v>8</v>
      </c>
      <c r="O223" s="28">
        <v>7</v>
      </c>
      <c r="P223" s="74">
        <v>12</v>
      </c>
      <c r="Q223" s="28">
        <v>0</v>
      </c>
      <c r="R223" s="28">
        <v>0</v>
      </c>
      <c r="S223" s="74">
        <v>5</v>
      </c>
      <c r="T223" s="28">
        <f>IFERROR((ATL_H90[[#This Row],[H]]-ATL_H90[[#This Row],[2B]]-ATL_H90[[#This Row],[3B]]-ATL_H90[[#This Row],[HR]])+(ATL_H90[[#This Row],[2B]]*2)+(ATL_H90[[#This Row],[3B]]*3)+(ATL_H90[[#This Row],[HR]]*4),0)</f>
        <v>25</v>
      </c>
      <c r="U223" s="72">
        <f>ATL_H90[[#This Row],[OBP]]+ATL_H90[[#This Row],[SLG]]</f>
        <v>0.88674780256930363</v>
      </c>
      <c r="V223" s="74">
        <v>1</v>
      </c>
      <c r="W223" s="615">
        <v>2</v>
      </c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Y223" s="720" t="s">
        <v>770</v>
      </c>
      <c r="AZ223" s="104" t="s">
        <v>154</v>
      </c>
      <c r="BA223" s="71" t="s">
        <v>775</v>
      </c>
      <c r="BB223" s="72">
        <f>IFERROR(PHI_H74120[[#This Row],[H]]/PHI_H74120[[#This Row],[AB]],0)</f>
        <v>0.23529411764705882</v>
      </c>
      <c r="BC223" s="72">
        <f>IFERROR((PHI_H74120[[#This Row],[BB]]+PHI_H74120[[#This Row],[H]])/(PHI_H74120[[#This Row],[BB]]+PHI_H74120[[#This Row],[AB]]),0)</f>
        <v>0.43478260869565216</v>
      </c>
      <c r="BD223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0.47058823529411764</v>
      </c>
      <c r="BE223" s="28">
        <v>5</v>
      </c>
      <c r="BF223" s="28">
        <v>17</v>
      </c>
      <c r="BG223" s="28">
        <v>5</v>
      </c>
      <c r="BH223" s="28">
        <v>4</v>
      </c>
      <c r="BI223" s="28">
        <v>1</v>
      </c>
      <c r="BJ223" s="28">
        <v>0</v>
      </c>
      <c r="BK223" s="28">
        <v>1</v>
      </c>
      <c r="BL223" s="28">
        <v>3</v>
      </c>
      <c r="BM223" s="28">
        <v>6</v>
      </c>
      <c r="BN223" s="74">
        <v>7</v>
      </c>
      <c r="BO223" s="28">
        <v>0</v>
      </c>
      <c r="BP223" s="28">
        <v>2</v>
      </c>
      <c r="BQ223" s="74">
        <v>2</v>
      </c>
      <c r="BR223" s="28">
        <f>(PHI_H74120[[#This Row],[H]]-PHI_H74120[[#This Row],[2B]]-PHI_H74120[[#This Row],[3B]]-PHI_H74120[[#This Row],[HR]])+(PHI_H74120[[#This Row],[2B]]*2)+(PHI_H74120[[#This Row],[3B]]*3)+(PHI_H74120[[#This Row],[HR]]*4)</f>
        <v>8</v>
      </c>
      <c r="BS223" s="72">
        <f>IFERROR(PHI_H74120[[#This Row],[OBP]]+PHI_H74120[[#This Row],[SLG]],0)</f>
        <v>0.90537084398976986</v>
      </c>
      <c r="BT223" s="74">
        <v>1</v>
      </c>
      <c r="BU223" s="615">
        <v>2</v>
      </c>
    </row>
    <row r="224" spans="1:73">
      <c r="A224" s="651" t="s">
        <v>835</v>
      </c>
      <c r="B224" s="71" t="s">
        <v>172</v>
      </c>
      <c r="C224" s="71" t="s">
        <v>847</v>
      </c>
      <c r="D224" s="72">
        <f>IFERROR(ATL_H90[[#This Row],[H]]/ATL_H90[[#This Row],[AB]],0)</f>
        <v>0.21276595744680851</v>
      </c>
      <c r="E224" s="72">
        <f>IFERROR((ATL_H90[[#This Row],[H]]+ATL_H90[[#This Row],[BB]])/(ATL_H90[[#This Row],[BB]]+ATL_H90[[#This Row],[AB]]),0)</f>
        <v>0.24489795918367346</v>
      </c>
      <c r="F224" s="73">
        <f>IFERROR(((ATL_H90[[#This Row],[H]]-ATL_H90[[#This Row],[2B]]-ATL_H90[[#This Row],[3B]]-ATL_H90[[#This Row],[HR]])+(ATL_H90[[#This Row],[2B]]*2)+(ATL_H90[[#This Row],[3B]]*3)+(ATL_H90[[#This Row],[HR]]*4))/ATL_H90[[#This Row],[AB]],0)</f>
        <v>0.38297872340425532</v>
      </c>
      <c r="G224" s="28">
        <v>13</v>
      </c>
      <c r="H224" s="28">
        <v>47</v>
      </c>
      <c r="I224" s="28">
        <v>7</v>
      </c>
      <c r="J224" s="28">
        <v>10</v>
      </c>
      <c r="K224" s="28">
        <v>3</v>
      </c>
      <c r="L224" s="28">
        <v>1</v>
      </c>
      <c r="M224" s="28">
        <v>1</v>
      </c>
      <c r="N224" s="28">
        <v>3</v>
      </c>
      <c r="O224" s="28">
        <v>2</v>
      </c>
      <c r="P224" s="74">
        <v>20</v>
      </c>
      <c r="Q224" s="28">
        <v>0</v>
      </c>
      <c r="R224" s="28">
        <v>0</v>
      </c>
      <c r="S224" s="74">
        <v>2</v>
      </c>
      <c r="T224" s="28">
        <f>IFERROR((ATL_H90[[#This Row],[H]]-ATL_H90[[#This Row],[2B]]-ATL_H90[[#This Row],[3B]]-ATL_H90[[#This Row],[HR]])+(ATL_H90[[#This Row],[2B]]*2)+(ATL_H90[[#This Row],[3B]]*3)+(ATL_H90[[#This Row],[HR]]*4),0)</f>
        <v>18</v>
      </c>
      <c r="U224" s="72">
        <f>ATL_H90[[#This Row],[OBP]]+ATL_H90[[#This Row],[SLG]]</f>
        <v>0.62787668258792872</v>
      </c>
      <c r="V224" s="74">
        <v>1</v>
      </c>
      <c r="W224" s="615">
        <v>3</v>
      </c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Y224" s="720" t="s">
        <v>770</v>
      </c>
      <c r="AZ224" s="74" t="s">
        <v>235</v>
      </c>
      <c r="BA224" s="71" t="s">
        <v>778</v>
      </c>
      <c r="BB224" s="72">
        <f>IFERROR(PHI_H74120[[#This Row],[H]]/PHI_H74120[[#This Row],[AB]],0)</f>
        <v>0.3125</v>
      </c>
      <c r="BC224" s="72">
        <f>IFERROR((PHI_H74120[[#This Row],[BB]]+PHI_H74120[[#This Row],[H]])/(PHI_H74120[[#This Row],[BB]]+PHI_H74120[[#This Row],[AB]]),0)</f>
        <v>0.3888888888888889</v>
      </c>
      <c r="BD224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0.375</v>
      </c>
      <c r="BE224" s="28">
        <v>5</v>
      </c>
      <c r="BF224" s="28">
        <v>16</v>
      </c>
      <c r="BG224" s="28">
        <v>0</v>
      </c>
      <c r="BH224" s="28">
        <v>5</v>
      </c>
      <c r="BI224" s="28">
        <v>1</v>
      </c>
      <c r="BJ224" s="28">
        <v>0</v>
      </c>
      <c r="BK224" s="28">
        <v>0</v>
      </c>
      <c r="BL224" s="28">
        <v>4</v>
      </c>
      <c r="BM224" s="28">
        <v>2</v>
      </c>
      <c r="BN224" s="74">
        <v>7</v>
      </c>
      <c r="BO224" s="28">
        <v>0</v>
      </c>
      <c r="BP224" s="28">
        <v>1</v>
      </c>
      <c r="BQ224" s="74">
        <v>1</v>
      </c>
      <c r="BR224" s="28">
        <f>(PHI_H74120[[#This Row],[H]]-PHI_H74120[[#This Row],[2B]]-PHI_H74120[[#This Row],[3B]]-PHI_H74120[[#This Row],[HR]])+(PHI_H74120[[#This Row],[2B]]*2)+(PHI_H74120[[#This Row],[3B]]*3)+(PHI_H74120[[#This Row],[HR]]*4)</f>
        <v>6</v>
      </c>
      <c r="BS224" s="72">
        <f>IFERROR(PHI_H74120[[#This Row],[OBP]]+PHI_H74120[[#This Row],[SLG]],0)</f>
        <v>0.76388888888888884</v>
      </c>
      <c r="BT224" s="74">
        <v>0</v>
      </c>
      <c r="BU224" s="615">
        <v>3</v>
      </c>
    </row>
    <row r="225" spans="1:73">
      <c r="A225" s="651" t="s">
        <v>835</v>
      </c>
      <c r="B225" s="71" t="s">
        <v>153</v>
      </c>
      <c r="C225" s="71" t="s">
        <v>839</v>
      </c>
      <c r="D225" s="72">
        <f>IFERROR(ATL_H90[[#This Row],[H]]/ATL_H90[[#This Row],[AB]],0)</f>
        <v>0.23529411764705882</v>
      </c>
      <c r="E225" s="72">
        <f>IFERROR((ATL_H90[[#This Row],[H]]+ATL_H90[[#This Row],[BB]])/(ATL_H90[[#This Row],[BB]]+ATL_H90[[#This Row],[AB]]),0)</f>
        <v>0.26415094339622641</v>
      </c>
      <c r="F225" s="73">
        <f>IFERROR(((ATL_H90[[#This Row],[H]]-ATL_H90[[#This Row],[2B]]-ATL_H90[[#This Row],[3B]]-ATL_H90[[#This Row],[HR]])+(ATL_H90[[#This Row],[2B]]*2)+(ATL_H90[[#This Row],[3B]]*3)+(ATL_H90[[#This Row],[HR]]*4))/ATL_H90[[#This Row],[AB]],0)</f>
        <v>0.47058823529411764</v>
      </c>
      <c r="G225" s="28">
        <v>13</v>
      </c>
      <c r="H225" s="28">
        <v>51</v>
      </c>
      <c r="I225" s="28">
        <v>4</v>
      </c>
      <c r="J225" s="28">
        <v>12</v>
      </c>
      <c r="K225" s="28">
        <v>3</v>
      </c>
      <c r="L225" s="28">
        <v>0</v>
      </c>
      <c r="M225" s="28">
        <v>3</v>
      </c>
      <c r="N225" s="28">
        <v>9</v>
      </c>
      <c r="O225" s="28">
        <v>2</v>
      </c>
      <c r="P225" s="74">
        <v>11</v>
      </c>
      <c r="Q225" s="28">
        <v>0</v>
      </c>
      <c r="R225" s="28">
        <v>1</v>
      </c>
      <c r="S225" s="74">
        <v>3</v>
      </c>
      <c r="T225" s="28">
        <f>IFERROR((ATL_H90[[#This Row],[H]]-ATL_H90[[#This Row],[2B]]-ATL_H90[[#This Row],[3B]]-ATL_H90[[#This Row],[HR]])+(ATL_H90[[#This Row],[2B]]*2)+(ATL_H90[[#This Row],[3B]]*3)+(ATL_H90[[#This Row],[HR]]*4),0)</f>
        <v>24</v>
      </c>
      <c r="U225" s="72">
        <f>ATL_H90[[#This Row],[OBP]]+ATL_H90[[#This Row],[SLG]]</f>
        <v>0.73473917869034411</v>
      </c>
      <c r="V225" s="74">
        <v>1</v>
      </c>
      <c r="W225" s="615">
        <v>4</v>
      </c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Y225" s="720" t="s">
        <v>770</v>
      </c>
      <c r="AZ225" s="74" t="s">
        <v>153</v>
      </c>
      <c r="BA225" s="71" t="s">
        <v>780</v>
      </c>
      <c r="BB225" s="72">
        <f>IFERROR(PHI_H74120[[#This Row],[H]]/PHI_H74120[[#This Row],[AB]],0)</f>
        <v>0.16666666666666666</v>
      </c>
      <c r="BC225" s="72">
        <f>IFERROR((PHI_H74120[[#This Row],[BB]]+PHI_H74120[[#This Row],[H]])/(PHI_H74120[[#This Row],[BB]]+PHI_H74120[[#This Row],[AB]]),0)</f>
        <v>0.25</v>
      </c>
      <c r="BD225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0.22222222222222221</v>
      </c>
      <c r="BE225" s="28">
        <v>5</v>
      </c>
      <c r="BF225" s="28">
        <v>18</v>
      </c>
      <c r="BG225" s="28">
        <v>0</v>
      </c>
      <c r="BH225" s="28">
        <v>3</v>
      </c>
      <c r="BI225" s="28">
        <v>1</v>
      </c>
      <c r="BJ225" s="28">
        <v>0</v>
      </c>
      <c r="BK225" s="28">
        <v>0</v>
      </c>
      <c r="BL225" s="28">
        <v>1</v>
      </c>
      <c r="BM225" s="28">
        <v>2</v>
      </c>
      <c r="BN225" s="74">
        <v>7</v>
      </c>
      <c r="BO225" s="28">
        <v>0</v>
      </c>
      <c r="BP225" s="28">
        <v>0</v>
      </c>
      <c r="BQ225" s="74">
        <v>1</v>
      </c>
      <c r="BR225" s="28">
        <f>(PHI_H74120[[#This Row],[H]]-PHI_H74120[[#This Row],[2B]]-PHI_H74120[[#This Row],[3B]]-PHI_H74120[[#This Row],[HR]])+(PHI_H74120[[#This Row],[2B]]*2)+(PHI_H74120[[#This Row],[3B]]*3)+(PHI_H74120[[#This Row],[HR]]*4)</f>
        <v>4</v>
      </c>
      <c r="BS225" s="72">
        <f>IFERROR(PHI_H74120[[#This Row],[OBP]]+PHI_H74120[[#This Row],[SLG]],0)</f>
        <v>0.47222222222222221</v>
      </c>
      <c r="BT225" s="74">
        <v>0</v>
      </c>
      <c r="BU225" s="615">
        <v>4</v>
      </c>
    </row>
    <row r="226" spans="1:73">
      <c r="A226" s="651" t="s">
        <v>835</v>
      </c>
      <c r="B226" s="71" t="s">
        <v>177</v>
      </c>
      <c r="C226" s="71" t="s">
        <v>720</v>
      </c>
      <c r="D226" s="72">
        <f>IFERROR(ATL_H90[[#This Row],[H]]/ATL_H90[[#This Row],[AB]],0)</f>
        <v>0.11538461538461539</v>
      </c>
      <c r="E226" s="72">
        <f>IFERROR((ATL_H90[[#This Row],[H]]+ATL_H90[[#This Row],[BB]])/(ATL_H90[[#This Row],[BB]]+ATL_H90[[#This Row],[AB]]),0)</f>
        <v>0.20689655172413793</v>
      </c>
      <c r="F226" s="73">
        <f>IFERROR(((ATL_H90[[#This Row],[H]]-ATL_H90[[#This Row],[2B]]-ATL_H90[[#This Row],[3B]]-ATL_H90[[#This Row],[HR]])+(ATL_H90[[#This Row],[2B]]*2)+(ATL_H90[[#This Row],[3B]]*3)+(ATL_H90[[#This Row],[HR]]*4))/ATL_H90[[#This Row],[AB]],0)</f>
        <v>0.23076923076923078</v>
      </c>
      <c r="G226" s="28">
        <v>13</v>
      </c>
      <c r="H226" s="28">
        <v>52</v>
      </c>
      <c r="I226" s="28">
        <v>5</v>
      </c>
      <c r="J226" s="28">
        <v>6</v>
      </c>
      <c r="K226" s="28">
        <v>3</v>
      </c>
      <c r="L226" s="28">
        <v>0</v>
      </c>
      <c r="M226" s="28">
        <v>1</v>
      </c>
      <c r="N226" s="28">
        <v>4</v>
      </c>
      <c r="O226" s="28">
        <v>6</v>
      </c>
      <c r="P226" s="74">
        <v>24</v>
      </c>
      <c r="Q226" s="28">
        <v>0</v>
      </c>
      <c r="R226" s="28">
        <v>0</v>
      </c>
      <c r="S226" s="74">
        <v>4</v>
      </c>
      <c r="T226" s="28">
        <f>IFERROR((ATL_H90[[#This Row],[H]]-ATL_H90[[#This Row],[2B]]-ATL_H90[[#This Row],[3B]]-ATL_H90[[#This Row],[HR]])+(ATL_H90[[#This Row],[2B]]*2)+(ATL_H90[[#This Row],[3B]]*3)+(ATL_H90[[#This Row],[HR]]*4),0)</f>
        <v>12</v>
      </c>
      <c r="U226" s="72">
        <f>ATL_H90[[#This Row],[OBP]]+ATL_H90[[#This Row],[SLG]]</f>
        <v>0.43766578249336874</v>
      </c>
      <c r="V226" s="74">
        <v>1</v>
      </c>
      <c r="W226" s="615">
        <v>5</v>
      </c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Y226" s="720" t="s">
        <v>770</v>
      </c>
      <c r="AZ226" s="104" t="s">
        <v>177</v>
      </c>
      <c r="BA226" s="71" t="s">
        <v>781</v>
      </c>
      <c r="BB226" s="72">
        <f>IFERROR(PHI_H74120[[#This Row],[H]]/PHI_H74120[[#This Row],[AB]],0)</f>
        <v>0.1</v>
      </c>
      <c r="BC226" s="72">
        <f>IFERROR((PHI_H74120[[#This Row],[BB]]+PHI_H74120[[#This Row],[H]])/(PHI_H74120[[#This Row],[BB]]+PHI_H74120[[#This Row],[AB]]),0)</f>
        <v>0.25</v>
      </c>
      <c r="BD226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0.25</v>
      </c>
      <c r="BE226" s="28">
        <v>5</v>
      </c>
      <c r="BF226" s="28">
        <v>20</v>
      </c>
      <c r="BG226" s="28">
        <v>2</v>
      </c>
      <c r="BH226" s="28">
        <v>2</v>
      </c>
      <c r="BI226" s="28">
        <v>0</v>
      </c>
      <c r="BJ226" s="28">
        <v>0</v>
      </c>
      <c r="BK226" s="28">
        <v>1</v>
      </c>
      <c r="BL226" s="28">
        <v>1</v>
      </c>
      <c r="BM226" s="28">
        <v>4</v>
      </c>
      <c r="BN226" s="74">
        <v>10</v>
      </c>
      <c r="BO226" s="28">
        <v>0</v>
      </c>
      <c r="BP226" s="28">
        <v>2</v>
      </c>
      <c r="BQ226" s="74">
        <v>2</v>
      </c>
      <c r="BR226" s="28">
        <f>(PHI_H74120[[#This Row],[H]]-PHI_H74120[[#This Row],[2B]]-PHI_H74120[[#This Row],[3B]]-PHI_H74120[[#This Row],[HR]])+(PHI_H74120[[#This Row],[2B]]*2)+(PHI_H74120[[#This Row],[3B]]*3)+(PHI_H74120[[#This Row],[HR]]*4)</f>
        <v>5</v>
      </c>
      <c r="BS226" s="72">
        <f>IFERROR(PHI_H74120[[#This Row],[OBP]]+PHI_H74120[[#This Row],[SLG]],0)</f>
        <v>0.5</v>
      </c>
      <c r="BT226" s="74">
        <v>0</v>
      </c>
      <c r="BU226" s="615">
        <v>5</v>
      </c>
    </row>
    <row r="227" spans="1:73">
      <c r="A227" s="651" t="s">
        <v>835</v>
      </c>
      <c r="B227" s="71" t="s">
        <v>174</v>
      </c>
      <c r="C227" s="71" t="s">
        <v>843</v>
      </c>
      <c r="D227" s="72">
        <f>IFERROR(ATL_H90[[#This Row],[H]]/ATL_H90[[#This Row],[AB]],0)</f>
        <v>0.32692307692307693</v>
      </c>
      <c r="E227" s="72">
        <f>IFERROR((ATL_H90[[#This Row],[H]]+ATL_H90[[#This Row],[BB]])/(ATL_H90[[#This Row],[BB]]+ATL_H90[[#This Row],[AB]]),0)</f>
        <v>0.375</v>
      </c>
      <c r="F227" s="73">
        <f>IFERROR(((ATL_H90[[#This Row],[H]]-ATL_H90[[#This Row],[2B]]-ATL_H90[[#This Row],[3B]]-ATL_H90[[#This Row],[HR]])+(ATL_H90[[#This Row],[2B]]*2)+(ATL_H90[[#This Row],[3B]]*3)+(ATL_H90[[#This Row],[HR]]*4))/ATL_H90[[#This Row],[AB]],0)</f>
        <v>0.57692307692307687</v>
      </c>
      <c r="G227" s="28">
        <v>13</v>
      </c>
      <c r="H227" s="28">
        <v>52</v>
      </c>
      <c r="I227" s="28">
        <v>6</v>
      </c>
      <c r="J227" s="28">
        <v>17</v>
      </c>
      <c r="K227" s="28">
        <v>4</v>
      </c>
      <c r="L227" s="28">
        <v>0</v>
      </c>
      <c r="M227" s="28">
        <v>3</v>
      </c>
      <c r="N227" s="28">
        <v>10</v>
      </c>
      <c r="O227" s="28">
        <v>4</v>
      </c>
      <c r="P227" s="74">
        <v>13</v>
      </c>
      <c r="Q227" s="28">
        <v>0</v>
      </c>
      <c r="R227" s="28">
        <v>0</v>
      </c>
      <c r="S227" s="74">
        <v>5</v>
      </c>
      <c r="T227" s="28">
        <f>IFERROR((ATL_H90[[#This Row],[H]]-ATL_H90[[#This Row],[2B]]-ATL_H90[[#This Row],[3B]]-ATL_H90[[#This Row],[HR]])+(ATL_H90[[#This Row],[2B]]*2)+(ATL_H90[[#This Row],[3B]]*3)+(ATL_H90[[#This Row],[HR]]*4),0)</f>
        <v>30</v>
      </c>
      <c r="U227" s="72">
        <f>ATL_H90[[#This Row],[OBP]]+ATL_H90[[#This Row],[SLG]]</f>
        <v>0.95192307692307687</v>
      </c>
      <c r="V227" s="74">
        <v>1</v>
      </c>
      <c r="W227" s="615">
        <v>6</v>
      </c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Y227" s="720" t="s">
        <v>770</v>
      </c>
      <c r="AZ227" s="74" t="s">
        <v>234</v>
      </c>
      <c r="BA227" s="71" t="s">
        <v>784</v>
      </c>
      <c r="BB227" s="72">
        <f>IFERROR(PHI_H74120[[#This Row],[H]]/PHI_H74120[[#This Row],[AB]],0)</f>
        <v>0.21052631578947367</v>
      </c>
      <c r="BC227" s="72">
        <f>IFERROR((PHI_H74120[[#This Row],[BB]]+PHI_H74120[[#This Row],[H]])/(PHI_H74120[[#This Row],[BB]]+PHI_H74120[[#This Row],[AB]]),0)</f>
        <v>0.2857142857142857</v>
      </c>
      <c r="BD227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0.21052631578947367</v>
      </c>
      <c r="BE227" s="28">
        <v>5</v>
      </c>
      <c r="BF227" s="28">
        <v>19</v>
      </c>
      <c r="BG227" s="28">
        <v>1</v>
      </c>
      <c r="BH227" s="28">
        <v>4</v>
      </c>
      <c r="BI227" s="28">
        <v>0</v>
      </c>
      <c r="BJ227" s="28">
        <v>0</v>
      </c>
      <c r="BK227" s="28">
        <v>0</v>
      </c>
      <c r="BL227" s="28">
        <v>2</v>
      </c>
      <c r="BM227" s="28">
        <v>2</v>
      </c>
      <c r="BN227" s="74">
        <v>7</v>
      </c>
      <c r="BO227" s="28">
        <v>0</v>
      </c>
      <c r="BP227" s="28">
        <v>0</v>
      </c>
      <c r="BQ227" s="74">
        <v>2</v>
      </c>
      <c r="BR227" s="28">
        <f>(PHI_H74120[[#This Row],[H]]-PHI_H74120[[#This Row],[2B]]-PHI_H74120[[#This Row],[3B]]-PHI_H74120[[#This Row],[HR]])+(PHI_H74120[[#This Row],[2B]]*2)+(PHI_H74120[[#This Row],[3B]]*3)+(PHI_H74120[[#This Row],[HR]]*4)</f>
        <v>4</v>
      </c>
      <c r="BS227" s="72">
        <f>IFERROR(PHI_H74120[[#This Row],[OBP]]+PHI_H74120[[#This Row],[SLG]],0)</f>
        <v>0.49624060150375937</v>
      </c>
      <c r="BT227" s="74">
        <v>0</v>
      </c>
      <c r="BU227" s="615">
        <v>6</v>
      </c>
    </row>
    <row r="228" spans="1:73">
      <c r="A228" s="651" t="s">
        <v>835</v>
      </c>
      <c r="B228" s="71" t="s">
        <v>181</v>
      </c>
      <c r="C228" s="71" t="s">
        <v>841</v>
      </c>
      <c r="D228" s="72">
        <f>IFERROR(ATL_H90[[#This Row],[H]]/ATL_H90[[#This Row],[AB]],0)</f>
        <v>0.1702127659574468</v>
      </c>
      <c r="E228" s="72">
        <f>IFERROR((ATL_H90[[#This Row],[H]]+ATL_H90[[#This Row],[BB]])/(ATL_H90[[#This Row],[BB]]+ATL_H90[[#This Row],[AB]]),0)</f>
        <v>0.23529411764705882</v>
      </c>
      <c r="F228" s="73">
        <f>IFERROR(((ATL_H90[[#This Row],[H]]-ATL_H90[[#This Row],[2B]]-ATL_H90[[#This Row],[3B]]-ATL_H90[[#This Row],[HR]])+(ATL_H90[[#This Row],[2B]]*2)+(ATL_H90[[#This Row],[3B]]*3)+(ATL_H90[[#This Row],[HR]]*4))/ATL_H90[[#This Row],[AB]],0)</f>
        <v>0.27659574468085107</v>
      </c>
      <c r="G228" s="28">
        <v>13</v>
      </c>
      <c r="H228" s="28">
        <v>47</v>
      </c>
      <c r="I228" s="28">
        <v>1</v>
      </c>
      <c r="J228" s="28">
        <v>8</v>
      </c>
      <c r="K228" s="28">
        <v>5</v>
      </c>
      <c r="L228" s="28">
        <v>0</v>
      </c>
      <c r="M228" s="28">
        <v>0</v>
      </c>
      <c r="N228" s="28">
        <v>1</v>
      </c>
      <c r="O228" s="28">
        <v>4</v>
      </c>
      <c r="P228" s="74">
        <v>13</v>
      </c>
      <c r="Q228" s="28">
        <v>0</v>
      </c>
      <c r="R228" s="28">
        <v>0</v>
      </c>
      <c r="S228" s="74">
        <v>4</v>
      </c>
      <c r="T228" s="28">
        <f>IFERROR((ATL_H90[[#This Row],[H]]-ATL_H90[[#This Row],[2B]]-ATL_H90[[#This Row],[3B]]-ATL_H90[[#This Row],[HR]])+(ATL_H90[[#This Row],[2B]]*2)+(ATL_H90[[#This Row],[3B]]*3)+(ATL_H90[[#This Row],[HR]]*4),0)</f>
        <v>13</v>
      </c>
      <c r="U228" s="72">
        <f>ATL_H90[[#This Row],[OBP]]+ATL_H90[[#This Row],[SLG]]</f>
        <v>0.51188986232790989</v>
      </c>
      <c r="V228" s="74">
        <v>0</v>
      </c>
      <c r="W228" s="615">
        <v>7</v>
      </c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Y228" s="720" t="s">
        <v>770</v>
      </c>
      <c r="AZ228" s="104" t="s">
        <v>181</v>
      </c>
      <c r="BA228" s="71" t="s">
        <v>776</v>
      </c>
      <c r="BB228" s="72">
        <f>IFERROR(PHI_H74120[[#This Row],[H]]/PHI_H74120[[#This Row],[AB]],0)</f>
        <v>0.27777777777777779</v>
      </c>
      <c r="BC228" s="72">
        <f>IFERROR((PHI_H74120[[#This Row],[BB]]+PHI_H74120[[#This Row],[H]])/(PHI_H74120[[#This Row],[BB]]+PHI_H74120[[#This Row],[AB]]),0)</f>
        <v>0.48</v>
      </c>
      <c r="BD228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0.3888888888888889</v>
      </c>
      <c r="BE228" s="28">
        <v>5</v>
      </c>
      <c r="BF228" s="28">
        <v>18</v>
      </c>
      <c r="BG228" s="28">
        <v>3</v>
      </c>
      <c r="BH228" s="28">
        <v>5</v>
      </c>
      <c r="BI228" s="28">
        <v>2</v>
      </c>
      <c r="BJ228" s="28">
        <v>0</v>
      </c>
      <c r="BK228" s="28">
        <v>0</v>
      </c>
      <c r="BL228" s="28">
        <v>1</v>
      </c>
      <c r="BM228" s="28">
        <v>7</v>
      </c>
      <c r="BN228" s="74">
        <v>5</v>
      </c>
      <c r="BO228" s="28">
        <v>2</v>
      </c>
      <c r="BP228" s="28">
        <v>0</v>
      </c>
      <c r="BQ228" s="74">
        <v>2</v>
      </c>
      <c r="BR228" s="28">
        <f>(PHI_H74120[[#This Row],[H]]-PHI_H74120[[#This Row],[2B]]-PHI_H74120[[#This Row],[3B]]-PHI_H74120[[#This Row],[HR]])+(PHI_H74120[[#This Row],[2B]]*2)+(PHI_H74120[[#This Row],[3B]]*3)+(PHI_H74120[[#This Row],[HR]]*4)</f>
        <v>7</v>
      </c>
      <c r="BS228" s="72">
        <f>IFERROR(PHI_H74120[[#This Row],[OBP]]+PHI_H74120[[#This Row],[SLG]],0)</f>
        <v>0.86888888888888882</v>
      </c>
      <c r="BT228" s="74">
        <v>0</v>
      </c>
      <c r="BU228" s="615">
        <v>7</v>
      </c>
    </row>
    <row r="229" spans="1:73">
      <c r="A229" s="651" t="s">
        <v>835</v>
      </c>
      <c r="B229" s="71" t="s">
        <v>166</v>
      </c>
      <c r="C229" s="71" t="s">
        <v>840</v>
      </c>
      <c r="D229" s="72">
        <f>IFERROR(ATL_H90[[#This Row],[H]]/ATL_H90[[#This Row],[AB]],0)</f>
        <v>0.32727272727272727</v>
      </c>
      <c r="E229" s="72">
        <f>IFERROR((ATL_H90[[#This Row],[H]]+ATL_H90[[#This Row],[BB]])/(ATL_H90[[#This Row],[BB]]+ATL_H90[[#This Row],[AB]]),0)</f>
        <v>0.3728813559322034</v>
      </c>
      <c r="F229" s="73">
        <f>IFERROR(((ATL_H90[[#This Row],[H]]-ATL_H90[[#This Row],[2B]]-ATL_H90[[#This Row],[3B]]-ATL_H90[[#This Row],[HR]])+(ATL_H90[[#This Row],[2B]]*2)+(ATL_H90[[#This Row],[3B]]*3)+(ATL_H90[[#This Row],[HR]]*4))/ATL_H90[[#This Row],[AB]],0)</f>
        <v>0.45454545454545453</v>
      </c>
      <c r="G229" s="28">
        <v>13</v>
      </c>
      <c r="H229" s="28">
        <v>55</v>
      </c>
      <c r="I229" s="28">
        <v>10</v>
      </c>
      <c r="J229" s="28">
        <v>18</v>
      </c>
      <c r="K229" s="28">
        <v>1</v>
      </c>
      <c r="L229" s="28">
        <v>0</v>
      </c>
      <c r="M229" s="28">
        <v>2</v>
      </c>
      <c r="N229" s="28">
        <v>4</v>
      </c>
      <c r="O229" s="28">
        <v>4</v>
      </c>
      <c r="P229" s="74">
        <v>18</v>
      </c>
      <c r="Q229" s="28">
        <v>6</v>
      </c>
      <c r="R229" s="28">
        <v>2</v>
      </c>
      <c r="S229" s="74">
        <v>9</v>
      </c>
      <c r="T229" s="28">
        <f>IFERROR((ATL_H90[[#This Row],[H]]-ATL_H90[[#This Row],[2B]]-ATL_H90[[#This Row],[3B]]-ATL_H90[[#This Row],[HR]])+(ATL_H90[[#This Row],[2B]]*2)+(ATL_H90[[#This Row],[3B]]*3)+(ATL_H90[[#This Row],[HR]]*4),0)</f>
        <v>25</v>
      </c>
      <c r="U229" s="72">
        <f>ATL_H90[[#This Row],[OBP]]+ATL_H90[[#This Row],[SLG]]</f>
        <v>0.82742681047765787</v>
      </c>
      <c r="V229" s="74">
        <v>0</v>
      </c>
      <c r="W229" s="615">
        <v>8</v>
      </c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Y229" s="720" t="s">
        <v>770</v>
      </c>
      <c r="AZ229" s="74" t="s">
        <v>166</v>
      </c>
      <c r="BA229" s="71" t="s">
        <v>772</v>
      </c>
      <c r="BB229" s="72">
        <f>IFERROR(PHI_H74120[[#This Row],[H]]/PHI_H74120[[#This Row],[AB]],0)</f>
        <v>0.2857142857142857</v>
      </c>
      <c r="BC229" s="72">
        <f>IFERROR((PHI_H74120[[#This Row],[BB]]+PHI_H74120[[#This Row],[H]])/(PHI_H74120[[#This Row],[BB]]+PHI_H74120[[#This Row],[AB]]),0)</f>
        <v>0.34782608695652173</v>
      </c>
      <c r="BD229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0.2857142857142857</v>
      </c>
      <c r="BE229" s="28">
        <v>5</v>
      </c>
      <c r="BF229" s="28">
        <v>21</v>
      </c>
      <c r="BG229" s="28">
        <v>4</v>
      </c>
      <c r="BH229" s="28">
        <v>6</v>
      </c>
      <c r="BI229" s="28">
        <v>0</v>
      </c>
      <c r="BJ229" s="28">
        <v>0</v>
      </c>
      <c r="BK229" s="28">
        <v>0</v>
      </c>
      <c r="BL229" s="28">
        <v>1</v>
      </c>
      <c r="BM229" s="28">
        <v>2</v>
      </c>
      <c r="BN229" s="74">
        <v>10</v>
      </c>
      <c r="BO229" s="28">
        <v>0</v>
      </c>
      <c r="BP229" s="28">
        <v>5</v>
      </c>
      <c r="BQ229" s="74">
        <v>5</v>
      </c>
      <c r="BR229" s="28">
        <f>(PHI_H74120[[#This Row],[H]]-PHI_H74120[[#This Row],[2B]]-PHI_H74120[[#This Row],[3B]]-PHI_H74120[[#This Row],[HR]])+(PHI_H74120[[#This Row],[2B]]*2)+(PHI_H74120[[#This Row],[3B]]*3)+(PHI_H74120[[#This Row],[HR]]*4)</f>
        <v>6</v>
      </c>
      <c r="BS229" s="72">
        <f>IFERROR(PHI_H74120[[#This Row],[OBP]]+PHI_H74120[[#This Row],[SLG]],0)</f>
        <v>0.63354037267080743</v>
      </c>
      <c r="BT229" s="74">
        <v>1</v>
      </c>
      <c r="BU229" s="615">
        <v>8</v>
      </c>
    </row>
    <row r="230" spans="1:73">
      <c r="A230" s="651" t="s">
        <v>835</v>
      </c>
      <c r="B230" s="77" t="s">
        <v>168</v>
      </c>
      <c r="C230" s="71" t="s">
        <v>848</v>
      </c>
      <c r="D230" s="72">
        <f>IFERROR(ATL_H90[[#This Row],[H]]/ATL_H90[[#This Row],[AB]],0)</f>
        <v>0.18367346938775511</v>
      </c>
      <c r="E230" s="72">
        <f>IFERROR((ATL_H90[[#This Row],[H]]+ATL_H90[[#This Row],[BB]])/(ATL_H90[[#This Row],[BB]]+ATL_H90[[#This Row],[AB]]),0)</f>
        <v>0.27272727272727271</v>
      </c>
      <c r="F230" s="73">
        <f>IFERROR(((ATL_H90[[#This Row],[H]]-ATL_H90[[#This Row],[2B]]-ATL_H90[[#This Row],[3B]]-ATL_H90[[#This Row],[HR]])+(ATL_H90[[#This Row],[2B]]*2)+(ATL_H90[[#This Row],[3B]]*3)+(ATL_H90[[#This Row],[HR]]*4))/ATL_H90[[#This Row],[AB]],0)</f>
        <v>0.34693877551020408</v>
      </c>
      <c r="G230" s="28">
        <v>13</v>
      </c>
      <c r="H230" s="28">
        <v>49</v>
      </c>
      <c r="I230" s="28">
        <v>6</v>
      </c>
      <c r="J230" s="28">
        <v>9</v>
      </c>
      <c r="K230" s="28">
        <v>2</v>
      </c>
      <c r="L230" s="28">
        <v>0</v>
      </c>
      <c r="M230" s="28">
        <v>2</v>
      </c>
      <c r="N230" s="28">
        <v>7</v>
      </c>
      <c r="O230" s="28">
        <v>6</v>
      </c>
      <c r="P230" s="74">
        <v>17</v>
      </c>
      <c r="Q230" s="28">
        <v>0</v>
      </c>
      <c r="R230" s="28">
        <v>0</v>
      </c>
      <c r="S230" s="74">
        <v>3</v>
      </c>
      <c r="T230" s="28">
        <f>IFERROR((ATL_H90[[#This Row],[H]]-ATL_H90[[#This Row],[2B]]-ATL_H90[[#This Row],[3B]]-ATL_H90[[#This Row],[HR]])+(ATL_H90[[#This Row],[2B]]*2)+(ATL_H90[[#This Row],[3B]]*3)+(ATL_H90[[#This Row],[HR]]*4),0)</f>
        <v>17</v>
      </c>
      <c r="U230" s="72">
        <f>ATL_H90[[#This Row],[OBP]]+ATL_H90[[#This Row],[SLG]]</f>
        <v>0.61966604823747673</v>
      </c>
      <c r="V230" s="74">
        <v>1</v>
      </c>
      <c r="W230" s="615">
        <v>9</v>
      </c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Y230" s="720" t="s">
        <v>770</v>
      </c>
      <c r="AZ230" s="74" t="s">
        <v>168</v>
      </c>
      <c r="BA230" s="71" t="s">
        <v>773</v>
      </c>
      <c r="BB230" s="72">
        <f>IFERROR(PHI_H74120[[#This Row],[H]]/PHI_H74120[[#This Row],[AB]],0)</f>
        <v>0.21052631578947367</v>
      </c>
      <c r="BC230" s="72">
        <f>IFERROR((PHI_H74120[[#This Row],[BB]]+PHI_H74120[[#This Row],[H]])/(PHI_H74120[[#This Row],[BB]]+PHI_H74120[[#This Row],[AB]]),0)</f>
        <v>0.34782608695652173</v>
      </c>
      <c r="BD230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0.42105263157894735</v>
      </c>
      <c r="BE230" s="28">
        <v>5</v>
      </c>
      <c r="BF230" s="28">
        <v>19</v>
      </c>
      <c r="BG230" s="28">
        <v>4</v>
      </c>
      <c r="BH230" s="28">
        <v>4</v>
      </c>
      <c r="BI230" s="28">
        <v>1</v>
      </c>
      <c r="BJ230" s="28">
        <v>0</v>
      </c>
      <c r="BK230" s="28">
        <v>1</v>
      </c>
      <c r="BL230" s="28">
        <v>4</v>
      </c>
      <c r="BM230" s="28">
        <v>4</v>
      </c>
      <c r="BN230" s="74">
        <v>7</v>
      </c>
      <c r="BO230" s="28">
        <v>0</v>
      </c>
      <c r="BP230" s="28">
        <v>2</v>
      </c>
      <c r="BQ230" s="74">
        <v>2</v>
      </c>
      <c r="BR230" s="28">
        <f>(PHI_H74120[[#This Row],[H]]-PHI_H74120[[#This Row],[2B]]-PHI_H74120[[#This Row],[3B]]-PHI_H74120[[#This Row],[HR]])+(PHI_H74120[[#This Row],[2B]]*2)+(PHI_H74120[[#This Row],[3B]]*3)+(PHI_H74120[[#This Row],[HR]]*4)</f>
        <v>8</v>
      </c>
      <c r="BS230" s="72">
        <f>IFERROR(PHI_H74120[[#This Row],[OBP]]+PHI_H74120[[#This Row],[SLG]],0)</f>
        <v>0.76887871853546907</v>
      </c>
      <c r="BT230" s="74">
        <v>1</v>
      </c>
      <c r="BU230" s="615">
        <v>9</v>
      </c>
    </row>
    <row r="231" spans="1:73">
      <c r="A231" s="651" t="s">
        <v>835</v>
      </c>
      <c r="B231" s="77" t="s">
        <v>179</v>
      </c>
      <c r="C231" s="71" t="s">
        <v>725</v>
      </c>
      <c r="D231" s="72">
        <f>IFERROR(ATL_H90[[#This Row],[H]]/ATL_H90[[#This Row],[AB]],0)</f>
        <v>0</v>
      </c>
      <c r="E231" s="72">
        <f>IFERROR((ATL_H90[[#This Row],[H]]+ATL_H90[[#This Row],[BB]])/(ATL_H90[[#This Row],[BB]]+ATL_H90[[#This Row],[AB]]),0)</f>
        <v>0</v>
      </c>
      <c r="F231" s="73">
        <f>IFERROR(((ATL_H90[[#This Row],[H]]-ATL_H90[[#This Row],[2B]]-ATL_H90[[#This Row],[3B]]-ATL_H90[[#This Row],[HR]])+(ATL_H90[[#This Row],[2B]]*2)+(ATL_H90[[#This Row],[3B]]*3)+(ATL_H90[[#This Row],[HR]]*4))/ATL_H90[[#This Row],[AB]],0)</f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74">
        <v>0</v>
      </c>
      <c r="Q231" s="28">
        <v>0</v>
      </c>
      <c r="R231" s="28">
        <v>0</v>
      </c>
      <c r="S231" s="74">
        <v>0</v>
      </c>
      <c r="T231" s="28">
        <f>IFERROR((ATL_H90[[#This Row],[H]]-ATL_H90[[#This Row],[2B]]-ATL_H90[[#This Row],[3B]]-ATL_H90[[#This Row],[HR]])+(ATL_H90[[#This Row],[2B]]*2)+(ATL_H90[[#This Row],[3B]]*3)+(ATL_H90[[#This Row],[HR]]*4),0)</f>
        <v>0</v>
      </c>
      <c r="U231" s="72">
        <f>ATL_H90[[#This Row],[OBP]]+ATL_H90[[#This Row],[SLG]]</f>
        <v>0</v>
      </c>
      <c r="V231" s="74">
        <v>0</v>
      </c>
      <c r="W231" s="615">
        <v>10</v>
      </c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Y231" s="720" t="s">
        <v>770</v>
      </c>
      <c r="AZ231" s="74" t="s">
        <v>179</v>
      </c>
      <c r="BA231" s="71" t="s">
        <v>787</v>
      </c>
      <c r="BB231" s="72">
        <f>IFERROR(PHI_H74120[[#This Row],[H]]/PHI_H74120[[#This Row],[AB]],0)</f>
        <v>0</v>
      </c>
      <c r="BC231" s="72">
        <f>IFERROR((PHI_H74120[[#This Row],[BB]]+PHI_H74120[[#This Row],[H]])/(PHI_H74120[[#This Row],[BB]]+PHI_H74120[[#This Row],[AB]]),0)</f>
        <v>0</v>
      </c>
      <c r="BD231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</v>
      </c>
      <c r="BE231" s="28">
        <v>0</v>
      </c>
      <c r="BF231" s="28">
        <v>0</v>
      </c>
      <c r="BG231" s="28">
        <v>0</v>
      </c>
      <c r="BH231" s="28">
        <v>0</v>
      </c>
      <c r="BI231" s="28">
        <v>0</v>
      </c>
      <c r="BJ231" s="28">
        <v>0</v>
      </c>
      <c r="BK231" s="28">
        <v>0</v>
      </c>
      <c r="BL231" s="28">
        <v>0</v>
      </c>
      <c r="BM231" s="28">
        <v>0</v>
      </c>
      <c r="BN231" s="74">
        <v>0</v>
      </c>
      <c r="BO231" s="28">
        <v>0</v>
      </c>
      <c r="BP231" s="28">
        <v>0</v>
      </c>
      <c r="BQ231" s="74">
        <v>0</v>
      </c>
      <c r="BR231" s="28">
        <f>(PHI_H74120[[#This Row],[H]]-PHI_H74120[[#This Row],[2B]]-PHI_H74120[[#This Row],[3B]]-PHI_H74120[[#This Row],[HR]])+(PHI_H74120[[#This Row],[2B]]*2)+(PHI_H74120[[#This Row],[3B]]*3)+(PHI_H74120[[#This Row],[HR]]*4)</f>
        <v>0</v>
      </c>
      <c r="BS231" s="72">
        <f>IFERROR(PHI_H74120[[#This Row],[OBP]]+PHI_H74120[[#This Row],[SLG]],0)</f>
        <v>0</v>
      </c>
      <c r="BT231" s="74">
        <v>0</v>
      </c>
      <c r="BU231" s="615">
        <v>10</v>
      </c>
    </row>
    <row r="232" spans="1:73">
      <c r="A232" s="651" t="s">
        <v>835</v>
      </c>
      <c r="B232" s="71" t="s">
        <v>187</v>
      </c>
      <c r="C232" s="71" t="s">
        <v>837</v>
      </c>
      <c r="D232" s="72">
        <f>IFERROR(ATL_H90[[#This Row],[H]]/ATL_H90[[#This Row],[AB]],0)</f>
        <v>0</v>
      </c>
      <c r="E232" s="72">
        <f>IFERROR((ATL_H90[[#This Row],[H]]+ATL_H90[[#This Row],[BB]])/(ATL_H90[[#This Row],[BB]]+ATL_H90[[#This Row],[AB]]),0)</f>
        <v>0</v>
      </c>
      <c r="F232" s="73">
        <f>IFERROR(((ATL_H90[[#This Row],[H]]-ATL_H90[[#This Row],[2B]]-ATL_H90[[#This Row],[3B]]-ATL_H90[[#This Row],[HR]])+(ATL_H90[[#This Row],[2B]]*2)+(ATL_H90[[#This Row],[3B]]*3)+(ATL_H90[[#This Row],[HR]]*4))/ATL_H90[[#This Row],[AB]],0)</f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74">
        <v>0</v>
      </c>
      <c r="Q232" s="28">
        <v>0</v>
      </c>
      <c r="R232" s="28">
        <v>0</v>
      </c>
      <c r="S232" s="74">
        <v>0</v>
      </c>
      <c r="T232" s="28">
        <f>IFERROR((ATL_H90[[#This Row],[H]]-ATL_H90[[#This Row],[2B]]-ATL_H90[[#This Row],[3B]]-ATL_H90[[#This Row],[HR]])+(ATL_H90[[#This Row],[2B]]*2)+(ATL_H90[[#This Row],[3B]]*3)+(ATL_H90[[#This Row],[HR]]*4),0)</f>
        <v>0</v>
      </c>
      <c r="U232" s="72">
        <f>ATL_H90[[#This Row],[OBP]]+ATL_H90[[#This Row],[SLG]]</f>
        <v>0</v>
      </c>
      <c r="V232" s="74">
        <v>0</v>
      </c>
      <c r="W232" s="615">
        <v>11</v>
      </c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Y232" s="720" t="s">
        <v>770</v>
      </c>
      <c r="AZ232" s="74" t="s">
        <v>192</v>
      </c>
      <c r="BA232" s="71" t="s">
        <v>786</v>
      </c>
      <c r="BB232" s="72">
        <f>IFERROR(PHI_H74120[[#This Row],[H]]/PHI_H74120[[#This Row],[AB]],0)</f>
        <v>0</v>
      </c>
      <c r="BC232" s="72">
        <f>IFERROR((PHI_H74120[[#This Row],[BB]]+PHI_H74120[[#This Row],[H]])/(PHI_H74120[[#This Row],[BB]]+PHI_H74120[[#This Row],[AB]]),0)</f>
        <v>0</v>
      </c>
      <c r="BD232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74">
        <v>0</v>
      </c>
      <c r="BO232" s="28">
        <v>0</v>
      </c>
      <c r="BP232" s="28">
        <v>0</v>
      </c>
      <c r="BQ232" s="74">
        <v>0</v>
      </c>
      <c r="BR232" s="28">
        <f>(PHI_H74120[[#This Row],[H]]-PHI_H74120[[#This Row],[2B]]-PHI_H74120[[#This Row],[3B]]-PHI_H74120[[#This Row],[HR]])+(PHI_H74120[[#This Row],[2B]]*2)+(PHI_H74120[[#This Row],[3B]]*3)+(PHI_H74120[[#This Row],[HR]]*4)</f>
        <v>0</v>
      </c>
      <c r="BS232" s="72">
        <f>IFERROR(PHI_H74120[[#This Row],[OBP]]+PHI_H74120[[#This Row],[SLG]],0)</f>
        <v>0</v>
      </c>
      <c r="BT232" s="74">
        <v>0</v>
      </c>
      <c r="BU232" s="615">
        <v>11</v>
      </c>
    </row>
    <row r="233" spans="1:73">
      <c r="A233" s="651" t="s">
        <v>835</v>
      </c>
      <c r="B233" s="71" t="s">
        <v>187</v>
      </c>
      <c r="C233" s="71" t="s">
        <v>851</v>
      </c>
      <c r="D233" s="72">
        <f>IFERROR(ATL_H90[[#This Row],[H]]/ATL_H90[[#This Row],[AB]],0)</f>
        <v>0</v>
      </c>
      <c r="E233" s="72">
        <f>IFERROR((ATL_H90[[#This Row],[H]]+ATL_H90[[#This Row],[BB]])/(ATL_H90[[#This Row],[BB]]+ATL_H90[[#This Row],[AB]]),0)</f>
        <v>0</v>
      </c>
      <c r="F233" s="73">
        <f>IFERROR(((ATL_H90[[#This Row],[H]]-ATL_H90[[#This Row],[2B]]-ATL_H90[[#This Row],[3B]]-ATL_H90[[#This Row],[HR]])+(ATL_H90[[#This Row],[2B]]*2)+(ATL_H90[[#This Row],[3B]]*3)+(ATL_H90[[#This Row],[HR]]*4))/ATL_H90[[#This Row],[AB]],0)</f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74">
        <v>0</v>
      </c>
      <c r="Q233" s="28">
        <v>0</v>
      </c>
      <c r="R233" s="28">
        <v>0</v>
      </c>
      <c r="S233" s="74">
        <v>0</v>
      </c>
      <c r="T233" s="28">
        <f>IFERROR((ATL_H90[[#This Row],[H]]-ATL_H90[[#This Row],[2B]]-ATL_H90[[#This Row],[3B]]-ATL_H90[[#This Row],[HR]])+(ATL_H90[[#This Row],[2B]]*2)+(ATL_H90[[#This Row],[3B]]*3)+(ATL_H90[[#This Row],[HR]]*4),0)</f>
        <v>0</v>
      </c>
      <c r="U233" s="72">
        <f>ATL_H90[[#This Row],[OBP]]+ATL_H90[[#This Row],[SLG]]</f>
        <v>0</v>
      </c>
      <c r="V233" s="74">
        <v>0</v>
      </c>
      <c r="W233" s="615">
        <v>12</v>
      </c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Y233" s="720" t="s">
        <v>770</v>
      </c>
      <c r="AZ233" s="74" t="s">
        <v>192</v>
      </c>
      <c r="BA233" s="71" t="s">
        <v>785</v>
      </c>
      <c r="BB233" s="72">
        <f>IFERROR(PHI_H74120[[#This Row],[H]]/PHI_H74120[[#This Row],[AB]],0)</f>
        <v>0</v>
      </c>
      <c r="BC233" s="72">
        <f>IFERROR((PHI_H74120[[#This Row],[BB]]+PHI_H74120[[#This Row],[H]])/(PHI_H74120[[#This Row],[BB]]+PHI_H74120[[#This Row],[AB]]),0)</f>
        <v>0</v>
      </c>
      <c r="BD233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0</v>
      </c>
      <c r="BM233" s="28">
        <v>0</v>
      </c>
      <c r="BN233" s="74">
        <v>0</v>
      </c>
      <c r="BO233" s="28">
        <v>0</v>
      </c>
      <c r="BP233" s="28">
        <v>0</v>
      </c>
      <c r="BQ233" s="74">
        <v>0</v>
      </c>
      <c r="BR233" s="28">
        <f>(PHI_H74120[[#This Row],[H]]-PHI_H74120[[#This Row],[2B]]-PHI_H74120[[#This Row],[3B]]-PHI_H74120[[#This Row],[HR]])+(PHI_H74120[[#This Row],[2B]]*2)+(PHI_H74120[[#This Row],[3B]]*3)+(PHI_H74120[[#This Row],[HR]]*4)</f>
        <v>0</v>
      </c>
      <c r="BS233" s="72">
        <f>IFERROR(PHI_H74120[[#This Row],[OBP]]+PHI_H74120[[#This Row],[SLG]],0)</f>
        <v>0</v>
      </c>
      <c r="BT233" s="74">
        <v>0</v>
      </c>
      <c r="BU233" s="615">
        <v>12</v>
      </c>
    </row>
    <row r="234" spans="1:73">
      <c r="A234" s="651" t="s">
        <v>835</v>
      </c>
      <c r="B234" s="71" t="s">
        <v>192</v>
      </c>
      <c r="C234" s="71" t="s">
        <v>850</v>
      </c>
      <c r="D234" s="72">
        <f>IFERROR(ATL_H90[[#This Row],[H]]/ATL_H90[[#This Row],[AB]],0)</f>
        <v>0</v>
      </c>
      <c r="E234" s="72">
        <f>IFERROR((ATL_H90[[#This Row],[H]]+ATL_H90[[#This Row],[BB]])/(ATL_H90[[#This Row],[BB]]+ATL_H90[[#This Row],[AB]]),0)</f>
        <v>0</v>
      </c>
      <c r="F234" s="73">
        <f>IFERROR(((ATL_H90[[#This Row],[H]]-ATL_H90[[#This Row],[2B]]-ATL_H90[[#This Row],[3B]]-ATL_H90[[#This Row],[HR]])+(ATL_H90[[#This Row],[2B]]*2)+(ATL_H90[[#This Row],[3B]]*3)+(ATL_H90[[#This Row],[HR]]*4))/ATL_H90[[#This Row],[AB]],0)</f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74">
        <v>0</v>
      </c>
      <c r="Q234" s="28">
        <v>0</v>
      </c>
      <c r="R234" s="28">
        <v>0</v>
      </c>
      <c r="S234" s="74">
        <v>0</v>
      </c>
      <c r="T234" s="28">
        <f>IFERROR((ATL_H90[[#This Row],[H]]-ATL_H90[[#This Row],[2B]]-ATL_H90[[#This Row],[3B]]-ATL_H90[[#This Row],[HR]])+(ATL_H90[[#This Row],[2B]]*2)+(ATL_H90[[#This Row],[3B]]*3)+(ATL_H90[[#This Row],[HR]]*4),0)</f>
        <v>0</v>
      </c>
      <c r="U234" s="72">
        <f>ATL_H90[[#This Row],[OBP]]+ATL_H90[[#This Row],[SLG]]</f>
        <v>0</v>
      </c>
      <c r="V234" s="74">
        <v>0</v>
      </c>
      <c r="W234" s="615">
        <v>13</v>
      </c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Y234" s="720" t="s">
        <v>770</v>
      </c>
      <c r="AZ234" s="74" t="s">
        <v>187</v>
      </c>
      <c r="BA234" s="71" t="s">
        <v>789</v>
      </c>
      <c r="BB234" s="72">
        <f>IFERROR(PHI_H74120[[#This Row],[H]]/PHI_H74120[[#This Row],[AB]],0)</f>
        <v>0</v>
      </c>
      <c r="BC234" s="72">
        <f>IFERROR((PHI_H74120[[#This Row],[BB]]+PHI_H74120[[#This Row],[H]])/(PHI_H74120[[#This Row],[BB]]+PHI_H74120[[#This Row],[AB]]),0)</f>
        <v>0</v>
      </c>
      <c r="BD234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74">
        <v>0</v>
      </c>
      <c r="BO234" s="28">
        <v>0</v>
      </c>
      <c r="BP234" s="28">
        <v>0</v>
      </c>
      <c r="BQ234" s="74">
        <v>0</v>
      </c>
      <c r="BR234" s="28">
        <f>(PHI_H74120[[#This Row],[H]]-PHI_H74120[[#This Row],[2B]]-PHI_H74120[[#This Row],[3B]]-PHI_H74120[[#This Row],[HR]])+(PHI_H74120[[#This Row],[2B]]*2)+(PHI_H74120[[#This Row],[3B]]*3)+(PHI_H74120[[#This Row],[HR]]*4)</f>
        <v>0</v>
      </c>
      <c r="BS234" s="72">
        <f>IFERROR(PHI_H74120[[#This Row],[OBP]]+PHI_H74120[[#This Row],[SLG]],0)</f>
        <v>0</v>
      </c>
      <c r="BT234" s="74">
        <v>0</v>
      </c>
      <c r="BU234" s="615">
        <v>13</v>
      </c>
    </row>
    <row r="235" spans="1:73" ht="17" thickBot="1">
      <c r="A235" s="651" t="s">
        <v>835</v>
      </c>
      <c r="B235" s="71" t="s">
        <v>186</v>
      </c>
      <c r="C235" s="71" t="s">
        <v>849</v>
      </c>
      <c r="D235" s="72">
        <f>IFERROR(ATL_H90[[#This Row],[H]]/ATL_H90[[#This Row],[AB]],0)</f>
        <v>0</v>
      </c>
      <c r="E235" s="72">
        <f>IFERROR((ATL_H90[[#This Row],[H]]+ATL_H90[[#This Row],[BB]])/(ATL_H90[[#This Row],[BB]]+ATL_H90[[#This Row],[AB]]),0)</f>
        <v>0</v>
      </c>
      <c r="F235" s="73">
        <f>IFERROR(((ATL_H90[[#This Row],[H]]-ATL_H90[[#This Row],[2B]]-ATL_H90[[#This Row],[3B]]-ATL_H90[[#This Row],[HR]])+(ATL_H90[[#This Row],[2B]]*2)+(ATL_H90[[#This Row],[3B]]*3)+(ATL_H90[[#This Row],[HR]]*4))/ATL_H90[[#This Row],[AB]],0)</f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74">
        <v>0</v>
      </c>
      <c r="Q235" s="28">
        <v>0</v>
      </c>
      <c r="R235" s="28">
        <v>0</v>
      </c>
      <c r="S235" s="74">
        <v>0</v>
      </c>
      <c r="T235" s="28">
        <f>IFERROR((ATL_H90[[#This Row],[H]]-ATL_H90[[#This Row],[2B]]-ATL_H90[[#This Row],[3B]]-ATL_H90[[#This Row],[HR]])+(ATL_H90[[#This Row],[2B]]*2)+(ATL_H90[[#This Row],[3B]]*3)+(ATL_H90[[#This Row],[HR]]*4),0)</f>
        <v>0</v>
      </c>
      <c r="U235" s="72">
        <f>ATL_H90[[#This Row],[OBP]]+ATL_H90[[#This Row],[SLG]]</f>
        <v>0</v>
      </c>
      <c r="V235" s="74">
        <v>0</v>
      </c>
      <c r="W235" s="615">
        <v>14</v>
      </c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Y235" s="720" t="s">
        <v>770</v>
      </c>
      <c r="AZ235" s="74" t="s">
        <v>186</v>
      </c>
      <c r="BA235" s="71" t="s">
        <v>783</v>
      </c>
      <c r="BB235" s="72">
        <f>IFERROR(PHI_H74120[[#This Row],[H]]/PHI_H74120[[#This Row],[AB]],0)</f>
        <v>0</v>
      </c>
      <c r="BC235" s="72">
        <f>IFERROR((PHI_H74120[[#This Row],[BB]]+PHI_H74120[[#This Row],[H]])/(PHI_H74120[[#This Row],[BB]]+PHI_H74120[[#This Row],[AB]]),0)</f>
        <v>0</v>
      </c>
      <c r="BD235" s="73">
        <f>IFERROR(((PHI_H74120[[#This Row],[H]]-PHI_H74120[[#This Row],[2B]]-PHI_H74120[[#This Row],[3B]]-PHI_H74120[[#This Row],[HR]])+(PHI_H74120[[#This Row],[2B]]*2)+(PHI_H74120[[#This Row],[3B]]*3)+(PHI_H74120[[#This Row],[HR]]*4))/PHI_H74120[[#This Row],[AB]],0)</f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74">
        <v>0</v>
      </c>
      <c r="BO235" s="28">
        <v>0</v>
      </c>
      <c r="BP235" s="28">
        <v>0</v>
      </c>
      <c r="BQ235" s="74">
        <v>0</v>
      </c>
      <c r="BR235" s="28">
        <f>(PHI_H74120[[#This Row],[H]]-PHI_H74120[[#This Row],[2B]]-PHI_H74120[[#This Row],[3B]]-PHI_H74120[[#This Row],[HR]])+(PHI_H74120[[#This Row],[2B]]*2)+(PHI_H74120[[#This Row],[3B]]*3)+(PHI_H74120[[#This Row],[HR]]*4)</f>
        <v>0</v>
      </c>
      <c r="BS235" s="72">
        <f>IFERROR(PHI_H74120[[#This Row],[OBP]]+PHI_H74120[[#This Row],[SLG]],0)</f>
        <v>0</v>
      </c>
      <c r="BT235" s="74">
        <v>0</v>
      </c>
      <c r="BU235" s="615">
        <v>14</v>
      </c>
    </row>
    <row r="236" spans="1:73" ht="17" thickBot="1">
      <c r="A236" s="674"/>
      <c r="B236" s="740"/>
      <c r="C236" s="676" t="s">
        <v>195</v>
      </c>
      <c r="D236" s="677">
        <f>J236/H236</f>
        <v>0.22717149220489977</v>
      </c>
      <c r="E236" s="677">
        <f>(J236+O236)/H236</f>
        <v>0.31625835189309576</v>
      </c>
      <c r="F236" s="739">
        <f>((J236-K236-L236-M236)+(K236*2)+(L236*3)+(M236*4))/H236</f>
        <v>0.38084632516703787</v>
      </c>
      <c r="G236" s="679"/>
      <c r="H236" s="679">
        <f>SUBTOTAL(109,ATL_H90[AB])</f>
        <v>449</v>
      </c>
      <c r="I236" s="679">
        <f>SUBTOTAL(109,ATL_H90[R])</f>
        <v>48</v>
      </c>
      <c r="J236" s="679">
        <f>SUBTOTAL(109,ATL_H90[H])</f>
        <v>102</v>
      </c>
      <c r="K236" s="679">
        <f>SUBTOTAL(109,ATL_H90[2B])</f>
        <v>22</v>
      </c>
      <c r="L236" s="679">
        <f>SUBTOTAL(109,ATL_H90[3B])</f>
        <v>1</v>
      </c>
      <c r="M236" s="679">
        <f>SUBTOTAL(109,ATL_H90[HR])</f>
        <v>15</v>
      </c>
      <c r="N236" s="679">
        <f>SUBTOTAL(109,ATL_H90[RBI])</f>
        <v>48</v>
      </c>
      <c r="O236" s="679">
        <f>SUBTOTAL(109,ATL_H90[BB])</f>
        <v>40</v>
      </c>
      <c r="P236" s="680">
        <f>SUBTOTAL(109,ATL_H90[K])</f>
        <v>142</v>
      </c>
      <c r="Q236" s="679">
        <f>SUBTOTAL(109,ATL_H90[SB])</f>
        <v>6</v>
      </c>
      <c r="R236" s="679"/>
      <c r="S236" s="680"/>
      <c r="T236" s="679">
        <f>SUBTOTAL(109,ATL_H90[TB])</f>
        <v>171</v>
      </c>
      <c r="U236" s="677">
        <f>E236+F236</f>
        <v>0.69710467706013368</v>
      </c>
      <c r="V236" s="680">
        <f>SUBTOTAL(109,ATL_H90[*])</f>
        <v>7</v>
      </c>
      <c r="W236" s="681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Y236" s="823"/>
      <c r="AZ236" s="824"/>
      <c r="BA236" s="791" t="s">
        <v>195</v>
      </c>
      <c r="BB236" s="792">
        <f>IFERROR(BH236/BF236,0)</f>
        <v>0.24550898203592814</v>
      </c>
      <c r="BC236" s="792">
        <f>IFERROR((BM236+BH236)/(BM236+BF236),0)</f>
        <v>0.36683417085427134</v>
      </c>
      <c r="BD236" s="793">
        <f>IFERROR(((BH236-BI236-BJ236-BK236)+(BI236*2)+(BJ236*3)+(BK236*4))/BF236,0)</f>
        <v>0.3592814371257485</v>
      </c>
      <c r="BE236" s="794"/>
      <c r="BF236" s="794">
        <f>SUBTOTAL(109,PHI_H74120[AB])</f>
        <v>167</v>
      </c>
      <c r="BG236" s="794">
        <f>SUBTOTAL(109,PHI_H74120[R])</f>
        <v>22</v>
      </c>
      <c r="BH236" s="794">
        <f>SUBTOTAL(109,PHI_H74120[H])</f>
        <v>41</v>
      </c>
      <c r="BI236" s="794">
        <f>SUBTOTAL(109,PHI_H74120[2B])</f>
        <v>7</v>
      </c>
      <c r="BJ236" s="794">
        <f>SUBTOTAL(109,PHI_H74120[3B])</f>
        <v>0</v>
      </c>
      <c r="BK236" s="794">
        <f>SUBTOTAL(109,PHI_H74120[HR])</f>
        <v>4</v>
      </c>
      <c r="BL236" s="794">
        <f>SUBTOTAL(109,PHI_H74120[RBI])</f>
        <v>22</v>
      </c>
      <c r="BM236" s="794">
        <f>SUBTOTAL(109,PHI_H74120[BB])</f>
        <v>32</v>
      </c>
      <c r="BN236" s="796">
        <f>SUBTOTAL(109,PHI_H74120[K])</f>
        <v>64</v>
      </c>
      <c r="BO236" s="794">
        <f>SUBTOTAL(109,PHI_H74120[SB])</f>
        <v>2</v>
      </c>
      <c r="BP236" s="794"/>
      <c r="BQ236" s="796"/>
      <c r="BR236" s="794">
        <f>SUBTOTAL(109,PHI_H74120[TB])</f>
        <v>60</v>
      </c>
      <c r="BS236" s="792">
        <f>IFERROR(BC236+BD236,0)</f>
        <v>0.72611560798001984</v>
      </c>
      <c r="BT236" s="796">
        <f>SUBTOTAL(109,PHI_H74120[*])</f>
        <v>4</v>
      </c>
      <c r="BU236" s="797"/>
    </row>
    <row r="237" spans="1:73" ht="17" thickBot="1"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73" s="64" customFormat="1" ht="17" thickBot="1">
      <c r="A238" s="605" t="s">
        <v>143</v>
      </c>
      <c r="B238" s="606" t="s">
        <v>144</v>
      </c>
      <c r="C238" s="606" t="s">
        <v>145</v>
      </c>
      <c r="D238" s="606" t="s">
        <v>196</v>
      </c>
      <c r="E238" s="606" t="s">
        <v>197</v>
      </c>
      <c r="F238" s="606" t="s">
        <v>198</v>
      </c>
      <c r="G238" s="606" t="s">
        <v>149</v>
      </c>
      <c r="H238" s="606" t="s">
        <v>199</v>
      </c>
      <c r="I238" s="606" t="s">
        <v>152</v>
      </c>
      <c r="J238" s="606" t="s">
        <v>151</v>
      </c>
      <c r="K238" s="606" t="s">
        <v>157</v>
      </c>
      <c r="L238" s="606" t="s">
        <v>158</v>
      </c>
      <c r="M238" s="606" t="s">
        <v>200</v>
      </c>
      <c r="N238" s="606" t="s">
        <v>201</v>
      </c>
      <c r="O238" s="606" t="s">
        <v>202</v>
      </c>
      <c r="P238" s="606" t="s">
        <v>203</v>
      </c>
      <c r="Q238" s="606" t="s">
        <v>204</v>
      </c>
      <c r="R238" s="606" t="s">
        <v>205</v>
      </c>
      <c r="S238" s="607" t="s">
        <v>164</v>
      </c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Y238" s="605" t="s">
        <v>143</v>
      </c>
      <c r="AZ238" s="606" t="s">
        <v>144</v>
      </c>
      <c r="BA238" s="606" t="s">
        <v>145</v>
      </c>
      <c r="BB238" s="606" t="s">
        <v>196</v>
      </c>
      <c r="BC238" s="606" t="s">
        <v>197</v>
      </c>
      <c r="BD238" s="606" t="s">
        <v>198</v>
      </c>
      <c r="BE238" s="606" t="s">
        <v>149</v>
      </c>
      <c r="BF238" s="606" t="s">
        <v>199</v>
      </c>
      <c r="BG238" s="606" t="s">
        <v>152</v>
      </c>
      <c r="BH238" s="606" t="s">
        <v>151</v>
      </c>
      <c r="BI238" s="606" t="s">
        <v>157</v>
      </c>
      <c r="BJ238" s="606" t="s">
        <v>158</v>
      </c>
      <c r="BK238" s="606" t="s">
        <v>200</v>
      </c>
      <c r="BL238" s="606" t="s">
        <v>201</v>
      </c>
      <c r="BM238" s="606" t="s">
        <v>202</v>
      </c>
      <c r="BN238" s="606" t="s">
        <v>203</v>
      </c>
      <c r="BO238" s="606" t="s">
        <v>204</v>
      </c>
      <c r="BP238" s="606" t="s">
        <v>205</v>
      </c>
      <c r="BQ238" s="607" t="s">
        <v>164</v>
      </c>
    </row>
    <row r="239" spans="1:73">
      <c r="A239" s="650" t="s">
        <v>835</v>
      </c>
      <c r="B239" s="604" t="s">
        <v>206</v>
      </c>
      <c r="C239" s="752" t="s">
        <v>853</v>
      </c>
      <c r="D239" s="663">
        <f>IFERROR((ATL_P91[[#This Row],[R]]*9)/ATL_P91[[#This Row],[IP]],0)</f>
        <v>3.5</v>
      </c>
      <c r="E239" s="600">
        <v>2</v>
      </c>
      <c r="F239" s="604">
        <v>3</v>
      </c>
      <c r="G239" s="600">
        <v>5</v>
      </c>
      <c r="H239" s="630">
        <v>36</v>
      </c>
      <c r="I239" s="600">
        <v>22</v>
      </c>
      <c r="J239" s="600">
        <v>14</v>
      </c>
      <c r="K239" s="627">
        <v>17</v>
      </c>
      <c r="L239" s="600">
        <v>55</v>
      </c>
      <c r="M239" s="600">
        <v>0</v>
      </c>
      <c r="N239" s="631">
        <f>IFERROR((ATL_P91[[#This Row],[BB]]+ATL_P91[[#This Row],[H]])/ATL_P91[[#This Row],[IP]],0)</f>
        <v>1.0833333333333333</v>
      </c>
      <c r="O239" s="600">
        <v>2</v>
      </c>
      <c r="P239" s="601">
        <v>2</v>
      </c>
      <c r="Q239" s="600">
        <v>0</v>
      </c>
      <c r="R239" s="604">
        <v>0</v>
      </c>
      <c r="S239" s="614">
        <v>1</v>
      </c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Y239" s="842" t="s">
        <v>770</v>
      </c>
      <c r="AZ239" s="825" t="s">
        <v>206</v>
      </c>
      <c r="BA239" s="826" t="s">
        <v>790</v>
      </c>
      <c r="BB239" s="663">
        <f>IFERROR((PHI_P87121[[#This Row],[R]]*9)/PHI_P87121[[#This Row],[IP]],0)</f>
        <v>3.75</v>
      </c>
      <c r="BC239" s="600">
        <v>2</v>
      </c>
      <c r="BD239" s="604">
        <v>0</v>
      </c>
      <c r="BE239" s="600">
        <v>2</v>
      </c>
      <c r="BF239" s="630">
        <v>12</v>
      </c>
      <c r="BG239" s="600">
        <v>12</v>
      </c>
      <c r="BH239" s="600">
        <v>5</v>
      </c>
      <c r="BI239" s="600">
        <v>10</v>
      </c>
      <c r="BJ239" s="600">
        <v>12</v>
      </c>
      <c r="BK239" s="600">
        <v>0</v>
      </c>
      <c r="BL239" s="744">
        <f>IFERROR((PHI_P87121[[#This Row],[BB]]+PHI_P87121[[#This Row],[H]])/PHI_P87121[[#This Row],[IP]],0)</f>
        <v>1.8333333333333333</v>
      </c>
      <c r="BM239" s="673">
        <v>1</v>
      </c>
      <c r="BN239" s="601">
        <v>1</v>
      </c>
      <c r="BO239" s="600">
        <v>0</v>
      </c>
      <c r="BP239" s="604">
        <v>0</v>
      </c>
      <c r="BQ239" s="779">
        <v>1</v>
      </c>
    </row>
    <row r="240" spans="1:73">
      <c r="A240" s="651" t="s">
        <v>835</v>
      </c>
      <c r="B240" s="74" t="s">
        <v>206</v>
      </c>
      <c r="C240" s="116" t="s">
        <v>855</v>
      </c>
      <c r="D240" s="88">
        <f>IFERROR((ATL_P91[[#This Row],[R]]*9)/ATL_P91[[#This Row],[IP]],0)</f>
        <v>3.9031441994940366</v>
      </c>
      <c r="E240" s="28">
        <v>0</v>
      </c>
      <c r="F240" s="74">
        <v>3</v>
      </c>
      <c r="G240" s="28">
        <v>4</v>
      </c>
      <c r="H240" s="584">
        <v>27.67</v>
      </c>
      <c r="I240" s="28">
        <v>28</v>
      </c>
      <c r="J240" s="28">
        <v>12</v>
      </c>
      <c r="K240" s="28">
        <v>7</v>
      </c>
      <c r="L240" s="28">
        <v>24</v>
      </c>
      <c r="M240" s="28">
        <v>0</v>
      </c>
      <c r="N240" s="89">
        <f>IFERROR((ATL_P91[[#This Row],[BB]]+ATL_P91[[#This Row],[H]])/ATL_P91[[#This Row],[IP]],0)</f>
        <v>1.2649078424286231</v>
      </c>
      <c r="O240" s="28">
        <v>2</v>
      </c>
      <c r="P240" s="90">
        <v>2</v>
      </c>
      <c r="Q240" s="28">
        <v>0</v>
      </c>
      <c r="R240" s="74">
        <v>0</v>
      </c>
      <c r="S240" s="615">
        <v>2</v>
      </c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Y240" s="843" t="s">
        <v>770</v>
      </c>
      <c r="AZ240" s="356" t="s">
        <v>206</v>
      </c>
      <c r="BA240" s="357" t="s">
        <v>624</v>
      </c>
      <c r="BB240" s="88">
        <f>IFERROR((PHI_P87121[[#This Row],[R]]*9)/PHI_P87121[[#This Row],[IP]],0)</f>
        <v>3.2142857142857144</v>
      </c>
      <c r="BC240" s="28">
        <v>2</v>
      </c>
      <c r="BD240" s="74">
        <v>0</v>
      </c>
      <c r="BE240" s="28">
        <v>2</v>
      </c>
      <c r="BF240" s="584">
        <v>14</v>
      </c>
      <c r="BG240" s="28">
        <v>11</v>
      </c>
      <c r="BH240" s="28">
        <v>5</v>
      </c>
      <c r="BI240" s="28">
        <v>6</v>
      </c>
      <c r="BJ240" s="28">
        <v>16</v>
      </c>
      <c r="BK240" s="28">
        <v>0</v>
      </c>
      <c r="BL240" s="106">
        <f>IFERROR((PHI_P87121[[#This Row],[BB]]+PHI_P87121[[#This Row],[H]])/PHI_P87121[[#This Row],[IP]],0)</f>
        <v>1.2142857142857142</v>
      </c>
      <c r="BM240" s="77">
        <v>2</v>
      </c>
      <c r="BN240" s="90">
        <v>1</v>
      </c>
      <c r="BO240" s="28">
        <v>0</v>
      </c>
      <c r="BP240" s="74">
        <v>0</v>
      </c>
      <c r="BQ240" s="780">
        <v>2</v>
      </c>
    </row>
    <row r="241" spans="1:69">
      <c r="A241" s="651" t="s">
        <v>835</v>
      </c>
      <c r="B241" s="74" t="s">
        <v>206</v>
      </c>
      <c r="C241" s="116" t="s">
        <v>854</v>
      </c>
      <c r="D241" s="88">
        <f>IFERROR((ATL_P91[[#This Row],[R]]*9)/ATL_P91[[#This Row],[IP]],0)</f>
        <v>3.9084090011843666</v>
      </c>
      <c r="E241" s="28">
        <v>2</v>
      </c>
      <c r="F241" s="74">
        <v>0</v>
      </c>
      <c r="G241" s="28">
        <v>4</v>
      </c>
      <c r="H241" s="584">
        <v>25.33</v>
      </c>
      <c r="I241" s="28">
        <v>27</v>
      </c>
      <c r="J241" s="28">
        <v>11</v>
      </c>
      <c r="K241" s="28">
        <v>11</v>
      </c>
      <c r="L241" s="28">
        <v>25</v>
      </c>
      <c r="M241" s="28">
        <v>0</v>
      </c>
      <c r="N241" s="89">
        <f>IFERROR((ATL_P91[[#This Row],[BB]]+ATL_P91[[#This Row],[H]])/ATL_P91[[#This Row],[IP]],0)</f>
        <v>1.5001973943939992</v>
      </c>
      <c r="O241" s="28">
        <v>2</v>
      </c>
      <c r="P241" s="90">
        <v>1</v>
      </c>
      <c r="Q241" s="28">
        <v>0</v>
      </c>
      <c r="R241" s="74">
        <v>0</v>
      </c>
      <c r="S241" s="615">
        <v>3</v>
      </c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Y241" s="843" t="s">
        <v>770</v>
      </c>
      <c r="AZ241" s="114" t="s">
        <v>206</v>
      </c>
      <c r="BA241" s="115" t="s">
        <v>791</v>
      </c>
      <c r="BB241" s="88">
        <f>IFERROR((PHI_P87121[[#This Row],[R]]*9)/PHI_P87121[[#This Row],[IP]],0)</f>
        <v>4.5</v>
      </c>
      <c r="BC241" s="28">
        <v>0</v>
      </c>
      <c r="BD241" s="74">
        <v>1</v>
      </c>
      <c r="BE241" s="28">
        <v>1</v>
      </c>
      <c r="BF241" s="584">
        <v>6</v>
      </c>
      <c r="BG241" s="28">
        <v>8</v>
      </c>
      <c r="BH241" s="28">
        <v>3</v>
      </c>
      <c r="BI241" s="28">
        <v>1</v>
      </c>
      <c r="BJ241" s="28">
        <v>6</v>
      </c>
      <c r="BK241" s="28">
        <v>0</v>
      </c>
      <c r="BL241" s="106">
        <f>IFERROR((PHI_P87121[[#This Row],[BB]]+PHI_P87121[[#This Row],[H]])/PHI_P87121[[#This Row],[IP]],0)</f>
        <v>1.5</v>
      </c>
      <c r="BM241" s="77">
        <v>1</v>
      </c>
      <c r="BN241" s="90">
        <v>0</v>
      </c>
      <c r="BO241" s="28">
        <v>0</v>
      </c>
      <c r="BP241" s="74">
        <v>0</v>
      </c>
      <c r="BQ241" s="780">
        <v>3</v>
      </c>
    </row>
    <row r="242" spans="1:69">
      <c r="A242" s="651" t="s">
        <v>835</v>
      </c>
      <c r="B242" s="74" t="s">
        <v>206</v>
      </c>
      <c r="C242" s="116" t="s">
        <v>857</v>
      </c>
      <c r="D242" s="88">
        <f>IFERROR((ATL_P91[[#This Row],[R]]*9)/ATL_P91[[#This Row],[IP]],0)</f>
        <v>0</v>
      </c>
      <c r="E242" s="28">
        <v>0</v>
      </c>
      <c r="F242" s="74">
        <v>0</v>
      </c>
      <c r="G242" s="28">
        <v>3</v>
      </c>
      <c r="H242" s="584">
        <v>5.67</v>
      </c>
      <c r="I242" s="28">
        <v>5</v>
      </c>
      <c r="J242" s="28">
        <v>0</v>
      </c>
      <c r="K242" s="28">
        <v>0</v>
      </c>
      <c r="L242" s="28">
        <v>4</v>
      </c>
      <c r="M242" s="28">
        <v>0</v>
      </c>
      <c r="N242" s="89">
        <f>IFERROR((ATL_P91[[#This Row],[BB]]+ATL_P91[[#This Row],[H]])/ATL_P91[[#This Row],[IP]],0)</f>
        <v>0.88183421516754856</v>
      </c>
      <c r="O242" s="28">
        <v>0</v>
      </c>
      <c r="P242" s="90">
        <v>0</v>
      </c>
      <c r="Q242" s="28">
        <v>0</v>
      </c>
      <c r="R242" s="74">
        <v>0</v>
      </c>
      <c r="S242" s="615">
        <v>4</v>
      </c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Y242" s="843" t="s">
        <v>770</v>
      </c>
      <c r="AZ242" s="114" t="s">
        <v>365</v>
      </c>
      <c r="BA242" s="115" t="s">
        <v>792</v>
      </c>
      <c r="BB242" s="88">
        <f>IFERROR((PHI_P87121[[#This Row],[R]]*9)/PHI_P87121[[#This Row],[IP]],0)</f>
        <v>0</v>
      </c>
      <c r="BC242" s="28">
        <v>0</v>
      </c>
      <c r="BD242" s="74">
        <v>0</v>
      </c>
      <c r="BE242" s="28">
        <v>1</v>
      </c>
      <c r="BF242" s="584">
        <v>1.67</v>
      </c>
      <c r="BG242" s="28">
        <v>2</v>
      </c>
      <c r="BH242" s="28">
        <v>0</v>
      </c>
      <c r="BI242" s="28">
        <v>0</v>
      </c>
      <c r="BJ242" s="28">
        <v>2</v>
      </c>
      <c r="BK242" s="28">
        <v>0</v>
      </c>
      <c r="BL242" s="106">
        <f>IFERROR((PHI_P87121[[#This Row],[BB]]+PHI_P87121[[#This Row],[H]])/PHI_P87121[[#This Row],[IP]],0)</f>
        <v>1.1976047904191618</v>
      </c>
      <c r="BM242" s="77">
        <v>0</v>
      </c>
      <c r="BN242" s="90">
        <v>0</v>
      </c>
      <c r="BO242" s="28">
        <v>0</v>
      </c>
      <c r="BP242" s="74">
        <v>0</v>
      </c>
      <c r="BQ242" s="780">
        <v>4</v>
      </c>
    </row>
    <row r="243" spans="1:69">
      <c r="A243" s="651" t="s">
        <v>835</v>
      </c>
      <c r="B243" s="74" t="s">
        <v>215</v>
      </c>
      <c r="C243" s="116" t="s">
        <v>860</v>
      </c>
      <c r="D243" s="88">
        <f>IFERROR((ATL_P91[[#This Row],[R]]*9)/ATL_P91[[#This Row],[IP]],0)</f>
        <v>0</v>
      </c>
      <c r="E243" s="28">
        <v>0</v>
      </c>
      <c r="F243" s="74">
        <v>0</v>
      </c>
      <c r="G243" s="28">
        <v>0</v>
      </c>
      <c r="H243" s="584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89">
        <f>IFERROR((ATL_P91[[#This Row],[BB]]+ATL_P91[[#This Row],[H]])/ATL_P91[[#This Row],[IP]],0)</f>
        <v>0</v>
      </c>
      <c r="O243" s="28">
        <v>0</v>
      </c>
      <c r="P243" s="90">
        <v>0</v>
      </c>
      <c r="Q243" s="28">
        <v>0</v>
      </c>
      <c r="R243" s="74">
        <v>0</v>
      </c>
      <c r="S243" s="615">
        <v>5</v>
      </c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Y243" s="843" t="s">
        <v>770</v>
      </c>
      <c r="AZ243" s="114" t="s">
        <v>212</v>
      </c>
      <c r="BA243" s="115" t="s">
        <v>793</v>
      </c>
      <c r="BB243" s="88">
        <f>IFERROR((PHI_P87121[[#This Row],[R]]*9)/PHI_P87121[[#This Row],[IP]],0)</f>
        <v>0</v>
      </c>
      <c r="BC243" s="28">
        <v>0</v>
      </c>
      <c r="BD243" s="74">
        <v>0</v>
      </c>
      <c r="BE243" s="28">
        <v>0</v>
      </c>
      <c r="BF243" s="584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106">
        <f>IFERROR((PHI_P87121[[#This Row],[BB]]+PHI_P87121[[#This Row],[H]])/PHI_P87121[[#This Row],[IP]],0)</f>
        <v>0</v>
      </c>
      <c r="BM243" s="77">
        <v>0</v>
      </c>
      <c r="BN243" s="90">
        <v>0</v>
      </c>
      <c r="BO243" s="28">
        <v>0</v>
      </c>
      <c r="BP243" s="74">
        <v>0</v>
      </c>
      <c r="BQ243" s="780">
        <v>5</v>
      </c>
    </row>
    <row r="244" spans="1:69">
      <c r="A244" s="651" t="s">
        <v>835</v>
      </c>
      <c r="B244" s="74" t="s">
        <v>212</v>
      </c>
      <c r="C244" s="116" t="s">
        <v>859</v>
      </c>
      <c r="D244" s="88">
        <f>IFERROR((ATL_P91[[#This Row],[R]]*9)/ATL_P91[[#This Row],[IP]],0)</f>
        <v>0</v>
      </c>
      <c r="E244" s="28">
        <v>0</v>
      </c>
      <c r="F244" s="74">
        <v>0</v>
      </c>
      <c r="G244" s="28">
        <v>0</v>
      </c>
      <c r="H244" s="584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89">
        <f>IFERROR((ATL_P91[[#This Row],[BB]]+ATL_P91[[#This Row],[H]])/ATL_P91[[#This Row],[IP]],0)</f>
        <v>0</v>
      </c>
      <c r="O244" s="28">
        <v>0</v>
      </c>
      <c r="P244" s="90">
        <v>0</v>
      </c>
      <c r="Q244" s="28">
        <v>0</v>
      </c>
      <c r="R244" s="74">
        <v>0</v>
      </c>
      <c r="S244" s="615">
        <v>6</v>
      </c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Y244" s="843" t="s">
        <v>770</v>
      </c>
      <c r="AZ244" s="114" t="s">
        <v>212</v>
      </c>
      <c r="BA244" s="115" t="s">
        <v>797</v>
      </c>
      <c r="BB244" s="88">
        <f>IFERROR((PHI_P87121[[#This Row],[R]]*9)/PHI_P87121[[#This Row],[IP]],0)</f>
        <v>0</v>
      </c>
      <c r="BC244" s="28">
        <v>0</v>
      </c>
      <c r="BD244" s="74">
        <v>0</v>
      </c>
      <c r="BE244" s="28">
        <v>1</v>
      </c>
      <c r="BF244" s="584">
        <v>1</v>
      </c>
      <c r="BG244" s="28">
        <v>0</v>
      </c>
      <c r="BH244" s="28">
        <v>0</v>
      </c>
      <c r="BI244" s="28">
        <v>0</v>
      </c>
      <c r="BJ244" s="28">
        <v>1</v>
      </c>
      <c r="BK244" s="28">
        <v>0</v>
      </c>
      <c r="BL244" s="106">
        <f>IFERROR((PHI_P87121[[#This Row],[BB]]+PHI_P87121[[#This Row],[H]])/PHI_P87121[[#This Row],[IP]],0)</f>
        <v>0</v>
      </c>
      <c r="BM244" s="77">
        <v>0</v>
      </c>
      <c r="BN244" s="90">
        <v>0</v>
      </c>
      <c r="BO244" s="28">
        <v>0</v>
      </c>
      <c r="BP244" s="74">
        <v>0</v>
      </c>
      <c r="BQ244" s="780">
        <v>6</v>
      </c>
    </row>
    <row r="245" spans="1:69">
      <c r="A245" s="651" t="s">
        <v>835</v>
      </c>
      <c r="B245" s="74" t="s">
        <v>212</v>
      </c>
      <c r="C245" s="116" t="s">
        <v>861</v>
      </c>
      <c r="D245" s="88">
        <f>IFERROR((ATL_P91[[#This Row],[R]]*9)/ATL_P91[[#This Row],[IP]],0)</f>
        <v>0</v>
      </c>
      <c r="E245" s="28">
        <v>0</v>
      </c>
      <c r="F245" s="74">
        <v>0</v>
      </c>
      <c r="G245" s="28">
        <v>1</v>
      </c>
      <c r="H245" s="584">
        <v>1</v>
      </c>
      <c r="I245" s="28">
        <v>1</v>
      </c>
      <c r="J245" s="28">
        <v>0</v>
      </c>
      <c r="K245" s="28">
        <v>0</v>
      </c>
      <c r="L245" s="28">
        <v>1</v>
      </c>
      <c r="M245" s="28">
        <v>0</v>
      </c>
      <c r="N245" s="89">
        <f>IFERROR((ATL_P91[[#This Row],[BB]]+ATL_P91[[#This Row],[H]])/ATL_P91[[#This Row],[IP]],0)</f>
        <v>1</v>
      </c>
      <c r="O245" s="28">
        <v>0</v>
      </c>
      <c r="P245" s="90">
        <v>0</v>
      </c>
      <c r="Q245" s="28">
        <v>0</v>
      </c>
      <c r="R245" s="74">
        <v>0</v>
      </c>
      <c r="S245" s="615">
        <v>7</v>
      </c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Y245" s="843" t="s">
        <v>770</v>
      </c>
      <c r="AZ245" s="114" t="s">
        <v>212</v>
      </c>
      <c r="BA245" s="115" t="s">
        <v>798</v>
      </c>
      <c r="BB245" s="88">
        <f>IFERROR((PHI_P87121[[#This Row],[R]]*9)/PHI_P87121[[#This Row],[IP]],0)</f>
        <v>9</v>
      </c>
      <c r="BC245" s="28">
        <v>0</v>
      </c>
      <c r="BD245" s="74">
        <v>0</v>
      </c>
      <c r="BE245" s="28">
        <v>1</v>
      </c>
      <c r="BF245" s="584">
        <v>1</v>
      </c>
      <c r="BG245" s="28">
        <v>1</v>
      </c>
      <c r="BH245" s="28">
        <v>1</v>
      </c>
      <c r="BI245" s="28">
        <v>0</v>
      </c>
      <c r="BJ245" s="28">
        <v>2</v>
      </c>
      <c r="BK245" s="28">
        <v>0</v>
      </c>
      <c r="BL245" s="106">
        <f>IFERROR((PHI_P87121[[#This Row],[BB]]+PHI_P87121[[#This Row],[H]])/PHI_P87121[[#This Row],[IP]],0)</f>
        <v>1</v>
      </c>
      <c r="BM245" s="77">
        <v>0</v>
      </c>
      <c r="BN245" s="90">
        <v>0</v>
      </c>
      <c r="BO245" s="28">
        <v>0</v>
      </c>
      <c r="BP245" s="74">
        <v>0</v>
      </c>
      <c r="BQ245" s="780">
        <v>7</v>
      </c>
    </row>
    <row r="246" spans="1:69">
      <c r="A246" s="651" t="s">
        <v>835</v>
      </c>
      <c r="B246" s="74" t="s">
        <v>215</v>
      </c>
      <c r="C246" s="116" t="s">
        <v>862</v>
      </c>
      <c r="D246" s="88">
        <f>IFERROR((ATL_P91[[#This Row],[R]]*9)/ATL_P91[[#This Row],[IP]],0)</f>
        <v>5.1903114186851216</v>
      </c>
      <c r="E246" s="28">
        <v>1</v>
      </c>
      <c r="F246" s="74">
        <v>0</v>
      </c>
      <c r="G246" s="28">
        <v>7</v>
      </c>
      <c r="H246" s="584">
        <v>8.67</v>
      </c>
      <c r="I246" s="28">
        <v>8</v>
      </c>
      <c r="J246" s="28">
        <v>5</v>
      </c>
      <c r="K246" s="28">
        <v>3</v>
      </c>
      <c r="L246" s="28">
        <v>8</v>
      </c>
      <c r="M246" s="28">
        <v>0</v>
      </c>
      <c r="N246" s="89">
        <f>IFERROR((ATL_P91[[#This Row],[BB]]+ATL_P91[[#This Row],[H]])/ATL_P91[[#This Row],[IP]],0)</f>
        <v>1.2687427912341407</v>
      </c>
      <c r="O246" s="28">
        <v>0</v>
      </c>
      <c r="P246" s="90">
        <v>0</v>
      </c>
      <c r="Q246" s="28">
        <v>0</v>
      </c>
      <c r="R246" s="74">
        <v>0</v>
      </c>
      <c r="S246" s="615">
        <v>8</v>
      </c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Y246" s="843" t="s">
        <v>770</v>
      </c>
      <c r="AZ246" s="114" t="s">
        <v>215</v>
      </c>
      <c r="BA246" s="115" t="s">
        <v>796</v>
      </c>
      <c r="BB246" s="88">
        <f>IFERROR((PHI_P87121[[#This Row],[R]]*9)/PHI_P87121[[#This Row],[IP]],0)</f>
        <v>0</v>
      </c>
      <c r="BC246" s="28">
        <v>0</v>
      </c>
      <c r="BD246" s="74">
        <v>0</v>
      </c>
      <c r="BE246" s="28">
        <v>0</v>
      </c>
      <c r="BF246" s="584">
        <v>0</v>
      </c>
      <c r="BG246" s="28">
        <v>0</v>
      </c>
      <c r="BH246" s="28">
        <v>0</v>
      </c>
      <c r="BI246" s="28">
        <v>0</v>
      </c>
      <c r="BJ246" s="28">
        <v>0</v>
      </c>
      <c r="BK246" s="28">
        <v>0</v>
      </c>
      <c r="BL246" s="106">
        <f>IFERROR((PHI_P87121[[#This Row],[BB]]+PHI_P87121[[#This Row],[H]])/PHI_P87121[[#This Row],[IP]],0)</f>
        <v>0</v>
      </c>
      <c r="BM246" s="77">
        <v>0</v>
      </c>
      <c r="BN246" s="90">
        <v>0</v>
      </c>
      <c r="BO246" s="28">
        <v>0</v>
      </c>
      <c r="BP246" s="74">
        <v>0</v>
      </c>
      <c r="BQ246" s="780">
        <v>8</v>
      </c>
    </row>
    <row r="247" spans="1:69">
      <c r="A247" s="651" t="s">
        <v>835</v>
      </c>
      <c r="B247" s="74" t="s">
        <v>212</v>
      </c>
      <c r="C247" s="116" t="s">
        <v>863</v>
      </c>
      <c r="D247" s="88">
        <f>IFERROR((ATL_P91[[#This Row],[R]]*9)/ATL_P91[[#This Row],[IP]],0)</f>
        <v>1.8</v>
      </c>
      <c r="E247" s="28">
        <v>1</v>
      </c>
      <c r="F247" s="74">
        <v>0</v>
      </c>
      <c r="G247" s="28">
        <v>4</v>
      </c>
      <c r="H247" s="584">
        <v>5</v>
      </c>
      <c r="I247" s="28">
        <v>2</v>
      </c>
      <c r="J247" s="28">
        <v>1</v>
      </c>
      <c r="K247" s="28">
        <v>6</v>
      </c>
      <c r="L247" s="28">
        <v>9</v>
      </c>
      <c r="M247" s="28">
        <v>0</v>
      </c>
      <c r="N247" s="89">
        <f>IFERROR((ATL_P91[[#This Row],[BB]]+ATL_P91[[#This Row],[H]])/ATL_P91[[#This Row],[IP]],0)</f>
        <v>1.6</v>
      </c>
      <c r="O247" s="28">
        <v>0</v>
      </c>
      <c r="P247" s="90">
        <v>0</v>
      </c>
      <c r="Q247" s="28">
        <v>0</v>
      </c>
      <c r="R247" s="74">
        <v>0</v>
      </c>
      <c r="S247" s="615">
        <v>9</v>
      </c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Y247" s="843" t="s">
        <v>770</v>
      </c>
      <c r="AZ247" s="114" t="s">
        <v>212</v>
      </c>
      <c r="BA247" s="115" t="s">
        <v>799</v>
      </c>
      <c r="BB247" s="88">
        <f>IFERROR((PHI_P87121[[#This Row],[R]]*9)/PHI_P87121[[#This Row],[IP]],0)</f>
        <v>1.6885553470919323</v>
      </c>
      <c r="BC247" s="28">
        <v>0</v>
      </c>
      <c r="BD247" s="74">
        <v>0</v>
      </c>
      <c r="BE247" s="28">
        <v>5</v>
      </c>
      <c r="BF247" s="584">
        <v>5.33</v>
      </c>
      <c r="BG247" s="28">
        <v>4</v>
      </c>
      <c r="BH247" s="28">
        <v>1</v>
      </c>
      <c r="BI247" s="28">
        <v>1</v>
      </c>
      <c r="BJ247" s="28">
        <v>4</v>
      </c>
      <c r="BK247" s="28">
        <v>0</v>
      </c>
      <c r="BL247" s="106">
        <f>IFERROR((PHI_P87121[[#This Row],[BB]]+PHI_P87121[[#This Row],[H]])/PHI_P87121[[#This Row],[IP]],0)</f>
        <v>0.93808630393996251</v>
      </c>
      <c r="BM247" s="77">
        <v>0</v>
      </c>
      <c r="BN247" s="90">
        <v>0</v>
      </c>
      <c r="BO247" s="28">
        <v>0</v>
      </c>
      <c r="BP247" s="74">
        <v>0</v>
      </c>
      <c r="BQ247" s="780">
        <v>9</v>
      </c>
    </row>
    <row r="248" spans="1:69" ht="17" thickBot="1">
      <c r="A248" s="651" t="s">
        <v>835</v>
      </c>
      <c r="B248" s="74" t="s">
        <v>212</v>
      </c>
      <c r="C248" s="116" t="s">
        <v>865</v>
      </c>
      <c r="D248" s="88">
        <f>IFERROR((ATL_P91[[#This Row],[R]]*9)/ATL_P91[[#This Row],[IP]],0)</f>
        <v>2.5304592314901595</v>
      </c>
      <c r="E248" s="28">
        <v>1</v>
      </c>
      <c r="F248" s="74">
        <v>0</v>
      </c>
      <c r="G248" s="28">
        <v>8</v>
      </c>
      <c r="H248" s="584">
        <v>10.67</v>
      </c>
      <c r="I248" s="28">
        <v>8</v>
      </c>
      <c r="J248" s="28">
        <v>3</v>
      </c>
      <c r="K248" s="28">
        <v>6</v>
      </c>
      <c r="L248" s="28">
        <v>24</v>
      </c>
      <c r="M248" s="28">
        <v>2</v>
      </c>
      <c r="N248" s="89">
        <f>IFERROR((ATL_P91[[#This Row],[BB]]+ATL_P91[[#This Row],[H]])/ATL_P91[[#This Row],[IP]],0)</f>
        <v>1.3120899718837864</v>
      </c>
      <c r="O248" s="28">
        <v>0</v>
      </c>
      <c r="P248" s="90">
        <v>0</v>
      </c>
      <c r="Q248" s="28">
        <v>0</v>
      </c>
      <c r="R248" s="74">
        <v>0</v>
      </c>
      <c r="S248" s="615">
        <v>10</v>
      </c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Y248" s="843" t="s">
        <v>770</v>
      </c>
      <c r="AZ248" s="356" t="s">
        <v>212</v>
      </c>
      <c r="BA248" s="357" t="s">
        <v>800</v>
      </c>
      <c r="BB248" s="88">
        <f>IFERROR((PHI_P87121[[#This Row],[R]]*9)/PHI_P87121[[#This Row],[IP]],0)</f>
        <v>0</v>
      </c>
      <c r="BC248" s="28">
        <v>0</v>
      </c>
      <c r="BD248" s="74">
        <v>0</v>
      </c>
      <c r="BE248" s="28">
        <v>4</v>
      </c>
      <c r="BF248" s="584">
        <v>4</v>
      </c>
      <c r="BG248" s="28">
        <v>2</v>
      </c>
      <c r="BH248" s="28">
        <v>0</v>
      </c>
      <c r="BI248" s="28">
        <v>0</v>
      </c>
      <c r="BJ248" s="28">
        <v>4</v>
      </c>
      <c r="BK248" s="28">
        <v>2</v>
      </c>
      <c r="BL248" s="106">
        <f>IFERROR((PHI_P87121[[#This Row],[BB]]+PHI_P87121[[#This Row],[H]])/PHI_P87121[[#This Row],[IP]],0)</f>
        <v>0.5</v>
      </c>
      <c r="BM248" s="77">
        <v>0</v>
      </c>
      <c r="BN248" s="90">
        <v>0</v>
      </c>
      <c r="BO248" s="28">
        <v>0</v>
      </c>
      <c r="BP248" s="74">
        <v>0</v>
      </c>
      <c r="BQ248" s="780">
        <v>10</v>
      </c>
    </row>
    <row r="249" spans="1:69" ht="17" thickBot="1">
      <c r="A249" s="674"/>
      <c r="B249" s="740"/>
      <c r="C249" s="676" t="s">
        <v>195</v>
      </c>
      <c r="D249" s="683">
        <f>(J249*9)/H249</f>
        <v>3.4497125239563369</v>
      </c>
      <c r="E249" s="679">
        <f>SUBTOTAL(109,ATL_P91[W])</f>
        <v>7</v>
      </c>
      <c r="F249" s="680">
        <f>SUBTOTAL(109,ATL_P91[L])</f>
        <v>6</v>
      </c>
      <c r="G249" s="679"/>
      <c r="H249" s="684">
        <f>SUBTOTAL(109,ATL_P91[IP])</f>
        <v>120.01</v>
      </c>
      <c r="I249" s="679">
        <f>SUBTOTAL(109,ATL_P91[H])</f>
        <v>101</v>
      </c>
      <c r="J249" s="679">
        <f>SUBTOTAL(109,ATL_P91[R])</f>
        <v>46</v>
      </c>
      <c r="K249" s="679">
        <f>SUBTOTAL(109,ATL_P91[BB])</f>
        <v>50</v>
      </c>
      <c r="L249" s="679">
        <f>SUBTOTAL(109,ATL_P91[K])</f>
        <v>150</v>
      </c>
      <c r="M249" s="679">
        <f>SUBTOTAL(109,ATL_P91[SV])</f>
        <v>2</v>
      </c>
      <c r="N249" s="741">
        <f>(K249+I249)/H249</f>
        <v>1.25822848095992</v>
      </c>
      <c r="O249" s="742">
        <f>SUBTOTAL(109,ATL_P91[QS])</f>
        <v>6</v>
      </c>
      <c r="P249" s="687">
        <f>SUBTOTAL(109,ATL_P91[UQ])</f>
        <v>5</v>
      </c>
      <c r="Q249" s="686">
        <f>SUBTOTAL(109,ATL_P91[CG])</f>
        <v>0</v>
      </c>
      <c r="R249" s="688">
        <f>SUBTOTAL(109,ATL_P91[SH])</f>
        <v>0</v>
      </c>
      <c r="S249" s="681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Y249" s="823"/>
      <c r="AZ249" s="824"/>
      <c r="BA249" s="829" t="s">
        <v>195</v>
      </c>
      <c r="BB249" s="798">
        <f>IFERROR((BH249*9)/BF249,0)</f>
        <v>3</v>
      </c>
      <c r="BC249" s="794">
        <f>SUBTOTAL(109,PHI_P87121[W])</f>
        <v>4</v>
      </c>
      <c r="BD249" s="796">
        <f>SUBTOTAL(109,PHI_P87121[L])</f>
        <v>1</v>
      </c>
      <c r="BE249" s="794"/>
      <c r="BF249" s="799">
        <f>SUBTOTAL(109,PHI_P87121[IP])</f>
        <v>45</v>
      </c>
      <c r="BG249" s="794">
        <f>SUBTOTAL(109,PHI_P87121[H])</f>
        <v>40</v>
      </c>
      <c r="BH249" s="794">
        <f>SUBTOTAL(109,PHI_P87121[R])</f>
        <v>15</v>
      </c>
      <c r="BI249" s="794">
        <f>SUBTOTAL(109,PHI_P87121[BB])</f>
        <v>18</v>
      </c>
      <c r="BJ249" s="794">
        <f>SUBTOTAL(109,PHI_P87121[K])</f>
        <v>47</v>
      </c>
      <c r="BK249" s="794">
        <f>SUBTOTAL(109,PHI_P87121[SV])</f>
        <v>2</v>
      </c>
      <c r="BL249" s="800">
        <f>IFERROR((BI249+BG249)/BF249,0)</f>
        <v>1.288888888888889</v>
      </c>
      <c r="BM249" s="801">
        <f>SUBTOTAL(109,PHI_P87121[QS])</f>
        <v>4</v>
      </c>
      <c r="BN249" s="802">
        <f>SUBTOTAL(109,PHI_P87121[UQ])</f>
        <v>2</v>
      </c>
      <c r="BO249" s="813">
        <f>SUM(BO239:BO248)</f>
        <v>0</v>
      </c>
      <c r="BP249" s="814">
        <f>SUM(BP239:BP248)</f>
        <v>0</v>
      </c>
      <c r="BQ249" s="797"/>
    </row>
  </sheetData>
  <sortState xmlns:xlrd2="http://schemas.microsoft.com/office/spreadsheetml/2017/richdata2" ref="AY222:BU235">
    <sortCondition ref="BU222:BU235"/>
  </sortState>
  <mergeCells count="29">
    <mergeCell ref="AY220:BU220"/>
    <mergeCell ref="Z157:AV157"/>
    <mergeCell ref="AY157:BU157"/>
    <mergeCell ref="Z158:AV158"/>
    <mergeCell ref="AY158:BU158"/>
    <mergeCell ref="Z189:AV189"/>
    <mergeCell ref="AY189:BU189"/>
    <mergeCell ref="Z64:AV64"/>
    <mergeCell ref="AY64:BU64"/>
    <mergeCell ref="Z95:AV95"/>
    <mergeCell ref="AY95:BU95"/>
    <mergeCell ref="Z126:AV126"/>
    <mergeCell ref="AY126:BU126"/>
    <mergeCell ref="Z1:AV1"/>
    <mergeCell ref="AY1:BU1"/>
    <mergeCell ref="Z2:AV2"/>
    <mergeCell ref="AY2:BU2"/>
    <mergeCell ref="Z33:AV33"/>
    <mergeCell ref="AY33:BU33"/>
    <mergeCell ref="A158:W158"/>
    <mergeCell ref="A189:W189"/>
    <mergeCell ref="A220:W220"/>
    <mergeCell ref="A157:W157"/>
    <mergeCell ref="A1:W1"/>
    <mergeCell ref="A2:W2"/>
    <mergeCell ref="A33:W33"/>
    <mergeCell ref="A64:W64"/>
    <mergeCell ref="A95:W95"/>
    <mergeCell ref="A126:W126"/>
  </mergeCells>
  <pageMargins left="0.7" right="0.7" top="0.75" bottom="0.75" header="0.3" footer="0.3"/>
  <tableParts count="4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V218"/>
  <sheetViews>
    <sheetView zoomScale="110" zoomScaleNormal="11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A2" sqref="A2:W2"/>
    </sheetView>
  </sheetViews>
  <sheetFormatPr baseColWidth="10" defaultRowHeight="16"/>
  <cols>
    <col min="1" max="1" width="6.33203125" style="28" customWidth="1"/>
    <col min="2" max="2" width="5.5" style="28" customWidth="1"/>
    <col min="3" max="3" width="19.6640625" style="28" bestFit="1" customWidth="1"/>
    <col min="4" max="4" width="8" style="28" customWidth="1"/>
    <col min="5" max="6" width="7.1640625" style="28" customWidth="1"/>
    <col min="7" max="7" width="5" style="28" customWidth="1"/>
    <col min="8" max="8" width="6.6640625" style="28" customWidth="1"/>
    <col min="9" max="10" width="5" style="28" customWidth="1"/>
    <col min="11" max="11" width="6" style="28" customWidth="1"/>
    <col min="12" max="12" width="5.6640625" style="28" customWidth="1"/>
    <col min="13" max="13" width="6.1640625" style="28" customWidth="1"/>
    <col min="14" max="14" width="6.6640625" style="28" customWidth="1"/>
    <col min="15" max="15" width="6" style="28" customWidth="1"/>
    <col min="16" max="17" width="6.1640625" style="28" customWidth="1"/>
    <col min="18" max="18" width="6" style="28" customWidth="1"/>
    <col min="19" max="19" width="5.83203125" style="28" customWidth="1"/>
    <col min="20" max="20" width="6" style="28" customWidth="1"/>
    <col min="21" max="21" width="7" style="28" customWidth="1"/>
    <col min="22" max="22" width="4.5" style="28" customWidth="1"/>
    <col min="23" max="23" width="6.1640625" style="28" customWidth="1"/>
    <col min="24" max="25" width="3.33203125" style="28" customWidth="1"/>
    <col min="26" max="26" width="6.33203125" style="28" customWidth="1"/>
    <col min="27" max="27" width="5.33203125" style="28" customWidth="1"/>
    <col min="28" max="28" width="17.33203125" style="28" bestFit="1" customWidth="1"/>
    <col min="29" max="31" width="7.1640625" style="28" customWidth="1"/>
    <col min="32" max="32" width="5" style="28" customWidth="1"/>
    <col min="33" max="33" width="6" style="28" customWidth="1"/>
    <col min="34" max="35" width="5" style="28" customWidth="1"/>
    <col min="36" max="36" width="6" style="28" customWidth="1"/>
    <col min="37" max="37" width="5.6640625" style="28" customWidth="1"/>
    <col min="38" max="38" width="6.1640625" style="28" customWidth="1"/>
    <col min="39" max="39" width="6.6640625" style="28" customWidth="1"/>
    <col min="40" max="40" width="6" style="28" customWidth="1"/>
    <col min="41" max="42" width="6.1640625" style="28" customWidth="1"/>
    <col min="43" max="43" width="6" style="28" customWidth="1"/>
    <col min="44" max="44" width="5.83203125" style="28" customWidth="1"/>
    <col min="45" max="45" width="6" style="28" customWidth="1"/>
    <col min="46" max="46" width="7" style="28" customWidth="1"/>
    <col min="47" max="47" width="4.5" style="28" customWidth="1"/>
    <col min="48" max="48" width="6.1640625" style="28" customWidth="1"/>
    <col min="49" max="50" width="3.83203125" style="28" customWidth="1"/>
    <col min="51" max="51" width="6.33203125" style="28" customWidth="1"/>
    <col min="52" max="52" width="5.1640625" style="28" customWidth="1"/>
    <col min="53" max="53" width="13.1640625" style="28" customWidth="1"/>
    <col min="54" max="56" width="7.1640625" style="28" customWidth="1"/>
    <col min="57" max="57" width="5" style="28" customWidth="1"/>
    <col min="58" max="58" width="6" style="28" customWidth="1"/>
    <col min="59" max="60" width="5" style="28" customWidth="1"/>
    <col min="61" max="61" width="6" style="28" customWidth="1"/>
    <col min="62" max="62" width="5.6640625" style="28" customWidth="1"/>
    <col min="63" max="63" width="6.1640625" style="28" customWidth="1"/>
    <col min="64" max="64" width="6.6640625" style="28" customWidth="1"/>
    <col min="65" max="65" width="6" style="28" customWidth="1"/>
    <col min="66" max="67" width="6.1640625" style="28" customWidth="1"/>
    <col min="68" max="68" width="6" style="28" customWidth="1"/>
    <col min="69" max="69" width="5.83203125" style="28" customWidth="1"/>
    <col min="70" max="70" width="6" style="28" customWidth="1"/>
    <col min="71" max="71" width="7" style="28" customWidth="1"/>
    <col min="72" max="72" width="4.5" style="28" customWidth="1"/>
    <col min="73" max="73" width="6.1640625" style="28" customWidth="1"/>
    <col min="74" max="74" width="2.83203125" style="28" customWidth="1"/>
  </cols>
  <sheetData>
    <row r="1" spans="1:73" ht="29" thickBot="1">
      <c r="A1" s="1051" t="s">
        <v>946</v>
      </c>
      <c r="B1" s="1052"/>
      <c r="C1" s="1052"/>
      <c r="D1" s="1052"/>
      <c r="E1" s="1052"/>
      <c r="F1" s="1052"/>
      <c r="G1" s="1052"/>
      <c r="H1" s="1052"/>
      <c r="I1" s="1052"/>
      <c r="J1" s="1052"/>
      <c r="K1" s="1052"/>
      <c r="L1" s="1052"/>
      <c r="M1" s="1052"/>
      <c r="N1" s="1052"/>
      <c r="O1" s="1052"/>
      <c r="P1" s="1052"/>
      <c r="Q1" s="1052"/>
      <c r="R1" s="1052"/>
      <c r="S1" s="1052"/>
      <c r="T1" s="1052"/>
      <c r="U1" s="1052"/>
      <c r="V1" s="1052"/>
      <c r="W1" s="1053"/>
      <c r="Z1" s="1051" t="s">
        <v>947</v>
      </c>
      <c r="AA1" s="1052"/>
      <c r="AB1" s="1052"/>
      <c r="AC1" s="1052"/>
      <c r="AD1" s="1052"/>
      <c r="AE1" s="1052"/>
      <c r="AF1" s="1052"/>
      <c r="AG1" s="1052"/>
      <c r="AH1" s="1052"/>
      <c r="AI1" s="1052"/>
      <c r="AJ1" s="1052"/>
      <c r="AK1" s="1052"/>
      <c r="AL1" s="1052"/>
      <c r="AM1" s="1052"/>
      <c r="AN1" s="1052"/>
      <c r="AO1" s="1052"/>
      <c r="AP1" s="1052"/>
      <c r="AQ1" s="1052"/>
      <c r="AR1" s="1052"/>
      <c r="AS1" s="1052"/>
      <c r="AT1" s="1052"/>
      <c r="AU1" s="1052"/>
      <c r="AV1" s="1053"/>
      <c r="AY1" s="1051" t="s">
        <v>948</v>
      </c>
      <c r="AZ1" s="1052"/>
      <c r="BA1" s="1052"/>
      <c r="BB1" s="1052"/>
      <c r="BC1" s="1052"/>
      <c r="BD1" s="1052"/>
      <c r="BE1" s="1052"/>
      <c r="BF1" s="1052"/>
      <c r="BG1" s="1052"/>
      <c r="BH1" s="1052"/>
      <c r="BI1" s="1052"/>
      <c r="BJ1" s="1052"/>
      <c r="BK1" s="1052"/>
      <c r="BL1" s="1052"/>
      <c r="BM1" s="1052"/>
      <c r="BN1" s="1052"/>
      <c r="BO1" s="1052"/>
      <c r="BP1" s="1052"/>
      <c r="BQ1" s="1052"/>
      <c r="BR1" s="1052"/>
      <c r="BS1" s="1052"/>
      <c r="BT1" s="1052"/>
      <c r="BU1" s="1053"/>
    </row>
    <row r="2" spans="1:73" ht="24" thickBot="1">
      <c r="A2" s="1012" t="s">
        <v>949</v>
      </c>
      <c r="B2" s="1013"/>
      <c r="C2" s="1013"/>
      <c r="D2" s="1013"/>
      <c r="E2" s="1013"/>
      <c r="F2" s="1013"/>
      <c r="G2" s="1013"/>
      <c r="H2" s="1013"/>
      <c r="I2" s="1013"/>
      <c r="J2" s="1013"/>
      <c r="K2" s="1013"/>
      <c r="L2" s="1013"/>
      <c r="M2" s="1013"/>
      <c r="N2" s="1013"/>
      <c r="O2" s="1013"/>
      <c r="P2" s="1013"/>
      <c r="Q2" s="1013"/>
      <c r="R2" s="1013"/>
      <c r="S2" s="1013"/>
      <c r="T2" s="1013"/>
      <c r="U2" s="1013"/>
      <c r="V2" s="1013"/>
      <c r="W2" s="1014"/>
      <c r="Z2" s="1012" t="s">
        <v>950</v>
      </c>
      <c r="AA2" s="1013"/>
      <c r="AB2" s="1013"/>
      <c r="AC2" s="1013"/>
      <c r="AD2" s="1013"/>
      <c r="AE2" s="1013"/>
      <c r="AF2" s="1013"/>
      <c r="AG2" s="1013"/>
      <c r="AH2" s="1013"/>
      <c r="AI2" s="1013"/>
      <c r="AJ2" s="1013"/>
      <c r="AK2" s="1013"/>
      <c r="AL2" s="1013"/>
      <c r="AM2" s="1013"/>
      <c r="AN2" s="1013"/>
      <c r="AO2" s="1013"/>
      <c r="AP2" s="1013"/>
      <c r="AQ2" s="1013"/>
      <c r="AR2" s="1013"/>
      <c r="AS2" s="1013"/>
      <c r="AT2" s="1013"/>
      <c r="AU2" s="1013"/>
      <c r="AV2" s="1014"/>
      <c r="AY2" s="1012" t="s">
        <v>951</v>
      </c>
      <c r="AZ2" s="1013"/>
      <c r="BA2" s="1013"/>
      <c r="BB2" s="1013"/>
      <c r="BC2" s="1013"/>
      <c r="BD2" s="1013"/>
      <c r="BE2" s="1013"/>
      <c r="BF2" s="1013"/>
      <c r="BG2" s="1013"/>
      <c r="BH2" s="1013"/>
      <c r="BI2" s="1013"/>
      <c r="BJ2" s="1013"/>
      <c r="BK2" s="1013"/>
      <c r="BL2" s="1013"/>
      <c r="BM2" s="1013"/>
      <c r="BN2" s="1013"/>
      <c r="BO2" s="1013"/>
      <c r="BP2" s="1013"/>
      <c r="BQ2" s="1013"/>
      <c r="BR2" s="1013"/>
      <c r="BS2" s="1013"/>
      <c r="BT2" s="1013"/>
      <c r="BU2" s="1014"/>
    </row>
    <row r="3" spans="1:73" s="64" customFormat="1" ht="14" thickBot="1">
      <c r="A3" s="605" t="s">
        <v>143</v>
      </c>
      <c r="B3" s="606" t="s">
        <v>144</v>
      </c>
      <c r="C3" s="606" t="s">
        <v>145</v>
      </c>
      <c r="D3" s="606" t="s">
        <v>146</v>
      </c>
      <c r="E3" s="606" t="s">
        <v>147</v>
      </c>
      <c r="F3" s="606" t="s">
        <v>148</v>
      </c>
      <c r="G3" s="606" t="s">
        <v>149</v>
      </c>
      <c r="H3" s="606" t="s">
        <v>150</v>
      </c>
      <c r="I3" s="606" t="s">
        <v>151</v>
      </c>
      <c r="J3" s="606" t="s">
        <v>152</v>
      </c>
      <c r="K3" s="606" t="s">
        <v>153</v>
      </c>
      <c r="L3" s="606" t="s">
        <v>154</v>
      </c>
      <c r="M3" s="606" t="s">
        <v>155</v>
      </c>
      <c r="N3" s="606" t="s">
        <v>156</v>
      </c>
      <c r="O3" s="606" t="s">
        <v>157</v>
      </c>
      <c r="P3" s="606" t="s">
        <v>158</v>
      </c>
      <c r="Q3" s="606" t="s">
        <v>159</v>
      </c>
      <c r="R3" s="606" t="s">
        <v>160</v>
      </c>
      <c r="S3" s="606" t="s">
        <v>16</v>
      </c>
      <c r="T3" s="606" t="s">
        <v>161</v>
      </c>
      <c r="U3" s="606" t="s">
        <v>162</v>
      </c>
      <c r="V3" s="606" t="s">
        <v>163</v>
      </c>
      <c r="W3" s="607" t="s">
        <v>164</v>
      </c>
      <c r="Z3" s="605" t="s">
        <v>143</v>
      </c>
      <c r="AA3" s="606" t="s">
        <v>144</v>
      </c>
      <c r="AB3" s="606" t="s">
        <v>145</v>
      </c>
      <c r="AC3" s="606" t="s">
        <v>146</v>
      </c>
      <c r="AD3" s="606" t="s">
        <v>147</v>
      </c>
      <c r="AE3" s="606" t="s">
        <v>148</v>
      </c>
      <c r="AF3" s="606" t="s">
        <v>149</v>
      </c>
      <c r="AG3" s="606" t="s">
        <v>150</v>
      </c>
      <c r="AH3" s="606" t="s">
        <v>151</v>
      </c>
      <c r="AI3" s="606" t="s">
        <v>152</v>
      </c>
      <c r="AJ3" s="606" t="s">
        <v>153</v>
      </c>
      <c r="AK3" s="606" t="s">
        <v>154</v>
      </c>
      <c r="AL3" s="606" t="s">
        <v>155</v>
      </c>
      <c r="AM3" s="606" t="s">
        <v>156</v>
      </c>
      <c r="AN3" s="606" t="s">
        <v>157</v>
      </c>
      <c r="AO3" s="606" t="s">
        <v>158</v>
      </c>
      <c r="AP3" s="606" t="s">
        <v>159</v>
      </c>
      <c r="AQ3" s="606" t="s">
        <v>160</v>
      </c>
      <c r="AR3" s="606" t="s">
        <v>16</v>
      </c>
      <c r="AS3" s="606" t="s">
        <v>161</v>
      </c>
      <c r="AT3" s="606" t="s">
        <v>162</v>
      </c>
      <c r="AU3" s="606" t="s">
        <v>163</v>
      </c>
      <c r="AV3" s="607" t="s">
        <v>164</v>
      </c>
      <c r="AY3" s="605" t="s">
        <v>143</v>
      </c>
      <c r="AZ3" s="606" t="s">
        <v>144</v>
      </c>
      <c r="BA3" s="606" t="s">
        <v>145</v>
      </c>
      <c r="BB3" s="606" t="s">
        <v>146</v>
      </c>
      <c r="BC3" s="606" t="s">
        <v>147</v>
      </c>
      <c r="BD3" s="606" t="s">
        <v>148</v>
      </c>
      <c r="BE3" s="606" t="s">
        <v>149</v>
      </c>
      <c r="BF3" s="606" t="s">
        <v>150</v>
      </c>
      <c r="BG3" s="606" t="s">
        <v>151</v>
      </c>
      <c r="BH3" s="606" t="s">
        <v>152</v>
      </c>
      <c r="BI3" s="606" t="s">
        <v>153</v>
      </c>
      <c r="BJ3" s="606" t="s">
        <v>154</v>
      </c>
      <c r="BK3" s="606" t="s">
        <v>155</v>
      </c>
      <c r="BL3" s="606" t="s">
        <v>156</v>
      </c>
      <c r="BM3" s="606" t="s">
        <v>157</v>
      </c>
      <c r="BN3" s="606" t="s">
        <v>158</v>
      </c>
      <c r="BO3" s="606" t="s">
        <v>159</v>
      </c>
      <c r="BP3" s="606" t="s">
        <v>160</v>
      </c>
      <c r="BQ3" s="606" t="s">
        <v>16</v>
      </c>
      <c r="BR3" s="606" t="s">
        <v>161</v>
      </c>
      <c r="BS3" s="606" t="s">
        <v>162</v>
      </c>
      <c r="BT3" s="606" t="s">
        <v>163</v>
      </c>
      <c r="BU3" s="607" t="s">
        <v>164</v>
      </c>
    </row>
    <row r="4" spans="1:73">
      <c r="A4" s="650" t="s">
        <v>952</v>
      </c>
      <c r="B4" s="597" t="s">
        <v>179</v>
      </c>
      <c r="C4" s="597" t="s">
        <v>958</v>
      </c>
      <c r="D4" s="598">
        <f>IFERROR(STL_H[[#This Row],[H]]/STL_H[[#This Row],[AB]],0)</f>
        <v>0.31159420289855072</v>
      </c>
      <c r="E4" s="598">
        <f>IFERROR((STL_H[[#This Row],[H]]+STL_H[[#This Row],[BB]])/(STL_H[[#This Row],[AB]]+STL_H[[#This Row],[BB]]),0)</f>
        <v>0.35374149659863946</v>
      </c>
      <c r="F4" s="599">
        <f>IFERROR(((STL_H[[#This Row],[H]]-STL_H[[#This Row],[2B]]-STL_H[[#This Row],[3B]]-STL_H[[#This Row],[HR]])+(STL_H[[#This Row],[2B]]*2)+(STL_H[[#This Row],[3B]]*3)+(STL_H[[#This Row],[HR]]*4))/STL_H[[#This Row],[AB]],0)</f>
        <v>0.38405797101449274</v>
      </c>
      <c r="G4" s="600">
        <v>37</v>
      </c>
      <c r="H4" s="600">
        <v>138</v>
      </c>
      <c r="I4" s="600">
        <v>11</v>
      </c>
      <c r="J4" s="600">
        <v>43</v>
      </c>
      <c r="K4" s="600">
        <v>7</v>
      </c>
      <c r="L4" s="600">
        <v>0</v>
      </c>
      <c r="M4" s="600">
        <v>1</v>
      </c>
      <c r="N4" s="600">
        <v>13</v>
      </c>
      <c r="O4" s="600">
        <v>9</v>
      </c>
      <c r="P4" s="604">
        <v>29</v>
      </c>
      <c r="Q4" s="600">
        <v>0</v>
      </c>
      <c r="R4" s="600">
        <v>1</v>
      </c>
      <c r="S4" s="604">
        <v>7</v>
      </c>
      <c r="T4" s="600">
        <f>IFERROR((STL_H[[#This Row],[H]]-STL_H[[#This Row],[2B]]-STL_H[[#This Row],[3B]]-STL_H[[#This Row],[HR]])+(STL_H[[#This Row],[2B]]*2)+(STL_H[[#This Row],[3B]]*3)+(STL_H[[#This Row],[HR]]*4),0)</f>
        <v>53</v>
      </c>
      <c r="U4" s="598">
        <f>STL_H[[#This Row],[OBP]]+STL_H[[#This Row],[SLG]]</f>
        <v>0.7377994676131322</v>
      </c>
      <c r="V4" s="604">
        <v>1</v>
      </c>
      <c r="W4" s="614">
        <v>1</v>
      </c>
      <c r="Z4" s="650" t="s">
        <v>952</v>
      </c>
      <c r="AA4" s="597" t="s">
        <v>179</v>
      </c>
      <c r="AB4" s="597" t="s">
        <v>958</v>
      </c>
      <c r="AC4" s="598">
        <f>IFERROR(STL_H134[[#This Row],[H]]/STL_H134[[#This Row],[AB]],0)</f>
        <v>0.28965517241379313</v>
      </c>
      <c r="AD4" s="598">
        <f>IFERROR((STL_H134[[#This Row],[H]]+STL_H134[[#This Row],[BB]])/(STL_H134[[#This Row],[AB]]+STL_H134[[#This Row],[BB]]),0)</f>
        <v>0.31788079470198677</v>
      </c>
      <c r="AE4" s="599">
        <f>IFERROR(((STL_H134[[#This Row],[H]]-STL_H134[[#This Row],[2B]]-STL_H134[[#This Row],[3B]]-STL_H134[[#This Row],[HR]])+(STL_H134[[#This Row],[2B]]*2)+(STL_H134[[#This Row],[3B]]*3)+(STL_H134[[#This Row],[HR]]*4))/STL_H134[[#This Row],[AB]],0)</f>
        <v>0.45517241379310347</v>
      </c>
      <c r="AF4" s="600">
        <v>38</v>
      </c>
      <c r="AG4" s="600">
        <v>145</v>
      </c>
      <c r="AH4" s="600">
        <v>11</v>
      </c>
      <c r="AI4" s="600">
        <v>42</v>
      </c>
      <c r="AJ4" s="600">
        <v>9</v>
      </c>
      <c r="AK4" s="600">
        <v>0</v>
      </c>
      <c r="AL4" s="600">
        <v>5</v>
      </c>
      <c r="AM4" s="600">
        <v>22</v>
      </c>
      <c r="AN4" s="600">
        <v>6</v>
      </c>
      <c r="AO4" s="604">
        <v>26</v>
      </c>
      <c r="AP4" s="600">
        <v>0</v>
      </c>
      <c r="AQ4" s="600">
        <v>0</v>
      </c>
      <c r="AR4" s="604">
        <v>6</v>
      </c>
      <c r="AS4" s="600">
        <f>IFERROR((STL_H134[[#This Row],[H]]-STL_H134[[#This Row],[2B]]-STL_H134[[#This Row],[3B]]-STL_H134[[#This Row],[HR]])+(STL_H134[[#This Row],[2B]]*2)+(STL_H134[[#This Row],[3B]]*3)+(STL_H134[[#This Row],[HR]]*4),0)</f>
        <v>66</v>
      </c>
      <c r="AT4" s="598">
        <f>STL_H134[[#This Row],[OBP]]+STL_H134[[#This Row],[SLG]]</f>
        <v>0.77305320849509029</v>
      </c>
      <c r="AU4" s="604">
        <v>4</v>
      </c>
      <c r="AV4" s="614">
        <v>1</v>
      </c>
      <c r="AY4" s="650" t="s">
        <v>952</v>
      </c>
      <c r="AZ4" s="604" t="s">
        <v>179</v>
      </c>
      <c r="BA4" s="597" t="s">
        <v>958</v>
      </c>
      <c r="BB4" s="598">
        <f>IFERROR(STL_H148[[#This Row],[H]]/STL_H148[[#This Row],[AB]],0)</f>
        <v>0.26666666666666666</v>
      </c>
      <c r="BC4" s="598">
        <f>IFERROR((STL_H148[[#This Row],[BB]]+STL_H148[[#This Row],[H]])/(STL_H148[[#This Row],[BB]]+STL_H148[[#This Row],[AB]]),0)</f>
        <v>0.3125</v>
      </c>
      <c r="BD4" s="599">
        <f>IFERROR(((STL_H148[[#This Row],[H]]-STL_H148[[#This Row],[2B]]-STL_H148[[#This Row],[3B]]-STL_H148[[#This Row],[HR]])+(STL_H148[[#This Row],[2B]]*2)+(STL_H148[[#This Row],[3B]]*3)+(STL_H148[[#This Row],[HR]]*4))/STL_H148[[#This Row],[AB]],0)</f>
        <v>0.37777777777777777</v>
      </c>
      <c r="BE4" s="600">
        <v>39</v>
      </c>
      <c r="BF4" s="600">
        <v>135</v>
      </c>
      <c r="BG4" s="600">
        <v>13</v>
      </c>
      <c r="BH4" s="600">
        <v>36</v>
      </c>
      <c r="BI4" s="600">
        <v>9</v>
      </c>
      <c r="BJ4" s="600">
        <v>0</v>
      </c>
      <c r="BK4" s="600">
        <v>2</v>
      </c>
      <c r="BL4" s="600">
        <v>11</v>
      </c>
      <c r="BM4" s="600">
        <v>9</v>
      </c>
      <c r="BN4" s="604">
        <v>16</v>
      </c>
      <c r="BO4" s="600">
        <v>0</v>
      </c>
      <c r="BP4" s="600">
        <v>4</v>
      </c>
      <c r="BQ4" s="632">
        <v>15</v>
      </c>
      <c r="BR4" s="600">
        <f>IFERROR((STL_H148[[#This Row],[H]]-STL_H148[[#This Row],[2B]]-STL_H148[[#This Row],[3B]]-STL_H148[[#This Row],[HR]])+(STL_H148[[#This Row],[2B]]*2)+(STL_H148[[#This Row],[3B]]*3)+(STL_H148[[#This Row],[HR]]*4),0)</f>
        <v>51</v>
      </c>
      <c r="BS4" s="598">
        <f>IFERROR(STL_H148[[#This Row],[OBP]]+STL_H148[[#This Row],[SLG]],0)</f>
        <v>0.69027777777777777</v>
      </c>
      <c r="BT4" s="604">
        <v>0</v>
      </c>
      <c r="BU4" s="614">
        <v>1</v>
      </c>
    </row>
    <row r="5" spans="1:73">
      <c r="A5" s="651" t="s">
        <v>952</v>
      </c>
      <c r="B5" s="71" t="s">
        <v>154</v>
      </c>
      <c r="C5" s="71" t="s">
        <v>954</v>
      </c>
      <c r="D5" s="72">
        <f>IFERROR(STL_H[[#This Row],[H]]/STL_H[[#This Row],[AB]],0)</f>
        <v>0.22435897435897437</v>
      </c>
      <c r="E5" s="72">
        <f>IFERROR((STL_H[[#This Row],[H]]+STL_H[[#This Row],[BB]])/(STL_H[[#This Row],[AB]]+STL_H[[#This Row],[BB]]),0)</f>
        <v>0.3202247191011236</v>
      </c>
      <c r="F5" s="73">
        <f>IFERROR(((STL_H[[#This Row],[H]]-STL_H[[#This Row],[2B]]-STL_H[[#This Row],[3B]]-STL_H[[#This Row],[HR]])+(STL_H[[#This Row],[2B]]*2)+(STL_H[[#This Row],[3B]]*3)+(STL_H[[#This Row],[HR]]*4))/STL_H[[#This Row],[AB]],0)</f>
        <v>0.42307692307692307</v>
      </c>
      <c r="G5" s="28">
        <v>40</v>
      </c>
      <c r="H5" s="28">
        <v>156</v>
      </c>
      <c r="I5" s="28">
        <v>17</v>
      </c>
      <c r="J5" s="28">
        <v>35</v>
      </c>
      <c r="K5" s="28">
        <v>8</v>
      </c>
      <c r="L5" s="28">
        <v>1</v>
      </c>
      <c r="M5" s="28">
        <v>7</v>
      </c>
      <c r="N5" s="28">
        <v>15</v>
      </c>
      <c r="O5" s="28">
        <v>22</v>
      </c>
      <c r="P5" s="74">
        <v>40</v>
      </c>
      <c r="Q5" s="28">
        <v>0</v>
      </c>
      <c r="R5" s="28">
        <v>0</v>
      </c>
      <c r="S5" s="74">
        <v>7</v>
      </c>
      <c r="T5" s="28">
        <f>IFERROR((STL_H[[#This Row],[H]]-STL_H[[#This Row],[2B]]-STL_H[[#This Row],[3B]]-STL_H[[#This Row],[HR]])+(STL_H[[#This Row],[2B]]*2)+(STL_H[[#This Row],[3B]]*3)+(STL_H[[#This Row],[HR]]*4),0)</f>
        <v>66</v>
      </c>
      <c r="U5" s="72">
        <f>STL_H[[#This Row],[OBP]]+STL_H[[#This Row],[SLG]]</f>
        <v>0.74330164217804673</v>
      </c>
      <c r="V5" s="74">
        <v>2</v>
      </c>
      <c r="W5" s="615">
        <v>2</v>
      </c>
      <c r="Z5" s="651" t="s">
        <v>952</v>
      </c>
      <c r="AA5" s="71" t="s">
        <v>154</v>
      </c>
      <c r="AB5" s="71" t="s">
        <v>954</v>
      </c>
      <c r="AC5" s="72">
        <f>IFERROR(STL_H134[[#This Row],[H]]/STL_H134[[#This Row],[AB]],0)</f>
        <v>0.25443786982248523</v>
      </c>
      <c r="AD5" s="72">
        <f>IFERROR((STL_H134[[#This Row],[H]]+STL_H134[[#This Row],[BB]])/(STL_H134[[#This Row],[AB]]+STL_H134[[#This Row],[BB]]),0)</f>
        <v>0.28000000000000003</v>
      </c>
      <c r="AE5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0.46745562130177515</v>
      </c>
      <c r="AF5" s="28">
        <v>40</v>
      </c>
      <c r="AG5" s="28">
        <v>169</v>
      </c>
      <c r="AH5" s="28">
        <v>18</v>
      </c>
      <c r="AI5" s="28">
        <v>43</v>
      </c>
      <c r="AJ5" s="28">
        <v>9</v>
      </c>
      <c r="AK5" s="28">
        <v>3</v>
      </c>
      <c r="AL5" s="28">
        <v>7</v>
      </c>
      <c r="AM5" s="28">
        <v>23</v>
      </c>
      <c r="AN5" s="28">
        <v>6</v>
      </c>
      <c r="AO5" s="74">
        <v>34</v>
      </c>
      <c r="AP5" s="28">
        <v>0</v>
      </c>
      <c r="AQ5" s="28">
        <v>2</v>
      </c>
      <c r="AR5" s="74">
        <v>4</v>
      </c>
      <c r="AS5" s="28">
        <f>IFERROR((STL_H134[[#This Row],[H]]-STL_H134[[#This Row],[2B]]-STL_H134[[#This Row],[3B]]-STL_H134[[#This Row],[HR]])+(STL_H134[[#This Row],[2B]]*2)+(STL_H134[[#This Row],[3B]]*3)+(STL_H134[[#This Row],[HR]]*4),0)</f>
        <v>79</v>
      </c>
      <c r="AT5" s="72">
        <f>STL_H134[[#This Row],[OBP]]+STL_H134[[#This Row],[SLG]]</f>
        <v>0.74745562130177512</v>
      </c>
      <c r="AU5" s="74">
        <v>4</v>
      </c>
      <c r="AV5" s="615">
        <v>2</v>
      </c>
      <c r="AY5" s="651" t="s">
        <v>952</v>
      </c>
      <c r="AZ5" s="104" t="s">
        <v>154</v>
      </c>
      <c r="BA5" s="71" t="s">
        <v>954</v>
      </c>
      <c r="BB5" s="72">
        <f>IFERROR(STL_H148[[#This Row],[H]]/STL_H148[[#This Row],[AB]],0)</f>
        <v>0.3</v>
      </c>
      <c r="BC5" s="72">
        <f>IFERROR((STL_H148[[#This Row],[BB]]+STL_H148[[#This Row],[H]])/(STL_H148[[#This Row],[BB]]+STL_H148[[#This Row],[AB]]),0)</f>
        <v>0.34502923976608185</v>
      </c>
      <c r="BD5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0.5625</v>
      </c>
      <c r="BE5" s="28">
        <v>40</v>
      </c>
      <c r="BF5" s="28">
        <v>160</v>
      </c>
      <c r="BG5" s="28">
        <v>30</v>
      </c>
      <c r="BH5" s="28">
        <v>48</v>
      </c>
      <c r="BI5" s="28">
        <v>12</v>
      </c>
      <c r="BJ5" s="28">
        <v>0</v>
      </c>
      <c r="BK5" s="28">
        <v>10</v>
      </c>
      <c r="BL5" s="28">
        <v>24</v>
      </c>
      <c r="BM5" s="28">
        <v>11</v>
      </c>
      <c r="BN5" s="74">
        <v>32</v>
      </c>
      <c r="BO5" s="28">
        <v>0</v>
      </c>
      <c r="BP5" s="28">
        <v>1</v>
      </c>
      <c r="BQ5" s="74">
        <v>5</v>
      </c>
      <c r="BR5" s="28">
        <f>IFERROR((STL_H148[[#This Row],[H]]-STL_H148[[#This Row],[2B]]-STL_H148[[#This Row],[3B]]-STL_H148[[#This Row],[HR]])+(STL_H148[[#This Row],[2B]]*2)+(STL_H148[[#This Row],[3B]]*3)+(STL_H148[[#This Row],[HR]]*4),0)</f>
        <v>90</v>
      </c>
      <c r="BS5" s="72">
        <f>IFERROR(STL_H148[[#This Row],[OBP]]+STL_H148[[#This Row],[SLG]],0)</f>
        <v>0.90752923976608191</v>
      </c>
      <c r="BT5" s="74">
        <v>3</v>
      </c>
      <c r="BU5" s="615">
        <v>2</v>
      </c>
    </row>
    <row r="6" spans="1:73">
      <c r="A6" s="651" t="s">
        <v>952</v>
      </c>
      <c r="B6" s="71" t="s">
        <v>172</v>
      </c>
      <c r="C6" s="71" t="s">
        <v>962</v>
      </c>
      <c r="D6" s="72">
        <f>IFERROR(STL_H[[#This Row],[H]]/STL_H[[#This Row],[AB]],0)</f>
        <v>0.21</v>
      </c>
      <c r="E6" s="72">
        <f>IFERROR((STL_H[[#This Row],[H]]+STL_H[[#This Row],[BB]])/(STL_H[[#This Row],[AB]]+STL_H[[#This Row],[BB]]),0)</f>
        <v>0.26851851851851855</v>
      </c>
      <c r="F6" s="73">
        <f>IFERROR(((STL_H[[#This Row],[H]]-STL_H[[#This Row],[2B]]-STL_H[[#This Row],[3B]]-STL_H[[#This Row],[HR]])+(STL_H[[#This Row],[2B]]*2)+(STL_H[[#This Row],[3B]]*3)+(STL_H[[#This Row],[HR]]*4))/STL_H[[#This Row],[AB]],0)</f>
        <v>0.3</v>
      </c>
      <c r="G6" s="28">
        <v>35</v>
      </c>
      <c r="H6" s="28">
        <v>100</v>
      </c>
      <c r="I6" s="28">
        <v>9</v>
      </c>
      <c r="J6" s="28">
        <v>21</v>
      </c>
      <c r="K6" s="28">
        <v>3</v>
      </c>
      <c r="L6" s="28">
        <v>0</v>
      </c>
      <c r="M6" s="28">
        <v>2</v>
      </c>
      <c r="N6" s="28">
        <v>9</v>
      </c>
      <c r="O6" s="28">
        <v>8</v>
      </c>
      <c r="P6" s="74">
        <v>25</v>
      </c>
      <c r="Q6" s="28">
        <v>9</v>
      </c>
      <c r="R6" s="28">
        <v>2</v>
      </c>
      <c r="S6" s="74">
        <v>2</v>
      </c>
      <c r="T6" s="28">
        <f>IFERROR((STL_H[[#This Row],[H]]-STL_H[[#This Row],[2B]]-STL_H[[#This Row],[3B]]-STL_H[[#This Row],[HR]])+(STL_H[[#This Row],[2B]]*2)+(STL_H[[#This Row],[3B]]*3)+(STL_H[[#This Row],[HR]]*4),0)</f>
        <v>30</v>
      </c>
      <c r="U6" s="72">
        <f>STL_H[[#This Row],[OBP]]+STL_H[[#This Row],[SLG]]</f>
        <v>0.56851851851851853</v>
      </c>
      <c r="V6" s="74">
        <v>0</v>
      </c>
      <c r="W6" s="615">
        <v>3</v>
      </c>
      <c r="Z6" s="651" t="s">
        <v>952</v>
      </c>
      <c r="AA6" s="71" t="s">
        <v>172</v>
      </c>
      <c r="AB6" s="71" t="s">
        <v>962</v>
      </c>
      <c r="AC6" s="72">
        <f>IFERROR(STL_H134[[#This Row],[H]]/STL_H134[[#This Row],[AB]],0)</f>
        <v>0.1891891891891892</v>
      </c>
      <c r="AD6" s="72">
        <f>IFERROR((STL_H134[[#This Row],[H]]+STL_H134[[#This Row],[BB]])/(STL_H134[[#This Row],[AB]]+STL_H134[[#This Row],[BB]]),0)</f>
        <v>0.296875</v>
      </c>
      <c r="AE6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0.29729729729729731</v>
      </c>
      <c r="AF6" s="28">
        <v>31</v>
      </c>
      <c r="AG6" s="28">
        <v>111</v>
      </c>
      <c r="AH6" s="28">
        <v>13</v>
      </c>
      <c r="AI6" s="28">
        <v>21</v>
      </c>
      <c r="AJ6" s="28">
        <v>6</v>
      </c>
      <c r="AK6" s="28">
        <v>0</v>
      </c>
      <c r="AL6" s="28">
        <v>2</v>
      </c>
      <c r="AM6" s="28">
        <v>9</v>
      </c>
      <c r="AN6" s="28">
        <v>17</v>
      </c>
      <c r="AO6" s="74">
        <v>25</v>
      </c>
      <c r="AP6" s="28">
        <v>6</v>
      </c>
      <c r="AQ6" s="28">
        <v>1</v>
      </c>
      <c r="AR6" s="74">
        <v>5</v>
      </c>
      <c r="AS6" s="28">
        <f>IFERROR((STL_H134[[#This Row],[H]]-STL_H134[[#This Row],[2B]]-STL_H134[[#This Row],[3B]]-STL_H134[[#This Row],[HR]])+(STL_H134[[#This Row],[2B]]*2)+(STL_H134[[#This Row],[3B]]*3)+(STL_H134[[#This Row],[HR]]*4),0)</f>
        <v>33</v>
      </c>
      <c r="AT6" s="72">
        <f>STL_H134[[#This Row],[OBP]]+STL_H134[[#This Row],[SLG]]</f>
        <v>0.59417229729729737</v>
      </c>
      <c r="AU6" s="74">
        <v>1</v>
      </c>
      <c r="AV6" s="615">
        <v>3</v>
      </c>
      <c r="AY6" s="651" t="s">
        <v>952</v>
      </c>
      <c r="AZ6" s="74" t="s">
        <v>172</v>
      </c>
      <c r="BA6" s="71" t="s">
        <v>963</v>
      </c>
      <c r="BB6" s="72">
        <f>IFERROR(STL_H148[[#This Row],[H]]/STL_H148[[#This Row],[AB]],0)</f>
        <v>0.26436781609195403</v>
      </c>
      <c r="BC6" s="72">
        <f>IFERROR((STL_H148[[#This Row],[BB]]+STL_H148[[#This Row],[H]])/(STL_H148[[#This Row],[BB]]+STL_H148[[#This Row],[AB]]),0)</f>
        <v>0.32631578947368423</v>
      </c>
      <c r="BD6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0.33333333333333331</v>
      </c>
      <c r="BE6" s="28">
        <v>33</v>
      </c>
      <c r="BF6" s="28">
        <v>87</v>
      </c>
      <c r="BG6" s="28">
        <v>9</v>
      </c>
      <c r="BH6" s="28">
        <v>23</v>
      </c>
      <c r="BI6" s="28">
        <v>4</v>
      </c>
      <c r="BJ6" s="28">
        <v>1</v>
      </c>
      <c r="BK6" s="28">
        <v>0</v>
      </c>
      <c r="BL6" s="28">
        <v>5</v>
      </c>
      <c r="BM6" s="28">
        <v>8</v>
      </c>
      <c r="BN6" s="74">
        <v>14</v>
      </c>
      <c r="BO6" s="28">
        <v>3</v>
      </c>
      <c r="BP6" s="28">
        <v>0</v>
      </c>
      <c r="BQ6" s="74">
        <v>3</v>
      </c>
      <c r="BR6" s="28">
        <f>IFERROR((STL_H148[[#This Row],[H]]-STL_H148[[#This Row],[2B]]-STL_H148[[#This Row],[3B]]-STL_H148[[#This Row],[HR]])+(STL_H148[[#This Row],[2B]]*2)+(STL_H148[[#This Row],[3B]]*3)+(STL_H148[[#This Row],[HR]]*4),0)</f>
        <v>29</v>
      </c>
      <c r="BS6" s="72">
        <f>IFERROR(STL_H148[[#This Row],[OBP]]+STL_H148[[#This Row],[SLG]],0)</f>
        <v>0.6596491228070176</v>
      </c>
      <c r="BT6" s="74">
        <v>0</v>
      </c>
      <c r="BU6" s="615">
        <v>3</v>
      </c>
    </row>
    <row r="7" spans="1:73">
      <c r="A7" s="651" t="s">
        <v>952</v>
      </c>
      <c r="B7" s="71" t="s">
        <v>311</v>
      </c>
      <c r="C7" s="71" t="s">
        <v>961</v>
      </c>
      <c r="D7" s="72">
        <f>IFERROR(STL_H[[#This Row],[H]]/STL_H[[#This Row],[AB]],0)</f>
        <v>0.26153846153846155</v>
      </c>
      <c r="E7" s="72">
        <f>IFERROR((STL_H[[#This Row],[H]]+STL_H[[#This Row],[BB]])/(STL_H[[#This Row],[AB]]+STL_H[[#This Row],[BB]]),0)</f>
        <v>0.31428571428571428</v>
      </c>
      <c r="F7" s="73">
        <f>IFERROR(((STL_H[[#This Row],[H]]-STL_H[[#This Row],[2B]]-STL_H[[#This Row],[3B]]-STL_H[[#This Row],[HR]])+(STL_H[[#This Row],[2B]]*2)+(STL_H[[#This Row],[3B]]*3)+(STL_H[[#This Row],[HR]]*4))/STL_H[[#This Row],[AB]],0)</f>
        <v>0.35384615384615387</v>
      </c>
      <c r="G7" s="28">
        <v>30</v>
      </c>
      <c r="H7" s="28">
        <v>130</v>
      </c>
      <c r="I7" s="28">
        <v>15</v>
      </c>
      <c r="J7" s="28">
        <v>34</v>
      </c>
      <c r="K7" s="28">
        <v>6</v>
      </c>
      <c r="L7" s="28">
        <v>0</v>
      </c>
      <c r="M7" s="28">
        <v>2</v>
      </c>
      <c r="N7" s="28">
        <v>16</v>
      </c>
      <c r="O7" s="28">
        <v>10</v>
      </c>
      <c r="P7" s="74">
        <v>25</v>
      </c>
      <c r="Q7" s="28">
        <v>0</v>
      </c>
      <c r="R7" s="28">
        <v>1</v>
      </c>
      <c r="S7" s="74">
        <v>6</v>
      </c>
      <c r="T7" s="28">
        <f>IFERROR((STL_H[[#This Row],[H]]-STL_H[[#This Row],[2B]]-STL_H[[#This Row],[3B]]-STL_H[[#This Row],[HR]])+(STL_H[[#This Row],[2B]]*2)+(STL_H[[#This Row],[3B]]*3)+(STL_H[[#This Row],[HR]]*4),0)</f>
        <v>46</v>
      </c>
      <c r="U7" s="72">
        <f>STL_H[[#This Row],[OBP]]+STL_H[[#This Row],[SLG]]</f>
        <v>0.6681318681318682</v>
      </c>
      <c r="V7" s="74">
        <v>1</v>
      </c>
      <c r="W7" s="615">
        <v>4</v>
      </c>
      <c r="Z7" s="651" t="s">
        <v>952</v>
      </c>
      <c r="AA7" s="71" t="s">
        <v>153</v>
      </c>
      <c r="AB7" s="71" t="s">
        <v>959</v>
      </c>
      <c r="AC7" s="72">
        <f>IFERROR(STL_H134[[#This Row],[H]]/STL_H134[[#This Row],[AB]],0)</f>
        <v>0.25362318840579712</v>
      </c>
      <c r="AD7" s="72">
        <f>IFERROR((STL_H134[[#This Row],[H]]+STL_H134[[#This Row],[BB]])/(STL_H134[[#This Row],[AB]]+STL_H134[[#This Row],[BB]]),0)</f>
        <v>0.31788079470198677</v>
      </c>
      <c r="AE7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0.39855072463768115</v>
      </c>
      <c r="AF7" s="28">
        <v>36</v>
      </c>
      <c r="AG7" s="28">
        <v>138</v>
      </c>
      <c r="AH7" s="28">
        <v>13</v>
      </c>
      <c r="AI7" s="28">
        <v>35</v>
      </c>
      <c r="AJ7" s="28">
        <v>3</v>
      </c>
      <c r="AK7" s="28">
        <v>1</v>
      </c>
      <c r="AL7" s="28">
        <v>5</v>
      </c>
      <c r="AM7" s="28">
        <v>11</v>
      </c>
      <c r="AN7" s="28">
        <v>13</v>
      </c>
      <c r="AO7" s="74">
        <v>21</v>
      </c>
      <c r="AP7" s="28">
        <v>0</v>
      </c>
      <c r="AQ7" s="28">
        <v>0</v>
      </c>
      <c r="AR7" s="74">
        <v>11</v>
      </c>
      <c r="AS7" s="28">
        <f>IFERROR((STL_H134[[#This Row],[H]]-STL_H134[[#This Row],[2B]]-STL_H134[[#This Row],[3B]]-STL_H134[[#This Row],[HR]])+(STL_H134[[#This Row],[2B]]*2)+(STL_H134[[#This Row],[3B]]*3)+(STL_H134[[#This Row],[HR]]*4),0)</f>
        <v>55</v>
      </c>
      <c r="AT7" s="72">
        <f>STL_H134[[#This Row],[OBP]]+STL_H134[[#This Row],[SLG]]</f>
        <v>0.71643151933966798</v>
      </c>
      <c r="AU7" s="74">
        <v>1</v>
      </c>
      <c r="AV7" s="615">
        <v>4</v>
      </c>
      <c r="AY7" s="651" t="s">
        <v>952</v>
      </c>
      <c r="AZ7" s="104" t="s">
        <v>153</v>
      </c>
      <c r="BA7" s="71" t="s">
        <v>959</v>
      </c>
      <c r="BB7" s="72">
        <f>IFERROR(STL_H148[[#This Row],[H]]/STL_H148[[#This Row],[AB]],0)</f>
        <v>0.3188405797101449</v>
      </c>
      <c r="BC7" s="72">
        <f>IFERROR((STL_H148[[#This Row],[BB]]+STL_H148[[#This Row],[H]])/(STL_H148[[#This Row],[BB]]+STL_H148[[#This Row],[AB]]),0)</f>
        <v>0.38562091503267976</v>
      </c>
      <c r="BD7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0.49275362318840582</v>
      </c>
      <c r="BE7" s="28">
        <v>36</v>
      </c>
      <c r="BF7" s="28">
        <v>138</v>
      </c>
      <c r="BG7" s="28">
        <v>24</v>
      </c>
      <c r="BH7" s="28">
        <v>44</v>
      </c>
      <c r="BI7" s="28">
        <v>12</v>
      </c>
      <c r="BJ7" s="28">
        <v>0</v>
      </c>
      <c r="BK7" s="28">
        <v>4</v>
      </c>
      <c r="BL7" s="28">
        <v>17</v>
      </c>
      <c r="BM7" s="28">
        <v>15</v>
      </c>
      <c r="BN7" s="74">
        <v>22</v>
      </c>
      <c r="BO7" s="28">
        <v>0</v>
      </c>
      <c r="BP7" s="28">
        <v>1</v>
      </c>
      <c r="BQ7" s="104">
        <v>15</v>
      </c>
      <c r="BR7" s="28">
        <f>IFERROR((STL_H148[[#This Row],[H]]-STL_H148[[#This Row],[2B]]-STL_H148[[#This Row],[3B]]-STL_H148[[#This Row],[HR]])+(STL_H148[[#This Row],[2B]]*2)+(STL_H148[[#This Row],[3B]]*3)+(STL_H148[[#This Row],[HR]]*4),0)</f>
        <v>68</v>
      </c>
      <c r="BS7" s="72">
        <f>IFERROR(STL_H148[[#This Row],[OBP]]+STL_H148[[#This Row],[SLG]],0)</f>
        <v>0.87837453822108558</v>
      </c>
      <c r="BT7" s="74">
        <v>1</v>
      </c>
      <c r="BU7" s="615">
        <v>4</v>
      </c>
    </row>
    <row r="8" spans="1:73">
      <c r="A8" s="651" t="s">
        <v>952</v>
      </c>
      <c r="B8" s="71" t="s">
        <v>177</v>
      </c>
      <c r="C8" s="71" t="s">
        <v>957</v>
      </c>
      <c r="D8" s="72">
        <f>IFERROR(STL_H[[#This Row],[H]]/STL_H[[#This Row],[AB]],0)</f>
        <v>0.19496855345911951</v>
      </c>
      <c r="E8" s="72">
        <f>IFERROR((STL_H[[#This Row],[H]]+STL_H[[#This Row],[BB]])/(STL_H[[#This Row],[AB]]+STL_H[[#This Row],[BB]]),0)</f>
        <v>0.26857142857142857</v>
      </c>
      <c r="F8" s="73">
        <f>IFERROR(((STL_H[[#This Row],[H]]-STL_H[[#This Row],[2B]]-STL_H[[#This Row],[3B]]-STL_H[[#This Row],[HR]])+(STL_H[[#This Row],[2B]]*2)+(STL_H[[#This Row],[3B]]*3)+(STL_H[[#This Row],[HR]]*4))/STL_H[[#This Row],[AB]],0)</f>
        <v>0.32704402515723269</v>
      </c>
      <c r="G8" s="28">
        <v>39</v>
      </c>
      <c r="H8" s="28">
        <v>159</v>
      </c>
      <c r="I8" s="28">
        <v>19</v>
      </c>
      <c r="J8" s="28">
        <v>31</v>
      </c>
      <c r="K8" s="28">
        <v>6</v>
      </c>
      <c r="L8" s="28">
        <v>0</v>
      </c>
      <c r="M8" s="28">
        <v>5</v>
      </c>
      <c r="N8" s="28">
        <v>9</v>
      </c>
      <c r="O8" s="28">
        <v>16</v>
      </c>
      <c r="P8" s="74">
        <v>38</v>
      </c>
      <c r="Q8" s="28">
        <v>0</v>
      </c>
      <c r="R8" s="28">
        <v>1</v>
      </c>
      <c r="S8" s="74">
        <v>6</v>
      </c>
      <c r="T8" s="28">
        <f>IFERROR((STL_H[[#This Row],[H]]-STL_H[[#This Row],[2B]]-STL_H[[#This Row],[3B]]-STL_H[[#This Row],[HR]])+(STL_H[[#This Row],[2B]]*2)+(STL_H[[#This Row],[3B]]*3)+(STL_H[[#This Row],[HR]]*4),0)</f>
        <v>52</v>
      </c>
      <c r="U8" s="72">
        <f>STL_H[[#This Row],[OBP]]+STL_H[[#This Row],[SLG]]</f>
        <v>0.59561545372866131</v>
      </c>
      <c r="V8" s="74">
        <v>2</v>
      </c>
      <c r="W8" s="615">
        <v>5</v>
      </c>
      <c r="Z8" s="651" t="s">
        <v>952</v>
      </c>
      <c r="AA8" s="71" t="s">
        <v>177</v>
      </c>
      <c r="AB8" s="71" t="s">
        <v>957</v>
      </c>
      <c r="AC8" s="72">
        <f>IFERROR(STL_H134[[#This Row],[H]]/STL_H134[[#This Row],[AB]],0)</f>
        <v>0.21428571428571427</v>
      </c>
      <c r="AD8" s="72">
        <f>IFERROR((STL_H134[[#This Row],[H]]+STL_H134[[#This Row],[BB]])/(STL_H134[[#This Row],[AB]]+STL_H134[[#This Row],[BB]]),0)</f>
        <v>0.28823529411764703</v>
      </c>
      <c r="AE8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0.35064935064935066</v>
      </c>
      <c r="AF8" s="28">
        <v>38</v>
      </c>
      <c r="AG8" s="28">
        <v>154</v>
      </c>
      <c r="AH8" s="28">
        <v>14</v>
      </c>
      <c r="AI8" s="28">
        <v>33</v>
      </c>
      <c r="AJ8" s="28">
        <v>9</v>
      </c>
      <c r="AK8" s="28">
        <v>0</v>
      </c>
      <c r="AL8" s="28">
        <v>4</v>
      </c>
      <c r="AM8" s="28">
        <v>14</v>
      </c>
      <c r="AN8" s="28">
        <v>16</v>
      </c>
      <c r="AO8" s="74">
        <v>48</v>
      </c>
      <c r="AP8" s="28">
        <v>0</v>
      </c>
      <c r="AQ8" s="28">
        <v>2</v>
      </c>
      <c r="AR8" s="74">
        <v>6</v>
      </c>
      <c r="AS8" s="28">
        <f>IFERROR((STL_H134[[#This Row],[H]]-STL_H134[[#This Row],[2B]]-STL_H134[[#This Row],[3B]]-STL_H134[[#This Row],[HR]])+(STL_H134[[#This Row],[2B]]*2)+(STL_H134[[#This Row],[3B]]*3)+(STL_H134[[#This Row],[HR]]*4),0)</f>
        <v>54</v>
      </c>
      <c r="AT8" s="72">
        <f>STL_H134[[#This Row],[OBP]]+STL_H134[[#This Row],[SLG]]</f>
        <v>0.63888464476699769</v>
      </c>
      <c r="AU8" s="74">
        <v>0</v>
      </c>
      <c r="AV8" s="615">
        <v>5</v>
      </c>
      <c r="AY8" s="651" t="s">
        <v>952</v>
      </c>
      <c r="AZ8" s="74" t="s">
        <v>177</v>
      </c>
      <c r="BA8" s="71" t="s">
        <v>957</v>
      </c>
      <c r="BB8" s="72">
        <f>IFERROR(STL_H148[[#This Row],[H]]/STL_H148[[#This Row],[AB]],0)</f>
        <v>0.27777777777777779</v>
      </c>
      <c r="BC8" s="72">
        <f>IFERROR((STL_H148[[#This Row],[BB]]+STL_H148[[#This Row],[H]])/(STL_H148[[#This Row],[BB]]+STL_H148[[#This Row],[AB]]),0)</f>
        <v>0.34636871508379891</v>
      </c>
      <c r="BD8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0.49382716049382713</v>
      </c>
      <c r="BE8" s="28">
        <v>40</v>
      </c>
      <c r="BF8" s="28">
        <v>162</v>
      </c>
      <c r="BG8" s="28">
        <v>25</v>
      </c>
      <c r="BH8" s="28">
        <v>45</v>
      </c>
      <c r="BI8" s="28">
        <v>8</v>
      </c>
      <c r="BJ8" s="28">
        <v>0</v>
      </c>
      <c r="BK8" s="28">
        <v>9</v>
      </c>
      <c r="BL8" s="28">
        <v>24</v>
      </c>
      <c r="BM8" s="28">
        <v>17</v>
      </c>
      <c r="BN8" s="74">
        <v>53</v>
      </c>
      <c r="BO8" s="28">
        <v>1</v>
      </c>
      <c r="BP8" s="28">
        <v>1</v>
      </c>
      <c r="BQ8" s="74">
        <v>7</v>
      </c>
      <c r="BR8" s="28">
        <f>IFERROR((STL_H148[[#This Row],[H]]-STL_H148[[#This Row],[2B]]-STL_H148[[#This Row],[3B]]-STL_H148[[#This Row],[HR]])+(STL_H148[[#This Row],[2B]]*2)+(STL_H148[[#This Row],[3B]]*3)+(STL_H148[[#This Row],[HR]]*4),0)</f>
        <v>80</v>
      </c>
      <c r="BS8" s="72">
        <f>IFERROR(STL_H148[[#This Row],[OBP]]+STL_H148[[#This Row],[SLG]],0)</f>
        <v>0.84019587557762598</v>
      </c>
      <c r="BT8" s="74">
        <v>4</v>
      </c>
      <c r="BU8" s="615">
        <v>5</v>
      </c>
    </row>
    <row r="9" spans="1:73">
      <c r="A9" s="651" t="s">
        <v>952</v>
      </c>
      <c r="B9" s="71" t="s">
        <v>174</v>
      </c>
      <c r="C9" s="71" t="s">
        <v>956</v>
      </c>
      <c r="D9" s="72">
        <f>IFERROR(STL_H[[#This Row],[H]]/STL_H[[#This Row],[AB]],0)</f>
        <v>0.24827586206896551</v>
      </c>
      <c r="E9" s="72">
        <f>IFERROR((STL_H[[#This Row],[H]]+STL_H[[#This Row],[BB]])/(STL_H[[#This Row],[AB]]+STL_H[[#This Row],[BB]]),0)</f>
        <v>0.310126582278481</v>
      </c>
      <c r="F9" s="73">
        <f>IFERROR(((STL_H[[#This Row],[H]]-STL_H[[#This Row],[2B]]-STL_H[[#This Row],[3B]]-STL_H[[#This Row],[HR]])+(STL_H[[#This Row],[2B]]*2)+(STL_H[[#This Row],[3B]]*3)+(STL_H[[#This Row],[HR]]*4))/STL_H[[#This Row],[AB]],0)</f>
        <v>0.34482758620689657</v>
      </c>
      <c r="G9" s="28">
        <v>37</v>
      </c>
      <c r="H9" s="28">
        <v>145</v>
      </c>
      <c r="I9" s="28">
        <v>13</v>
      </c>
      <c r="J9" s="28">
        <v>36</v>
      </c>
      <c r="K9" s="28">
        <v>8</v>
      </c>
      <c r="L9" s="28">
        <v>0</v>
      </c>
      <c r="M9" s="28">
        <v>2</v>
      </c>
      <c r="N9" s="28">
        <v>14</v>
      </c>
      <c r="O9" s="28">
        <v>13</v>
      </c>
      <c r="P9" s="74">
        <v>47</v>
      </c>
      <c r="Q9" s="28">
        <v>0</v>
      </c>
      <c r="R9" s="28">
        <v>1</v>
      </c>
      <c r="S9" s="74">
        <v>7</v>
      </c>
      <c r="T9" s="28">
        <f>IFERROR((STL_H[[#This Row],[H]]-STL_H[[#This Row],[2B]]-STL_H[[#This Row],[3B]]-STL_H[[#This Row],[HR]])+(STL_H[[#This Row],[2B]]*2)+(STL_H[[#This Row],[3B]]*3)+(STL_H[[#This Row],[HR]]*4),0)</f>
        <v>50</v>
      </c>
      <c r="U9" s="72">
        <f>STL_H[[#This Row],[OBP]]+STL_H[[#This Row],[SLG]]</f>
        <v>0.65495416848537757</v>
      </c>
      <c r="V9" s="74">
        <v>2</v>
      </c>
      <c r="W9" s="615">
        <v>6</v>
      </c>
      <c r="Z9" s="651" t="s">
        <v>952</v>
      </c>
      <c r="AA9" s="71" t="s">
        <v>174</v>
      </c>
      <c r="AB9" s="71" t="s">
        <v>956</v>
      </c>
      <c r="AC9" s="72">
        <f>IFERROR(STL_H134[[#This Row],[H]]/STL_H134[[#This Row],[AB]],0)</f>
        <v>0.29496402877697842</v>
      </c>
      <c r="AD9" s="72">
        <f>IFERROR((STL_H134[[#This Row],[H]]+STL_H134[[#This Row],[BB]])/(STL_H134[[#This Row],[AB]]+STL_H134[[#This Row],[BB]]),0)</f>
        <v>0.35526315789473684</v>
      </c>
      <c r="AE9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0.50359712230215825</v>
      </c>
      <c r="AF9" s="28">
        <v>37</v>
      </c>
      <c r="AG9" s="28">
        <v>139</v>
      </c>
      <c r="AH9" s="28">
        <v>19</v>
      </c>
      <c r="AI9" s="28">
        <v>41</v>
      </c>
      <c r="AJ9" s="28">
        <v>8</v>
      </c>
      <c r="AK9" s="28">
        <v>0</v>
      </c>
      <c r="AL9" s="28">
        <v>7</v>
      </c>
      <c r="AM9" s="28">
        <v>15</v>
      </c>
      <c r="AN9" s="28">
        <v>13</v>
      </c>
      <c r="AO9" s="74">
        <v>31</v>
      </c>
      <c r="AP9" s="28">
        <v>0</v>
      </c>
      <c r="AQ9" s="28">
        <v>1</v>
      </c>
      <c r="AR9" s="74">
        <v>10</v>
      </c>
      <c r="AS9" s="28">
        <f>IFERROR((STL_H134[[#This Row],[H]]-STL_H134[[#This Row],[2B]]-STL_H134[[#This Row],[3B]]-STL_H134[[#This Row],[HR]])+(STL_H134[[#This Row],[2B]]*2)+(STL_H134[[#This Row],[3B]]*3)+(STL_H134[[#This Row],[HR]]*4),0)</f>
        <v>70</v>
      </c>
      <c r="AT9" s="72">
        <f>STL_H134[[#This Row],[OBP]]+STL_H134[[#This Row],[SLG]]</f>
        <v>0.85886028019689509</v>
      </c>
      <c r="AU9" s="74">
        <v>3</v>
      </c>
      <c r="AV9" s="615">
        <v>6</v>
      </c>
      <c r="AY9" s="651" t="s">
        <v>952</v>
      </c>
      <c r="AZ9" s="74" t="s">
        <v>174</v>
      </c>
      <c r="BA9" s="71" t="s">
        <v>955</v>
      </c>
      <c r="BB9" s="72">
        <f>IFERROR(STL_H148[[#This Row],[H]]/STL_H148[[#This Row],[AB]],0)</f>
        <v>0.26530612244897961</v>
      </c>
      <c r="BC9" s="72">
        <f>IFERROR((STL_H148[[#This Row],[BB]]+STL_H148[[#This Row],[H]])/(STL_H148[[#This Row],[BB]]+STL_H148[[#This Row],[AB]]),0)</f>
        <v>0.31210191082802546</v>
      </c>
      <c r="BD9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0.48299319727891155</v>
      </c>
      <c r="BE9" s="28">
        <v>40</v>
      </c>
      <c r="BF9" s="28">
        <v>147</v>
      </c>
      <c r="BG9" s="28">
        <v>17</v>
      </c>
      <c r="BH9" s="28">
        <v>39</v>
      </c>
      <c r="BI9" s="28">
        <v>8</v>
      </c>
      <c r="BJ9" s="28">
        <v>0</v>
      </c>
      <c r="BK9" s="28">
        <v>8</v>
      </c>
      <c r="BL9" s="28">
        <v>26</v>
      </c>
      <c r="BM9" s="28">
        <v>10</v>
      </c>
      <c r="BN9" s="74">
        <v>51</v>
      </c>
      <c r="BO9" s="28">
        <v>0</v>
      </c>
      <c r="BP9" s="28">
        <v>2</v>
      </c>
      <c r="BQ9" s="74">
        <v>5</v>
      </c>
      <c r="BR9" s="28">
        <f>IFERROR((STL_H148[[#This Row],[H]]-STL_H148[[#This Row],[2B]]-STL_H148[[#This Row],[3B]]-STL_H148[[#This Row],[HR]])+(STL_H148[[#This Row],[2B]]*2)+(STL_H148[[#This Row],[3B]]*3)+(STL_H148[[#This Row],[HR]]*4),0)</f>
        <v>71</v>
      </c>
      <c r="BS9" s="72">
        <f>IFERROR(STL_H148[[#This Row],[OBP]]+STL_H148[[#This Row],[SLG]],0)</f>
        <v>0.79509510810693707</v>
      </c>
      <c r="BT9" s="74">
        <v>4</v>
      </c>
      <c r="BU9" s="615">
        <v>6</v>
      </c>
    </row>
    <row r="10" spans="1:73">
      <c r="A10" s="651" t="s">
        <v>952</v>
      </c>
      <c r="B10" s="71" t="s">
        <v>181</v>
      </c>
      <c r="C10" s="71" t="s">
        <v>953</v>
      </c>
      <c r="D10" s="72">
        <f>IFERROR(STL_H[[#This Row],[H]]/STL_H[[#This Row],[AB]],0)</f>
        <v>0.24369747899159663</v>
      </c>
      <c r="E10" s="72">
        <f>IFERROR((STL_H[[#This Row],[H]]+STL_H[[#This Row],[BB]])/(STL_H[[#This Row],[AB]]+STL_H[[#This Row],[BB]]),0)</f>
        <v>0.30232558139534882</v>
      </c>
      <c r="F10" s="73">
        <f>IFERROR(((STL_H[[#This Row],[H]]-STL_H[[#This Row],[2B]]-STL_H[[#This Row],[3B]]-STL_H[[#This Row],[HR]])+(STL_H[[#This Row],[2B]]*2)+(STL_H[[#This Row],[3B]]*3)+(STL_H[[#This Row],[HR]]*4))/STL_H[[#This Row],[AB]],0)</f>
        <v>0.42016806722689076</v>
      </c>
      <c r="G10" s="28">
        <v>33</v>
      </c>
      <c r="H10" s="28">
        <v>119</v>
      </c>
      <c r="I10" s="28">
        <v>14</v>
      </c>
      <c r="J10" s="28">
        <v>29</v>
      </c>
      <c r="K10" s="28">
        <v>6</v>
      </c>
      <c r="L10" s="28">
        <v>0</v>
      </c>
      <c r="M10" s="28">
        <v>5</v>
      </c>
      <c r="N10" s="28">
        <v>15</v>
      </c>
      <c r="O10" s="28">
        <v>10</v>
      </c>
      <c r="P10" s="74">
        <v>24</v>
      </c>
      <c r="Q10" s="28">
        <v>0</v>
      </c>
      <c r="R10" s="28">
        <v>0</v>
      </c>
      <c r="S10" s="74">
        <v>4</v>
      </c>
      <c r="T10" s="28">
        <f>IFERROR((STL_H[[#This Row],[H]]-STL_H[[#This Row],[2B]]-STL_H[[#This Row],[3B]]-STL_H[[#This Row],[HR]])+(STL_H[[#This Row],[2B]]*2)+(STL_H[[#This Row],[3B]]*3)+(STL_H[[#This Row],[HR]]*4),0)</f>
        <v>50</v>
      </c>
      <c r="U10" s="72">
        <f>STL_H[[#This Row],[OBP]]+STL_H[[#This Row],[SLG]]</f>
        <v>0.72249364862223953</v>
      </c>
      <c r="V10" s="74">
        <v>2</v>
      </c>
      <c r="W10" s="615">
        <v>7</v>
      </c>
      <c r="Z10" s="651" t="s">
        <v>952</v>
      </c>
      <c r="AA10" s="71" t="s">
        <v>181</v>
      </c>
      <c r="AB10" s="71" t="s">
        <v>960</v>
      </c>
      <c r="AC10" s="72">
        <f>IFERROR(STL_H134[[#This Row],[H]]/STL_H134[[#This Row],[AB]],0)</f>
        <v>0.23287671232876711</v>
      </c>
      <c r="AD10" s="72">
        <f>IFERROR((STL_H134[[#This Row],[H]]+STL_H134[[#This Row],[BB]])/(STL_H134[[#This Row],[AB]]+STL_H134[[#This Row],[BB]]),0)</f>
        <v>0.3411764705882353</v>
      </c>
      <c r="AE10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0.32876712328767121</v>
      </c>
      <c r="AF10" s="28">
        <v>23</v>
      </c>
      <c r="AG10" s="28">
        <v>73</v>
      </c>
      <c r="AH10" s="28">
        <v>7</v>
      </c>
      <c r="AI10" s="28">
        <v>17</v>
      </c>
      <c r="AJ10" s="28">
        <v>5</v>
      </c>
      <c r="AK10" s="28">
        <v>1</v>
      </c>
      <c r="AL10" s="28">
        <v>0</v>
      </c>
      <c r="AM10" s="28">
        <v>4</v>
      </c>
      <c r="AN10" s="28">
        <v>12</v>
      </c>
      <c r="AO10" s="74">
        <v>15</v>
      </c>
      <c r="AP10" s="28">
        <v>0</v>
      </c>
      <c r="AQ10" s="28">
        <v>0</v>
      </c>
      <c r="AR10" s="74">
        <v>3</v>
      </c>
      <c r="AS10" s="28">
        <f>IFERROR((STL_H134[[#This Row],[H]]-STL_H134[[#This Row],[2B]]-STL_H134[[#This Row],[3B]]-STL_H134[[#This Row],[HR]])+(STL_H134[[#This Row],[2B]]*2)+(STL_H134[[#This Row],[3B]]*3)+(STL_H134[[#This Row],[HR]]*4),0)</f>
        <v>24</v>
      </c>
      <c r="AT10" s="72">
        <f>STL_H134[[#This Row],[OBP]]+STL_H134[[#This Row],[SLG]]</f>
        <v>0.66994359387590652</v>
      </c>
      <c r="AU10" s="74">
        <v>0</v>
      </c>
      <c r="AV10" s="615">
        <v>7</v>
      </c>
      <c r="AY10" s="651" t="s">
        <v>952</v>
      </c>
      <c r="AZ10" s="74" t="s">
        <v>181</v>
      </c>
      <c r="BA10" s="71" t="s">
        <v>189</v>
      </c>
      <c r="BB10" s="72">
        <f>IFERROR(STL_H148[[#This Row],[H]]/STL_H148[[#This Row],[AB]],0)</f>
        <v>0.16949152542372881</v>
      </c>
      <c r="BC10" s="72">
        <f>IFERROR((STL_H148[[#This Row],[BB]]+STL_H148[[#This Row],[H]])/(STL_H148[[#This Row],[BB]]+STL_H148[[#This Row],[AB]]),0)</f>
        <v>0.2283464566929134</v>
      </c>
      <c r="BD10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0.23728813559322035</v>
      </c>
      <c r="BE10" s="28">
        <v>37</v>
      </c>
      <c r="BF10" s="28">
        <v>118</v>
      </c>
      <c r="BG10" s="28">
        <v>9</v>
      </c>
      <c r="BH10" s="28">
        <v>20</v>
      </c>
      <c r="BI10" s="28">
        <v>3</v>
      </c>
      <c r="BJ10" s="28">
        <v>1</v>
      </c>
      <c r="BK10" s="28">
        <v>1</v>
      </c>
      <c r="BL10" s="28">
        <v>13</v>
      </c>
      <c r="BM10" s="28">
        <v>9</v>
      </c>
      <c r="BN10" s="74">
        <v>43</v>
      </c>
      <c r="BO10" s="28">
        <v>0</v>
      </c>
      <c r="BP10" s="28">
        <v>2</v>
      </c>
      <c r="BQ10" s="74">
        <v>5</v>
      </c>
      <c r="BR10" s="28">
        <f>IFERROR((STL_H148[[#This Row],[H]]-STL_H148[[#This Row],[2B]]-STL_H148[[#This Row],[3B]]-STL_H148[[#This Row],[HR]])+(STL_H148[[#This Row],[2B]]*2)+(STL_H148[[#This Row],[3B]]*3)+(STL_H148[[#This Row],[HR]]*4),0)</f>
        <v>28</v>
      </c>
      <c r="BS10" s="72">
        <f>IFERROR(STL_H148[[#This Row],[OBP]]+STL_H148[[#This Row],[SLG]],0)</f>
        <v>0.46563459228613374</v>
      </c>
      <c r="BT10" s="74">
        <v>2</v>
      </c>
      <c r="BU10" s="615">
        <v>7</v>
      </c>
    </row>
    <row r="11" spans="1:73">
      <c r="A11" s="651" t="s">
        <v>952</v>
      </c>
      <c r="B11" s="71" t="s">
        <v>166</v>
      </c>
      <c r="C11" s="71" t="s">
        <v>955</v>
      </c>
      <c r="D11" s="72">
        <f>IFERROR(STL_H[[#This Row],[H]]/STL_H[[#This Row],[AB]],0)</f>
        <v>0.24369747899159663</v>
      </c>
      <c r="E11" s="72">
        <f>IFERROR((STL_H[[#This Row],[H]]+STL_H[[#This Row],[BB]])/(STL_H[[#This Row],[AB]]+STL_H[[#This Row],[BB]]),0)</f>
        <v>0.30232558139534882</v>
      </c>
      <c r="F11" s="73">
        <f>IFERROR(((STL_H[[#This Row],[H]]-STL_H[[#This Row],[2B]]-STL_H[[#This Row],[3B]]-STL_H[[#This Row],[HR]])+(STL_H[[#This Row],[2B]]*2)+(STL_H[[#This Row],[3B]]*3)+(STL_H[[#This Row],[HR]]*4))/STL_H[[#This Row],[AB]],0)</f>
        <v>0.47058823529411764</v>
      </c>
      <c r="G11" s="28">
        <v>34</v>
      </c>
      <c r="H11" s="28">
        <v>119</v>
      </c>
      <c r="I11" s="28">
        <v>18</v>
      </c>
      <c r="J11" s="28">
        <v>29</v>
      </c>
      <c r="K11" s="28">
        <v>3</v>
      </c>
      <c r="L11" s="28">
        <v>0</v>
      </c>
      <c r="M11" s="28">
        <v>8</v>
      </c>
      <c r="N11" s="28">
        <v>14</v>
      </c>
      <c r="O11" s="28">
        <v>10</v>
      </c>
      <c r="P11" s="74">
        <v>45</v>
      </c>
      <c r="Q11" s="28">
        <v>0</v>
      </c>
      <c r="R11" s="28">
        <v>0</v>
      </c>
      <c r="S11" s="74">
        <v>4</v>
      </c>
      <c r="T11" s="28">
        <f>IFERROR((STL_H[[#This Row],[H]]-STL_H[[#This Row],[2B]]-STL_H[[#This Row],[3B]]-STL_H[[#This Row],[HR]])+(STL_H[[#This Row],[2B]]*2)+(STL_H[[#This Row],[3B]]*3)+(STL_H[[#This Row],[HR]]*4),0)</f>
        <v>56</v>
      </c>
      <c r="U11" s="72">
        <f>STL_H[[#This Row],[OBP]]+STL_H[[#This Row],[SLG]]</f>
        <v>0.77291381668946646</v>
      </c>
      <c r="V11" s="74">
        <v>2</v>
      </c>
      <c r="W11" s="615">
        <v>8</v>
      </c>
      <c r="Z11" s="651" t="s">
        <v>952</v>
      </c>
      <c r="AA11" s="345" t="s">
        <v>240</v>
      </c>
      <c r="AB11" s="71" t="s">
        <v>953</v>
      </c>
      <c r="AC11" s="72">
        <f>IFERROR(STL_H134[[#This Row],[H]]/STL_H134[[#This Row],[AB]],0)</f>
        <v>0.29801324503311261</v>
      </c>
      <c r="AD11" s="72">
        <f>IFERROR((STL_H134[[#This Row],[H]]+STL_H134[[#This Row],[BB]])/(STL_H134[[#This Row],[AB]]+STL_H134[[#This Row],[BB]]),0)</f>
        <v>0.3652694610778443</v>
      </c>
      <c r="AE11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0.60264900662251653</v>
      </c>
      <c r="AF11" s="28">
        <v>40</v>
      </c>
      <c r="AG11" s="28">
        <v>151</v>
      </c>
      <c r="AH11" s="28">
        <v>28</v>
      </c>
      <c r="AI11" s="28">
        <v>45</v>
      </c>
      <c r="AJ11" s="28">
        <v>7</v>
      </c>
      <c r="AK11" s="28">
        <v>3</v>
      </c>
      <c r="AL11" s="28">
        <v>11</v>
      </c>
      <c r="AM11" s="28">
        <v>25</v>
      </c>
      <c r="AN11" s="28">
        <v>16</v>
      </c>
      <c r="AO11" s="74">
        <v>32</v>
      </c>
      <c r="AP11" s="28">
        <v>0</v>
      </c>
      <c r="AQ11" s="28">
        <v>4</v>
      </c>
      <c r="AR11" s="74">
        <v>5</v>
      </c>
      <c r="AS11" s="28">
        <f>IFERROR((STL_H134[[#This Row],[H]]-STL_H134[[#This Row],[2B]]-STL_H134[[#This Row],[3B]]-STL_H134[[#This Row],[HR]])+(STL_H134[[#This Row],[2B]]*2)+(STL_H134[[#This Row],[3B]]*3)+(STL_H134[[#This Row],[HR]]*4),0)</f>
        <v>91</v>
      </c>
      <c r="AT11" s="72">
        <f>STL_H134[[#This Row],[OBP]]+STL_H134[[#This Row],[SLG]]</f>
        <v>0.96791846770036083</v>
      </c>
      <c r="AU11" s="74">
        <v>4</v>
      </c>
      <c r="AV11" s="615">
        <v>8</v>
      </c>
      <c r="AY11" s="651" t="s">
        <v>952</v>
      </c>
      <c r="AZ11" s="74" t="s">
        <v>166</v>
      </c>
      <c r="BA11" s="71" t="s">
        <v>960</v>
      </c>
      <c r="BB11" s="72">
        <f>IFERROR(STL_H148[[#This Row],[H]]/STL_H148[[#This Row],[AB]],0)</f>
        <v>0.24409448818897639</v>
      </c>
      <c r="BC11" s="72">
        <f>IFERROR((STL_H148[[#This Row],[BB]]+STL_H148[[#This Row],[H]])/(STL_H148[[#This Row],[BB]]+STL_H148[[#This Row],[AB]]),0)</f>
        <v>0.31428571428571428</v>
      </c>
      <c r="BD11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0.39370078740157483</v>
      </c>
      <c r="BE11" s="28">
        <v>38</v>
      </c>
      <c r="BF11" s="28">
        <v>127</v>
      </c>
      <c r="BG11" s="28">
        <v>14</v>
      </c>
      <c r="BH11" s="28">
        <v>31</v>
      </c>
      <c r="BI11" s="28">
        <v>8</v>
      </c>
      <c r="BJ11" s="28">
        <v>4</v>
      </c>
      <c r="BK11" s="28">
        <v>1</v>
      </c>
      <c r="BL11" s="28">
        <v>7</v>
      </c>
      <c r="BM11" s="28">
        <v>13</v>
      </c>
      <c r="BN11" s="74">
        <v>41</v>
      </c>
      <c r="BO11" s="28">
        <v>0</v>
      </c>
      <c r="BP11" s="28">
        <v>8</v>
      </c>
      <c r="BQ11" s="74">
        <v>8</v>
      </c>
      <c r="BR11" s="28">
        <f>IFERROR((STL_H148[[#This Row],[H]]-STL_H148[[#This Row],[2B]]-STL_H148[[#This Row],[3B]]-STL_H148[[#This Row],[HR]])+(STL_H148[[#This Row],[2B]]*2)+(STL_H148[[#This Row],[3B]]*3)+(STL_H148[[#This Row],[HR]]*4),0)</f>
        <v>50</v>
      </c>
      <c r="BS11" s="72">
        <f>IFERROR(STL_H148[[#This Row],[OBP]]+STL_H148[[#This Row],[SLG]],0)</f>
        <v>0.70798650168728905</v>
      </c>
      <c r="BT11" s="74">
        <v>1</v>
      </c>
      <c r="BU11" s="615">
        <v>8</v>
      </c>
    </row>
    <row r="12" spans="1:73">
      <c r="A12" s="651" t="s">
        <v>952</v>
      </c>
      <c r="B12" s="345" t="s">
        <v>168</v>
      </c>
      <c r="C12" s="345" t="s">
        <v>688</v>
      </c>
      <c r="D12" s="72">
        <f>IFERROR(STL_H[[#This Row],[H]]/STL_H[[#This Row],[AB]],0)</f>
        <v>0.31677018633540371</v>
      </c>
      <c r="E12" s="72">
        <f>IFERROR((STL_H[[#This Row],[H]]+STL_H[[#This Row],[BB]])/(STL_H[[#This Row],[AB]]+STL_H[[#This Row],[BB]]),0)</f>
        <v>0.37853107344632769</v>
      </c>
      <c r="F12" s="73">
        <f>IFERROR(((STL_H[[#This Row],[H]]-STL_H[[#This Row],[2B]]-STL_H[[#This Row],[3B]]-STL_H[[#This Row],[HR]])+(STL_H[[#This Row],[2B]]*2)+(STL_H[[#This Row],[3B]]*3)+(STL_H[[#This Row],[HR]]*4))/STL_H[[#This Row],[AB]],0)</f>
        <v>0.68944099378881984</v>
      </c>
      <c r="G12" s="28">
        <v>40</v>
      </c>
      <c r="H12" s="28">
        <v>161</v>
      </c>
      <c r="I12" s="28">
        <v>26</v>
      </c>
      <c r="J12" s="28">
        <v>51</v>
      </c>
      <c r="K12" s="28">
        <v>13</v>
      </c>
      <c r="L12" s="28">
        <v>1</v>
      </c>
      <c r="M12" s="76">
        <v>15</v>
      </c>
      <c r="N12" s="76">
        <v>41</v>
      </c>
      <c r="O12" s="28">
        <v>16</v>
      </c>
      <c r="P12" s="74">
        <v>24</v>
      </c>
      <c r="Q12" s="28">
        <v>0</v>
      </c>
      <c r="R12" s="28">
        <v>0</v>
      </c>
      <c r="S12" s="74">
        <v>4</v>
      </c>
      <c r="T12" s="76">
        <f>IFERROR((STL_H[[#This Row],[H]]-STL_H[[#This Row],[2B]]-STL_H[[#This Row],[3B]]-STL_H[[#This Row],[HR]])+(STL_H[[#This Row],[2B]]*2)+(STL_H[[#This Row],[3B]]*3)+(STL_H[[#This Row],[HR]]*4),0)</f>
        <v>111</v>
      </c>
      <c r="U12" s="594">
        <f>STL_H[[#This Row],[OBP]]+STL_H[[#This Row],[SLG]]</f>
        <v>1.0679720672351476</v>
      </c>
      <c r="V12" s="104">
        <v>6</v>
      </c>
      <c r="W12" s="615">
        <v>9</v>
      </c>
      <c r="Z12" s="651" t="s">
        <v>952</v>
      </c>
      <c r="AA12" s="71" t="s">
        <v>168</v>
      </c>
      <c r="AB12" s="71" t="s">
        <v>724</v>
      </c>
      <c r="AC12" s="72">
        <f>IFERROR(STL_H134[[#This Row],[H]]/STL_H134[[#This Row],[AB]],0)</f>
        <v>0.23404255319148937</v>
      </c>
      <c r="AD12" s="72">
        <f>IFERROR((STL_H134[[#This Row],[H]]+STL_H134[[#This Row],[BB]])/(STL_H134[[#This Row],[AB]]+STL_H134[[#This Row],[BB]]),0)</f>
        <v>0.35714285714285715</v>
      </c>
      <c r="AE12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0.46808510638297873</v>
      </c>
      <c r="AF12" s="28">
        <v>40</v>
      </c>
      <c r="AG12" s="28">
        <v>141</v>
      </c>
      <c r="AH12" s="28">
        <v>19</v>
      </c>
      <c r="AI12" s="28">
        <v>33</v>
      </c>
      <c r="AJ12" s="28">
        <v>3</v>
      </c>
      <c r="AK12" s="28">
        <v>0</v>
      </c>
      <c r="AL12" s="28">
        <v>10</v>
      </c>
      <c r="AM12" s="28">
        <v>18</v>
      </c>
      <c r="AN12" s="28">
        <v>27</v>
      </c>
      <c r="AO12" s="74">
        <v>32</v>
      </c>
      <c r="AP12" s="28">
        <v>0</v>
      </c>
      <c r="AQ12" s="28">
        <v>1</v>
      </c>
      <c r="AR12" s="74">
        <v>4</v>
      </c>
      <c r="AS12" s="28">
        <f>IFERROR((STL_H134[[#This Row],[H]]-STL_H134[[#This Row],[2B]]-STL_H134[[#This Row],[3B]]-STL_H134[[#This Row],[HR]])+(STL_H134[[#This Row],[2B]]*2)+(STL_H134[[#This Row],[3B]]*3)+(STL_H134[[#This Row],[HR]]*4),0)</f>
        <v>66</v>
      </c>
      <c r="AT12" s="72">
        <f>STL_H134[[#This Row],[OBP]]+STL_H134[[#This Row],[SLG]]</f>
        <v>0.82522796352583594</v>
      </c>
      <c r="AU12" s="74">
        <v>1</v>
      </c>
      <c r="AV12" s="615">
        <v>9</v>
      </c>
      <c r="AY12" s="651" t="s">
        <v>952</v>
      </c>
      <c r="AZ12" s="74" t="s">
        <v>168</v>
      </c>
      <c r="BA12" s="71" t="s">
        <v>724</v>
      </c>
      <c r="BB12" s="72">
        <f>IFERROR(STL_H148[[#This Row],[H]]/STL_H148[[#This Row],[AB]],0)</f>
        <v>0.2608695652173913</v>
      </c>
      <c r="BC12" s="72">
        <f>IFERROR((STL_H148[[#This Row],[BB]]+STL_H148[[#This Row],[H]])/(STL_H148[[#This Row],[BB]]+STL_H148[[#This Row],[AB]]),0)</f>
        <v>0.39644970414201186</v>
      </c>
      <c r="BD12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0.66666666666666663</v>
      </c>
      <c r="BE12" s="28">
        <v>39</v>
      </c>
      <c r="BF12" s="28">
        <v>138</v>
      </c>
      <c r="BG12" s="28">
        <v>31</v>
      </c>
      <c r="BH12" s="28">
        <v>36</v>
      </c>
      <c r="BI12" s="28">
        <v>5</v>
      </c>
      <c r="BJ12" s="28">
        <v>0</v>
      </c>
      <c r="BK12" s="76">
        <v>17</v>
      </c>
      <c r="BL12" s="28">
        <v>37</v>
      </c>
      <c r="BM12" s="28">
        <v>31</v>
      </c>
      <c r="BN12" s="74">
        <v>41</v>
      </c>
      <c r="BO12" s="28">
        <v>0</v>
      </c>
      <c r="BP12" s="28">
        <v>1</v>
      </c>
      <c r="BQ12" s="74">
        <v>8</v>
      </c>
      <c r="BR12" s="28">
        <f>IFERROR((STL_H148[[#This Row],[H]]-STL_H148[[#This Row],[2B]]-STL_H148[[#This Row],[3B]]-STL_H148[[#This Row],[HR]])+(STL_H148[[#This Row],[2B]]*2)+(STL_H148[[#This Row],[3B]]*3)+(STL_H148[[#This Row],[HR]]*4),0)</f>
        <v>92</v>
      </c>
      <c r="BS12" s="72">
        <f>IFERROR(STL_H148[[#This Row],[OBP]]+STL_H148[[#This Row],[SLG]],0)</f>
        <v>1.0631163708086784</v>
      </c>
      <c r="BT12" s="74">
        <v>5</v>
      </c>
      <c r="BU12" s="615">
        <v>9</v>
      </c>
    </row>
    <row r="13" spans="1:73">
      <c r="A13" s="651" t="s">
        <v>952</v>
      </c>
      <c r="B13" s="71" t="s">
        <v>308</v>
      </c>
      <c r="C13" s="71" t="s">
        <v>966</v>
      </c>
      <c r="D13" s="72">
        <f>IFERROR(STL_H[[#This Row],[H]]/STL_H[[#This Row],[AB]],0)</f>
        <v>0.3</v>
      </c>
      <c r="E13" s="72">
        <f>IFERROR((STL_H[[#This Row],[H]]+STL_H[[#This Row],[BB]])/(STL_H[[#This Row],[AB]]+STL_H[[#This Row],[BB]]),0)</f>
        <v>0.33333333333333331</v>
      </c>
      <c r="F13" s="73">
        <f>IFERROR(((STL_H[[#This Row],[H]]-STL_H[[#This Row],[2B]]-STL_H[[#This Row],[3B]]-STL_H[[#This Row],[HR]])+(STL_H[[#This Row],[2B]]*2)+(STL_H[[#This Row],[3B]]*3)+(STL_H[[#This Row],[HR]]*4))/STL_H[[#This Row],[AB]],0)</f>
        <v>0.55000000000000004</v>
      </c>
      <c r="G13" s="28">
        <v>6</v>
      </c>
      <c r="H13" s="28">
        <v>20</v>
      </c>
      <c r="I13" s="28">
        <v>4</v>
      </c>
      <c r="J13" s="28">
        <v>6</v>
      </c>
      <c r="K13" s="28">
        <v>2</v>
      </c>
      <c r="L13" s="28">
        <v>0</v>
      </c>
      <c r="M13" s="28">
        <v>1</v>
      </c>
      <c r="N13" s="28">
        <v>3</v>
      </c>
      <c r="O13" s="28">
        <v>1</v>
      </c>
      <c r="P13" s="74">
        <v>5</v>
      </c>
      <c r="Q13" s="28">
        <v>0</v>
      </c>
      <c r="R13" s="28">
        <v>1</v>
      </c>
      <c r="S13" s="74">
        <v>2</v>
      </c>
      <c r="T13" s="28">
        <f>IFERROR((STL_H[[#This Row],[H]]-STL_H[[#This Row],[2B]]-STL_H[[#This Row],[3B]]-STL_H[[#This Row],[HR]])+(STL_H[[#This Row],[2B]]*2)+(STL_H[[#This Row],[3B]]*3)+(STL_H[[#This Row],[HR]]*4),0)</f>
        <v>11</v>
      </c>
      <c r="U13" s="72">
        <f>STL_H[[#This Row],[OBP]]+STL_H[[#This Row],[SLG]]</f>
        <v>0.8833333333333333</v>
      </c>
      <c r="V13" s="74">
        <v>1</v>
      </c>
      <c r="W13" s="615">
        <v>10</v>
      </c>
      <c r="Z13" s="651" t="s">
        <v>952</v>
      </c>
      <c r="AA13" s="71" t="s">
        <v>179</v>
      </c>
      <c r="AB13" s="71" t="s">
        <v>968</v>
      </c>
      <c r="AC13" s="72">
        <f>IFERROR(STL_H134[[#This Row],[H]]/STL_H134[[#This Row],[AB]],0)</f>
        <v>0.14285714285714285</v>
      </c>
      <c r="AD13" s="72">
        <f>IFERROR((STL_H134[[#This Row],[H]]+STL_H134[[#This Row],[BB]])/(STL_H134[[#This Row],[AB]]+STL_H134[[#This Row],[BB]]),0)</f>
        <v>0.25</v>
      </c>
      <c r="AE13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0.5714285714285714</v>
      </c>
      <c r="AF13" s="28">
        <v>3</v>
      </c>
      <c r="AG13" s="28">
        <v>7</v>
      </c>
      <c r="AH13" s="28">
        <v>1</v>
      </c>
      <c r="AI13" s="28">
        <v>1</v>
      </c>
      <c r="AJ13" s="28">
        <v>0</v>
      </c>
      <c r="AK13" s="28">
        <v>0</v>
      </c>
      <c r="AL13" s="28">
        <v>1</v>
      </c>
      <c r="AM13" s="28">
        <v>3</v>
      </c>
      <c r="AN13" s="28">
        <v>1</v>
      </c>
      <c r="AO13" s="74">
        <v>1</v>
      </c>
      <c r="AP13" s="28">
        <v>0</v>
      </c>
      <c r="AQ13" s="28">
        <v>1</v>
      </c>
      <c r="AR13" s="74">
        <v>1</v>
      </c>
      <c r="AS13" s="28">
        <f>IFERROR((STL_H134[[#This Row],[H]]-STL_H134[[#This Row],[2B]]-STL_H134[[#This Row],[3B]]-STL_H134[[#This Row],[HR]])+(STL_H134[[#This Row],[2B]]*2)+(STL_H134[[#This Row],[3B]]*3)+(STL_H134[[#This Row],[HR]]*4),0)</f>
        <v>4</v>
      </c>
      <c r="AT13" s="72">
        <f>STL_H134[[#This Row],[OBP]]+STL_H134[[#This Row],[SLG]]</f>
        <v>0.8214285714285714</v>
      </c>
      <c r="AU13" s="74">
        <v>1</v>
      </c>
      <c r="AV13" s="615">
        <v>10</v>
      </c>
      <c r="AY13" s="651" t="s">
        <v>952</v>
      </c>
      <c r="AZ13" s="74" t="s">
        <v>179</v>
      </c>
      <c r="BA13" s="71" t="s">
        <v>968</v>
      </c>
      <c r="BB13" s="72">
        <f>IFERROR(STL_H148[[#This Row],[H]]/STL_H148[[#This Row],[AB]],0)</f>
        <v>0.22222222222222221</v>
      </c>
      <c r="BC13" s="72">
        <f>IFERROR((STL_H148[[#This Row],[BB]]+STL_H148[[#This Row],[H]])/(STL_H148[[#This Row],[BB]]+STL_H148[[#This Row],[AB]]),0)</f>
        <v>0.26315789473684209</v>
      </c>
      <c r="BD13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0.33333333333333331</v>
      </c>
      <c r="BE13" s="28">
        <v>10</v>
      </c>
      <c r="BF13" s="28">
        <v>18</v>
      </c>
      <c r="BG13" s="28">
        <v>0</v>
      </c>
      <c r="BH13" s="28">
        <v>4</v>
      </c>
      <c r="BI13" s="28">
        <v>2</v>
      </c>
      <c r="BJ13" s="28">
        <v>0</v>
      </c>
      <c r="BK13" s="28">
        <v>0</v>
      </c>
      <c r="BL13" s="28">
        <v>0</v>
      </c>
      <c r="BM13" s="28">
        <v>1</v>
      </c>
      <c r="BN13" s="74">
        <v>5</v>
      </c>
      <c r="BO13" s="28">
        <v>0</v>
      </c>
      <c r="BP13" s="28">
        <v>1</v>
      </c>
      <c r="BQ13" s="74">
        <v>2</v>
      </c>
      <c r="BR13" s="28">
        <f>IFERROR((STL_H148[[#This Row],[H]]-STL_H148[[#This Row],[2B]]-STL_H148[[#This Row],[3B]]-STL_H148[[#This Row],[HR]])+(STL_H148[[#This Row],[2B]]*2)+(STL_H148[[#This Row],[3B]]*3)+(STL_H148[[#This Row],[HR]]*4),0)</f>
        <v>6</v>
      </c>
      <c r="BS13" s="72">
        <f>IFERROR(STL_H148[[#This Row],[OBP]]+STL_H148[[#This Row],[SLG]],0)</f>
        <v>0.59649122807017541</v>
      </c>
      <c r="BT13" s="74">
        <v>0</v>
      </c>
      <c r="BU13" s="615">
        <v>10</v>
      </c>
    </row>
    <row r="14" spans="1:73">
      <c r="A14" s="651" t="s">
        <v>952</v>
      </c>
      <c r="B14" s="71" t="s">
        <v>192</v>
      </c>
      <c r="C14" s="71" t="s">
        <v>964</v>
      </c>
      <c r="D14" s="72">
        <f>IFERROR(STL_H[[#This Row],[H]]/STL_H[[#This Row],[AB]],0)</f>
        <v>0.15189873417721519</v>
      </c>
      <c r="E14" s="72">
        <f>IFERROR((STL_H[[#This Row],[H]]+STL_H[[#This Row],[BB]])/(STL_H[[#This Row],[AB]]+STL_H[[#This Row],[BB]]),0)</f>
        <v>0.22093023255813954</v>
      </c>
      <c r="F14" s="73">
        <f>IFERROR(((STL_H[[#This Row],[H]]-STL_H[[#This Row],[2B]]-STL_H[[#This Row],[3B]]-STL_H[[#This Row],[HR]])+(STL_H[[#This Row],[2B]]*2)+(STL_H[[#This Row],[3B]]*3)+(STL_H[[#This Row],[HR]]*4))/STL_H[[#This Row],[AB]],0)</f>
        <v>0.17721518987341772</v>
      </c>
      <c r="G14" s="28">
        <v>23</v>
      </c>
      <c r="H14" s="28">
        <v>79</v>
      </c>
      <c r="I14" s="28">
        <v>5</v>
      </c>
      <c r="J14" s="28">
        <v>12</v>
      </c>
      <c r="K14" s="28">
        <v>2</v>
      </c>
      <c r="L14" s="28">
        <v>0</v>
      </c>
      <c r="M14" s="28">
        <v>0</v>
      </c>
      <c r="N14" s="28">
        <v>3</v>
      </c>
      <c r="O14" s="28">
        <v>7</v>
      </c>
      <c r="P14" s="74">
        <v>20</v>
      </c>
      <c r="Q14" s="28">
        <v>0</v>
      </c>
      <c r="R14" s="28">
        <v>0</v>
      </c>
      <c r="S14" s="74">
        <v>3</v>
      </c>
      <c r="T14" s="28">
        <f>IFERROR((STL_H[[#This Row],[H]]-STL_H[[#This Row],[2B]]-STL_H[[#This Row],[3B]]-STL_H[[#This Row],[HR]])+(STL_H[[#This Row],[2B]]*2)+(STL_H[[#This Row],[3B]]*3)+(STL_H[[#This Row],[HR]]*4),0)</f>
        <v>14</v>
      </c>
      <c r="U14" s="72">
        <f>STL_H[[#This Row],[OBP]]+STL_H[[#This Row],[SLG]]</f>
        <v>0.39814542243155726</v>
      </c>
      <c r="V14" s="74">
        <v>0</v>
      </c>
      <c r="W14" s="615">
        <v>11</v>
      </c>
      <c r="Z14" s="651" t="s">
        <v>952</v>
      </c>
      <c r="AA14" s="71" t="s">
        <v>187</v>
      </c>
      <c r="AB14" s="71" t="s">
        <v>965</v>
      </c>
      <c r="AC14" s="72">
        <f>IFERROR(STL_H134[[#This Row],[H]]/STL_H134[[#This Row],[AB]],0)</f>
        <v>0.20930232558139536</v>
      </c>
      <c r="AD14" s="72">
        <f>IFERROR((STL_H134[[#This Row],[H]]+STL_H134[[#This Row],[BB]])/(STL_H134[[#This Row],[AB]]+STL_H134[[#This Row],[BB]]),0)</f>
        <v>0.29166666666666669</v>
      </c>
      <c r="AE14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0.32558139534883723</v>
      </c>
      <c r="AF14" s="28">
        <v>13</v>
      </c>
      <c r="AG14" s="28">
        <v>43</v>
      </c>
      <c r="AH14" s="28">
        <v>5</v>
      </c>
      <c r="AI14" s="28">
        <v>9</v>
      </c>
      <c r="AJ14" s="28">
        <v>5</v>
      </c>
      <c r="AK14" s="28">
        <v>0</v>
      </c>
      <c r="AL14" s="28">
        <v>0</v>
      </c>
      <c r="AM14" s="28">
        <v>3</v>
      </c>
      <c r="AN14" s="28">
        <v>5</v>
      </c>
      <c r="AO14" s="74">
        <v>10</v>
      </c>
      <c r="AP14" s="28">
        <v>0</v>
      </c>
      <c r="AQ14" s="28">
        <v>1</v>
      </c>
      <c r="AR14" s="74">
        <v>5</v>
      </c>
      <c r="AS14" s="28">
        <f>IFERROR((STL_H134[[#This Row],[H]]-STL_H134[[#This Row],[2B]]-STL_H134[[#This Row],[3B]]-STL_H134[[#This Row],[HR]])+(STL_H134[[#This Row],[2B]]*2)+(STL_H134[[#This Row],[3B]]*3)+(STL_H134[[#This Row],[HR]]*4),0)</f>
        <v>14</v>
      </c>
      <c r="AT14" s="72">
        <f>STL_H134[[#This Row],[OBP]]+STL_H134[[#This Row],[SLG]]</f>
        <v>0.61724806201550386</v>
      </c>
      <c r="AU14" s="74">
        <v>0</v>
      </c>
      <c r="AV14" s="615">
        <v>11</v>
      </c>
      <c r="AY14" s="651" t="s">
        <v>952</v>
      </c>
      <c r="AZ14" s="74" t="s">
        <v>187</v>
      </c>
      <c r="BA14" s="71" t="s">
        <v>965</v>
      </c>
      <c r="BB14" s="72">
        <f>IFERROR(STL_H148[[#This Row],[H]]/STL_H148[[#This Row],[AB]],0)</f>
        <v>0.23076923076923078</v>
      </c>
      <c r="BC14" s="72">
        <f>IFERROR((STL_H148[[#This Row],[BB]]+STL_H148[[#This Row],[H]])/(STL_H148[[#This Row],[BB]]+STL_H148[[#This Row],[AB]]),0)</f>
        <v>0.2982456140350877</v>
      </c>
      <c r="BD14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0.46153846153846156</v>
      </c>
      <c r="BE14" s="28">
        <v>17</v>
      </c>
      <c r="BF14" s="28">
        <v>52</v>
      </c>
      <c r="BG14" s="28">
        <v>7</v>
      </c>
      <c r="BH14" s="28">
        <v>12</v>
      </c>
      <c r="BI14" s="28">
        <v>0</v>
      </c>
      <c r="BJ14" s="28">
        <v>0</v>
      </c>
      <c r="BK14" s="28">
        <v>4</v>
      </c>
      <c r="BL14" s="28">
        <v>9</v>
      </c>
      <c r="BM14" s="28">
        <v>5</v>
      </c>
      <c r="BN14" s="74">
        <v>14</v>
      </c>
      <c r="BO14" s="28">
        <v>0</v>
      </c>
      <c r="BP14" s="28">
        <v>2</v>
      </c>
      <c r="BQ14" s="74">
        <v>3</v>
      </c>
      <c r="BR14" s="28">
        <f>IFERROR((STL_H148[[#This Row],[H]]-STL_H148[[#This Row],[2B]]-STL_H148[[#This Row],[3B]]-STL_H148[[#This Row],[HR]])+(STL_H148[[#This Row],[2B]]*2)+(STL_H148[[#This Row],[3B]]*3)+(STL_H148[[#This Row],[HR]]*4),0)</f>
        <v>24</v>
      </c>
      <c r="BS14" s="72">
        <f>IFERROR(STL_H148[[#This Row],[OBP]]+STL_H148[[#This Row],[SLG]],0)</f>
        <v>0.75978407557354921</v>
      </c>
      <c r="BT14" s="74">
        <v>0</v>
      </c>
      <c r="BU14" s="615">
        <v>11</v>
      </c>
    </row>
    <row r="15" spans="1:73">
      <c r="A15" s="651" t="s">
        <v>952</v>
      </c>
      <c r="B15" s="71" t="s">
        <v>186</v>
      </c>
      <c r="C15" s="71" t="s">
        <v>967</v>
      </c>
      <c r="D15" s="72">
        <f>IFERROR(STL_H[[#This Row],[H]]/STL_H[[#This Row],[AB]],0)</f>
        <v>0.24</v>
      </c>
      <c r="E15" s="72">
        <f>IFERROR((STL_H[[#This Row],[H]]+STL_H[[#This Row],[BB]])/(STL_H[[#This Row],[AB]]+STL_H[[#This Row],[BB]]),0)</f>
        <v>0.26923076923076922</v>
      </c>
      <c r="F15" s="73">
        <f>IFERROR(((STL_H[[#This Row],[H]]-STL_H[[#This Row],[2B]]-STL_H[[#This Row],[3B]]-STL_H[[#This Row],[HR]])+(STL_H[[#This Row],[2B]]*2)+(STL_H[[#This Row],[3B]]*3)+(STL_H[[#This Row],[HR]]*4))/STL_H[[#This Row],[AB]],0)</f>
        <v>0.4</v>
      </c>
      <c r="G15" s="28">
        <v>7</v>
      </c>
      <c r="H15" s="28">
        <v>25</v>
      </c>
      <c r="I15" s="28">
        <v>1</v>
      </c>
      <c r="J15" s="28">
        <v>6</v>
      </c>
      <c r="K15" s="28">
        <v>0</v>
      </c>
      <c r="L15" s="28">
        <v>2</v>
      </c>
      <c r="M15" s="28">
        <v>0</v>
      </c>
      <c r="N15" s="28">
        <v>2</v>
      </c>
      <c r="O15" s="28">
        <v>1</v>
      </c>
      <c r="P15" s="74">
        <v>6</v>
      </c>
      <c r="Q15" s="28">
        <v>0</v>
      </c>
      <c r="R15" s="28">
        <v>1</v>
      </c>
      <c r="S15" s="74">
        <v>2</v>
      </c>
      <c r="T15" s="28">
        <f>IFERROR((STL_H[[#This Row],[H]]-STL_H[[#This Row],[2B]]-STL_H[[#This Row],[3B]]-STL_H[[#This Row],[HR]])+(STL_H[[#This Row],[2B]]*2)+(STL_H[[#This Row],[3B]]*3)+(STL_H[[#This Row],[HR]]*4),0)</f>
        <v>10</v>
      </c>
      <c r="U15" s="72">
        <f>STL_H[[#This Row],[OBP]]+STL_H[[#This Row],[SLG]]</f>
        <v>0.6692307692307693</v>
      </c>
      <c r="V15" s="74">
        <v>0</v>
      </c>
      <c r="W15" s="615">
        <v>12</v>
      </c>
      <c r="Z15" s="651" t="s">
        <v>952</v>
      </c>
      <c r="AA15" s="71" t="s">
        <v>184</v>
      </c>
      <c r="AB15" s="71" t="s">
        <v>967</v>
      </c>
      <c r="AC15" s="72">
        <f>IFERROR(STL_H134[[#This Row],[H]]/STL_H134[[#This Row],[AB]],0)</f>
        <v>0.14285714285714285</v>
      </c>
      <c r="AD15" s="72">
        <f>IFERROR((STL_H134[[#This Row],[H]]+STL_H134[[#This Row],[BB]])/(STL_H134[[#This Row],[AB]]+STL_H134[[#This Row],[BB]]),0)</f>
        <v>0.25</v>
      </c>
      <c r="AE15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0.14285714285714285</v>
      </c>
      <c r="AF15" s="28">
        <v>2</v>
      </c>
      <c r="AG15" s="28">
        <v>7</v>
      </c>
      <c r="AH15" s="28">
        <v>0</v>
      </c>
      <c r="AI15" s="28">
        <v>1</v>
      </c>
      <c r="AJ15" s="28">
        <v>0</v>
      </c>
      <c r="AK15" s="28">
        <v>0</v>
      </c>
      <c r="AL15" s="28">
        <v>0</v>
      </c>
      <c r="AM15" s="28">
        <v>1</v>
      </c>
      <c r="AN15" s="28">
        <v>1</v>
      </c>
      <c r="AO15" s="74">
        <v>1</v>
      </c>
      <c r="AP15" s="28">
        <v>0</v>
      </c>
      <c r="AQ15" s="28">
        <v>1</v>
      </c>
      <c r="AR15" s="74">
        <v>1</v>
      </c>
      <c r="AS15" s="28">
        <f>IFERROR((STL_H134[[#This Row],[H]]-STL_H134[[#This Row],[2B]]-STL_H134[[#This Row],[3B]]-STL_H134[[#This Row],[HR]])+(STL_H134[[#This Row],[2B]]*2)+(STL_H134[[#This Row],[3B]]*3)+(STL_H134[[#This Row],[HR]]*4),0)</f>
        <v>1</v>
      </c>
      <c r="AT15" s="72">
        <f>STL_H134[[#This Row],[OBP]]+STL_H134[[#This Row],[SLG]]</f>
        <v>0.39285714285714285</v>
      </c>
      <c r="AU15" s="74">
        <v>0</v>
      </c>
      <c r="AV15" s="615">
        <v>12</v>
      </c>
      <c r="AY15" s="651" t="s">
        <v>952</v>
      </c>
      <c r="AZ15" s="74" t="s">
        <v>187</v>
      </c>
      <c r="BA15" s="71" t="s">
        <v>971</v>
      </c>
      <c r="BB15" s="72">
        <f>IFERROR(STL_H148[[#This Row],[H]]/STL_H148[[#This Row],[AB]],0)</f>
        <v>0.31034482758620691</v>
      </c>
      <c r="BC15" s="72">
        <f>IFERROR((STL_H148[[#This Row],[BB]]+STL_H148[[#This Row],[H]])/(STL_H148[[#This Row],[BB]]+STL_H148[[#This Row],[AB]]),0)</f>
        <v>0.35483870967741937</v>
      </c>
      <c r="BD15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0.51724137931034486</v>
      </c>
      <c r="BE15" s="28">
        <v>16</v>
      </c>
      <c r="BF15" s="28">
        <v>29</v>
      </c>
      <c r="BG15" s="28">
        <v>5</v>
      </c>
      <c r="BH15" s="28">
        <v>9</v>
      </c>
      <c r="BI15" s="28">
        <v>1</v>
      </c>
      <c r="BJ15" s="28">
        <v>1</v>
      </c>
      <c r="BK15" s="28">
        <v>1</v>
      </c>
      <c r="BL15" s="28">
        <v>5</v>
      </c>
      <c r="BM15" s="28">
        <v>2</v>
      </c>
      <c r="BN15" s="74">
        <v>3</v>
      </c>
      <c r="BO15" s="28">
        <v>0</v>
      </c>
      <c r="BP15" s="28">
        <v>1</v>
      </c>
      <c r="BQ15" s="74">
        <v>2</v>
      </c>
      <c r="BR15" s="28">
        <f>IFERROR((STL_H148[[#This Row],[H]]-STL_H148[[#This Row],[2B]]-STL_H148[[#This Row],[3B]]-STL_H148[[#This Row],[HR]])+(STL_H148[[#This Row],[2B]]*2)+(STL_H148[[#This Row],[3B]]*3)+(STL_H148[[#This Row],[HR]]*4),0)</f>
        <v>15</v>
      </c>
      <c r="BS15" s="72">
        <f>IFERROR(STL_H148[[#This Row],[OBP]]+STL_H148[[#This Row],[SLG]],0)</f>
        <v>0.87208008898776423</v>
      </c>
      <c r="BT15" s="74">
        <v>2</v>
      </c>
      <c r="BU15" s="615">
        <v>12</v>
      </c>
    </row>
    <row r="16" spans="1:73">
      <c r="A16" s="651" t="s">
        <v>952</v>
      </c>
      <c r="B16" s="77" t="s">
        <v>184</v>
      </c>
      <c r="C16" s="77" t="s">
        <v>969</v>
      </c>
      <c r="D16" s="996">
        <f>IFERROR(STL_H[[#This Row],[H]]/STL_H[[#This Row],[AB]],0)</f>
        <v>0.25</v>
      </c>
      <c r="E16" s="72">
        <f>IFERROR((STL_H[[#This Row],[H]]+STL_H[[#This Row],[BB]])/(STL_H[[#This Row],[AB]]+STL_H[[#This Row],[BB]]),0)</f>
        <v>0.30769230769230771</v>
      </c>
      <c r="F16" s="73">
        <f>IFERROR(((STL_H[[#This Row],[H]]-STL_H[[#This Row],[2B]]-STL_H[[#This Row],[3B]]-STL_H[[#This Row],[HR]])+(STL_H[[#This Row],[2B]]*2)+(STL_H[[#This Row],[3B]]*3)+(STL_H[[#This Row],[HR]]*4))/STL_H[[#This Row],[AB]],0)</f>
        <v>0.41666666666666669</v>
      </c>
      <c r="G16" s="28">
        <v>8</v>
      </c>
      <c r="H16" s="28">
        <v>24</v>
      </c>
      <c r="I16" s="28">
        <v>3</v>
      </c>
      <c r="J16" s="28">
        <v>6</v>
      </c>
      <c r="K16" s="28">
        <v>1</v>
      </c>
      <c r="L16" s="28">
        <v>0</v>
      </c>
      <c r="M16" s="28">
        <v>1</v>
      </c>
      <c r="N16" s="28">
        <v>1</v>
      </c>
      <c r="O16" s="28">
        <v>2</v>
      </c>
      <c r="P16" s="74">
        <v>6</v>
      </c>
      <c r="Q16" s="28">
        <v>1</v>
      </c>
      <c r="R16" s="28">
        <v>4</v>
      </c>
      <c r="S16" s="71">
        <v>4</v>
      </c>
      <c r="T16" s="28">
        <f>IFERROR((STL_H[[#This Row],[H]]-STL_H[[#This Row],[2B]]-STL_H[[#This Row],[3B]]-STL_H[[#This Row],[HR]])+(STL_H[[#This Row],[2B]]*2)+(STL_H[[#This Row],[3B]]*3)+(STL_H[[#This Row],[HR]]*4),0)</f>
        <v>10</v>
      </c>
      <c r="U16" s="72">
        <f>STL_H[[#This Row],[OBP]]+STL_H[[#This Row],[SLG]]</f>
        <v>0.72435897435897445</v>
      </c>
      <c r="V16" s="74">
        <v>0</v>
      </c>
      <c r="W16" s="615">
        <v>13</v>
      </c>
      <c r="Z16" s="651" t="s">
        <v>952</v>
      </c>
      <c r="AA16" s="71" t="s">
        <v>186</v>
      </c>
      <c r="AB16" s="71" t="s">
        <v>955</v>
      </c>
      <c r="AC16" s="72">
        <f>IFERROR(STL_H134[[#This Row],[H]]/STL_H134[[#This Row],[AB]],0)</f>
        <v>0.20289855072463769</v>
      </c>
      <c r="AD16" s="72">
        <f>IFERROR((STL_H134[[#This Row],[H]]+STL_H134[[#This Row],[BB]])/(STL_H134[[#This Row],[AB]]+STL_H134[[#This Row],[BB]]),0)</f>
        <v>0.21428571428571427</v>
      </c>
      <c r="AE16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0.30434782608695654</v>
      </c>
      <c r="AF16" s="28">
        <v>19</v>
      </c>
      <c r="AG16" s="28">
        <v>69</v>
      </c>
      <c r="AH16" s="28">
        <v>4</v>
      </c>
      <c r="AI16" s="28">
        <v>14</v>
      </c>
      <c r="AJ16" s="28">
        <v>1</v>
      </c>
      <c r="AK16" s="28">
        <v>0</v>
      </c>
      <c r="AL16" s="28">
        <v>2</v>
      </c>
      <c r="AM16" s="28">
        <v>5</v>
      </c>
      <c r="AN16" s="28">
        <v>1</v>
      </c>
      <c r="AO16" s="74">
        <v>16</v>
      </c>
      <c r="AP16" s="28">
        <v>0</v>
      </c>
      <c r="AQ16" s="28">
        <v>5</v>
      </c>
      <c r="AR16" s="74">
        <v>5</v>
      </c>
      <c r="AS16" s="28">
        <f>IFERROR((STL_H134[[#This Row],[H]]-STL_H134[[#This Row],[2B]]-STL_H134[[#This Row],[3B]]-STL_H134[[#This Row],[HR]])+(STL_H134[[#This Row],[2B]]*2)+(STL_H134[[#This Row],[3B]]*3)+(STL_H134[[#This Row],[HR]]*4),0)</f>
        <v>21</v>
      </c>
      <c r="AT16" s="72">
        <f>STL_H134[[#This Row],[OBP]]+STL_H134[[#This Row],[SLG]]</f>
        <v>0.51863354037267084</v>
      </c>
      <c r="AU16" s="74">
        <v>1</v>
      </c>
      <c r="AV16" s="615">
        <v>13</v>
      </c>
      <c r="AY16" s="651" t="s">
        <v>952</v>
      </c>
      <c r="AZ16" s="74" t="s">
        <v>186</v>
      </c>
      <c r="BA16" s="71" t="s">
        <v>956</v>
      </c>
      <c r="BB16" s="72">
        <f>IFERROR(STL_H148[[#This Row],[H]]/STL_H148[[#This Row],[AB]],0)</f>
        <v>0.2857142857142857</v>
      </c>
      <c r="BC16" s="72">
        <f>IFERROR((STL_H148[[#This Row],[BB]]+STL_H148[[#This Row],[H]])/(STL_H148[[#This Row],[BB]]+STL_H148[[#This Row],[AB]]),0)</f>
        <v>0.35185185185185186</v>
      </c>
      <c r="BD16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0.34693877551020408</v>
      </c>
      <c r="BE16" s="28">
        <v>17</v>
      </c>
      <c r="BF16" s="28">
        <v>49</v>
      </c>
      <c r="BG16" s="28">
        <v>3</v>
      </c>
      <c r="BH16" s="28">
        <v>14</v>
      </c>
      <c r="BI16" s="28">
        <v>3</v>
      </c>
      <c r="BJ16" s="28">
        <v>0</v>
      </c>
      <c r="BK16" s="28">
        <v>0</v>
      </c>
      <c r="BL16" s="28">
        <v>9</v>
      </c>
      <c r="BM16" s="28">
        <v>5</v>
      </c>
      <c r="BN16" s="74">
        <v>9</v>
      </c>
      <c r="BO16" s="28">
        <v>0</v>
      </c>
      <c r="BP16" s="28">
        <v>0</v>
      </c>
      <c r="BQ16" s="74">
        <v>7</v>
      </c>
      <c r="BR16" s="28">
        <f>IFERROR((STL_H148[[#This Row],[H]]-STL_H148[[#This Row],[2B]]-STL_H148[[#This Row],[3B]]-STL_H148[[#This Row],[HR]])+(STL_H148[[#This Row],[2B]]*2)+(STL_H148[[#This Row],[3B]]*3)+(STL_H148[[#This Row],[HR]]*4),0)</f>
        <v>17</v>
      </c>
      <c r="BS16" s="72">
        <f>IFERROR(STL_H148[[#This Row],[OBP]]+STL_H148[[#This Row],[SLG]],0)</f>
        <v>0.69879062736205588</v>
      </c>
      <c r="BT16" s="74">
        <v>0</v>
      </c>
      <c r="BU16" s="615">
        <v>13</v>
      </c>
    </row>
    <row r="17" spans="1:73" ht="17" thickBot="1">
      <c r="A17" s="651" t="s">
        <v>952</v>
      </c>
      <c r="B17" s="71" t="s">
        <v>186</v>
      </c>
      <c r="C17" s="71" t="s">
        <v>970</v>
      </c>
      <c r="D17" s="72">
        <f>IFERROR(STL_H[[#This Row],[H]]/STL_H[[#This Row],[AB]],0)</f>
        <v>0.16666666666666666</v>
      </c>
      <c r="E17" s="72">
        <f>IFERROR((STL_H[[#This Row],[H]]+STL_H[[#This Row],[BB]])/(STL_H[[#This Row],[AB]]+STL_H[[#This Row],[BB]]),0)</f>
        <v>0.21052631578947367</v>
      </c>
      <c r="F17" s="73">
        <f>IFERROR(((STL_H[[#This Row],[H]]-STL_H[[#This Row],[2B]]-STL_H[[#This Row],[3B]]-STL_H[[#This Row],[HR]])+(STL_H[[#This Row],[2B]]*2)+(STL_H[[#This Row],[3B]]*3)+(STL_H[[#This Row],[HR]]*4))/STL_H[[#This Row],[AB]],0)</f>
        <v>0.33333333333333331</v>
      </c>
      <c r="G17" s="28">
        <v>4</v>
      </c>
      <c r="H17" s="28">
        <v>18</v>
      </c>
      <c r="I17" s="28">
        <v>2</v>
      </c>
      <c r="J17" s="28">
        <v>3</v>
      </c>
      <c r="K17" s="28">
        <v>0</v>
      </c>
      <c r="L17" s="28">
        <v>0</v>
      </c>
      <c r="M17" s="28">
        <v>1</v>
      </c>
      <c r="N17" s="28">
        <v>2</v>
      </c>
      <c r="O17" s="28">
        <v>1</v>
      </c>
      <c r="P17" s="28">
        <v>3</v>
      </c>
      <c r="Q17" s="77">
        <v>0</v>
      </c>
      <c r="R17" s="28">
        <v>0</v>
      </c>
      <c r="S17" s="74">
        <v>1</v>
      </c>
      <c r="T17" s="28">
        <f>IFERROR((STL_H[[#This Row],[H]]-STL_H[[#This Row],[2B]]-STL_H[[#This Row],[3B]]-STL_H[[#This Row],[HR]])+(STL_H[[#This Row],[2B]]*2)+(STL_H[[#This Row],[3B]]*3)+(STL_H[[#This Row],[HR]]*4),0)</f>
        <v>6</v>
      </c>
      <c r="U17" s="72">
        <f>STL_H[[#This Row],[OBP]]+STL_H[[#This Row],[SLG]]</f>
        <v>0.54385964912280693</v>
      </c>
      <c r="V17" s="74">
        <v>0</v>
      </c>
      <c r="W17" s="615">
        <v>14</v>
      </c>
      <c r="Z17" s="651" t="s">
        <v>952</v>
      </c>
      <c r="AA17" s="71" t="s">
        <v>184</v>
      </c>
      <c r="AB17" s="71" t="s">
        <v>2170</v>
      </c>
      <c r="AC17" s="72">
        <f>IFERROR(STL_H134[[#This Row],[H]]/STL_H134[[#This Row],[AB]],0)</f>
        <v>0.42857142857142855</v>
      </c>
      <c r="AD17" s="72">
        <f>IFERROR((STL_H134[[#This Row],[H]]+STL_H134[[#This Row],[BB]])/(STL_H134[[#This Row],[AB]]+STL_H134[[#This Row],[BB]]),0)</f>
        <v>0.5</v>
      </c>
      <c r="AE17" s="73">
        <f>IFERROR(((STL_H134[[#This Row],[H]]-STL_H134[[#This Row],[2B]]-STL_H134[[#This Row],[3B]]-STL_H134[[#This Row],[HR]])+(STL_H134[[#This Row],[2B]]*2)+(STL_H134[[#This Row],[3B]]*3)+(STL_H134[[#This Row],[HR]]*4))/STL_H134[[#This Row],[AB]],0)</f>
        <v>0.5714285714285714</v>
      </c>
      <c r="AF17" s="28">
        <v>2</v>
      </c>
      <c r="AG17" s="28">
        <v>7</v>
      </c>
      <c r="AH17" s="28">
        <v>2</v>
      </c>
      <c r="AI17" s="28">
        <v>3</v>
      </c>
      <c r="AJ17" s="28">
        <v>1</v>
      </c>
      <c r="AK17" s="28">
        <v>0</v>
      </c>
      <c r="AL17" s="28">
        <v>0</v>
      </c>
      <c r="AM17" s="28">
        <v>0</v>
      </c>
      <c r="AN17" s="28">
        <v>1</v>
      </c>
      <c r="AO17" s="28">
        <v>3</v>
      </c>
      <c r="AP17" s="77">
        <v>0</v>
      </c>
      <c r="AQ17" s="28">
        <v>1</v>
      </c>
      <c r="AR17" s="74">
        <v>1</v>
      </c>
      <c r="AS17" s="28">
        <f>IFERROR((STL_H134[[#This Row],[H]]-STL_H134[[#This Row],[2B]]-STL_H134[[#This Row],[3B]]-STL_H134[[#This Row],[HR]])+(STL_H134[[#This Row],[2B]]*2)+(STL_H134[[#This Row],[3B]]*3)+(STL_H134[[#This Row],[HR]]*4),0)</f>
        <v>4</v>
      </c>
      <c r="AT17" s="72">
        <f>STL_H134[[#This Row],[OBP]]+STL_H134[[#This Row],[SLG]]</f>
        <v>1.0714285714285714</v>
      </c>
      <c r="AU17" s="74">
        <v>0</v>
      </c>
      <c r="AV17" s="615">
        <v>14</v>
      </c>
      <c r="AY17" s="651" t="s">
        <v>952</v>
      </c>
      <c r="AZ17" s="74" t="s">
        <v>184</v>
      </c>
      <c r="BA17" s="71" t="s">
        <v>962</v>
      </c>
      <c r="BB17" s="72">
        <f>IFERROR(STL_H148[[#This Row],[H]]/STL_H148[[#This Row],[AB]],0)</f>
        <v>0.14893617021276595</v>
      </c>
      <c r="BC17" s="72">
        <f>IFERROR((STL_H148[[#This Row],[BB]]+STL_H148[[#This Row],[H]])/(STL_H148[[#This Row],[BB]]+STL_H148[[#This Row],[AB]]),0)</f>
        <v>0.2</v>
      </c>
      <c r="BD17" s="73">
        <f>IFERROR(((STL_H148[[#This Row],[H]]-STL_H148[[#This Row],[2B]]-STL_H148[[#This Row],[3B]]-STL_H148[[#This Row],[HR]])+(STL_H148[[#This Row],[2B]]*2)+(STL_H148[[#This Row],[3B]]*3)+(STL_H148[[#This Row],[HR]]*4))/STL_H148[[#This Row],[AB]],0)</f>
        <v>0.34042553191489361</v>
      </c>
      <c r="BE17" s="28">
        <v>20</v>
      </c>
      <c r="BF17" s="28">
        <v>47</v>
      </c>
      <c r="BG17" s="28">
        <v>7</v>
      </c>
      <c r="BH17" s="28">
        <v>7</v>
      </c>
      <c r="BI17" s="28">
        <v>1</v>
      </c>
      <c r="BJ17" s="28">
        <v>1</v>
      </c>
      <c r="BK17" s="28">
        <v>2</v>
      </c>
      <c r="BL17" s="28">
        <v>7</v>
      </c>
      <c r="BM17" s="28">
        <v>3</v>
      </c>
      <c r="BN17" s="28">
        <v>8</v>
      </c>
      <c r="BO17" s="77">
        <v>1</v>
      </c>
      <c r="BP17" s="28">
        <v>0</v>
      </c>
      <c r="BQ17" s="74">
        <v>2</v>
      </c>
      <c r="BR17" s="28">
        <f>IFERROR((STL_H148[[#This Row],[H]]-STL_H148[[#This Row],[2B]]-STL_H148[[#This Row],[3B]]-STL_H148[[#This Row],[HR]])+(STL_H148[[#This Row],[2B]]*2)+(STL_H148[[#This Row],[3B]]*3)+(STL_H148[[#This Row],[HR]]*4),0)</f>
        <v>16</v>
      </c>
      <c r="BS17" s="72">
        <f>IFERROR(STL_H148[[#This Row],[OBP]]+STL_H148[[#This Row],[SLG]],0)</f>
        <v>0.54042553191489362</v>
      </c>
      <c r="BT17" s="74">
        <v>0</v>
      </c>
      <c r="BU17" s="615">
        <v>14</v>
      </c>
    </row>
    <row r="18" spans="1:73" ht="17" thickBot="1">
      <c r="A18" s="652"/>
      <c r="B18" s="653"/>
      <c r="C18" s="654" t="s">
        <v>195</v>
      </c>
      <c r="D18" s="656">
        <f>J18/H18</f>
        <v>0.24551328068916009</v>
      </c>
      <c r="E18" s="656">
        <f>((J18+O18)/(O18+H18))</f>
        <v>0.30809743252139565</v>
      </c>
      <c r="F18" s="657">
        <f>((J18-K18-L18-M18)+(K18*2)+(L18*3)+(M18*4))/H18</f>
        <v>0.40559942569992824</v>
      </c>
      <c r="G18" s="658"/>
      <c r="H18" s="658">
        <f>SUBTOTAL(109,STL_H[AB])</f>
        <v>1393</v>
      </c>
      <c r="I18" s="658">
        <f>SUBTOTAL(109,STL_H[R])</f>
        <v>157</v>
      </c>
      <c r="J18" s="658">
        <f>SUBTOTAL(109,STL_H[H])</f>
        <v>342</v>
      </c>
      <c r="K18" s="658">
        <f>SUBTOTAL(109,STL_H[2B])</f>
        <v>65</v>
      </c>
      <c r="L18" s="658">
        <f>SUBTOTAL(109,STL_H[3B])</f>
        <v>4</v>
      </c>
      <c r="M18" s="658">
        <f>SUBTOTAL(109,STL_H[HR])</f>
        <v>50</v>
      </c>
      <c r="N18" s="658">
        <f>SUBTOTAL(109,STL_H[RBI])</f>
        <v>157</v>
      </c>
      <c r="O18" s="658">
        <f>SUBTOTAL(109,STL_H[BB])</f>
        <v>126</v>
      </c>
      <c r="P18" s="660">
        <f>SUBTOTAL(109,STL_H[K])</f>
        <v>337</v>
      </c>
      <c r="Q18" s="658">
        <f>SUBTOTAL(109,STL_H[SB])</f>
        <v>10</v>
      </c>
      <c r="R18" s="658"/>
      <c r="S18" s="660"/>
      <c r="T18" s="658">
        <f>SUBTOTAL(109,STL_H[TB])</f>
        <v>565</v>
      </c>
      <c r="U18" s="656">
        <f>E18+F18</f>
        <v>0.71369685822132389</v>
      </c>
      <c r="V18" s="660">
        <f>SUBTOTAL(109,STL_H[*])</f>
        <v>19</v>
      </c>
      <c r="W18" s="662"/>
      <c r="Z18" s="652"/>
      <c r="AA18" s="653"/>
      <c r="AB18" s="654" t="s">
        <v>195</v>
      </c>
      <c r="AC18" s="656">
        <f>AI18/AG18</f>
        <v>0.24963072378138848</v>
      </c>
      <c r="AD18" s="656">
        <f>((AI18+AN18)/(AN18+AG18))</f>
        <v>0.31766286098052382</v>
      </c>
      <c r="AE18" s="657">
        <f>((AI18-AJ18-AK18-AL18)+(AJ18*2)+(AK18*3)+(AL18*4))/AG18</f>
        <v>0.42983751846381091</v>
      </c>
      <c r="AF18" s="658"/>
      <c r="AG18" s="658">
        <f>SUBTOTAL(109,STL_H134[AB])</f>
        <v>1354</v>
      </c>
      <c r="AH18" s="658">
        <f>SUBTOTAL(109,STL_H134[R])</f>
        <v>154</v>
      </c>
      <c r="AI18" s="658">
        <f>SUBTOTAL(109,STL_H134[H])</f>
        <v>338</v>
      </c>
      <c r="AJ18" s="658">
        <f>SUBTOTAL(109,STL_H134[2B])</f>
        <v>66</v>
      </c>
      <c r="AK18" s="658">
        <f>SUBTOTAL(109,STL_H134[3B])</f>
        <v>8</v>
      </c>
      <c r="AL18" s="658">
        <f>SUBTOTAL(109,STL_H134[HR])</f>
        <v>54</v>
      </c>
      <c r="AM18" s="658">
        <f>SUBTOTAL(109,STL_H134[RBI])</f>
        <v>153</v>
      </c>
      <c r="AN18" s="658">
        <f>SUBTOTAL(109,STL_H134[BB])</f>
        <v>135</v>
      </c>
      <c r="AO18" s="660">
        <f>SUBTOTAL(109,STL_H134[K])</f>
        <v>295</v>
      </c>
      <c r="AP18" s="658">
        <f>SUBTOTAL(109,STL_H134[SB])</f>
        <v>6</v>
      </c>
      <c r="AQ18" s="658"/>
      <c r="AR18" s="660"/>
      <c r="AS18" s="658">
        <f>SUBTOTAL(109,STL_H134[TB])</f>
        <v>582</v>
      </c>
      <c r="AT18" s="656">
        <f>AD18+AE18</f>
        <v>0.74750037944433467</v>
      </c>
      <c r="AU18" s="660">
        <f>SUBTOTAL(109,STL_H134[*])</f>
        <v>20</v>
      </c>
      <c r="AV18" s="662"/>
      <c r="AY18" s="652"/>
      <c r="AZ18" s="653"/>
      <c r="BA18" s="654" t="s">
        <v>195</v>
      </c>
      <c r="BB18" s="656">
        <f>IFERROR(BH18/BF18,0)</f>
        <v>0.26154939587775411</v>
      </c>
      <c r="BC18" s="656">
        <f>IFERROR((BM18+BH18)/(BM18+BF18),0)</f>
        <v>0.32794307891332469</v>
      </c>
      <c r="BD18" s="783">
        <f>IFERROR(((BH18-BI18-BJ18-BK18)+(BI18*2)+(BJ18*3)+(BK18*4))/BF18,0)</f>
        <v>0.45273631840796019</v>
      </c>
      <c r="BE18" s="658"/>
      <c r="BF18" s="658">
        <f>SUBTOTAL(109,STL_H148[AB])</f>
        <v>1407</v>
      </c>
      <c r="BG18" s="659">
        <f>SUBTOTAL(109,STL_H148[R])</f>
        <v>194</v>
      </c>
      <c r="BH18" s="658">
        <f>SUBTOTAL(109,STL_H148[H])</f>
        <v>368</v>
      </c>
      <c r="BI18" s="658">
        <f>SUBTOTAL(109,STL_H148[2B])</f>
        <v>76</v>
      </c>
      <c r="BJ18" s="658">
        <f>SUBTOTAL(109,STL_H148[3B])</f>
        <v>8</v>
      </c>
      <c r="BK18" s="659">
        <f>SUBTOTAL(109,STL_H148[HR])</f>
        <v>59</v>
      </c>
      <c r="BL18" s="658">
        <f>SUBTOTAL(109,STL_H148[RBI])</f>
        <v>194</v>
      </c>
      <c r="BM18" s="658">
        <f>SUBTOTAL(109,STL_H148[BB])</f>
        <v>139</v>
      </c>
      <c r="BN18" s="660">
        <f>SUBTOTAL(109,STL_H148[K])</f>
        <v>352</v>
      </c>
      <c r="BO18" s="658">
        <f>SUBTOTAL(109,STL_H148[SB])</f>
        <v>5</v>
      </c>
      <c r="BP18" s="658"/>
      <c r="BQ18" s="660"/>
      <c r="BR18" s="659">
        <f>SUBTOTAL(109,STL_H148[TB])</f>
        <v>637</v>
      </c>
      <c r="BS18" s="716">
        <f>IFERROR((BC18+BD18),0)</f>
        <v>0.78067939732128488</v>
      </c>
      <c r="BT18" s="660">
        <f>SUBTOTAL(109,STL_H148[*])</f>
        <v>22</v>
      </c>
      <c r="BU18" s="662"/>
    </row>
    <row r="19" spans="1:73" ht="17" thickBot="1"/>
    <row r="20" spans="1:73" s="64" customFormat="1" ht="14" thickBot="1">
      <c r="A20" s="847" t="s">
        <v>143</v>
      </c>
      <c r="B20" s="848" t="s">
        <v>144</v>
      </c>
      <c r="C20" s="848" t="s">
        <v>145</v>
      </c>
      <c r="D20" s="848" t="s">
        <v>196</v>
      </c>
      <c r="E20" s="848" t="s">
        <v>197</v>
      </c>
      <c r="F20" s="848" t="s">
        <v>198</v>
      </c>
      <c r="G20" s="848" t="s">
        <v>149</v>
      </c>
      <c r="H20" s="848" t="s">
        <v>199</v>
      </c>
      <c r="I20" s="848" t="s">
        <v>152</v>
      </c>
      <c r="J20" s="848" t="s">
        <v>151</v>
      </c>
      <c r="K20" s="848" t="s">
        <v>157</v>
      </c>
      <c r="L20" s="848" t="s">
        <v>158</v>
      </c>
      <c r="M20" s="848" t="s">
        <v>200</v>
      </c>
      <c r="N20" s="848" t="s">
        <v>201</v>
      </c>
      <c r="O20" s="848" t="s">
        <v>202</v>
      </c>
      <c r="P20" s="848" t="s">
        <v>203</v>
      </c>
      <c r="Q20" s="848" t="s">
        <v>204</v>
      </c>
      <c r="R20" s="848" t="s">
        <v>205</v>
      </c>
      <c r="S20" s="849" t="s">
        <v>164</v>
      </c>
      <c r="Z20" s="847" t="s">
        <v>143</v>
      </c>
      <c r="AA20" s="848" t="s">
        <v>144</v>
      </c>
      <c r="AB20" s="848" t="s">
        <v>145</v>
      </c>
      <c r="AC20" s="848" t="s">
        <v>196</v>
      </c>
      <c r="AD20" s="848" t="s">
        <v>197</v>
      </c>
      <c r="AE20" s="848" t="s">
        <v>198</v>
      </c>
      <c r="AF20" s="848" t="s">
        <v>149</v>
      </c>
      <c r="AG20" s="848" t="s">
        <v>199</v>
      </c>
      <c r="AH20" s="848" t="s">
        <v>152</v>
      </c>
      <c r="AI20" s="848" t="s">
        <v>151</v>
      </c>
      <c r="AJ20" s="848" t="s">
        <v>157</v>
      </c>
      <c r="AK20" s="848" t="s">
        <v>158</v>
      </c>
      <c r="AL20" s="848" t="s">
        <v>200</v>
      </c>
      <c r="AM20" s="848" t="s">
        <v>201</v>
      </c>
      <c r="AN20" s="848" t="s">
        <v>202</v>
      </c>
      <c r="AO20" s="848" t="s">
        <v>203</v>
      </c>
      <c r="AP20" s="848" t="s">
        <v>204</v>
      </c>
      <c r="AQ20" s="848" t="s">
        <v>205</v>
      </c>
      <c r="AR20" s="849" t="s">
        <v>164</v>
      </c>
      <c r="AY20" s="847" t="s">
        <v>143</v>
      </c>
      <c r="AZ20" s="848" t="s">
        <v>144</v>
      </c>
      <c r="BA20" s="848" t="s">
        <v>145</v>
      </c>
      <c r="BB20" s="848" t="s">
        <v>196</v>
      </c>
      <c r="BC20" s="848" t="s">
        <v>197</v>
      </c>
      <c r="BD20" s="848" t="s">
        <v>198</v>
      </c>
      <c r="BE20" s="848" t="s">
        <v>149</v>
      </c>
      <c r="BF20" s="848" t="s">
        <v>199</v>
      </c>
      <c r="BG20" s="848" t="s">
        <v>152</v>
      </c>
      <c r="BH20" s="848" t="s">
        <v>151</v>
      </c>
      <c r="BI20" s="848" t="s">
        <v>157</v>
      </c>
      <c r="BJ20" s="848" t="s">
        <v>158</v>
      </c>
      <c r="BK20" s="848" t="s">
        <v>200</v>
      </c>
      <c r="BL20" s="848" t="s">
        <v>201</v>
      </c>
      <c r="BM20" s="848" t="s">
        <v>202</v>
      </c>
      <c r="BN20" s="848" t="s">
        <v>203</v>
      </c>
      <c r="BO20" s="848" t="s">
        <v>204</v>
      </c>
      <c r="BP20" s="848" t="s">
        <v>205</v>
      </c>
      <c r="BQ20" s="849" t="s">
        <v>164</v>
      </c>
    </row>
    <row r="21" spans="1:73">
      <c r="A21" s="650" t="s">
        <v>952</v>
      </c>
      <c r="B21" s="604" t="s">
        <v>206</v>
      </c>
      <c r="C21" s="597" t="s">
        <v>972</v>
      </c>
      <c r="D21" s="663">
        <f>IFERROR((STL_P[[#This Row],[R]]*9)/STL_P[[#This Row],[IP]],0)</f>
        <v>2.2391336162739646</v>
      </c>
      <c r="E21" s="600">
        <v>5</v>
      </c>
      <c r="F21" s="604">
        <v>2</v>
      </c>
      <c r="G21" s="600">
        <v>10</v>
      </c>
      <c r="H21" s="630">
        <v>68.33</v>
      </c>
      <c r="I21" s="600">
        <v>66</v>
      </c>
      <c r="J21" s="600">
        <v>17</v>
      </c>
      <c r="K21" s="600">
        <v>17</v>
      </c>
      <c r="L21" s="600">
        <v>49</v>
      </c>
      <c r="M21" s="600">
        <v>0</v>
      </c>
      <c r="N21" s="631">
        <f>IFERROR((STL_P[[#This Row],[BB]]+STL_P[[#This Row],[H]])/STL_P[[#This Row],[IP]],0)</f>
        <v>1.2146933996780331</v>
      </c>
      <c r="O21" s="600">
        <v>9</v>
      </c>
      <c r="P21" s="601">
        <v>6</v>
      </c>
      <c r="Q21" s="600">
        <v>2</v>
      </c>
      <c r="R21" s="604">
        <v>2</v>
      </c>
      <c r="S21" s="779">
        <v>1</v>
      </c>
      <c r="Z21" s="650" t="s">
        <v>952</v>
      </c>
      <c r="AA21" s="604" t="s">
        <v>206</v>
      </c>
      <c r="AB21" s="597" t="s">
        <v>973</v>
      </c>
      <c r="AC21" s="663">
        <f>IFERROR((STL_P135[[#This Row],[R]]*9)/STL_P135[[#This Row],[IP]],0)</f>
        <v>5.062212374296915</v>
      </c>
      <c r="AD21" s="600">
        <v>3</v>
      </c>
      <c r="AE21" s="604">
        <v>6</v>
      </c>
      <c r="AF21" s="600">
        <v>10</v>
      </c>
      <c r="AG21" s="630">
        <v>58.67</v>
      </c>
      <c r="AH21" s="600">
        <v>63</v>
      </c>
      <c r="AI21" s="600">
        <v>33</v>
      </c>
      <c r="AJ21" s="600">
        <v>28</v>
      </c>
      <c r="AK21" s="600">
        <v>67</v>
      </c>
      <c r="AL21" s="600">
        <v>0</v>
      </c>
      <c r="AM21" s="631">
        <f>IFERROR((STL_P135[[#This Row],[BB]]+STL_P135[[#This Row],[H]])/STL_P135[[#This Row],[IP]],0)</f>
        <v>1.5510482358956876</v>
      </c>
      <c r="AN21" s="600">
        <v>5</v>
      </c>
      <c r="AO21" s="601">
        <v>1</v>
      </c>
      <c r="AP21" s="600">
        <v>0</v>
      </c>
      <c r="AQ21" s="604">
        <v>0</v>
      </c>
      <c r="AR21" s="779">
        <v>1</v>
      </c>
      <c r="AY21" s="650" t="s">
        <v>952</v>
      </c>
      <c r="AZ21" s="604" t="s">
        <v>206</v>
      </c>
      <c r="BA21" s="597" t="s">
        <v>973</v>
      </c>
      <c r="BB21" s="663">
        <f>IFERROR((STL_P149[[#This Row],[R]]*9)/STL_P149[[#This Row],[IP]],0)</f>
        <v>4.3250327653997376</v>
      </c>
      <c r="BC21" s="600">
        <v>2</v>
      </c>
      <c r="BD21" s="604">
        <v>6</v>
      </c>
      <c r="BE21" s="600">
        <v>10</v>
      </c>
      <c r="BF21" s="630">
        <v>68.67</v>
      </c>
      <c r="BG21" s="600">
        <v>54</v>
      </c>
      <c r="BH21" s="600">
        <v>33</v>
      </c>
      <c r="BI21" s="600">
        <v>28</v>
      </c>
      <c r="BJ21" s="600">
        <v>67</v>
      </c>
      <c r="BK21" s="600">
        <v>0</v>
      </c>
      <c r="BL21" s="631">
        <f>IFERROR((STL_P149[[#This Row],[BB]]+STL_P149[[#This Row],[H]])/STL_P149[[#This Row],[IP]],0)</f>
        <v>1.1941167904470658</v>
      </c>
      <c r="BM21" s="600">
        <v>6</v>
      </c>
      <c r="BN21" s="601">
        <v>4</v>
      </c>
      <c r="BO21" s="600">
        <v>0</v>
      </c>
      <c r="BP21" s="604">
        <v>0</v>
      </c>
      <c r="BQ21" s="614">
        <v>1</v>
      </c>
    </row>
    <row r="22" spans="1:73">
      <c r="A22" s="651" t="s">
        <v>952</v>
      </c>
      <c r="B22" s="74" t="s">
        <v>206</v>
      </c>
      <c r="C22" s="71" t="s">
        <v>973</v>
      </c>
      <c r="D22" s="88">
        <f>IFERROR((STL_P[[#This Row],[R]]*9)/STL_P[[#This Row],[IP]],0)</f>
        <v>3.0144167758846656</v>
      </c>
      <c r="E22" s="28">
        <v>4</v>
      </c>
      <c r="F22" s="74">
        <v>4</v>
      </c>
      <c r="G22" s="28">
        <v>10</v>
      </c>
      <c r="H22" s="584">
        <v>68.67</v>
      </c>
      <c r="I22" s="28">
        <v>52</v>
      </c>
      <c r="J22" s="28">
        <v>23</v>
      </c>
      <c r="K22" s="28">
        <v>18</v>
      </c>
      <c r="L22" s="28">
        <v>77</v>
      </c>
      <c r="M22" s="28">
        <v>0</v>
      </c>
      <c r="N22" s="89">
        <f>IFERROR((STL_P[[#This Row],[BB]]+STL_P[[#This Row],[H]])/STL_P[[#This Row],[IP]],0)</f>
        <v>1.019367991845056</v>
      </c>
      <c r="O22" s="28">
        <v>9</v>
      </c>
      <c r="P22" s="90">
        <v>3</v>
      </c>
      <c r="Q22" s="28">
        <v>1</v>
      </c>
      <c r="R22" s="74">
        <v>1</v>
      </c>
      <c r="S22" s="780">
        <v>2</v>
      </c>
      <c r="Z22" s="651" t="s">
        <v>952</v>
      </c>
      <c r="AA22" s="74" t="s">
        <v>206</v>
      </c>
      <c r="AB22" s="71" t="s">
        <v>972</v>
      </c>
      <c r="AC22" s="88">
        <f>IFERROR((STL_P135[[#This Row],[R]]*9)/STL_P135[[#This Row],[IP]],0)</f>
        <v>4.6288359334819136</v>
      </c>
      <c r="AD22" s="28">
        <v>3</v>
      </c>
      <c r="AE22" s="74">
        <v>4</v>
      </c>
      <c r="AF22" s="28">
        <v>10</v>
      </c>
      <c r="AG22" s="584">
        <v>58.33</v>
      </c>
      <c r="AH22" s="28">
        <v>61</v>
      </c>
      <c r="AI22" s="28">
        <v>30</v>
      </c>
      <c r="AJ22" s="28">
        <v>20</v>
      </c>
      <c r="AK22" s="28">
        <v>53</v>
      </c>
      <c r="AL22" s="28">
        <v>0</v>
      </c>
      <c r="AM22" s="89">
        <f>IFERROR((STL_P135[[#This Row],[BB]]+STL_P135[[#This Row],[H]])/STL_P135[[#This Row],[IP]],0)</f>
        <v>1.388650780044574</v>
      </c>
      <c r="AN22" s="28">
        <v>6</v>
      </c>
      <c r="AO22" s="90">
        <v>1</v>
      </c>
      <c r="AP22" s="28">
        <v>0</v>
      </c>
      <c r="AQ22" s="74">
        <v>0</v>
      </c>
      <c r="AR22" s="780">
        <v>2</v>
      </c>
      <c r="AY22" s="651" t="s">
        <v>952</v>
      </c>
      <c r="AZ22" s="74" t="s">
        <v>206</v>
      </c>
      <c r="BA22" s="71" t="s">
        <v>972</v>
      </c>
      <c r="BB22" s="88">
        <f>IFERROR((STL_P149[[#This Row],[R]]*9)/STL_P149[[#This Row],[IP]],0)</f>
        <v>5.4275552806556364</v>
      </c>
      <c r="BC22" s="28">
        <v>4</v>
      </c>
      <c r="BD22" s="74">
        <v>3</v>
      </c>
      <c r="BE22" s="28">
        <v>10</v>
      </c>
      <c r="BF22" s="584">
        <v>64.67</v>
      </c>
      <c r="BG22" s="28">
        <v>71</v>
      </c>
      <c r="BH22" s="28">
        <v>39</v>
      </c>
      <c r="BI22" s="28">
        <v>23</v>
      </c>
      <c r="BJ22" s="28">
        <v>55</v>
      </c>
      <c r="BK22" s="28">
        <v>0</v>
      </c>
      <c r="BL22" s="89">
        <f>IFERROR((STL_P149[[#This Row],[BB]]+STL_P149[[#This Row],[H]])/STL_P149[[#This Row],[IP]],0)</f>
        <v>1.4535333230245864</v>
      </c>
      <c r="BM22" s="28">
        <v>6</v>
      </c>
      <c r="BN22" s="90">
        <v>2</v>
      </c>
      <c r="BO22" s="28">
        <v>2</v>
      </c>
      <c r="BP22" s="74">
        <v>1</v>
      </c>
      <c r="BQ22" s="615">
        <v>2</v>
      </c>
    </row>
    <row r="23" spans="1:73">
      <c r="A23" s="651" t="s">
        <v>952</v>
      </c>
      <c r="B23" s="74" t="s">
        <v>206</v>
      </c>
      <c r="C23" s="116" t="s">
        <v>974</v>
      </c>
      <c r="D23" s="88">
        <f>IFERROR((STL_P[[#This Row],[R]]*9)/STL_P[[#This Row],[IP]],0)</f>
        <v>5.3704624564893093</v>
      </c>
      <c r="E23" s="28">
        <v>2</v>
      </c>
      <c r="F23" s="74">
        <v>7</v>
      </c>
      <c r="G23" s="28">
        <v>10</v>
      </c>
      <c r="H23" s="584">
        <v>60.33</v>
      </c>
      <c r="I23" s="28">
        <v>60</v>
      </c>
      <c r="J23" s="28">
        <v>36</v>
      </c>
      <c r="K23" s="28">
        <v>23</v>
      </c>
      <c r="L23" s="28">
        <v>44</v>
      </c>
      <c r="M23" s="28">
        <v>0</v>
      </c>
      <c r="N23" s="89">
        <f>IFERROR((STL_P[[#This Row],[BB]]+STL_P[[#This Row],[H]])/STL_P[[#This Row],[IP]],0)</f>
        <v>1.3757666169401626</v>
      </c>
      <c r="O23" s="28">
        <v>4</v>
      </c>
      <c r="P23" s="90">
        <v>1</v>
      </c>
      <c r="Q23" s="28">
        <v>0</v>
      </c>
      <c r="R23" s="74">
        <v>0</v>
      </c>
      <c r="S23" s="780">
        <v>3</v>
      </c>
      <c r="Z23" s="651" t="s">
        <v>952</v>
      </c>
      <c r="AA23" s="74" t="s">
        <v>206</v>
      </c>
      <c r="AB23" s="116" t="s">
        <v>210</v>
      </c>
      <c r="AC23" s="88">
        <f>IFERROR((STL_P135[[#This Row],[R]]*9)/STL_P135[[#This Row],[IP]],0)</f>
        <v>4.430769230769231</v>
      </c>
      <c r="AD23" s="28">
        <v>3</v>
      </c>
      <c r="AE23" s="74">
        <v>4</v>
      </c>
      <c r="AF23" s="28">
        <v>10</v>
      </c>
      <c r="AG23" s="584">
        <v>65</v>
      </c>
      <c r="AH23" s="28">
        <v>67</v>
      </c>
      <c r="AI23" s="28">
        <v>32</v>
      </c>
      <c r="AJ23" s="28">
        <v>17</v>
      </c>
      <c r="AK23" s="28">
        <v>56</v>
      </c>
      <c r="AL23" s="28">
        <v>0</v>
      </c>
      <c r="AM23" s="89">
        <f>IFERROR((STL_P135[[#This Row],[BB]]+STL_P135[[#This Row],[H]])/STL_P135[[#This Row],[IP]],0)</f>
        <v>1.2923076923076924</v>
      </c>
      <c r="AN23" s="28">
        <v>3</v>
      </c>
      <c r="AO23" s="90">
        <v>1</v>
      </c>
      <c r="AP23" s="28">
        <v>0</v>
      </c>
      <c r="AQ23" s="74">
        <v>0</v>
      </c>
      <c r="AR23" s="780">
        <v>3</v>
      </c>
      <c r="AY23" s="651" t="s">
        <v>952</v>
      </c>
      <c r="AZ23" s="74" t="s">
        <v>206</v>
      </c>
      <c r="BA23" s="71" t="s">
        <v>975</v>
      </c>
      <c r="BB23" s="88">
        <f>IFERROR((STL_P149[[#This Row],[R]]*9)/STL_P149[[#This Row],[IP]],0)</f>
        <v>2.8032786885245899</v>
      </c>
      <c r="BC23" s="28">
        <v>4</v>
      </c>
      <c r="BD23" s="74">
        <v>0</v>
      </c>
      <c r="BE23" s="28">
        <v>10</v>
      </c>
      <c r="BF23" s="584">
        <v>61</v>
      </c>
      <c r="BG23" s="28">
        <v>56</v>
      </c>
      <c r="BH23" s="28">
        <v>19</v>
      </c>
      <c r="BI23" s="28">
        <v>23</v>
      </c>
      <c r="BJ23" s="28">
        <v>43</v>
      </c>
      <c r="BK23" s="28">
        <v>0</v>
      </c>
      <c r="BL23" s="89">
        <f>IFERROR((STL_P149[[#This Row],[BB]]+STL_P149[[#This Row],[H]])/STL_P149[[#This Row],[IP]],0)</f>
        <v>1.2950819672131149</v>
      </c>
      <c r="BM23" s="28">
        <v>7</v>
      </c>
      <c r="BN23" s="90">
        <v>3</v>
      </c>
      <c r="BO23" s="28">
        <v>0</v>
      </c>
      <c r="BP23" s="74">
        <v>0</v>
      </c>
      <c r="BQ23" s="615">
        <v>3</v>
      </c>
    </row>
    <row r="24" spans="1:73">
      <c r="A24" s="651" t="s">
        <v>952</v>
      </c>
      <c r="B24" s="74" t="s">
        <v>206</v>
      </c>
      <c r="C24" s="116" t="s">
        <v>976</v>
      </c>
      <c r="D24" s="88">
        <f>IFERROR((STL_P[[#This Row],[R]]*9)/STL_P[[#This Row],[IP]],0)</f>
        <v>5.19202241635075</v>
      </c>
      <c r="E24" s="28">
        <v>3</v>
      </c>
      <c r="F24" s="74">
        <v>3</v>
      </c>
      <c r="G24" s="28">
        <v>10</v>
      </c>
      <c r="H24" s="584">
        <v>60.67</v>
      </c>
      <c r="I24" s="28">
        <v>56</v>
      </c>
      <c r="J24" s="28">
        <v>35</v>
      </c>
      <c r="K24" s="28">
        <v>17</v>
      </c>
      <c r="L24" s="28">
        <v>47</v>
      </c>
      <c r="M24" s="28">
        <v>0</v>
      </c>
      <c r="N24" s="89">
        <f>IFERROR((STL_P[[#This Row],[BB]]+STL_P[[#This Row],[H]])/STL_P[[#This Row],[IP]],0)</f>
        <v>1.2032305917257293</v>
      </c>
      <c r="O24" s="28">
        <v>4</v>
      </c>
      <c r="P24" s="90">
        <v>1</v>
      </c>
      <c r="Q24" s="28">
        <v>1</v>
      </c>
      <c r="R24" s="74">
        <v>1</v>
      </c>
      <c r="S24" s="780">
        <v>4</v>
      </c>
      <c r="Z24" s="651" t="s">
        <v>952</v>
      </c>
      <c r="AA24" s="74" t="s">
        <v>206</v>
      </c>
      <c r="AB24" s="116" t="s">
        <v>974</v>
      </c>
      <c r="AC24" s="88">
        <f>IFERROR((STL_P135[[#This Row],[R]]*9)/STL_P135[[#This Row],[IP]],0)</f>
        <v>3.09375</v>
      </c>
      <c r="AD24" s="28">
        <v>5</v>
      </c>
      <c r="AE24" s="74">
        <v>4</v>
      </c>
      <c r="AF24" s="28">
        <v>10</v>
      </c>
      <c r="AG24" s="584">
        <v>64</v>
      </c>
      <c r="AH24" s="28">
        <v>61</v>
      </c>
      <c r="AI24" s="28">
        <v>22</v>
      </c>
      <c r="AJ24" s="28">
        <v>20</v>
      </c>
      <c r="AK24" s="28">
        <v>46</v>
      </c>
      <c r="AL24" s="28">
        <v>0</v>
      </c>
      <c r="AM24" s="89">
        <f>IFERROR((STL_P135[[#This Row],[BB]]+STL_P135[[#This Row],[H]])/STL_P135[[#This Row],[IP]],0)</f>
        <v>1.265625</v>
      </c>
      <c r="AN24" s="28">
        <v>5</v>
      </c>
      <c r="AO24" s="90">
        <v>2</v>
      </c>
      <c r="AP24" s="28">
        <v>0</v>
      </c>
      <c r="AQ24" s="74">
        <v>0</v>
      </c>
      <c r="AR24" s="780">
        <v>4</v>
      </c>
      <c r="AY24" s="651" t="s">
        <v>952</v>
      </c>
      <c r="AZ24" s="74" t="s">
        <v>206</v>
      </c>
      <c r="BA24" s="71" t="s">
        <v>974</v>
      </c>
      <c r="BB24" s="88">
        <f>IFERROR((STL_P149[[#This Row],[R]]*9)/STL_P149[[#This Row],[IP]],0)</f>
        <v>5.4621120166464365</v>
      </c>
      <c r="BC24" s="28">
        <v>4</v>
      </c>
      <c r="BD24" s="74">
        <v>2</v>
      </c>
      <c r="BE24" s="28">
        <v>10</v>
      </c>
      <c r="BF24" s="584">
        <v>57.67</v>
      </c>
      <c r="BG24" s="28">
        <v>70</v>
      </c>
      <c r="BH24" s="28">
        <v>35</v>
      </c>
      <c r="BI24" s="28">
        <v>14</v>
      </c>
      <c r="BJ24" s="28">
        <v>34</v>
      </c>
      <c r="BK24" s="28">
        <v>0</v>
      </c>
      <c r="BL24" s="89">
        <f>IFERROR((STL_P149[[#This Row],[BB]]+STL_P149[[#This Row],[H]])/STL_P149[[#This Row],[IP]],0)</f>
        <v>1.4565632044390497</v>
      </c>
      <c r="BM24" s="28">
        <v>4</v>
      </c>
      <c r="BN24" s="90">
        <v>1</v>
      </c>
      <c r="BO24" s="28">
        <v>0</v>
      </c>
      <c r="BP24" s="74">
        <v>0</v>
      </c>
      <c r="BQ24" s="615">
        <v>4</v>
      </c>
    </row>
    <row r="25" spans="1:73">
      <c r="A25" s="651" t="s">
        <v>952</v>
      </c>
      <c r="B25" s="74" t="s">
        <v>212</v>
      </c>
      <c r="C25" s="116" t="s">
        <v>977</v>
      </c>
      <c r="D25" s="88">
        <f>IFERROR((STL_P[[#This Row],[R]]*9)/STL_P[[#This Row],[IP]],0)</f>
        <v>7.1033938437253354</v>
      </c>
      <c r="E25" s="28">
        <v>0</v>
      </c>
      <c r="F25" s="74">
        <v>1</v>
      </c>
      <c r="G25" s="28">
        <v>6</v>
      </c>
      <c r="H25" s="584">
        <v>12.67</v>
      </c>
      <c r="I25" s="28">
        <v>16</v>
      </c>
      <c r="J25" s="28">
        <v>10</v>
      </c>
      <c r="K25" s="28">
        <v>6</v>
      </c>
      <c r="L25" s="28">
        <v>3</v>
      </c>
      <c r="M25" s="28">
        <v>0</v>
      </c>
      <c r="N25" s="89">
        <f>IFERROR((STL_P[[#This Row],[BB]]+STL_P[[#This Row],[H]])/STL_P[[#This Row],[IP]],0)</f>
        <v>1.7363851617995265</v>
      </c>
      <c r="O25" s="28">
        <v>0</v>
      </c>
      <c r="P25" s="90">
        <v>0</v>
      </c>
      <c r="Q25" s="28">
        <v>0</v>
      </c>
      <c r="R25" s="74">
        <v>0</v>
      </c>
      <c r="S25" s="780">
        <v>5</v>
      </c>
      <c r="Z25" s="651" t="s">
        <v>952</v>
      </c>
      <c r="AA25" s="74" t="s">
        <v>215</v>
      </c>
      <c r="AB25" s="116" t="s">
        <v>982</v>
      </c>
      <c r="AC25" s="88">
        <f>IFERROR((STL_P135[[#This Row],[R]]*9)/STL_P135[[#This Row],[IP]],0)</f>
        <v>6.3178047223994893</v>
      </c>
      <c r="AD25" s="28">
        <v>1</v>
      </c>
      <c r="AE25" s="74">
        <v>0</v>
      </c>
      <c r="AF25" s="28">
        <v>14</v>
      </c>
      <c r="AG25" s="584">
        <v>15.67</v>
      </c>
      <c r="AH25" s="28">
        <v>17</v>
      </c>
      <c r="AI25" s="28">
        <v>11</v>
      </c>
      <c r="AJ25" s="28">
        <v>7</v>
      </c>
      <c r="AK25" s="28">
        <v>15</v>
      </c>
      <c r="AL25" s="28">
        <v>0</v>
      </c>
      <c r="AM25" s="89">
        <f>IFERROR((STL_P135[[#This Row],[BB]]+STL_P135[[#This Row],[H]])/STL_P135[[#This Row],[IP]],0)</f>
        <v>1.5315890236119976</v>
      </c>
      <c r="AN25" s="28">
        <v>0</v>
      </c>
      <c r="AO25" s="90">
        <v>0</v>
      </c>
      <c r="AP25" s="28">
        <v>0</v>
      </c>
      <c r="AQ25" s="74">
        <v>0</v>
      </c>
      <c r="AR25" s="780">
        <v>5</v>
      </c>
      <c r="AY25" s="651" t="s">
        <v>952</v>
      </c>
      <c r="AZ25" s="74" t="s">
        <v>212</v>
      </c>
      <c r="BA25" s="71" t="s">
        <v>977</v>
      </c>
      <c r="BB25" s="88">
        <f>IFERROR((STL_P149[[#This Row],[R]]*9)/STL_P149[[#This Row],[IP]],0)</f>
        <v>3</v>
      </c>
      <c r="BC25" s="28">
        <v>3</v>
      </c>
      <c r="BD25" s="74">
        <v>0</v>
      </c>
      <c r="BE25" s="28">
        <v>15</v>
      </c>
      <c r="BF25" s="584">
        <v>27</v>
      </c>
      <c r="BG25" s="28">
        <v>18</v>
      </c>
      <c r="BH25" s="28">
        <v>9</v>
      </c>
      <c r="BI25" s="28">
        <v>21</v>
      </c>
      <c r="BJ25" s="28">
        <v>19</v>
      </c>
      <c r="BK25" s="28">
        <v>0</v>
      </c>
      <c r="BL25" s="89">
        <f>IFERROR((STL_P149[[#This Row],[BB]]+STL_P149[[#This Row],[H]])/STL_P149[[#This Row],[IP]],0)</f>
        <v>1.4444444444444444</v>
      </c>
      <c r="BM25" s="28">
        <v>0</v>
      </c>
      <c r="BN25" s="90">
        <v>0</v>
      </c>
      <c r="BO25" s="28">
        <v>0</v>
      </c>
      <c r="BP25" s="74">
        <v>0</v>
      </c>
      <c r="BQ25" s="615">
        <v>5</v>
      </c>
    </row>
    <row r="26" spans="1:73">
      <c r="A26" s="651" t="s">
        <v>952</v>
      </c>
      <c r="B26" s="74" t="s">
        <v>215</v>
      </c>
      <c r="C26" s="116" t="s">
        <v>979</v>
      </c>
      <c r="D26" s="88">
        <f>IFERROR((STL_P[[#This Row],[R]]*9)/STL_P[[#This Row],[IP]],0)</f>
        <v>4.2174320524835993</v>
      </c>
      <c r="E26" s="28">
        <v>0</v>
      </c>
      <c r="F26" s="74">
        <v>0</v>
      </c>
      <c r="G26" s="28">
        <v>6</v>
      </c>
      <c r="H26" s="584">
        <v>10.67</v>
      </c>
      <c r="I26" s="28">
        <v>12</v>
      </c>
      <c r="J26" s="28">
        <v>5</v>
      </c>
      <c r="K26" s="28">
        <v>4</v>
      </c>
      <c r="L26" s="28">
        <v>7</v>
      </c>
      <c r="M26" s="28">
        <v>0</v>
      </c>
      <c r="N26" s="89">
        <f>IFERROR((STL_P[[#This Row],[BB]]+STL_P[[#This Row],[H]])/STL_P[[#This Row],[IP]],0)</f>
        <v>1.499531396438613</v>
      </c>
      <c r="O26" s="28">
        <v>0</v>
      </c>
      <c r="P26" s="90">
        <v>0</v>
      </c>
      <c r="Q26" s="28">
        <v>0</v>
      </c>
      <c r="R26" s="74">
        <v>0</v>
      </c>
      <c r="S26" s="780">
        <v>6</v>
      </c>
      <c r="Z26" s="651" t="s">
        <v>952</v>
      </c>
      <c r="AA26" s="74" t="s">
        <v>215</v>
      </c>
      <c r="AB26" s="116" t="s">
        <v>980</v>
      </c>
      <c r="AC26" s="88">
        <f>IFERROR((STL_P135[[#This Row],[R]]*9)/STL_P135[[#This Row],[IP]],0)</f>
        <v>4.9090909090909092</v>
      </c>
      <c r="AD26" s="28">
        <v>1</v>
      </c>
      <c r="AE26" s="74">
        <v>0</v>
      </c>
      <c r="AF26" s="28">
        <v>7</v>
      </c>
      <c r="AG26" s="584">
        <v>11</v>
      </c>
      <c r="AH26" s="28">
        <v>11</v>
      </c>
      <c r="AI26" s="28">
        <v>6</v>
      </c>
      <c r="AJ26" s="28">
        <v>3</v>
      </c>
      <c r="AK26" s="28">
        <v>5</v>
      </c>
      <c r="AL26" s="28">
        <v>0</v>
      </c>
      <c r="AM26" s="89">
        <f>IFERROR((STL_P135[[#This Row],[BB]]+STL_P135[[#This Row],[H]])/STL_P135[[#This Row],[IP]],0)</f>
        <v>1.2727272727272727</v>
      </c>
      <c r="AN26" s="28">
        <v>0</v>
      </c>
      <c r="AO26" s="90">
        <v>0</v>
      </c>
      <c r="AP26" s="28">
        <v>0</v>
      </c>
      <c r="AQ26" s="74">
        <v>0</v>
      </c>
      <c r="AR26" s="780">
        <v>6</v>
      </c>
      <c r="AY26" s="651" t="s">
        <v>952</v>
      </c>
      <c r="AZ26" s="74" t="s">
        <v>215</v>
      </c>
      <c r="BA26" s="71" t="s">
        <v>981</v>
      </c>
      <c r="BB26" s="88">
        <f>IFERROR((STL_P149[[#This Row],[R]]*9)/STL_P149[[#This Row],[IP]],0)</f>
        <v>1.125</v>
      </c>
      <c r="BC26" s="28">
        <v>0</v>
      </c>
      <c r="BD26" s="74">
        <v>0</v>
      </c>
      <c r="BE26" s="28">
        <v>4</v>
      </c>
      <c r="BF26" s="584">
        <v>8</v>
      </c>
      <c r="BG26" s="28">
        <v>2</v>
      </c>
      <c r="BH26" s="28">
        <v>1</v>
      </c>
      <c r="BI26" s="28">
        <v>3</v>
      </c>
      <c r="BJ26" s="28">
        <v>10</v>
      </c>
      <c r="BK26" s="28">
        <v>0</v>
      </c>
      <c r="BL26" s="89">
        <f>IFERROR((STL_P149[[#This Row],[BB]]+STL_P149[[#This Row],[H]])/STL_P149[[#This Row],[IP]],0)</f>
        <v>0.625</v>
      </c>
      <c r="BM26" s="28">
        <v>0</v>
      </c>
      <c r="BN26" s="90">
        <v>0</v>
      </c>
      <c r="BO26" s="28">
        <v>0</v>
      </c>
      <c r="BP26" s="74">
        <v>0</v>
      </c>
      <c r="BQ26" s="615">
        <v>6</v>
      </c>
    </row>
    <row r="27" spans="1:73">
      <c r="A27" s="651" t="s">
        <v>952</v>
      </c>
      <c r="B27" s="74" t="s">
        <v>212</v>
      </c>
      <c r="C27" s="116" t="s">
        <v>978</v>
      </c>
      <c r="D27" s="88">
        <f>IFERROR((STL_P[[#This Row],[R]]*9)/STL_P[[#This Row],[IP]],0)</f>
        <v>6.1349693251533743</v>
      </c>
      <c r="E27" s="28">
        <v>1</v>
      </c>
      <c r="F27" s="74">
        <v>0</v>
      </c>
      <c r="G27" s="28">
        <v>12</v>
      </c>
      <c r="H27" s="584">
        <v>14.67</v>
      </c>
      <c r="I27" s="28">
        <v>13</v>
      </c>
      <c r="J27" s="28">
        <v>10</v>
      </c>
      <c r="K27" s="28">
        <v>10</v>
      </c>
      <c r="L27" s="28">
        <v>6</v>
      </c>
      <c r="M27" s="28">
        <v>1</v>
      </c>
      <c r="N27" s="89">
        <f>IFERROR((STL_P[[#This Row],[BB]]+STL_P[[#This Row],[H]])/STL_P[[#This Row],[IP]],0)</f>
        <v>1.5678254942058623</v>
      </c>
      <c r="O27" s="28">
        <v>0</v>
      </c>
      <c r="P27" s="90">
        <v>0</v>
      </c>
      <c r="Q27" s="28">
        <v>0</v>
      </c>
      <c r="R27" s="74">
        <v>0</v>
      </c>
      <c r="S27" s="780">
        <v>7</v>
      </c>
      <c r="Z27" s="651" t="s">
        <v>952</v>
      </c>
      <c r="AA27" s="74" t="s">
        <v>212</v>
      </c>
      <c r="AB27" s="116" t="s">
        <v>978</v>
      </c>
      <c r="AC27" s="88">
        <f>IFERROR((STL_P135[[#This Row],[R]]*9)/STL_P135[[#This Row],[IP]],0)</f>
        <v>0</v>
      </c>
      <c r="AD27" s="28">
        <v>0</v>
      </c>
      <c r="AE27" s="74">
        <v>0</v>
      </c>
      <c r="AF27" s="28">
        <v>3</v>
      </c>
      <c r="AG27" s="584">
        <v>6</v>
      </c>
      <c r="AH27" s="28">
        <v>5</v>
      </c>
      <c r="AI27" s="28">
        <v>0</v>
      </c>
      <c r="AJ27" s="28">
        <v>2</v>
      </c>
      <c r="AK27" s="28">
        <v>3</v>
      </c>
      <c r="AL27" s="28">
        <v>0</v>
      </c>
      <c r="AM27" s="89">
        <f>IFERROR((STL_P135[[#This Row],[BB]]+STL_P135[[#This Row],[H]])/STL_P135[[#This Row],[IP]],0)</f>
        <v>1.1666666666666667</v>
      </c>
      <c r="AN27" s="28">
        <v>0</v>
      </c>
      <c r="AO27" s="90">
        <v>0</v>
      </c>
      <c r="AP27" s="28">
        <v>0</v>
      </c>
      <c r="AQ27" s="74">
        <v>0</v>
      </c>
      <c r="AR27" s="780">
        <v>7</v>
      </c>
      <c r="AY27" s="651" t="s">
        <v>952</v>
      </c>
      <c r="AZ27" s="74" t="s">
        <v>212</v>
      </c>
      <c r="BA27" s="71" t="s">
        <v>978</v>
      </c>
      <c r="BB27" s="88">
        <f>IFERROR((STL_P149[[#This Row],[R]]*9)/STL_P149[[#This Row],[IP]],0)</f>
        <v>12.099276111685626</v>
      </c>
      <c r="BC27" s="28">
        <v>1</v>
      </c>
      <c r="BD27" s="74">
        <v>1</v>
      </c>
      <c r="BE27" s="28">
        <v>7</v>
      </c>
      <c r="BF27" s="584">
        <v>9.67</v>
      </c>
      <c r="BG27" s="28">
        <v>26</v>
      </c>
      <c r="BH27" s="28">
        <v>13</v>
      </c>
      <c r="BI27" s="28">
        <v>4</v>
      </c>
      <c r="BJ27" s="28">
        <v>10</v>
      </c>
      <c r="BK27" s="28">
        <v>0</v>
      </c>
      <c r="BL27" s="89">
        <f>IFERROR((STL_P149[[#This Row],[BB]]+STL_P149[[#This Row],[H]])/STL_P149[[#This Row],[IP]],0)</f>
        <v>3.1023784901758016</v>
      </c>
      <c r="BM27" s="28">
        <v>0</v>
      </c>
      <c r="BN27" s="90">
        <v>0</v>
      </c>
      <c r="BO27" s="28">
        <v>0</v>
      </c>
      <c r="BP27" s="74">
        <v>0</v>
      </c>
      <c r="BQ27" s="615">
        <v>7</v>
      </c>
    </row>
    <row r="28" spans="1:73">
      <c r="A28" s="651" t="s">
        <v>952</v>
      </c>
      <c r="B28" s="74" t="s">
        <v>212</v>
      </c>
      <c r="C28" s="116" t="s">
        <v>980</v>
      </c>
      <c r="D28" s="88">
        <f>IFERROR((STL_P[[#This Row],[R]]*9)/STL_P[[#This Row],[IP]],0)</f>
        <v>7.2</v>
      </c>
      <c r="E28" s="28">
        <v>0</v>
      </c>
      <c r="F28" s="74">
        <v>2</v>
      </c>
      <c r="G28" s="28">
        <v>10</v>
      </c>
      <c r="H28" s="584">
        <v>15</v>
      </c>
      <c r="I28" s="28">
        <v>23</v>
      </c>
      <c r="J28" s="28">
        <v>12</v>
      </c>
      <c r="K28" s="28">
        <v>7</v>
      </c>
      <c r="L28" s="28">
        <v>15</v>
      </c>
      <c r="M28" s="28">
        <v>1</v>
      </c>
      <c r="N28" s="89">
        <f>IFERROR((STL_P[[#This Row],[BB]]+STL_P[[#This Row],[H]])/STL_P[[#This Row],[IP]],0)</f>
        <v>2</v>
      </c>
      <c r="O28" s="28">
        <v>0</v>
      </c>
      <c r="P28" s="90">
        <v>0</v>
      </c>
      <c r="Q28" s="28">
        <v>0</v>
      </c>
      <c r="R28" s="74">
        <v>0</v>
      </c>
      <c r="S28" s="780">
        <v>8</v>
      </c>
      <c r="Z28" s="651" t="s">
        <v>952</v>
      </c>
      <c r="AA28" s="74" t="s">
        <v>212</v>
      </c>
      <c r="AB28" s="116" t="s">
        <v>984</v>
      </c>
      <c r="AC28" s="88">
        <f>IFERROR((STL_P135[[#This Row],[R]]*9)/STL_P135[[#This Row],[IP]],0)</f>
        <v>3.560830860534125</v>
      </c>
      <c r="AD28" s="28">
        <v>2</v>
      </c>
      <c r="AE28" s="74">
        <v>1</v>
      </c>
      <c r="AF28" s="28">
        <v>25</v>
      </c>
      <c r="AG28" s="584">
        <v>30.33</v>
      </c>
      <c r="AH28" s="28">
        <v>18</v>
      </c>
      <c r="AI28" s="28">
        <v>12</v>
      </c>
      <c r="AJ28" s="28">
        <v>9</v>
      </c>
      <c r="AK28" s="28">
        <v>32</v>
      </c>
      <c r="AL28" s="28">
        <v>2</v>
      </c>
      <c r="AM28" s="89">
        <f>IFERROR((STL_P135[[#This Row],[BB]]+STL_P135[[#This Row],[H]])/STL_P135[[#This Row],[IP]],0)</f>
        <v>0.89020771513353125</v>
      </c>
      <c r="AN28" s="28">
        <v>0</v>
      </c>
      <c r="AO28" s="90">
        <v>0</v>
      </c>
      <c r="AP28" s="28">
        <v>0</v>
      </c>
      <c r="AQ28" s="74">
        <v>0</v>
      </c>
      <c r="AR28" s="780">
        <v>8</v>
      </c>
      <c r="AY28" s="651" t="s">
        <v>952</v>
      </c>
      <c r="AZ28" s="74" t="s">
        <v>212</v>
      </c>
      <c r="BA28" s="71" t="s">
        <v>985</v>
      </c>
      <c r="BB28" s="88">
        <f>IFERROR((STL_P149[[#This Row],[R]]*9)/STL_P149[[#This Row],[IP]],0)</f>
        <v>8.792742498255409</v>
      </c>
      <c r="BC28" s="28">
        <v>0</v>
      </c>
      <c r="BD28" s="74">
        <v>4</v>
      </c>
      <c r="BE28" s="28">
        <v>18</v>
      </c>
      <c r="BF28" s="584">
        <v>14.33</v>
      </c>
      <c r="BG28" s="28">
        <v>17</v>
      </c>
      <c r="BH28" s="28">
        <v>14</v>
      </c>
      <c r="BI28" s="28">
        <v>12</v>
      </c>
      <c r="BJ28" s="28">
        <v>19</v>
      </c>
      <c r="BK28" s="28">
        <v>0</v>
      </c>
      <c r="BL28" s="89">
        <f>IFERROR((STL_P149[[#This Row],[BB]]+STL_P149[[#This Row],[H]])/STL_P149[[#This Row],[IP]],0)</f>
        <v>2.0237264480111654</v>
      </c>
      <c r="BM28" s="28">
        <v>0</v>
      </c>
      <c r="BN28" s="90">
        <v>0</v>
      </c>
      <c r="BO28" s="28">
        <v>0</v>
      </c>
      <c r="BP28" s="74">
        <v>0</v>
      </c>
      <c r="BQ28" s="615">
        <v>8</v>
      </c>
    </row>
    <row r="29" spans="1:73">
      <c r="A29" s="651" t="s">
        <v>952</v>
      </c>
      <c r="B29" s="74" t="s">
        <v>212</v>
      </c>
      <c r="C29" s="116" t="s">
        <v>983</v>
      </c>
      <c r="D29" s="88">
        <f>IFERROR((STL_P[[#This Row],[R]]*9)/STL_P[[#This Row],[IP]],0)</f>
        <v>2.8636363636363638</v>
      </c>
      <c r="E29" s="28">
        <v>0</v>
      </c>
      <c r="F29" s="74">
        <v>1</v>
      </c>
      <c r="G29" s="28">
        <v>19</v>
      </c>
      <c r="H29" s="584">
        <v>22</v>
      </c>
      <c r="I29" s="28">
        <v>20</v>
      </c>
      <c r="J29" s="28">
        <v>7</v>
      </c>
      <c r="K29" s="28">
        <v>12</v>
      </c>
      <c r="L29" s="28">
        <v>32</v>
      </c>
      <c r="M29" s="28">
        <v>0</v>
      </c>
      <c r="N29" s="89">
        <f>IFERROR((STL_P[[#This Row],[BB]]+STL_P[[#This Row],[H]])/STL_P[[#This Row],[IP]],0)</f>
        <v>1.4545454545454546</v>
      </c>
      <c r="O29" s="28">
        <v>0</v>
      </c>
      <c r="P29" s="90">
        <v>0</v>
      </c>
      <c r="Q29" s="28">
        <v>0</v>
      </c>
      <c r="R29" s="74">
        <v>0</v>
      </c>
      <c r="S29" s="780">
        <v>9</v>
      </c>
      <c r="Z29" s="651" t="s">
        <v>952</v>
      </c>
      <c r="AA29" s="74" t="s">
        <v>212</v>
      </c>
      <c r="AB29" s="116" t="s">
        <v>983</v>
      </c>
      <c r="AC29" s="88">
        <f>IFERROR((STL_P135[[#This Row],[R]]*9)/STL_P135[[#This Row],[IP]],0)</f>
        <v>7.7899596076168498</v>
      </c>
      <c r="AD29" s="28">
        <v>0</v>
      </c>
      <c r="AE29" s="74">
        <v>1</v>
      </c>
      <c r="AF29" s="28">
        <v>19</v>
      </c>
      <c r="AG29" s="584">
        <v>17.329999999999998</v>
      </c>
      <c r="AH29" s="28">
        <v>18</v>
      </c>
      <c r="AI29" s="28">
        <v>15</v>
      </c>
      <c r="AJ29" s="28">
        <v>16</v>
      </c>
      <c r="AK29" s="28">
        <v>21</v>
      </c>
      <c r="AL29" s="28">
        <v>1</v>
      </c>
      <c r="AM29" s="89">
        <f>IFERROR((STL_P135[[#This Row],[BB]]+STL_P135[[#This Row],[H]])/STL_P135[[#This Row],[IP]],0)</f>
        <v>1.9619157530294289</v>
      </c>
      <c r="AN29" s="28">
        <v>0</v>
      </c>
      <c r="AO29" s="90">
        <v>0</v>
      </c>
      <c r="AP29" s="28">
        <v>0</v>
      </c>
      <c r="AQ29" s="74">
        <v>0</v>
      </c>
      <c r="AR29" s="780">
        <v>9</v>
      </c>
      <c r="AY29" s="651" t="s">
        <v>952</v>
      </c>
      <c r="AZ29" s="74" t="s">
        <v>212</v>
      </c>
      <c r="BA29" s="71" t="s">
        <v>983</v>
      </c>
      <c r="BB29" s="88">
        <f>IFERROR((STL_P149[[#This Row],[R]]*9)/STL_P149[[#This Row],[IP]],0)</f>
        <v>2.9185245237130117</v>
      </c>
      <c r="BC29" s="28">
        <v>3</v>
      </c>
      <c r="BD29" s="74">
        <v>1</v>
      </c>
      <c r="BE29" s="28">
        <v>23</v>
      </c>
      <c r="BF29" s="584">
        <v>24.67</v>
      </c>
      <c r="BG29" s="28">
        <v>16</v>
      </c>
      <c r="BH29" s="28">
        <v>8</v>
      </c>
      <c r="BI29" s="28">
        <v>14</v>
      </c>
      <c r="BJ29" s="28">
        <v>31</v>
      </c>
      <c r="BK29" s="28">
        <v>1</v>
      </c>
      <c r="BL29" s="89">
        <f>IFERROR((STL_P149[[#This Row],[BB]]+STL_P149[[#This Row],[H]])/STL_P149[[#This Row],[IP]],0)</f>
        <v>1.2160518848804214</v>
      </c>
      <c r="BM29" s="28">
        <v>0</v>
      </c>
      <c r="BN29" s="90">
        <v>0</v>
      </c>
      <c r="BO29" s="28">
        <v>0</v>
      </c>
      <c r="BP29" s="74">
        <v>0</v>
      </c>
      <c r="BQ29" s="615">
        <v>9</v>
      </c>
    </row>
    <row r="30" spans="1:73" ht="17" thickBot="1">
      <c r="A30" s="651" t="s">
        <v>952</v>
      </c>
      <c r="B30" s="74" t="s">
        <v>212</v>
      </c>
      <c r="C30" s="116" t="s">
        <v>986</v>
      </c>
      <c r="D30" s="88">
        <f>IFERROR((STL_P[[#This Row],[R]]*9)/STL_P[[#This Row],[IP]],0)</f>
        <v>3.0763387770603874</v>
      </c>
      <c r="E30" s="28">
        <v>4</v>
      </c>
      <c r="F30" s="74">
        <v>1</v>
      </c>
      <c r="G30" s="28">
        <v>23</v>
      </c>
      <c r="H30" s="584">
        <v>26.33</v>
      </c>
      <c r="I30" s="28">
        <v>18</v>
      </c>
      <c r="J30" s="28">
        <v>9</v>
      </c>
      <c r="K30" s="28">
        <v>9</v>
      </c>
      <c r="L30" s="28">
        <v>33</v>
      </c>
      <c r="M30" s="28">
        <v>5</v>
      </c>
      <c r="N30" s="89">
        <f>IFERROR((STL_P[[#This Row],[BB]]+STL_P[[#This Row],[H]])/STL_P[[#This Row],[IP]],0)</f>
        <v>1.0254462590201292</v>
      </c>
      <c r="O30" s="28">
        <v>0</v>
      </c>
      <c r="P30" s="90">
        <v>0</v>
      </c>
      <c r="Q30" s="28">
        <v>0</v>
      </c>
      <c r="R30" s="74">
        <v>0</v>
      </c>
      <c r="S30" s="780">
        <v>10</v>
      </c>
      <c r="Z30" s="651" t="s">
        <v>952</v>
      </c>
      <c r="AA30" s="74" t="s">
        <v>215</v>
      </c>
      <c r="AB30" s="116" t="s">
        <v>986</v>
      </c>
      <c r="AC30" s="88">
        <f>IFERROR((STL_P135[[#This Row],[R]]*9)/STL_P135[[#This Row],[IP]],0)</f>
        <v>1.5517241379310345</v>
      </c>
      <c r="AD30" s="28">
        <v>2</v>
      </c>
      <c r="AE30" s="74">
        <v>0</v>
      </c>
      <c r="AF30" s="28">
        <v>27</v>
      </c>
      <c r="AG30" s="584">
        <v>29</v>
      </c>
      <c r="AH30" s="28">
        <v>14</v>
      </c>
      <c r="AI30" s="28">
        <v>5</v>
      </c>
      <c r="AJ30" s="28">
        <v>6</v>
      </c>
      <c r="AK30" s="28">
        <v>35</v>
      </c>
      <c r="AL30" s="28">
        <v>11</v>
      </c>
      <c r="AM30" s="89">
        <f>IFERROR((STL_P135[[#This Row],[BB]]+STL_P135[[#This Row],[H]])/STL_P135[[#This Row],[IP]],0)</f>
        <v>0.68965517241379315</v>
      </c>
      <c r="AN30" s="28">
        <v>0</v>
      </c>
      <c r="AO30" s="90">
        <v>0</v>
      </c>
      <c r="AP30" s="28">
        <v>0</v>
      </c>
      <c r="AQ30" s="74">
        <v>0</v>
      </c>
      <c r="AR30" s="780">
        <v>10</v>
      </c>
      <c r="AY30" s="651" t="s">
        <v>952</v>
      </c>
      <c r="AZ30" s="74" t="s">
        <v>212</v>
      </c>
      <c r="BA30" s="71" t="s">
        <v>984</v>
      </c>
      <c r="BB30" s="88">
        <f>IFERROR((STL_P149[[#This Row],[R]]*9)/STL_P149[[#This Row],[IP]],0)</f>
        <v>1.7765495459928939</v>
      </c>
      <c r="BC30" s="28">
        <v>1</v>
      </c>
      <c r="BD30" s="74">
        <v>1</v>
      </c>
      <c r="BE30" s="28">
        <v>22</v>
      </c>
      <c r="BF30" s="584">
        <v>25.33</v>
      </c>
      <c r="BG30" s="28">
        <v>22</v>
      </c>
      <c r="BH30" s="28">
        <v>5</v>
      </c>
      <c r="BI30" s="28">
        <v>8</v>
      </c>
      <c r="BJ30" s="28">
        <v>31</v>
      </c>
      <c r="BK30" s="28">
        <v>9</v>
      </c>
      <c r="BL30" s="89">
        <f>IFERROR((STL_P149[[#This Row],[BB]]+STL_P149[[#This Row],[H]])/STL_P149[[#This Row],[IP]],0)</f>
        <v>1.1843663639952626</v>
      </c>
      <c r="BM30" s="28">
        <v>0</v>
      </c>
      <c r="BN30" s="90">
        <v>0</v>
      </c>
      <c r="BO30" s="28">
        <v>0</v>
      </c>
      <c r="BP30" s="74">
        <v>0</v>
      </c>
      <c r="BQ30" s="615">
        <v>10</v>
      </c>
    </row>
    <row r="31" spans="1:73" ht="17" thickBot="1">
      <c r="A31" s="652"/>
      <c r="B31" s="653"/>
      <c r="C31" s="654" t="s">
        <v>195</v>
      </c>
      <c r="D31" s="665">
        <f>(J31*9)/H31</f>
        <v>4.1075304725329769</v>
      </c>
      <c r="E31" s="658">
        <f>SUBTOTAL(109,STL_P[W])</f>
        <v>19</v>
      </c>
      <c r="F31" s="660">
        <f>SUBTOTAL(109,STL_P[L])</f>
        <v>21</v>
      </c>
      <c r="G31" s="658"/>
      <c r="H31" s="666">
        <f>SUBTOTAL(109,STL_P[IP])</f>
        <v>359.34000000000003</v>
      </c>
      <c r="I31" s="658">
        <f>SUBTOTAL(109,STL_P[H])</f>
        <v>336</v>
      </c>
      <c r="J31" s="658">
        <f>SUBTOTAL(109,STL_P[R])</f>
        <v>164</v>
      </c>
      <c r="K31" s="658">
        <f>SUBTOTAL(109,STL_P[BB])</f>
        <v>123</v>
      </c>
      <c r="L31" s="658">
        <f>SUBTOTAL(109,STL_P[K])</f>
        <v>313</v>
      </c>
      <c r="M31" s="658">
        <f>SUBTOTAL(109,STL_P[SV])</f>
        <v>7</v>
      </c>
      <c r="N31" s="667">
        <f>(K31+I31)/H31</f>
        <v>1.277341793287694</v>
      </c>
      <c r="O31" s="690">
        <f>SUBTOTAL(109,STL_P[QS])</f>
        <v>26</v>
      </c>
      <c r="P31" s="669">
        <f>SUBTOTAL(109,STL_P[UQ])</f>
        <v>11</v>
      </c>
      <c r="Q31" s="850">
        <f>SUBTOTAL(109,STL_P[CG])</f>
        <v>4</v>
      </c>
      <c r="R31" s="851">
        <f>SUBTOTAL(109,STL_P[SH])</f>
        <v>4</v>
      </c>
      <c r="S31" s="662"/>
      <c r="Z31" s="652"/>
      <c r="AA31" s="653"/>
      <c r="AB31" s="654" t="s">
        <v>195</v>
      </c>
      <c r="AC31" s="665">
        <f>(AI31*9)/AG31</f>
        <v>4.2045422564939638</v>
      </c>
      <c r="AD31" s="658">
        <f>SUBTOTAL(109,STL_P135[W])</f>
        <v>20</v>
      </c>
      <c r="AE31" s="660">
        <f>SUBTOTAL(109,STL_P135[L])</f>
        <v>20</v>
      </c>
      <c r="AF31" s="658"/>
      <c r="AG31" s="666">
        <f>SUBTOTAL(109,STL_P135[IP])</f>
        <v>355.33</v>
      </c>
      <c r="AH31" s="658">
        <f>SUBTOTAL(109,STL_P135[H])</f>
        <v>335</v>
      </c>
      <c r="AI31" s="658">
        <f>SUBTOTAL(109,STL_P135[R])</f>
        <v>166</v>
      </c>
      <c r="AJ31" s="658">
        <f>SUBTOTAL(109,STL_P135[BB])</f>
        <v>128</v>
      </c>
      <c r="AK31" s="658">
        <f>SUBTOTAL(109,STL_P135[K])</f>
        <v>333</v>
      </c>
      <c r="AL31" s="659">
        <f>SUBTOTAL(109,STL_P135[SV])</f>
        <v>14</v>
      </c>
      <c r="AM31" s="667">
        <f>(AJ31+AH31)/AG31</f>
        <v>1.3030140995694144</v>
      </c>
      <c r="AN31" s="690">
        <f>SUBTOTAL(109,STL_P135[QS])</f>
        <v>19</v>
      </c>
      <c r="AO31" s="669">
        <f>SUBTOTAL(109,STL_P135[UQ])</f>
        <v>5</v>
      </c>
      <c r="AP31" s="670">
        <f>SUBTOTAL(109,STL_P135[CG])</f>
        <v>0</v>
      </c>
      <c r="AQ31" s="671">
        <f>SUBTOTAL(109,STL_P135[SH])</f>
        <v>0</v>
      </c>
      <c r="AR31" s="662"/>
      <c r="AY31" s="652"/>
      <c r="AZ31" s="653"/>
      <c r="BA31" s="654" t="s">
        <v>195</v>
      </c>
      <c r="BB31" s="665">
        <f>IFERROR((BH31*9)/BF31,0)</f>
        <v>4.3876900916872108</v>
      </c>
      <c r="BC31" s="658">
        <f>SUBTOTAL(109,STL_P149[W])</f>
        <v>22</v>
      </c>
      <c r="BD31" s="660">
        <f>SUBTOTAL(109,STL_P149[L])</f>
        <v>18</v>
      </c>
      <c r="BE31" s="658"/>
      <c r="BF31" s="666">
        <f>SUBTOTAL(109,STL_P149[IP])</f>
        <v>361.01</v>
      </c>
      <c r="BG31" s="658">
        <f>SUBTOTAL(109,STL_P149[H])</f>
        <v>352</v>
      </c>
      <c r="BH31" s="658">
        <f>SUBTOTAL(109,STL_P149[R])</f>
        <v>176</v>
      </c>
      <c r="BI31" s="658">
        <f>SUBTOTAL(109,STL_P149[BB])</f>
        <v>150</v>
      </c>
      <c r="BJ31" s="658">
        <f>SUBTOTAL(109,STL_P149[K])</f>
        <v>319</v>
      </c>
      <c r="BK31" s="658">
        <f>SUBTOTAL(109,STL_P149[SV])</f>
        <v>10</v>
      </c>
      <c r="BL31" s="667">
        <f>(BI31+BG31)/BF31</f>
        <v>1.3905431982493559</v>
      </c>
      <c r="BM31" s="690">
        <f>SUBTOTAL(109,STL_P149[QS])</f>
        <v>23</v>
      </c>
      <c r="BN31" s="669">
        <f>SUBTOTAL(109,STL_P149[UQ])</f>
        <v>10</v>
      </c>
      <c r="BO31" s="670">
        <f>SUM(BO21:BO30)</f>
        <v>2</v>
      </c>
      <c r="BP31" s="671">
        <f>SUM(BP21:BP30)</f>
        <v>1</v>
      </c>
      <c r="BQ31" s="662"/>
    </row>
    <row r="32" spans="1:73" ht="17" thickBot="1"/>
    <row r="33" spans="1:73" ht="24" thickBot="1">
      <c r="A33" s="1045" t="s">
        <v>987</v>
      </c>
      <c r="B33" s="1046"/>
      <c r="C33" s="1046"/>
      <c r="D33" s="1046"/>
      <c r="E33" s="1046"/>
      <c r="F33" s="1046"/>
      <c r="G33" s="1046"/>
      <c r="H33" s="1046"/>
      <c r="I33" s="1046"/>
      <c r="J33" s="1046"/>
      <c r="K33" s="1046"/>
      <c r="L33" s="1046"/>
      <c r="M33" s="1046"/>
      <c r="N33" s="1046"/>
      <c r="O33" s="1046"/>
      <c r="P33" s="1046"/>
      <c r="Q33" s="1046"/>
      <c r="R33" s="1046"/>
      <c r="S33" s="1046"/>
      <c r="T33" s="1046"/>
      <c r="U33" s="1046"/>
      <c r="V33" s="1046"/>
      <c r="W33" s="1047"/>
      <c r="Z33" s="1045" t="s">
        <v>988</v>
      </c>
      <c r="AA33" s="1046"/>
      <c r="AB33" s="1046"/>
      <c r="AC33" s="1046"/>
      <c r="AD33" s="1046"/>
      <c r="AE33" s="1046"/>
      <c r="AF33" s="1046"/>
      <c r="AG33" s="1046"/>
      <c r="AH33" s="1046"/>
      <c r="AI33" s="1046"/>
      <c r="AJ33" s="1046"/>
      <c r="AK33" s="1046"/>
      <c r="AL33" s="1046"/>
      <c r="AM33" s="1046"/>
      <c r="AN33" s="1046"/>
      <c r="AO33" s="1046"/>
      <c r="AP33" s="1046"/>
      <c r="AQ33" s="1046"/>
      <c r="AR33" s="1046"/>
      <c r="AS33" s="1046"/>
      <c r="AT33" s="1046"/>
      <c r="AU33" s="1046"/>
      <c r="AV33" s="1047"/>
      <c r="AY33" s="1045" t="s">
        <v>989</v>
      </c>
      <c r="AZ33" s="1046"/>
      <c r="BA33" s="1046"/>
      <c r="BB33" s="1046"/>
      <c r="BC33" s="1046"/>
      <c r="BD33" s="1046"/>
      <c r="BE33" s="1046"/>
      <c r="BF33" s="1046"/>
      <c r="BG33" s="1046"/>
      <c r="BH33" s="1046"/>
      <c r="BI33" s="1046"/>
      <c r="BJ33" s="1046"/>
      <c r="BK33" s="1046"/>
      <c r="BL33" s="1046"/>
      <c r="BM33" s="1046"/>
      <c r="BN33" s="1046"/>
      <c r="BO33" s="1046"/>
      <c r="BP33" s="1046"/>
      <c r="BQ33" s="1046"/>
      <c r="BR33" s="1046"/>
      <c r="BS33" s="1046"/>
      <c r="BT33" s="1046"/>
      <c r="BU33" s="1047"/>
    </row>
    <row r="34" spans="1:73" s="64" customFormat="1" ht="14" thickBot="1">
      <c r="A34" s="605" t="s">
        <v>143</v>
      </c>
      <c r="B34" s="606" t="s">
        <v>144</v>
      </c>
      <c r="C34" s="606" t="s">
        <v>145</v>
      </c>
      <c r="D34" s="606" t="s">
        <v>146</v>
      </c>
      <c r="E34" s="606" t="s">
        <v>147</v>
      </c>
      <c r="F34" s="606" t="s">
        <v>148</v>
      </c>
      <c r="G34" s="606" t="s">
        <v>149</v>
      </c>
      <c r="H34" s="606" t="s">
        <v>150</v>
      </c>
      <c r="I34" s="606" t="s">
        <v>151</v>
      </c>
      <c r="J34" s="606" t="s">
        <v>152</v>
      </c>
      <c r="K34" s="606" t="s">
        <v>153</v>
      </c>
      <c r="L34" s="606" t="s">
        <v>154</v>
      </c>
      <c r="M34" s="606" t="s">
        <v>155</v>
      </c>
      <c r="N34" s="606" t="s">
        <v>156</v>
      </c>
      <c r="O34" s="606" t="s">
        <v>157</v>
      </c>
      <c r="P34" s="606" t="s">
        <v>158</v>
      </c>
      <c r="Q34" s="606" t="s">
        <v>159</v>
      </c>
      <c r="R34" s="606" t="s">
        <v>160</v>
      </c>
      <c r="S34" s="606" t="s">
        <v>16</v>
      </c>
      <c r="T34" s="606" t="s">
        <v>161</v>
      </c>
      <c r="U34" s="606" t="s">
        <v>162</v>
      </c>
      <c r="V34" s="606" t="s">
        <v>163</v>
      </c>
      <c r="W34" s="607" t="s">
        <v>164</v>
      </c>
      <c r="Z34" s="605" t="s">
        <v>143</v>
      </c>
      <c r="AA34" s="606" t="s">
        <v>144</v>
      </c>
      <c r="AB34" s="606" t="s">
        <v>145</v>
      </c>
      <c r="AC34" s="606" t="s">
        <v>146</v>
      </c>
      <c r="AD34" s="606" t="s">
        <v>147</v>
      </c>
      <c r="AE34" s="606" t="s">
        <v>148</v>
      </c>
      <c r="AF34" s="606" t="s">
        <v>149</v>
      </c>
      <c r="AG34" s="606" t="s">
        <v>150</v>
      </c>
      <c r="AH34" s="606" t="s">
        <v>151</v>
      </c>
      <c r="AI34" s="606" t="s">
        <v>152</v>
      </c>
      <c r="AJ34" s="606" t="s">
        <v>153</v>
      </c>
      <c r="AK34" s="606" t="s">
        <v>154</v>
      </c>
      <c r="AL34" s="606" t="s">
        <v>155</v>
      </c>
      <c r="AM34" s="606" t="s">
        <v>156</v>
      </c>
      <c r="AN34" s="606" t="s">
        <v>157</v>
      </c>
      <c r="AO34" s="606" t="s">
        <v>158</v>
      </c>
      <c r="AP34" s="606" t="s">
        <v>159</v>
      </c>
      <c r="AQ34" s="606" t="s">
        <v>160</v>
      </c>
      <c r="AR34" s="606" t="s">
        <v>16</v>
      </c>
      <c r="AS34" s="606" t="s">
        <v>161</v>
      </c>
      <c r="AT34" s="606" t="s">
        <v>162</v>
      </c>
      <c r="AU34" s="606" t="s">
        <v>163</v>
      </c>
      <c r="AV34" s="607" t="s">
        <v>164</v>
      </c>
      <c r="AY34" s="605" t="s">
        <v>143</v>
      </c>
      <c r="AZ34" s="606" t="s">
        <v>144</v>
      </c>
      <c r="BA34" s="606" t="s">
        <v>145</v>
      </c>
      <c r="BB34" s="606" t="s">
        <v>146</v>
      </c>
      <c r="BC34" s="606" t="s">
        <v>147</v>
      </c>
      <c r="BD34" s="606" t="s">
        <v>148</v>
      </c>
      <c r="BE34" s="606" t="s">
        <v>149</v>
      </c>
      <c r="BF34" s="606" t="s">
        <v>150</v>
      </c>
      <c r="BG34" s="606" t="s">
        <v>151</v>
      </c>
      <c r="BH34" s="606" t="s">
        <v>152</v>
      </c>
      <c r="BI34" s="606" t="s">
        <v>153</v>
      </c>
      <c r="BJ34" s="606" t="s">
        <v>154</v>
      </c>
      <c r="BK34" s="606" t="s">
        <v>155</v>
      </c>
      <c r="BL34" s="606" t="s">
        <v>156</v>
      </c>
      <c r="BM34" s="606" t="s">
        <v>157</v>
      </c>
      <c r="BN34" s="606" t="s">
        <v>158</v>
      </c>
      <c r="BO34" s="606" t="s">
        <v>159</v>
      </c>
      <c r="BP34" s="606" t="s">
        <v>160</v>
      </c>
      <c r="BQ34" s="606" t="s">
        <v>16</v>
      </c>
      <c r="BR34" s="606" t="s">
        <v>161</v>
      </c>
      <c r="BS34" s="606" t="s">
        <v>162</v>
      </c>
      <c r="BT34" s="606" t="s">
        <v>163</v>
      </c>
      <c r="BU34" s="607" t="s">
        <v>164</v>
      </c>
    </row>
    <row r="35" spans="1:73">
      <c r="A35" s="650" t="s">
        <v>990</v>
      </c>
      <c r="B35" s="597" t="s">
        <v>179</v>
      </c>
      <c r="C35" s="597" t="s">
        <v>1000</v>
      </c>
      <c r="D35" s="598">
        <f>IFERROR(CHC_C[[#This Row],[H]]/CHC_C[[#This Row],[AB]],0)</f>
        <v>0.25210084033613445</v>
      </c>
      <c r="E35" s="598">
        <f>IFERROR((CHC_C[[#This Row],[H]]+CHC_C[[#This Row],[BB]])/(CHC_C[[#This Row],[BB]]+CHC_C[[#This Row],[AB]]),0)</f>
        <v>0.31007751937984496</v>
      </c>
      <c r="F35" s="599">
        <f>IFERROR(((CHC_C[[#This Row],[H]]-CHC_C[[#This Row],[2B]]-CHC_C[[#This Row],[3B]]-CHC_C[[#This Row],[HR]])+(CHC_C[[#This Row],[2B]]*2)+(CHC_C[[#This Row],[3B]]*3)+(CHC_C[[#This Row],[HR]]*4))/CHC_C[[#This Row],[AB]],0)</f>
        <v>0.36134453781512604</v>
      </c>
      <c r="G35" s="600">
        <v>33</v>
      </c>
      <c r="H35" s="600">
        <v>119</v>
      </c>
      <c r="I35" s="600">
        <v>9</v>
      </c>
      <c r="J35" s="600">
        <v>30</v>
      </c>
      <c r="K35" s="600">
        <v>7</v>
      </c>
      <c r="L35" s="600">
        <v>0</v>
      </c>
      <c r="M35" s="600">
        <v>2</v>
      </c>
      <c r="N35" s="600">
        <v>14</v>
      </c>
      <c r="O35" s="600">
        <v>10</v>
      </c>
      <c r="P35" s="604">
        <v>33</v>
      </c>
      <c r="Q35" s="600">
        <v>0</v>
      </c>
      <c r="R35" s="600">
        <v>2</v>
      </c>
      <c r="S35" s="604">
        <v>3</v>
      </c>
      <c r="T35" s="600">
        <f>IFERROR((CHC_C[[#This Row],[H]]-CHC_C[[#This Row],[2B]]-CHC_C[[#This Row],[3B]]-CHC_C[[#This Row],[HR]])+(CHC_C[[#This Row],[2B]]*2)+(CHC_C[[#This Row],[3B]]*3)+(CHC_C[[#This Row],[HR]]*4),0)</f>
        <v>43</v>
      </c>
      <c r="U35" s="598">
        <f>CHC_C[[#This Row],[OBP]]+CHC_C[[#This Row],[SLG]]</f>
        <v>0.67142205719497094</v>
      </c>
      <c r="V35" s="604">
        <v>2</v>
      </c>
      <c r="W35" s="614">
        <v>1</v>
      </c>
      <c r="Z35" s="650" t="s">
        <v>990</v>
      </c>
      <c r="AA35" s="597" t="s">
        <v>179</v>
      </c>
      <c r="AB35" s="597" t="s">
        <v>1000</v>
      </c>
      <c r="AC35" s="598">
        <f>IFERROR(CHC_C138[[#This Row],[H]]/CHC_C138[[#This Row],[AB]],0)</f>
        <v>0.20689655172413793</v>
      </c>
      <c r="AD35" s="598">
        <f>IFERROR((CHC_C138[[#This Row],[H]]+CHC_C138[[#This Row],[BB]])/(CHC_C138[[#This Row],[BB]]+CHC_C138[[#This Row],[AB]]),0)</f>
        <v>0.25806451612903225</v>
      </c>
      <c r="AE35" s="599">
        <f>IFERROR(((CHC_C138[[#This Row],[H]]-CHC_C138[[#This Row],[2B]]-CHC_C138[[#This Row],[3B]]-CHC_C138[[#This Row],[HR]])+(CHC_C138[[#This Row],[2B]]*2)+(CHC_C138[[#This Row],[3B]]*3)+(CHC_C138[[#This Row],[HR]]*4))/CHC_C138[[#This Row],[AB]],0)</f>
        <v>0.34482758620689657</v>
      </c>
      <c r="AF35" s="600">
        <v>38</v>
      </c>
      <c r="AG35" s="600">
        <v>145</v>
      </c>
      <c r="AH35" s="600">
        <v>16</v>
      </c>
      <c r="AI35" s="600">
        <v>30</v>
      </c>
      <c r="AJ35" s="600">
        <v>5</v>
      </c>
      <c r="AK35" s="600">
        <v>0</v>
      </c>
      <c r="AL35" s="600">
        <v>5</v>
      </c>
      <c r="AM35" s="600">
        <v>12</v>
      </c>
      <c r="AN35" s="600">
        <v>10</v>
      </c>
      <c r="AO35" s="604">
        <v>54</v>
      </c>
      <c r="AP35" s="600">
        <v>0</v>
      </c>
      <c r="AQ35" s="600">
        <v>1</v>
      </c>
      <c r="AR35" s="604">
        <v>5</v>
      </c>
      <c r="AS35" s="600">
        <f>IFERROR((CHC_C138[[#This Row],[H]]-CHC_C138[[#This Row],[2B]]-CHC_C138[[#This Row],[3B]]-CHC_C138[[#This Row],[HR]])+(CHC_C138[[#This Row],[2B]]*2)+(CHC_C138[[#This Row],[3B]]*3)+(CHC_C138[[#This Row],[HR]]*4),0)</f>
        <v>50</v>
      </c>
      <c r="AT35" s="598">
        <f>CHC_C138[[#This Row],[OBP]]+CHC_C138[[#This Row],[SLG]]</f>
        <v>0.60289210233592883</v>
      </c>
      <c r="AU35" s="604">
        <v>3</v>
      </c>
      <c r="AV35" s="614">
        <v>1</v>
      </c>
      <c r="AY35" s="650" t="s">
        <v>990</v>
      </c>
      <c r="AZ35" s="597" t="s">
        <v>179</v>
      </c>
      <c r="BA35" s="597" t="s">
        <v>1000</v>
      </c>
      <c r="BB35" s="598">
        <f>IFERROR(CHC_C150[[#This Row],[H]]/CHC_C150[[#This Row],[AB]],0)</f>
        <v>0.21848739495798319</v>
      </c>
      <c r="BC35" s="598">
        <f>IFERROR((CHC_C150[[#This Row],[BB]]+CHC_C150[[#This Row],[H]])/(CHC_C150[[#This Row],[AB]]+CHC_C150[[#This Row],[BB]]),0)</f>
        <v>0.2846153846153846</v>
      </c>
      <c r="BD35" s="599">
        <f>IFERROR(((CHC_C150[[#This Row],[H]]-CHC_C150[[#This Row],[2B]]-CHC_C150[[#This Row],[3B]]-CHC_C150[[#This Row],[HR]])+(CHC_C150[[#This Row],[2B]]*2)+(CHC_C150[[#This Row],[3B]]*3)+(CHC_C150[[#This Row],[HR]]*4))/CHC_C150[[#This Row],[AB]],0)</f>
        <v>0.38655462184873951</v>
      </c>
      <c r="BE35" s="600">
        <v>34</v>
      </c>
      <c r="BF35" s="600">
        <v>119</v>
      </c>
      <c r="BG35" s="600">
        <v>18</v>
      </c>
      <c r="BH35" s="600">
        <v>26</v>
      </c>
      <c r="BI35" s="600">
        <v>8</v>
      </c>
      <c r="BJ35" s="600">
        <v>0</v>
      </c>
      <c r="BK35" s="600">
        <v>4</v>
      </c>
      <c r="BL35" s="600">
        <v>15</v>
      </c>
      <c r="BM35" s="600">
        <v>11</v>
      </c>
      <c r="BN35" s="604">
        <v>35</v>
      </c>
      <c r="BO35" s="600">
        <v>0</v>
      </c>
      <c r="BP35" s="600">
        <v>1</v>
      </c>
      <c r="BQ35" s="604">
        <v>4</v>
      </c>
      <c r="BR35" s="600">
        <f>((CHC_C150[[#This Row],[H]]-CHC_C150[[#This Row],[2B]]-CHC_C150[[#This Row],[3B]]-CHC_C150[[#This Row],[HR]])+(CHC_C150[[#This Row],[2B]]*2)+(CHC_C150[[#This Row],[3B]]*3)+(CHC_C150[[#This Row],[HR]]*4))</f>
        <v>46</v>
      </c>
      <c r="BS35" s="598">
        <f>IFERROR(CHC_C150[[#This Row],[OBP]]+CHC_C150[[#This Row],[SLG]],0)</f>
        <v>0.67117000646412417</v>
      </c>
      <c r="BT35" s="604">
        <v>4</v>
      </c>
      <c r="BU35" s="614">
        <v>1</v>
      </c>
    </row>
    <row r="36" spans="1:73">
      <c r="A36" s="651" t="s">
        <v>990</v>
      </c>
      <c r="B36" s="71" t="s">
        <v>349</v>
      </c>
      <c r="C36" s="71" t="s">
        <v>1001</v>
      </c>
      <c r="D36" s="72">
        <f>IFERROR(CHC_C[[#This Row],[H]]/CHC_C[[#This Row],[AB]],0)</f>
        <v>0.22</v>
      </c>
      <c r="E36" s="72">
        <f>IFERROR((CHC_C[[#This Row],[H]]+CHC_C[[#This Row],[BB]])/(CHC_C[[#This Row],[BB]]+CHC_C[[#This Row],[AB]]),0)</f>
        <v>0.27777777777777779</v>
      </c>
      <c r="F36" s="73">
        <f>IFERROR(((CHC_C[[#This Row],[H]]-CHC_C[[#This Row],[2B]]-CHC_C[[#This Row],[3B]]-CHC_C[[#This Row],[HR]])+(CHC_C[[#This Row],[2B]]*2)+(CHC_C[[#This Row],[3B]]*3)+(CHC_C[[#This Row],[HR]]*4))/CHC_C[[#This Row],[AB]],0)</f>
        <v>0.33</v>
      </c>
      <c r="G36" s="28">
        <v>28</v>
      </c>
      <c r="H36" s="28">
        <v>100</v>
      </c>
      <c r="I36" s="28">
        <v>9</v>
      </c>
      <c r="J36" s="28">
        <v>22</v>
      </c>
      <c r="K36" s="28">
        <v>2</v>
      </c>
      <c r="L36" s="28">
        <v>0</v>
      </c>
      <c r="M36" s="28">
        <v>3</v>
      </c>
      <c r="N36" s="28">
        <v>10</v>
      </c>
      <c r="O36" s="28">
        <v>8</v>
      </c>
      <c r="P36" s="74">
        <v>27</v>
      </c>
      <c r="Q36" s="28">
        <v>0</v>
      </c>
      <c r="R36" s="28">
        <v>4</v>
      </c>
      <c r="S36" s="74">
        <v>4</v>
      </c>
      <c r="T36" s="28">
        <f>IFERROR((CHC_C[[#This Row],[H]]-CHC_C[[#This Row],[2B]]-CHC_C[[#This Row],[3B]]-CHC_C[[#This Row],[HR]])+(CHC_C[[#This Row],[2B]]*2)+(CHC_C[[#This Row],[3B]]*3)+(CHC_C[[#This Row],[HR]]*4),0)</f>
        <v>33</v>
      </c>
      <c r="U36" s="72">
        <f>CHC_C[[#This Row],[OBP]]+CHC_C[[#This Row],[SLG]]</f>
        <v>0.60777777777777775</v>
      </c>
      <c r="V36" s="74">
        <v>0</v>
      </c>
      <c r="W36" s="615">
        <v>2</v>
      </c>
      <c r="Z36" s="651" t="s">
        <v>990</v>
      </c>
      <c r="AA36" s="71" t="s">
        <v>154</v>
      </c>
      <c r="AB36" s="71" t="s">
        <v>1002</v>
      </c>
      <c r="AC36" s="72">
        <f>IFERROR(CHC_C138[[#This Row],[H]]/CHC_C138[[#This Row],[AB]],0)</f>
        <v>0.21212121212121213</v>
      </c>
      <c r="AD36" s="72">
        <f>IFERROR((CHC_C138[[#This Row],[H]]+CHC_C138[[#This Row],[BB]])/(CHC_C138[[#This Row],[BB]]+CHC_C138[[#This Row],[AB]]),0)</f>
        <v>0.34453781512605042</v>
      </c>
      <c r="AE36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0.43434343434343436</v>
      </c>
      <c r="AF36" s="28">
        <v>29</v>
      </c>
      <c r="AG36" s="28">
        <v>99</v>
      </c>
      <c r="AH36" s="28">
        <v>18</v>
      </c>
      <c r="AI36" s="28">
        <v>21</v>
      </c>
      <c r="AJ36" s="28">
        <v>7</v>
      </c>
      <c r="AK36" s="28">
        <v>0</v>
      </c>
      <c r="AL36" s="28">
        <v>5</v>
      </c>
      <c r="AM36" s="28">
        <v>10</v>
      </c>
      <c r="AN36" s="28">
        <v>20</v>
      </c>
      <c r="AO36" s="74">
        <v>37</v>
      </c>
      <c r="AP36" s="28">
        <v>0</v>
      </c>
      <c r="AQ36" s="28">
        <v>0</v>
      </c>
      <c r="AR36" s="74">
        <v>3</v>
      </c>
      <c r="AS36" s="28">
        <f>IFERROR((CHC_C138[[#This Row],[H]]-CHC_C138[[#This Row],[2B]]-CHC_C138[[#This Row],[3B]]-CHC_C138[[#This Row],[HR]])+(CHC_C138[[#This Row],[2B]]*2)+(CHC_C138[[#This Row],[3B]]*3)+(CHC_C138[[#This Row],[HR]]*4),0)</f>
        <v>43</v>
      </c>
      <c r="AT36" s="72">
        <f>CHC_C138[[#This Row],[OBP]]+CHC_C138[[#This Row],[SLG]]</f>
        <v>0.77888124946948478</v>
      </c>
      <c r="AU36" s="74">
        <v>2</v>
      </c>
      <c r="AV36" s="615">
        <v>2</v>
      </c>
      <c r="AY36" s="651" t="s">
        <v>990</v>
      </c>
      <c r="AZ36" s="71" t="s">
        <v>154</v>
      </c>
      <c r="BA36" s="71" t="s">
        <v>997</v>
      </c>
      <c r="BB36" s="72">
        <f>IFERROR(CHC_C150[[#This Row],[H]]/CHC_C150[[#This Row],[AB]],0)</f>
        <v>0.21739130434782608</v>
      </c>
      <c r="BC36" s="72">
        <f>IFERROR((CHC_C150[[#This Row],[BB]]+CHC_C150[[#This Row],[H]])/(CHC_C150[[#This Row],[AB]]+CHC_C150[[#This Row],[BB]]),0)</f>
        <v>0.32075471698113206</v>
      </c>
      <c r="BD36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0.41304347826086957</v>
      </c>
      <c r="BE36" s="28">
        <v>38</v>
      </c>
      <c r="BF36" s="28">
        <v>138</v>
      </c>
      <c r="BG36" s="28">
        <v>18</v>
      </c>
      <c r="BH36" s="28">
        <v>30</v>
      </c>
      <c r="BI36" s="28">
        <v>6</v>
      </c>
      <c r="BJ36" s="28">
        <v>0</v>
      </c>
      <c r="BK36" s="28">
        <v>7</v>
      </c>
      <c r="BL36" s="28">
        <v>18</v>
      </c>
      <c r="BM36" s="28">
        <v>21</v>
      </c>
      <c r="BN36" s="74">
        <v>49</v>
      </c>
      <c r="BO36" s="28">
        <v>0</v>
      </c>
      <c r="BP36" s="28">
        <v>1</v>
      </c>
      <c r="BQ36" s="74">
        <v>4</v>
      </c>
      <c r="BR36" s="28">
        <f>((CHC_C150[[#This Row],[H]]-CHC_C150[[#This Row],[2B]]-CHC_C150[[#This Row],[3B]]-CHC_C150[[#This Row],[HR]])+(CHC_C150[[#This Row],[2B]]*2)+(CHC_C150[[#This Row],[3B]]*3)+(CHC_C150[[#This Row],[HR]]*4))</f>
        <v>57</v>
      </c>
      <c r="BS36" s="72">
        <f>IFERROR(CHC_C150[[#This Row],[OBP]]+CHC_C150[[#This Row],[SLG]],0)</f>
        <v>0.73379819524200163</v>
      </c>
      <c r="BT36" s="74">
        <v>1</v>
      </c>
      <c r="BU36" s="615">
        <v>2</v>
      </c>
    </row>
    <row r="37" spans="1:73">
      <c r="A37" s="651" t="s">
        <v>990</v>
      </c>
      <c r="B37" s="71" t="s">
        <v>172</v>
      </c>
      <c r="C37" s="71" t="s">
        <v>999</v>
      </c>
      <c r="D37" s="72">
        <f>IFERROR(CHC_C[[#This Row],[H]]/CHC_C[[#This Row],[AB]],0)</f>
        <v>0.17266187050359713</v>
      </c>
      <c r="E37" s="72">
        <f>IFERROR((CHC_C[[#This Row],[H]]+CHC_C[[#This Row],[BB]])/(CHC_C[[#This Row],[BB]]+CHC_C[[#This Row],[AB]]),0)</f>
        <v>0.20689655172413793</v>
      </c>
      <c r="F37" s="73">
        <f>IFERROR(((CHC_C[[#This Row],[H]]-CHC_C[[#This Row],[2B]]-CHC_C[[#This Row],[3B]]-CHC_C[[#This Row],[HR]])+(CHC_C[[#This Row],[2B]]*2)+(CHC_C[[#This Row],[3B]]*3)+(CHC_C[[#This Row],[HR]]*4))/CHC_C[[#This Row],[AB]],0)</f>
        <v>0.23741007194244604</v>
      </c>
      <c r="G37" s="28">
        <v>40</v>
      </c>
      <c r="H37" s="28">
        <v>139</v>
      </c>
      <c r="I37" s="28">
        <v>11</v>
      </c>
      <c r="J37" s="28">
        <v>24</v>
      </c>
      <c r="K37" s="28">
        <v>3</v>
      </c>
      <c r="L37" s="28">
        <v>0</v>
      </c>
      <c r="M37" s="28">
        <v>2</v>
      </c>
      <c r="N37" s="28">
        <v>9</v>
      </c>
      <c r="O37" s="28">
        <v>6</v>
      </c>
      <c r="P37" s="74">
        <v>33</v>
      </c>
      <c r="Q37" s="28">
        <v>2</v>
      </c>
      <c r="R37" s="28">
        <v>3</v>
      </c>
      <c r="S37" s="74">
        <v>7</v>
      </c>
      <c r="T37" s="28">
        <f>IFERROR((CHC_C[[#This Row],[H]]-CHC_C[[#This Row],[2B]]-CHC_C[[#This Row],[3B]]-CHC_C[[#This Row],[HR]])+(CHC_C[[#This Row],[2B]]*2)+(CHC_C[[#This Row],[3B]]*3)+(CHC_C[[#This Row],[HR]]*4),0)</f>
        <v>33</v>
      </c>
      <c r="U37" s="72">
        <f>CHC_C[[#This Row],[OBP]]+CHC_C[[#This Row],[SLG]]</f>
        <v>0.44430662366658397</v>
      </c>
      <c r="V37" s="74">
        <v>0</v>
      </c>
      <c r="W37" s="615">
        <v>3</v>
      </c>
      <c r="Z37" s="651" t="s">
        <v>990</v>
      </c>
      <c r="AA37" s="71" t="s">
        <v>172</v>
      </c>
      <c r="AB37" s="71" t="s">
        <v>999</v>
      </c>
      <c r="AC37" s="72">
        <f>IFERROR(CHC_C138[[#This Row],[H]]/CHC_C138[[#This Row],[AB]],0)</f>
        <v>0.23448275862068965</v>
      </c>
      <c r="AD37" s="72">
        <f>IFERROR((CHC_C138[[#This Row],[H]]+CHC_C138[[#This Row],[BB]])/(CHC_C138[[#This Row],[BB]]+CHC_C138[[#This Row],[AB]]),0)</f>
        <v>0.3105590062111801</v>
      </c>
      <c r="AE37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0.35172413793103446</v>
      </c>
      <c r="AF37" s="28">
        <v>40</v>
      </c>
      <c r="AG37" s="28">
        <v>145</v>
      </c>
      <c r="AH37" s="28">
        <v>15</v>
      </c>
      <c r="AI37" s="28">
        <v>34</v>
      </c>
      <c r="AJ37" s="28">
        <v>7</v>
      </c>
      <c r="AK37" s="28">
        <v>2</v>
      </c>
      <c r="AL37" s="28">
        <v>2</v>
      </c>
      <c r="AM37" s="28">
        <v>19</v>
      </c>
      <c r="AN37" s="28">
        <v>16</v>
      </c>
      <c r="AO37" s="74">
        <v>25</v>
      </c>
      <c r="AP37" s="28">
        <v>4</v>
      </c>
      <c r="AQ37" s="28">
        <v>2</v>
      </c>
      <c r="AR37" s="74">
        <v>3</v>
      </c>
      <c r="AS37" s="28">
        <f>IFERROR((CHC_C138[[#This Row],[H]]-CHC_C138[[#This Row],[2B]]-CHC_C138[[#This Row],[3B]]-CHC_C138[[#This Row],[HR]])+(CHC_C138[[#This Row],[2B]]*2)+(CHC_C138[[#This Row],[3B]]*3)+(CHC_C138[[#This Row],[HR]]*4),0)</f>
        <v>51</v>
      </c>
      <c r="AT37" s="72">
        <f>CHC_C138[[#This Row],[OBP]]+CHC_C138[[#This Row],[SLG]]</f>
        <v>0.66228314414221456</v>
      </c>
      <c r="AU37" s="74">
        <v>1</v>
      </c>
      <c r="AV37" s="615">
        <v>3</v>
      </c>
      <c r="AY37" s="651" t="s">
        <v>990</v>
      </c>
      <c r="AZ37" s="71" t="s">
        <v>172</v>
      </c>
      <c r="BA37" s="71" t="s">
        <v>469</v>
      </c>
      <c r="BB37" s="72">
        <f>IFERROR(CHC_C150[[#This Row],[H]]/CHC_C150[[#This Row],[AB]],0)</f>
        <v>0.24827586206896551</v>
      </c>
      <c r="BC37" s="72">
        <f>IFERROR((CHC_C150[[#This Row],[BB]]+CHC_C150[[#This Row],[H]])/(CHC_C150[[#This Row],[AB]]+CHC_C150[[#This Row],[BB]]),0)</f>
        <v>0.28758169934640521</v>
      </c>
      <c r="BD37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0.42758620689655175</v>
      </c>
      <c r="BE37" s="28">
        <v>37</v>
      </c>
      <c r="BF37" s="28">
        <v>145</v>
      </c>
      <c r="BG37" s="28">
        <v>17</v>
      </c>
      <c r="BH37" s="28">
        <v>36</v>
      </c>
      <c r="BI37" s="28">
        <v>6</v>
      </c>
      <c r="BJ37" s="28">
        <v>1</v>
      </c>
      <c r="BK37" s="28">
        <v>6</v>
      </c>
      <c r="BL37" s="28">
        <v>16</v>
      </c>
      <c r="BM37" s="28">
        <v>8</v>
      </c>
      <c r="BN37" s="74">
        <v>43</v>
      </c>
      <c r="BO37" s="28">
        <v>0</v>
      </c>
      <c r="BP37" s="28">
        <v>0</v>
      </c>
      <c r="BQ37" s="74">
        <v>6</v>
      </c>
      <c r="BR37" s="28">
        <f>((CHC_C150[[#This Row],[H]]-CHC_C150[[#This Row],[2B]]-CHC_C150[[#This Row],[3B]]-CHC_C150[[#This Row],[HR]])+(CHC_C150[[#This Row],[2B]]*2)+(CHC_C150[[#This Row],[3B]]*3)+(CHC_C150[[#This Row],[HR]]*4))</f>
        <v>62</v>
      </c>
      <c r="BS37" s="72">
        <f>IFERROR(CHC_C150[[#This Row],[OBP]]+CHC_C150[[#This Row],[SLG]],0)</f>
        <v>0.71516790624295701</v>
      </c>
      <c r="BT37" s="74">
        <v>0</v>
      </c>
      <c r="BU37" s="615">
        <v>3</v>
      </c>
    </row>
    <row r="38" spans="1:73">
      <c r="A38" s="651" t="s">
        <v>990</v>
      </c>
      <c r="B38" s="71" t="s">
        <v>153</v>
      </c>
      <c r="C38" s="71" t="s">
        <v>995</v>
      </c>
      <c r="D38" s="72">
        <f>IFERROR(CHC_C[[#This Row],[H]]/CHC_C[[#This Row],[AB]],0)</f>
        <v>0.24852071005917159</v>
      </c>
      <c r="E38" s="72">
        <f>IFERROR((CHC_C[[#This Row],[H]]+CHC_C[[#This Row],[BB]])/(CHC_C[[#This Row],[BB]]+CHC_C[[#This Row],[AB]]),0)</f>
        <v>0.30219780219780218</v>
      </c>
      <c r="F38" s="73">
        <f>IFERROR(((CHC_C[[#This Row],[H]]-CHC_C[[#This Row],[2B]]-CHC_C[[#This Row],[3B]]-CHC_C[[#This Row],[HR]])+(CHC_C[[#This Row],[2B]]*2)+(CHC_C[[#This Row],[3B]]*3)+(CHC_C[[#This Row],[HR]]*4))/CHC_C[[#This Row],[AB]],0)</f>
        <v>0.34911242603550297</v>
      </c>
      <c r="G38" s="28">
        <v>40</v>
      </c>
      <c r="H38" s="28">
        <v>169</v>
      </c>
      <c r="I38" s="28">
        <v>13</v>
      </c>
      <c r="J38" s="28">
        <v>42</v>
      </c>
      <c r="K38" s="28">
        <v>7</v>
      </c>
      <c r="L38" s="28">
        <v>2</v>
      </c>
      <c r="M38" s="28">
        <v>2</v>
      </c>
      <c r="N38" s="28">
        <v>10</v>
      </c>
      <c r="O38" s="28">
        <v>13</v>
      </c>
      <c r="P38" s="74">
        <v>38</v>
      </c>
      <c r="Q38" s="28">
        <v>7</v>
      </c>
      <c r="R38" s="28">
        <v>1</v>
      </c>
      <c r="S38" s="74">
        <v>4</v>
      </c>
      <c r="T38" s="28">
        <f>IFERROR((CHC_C[[#This Row],[H]]-CHC_C[[#This Row],[2B]]-CHC_C[[#This Row],[3B]]-CHC_C[[#This Row],[HR]])+(CHC_C[[#This Row],[2B]]*2)+(CHC_C[[#This Row],[3B]]*3)+(CHC_C[[#This Row],[HR]]*4),0)</f>
        <v>59</v>
      </c>
      <c r="U38" s="72">
        <f>CHC_C[[#This Row],[OBP]]+CHC_C[[#This Row],[SLG]]</f>
        <v>0.6513102282333052</v>
      </c>
      <c r="V38" s="74">
        <v>4</v>
      </c>
      <c r="W38" s="615">
        <v>4</v>
      </c>
      <c r="Z38" s="651" t="s">
        <v>990</v>
      </c>
      <c r="AA38" s="345" t="s">
        <v>153</v>
      </c>
      <c r="AB38" s="71" t="s">
        <v>995</v>
      </c>
      <c r="AC38" s="72">
        <f>IFERROR(CHC_C138[[#This Row],[H]]/CHC_C138[[#This Row],[AB]],0)</f>
        <v>0.27932960893854747</v>
      </c>
      <c r="AD38" s="72">
        <f>IFERROR((CHC_C138[[#This Row],[H]]+CHC_C138[[#This Row],[BB]])/(CHC_C138[[#This Row],[BB]]+CHC_C138[[#This Row],[AB]]),0)</f>
        <v>0.33505154639175255</v>
      </c>
      <c r="AE38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0.47486033519553073</v>
      </c>
      <c r="AF38" s="28">
        <v>40</v>
      </c>
      <c r="AG38" s="76">
        <v>179</v>
      </c>
      <c r="AH38" s="28">
        <v>24</v>
      </c>
      <c r="AI38" s="28">
        <v>50</v>
      </c>
      <c r="AJ38" s="28">
        <v>7</v>
      </c>
      <c r="AK38" s="28">
        <v>2</v>
      </c>
      <c r="AL38" s="28">
        <v>8</v>
      </c>
      <c r="AM38" s="28">
        <v>30</v>
      </c>
      <c r="AN38" s="28">
        <v>15</v>
      </c>
      <c r="AO38" s="74">
        <v>33</v>
      </c>
      <c r="AP38" s="28">
        <v>6</v>
      </c>
      <c r="AQ38" s="28">
        <v>2</v>
      </c>
      <c r="AR38" s="74">
        <v>9</v>
      </c>
      <c r="AS38" s="28">
        <f>IFERROR((CHC_C138[[#This Row],[H]]-CHC_C138[[#This Row],[2B]]-CHC_C138[[#This Row],[3B]]-CHC_C138[[#This Row],[HR]])+(CHC_C138[[#This Row],[2B]]*2)+(CHC_C138[[#This Row],[3B]]*3)+(CHC_C138[[#This Row],[HR]]*4),0)</f>
        <v>85</v>
      </c>
      <c r="AT38" s="72">
        <f>CHC_C138[[#This Row],[OBP]]+CHC_C138[[#This Row],[SLG]]</f>
        <v>0.80991188158728322</v>
      </c>
      <c r="AU38" s="104">
        <v>6</v>
      </c>
      <c r="AV38" s="615">
        <v>4</v>
      </c>
      <c r="AY38" s="651" t="s">
        <v>990</v>
      </c>
      <c r="AZ38" s="71" t="s">
        <v>153</v>
      </c>
      <c r="BA38" s="71" t="s">
        <v>995</v>
      </c>
      <c r="BB38" s="72">
        <f>IFERROR(CHC_C150[[#This Row],[H]]/CHC_C150[[#This Row],[AB]],0)</f>
        <v>0.22500000000000001</v>
      </c>
      <c r="BC38" s="72">
        <f>IFERROR((CHC_C150[[#This Row],[BB]]+CHC_C150[[#This Row],[H]])/(CHC_C150[[#This Row],[AB]]+CHC_C150[[#This Row],[BB]]),0)</f>
        <v>0.2832369942196532</v>
      </c>
      <c r="BD38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0.38124999999999998</v>
      </c>
      <c r="BE38" s="28">
        <v>38</v>
      </c>
      <c r="BF38" s="28">
        <v>160</v>
      </c>
      <c r="BG38" s="28">
        <v>20</v>
      </c>
      <c r="BH38" s="28">
        <v>36</v>
      </c>
      <c r="BI38" s="28">
        <v>6</v>
      </c>
      <c r="BJ38" s="28">
        <v>2</v>
      </c>
      <c r="BK38" s="28">
        <v>5</v>
      </c>
      <c r="BL38" s="28">
        <v>12</v>
      </c>
      <c r="BM38" s="28">
        <v>13</v>
      </c>
      <c r="BN38" s="74">
        <v>38</v>
      </c>
      <c r="BO38" s="28">
        <v>2</v>
      </c>
      <c r="BP38" s="28">
        <v>0</v>
      </c>
      <c r="BQ38" s="74">
        <v>14</v>
      </c>
      <c r="BR38" s="28">
        <f>((CHC_C150[[#This Row],[H]]-CHC_C150[[#This Row],[2B]]-CHC_C150[[#This Row],[3B]]-CHC_C150[[#This Row],[HR]])+(CHC_C150[[#This Row],[2B]]*2)+(CHC_C150[[#This Row],[3B]]*3)+(CHC_C150[[#This Row],[HR]]*4))</f>
        <v>61</v>
      </c>
      <c r="BS38" s="72">
        <f>IFERROR(CHC_C150[[#This Row],[OBP]]+CHC_C150[[#This Row],[SLG]],0)</f>
        <v>0.66448699421965318</v>
      </c>
      <c r="BT38" s="74">
        <v>1</v>
      </c>
      <c r="BU38" s="615">
        <v>4</v>
      </c>
    </row>
    <row r="39" spans="1:73">
      <c r="A39" s="651" t="s">
        <v>990</v>
      </c>
      <c r="B39" s="71" t="s">
        <v>177</v>
      </c>
      <c r="C39" s="71" t="s">
        <v>991</v>
      </c>
      <c r="D39" s="72">
        <f>IFERROR(CHC_C[[#This Row],[H]]/CHC_C[[#This Row],[AB]],0)</f>
        <v>0.27891156462585032</v>
      </c>
      <c r="E39" s="72">
        <f>IFERROR((CHC_C[[#This Row],[H]]+CHC_C[[#This Row],[BB]])/(CHC_C[[#This Row],[BB]]+CHC_C[[#This Row],[AB]]),0)</f>
        <v>0.36144578313253012</v>
      </c>
      <c r="F39" s="73">
        <f>IFERROR(((CHC_C[[#This Row],[H]]-CHC_C[[#This Row],[2B]]-CHC_C[[#This Row],[3B]]-CHC_C[[#This Row],[HR]])+(CHC_C[[#This Row],[2B]]*2)+(CHC_C[[#This Row],[3B]]*3)+(CHC_C[[#This Row],[HR]]*4))/CHC_C[[#This Row],[AB]],0)</f>
        <v>0.51700680272108845</v>
      </c>
      <c r="G39" s="28">
        <v>39</v>
      </c>
      <c r="H39" s="28">
        <v>147</v>
      </c>
      <c r="I39" s="28">
        <v>18</v>
      </c>
      <c r="J39" s="28">
        <v>41</v>
      </c>
      <c r="K39" s="28">
        <v>11</v>
      </c>
      <c r="L39" s="28">
        <v>0</v>
      </c>
      <c r="M39" s="28">
        <v>8</v>
      </c>
      <c r="N39" s="28">
        <v>26</v>
      </c>
      <c r="O39" s="28">
        <v>19</v>
      </c>
      <c r="P39" s="74">
        <v>36</v>
      </c>
      <c r="Q39" s="28">
        <v>0</v>
      </c>
      <c r="R39" s="28">
        <v>2</v>
      </c>
      <c r="S39" s="74">
        <v>4</v>
      </c>
      <c r="T39" s="28">
        <f>IFERROR((CHC_C[[#This Row],[H]]-CHC_C[[#This Row],[2B]]-CHC_C[[#This Row],[3B]]-CHC_C[[#This Row],[HR]])+(CHC_C[[#This Row],[2B]]*2)+(CHC_C[[#This Row],[3B]]*3)+(CHC_C[[#This Row],[HR]]*4),0)</f>
        <v>76</v>
      </c>
      <c r="U39" s="72">
        <f>CHC_C[[#This Row],[OBP]]+CHC_C[[#This Row],[SLG]]</f>
        <v>0.87845258585361852</v>
      </c>
      <c r="V39" s="74">
        <v>3</v>
      </c>
      <c r="W39" s="615">
        <v>5</v>
      </c>
      <c r="Z39" s="651" t="s">
        <v>990</v>
      </c>
      <c r="AA39" s="71" t="s">
        <v>177</v>
      </c>
      <c r="AB39" s="71" t="s">
        <v>991</v>
      </c>
      <c r="AC39" s="72">
        <f>IFERROR(CHC_C138[[#This Row],[H]]/CHC_C138[[#This Row],[AB]],0)</f>
        <v>0.34355828220858897</v>
      </c>
      <c r="AD39" s="72">
        <f>IFERROR((CHC_C138[[#This Row],[H]]+CHC_C138[[#This Row],[BB]])/(CHC_C138[[#This Row],[BB]]+CHC_C138[[#This Row],[AB]]),0)</f>
        <v>0.39204545454545453</v>
      </c>
      <c r="AE39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0.57055214723926384</v>
      </c>
      <c r="AF39" s="28">
        <v>40</v>
      </c>
      <c r="AG39" s="28">
        <v>163</v>
      </c>
      <c r="AH39" s="28">
        <v>23</v>
      </c>
      <c r="AI39" s="76">
        <v>56</v>
      </c>
      <c r="AJ39" s="28">
        <v>16</v>
      </c>
      <c r="AK39" s="28">
        <v>0</v>
      </c>
      <c r="AL39" s="28">
        <v>7</v>
      </c>
      <c r="AM39" s="28">
        <v>22</v>
      </c>
      <c r="AN39" s="28">
        <v>13</v>
      </c>
      <c r="AO39" s="74">
        <v>36</v>
      </c>
      <c r="AP39" s="28">
        <v>0</v>
      </c>
      <c r="AQ39" s="28">
        <v>4</v>
      </c>
      <c r="AR39" s="74">
        <v>11</v>
      </c>
      <c r="AS39" s="28">
        <f>IFERROR((CHC_C138[[#This Row],[H]]-CHC_C138[[#This Row],[2B]]-CHC_C138[[#This Row],[3B]]-CHC_C138[[#This Row],[HR]])+(CHC_C138[[#This Row],[2B]]*2)+(CHC_C138[[#This Row],[3B]]*3)+(CHC_C138[[#This Row],[HR]]*4),0)</f>
        <v>93</v>
      </c>
      <c r="AT39" s="72">
        <f>CHC_C138[[#This Row],[OBP]]+CHC_C138[[#This Row],[SLG]]</f>
        <v>0.96259760178471843</v>
      </c>
      <c r="AU39" s="74">
        <v>1</v>
      </c>
      <c r="AV39" s="615">
        <v>5</v>
      </c>
      <c r="AY39" s="651" t="s">
        <v>990</v>
      </c>
      <c r="AZ39" s="71" t="s">
        <v>177</v>
      </c>
      <c r="BA39" s="71" t="s">
        <v>991</v>
      </c>
      <c r="BB39" s="72">
        <f>IFERROR(CHC_C150[[#This Row],[H]]/CHC_C150[[#This Row],[AB]],0)</f>
        <v>0.22535211267605634</v>
      </c>
      <c r="BC39" s="72">
        <f>IFERROR((CHC_C150[[#This Row],[BB]]+CHC_C150[[#This Row],[H]])/(CHC_C150[[#This Row],[AB]]+CHC_C150[[#This Row],[BB]]),0)</f>
        <v>0.29936305732484075</v>
      </c>
      <c r="BD39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0.40845070422535212</v>
      </c>
      <c r="BE39" s="28">
        <v>37</v>
      </c>
      <c r="BF39" s="28">
        <v>142</v>
      </c>
      <c r="BG39" s="28">
        <v>19</v>
      </c>
      <c r="BH39" s="28">
        <v>32</v>
      </c>
      <c r="BI39" s="28">
        <v>5</v>
      </c>
      <c r="BJ39" s="28">
        <v>0</v>
      </c>
      <c r="BK39" s="28">
        <v>7</v>
      </c>
      <c r="BL39" s="28">
        <v>20</v>
      </c>
      <c r="BM39" s="28">
        <v>15</v>
      </c>
      <c r="BN39" s="74">
        <v>31</v>
      </c>
      <c r="BO39" s="28">
        <v>0</v>
      </c>
      <c r="BP39" s="28">
        <v>1</v>
      </c>
      <c r="BQ39" s="74">
        <v>9</v>
      </c>
      <c r="BR39" s="28">
        <f>((CHC_C150[[#This Row],[H]]-CHC_C150[[#This Row],[2B]]-CHC_C150[[#This Row],[3B]]-CHC_C150[[#This Row],[HR]])+(CHC_C150[[#This Row],[2B]]*2)+(CHC_C150[[#This Row],[3B]]*3)+(CHC_C150[[#This Row],[HR]]*4))</f>
        <v>58</v>
      </c>
      <c r="BS39" s="72">
        <f>IFERROR(CHC_C150[[#This Row],[OBP]]+CHC_C150[[#This Row],[SLG]],0)</f>
        <v>0.70781376155019293</v>
      </c>
      <c r="BT39" s="74">
        <v>3</v>
      </c>
      <c r="BU39" s="615">
        <v>5</v>
      </c>
    </row>
    <row r="40" spans="1:73">
      <c r="A40" s="651" t="s">
        <v>990</v>
      </c>
      <c r="B40" s="71" t="s">
        <v>174</v>
      </c>
      <c r="C40" s="71" t="s">
        <v>993</v>
      </c>
      <c r="D40" s="72">
        <f>IFERROR(CHC_C[[#This Row],[H]]/CHC_C[[#This Row],[AB]],0)</f>
        <v>0.23776223776223776</v>
      </c>
      <c r="E40" s="72">
        <f>IFERROR((CHC_C[[#This Row],[H]]+CHC_C[[#This Row],[BB]])/(CHC_C[[#This Row],[BB]]+CHC_C[[#This Row],[AB]]),0)</f>
        <v>0.31446540880503143</v>
      </c>
      <c r="F40" s="73">
        <f>IFERROR(((CHC_C[[#This Row],[H]]-CHC_C[[#This Row],[2B]]-CHC_C[[#This Row],[3B]]-CHC_C[[#This Row],[HR]])+(CHC_C[[#This Row],[2B]]*2)+(CHC_C[[#This Row],[3B]]*3)+(CHC_C[[#This Row],[HR]]*4))/CHC_C[[#This Row],[AB]],0)</f>
        <v>0.45454545454545453</v>
      </c>
      <c r="G40" s="28">
        <v>36</v>
      </c>
      <c r="H40" s="28">
        <v>143</v>
      </c>
      <c r="I40" s="28">
        <v>22</v>
      </c>
      <c r="J40" s="28">
        <v>34</v>
      </c>
      <c r="K40" s="28">
        <v>7</v>
      </c>
      <c r="L40" s="28">
        <v>3</v>
      </c>
      <c r="M40" s="28">
        <v>6</v>
      </c>
      <c r="N40" s="28">
        <v>14</v>
      </c>
      <c r="O40" s="28">
        <v>16</v>
      </c>
      <c r="P40" s="74">
        <v>43</v>
      </c>
      <c r="Q40" s="28">
        <v>0</v>
      </c>
      <c r="R40" s="28">
        <v>8</v>
      </c>
      <c r="S40" s="74">
        <v>8</v>
      </c>
      <c r="T40" s="28">
        <f>IFERROR((CHC_C[[#This Row],[H]]-CHC_C[[#This Row],[2B]]-CHC_C[[#This Row],[3B]]-CHC_C[[#This Row],[HR]])+(CHC_C[[#This Row],[2B]]*2)+(CHC_C[[#This Row],[3B]]*3)+(CHC_C[[#This Row],[HR]]*4),0)</f>
        <v>65</v>
      </c>
      <c r="U40" s="72">
        <f>CHC_C[[#This Row],[OBP]]+CHC_C[[#This Row],[SLG]]</f>
        <v>0.76901086335048596</v>
      </c>
      <c r="V40" s="74">
        <v>3</v>
      </c>
      <c r="W40" s="615">
        <v>6</v>
      </c>
      <c r="Z40" s="651" t="s">
        <v>990</v>
      </c>
      <c r="AA40" s="71" t="s">
        <v>174</v>
      </c>
      <c r="AB40" s="71" t="s">
        <v>996</v>
      </c>
      <c r="AC40" s="72">
        <f>IFERROR(CHC_C138[[#This Row],[H]]/CHC_C138[[#This Row],[AB]],0)</f>
        <v>0.2389937106918239</v>
      </c>
      <c r="AD40" s="72">
        <f>IFERROR((CHC_C138[[#This Row],[H]]+CHC_C138[[#This Row],[BB]])/(CHC_C138[[#This Row],[BB]]+CHC_C138[[#This Row],[AB]]),0)</f>
        <v>0.28823529411764703</v>
      </c>
      <c r="AE40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0.47169811320754718</v>
      </c>
      <c r="AF40" s="28">
        <v>38</v>
      </c>
      <c r="AG40" s="28">
        <v>159</v>
      </c>
      <c r="AH40" s="28">
        <v>15</v>
      </c>
      <c r="AI40" s="28">
        <v>38</v>
      </c>
      <c r="AJ40" s="28">
        <v>11</v>
      </c>
      <c r="AK40" s="28">
        <v>1</v>
      </c>
      <c r="AL40" s="28">
        <v>8</v>
      </c>
      <c r="AM40" s="28">
        <v>17</v>
      </c>
      <c r="AN40" s="28">
        <v>11</v>
      </c>
      <c r="AO40" s="74">
        <v>44</v>
      </c>
      <c r="AP40" s="28">
        <v>0</v>
      </c>
      <c r="AQ40" s="28">
        <v>3</v>
      </c>
      <c r="AR40" s="74">
        <v>5</v>
      </c>
      <c r="AS40" s="28">
        <f>IFERROR((CHC_C138[[#This Row],[H]]-CHC_C138[[#This Row],[2B]]-CHC_C138[[#This Row],[3B]]-CHC_C138[[#This Row],[HR]])+(CHC_C138[[#This Row],[2B]]*2)+(CHC_C138[[#This Row],[3B]]*3)+(CHC_C138[[#This Row],[HR]]*4),0)</f>
        <v>75</v>
      </c>
      <c r="AT40" s="72">
        <f>CHC_C138[[#This Row],[OBP]]+CHC_C138[[#This Row],[SLG]]</f>
        <v>0.75993340732519421</v>
      </c>
      <c r="AU40" s="74">
        <v>1</v>
      </c>
      <c r="AV40" s="615">
        <v>6</v>
      </c>
      <c r="AY40" s="651" t="s">
        <v>990</v>
      </c>
      <c r="AZ40" s="71" t="s">
        <v>174</v>
      </c>
      <c r="BA40" s="71" t="s">
        <v>993</v>
      </c>
      <c r="BB40" s="72">
        <f>IFERROR(CHC_C150[[#This Row],[H]]/CHC_C150[[#This Row],[AB]],0)</f>
        <v>0.24193548387096775</v>
      </c>
      <c r="BC40" s="72">
        <f>IFERROR((CHC_C150[[#This Row],[BB]]+CHC_C150[[#This Row],[H]])/(CHC_C150[[#This Row],[AB]]+CHC_C150[[#This Row],[BB]]),0)</f>
        <v>0.27692307692307694</v>
      </c>
      <c r="BD40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0.40322580645161288</v>
      </c>
      <c r="BE40" s="28">
        <v>31</v>
      </c>
      <c r="BF40" s="28">
        <v>124</v>
      </c>
      <c r="BG40" s="28">
        <v>13</v>
      </c>
      <c r="BH40" s="28">
        <v>30</v>
      </c>
      <c r="BI40" s="28">
        <v>5</v>
      </c>
      <c r="BJ40" s="28">
        <v>0</v>
      </c>
      <c r="BK40" s="28">
        <v>5</v>
      </c>
      <c r="BL40" s="28">
        <v>13</v>
      </c>
      <c r="BM40" s="28">
        <v>6</v>
      </c>
      <c r="BN40" s="74">
        <v>44</v>
      </c>
      <c r="BO40" s="28">
        <v>0</v>
      </c>
      <c r="BP40" s="28">
        <v>1</v>
      </c>
      <c r="BQ40" s="74">
        <v>7</v>
      </c>
      <c r="BR40" s="28">
        <f>((CHC_C150[[#This Row],[H]]-CHC_C150[[#This Row],[2B]]-CHC_C150[[#This Row],[3B]]-CHC_C150[[#This Row],[HR]])+(CHC_C150[[#This Row],[2B]]*2)+(CHC_C150[[#This Row],[3B]]*3)+(CHC_C150[[#This Row],[HR]]*4))</f>
        <v>50</v>
      </c>
      <c r="BS40" s="72">
        <f>IFERROR(CHC_C150[[#This Row],[OBP]]+CHC_C150[[#This Row],[SLG]],0)</f>
        <v>0.68014888337468982</v>
      </c>
      <c r="BT40" s="74">
        <v>1</v>
      </c>
      <c r="BU40" s="615">
        <v>6</v>
      </c>
    </row>
    <row r="41" spans="1:73">
      <c r="A41" s="651" t="s">
        <v>990</v>
      </c>
      <c r="B41" s="71" t="s">
        <v>181</v>
      </c>
      <c r="C41" s="71" t="s">
        <v>998</v>
      </c>
      <c r="D41" s="72">
        <f>IFERROR(CHC_C[[#This Row],[H]]/CHC_C[[#This Row],[AB]],0)</f>
        <v>0.22302158273381295</v>
      </c>
      <c r="E41" s="72">
        <f>IFERROR((CHC_C[[#This Row],[H]]+CHC_C[[#This Row],[BB]])/(CHC_C[[#This Row],[BB]]+CHC_C[[#This Row],[AB]]),0)</f>
        <v>0.32075471698113206</v>
      </c>
      <c r="F41" s="73">
        <f>IFERROR(((CHC_C[[#This Row],[H]]-CHC_C[[#This Row],[2B]]-CHC_C[[#This Row],[3B]]-CHC_C[[#This Row],[HR]])+(CHC_C[[#This Row],[2B]]*2)+(CHC_C[[#This Row],[3B]]*3)+(CHC_C[[#This Row],[HR]]*4))/CHC_C[[#This Row],[AB]],0)</f>
        <v>0.33093525179856115</v>
      </c>
      <c r="G41" s="28">
        <v>36</v>
      </c>
      <c r="H41" s="28">
        <v>139</v>
      </c>
      <c r="I41" s="28">
        <v>16</v>
      </c>
      <c r="J41" s="28">
        <v>31</v>
      </c>
      <c r="K41" s="28">
        <v>2</v>
      </c>
      <c r="L41" s="28">
        <v>2</v>
      </c>
      <c r="M41" s="28">
        <v>3</v>
      </c>
      <c r="N41" s="28">
        <v>12</v>
      </c>
      <c r="O41" s="28">
        <v>20</v>
      </c>
      <c r="P41" s="74">
        <v>34</v>
      </c>
      <c r="Q41" s="28">
        <v>0</v>
      </c>
      <c r="R41" s="28">
        <v>0</v>
      </c>
      <c r="S41" s="74">
        <v>9</v>
      </c>
      <c r="T41" s="28">
        <f>IFERROR((CHC_C[[#This Row],[H]]-CHC_C[[#This Row],[2B]]-CHC_C[[#This Row],[3B]]-CHC_C[[#This Row],[HR]])+(CHC_C[[#This Row],[2B]]*2)+(CHC_C[[#This Row],[3B]]*3)+(CHC_C[[#This Row],[HR]]*4),0)</f>
        <v>46</v>
      </c>
      <c r="U41" s="72">
        <f>CHC_C[[#This Row],[OBP]]+CHC_C[[#This Row],[SLG]]</f>
        <v>0.65168996877969321</v>
      </c>
      <c r="V41" s="74">
        <v>1</v>
      </c>
      <c r="W41" s="615">
        <v>7</v>
      </c>
      <c r="Z41" s="651" t="s">
        <v>990</v>
      </c>
      <c r="AA41" s="71" t="s">
        <v>181</v>
      </c>
      <c r="AB41" s="71" t="s">
        <v>993</v>
      </c>
      <c r="AC41" s="72">
        <f>IFERROR(CHC_C138[[#This Row],[H]]/CHC_C138[[#This Row],[AB]],0)</f>
        <v>0.24836601307189543</v>
      </c>
      <c r="AD41" s="72">
        <f>IFERROR((CHC_C138[[#This Row],[H]]+CHC_C138[[#This Row],[BB]])/(CHC_C138[[#This Row],[BB]]+CHC_C138[[#This Row],[AB]]),0)</f>
        <v>0.33139534883720928</v>
      </c>
      <c r="AE41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0.47058823529411764</v>
      </c>
      <c r="AF41" s="28">
        <v>38</v>
      </c>
      <c r="AG41" s="28">
        <v>153</v>
      </c>
      <c r="AH41" s="28">
        <v>19</v>
      </c>
      <c r="AI41" s="28">
        <v>38</v>
      </c>
      <c r="AJ41" s="28">
        <v>4</v>
      </c>
      <c r="AK41" s="28">
        <v>0</v>
      </c>
      <c r="AL41" s="28">
        <v>10</v>
      </c>
      <c r="AM41" s="28">
        <v>18</v>
      </c>
      <c r="AN41" s="28">
        <v>19</v>
      </c>
      <c r="AO41" s="74">
        <v>45</v>
      </c>
      <c r="AP41" s="28">
        <v>0</v>
      </c>
      <c r="AQ41" s="28">
        <v>2</v>
      </c>
      <c r="AR41" s="74">
        <v>12</v>
      </c>
      <c r="AS41" s="28">
        <f>IFERROR((CHC_C138[[#This Row],[H]]-CHC_C138[[#This Row],[2B]]-CHC_C138[[#This Row],[3B]]-CHC_C138[[#This Row],[HR]])+(CHC_C138[[#This Row],[2B]]*2)+(CHC_C138[[#This Row],[3B]]*3)+(CHC_C138[[#This Row],[HR]]*4),0)</f>
        <v>72</v>
      </c>
      <c r="AT41" s="72">
        <f>CHC_C138[[#This Row],[OBP]]+CHC_C138[[#This Row],[SLG]]</f>
        <v>0.80198358413132698</v>
      </c>
      <c r="AU41" s="74">
        <v>3</v>
      </c>
      <c r="AV41" s="615">
        <v>7</v>
      </c>
      <c r="AY41" s="651" t="s">
        <v>990</v>
      </c>
      <c r="AZ41" s="71" t="s">
        <v>181</v>
      </c>
      <c r="BA41" s="71" t="s">
        <v>994</v>
      </c>
      <c r="BB41" s="72">
        <f>IFERROR(CHC_C150[[#This Row],[H]]/CHC_C150[[#This Row],[AB]],0)</f>
        <v>0.1984126984126984</v>
      </c>
      <c r="BC41" s="72">
        <f>IFERROR((CHC_C150[[#This Row],[BB]]+CHC_C150[[#This Row],[H]])/(CHC_C150[[#This Row],[AB]]+CHC_C150[[#This Row],[BB]]),0)</f>
        <v>0.28368794326241137</v>
      </c>
      <c r="BD41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0.37301587301587302</v>
      </c>
      <c r="BE41" s="28">
        <v>37</v>
      </c>
      <c r="BF41" s="28">
        <v>126</v>
      </c>
      <c r="BG41" s="28">
        <v>16</v>
      </c>
      <c r="BH41" s="28">
        <v>25</v>
      </c>
      <c r="BI41" s="28">
        <v>3</v>
      </c>
      <c r="BJ41" s="28">
        <v>2</v>
      </c>
      <c r="BK41" s="28">
        <v>5</v>
      </c>
      <c r="BL41" s="28">
        <v>16</v>
      </c>
      <c r="BM41" s="28">
        <v>15</v>
      </c>
      <c r="BN41" s="74">
        <v>25</v>
      </c>
      <c r="BO41" s="28">
        <v>0</v>
      </c>
      <c r="BP41" s="28">
        <v>0</v>
      </c>
      <c r="BQ41" s="74">
        <v>5</v>
      </c>
      <c r="BR41" s="28">
        <f>((CHC_C150[[#This Row],[H]]-CHC_C150[[#This Row],[2B]]-CHC_C150[[#This Row],[3B]]-CHC_C150[[#This Row],[HR]])+(CHC_C150[[#This Row],[2B]]*2)+(CHC_C150[[#This Row],[3B]]*3)+(CHC_C150[[#This Row],[HR]]*4))</f>
        <v>47</v>
      </c>
      <c r="BS41" s="72">
        <f>IFERROR(CHC_C150[[#This Row],[OBP]]+CHC_C150[[#This Row],[SLG]],0)</f>
        <v>0.65670381627828434</v>
      </c>
      <c r="BT41" s="74">
        <v>0</v>
      </c>
      <c r="BU41" s="615">
        <v>7</v>
      </c>
    </row>
    <row r="42" spans="1:73">
      <c r="A42" s="651" t="s">
        <v>990</v>
      </c>
      <c r="B42" s="71" t="s">
        <v>166</v>
      </c>
      <c r="C42" s="71" t="s">
        <v>994</v>
      </c>
      <c r="D42" s="72">
        <f>IFERROR(CHC_C[[#This Row],[H]]/CHC_C[[#This Row],[AB]],0)</f>
        <v>0.27067669172932329</v>
      </c>
      <c r="E42" s="72">
        <f>IFERROR((CHC_C[[#This Row],[H]]+CHC_C[[#This Row],[BB]])/(CHC_C[[#This Row],[BB]]+CHC_C[[#This Row],[AB]]),0)</f>
        <v>0.34899328859060402</v>
      </c>
      <c r="F42" s="73">
        <f>IFERROR(((CHC_C[[#This Row],[H]]-CHC_C[[#This Row],[2B]]-CHC_C[[#This Row],[3B]]-CHC_C[[#This Row],[HR]])+(CHC_C[[#This Row],[2B]]*2)+(CHC_C[[#This Row],[3B]]*3)+(CHC_C[[#This Row],[HR]]*4))/CHC_C[[#This Row],[AB]],0)</f>
        <v>0.48872180451127817</v>
      </c>
      <c r="G42" s="28">
        <v>38</v>
      </c>
      <c r="H42" s="28">
        <v>133</v>
      </c>
      <c r="I42" s="28">
        <v>12</v>
      </c>
      <c r="J42" s="28">
        <v>36</v>
      </c>
      <c r="K42" s="28">
        <v>8</v>
      </c>
      <c r="L42" s="28">
        <v>3</v>
      </c>
      <c r="M42" s="28">
        <v>5</v>
      </c>
      <c r="N42" s="28">
        <v>15</v>
      </c>
      <c r="O42" s="28">
        <v>16</v>
      </c>
      <c r="P42" s="74">
        <v>40</v>
      </c>
      <c r="Q42" s="28">
        <v>0</v>
      </c>
      <c r="R42" s="28">
        <v>1</v>
      </c>
      <c r="S42" s="74">
        <v>5</v>
      </c>
      <c r="T42" s="28">
        <f>IFERROR((CHC_C[[#This Row],[H]]-CHC_C[[#This Row],[2B]]-CHC_C[[#This Row],[3B]]-CHC_C[[#This Row],[HR]])+(CHC_C[[#This Row],[2B]]*2)+(CHC_C[[#This Row],[3B]]*3)+(CHC_C[[#This Row],[HR]]*4),0)</f>
        <v>65</v>
      </c>
      <c r="U42" s="72">
        <f>CHC_C[[#This Row],[OBP]]+CHC_C[[#This Row],[SLG]]</f>
        <v>0.83771509310188219</v>
      </c>
      <c r="V42" s="74">
        <v>2</v>
      </c>
      <c r="W42" s="615">
        <v>8</v>
      </c>
      <c r="Z42" s="651" t="s">
        <v>990</v>
      </c>
      <c r="AA42" s="71" t="s">
        <v>166</v>
      </c>
      <c r="AB42" s="71" t="s">
        <v>994</v>
      </c>
      <c r="AC42" s="72">
        <f>IFERROR(CHC_C138[[#This Row],[H]]/CHC_C138[[#This Row],[AB]],0)</f>
        <v>0.27941176470588236</v>
      </c>
      <c r="AD42" s="72">
        <f>IFERROR((CHC_C138[[#This Row],[H]]+CHC_C138[[#This Row],[BB]])/(CHC_C138[[#This Row],[BB]]+CHC_C138[[#This Row],[AB]]),0)</f>
        <v>0.36363636363636365</v>
      </c>
      <c r="AE42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0.375</v>
      </c>
      <c r="AF42" s="28">
        <v>38</v>
      </c>
      <c r="AG42" s="28">
        <v>136</v>
      </c>
      <c r="AH42" s="28">
        <v>14</v>
      </c>
      <c r="AI42" s="28">
        <v>38</v>
      </c>
      <c r="AJ42" s="28">
        <v>0</v>
      </c>
      <c r="AK42" s="28">
        <v>2</v>
      </c>
      <c r="AL42" s="28">
        <v>3</v>
      </c>
      <c r="AM42" s="28">
        <v>14</v>
      </c>
      <c r="AN42" s="28">
        <v>18</v>
      </c>
      <c r="AO42" s="74">
        <v>26</v>
      </c>
      <c r="AP42" s="28">
        <v>0</v>
      </c>
      <c r="AQ42" s="28">
        <v>1</v>
      </c>
      <c r="AR42" s="74">
        <v>7</v>
      </c>
      <c r="AS42" s="28">
        <f>IFERROR((CHC_C138[[#This Row],[H]]-CHC_C138[[#This Row],[2B]]-CHC_C138[[#This Row],[3B]]-CHC_C138[[#This Row],[HR]])+(CHC_C138[[#This Row],[2B]]*2)+(CHC_C138[[#This Row],[3B]]*3)+(CHC_C138[[#This Row],[HR]]*4),0)</f>
        <v>51</v>
      </c>
      <c r="AT42" s="72">
        <f>CHC_C138[[#This Row],[OBP]]+CHC_C138[[#This Row],[SLG]]</f>
        <v>0.73863636363636365</v>
      </c>
      <c r="AU42" s="74">
        <v>3</v>
      </c>
      <c r="AV42" s="615">
        <v>8</v>
      </c>
      <c r="AY42" s="651" t="s">
        <v>990</v>
      </c>
      <c r="AZ42" s="71" t="s">
        <v>166</v>
      </c>
      <c r="BA42" s="71" t="s">
        <v>992</v>
      </c>
      <c r="BB42" s="72">
        <f>IFERROR(CHC_C150[[#This Row],[H]]/CHC_C150[[#This Row],[AB]],0)</f>
        <v>0.27272727272727271</v>
      </c>
      <c r="BC42" s="72">
        <f>IFERROR((CHC_C150[[#This Row],[BB]]+CHC_C150[[#This Row],[H]])/(CHC_C150[[#This Row],[AB]]+CHC_C150[[#This Row],[BB]]),0)</f>
        <v>0.34883720930232559</v>
      </c>
      <c r="BD42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0.51298701298701299</v>
      </c>
      <c r="BE42" s="28">
        <v>40</v>
      </c>
      <c r="BF42" s="28">
        <v>154</v>
      </c>
      <c r="BG42" s="28">
        <v>22</v>
      </c>
      <c r="BH42" s="28">
        <v>42</v>
      </c>
      <c r="BI42" s="28">
        <v>4</v>
      </c>
      <c r="BJ42" s="28">
        <v>3</v>
      </c>
      <c r="BK42" s="28">
        <v>9</v>
      </c>
      <c r="BL42" s="28">
        <v>23</v>
      </c>
      <c r="BM42" s="28">
        <v>18</v>
      </c>
      <c r="BN42" s="74">
        <v>39</v>
      </c>
      <c r="BO42" s="28">
        <v>0</v>
      </c>
      <c r="BP42" s="28">
        <v>0</v>
      </c>
      <c r="BQ42" s="74">
        <v>3</v>
      </c>
      <c r="BR42" s="28">
        <f>((CHC_C150[[#This Row],[H]]-CHC_C150[[#This Row],[2B]]-CHC_C150[[#This Row],[3B]]-CHC_C150[[#This Row],[HR]])+(CHC_C150[[#This Row],[2B]]*2)+(CHC_C150[[#This Row],[3B]]*3)+(CHC_C150[[#This Row],[HR]]*4))</f>
        <v>79</v>
      </c>
      <c r="BS42" s="72">
        <f>IFERROR(CHC_C150[[#This Row],[OBP]]+CHC_C150[[#This Row],[SLG]],0)</f>
        <v>0.86182422228933864</v>
      </c>
      <c r="BT42" s="74">
        <v>1</v>
      </c>
      <c r="BU42" s="615">
        <v>8</v>
      </c>
    </row>
    <row r="43" spans="1:73">
      <c r="A43" s="651" t="s">
        <v>990</v>
      </c>
      <c r="B43" s="71" t="s">
        <v>168</v>
      </c>
      <c r="C43" s="71" t="s">
        <v>996</v>
      </c>
      <c r="D43" s="72">
        <f>IFERROR(CHC_C[[#This Row],[H]]/CHC_C[[#This Row],[AB]],0)</f>
        <v>0.2318840579710145</v>
      </c>
      <c r="E43" s="72">
        <f>IFERROR((CHC_C[[#This Row],[H]]+CHC_C[[#This Row],[BB]])/(CHC_C[[#This Row],[BB]]+CHC_C[[#This Row],[AB]]),0)</f>
        <v>0.29333333333333333</v>
      </c>
      <c r="F43" s="73">
        <f>IFERROR(((CHC_C[[#This Row],[H]]-CHC_C[[#This Row],[2B]]-CHC_C[[#This Row],[3B]]-CHC_C[[#This Row],[HR]])+(CHC_C[[#This Row],[2B]]*2)+(CHC_C[[#This Row],[3B]]*3)+(CHC_C[[#This Row],[HR]]*4))/CHC_C[[#This Row],[AB]],0)</f>
        <v>0.34782608695652173</v>
      </c>
      <c r="G43" s="28">
        <v>36</v>
      </c>
      <c r="H43" s="28">
        <v>138</v>
      </c>
      <c r="I43" s="28">
        <v>12</v>
      </c>
      <c r="J43" s="28">
        <v>32</v>
      </c>
      <c r="K43" s="28">
        <v>3</v>
      </c>
      <c r="L43" s="28">
        <v>2</v>
      </c>
      <c r="M43" s="28">
        <v>3</v>
      </c>
      <c r="N43" s="28">
        <v>12</v>
      </c>
      <c r="O43" s="28">
        <v>12</v>
      </c>
      <c r="P43" s="74">
        <v>50</v>
      </c>
      <c r="Q43" s="28">
        <v>0</v>
      </c>
      <c r="R43" s="28">
        <v>0</v>
      </c>
      <c r="S43" s="74">
        <v>7</v>
      </c>
      <c r="T43" s="28">
        <f>IFERROR((CHC_C[[#This Row],[H]]-CHC_C[[#This Row],[2B]]-CHC_C[[#This Row],[3B]]-CHC_C[[#This Row],[HR]])+(CHC_C[[#This Row],[2B]]*2)+(CHC_C[[#This Row],[3B]]*3)+(CHC_C[[#This Row],[HR]]*4),0)</f>
        <v>48</v>
      </c>
      <c r="U43" s="72">
        <f>CHC_C[[#This Row],[OBP]]+CHC_C[[#This Row],[SLG]]</f>
        <v>0.64115942028985506</v>
      </c>
      <c r="V43" s="74">
        <v>1</v>
      </c>
      <c r="W43" s="615">
        <v>9</v>
      </c>
      <c r="Z43" s="651" t="s">
        <v>990</v>
      </c>
      <c r="AA43" s="345" t="s">
        <v>168</v>
      </c>
      <c r="AB43" s="71" t="s">
        <v>992</v>
      </c>
      <c r="AC43" s="72">
        <f>IFERROR(CHC_C138[[#This Row],[H]]/CHC_C138[[#This Row],[AB]],0)</f>
        <v>0.26347305389221559</v>
      </c>
      <c r="AD43" s="72">
        <f>IFERROR((CHC_C138[[#This Row],[H]]+CHC_C138[[#This Row],[BB]])/(CHC_C138[[#This Row],[BB]]+CHC_C138[[#This Row],[AB]]),0)</f>
        <v>0.31666666666666665</v>
      </c>
      <c r="AE43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0.61676646706586824</v>
      </c>
      <c r="AF43" s="28">
        <v>40</v>
      </c>
      <c r="AG43" s="28">
        <v>167</v>
      </c>
      <c r="AH43" s="28">
        <v>23</v>
      </c>
      <c r="AI43" s="28">
        <v>44</v>
      </c>
      <c r="AJ43" s="28">
        <v>5</v>
      </c>
      <c r="AK43" s="28">
        <v>0</v>
      </c>
      <c r="AL43" s="76">
        <v>18</v>
      </c>
      <c r="AM43" s="28">
        <v>27</v>
      </c>
      <c r="AN43" s="28">
        <v>13</v>
      </c>
      <c r="AO43" s="74">
        <v>52</v>
      </c>
      <c r="AP43" s="28">
        <v>0</v>
      </c>
      <c r="AQ43" s="28">
        <v>0</v>
      </c>
      <c r="AR43" s="74">
        <v>7</v>
      </c>
      <c r="AS43" s="76">
        <f>IFERROR((CHC_C138[[#This Row],[H]]-CHC_C138[[#This Row],[2B]]-CHC_C138[[#This Row],[3B]]-CHC_C138[[#This Row],[HR]])+(CHC_C138[[#This Row],[2B]]*2)+(CHC_C138[[#This Row],[3B]]*3)+(CHC_C138[[#This Row],[HR]]*4),0)</f>
        <v>103</v>
      </c>
      <c r="AT43" s="72">
        <f>CHC_C138[[#This Row],[OBP]]+CHC_C138[[#This Row],[SLG]]</f>
        <v>0.93343313373253489</v>
      </c>
      <c r="AU43" s="74">
        <v>5</v>
      </c>
      <c r="AV43" s="615">
        <v>9</v>
      </c>
      <c r="AY43" s="651" t="s">
        <v>990</v>
      </c>
      <c r="AZ43" s="71" t="s">
        <v>168</v>
      </c>
      <c r="BA43" s="71" t="s">
        <v>774</v>
      </c>
      <c r="BB43" s="72">
        <f>IFERROR(CHC_C150[[#This Row],[H]]/CHC_C150[[#This Row],[AB]],0)</f>
        <v>0.25203252032520324</v>
      </c>
      <c r="BC43" s="72">
        <f>IFERROR((CHC_C150[[#This Row],[BB]]+CHC_C150[[#This Row],[H]])/(CHC_C150[[#This Row],[AB]]+CHC_C150[[#This Row],[BB]]),0)</f>
        <v>0.3235294117647059</v>
      </c>
      <c r="BD43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0.45528455284552843</v>
      </c>
      <c r="BE43" s="28">
        <v>33</v>
      </c>
      <c r="BF43" s="28">
        <v>123</v>
      </c>
      <c r="BG43" s="28">
        <v>15</v>
      </c>
      <c r="BH43" s="28">
        <v>31</v>
      </c>
      <c r="BI43" s="28">
        <v>4</v>
      </c>
      <c r="BJ43" s="28">
        <v>0</v>
      </c>
      <c r="BK43" s="28">
        <v>7</v>
      </c>
      <c r="BL43" s="28">
        <v>24</v>
      </c>
      <c r="BM43" s="28">
        <v>13</v>
      </c>
      <c r="BN43" s="74">
        <v>32</v>
      </c>
      <c r="BO43" s="28">
        <v>0</v>
      </c>
      <c r="BP43" s="28">
        <v>0</v>
      </c>
      <c r="BQ43" s="74">
        <v>6</v>
      </c>
      <c r="BR43" s="28">
        <f>((CHC_C150[[#This Row],[H]]-CHC_C150[[#This Row],[2B]]-CHC_C150[[#This Row],[3B]]-CHC_C150[[#This Row],[HR]])+(CHC_C150[[#This Row],[2B]]*2)+(CHC_C150[[#This Row],[3B]]*3)+(CHC_C150[[#This Row],[HR]]*4))</f>
        <v>56</v>
      </c>
      <c r="BS43" s="72">
        <f>IFERROR(CHC_C150[[#This Row],[OBP]]+CHC_C150[[#This Row],[SLG]],0)</f>
        <v>0.77881396461023433</v>
      </c>
      <c r="BT43" s="74">
        <v>4</v>
      </c>
      <c r="BU43" s="615">
        <v>9</v>
      </c>
    </row>
    <row r="44" spans="1:73">
      <c r="A44" s="651" t="s">
        <v>990</v>
      </c>
      <c r="B44" s="71" t="s">
        <v>179</v>
      </c>
      <c r="C44" s="71" t="s">
        <v>1004</v>
      </c>
      <c r="D44" s="72">
        <f>IFERROR(CHC_C[[#This Row],[H]]/CHC_C[[#This Row],[AB]],0)</f>
        <v>0.25806451612903225</v>
      </c>
      <c r="E44" s="72">
        <f>IFERROR((CHC_C[[#This Row],[H]]+CHC_C[[#This Row],[BB]])/(CHC_C[[#This Row],[BB]]+CHC_C[[#This Row],[AB]]),0)</f>
        <v>0.28125</v>
      </c>
      <c r="F44" s="73">
        <f>IFERROR(((CHC_C[[#This Row],[H]]-CHC_C[[#This Row],[2B]]-CHC_C[[#This Row],[3B]]-CHC_C[[#This Row],[HR]])+(CHC_C[[#This Row],[2B]]*2)+(CHC_C[[#This Row],[3B]]*3)+(CHC_C[[#This Row],[HR]]*4))/CHC_C[[#This Row],[AB]],0)</f>
        <v>0.41935483870967744</v>
      </c>
      <c r="G44" s="28">
        <v>8</v>
      </c>
      <c r="H44" s="28">
        <v>31</v>
      </c>
      <c r="I44" s="28">
        <v>3</v>
      </c>
      <c r="J44" s="28">
        <v>8</v>
      </c>
      <c r="K44" s="28">
        <v>2</v>
      </c>
      <c r="L44" s="28">
        <v>0</v>
      </c>
      <c r="M44" s="28">
        <v>1</v>
      </c>
      <c r="N44" s="28">
        <v>4</v>
      </c>
      <c r="O44" s="28">
        <v>1</v>
      </c>
      <c r="P44" s="74">
        <v>8</v>
      </c>
      <c r="Q44" s="28">
        <v>0</v>
      </c>
      <c r="R44" s="28">
        <v>0</v>
      </c>
      <c r="S44" s="74">
        <v>3</v>
      </c>
      <c r="T44" s="28">
        <f>IFERROR((CHC_C[[#This Row],[H]]-CHC_C[[#This Row],[2B]]-CHC_C[[#This Row],[3B]]-CHC_C[[#This Row],[HR]])+(CHC_C[[#This Row],[2B]]*2)+(CHC_C[[#This Row],[3B]]*3)+(CHC_C[[#This Row],[HR]]*4),0)</f>
        <v>13</v>
      </c>
      <c r="U44" s="72">
        <f>CHC_C[[#This Row],[OBP]]+CHC_C[[#This Row],[SLG]]</f>
        <v>0.70060483870967749</v>
      </c>
      <c r="V44" s="74">
        <v>1</v>
      </c>
      <c r="W44" s="615">
        <v>10</v>
      </c>
      <c r="Z44" s="651" t="s">
        <v>990</v>
      </c>
      <c r="AA44" s="71" t="s">
        <v>179</v>
      </c>
      <c r="AB44" s="71" t="s">
        <v>1004</v>
      </c>
      <c r="AC44" s="72">
        <f>IFERROR(CHC_C138[[#This Row],[H]]/CHC_C138[[#This Row],[AB]],0)</f>
        <v>0.25</v>
      </c>
      <c r="AD44" s="72">
        <f>IFERROR((CHC_C138[[#This Row],[H]]+CHC_C138[[#This Row],[BB]])/(CHC_C138[[#This Row],[BB]]+CHC_C138[[#This Row],[AB]]),0)</f>
        <v>0.25</v>
      </c>
      <c r="AE44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0.25</v>
      </c>
      <c r="AF44" s="28">
        <v>2</v>
      </c>
      <c r="AG44" s="28">
        <v>8</v>
      </c>
      <c r="AH44" s="28">
        <v>0</v>
      </c>
      <c r="AI44" s="28">
        <v>2</v>
      </c>
      <c r="AJ44" s="28">
        <v>0</v>
      </c>
      <c r="AK44" s="28">
        <v>0</v>
      </c>
      <c r="AL44" s="28">
        <v>0</v>
      </c>
      <c r="AM44" s="28">
        <v>1</v>
      </c>
      <c r="AN44" s="28">
        <v>0</v>
      </c>
      <c r="AO44" s="74">
        <v>1</v>
      </c>
      <c r="AP44" s="28">
        <v>0</v>
      </c>
      <c r="AQ44" s="28">
        <v>2</v>
      </c>
      <c r="AR44" s="74">
        <v>2</v>
      </c>
      <c r="AS44" s="28">
        <f>IFERROR((CHC_C138[[#This Row],[H]]-CHC_C138[[#This Row],[2B]]-CHC_C138[[#This Row],[3B]]-CHC_C138[[#This Row],[HR]])+(CHC_C138[[#This Row],[2B]]*2)+(CHC_C138[[#This Row],[3B]]*3)+(CHC_C138[[#This Row],[HR]]*4),0)</f>
        <v>2</v>
      </c>
      <c r="AT44" s="72">
        <f>CHC_C138[[#This Row],[OBP]]+CHC_C138[[#This Row],[SLG]]</f>
        <v>0.5</v>
      </c>
      <c r="AU44" s="74">
        <v>0</v>
      </c>
      <c r="AV44" s="615">
        <v>10</v>
      </c>
      <c r="AY44" s="651" t="s">
        <v>990</v>
      </c>
      <c r="AZ44" s="71" t="s">
        <v>179</v>
      </c>
      <c r="BA44" s="71" t="s">
        <v>1004</v>
      </c>
      <c r="BB44" s="72">
        <f>IFERROR(CHC_C150[[#This Row],[H]]/CHC_C150[[#This Row],[AB]],0)</f>
        <v>0.40740740740740738</v>
      </c>
      <c r="BC44" s="72">
        <f>IFERROR((CHC_C150[[#This Row],[BB]]+CHC_C150[[#This Row],[H]])/(CHC_C150[[#This Row],[AB]]+CHC_C150[[#This Row],[BB]]),0)</f>
        <v>0.42857142857142855</v>
      </c>
      <c r="BD44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0.51851851851851849</v>
      </c>
      <c r="BE44" s="28">
        <v>8</v>
      </c>
      <c r="BF44" s="28">
        <v>27</v>
      </c>
      <c r="BG44" s="28">
        <v>1</v>
      </c>
      <c r="BH44" s="28">
        <v>11</v>
      </c>
      <c r="BI44" s="28">
        <v>3</v>
      </c>
      <c r="BJ44" s="28">
        <v>0</v>
      </c>
      <c r="BK44" s="28">
        <v>0</v>
      </c>
      <c r="BL44" s="28">
        <v>2</v>
      </c>
      <c r="BM44" s="28">
        <v>1</v>
      </c>
      <c r="BN44" s="74">
        <v>7</v>
      </c>
      <c r="BO44" s="28">
        <v>0</v>
      </c>
      <c r="BP44" s="28">
        <v>2</v>
      </c>
      <c r="BQ44" s="74">
        <v>2</v>
      </c>
      <c r="BR44" s="28">
        <f>((CHC_C150[[#This Row],[H]]-CHC_C150[[#This Row],[2B]]-CHC_C150[[#This Row],[3B]]-CHC_C150[[#This Row],[HR]])+(CHC_C150[[#This Row],[2B]]*2)+(CHC_C150[[#This Row],[3B]]*3)+(CHC_C150[[#This Row],[HR]]*4))</f>
        <v>14</v>
      </c>
      <c r="BS44" s="72">
        <f>IFERROR(CHC_C150[[#This Row],[OBP]]+CHC_C150[[#This Row],[SLG]],0)</f>
        <v>0.94708994708994698</v>
      </c>
      <c r="BT44" s="74">
        <v>1</v>
      </c>
      <c r="BU44" s="615">
        <v>10</v>
      </c>
    </row>
    <row r="45" spans="1:73">
      <c r="A45" s="651" t="s">
        <v>990</v>
      </c>
      <c r="B45" s="71" t="s">
        <v>187</v>
      </c>
      <c r="C45" s="71" t="s">
        <v>1002</v>
      </c>
      <c r="D45" s="72">
        <f>IFERROR(CHC_C[[#This Row],[H]]/CHC_C[[#This Row],[AB]],0)</f>
        <v>0.18604651162790697</v>
      </c>
      <c r="E45" s="72">
        <f>IFERROR((CHC_C[[#This Row],[H]]+CHC_C[[#This Row],[BB]])/(CHC_C[[#This Row],[BB]]+CHC_C[[#This Row],[AB]]),0)</f>
        <v>0.20454545454545456</v>
      </c>
      <c r="F45" s="73">
        <f>IFERROR(((CHC_C[[#This Row],[H]]-CHC_C[[#This Row],[2B]]-CHC_C[[#This Row],[3B]]-CHC_C[[#This Row],[HR]])+(CHC_C[[#This Row],[2B]]*2)+(CHC_C[[#This Row],[3B]]*3)+(CHC_C[[#This Row],[HR]]*4))/CHC_C[[#This Row],[AB]],0)</f>
        <v>0.32558139534883723</v>
      </c>
      <c r="G45" s="28">
        <v>12</v>
      </c>
      <c r="H45" s="28">
        <v>43</v>
      </c>
      <c r="I45" s="28">
        <v>5</v>
      </c>
      <c r="J45" s="28">
        <v>8</v>
      </c>
      <c r="K45" s="28">
        <v>0</v>
      </c>
      <c r="L45" s="28">
        <v>0</v>
      </c>
      <c r="M45" s="28">
        <v>2</v>
      </c>
      <c r="N45" s="28">
        <v>2</v>
      </c>
      <c r="O45" s="28">
        <v>1</v>
      </c>
      <c r="P45" s="74">
        <v>13</v>
      </c>
      <c r="Q45" s="28">
        <v>0</v>
      </c>
      <c r="R45" s="28">
        <v>0</v>
      </c>
      <c r="S45" s="74">
        <v>3</v>
      </c>
      <c r="T45" s="28">
        <f>IFERROR((CHC_C[[#This Row],[H]]-CHC_C[[#This Row],[2B]]-CHC_C[[#This Row],[3B]]-CHC_C[[#This Row],[HR]])+(CHC_C[[#This Row],[2B]]*2)+(CHC_C[[#This Row],[3B]]*3)+(CHC_C[[#This Row],[HR]]*4),0)</f>
        <v>14</v>
      </c>
      <c r="U45" s="72">
        <f>CHC_C[[#This Row],[OBP]]+CHC_C[[#This Row],[SLG]]</f>
        <v>0.53012684989429182</v>
      </c>
      <c r="V45" s="74">
        <v>0</v>
      </c>
      <c r="W45" s="615">
        <v>11</v>
      </c>
      <c r="Z45" s="651" t="s">
        <v>990</v>
      </c>
      <c r="AA45" s="71" t="s">
        <v>187</v>
      </c>
      <c r="AB45" s="71" t="s">
        <v>1003</v>
      </c>
      <c r="AC45" s="72">
        <f>IFERROR(CHC_C138[[#This Row],[H]]/CHC_C138[[#This Row],[AB]],0)</f>
        <v>9.7560975609756101E-2</v>
      </c>
      <c r="AD45" s="72">
        <f>IFERROR((CHC_C138[[#This Row],[H]]+CHC_C138[[#This Row],[BB]])/(CHC_C138[[#This Row],[BB]]+CHC_C138[[#This Row],[AB]]),0)</f>
        <v>0.17777777777777778</v>
      </c>
      <c r="AE45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0.17073170731707318</v>
      </c>
      <c r="AF45" s="28">
        <v>11</v>
      </c>
      <c r="AG45" s="28">
        <v>41</v>
      </c>
      <c r="AH45" s="28">
        <v>3</v>
      </c>
      <c r="AI45" s="28">
        <v>4</v>
      </c>
      <c r="AJ45" s="28">
        <v>0</v>
      </c>
      <c r="AK45" s="28">
        <v>0</v>
      </c>
      <c r="AL45" s="28">
        <v>1</v>
      </c>
      <c r="AM45" s="28">
        <v>1</v>
      </c>
      <c r="AN45" s="28">
        <v>4</v>
      </c>
      <c r="AO45" s="74">
        <v>17</v>
      </c>
      <c r="AP45" s="28">
        <v>0</v>
      </c>
      <c r="AQ45" s="28">
        <v>0</v>
      </c>
      <c r="AR45" s="74">
        <v>2</v>
      </c>
      <c r="AS45" s="28">
        <f>IFERROR((CHC_C138[[#This Row],[H]]-CHC_C138[[#This Row],[2B]]-CHC_C138[[#This Row],[3B]]-CHC_C138[[#This Row],[HR]])+(CHC_C138[[#This Row],[2B]]*2)+(CHC_C138[[#This Row],[3B]]*3)+(CHC_C138[[#This Row],[HR]]*4),0)</f>
        <v>7</v>
      </c>
      <c r="AT45" s="72">
        <f>CHC_C138[[#This Row],[OBP]]+CHC_C138[[#This Row],[SLG]]</f>
        <v>0.34850948509485097</v>
      </c>
      <c r="AU45" s="74">
        <v>0</v>
      </c>
      <c r="AV45" s="615">
        <v>11</v>
      </c>
      <c r="AY45" s="651" t="s">
        <v>990</v>
      </c>
      <c r="AZ45" s="71" t="s">
        <v>187</v>
      </c>
      <c r="BA45" s="71" t="s">
        <v>1003</v>
      </c>
      <c r="BB45" s="72">
        <f>IFERROR(CHC_C150[[#This Row],[H]]/CHC_C150[[#This Row],[AB]],0)</f>
        <v>0.3125</v>
      </c>
      <c r="BC45" s="72">
        <f>IFERROR((CHC_C150[[#This Row],[BB]]+CHC_C150[[#This Row],[H]])/(CHC_C150[[#This Row],[AB]]+CHC_C150[[#This Row],[BB]]),0)</f>
        <v>0.3125</v>
      </c>
      <c r="BD45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0.4375</v>
      </c>
      <c r="BE45" s="28">
        <v>4</v>
      </c>
      <c r="BF45" s="28">
        <v>16</v>
      </c>
      <c r="BG45" s="28">
        <v>1</v>
      </c>
      <c r="BH45" s="28">
        <v>5</v>
      </c>
      <c r="BI45" s="28">
        <v>2</v>
      </c>
      <c r="BJ45" s="28">
        <v>0</v>
      </c>
      <c r="BK45" s="28">
        <v>0</v>
      </c>
      <c r="BL45" s="28">
        <v>2</v>
      </c>
      <c r="BM45" s="28">
        <v>0</v>
      </c>
      <c r="BN45" s="74">
        <v>1</v>
      </c>
      <c r="BO45" s="28">
        <v>0</v>
      </c>
      <c r="BP45" s="28">
        <v>3</v>
      </c>
      <c r="BQ45" s="74">
        <v>3</v>
      </c>
      <c r="BR45" s="28">
        <f>((CHC_C150[[#This Row],[H]]-CHC_C150[[#This Row],[2B]]-CHC_C150[[#This Row],[3B]]-CHC_C150[[#This Row],[HR]])+(CHC_C150[[#This Row],[2B]]*2)+(CHC_C150[[#This Row],[3B]]*3)+(CHC_C150[[#This Row],[HR]]*4))</f>
        <v>7</v>
      </c>
      <c r="BS45" s="72">
        <f>IFERROR(CHC_C150[[#This Row],[OBP]]+CHC_C150[[#This Row],[SLG]],0)</f>
        <v>0.75</v>
      </c>
      <c r="BT45" s="74">
        <v>0</v>
      </c>
      <c r="BU45" s="615">
        <v>11</v>
      </c>
    </row>
    <row r="46" spans="1:73">
      <c r="A46" s="651" t="s">
        <v>990</v>
      </c>
      <c r="B46" s="71" t="s">
        <v>187</v>
      </c>
      <c r="C46" s="71" t="s">
        <v>1007</v>
      </c>
      <c r="D46" s="72">
        <f>IFERROR(CHC_C[[#This Row],[H]]/CHC_C[[#This Row],[AB]],0)</f>
        <v>0.17391304347826086</v>
      </c>
      <c r="E46" s="72">
        <f>IFERROR((CHC_C[[#This Row],[H]]+CHC_C[[#This Row],[BB]])/(CHC_C[[#This Row],[BB]]+CHC_C[[#This Row],[AB]]),0)</f>
        <v>0.24</v>
      </c>
      <c r="F46" s="73">
        <f>IFERROR(((CHC_C[[#This Row],[H]]-CHC_C[[#This Row],[2B]]-CHC_C[[#This Row],[3B]]-CHC_C[[#This Row],[HR]])+(CHC_C[[#This Row],[2B]]*2)+(CHC_C[[#This Row],[3B]]*3)+(CHC_C[[#This Row],[HR]]*4))/CHC_C[[#This Row],[AB]],0)</f>
        <v>0.30434782608695654</v>
      </c>
      <c r="G46" s="28">
        <v>6</v>
      </c>
      <c r="H46" s="28">
        <v>23</v>
      </c>
      <c r="I46" s="28">
        <v>2</v>
      </c>
      <c r="J46" s="28">
        <v>4</v>
      </c>
      <c r="K46" s="28">
        <v>0</v>
      </c>
      <c r="L46" s="28">
        <v>0</v>
      </c>
      <c r="M46" s="28">
        <v>1</v>
      </c>
      <c r="N46" s="28">
        <v>2</v>
      </c>
      <c r="O46" s="28">
        <v>2</v>
      </c>
      <c r="P46" s="74">
        <v>10</v>
      </c>
      <c r="Q46" s="28">
        <v>0</v>
      </c>
      <c r="R46" s="28">
        <v>1</v>
      </c>
      <c r="S46" s="74">
        <v>1</v>
      </c>
      <c r="T46" s="28">
        <f>IFERROR((CHC_C[[#This Row],[H]]-CHC_C[[#This Row],[2B]]-CHC_C[[#This Row],[3B]]-CHC_C[[#This Row],[HR]])+(CHC_C[[#This Row],[2B]]*2)+(CHC_C[[#This Row],[3B]]*3)+(CHC_C[[#This Row],[HR]]*4),0)</f>
        <v>7</v>
      </c>
      <c r="U46" s="72">
        <f>CHC_C[[#This Row],[OBP]]+CHC_C[[#This Row],[SLG]]</f>
        <v>0.54434782608695653</v>
      </c>
      <c r="V46" s="74">
        <v>0</v>
      </c>
      <c r="W46" s="615">
        <v>12</v>
      </c>
      <c r="Z46" s="651" t="s">
        <v>990</v>
      </c>
      <c r="AA46" s="71" t="s">
        <v>192</v>
      </c>
      <c r="AB46" s="71" t="s">
        <v>1007</v>
      </c>
      <c r="AC46" s="72">
        <f>IFERROR(CHC_C138[[#This Row],[H]]/CHC_C138[[#This Row],[AB]],0)</f>
        <v>0.14285714285714285</v>
      </c>
      <c r="AD46" s="72">
        <f>IFERROR((CHC_C138[[#This Row],[H]]+CHC_C138[[#This Row],[BB]])/(CHC_C138[[#This Row],[BB]]+CHC_C138[[#This Row],[AB]]),0)</f>
        <v>0.25</v>
      </c>
      <c r="AE46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0.14285714285714285</v>
      </c>
      <c r="AF46" s="28">
        <v>2</v>
      </c>
      <c r="AG46" s="28">
        <v>7</v>
      </c>
      <c r="AH46" s="28">
        <v>1</v>
      </c>
      <c r="AI46" s="28">
        <v>1</v>
      </c>
      <c r="AJ46" s="28">
        <v>0</v>
      </c>
      <c r="AK46" s="28">
        <v>0</v>
      </c>
      <c r="AL46" s="28">
        <v>0</v>
      </c>
      <c r="AM46" s="28">
        <v>1</v>
      </c>
      <c r="AN46" s="28">
        <v>1</v>
      </c>
      <c r="AO46" s="74">
        <v>2</v>
      </c>
      <c r="AP46" s="28">
        <v>0</v>
      </c>
      <c r="AQ46" s="28">
        <v>0</v>
      </c>
      <c r="AR46" s="74">
        <v>1</v>
      </c>
      <c r="AS46" s="28">
        <f>IFERROR((CHC_C138[[#This Row],[H]]-CHC_C138[[#This Row],[2B]]-CHC_C138[[#This Row],[3B]]-CHC_C138[[#This Row],[HR]])+(CHC_C138[[#This Row],[2B]]*2)+(CHC_C138[[#This Row],[3B]]*3)+(CHC_C138[[#This Row],[HR]]*4),0)</f>
        <v>1</v>
      </c>
      <c r="AT46" s="72">
        <f>CHC_C138[[#This Row],[OBP]]+CHC_C138[[#This Row],[SLG]]</f>
        <v>0.39285714285714285</v>
      </c>
      <c r="AU46" s="74">
        <v>0</v>
      </c>
      <c r="AV46" s="615">
        <v>12</v>
      </c>
      <c r="AY46" s="651" t="s">
        <v>990</v>
      </c>
      <c r="AZ46" s="71" t="s">
        <v>187</v>
      </c>
      <c r="BA46" s="71" t="s">
        <v>999</v>
      </c>
      <c r="BB46" s="72">
        <f>IFERROR(CHC_C150[[#This Row],[H]]/CHC_C150[[#This Row],[AB]],0)</f>
        <v>0.22222222222222221</v>
      </c>
      <c r="BC46" s="72">
        <f>IFERROR((CHC_C150[[#This Row],[BB]]+CHC_C150[[#This Row],[H]])/(CHC_C150[[#This Row],[AB]]+CHC_C150[[#This Row],[BB]]),0)</f>
        <v>0.3</v>
      </c>
      <c r="BD46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0.22222222222222221</v>
      </c>
      <c r="BE46" s="28">
        <v>6</v>
      </c>
      <c r="BF46" s="28">
        <v>18</v>
      </c>
      <c r="BG46" s="28">
        <v>0</v>
      </c>
      <c r="BH46" s="28">
        <v>4</v>
      </c>
      <c r="BI46" s="28">
        <v>0</v>
      </c>
      <c r="BJ46" s="28">
        <v>0</v>
      </c>
      <c r="BK46" s="28">
        <v>0</v>
      </c>
      <c r="BL46" s="28">
        <v>0</v>
      </c>
      <c r="BM46" s="28">
        <v>2</v>
      </c>
      <c r="BN46" s="74">
        <v>1</v>
      </c>
      <c r="BO46" s="28">
        <v>0</v>
      </c>
      <c r="BP46" s="28">
        <v>0</v>
      </c>
      <c r="BQ46" s="74">
        <v>2</v>
      </c>
      <c r="BR46" s="28">
        <f>((CHC_C150[[#This Row],[H]]-CHC_C150[[#This Row],[2B]]-CHC_C150[[#This Row],[3B]]-CHC_C150[[#This Row],[HR]])+(CHC_C150[[#This Row],[2B]]*2)+(CHC_C150[[#This Row],[3B]]*3)+(CHC_C150[[#This Row],[HR]]*4))</f>
        <v>4</v>
      </c>
      <c r="BS46" s="72">
        <f>IFERROR(CHC_C150[[#This Row],[OBP]]+CHC_C150[[#This Row],[SLG]],0)</f>
        <v>0.52222222222222214</v>
      </c>
      <c r="BT46" s="74">
        <v>0</v>
      </c>
      <c r="BU46" s="615">
        <v>12</v>
      </c>
    </row>
    <row r="47" spans="1:73">
      <c r="A47" s="651" t="s">
        <v>990</v>
      </c>
      <c r="B47" s="71" t="s">
        <v>186</v>
      </c>
      <c r="C47" s="71" t="s">
        <v>1005</v>
      </c>
      <c r="D47" s="72">
        <f>IFERROR(CHC_C[[#This Row],[H]]/CHC_C[[#This Row],[AB]],0)</f>
        <v>0.18181818181818182</v>
      </c>
      <c r="E47" s="72">
        <f>IFERROR((CHC_C[[#This Row],[H]]+CHC_C[[#This Row],[BB]])/(CHC_C[[#This Row],[BB]]+CHC_C[[#This Row],[AB]]),0)</f>
        <v>0.22857142857142856</v>
      </c>
      <c r="F47" s="73">
        <f>IFERROR(((CHC_C[[#This Row],[H]]-CHC_C[[#This Row],[2B]]-CHC_C[[#This Row],[3B]]-CHC_C[[#This Row],[HR]])+(CHC_C[[#This Row],[2B]]*2)+(CHC_C[[#This Row],[3B]]*3)+(CHC_C[[#This Row],[HR]]*4))/CHC_C[[#This Row],[AB]],0)</f>
        <v>0.27272727272727271</v>
      </c>
      <c r="G47" s="28">
        <v>10</v>
      </c>
      <c r="H47" s="28">
        <v>33</v>
      </c>
      <c r="I47" s="28">
        <v>2</v>
      </c>
      <c r="J47" s="28">
        <v>6</v>
      </c>
      <c r="K47" s="28">
        <v>0</v>
      </c>
      <c r="L47" s="28">
        <v>0</v>
      </c>
      <c r="M47" s="28">
        <v>1</v>
      </c>
      <c r="N47" s="28">
        <v>3</v>
      </c>
      <c r="O47" s="28">
        <v>2</v>
      </c>
      <c r="P47" s="74">
        <v>10</v>
      </c>
      <c r="Q47" s="28">
        <v>1</v>
      </c>
      <c r="R47" s="28">
        <v>2</v>
      </c>
      <c r="S47" s="74">
        <v>3</v>
      </c>
      <c r="T47" s="28">
        <f>IFERROR((CHC_C[[#This Row],[H]]-CHC_C[[#This Row],[2B]]-CHC_C[[#This Row],[3B]]-CHC_C[[#This Row],[HR]])+(CHC_C[[#This Row],[2B]]*2)+(CHC_C[[#This Row],[3B]]*3)+(CHC_C[[#This Row],[HR]]*4),0)</f>
        <v>9</v>
      </c>
      <c r="U47" s="72">
        <f>CHC_C[[#This Row],[OBP]]+CHC_C[[#This Row],[SLG]]</f>
        <v>0.50129870129870124</v>
      </c>
      <c r="V47" s="74">
        <v>1</v>
      </c>
      <c r="W47" s="615">
        <v>13</v>
      </c>
      <c r="Z47" s="651" t="s">
        <v>990</v>
      </c>
      <c r="AA47" s="71" t="s">
        <v>184</v>
      </c>
      <c r="AB47" s="71" t="s">
        <v>1005</v>
      </c>
      <c r="AC47" s="72">
        <f>IFERROR(CHC_C138[[#This Row],[H]]/CHC_C138[[#This Row],[AB]],0)</f>
        <v>0.125</v>
      </c>
      <c r="AD47" s="72">
        <f>IFERROR((CHC_C138[[#This Row],[H]]+CHC_C138[[#This Row],[BB]])/(CHC_C138[[#This Row],[BB]]+CHC_C138[[#This Row],[AB]]),0)</f>
        <v>0.125</v>
      </c>
      <c r="AE47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0.125</v>
      </c>
      <c r="AF47" s="28">
        <v>2</v>
      </c>
      <c r="AG47" s="28">
        <v>8</v>
      </c>
      <c r="AH47" s="28">
        <v>1</v>
      </c>
      <c r="AI47" s="28">
        <v>1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74">
        <v>3</v>
      </c>
      <c r="AP47" s="28">
        <v>1</v>
      </c>
      <c r="AQ47" s="28">
        <v>0</v>
      </c>
      <c r="AR47" s="74">
        <v>1</v>
      </c>
      <c r="AS47" s="28">
        <f>IFERROR((CHC_C138[[#This Row],[H]]-CHC_C138[[#This Row],[2B]]-CHC_C138[[#This Row],[3B]]-CHC_C138[[#This Row],[HR]])+(CHC_C138[[#This Row],[2B]]*2)+(CHC_C138[[#This Row],[3B]]*3)+(CHC_C138[[#This Row],[HR]]*4),0)</f>
        <v>1</v>
      </c>
      <c r="AT47" s="72">
        <f>CHC_C138[[#This Row],[OBP]]+CHC_C138[[#This Row],[SLG]]</f>
        <v>0.25</v>
      </c>
      <c r="AU47" s="74">
        <v>0</v>
      </c>
      <c r="AV47" s="615">
        <v>13</v>
      </c>
      <c r="AY47" s="651" t="s">
        <v>990</v>
      </c>
      <c r="AZ47" s="71" t="s">
        <v>184</v>
      </c>
      <c r="BA47" s="71" t="s">
        <v>996</v>
      </c>
      <c r="BB47" s="72">
        <f>IFERROR(CHC_C150[[#This Row],[H]]/CHC_C150[[#This Row],[AB]],0)</f>
        <v>0.19753086419753085</v>
      </c>
      <c r="BC47" s="72">
        <f>IFERROR((CHC_C150[[#This Row],[BB]]+CHC_C150[[#This Row],[H]])/(CHC_C150[[#This Row],[AB]]+CHC_C150[[#This Row],[BB]]),0)</f>
        <v>0.2073170731707317</v>
      </c>
      <c r="BD47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0.2839506172839506</v>
      </c>
      <c r="BE47" s="28">
        <v>21</v>
      </c>
      <c r="BF47" s="28">
        <v>81</v>
      </c>
      <c r="BG47" s="28">
        <v>7</v>
      </c>
      <c r="BH47" s="28">
        <v>16</v>
      </c>
      <c r="BI47" s="28">
        <v>7</v>
      </c>
      <c r="BJ47" s="28">
        <v>0</v>
      </c>
      <c r="BK47" s="28">
        <v>0</v>
      </c>
      <c r="BL47" s="28">
        <v>6</v>
      </c>
      <c r="BM47" s="28">
        <v>1</v>
      </c>
      <c r="BN47" s="74">
        <v>26</v>
      </c>
      <c r="BO47" s="28">
        <v>0</v>
      </c>
      <c r="BP47" s="28">
        <v>2</v>
      </c>
      <c r="BQ47" s="74">
        <v>2</v>
      </c>
      <c r="BR47" s="28">
        <f>((CHC_C150[[#This Row],[H]]-CHC_C150[[#This Row],[2B]]-CHC_C150[[#This Row],[3B]]-CHC_C150[[#This Row],[HR]])+(CHC_C150[[#This Row],[2B]]*2)+(CHC_C150[[#This Row],[3B]]*3)+(CHC_C150[[#This Row],[HR]]*4))</f>
        <v>23</v>
      </c>
      <c r="BS47" s="72">
        <f>IFERROR(CHC_C150[[#This Row],[OBP]]+CHC_C150[[#This Row],[SLG]],0)</f>
        <v>0.49126769045468233</v>
      </c>
      <c r="BT47" s="74">
        <v>1</v>
      </c>
      <c r="BU47" s="615">
        <v>13</v>
      </c>
    </row>
    <row r="48" spans="1:73" ht="17" thickBot="1">
      <c r="A48" s="651" t="s">
        <v>990</v>
      </c>
      <c r="B48" s="71" t="s">
        <v>186</v>
      </c>
      <c r="C48" s="71" t="s">
        <v>1006</v>
      </c>
      <c r="D48" s="72">
        <f>IFERROR(CHC_C[[#This Row],[H]]/CHC_C[[#This Row],[AB]],0)</f>
        <v>0</v>
      </c>
      <c r="E48" s="72">
        <f>IFERROR((CHC_C[[#This Row],[H]]+CHC_C[[#This Row],[BB]])/(CHC_C[[#This Row],[BB]]+CHC_C[[#This Row],[AB]]),0)</f>
        <v>0</v>
      </c>
      <c r="F48" s="73">
        <f>IFERROR(((CHC_C[[#This Row],[H]]-CHC_C[[#This Row],[2B]]-CHC_C[[#This Row],[3B]]-CHC_C[[#This Row],[HR]])+(CHC_C[[#This Row],[2B]]*2)+(CHC_C[[#This Row],[3B]]*3)+(CHC_C[[#This Row],[HR]]*4))/CHC_C[[#This Row],[AB]],0)</f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74">
        <v>0</v>
      </c>
      <c r="Q48" s="28">
        <v>0</v>
      </c>
      <c r="R48" s="28">
        <v>0</v>
      </c>
      <c r="S48" s="74">
        <v>0</v>
      </c>
      <c r="T48" s="28">
        <f>IFERROR((CHC_C[[#This Row],[H]]-CHC_C[[#This Row],[2B]]-CHC_C[[#This Row],[3B]]-CHC_C[[#This Row],[HR]])+(CHC_C[[#This Row],[2B]]*2)+(CHC_C[[#This Row],[3B]]*3)+(CHC_C[[#This Row],[HR]]*4),0)</f>
        <v>0</v>
      </c>
      <c r="U48" s="72">
        <f>CHC_C[[#This Row],[OBP]]+CHC_C[[#This Row],[SLG]]</f>
        <v>0</v>
      </c>
      <c r="V48" s="74">
        <v>0</v>
      </c>
      <c r="W48" s="615">
        <v>14</v>
      </c>
      <c r="Z48" s="651" t="s">
        <v>990</v>
      </c>
      <c r="AA48" s="71" t="s">
        <v>184</v>
      </c>
      <c r="AB48" s="71" t="s">
        <v>1006</v>
      </c>
      <c r="AC48" s="72">
        <f>IFERROR(CHC_C138[[#This Row],[H]]/CHC_C138[[#This Row],[AB]],0)</f>
        <v>0.33333333333333331</v>
      </c>
      <c r="AD48" s="72">
        <f>IFERROR((CHC_C138[[#This Row],[H]]+CHC_C138[[#This Row],[BB]])/(CHC_C138[[#This Row],[BB]]+CHC_C138[[#This Row],[AB]]),0)</f>
        <v>0.5</v>
      </c>
      <c r="AE48" s="73">
        <f>IFERROR(((CHC_C138[[#This Row],[H]]-CHC_C138[[#This Row],[2B]]-CHC_C138[[#This Row],[3B]]-CHC_C138[[#This Row],[HR]])+(CHC_C138[[#This Row],[2B]]*2)+(CHC_C138[[#This Row],[3B]]*3)+(CHC_C138[[#This Row],[HR]]*4))/CHC_C138[[#This Row],[AB]],0)</f>
        <v>0.33333333333333331</v>
      </c>
      <c r="AF48" s="28">
        <v>2</v>
      </c>
      <c r="AG48" s="28">
        <v>6</v>
      </c>
      <c r="AH48" s="28">
        <v>1</v>
      </c>
      <c r="AI48" s="28">
        <v>2</v>
      </c>
      <c r="AJ48" s="28">
        <v>0</v>
      </c>
      <c r="AK48" s="28">
        <v>0</v>
      </c>
      <c r="AL48" s="28">
        <v>0</v>
      </c>
      <c r="AM48" s="28">
        <v>0</v>
      </c>
      <c r="AN48" s="28">
        <v>2</v>
      </c>
      <c r="AO48" s="74">
        <v>2</v>
      </c>
      <c r="AP48" s="28">
        <v>0</v>
      </c>
      <c r="AQ48" s="28">
        <v>2</v>
      </c>
      <c r="AR48" s="74">
        <v>2</v>
      </c>
      <c r="AS48" s="28">
        <f>IFERROR((CHC_C138[[#This Row],[H]]-CHC_C138[[#This Row],[2B]]-CHC_C138[[#This Row],[3B]]-CHC_C138[[#This Row],[HR]])+(CHC_C138[[#This Row],[2B]]*2)+(CHC_C138[[#This Row],[3B]]*3)+(CHC_C138[[#This Row],[HR]]*4),0)</f>
        <v>2</v>
      </c>
      <c r="AT48" s="72">
        <f>CHC_C138[[#This Row],[OBP]]+CHC_C138[[#This Row],[SLG]]</f>
        <v>0.83333333333333326</v>
      </c>
      <c r="AU48" s="74">
        <v>0</v>
      </c>
      <c r="AV48" s="615">
        <v>14</v>
      </c>
      <c r="AY48" s="651" t="s">
        <v>990</v>
      </c>
      <c r="AZ48" s="71" t="s">
        <v>184</v>
      </c>
      <c r="BA48" s="71" t="s">
        <v>1002</v>
      </c>
      <c r="BB48" s="72">
        <f>IFERROR(CHC_C150[[#This Row],[H]]/CHC_C150[[#This Row],[AB]],0)</f>
        <v>0.2</v>
      </c>
      <c r="BC48" s="72">
        <f>IFERROR((CHC_C150[[#This Row],[BB]]+CHC_C150[[#This Row],[H]])/(CHC_C150[[#This Row],[AB]]+CHC_C150[[#This Row],[BB]]),0)</f>
        <v>0.42857142857142855</v>
      </c>
      <c r="BD48" s="73">
        <f>IFERROR(((CHC_C150[[#This Row],[H]]-CHC_C150[[#This Row],[2B]]-CHC_C150[[#This Row],[3B]]-CHC_C150[[#This Row],[HR]])+(CHC_C150[[#This Row],[2B]]*2)+(CHC_C150[[#This Row],[3B]]*3)+(CHC_C150[[#This Row],[HR]]*4))/CHC_C150[[#This Row],[AB]],0)</f>
        <v>0.2</v>
      </c>
      <c r="BE48" s="28">
        <v>4</v>
      </c>
      <c r="BF48" s="28">
        <v>10</v>
      </c>
      <c r="BG48" s="28">
        <v>0</v>
      </c>
      <c r="BH48" s="28">
        <v>2</v>
      </c>
      <c r="BI48" s="28">
        <v>0</v>
      </c>
      <c r="BJ48" s="28">
        <v>0</v>
      </c>
      <c r="BK48" s="28">
        <v>0</v>
      </c>
      <c r="BL48" s="28">
        <v>0</v>
      </c>
      <c r="BM48" s="28">
        <v>4</v>
      </c>
      <c r="BN48" s="74">
        <v>0</v>
      </c>
      <c r="BO48" s="28">
        <v>0</v>
      </c>
      <c r="BP48" s="28">
        <v>0</v>
      </c>
      <c r="BQ48" s="74">
        <v>1</v>
      </c>
      <c r="BR48" s="28">
        <f>((CHC_C150[[#This Row],[H]]-CHC_C150[[#This Row],[2B]]-CHC_C150[[#This Row],[3B]]-CHC_C150[[#This Row],[HR]])+(CHC_C150[[#This Row],[2B]]*2)+(CHC_C150[[#This Row],[3B]]*3)+(CHC_C150[[#This Row],[HR]]*4))</f>
        <v>2</v>
      </c>
      <c r="BS48" s="72">
        <f>IFERROR(CHC_C150[[#This Row],[OBP]]+CHC_C150[[#This Row],[SLG]],0)</f>
        <v>0.62857142857142856</v>
      </c>
      <c r="BT48" s="74">
        <v>0</v>
      </c>
      <c r="BU48" s="615">
        <v>14</v>
      </c>
    </row>
    <row r="49" spans="1:73" ht="17" thickBot="1">
      <c r="A49" s="691"/>
      <c r="B49" s="692"/>
      <c r="C49" s="693" t="s">
        <v>195</v>
      </c>
      <c r="D49" s="694">
        <f>J49/H49</f>
        <v>0.23434045689019897</v>
      </c>
      <c r="E49" s="694">
        <f>(J49+O49)/(O49+H49)</f>
        <v>0.29939312204989887</v>
      </c>
      <c r="F49" s="695">
        <f>((J49-K49-L49-M49)+(K49*2)+(L49*3)+(M49*4))/H49</f>
        <v>0.37656595431098011</v>
      </c>
      <c r="G49" s="696"/>
      <c r="H49" s="696">
        <f>SUBTOTAL(109,CHC_C[AB])</f>
        <v>1357</v>
      </c>
      <c r="I49" s="696">
        <f>SUBTOTAL(109,CHC_C[R])</f>
        <v>134</v>
      </c>
      <c r="J49" s="696">
        <f>SUBTOTAL(109,CHC_C[H])</f>
        <v>318</v>
      </c>
      <c r="K49" s="696">
        <f>SUBTOTAL(109,CHC_C[2B])</f>
        <v>52</v>
      </c>
      <c r="L49" s="696">
        <f>SUBTOTAL(109,CHC_C[3B])</f>
        <v>12</v>
      </c>
      <c r="M49" s="696">
        <f>SUBTOTAL(109,CHC_C[HR])</f>
        <v>39</v>
      </c>
      <c r="N49" s="696">
        <f>SUBTOTAL(109,CHC_C[RBI])</f>
        <v>133</v>
      </c>
      <c r="O49" s="696">
        <f>SUBTOTAL(109,CHC_C[BB])</f>
        <v>126</v>
      </c>
      <c r="P49" s="697">
        <f>SUBTOTAL(109,CHC_C[K])</f>
        <v>375</v>
      </c>
      <c r="Q49" s="696">
        <f>SUBTOTAL(109,CHC_C[SB])</f>
        <v>10</v>
      </c>
      <c r="R49" s="696"/>
      <c r="S49" s="697"/>
      <c r="T49" s="696">
        <f>SUBTOTAL(109,CHC_C[TB])</f>
        <v>511</v>
      </c>
      <c r="U49" s="694">
        <f>E49+F49</f>
        <v>0.67595907636087893</v>
      </c>
      <c r="V49" s="697">
        <f>SUBTOTAL(109,CHC_C[*])</f>
        <v>18</v>
      </c>
      <c r="W49" s="852"/>
      <c r="Z49" s="691"/>
      <c r="AA49" s="692"/>
      <c r="AB49" s="693" t="s">
        <v>195</v>
      </c>
      <c r="AC49" s="694">
        <f>AI49/AG49</f>
        <v>0.25353107344632769</v>
      </c>
      <c r="AD49" s="694">
        <f>(AI49+AN49)/(AN49+AG49)</f>
        <v>0.32156611039794608</v>
      </c>
      <c r="AE49" s="695">
        <f>((AI49-AJ49-AK49-AL49)+(AJ49*2)+(AK49*3)+(AL49*4))/AG49</f>
        <v>0.44915254237288138</v>
      </c>
      <c r="AF49" s="696"/>
      <c r="AG49" s="696">
        <f>SUBTOTAL(109,CHC_C138[AB])</f>
        <v>1416</v>
      </c>
      <c r="AH49" s="696">
        <f>SUBTOTAL(109,CHC_C138[R])</f>
        <v>173</v>
      </c>
      <c r="AI49" s="696">
        <f>SUBTOTAL(109,CHC_C138[H])</f>
        <v>359</v>
      </c>
      <c r="AJ49" s="696">
        <f>SUBTOTAL(109,CHC_C138[2B])</f>
        <v>62</v>
      </c>
      <c r="AK49" s="696">
        <f>SUBTOTAL(109,CHC_C138[3B])</f>
        <v>7</v>
      </c>
      <c r="AL49" s="774">
        <f>SUBTOTAL(109,CHC_C138[HR])</f>
        <v>67</v>
      </c>
      <c r="AM49" s="696">
        <f>SUBTOTAL(109,CHC_C138[RBI])</f>
        <v>172</v>
      </c>
      <c r="AN49" s="696">
        <f>SUBTOTAL(109,CHC_C138[BB])</f>
        <v>142</v>
      </c>
      <c r="AO49" s="697">
        <f>SUBTOTAL(109,CHC_C138[K])</f>
        <v>377</v>
      </c>
      <c r="AP49" s="696">
        <f>SUBTOTAL(109,CHC_C138[SB])</f>
        <v>11</v>
      </c>
      <c r="AQ49" s="696"/>
      <c r="AR49" s="697"/>
      <c r="AS49" s="696">
        <f>SUBTOTAL(109,CHC_C138[TB])</f>
        <v>636</v>
      </c>
      <c r="AT49" s="694">
        <f>AD49+AE49</f>
        <v>0.77071865277082741</v>
      </c>
      <c r="AU49" s="697">
        <f>SUBTOTAL(109,CHC_C138[*])</f>
        <v>25</v>
      </c>
      <c r="AV49" s="852"/>
      <c r="AY49" s="691"/>
      <c r="AZ49" s="692"/>
      <c r="BA49" s="693" t="s">
        <v>195</v>
      </c>
      <c r="BB49" s="694">
        <f>BH49/BF49</f>
        <v>0.23571945046999276</v>
      </c>
      <c r="BC49" s="694">
        <f>(BH49+BM49)/(BM49+BF49)</f>
        <v>0.30046326935804102</v>
      </c>
      <c r="BD49" s="695">
        <f>((BH49-BI49-BJ49-BK49)+(BI49*2)+(BJ49*3)+(BK49*4))/BF49</f>
        <v>0.40925524222704268</v>
      </c>
      <c r="BE49" s="696"/>
      <c r="BF49" s="696">
        <f>SUBTOTAL(109,CHC_C150[AB])</f>
        <v>1383</v>
      </c>
      <c r="BG49" s="696">
        <f>SUBTOTAL(109,CHC_C150[R])</f>
        <v>167</v>
      </c>
      <c r="BH49" s="696">
        <f>SUBTOTAL(109,CHC_C150[H])</f>
        <v>326</v>
      </c>
      <c r="BI49" s="696">
        <f>SUBTOTAL(109,CHC_C150[2B])</f>
        <v>59</v>
      </c>
      <c r="BJ49" s="696">
        <f>SUBTOTAL(109,CHC_C150[3B])</f>
        <v>8</v>
      </c>
      <c r="BK49" s="696">
        <f>SUBTOTAL(109,CHC_C150[HR])</f>
        <v>55</v>
      </c>
      <c r="BL49" s="696">
        <f>SUBTOTAL(109,CHC_C150[RBI])</f>
        <v>167</v>
      </c>
      <c r="BM49" s="696">
        <f>SUBTOTAL(109,CHC_C150[BB])</f>
        <v>128</v>
      </c>
      <c r="BN49" s="697">
        <f>SUBTOTAL(109,CHC_C150[K])</f>
        <v>371</v>
      </c>
      <c r="BO49" s="696">
        <f>SUBTOTAL(109,CHC_C150[SB])</f>
        <v>2</v>
      </c>
      <c r="BP49" s="696"/>
      <c r="BQ49" s="697"/>
      <c r="BR49" s="696">
        <f>SUBTOTAL(109,CHC_C150[TB])</f>
        <v>566</v>
      </c>
      <c r="BS49" s="694">
        <f>BC49+BD49</f>
        <v>0.7097185115850837</v>
      </c>
      <c r="BT49" s="697">
        <f>SUBTOTAL(109,CHC_C150[*])</f>
        <v>17</v>
      </c>
      <c r="BU49" s="852"/>
    </row>
    <row r="50" spans="1:73" ht="17" thickBot="1"/>
    <row r="51" spans="1:73" s="64" customFormat="1" ht="14" thickBot="1">
      <c r="A51" s="847" t="s">
        <v>143</v>
      </c>
      <c r="B51" s="848" t="s">
        <v>144</v>
      </c>
      <c r="C51" s="848" t="s">
        <v>145</v>
      </c>
      <c r="D51" s="848" t="s">
        <v>196</v>
      </c>
      <c r="E51" s="848" t="s">
        <v>197</v>
      </c>
      <c r="F51" s="848" t="s">
        <v>198</v>
      </c>
      <c r="G51" s="848" t="s">
        <v>149</v>
      </c>
      <c r="H51" s="848" t="s">
        <v>199</v>
      </c>
      <c r="I51" s="848" t="s">
        <v>152</v>
      </c>
      <c r="J51" s="848" t="s">
        <v>151</v>
      </c>
      <c r="K51" s="848" t="s">
        <v>157</v>
      </c>
      <c r="L51" s="848" t="s">
        <v>158</v>
      </c>
      <c r="M51" s="848" t="s">
        <v>200</v>
      </c>
      <c r="N51" s="848" t="s">
        <v>201</v>
      </c>
      <c r="O51" s="848" t="s">
        <v>202</v>
      </c>
      <c r="P51" s="848" t="s">
        <v>203</v>
      </c>
      <c r="Q51" s="848" t="s">
        <v>204</v>
      </c>
      <c r="R51" s="848" t="s">
        <v>205</v>
      </c>
      <c r="S51" s="849" t="s">
        <v>164</v>
      </c>
      <c r="Z51" s="847" t="s">
        <v>143</v>
      </c>
      <c r="AA51" s="848" t="s">
        <v>144</v>
      </c>
      <c r="AB51" s="848" t="s">
        <v>145</v>
      </c>
      <c r="AC51" s="848" t="s">
        <v>196</v>
      </c>
      <c r="AD51" s="848" t="s">
        <v>197</v>
      </c>
      <c r="AE51" s="848" t="s">
        <v>198</v>
      </c>
      <c r="AF51" s="848" t="s">
        <v>149</v>
      </c>
      <c r="AG51" s="848" t="s">
        <v>199</v>
      </c>
      <c r="AH51" s="848" t="s">
        <v>152</v>
      </c>
      <c r="AI51" s="848" t="s">
        <v>151</v>
      </c>
      <c r="AJ51" s="848" t="s">
        <v>157</v>
      </c>
      <c r="AK51" s="848" t="s">
        <v>158</v>
      </c>
      <c r="AL51" s="848" t="s">
        <v>200</v>
      </c>
      <c r="AM51" s="848" t="s">
        <v>201</v>
      </c>
      <c r="AN51" s="848" t="s">
        <v>202</v>
      </c>
      <c r="AO51" s="848" t="s">
        <v>203</v>
      </c>
      <c r="AP51" s="848" t="s">
        <v>204</v>
      </c>
      <c r="AQ51" s="848" t="s">
        <v>205</v>
      </c>
      <c r="AR51" s="849" t="s">
        <v>164</v>
      </c>
      <c r="AY51" s="847" t="s">
        <v>143</v>
      </c>
      <c r="AZ51" s="848" t="s">
        <v>144</v>
      </c>
      <c r="BA51" s="848" t="s">
        <v>145</v>
      </c>
      <c r="BB51" s="848" t="s">
        <v>196</v>
      </c>
      <c r="BC51" s="848" t="s">
        <v>197</v>
      </c>
      <c r="BD51" s="848" t="s">
        <v>198</v>
      </c>
      <c r="BE51" s="848" t="s">
        <v>149</v>
      </c>
      <c r="BF51" s="848" t="s">
        <v>199</v>
      </c>
      <c r="BG51" s="848" t="s">
        <v>152</v>
      </c>
      <c r="BH51" s="848" t="s">
        <v>151</v>
      </c>
      <c r="BI51" s="848" t="s">
        <v>157</v>
      </c>
      <c r="BJ51" s="848" t="s">
        <v>158</v>
      </c>
      <c r="BK51" s="848" t="s">
        <v>200</v>
      </c>
      <c r="BL51" s="848" t="s">
        <v>201</v>
      </c>
      <c r="BM51" s="848" t="s">
        <v>202</v>
      </c>
      <c r="BN51" s="848" t="s">
        <v>203</v>
      </c>
      <c r="BO51" s="848" t="s">
        <v>204</v>
      </c>
      <c r="BP51" s="848" t="s">
        <v>205</v>
      </c>
      <c r="BQ51" s="849" t="s">
        <v>164</v>
      </c>
    </row>
    <row r="52" spans="1:73">
      <c r="A52" s="650" t="s">
        <v>990</v>
      </c>
      <c r="B52" s="604" t="s">
        <v>206</v>
      </c>
      <c r="C52" s="752" t="s">
        <v>824</v>
      </c>
      <c r="D52" s="663">
        <f>IFERROR((CHC_P[[#This Row],[R]]*9)/CHC_P[[#This Row],[IP]],0)</f>
        <v>6.882352941176471</v>
      </c>
      <c r="E52" s="600">
        <v>1</v>
      </c>
      <c r="F52" s="604">
        <v>6</v>
      </c>
      <c r="G52" s="600">
        <v>10</v>
      </c>
      <c r="H52" s="630">
        <v>51</v>
      </c>
      <c r="I52" s="600">
        <v>59</v>
      </c>
      <c r="J52" s="600">
        <v>39</v>
      </c>
      <c r="K52" s="600">
        <v>21</v>
      </c>
      <c r="L52" s="600">
        <v>44</v>
      </c>
      <c r="M52" s="600">
        <v>0</v>
      </c>
      <c r="N52" s="631">
        <f>IFERROR((CHC_P[[#This Row],[BB]]+CHC_P[[#This Row],[H]])/CHC_P[[#This Row],[IP]],0)</f>
        <v>1.5686274509803921</v>
      </c>
      <c r="O52" s="600">
        <v>4</v>
      </c>
      <c r="P52" s="601">
        <v>2</v>
      </c>
      <c r="Q52" s="600">
        <v>0</v>
      </c>
      <c r="R52" s="604">
        <v>0</v>
      </c>
      <c r="S52" s="779">
        <v>1</v>
      </c>
      <c r="Z52" s="650" t="s">
        <v>990</v>
      </c>
      <c r="AA52" s="604" t="s">
        <v>206</v>
      </c>
      <c r="AB52" s="597" t="s">
        <v>1008</v>
      </c>
      <c r="AC52" s="663">
        <f>IFERROR((CHC_P139[[#This Row],[R]]*9)/CHC_P139[[#This Row],[IP]],0)</f>
        <v>2.4797183529771929</v>
      </c>
      <c r="AD52" s="600">
        <v>6</v>
      </c>
      <c r="AE52" s="604">
        <v>3</v>
      </c>
      <c r="AF52" s="600">
        <v>10</v>
      </c>
      <c r="AG52" s="630">
        <v>65.33</v>
      </c>
      <c r="AH52" s="600">
        <v>67</v>
      </c>
      <c r="AI52" s="600">
        <v>18</v>
      </c>
      <c r="AJ52" s="600">
        <v>17</v>
      </c>
      <c r="AK52" s="600">
        <v>49</v>
      </c>
      <c r="AL52" s="600">
        <v>0</v>
      </c>
      <c r="AM52" s="631">
        <f>IFERROR((CHC_P139[[#This Row],[BB]]+CHC_P139[[#This Row],[H]])/CHC_P139[[#This Row],[IP]],0)</f>
        <v>1.2857798867289147</v>
      </c>
      <c r="AN52" s="600">
        <v>8</v>
      </c>
      <c r="AO52" s="601">
        <v>3</v>
      </c>
      <c r="AP52" s="600">
        <v>1</v>
      </c>
      <c r="AQ52" s="604">
        <v>1</v>
      </c>
      <c r="AR52" s="779">
        <v>1</v>
      </c>
      <c r="AY52" s="650" t="s">
        <v>990</v>
      </c>
      <c r="AZ52" s="604" t="s">
        <v>206</v>
      </c>
      <c r="BA52" s="597" t="s">
        <v>1008</v>
      </c>
      <c r="BB52" s="663">
        <f>IFERROR(CHC_P151[[#This Row],[R]]*9/CHC_P151[[#This Row],[IP]],0)</f>
        <v>6.4147190452511191</v>
      </c>
      <c r="BC52" s="600">
        <v>1</v>
      </c>
      <c r="BD52" s="632">
        <v>7</v>
      </c>
      <c r="BE52" s="600">
        <v>10</v>
      </c>
      <c r="BF52" s="630">
        <v>60.33</v>
      </c>
      <c r="BG52" s="600">
        <v>70</v>
      </c>
      <c r="BH52" s="600">
        <v>43</v>
      </c>
      <c r="BI52" s="600">
        <v>23</v>
      </c>
      <c r="BJ52" s="600">
        <v>47</v>
      </c>
      <c r="BK52" s="600">
        <v>0</v>
      </c>
      <c r="BL52" s="631">
        <f>IFERROR((CHC_P151[[#This Row],[BB]]+CHC_P151[[#This Row],[H]])/CHC_P151[[#This Row],[IP]],0)</f>
        <v>1.5415216310293387</v>
      </c>
      <c r="BM52" s="600">
        <v>5</v>
      </c>
      <c r="BN52" s="601">
        <v>2</v>
      </c>
      <c r="BO52" s="600">
        <v>1</v>
      </c>
      <c r="BP52" s="604">
        <v>1</v>
      </c>
      <c r="BQ52" s="614">
        <v>1</v>
      </c>
    </row>
    <row r="53" spans="1:73">
      <c r="A53" s="651" t="s">
        <v>990</v>
      </c>
      <c r="B53" s="74" t="s">
        <v>206</v>
      </c>
      <c r="C53" s="116" t="s">
        <v>1009</v>
      </c>
      <c r="D53" s="88">
        <f>IFERROR((CHC_P[[#This Row],[R]]*9)/CHC_P[[#This Row],[IP]],0)</f>
        <v>5.4298642533936654</v>
      </c>
      <c r="E53" s="28">
        <v>4</v>
      </c>
      <c r="F53" s="74">
        <v>3</v>
      </c>
      <c r="G53" s="28">
        <v>10</v>
      </c>
      <c r="H53" s="584">
        <v>59.67</v>
      </c>
      <c r="I53" s="28">
        <v>68</v>
      </c>
      <c r="J53" s="28">
        <v>36</v>
      </c>
      <c r="K53" s="28">
        <v>29</v>
      </c>
      <c r="L53" s="28">
        <v>55</v>
      </c>
      <c r="M53" s="28">
        <v>0</v>
      </c>
      <c r="N53" s="89">
        <f>IFERROR((CHC_P[[#This Row],[BB]]+CHC_P[[#This Row],[H]])/CHC_P[[#This Row],[IP]],0)</f>
        <v>1.6256075079604491</v>
      </c>
      <c r="O53" s="28">
        <v>4</v>
      </c>
      <c r="P53" s="90">
        <v>2</v>
      </c>
      <c r="Q53" s="28">
        <v>2</v>
      </c>
      <c r="R53" s="74">
        <v>2</v>
      </c>
      <c r="S53" s="780">
        <v>2</v>
      </c>
      <c r="Z53" s="651" t="s">
        <v>990</v>
      </c>
      <c r="AA53" s="74" t="s">
        <v>206</v>
      </c>
      <c r="AB53" s="116" t="s">
        <v>824</v>
      </c>
      <c r="AC53" s="88">
        <f>IFERROR((CHC_P139[[#This Row],[R]]*9)/CHC_P139[[#This Row],[IP]],0)</f>
        <v>3.7195775294657891</v>
      </c>
      <c r="AD53" s="28">
        <v>3</v>
      </c>
      <c r="AE53" s="74">
        <v>4</v>
      </c>
      <c r="AF53" s="28">
        <v>10</v>
      </c>
      <c r="AG53" s="584">
        <v>65.33</v>
      </c>
      <c r="AH53" s="28">
        <v>54</v>
      </c>
      <c r="AI53" s="28">
        <v>27</v>
      </c>
      <c r="AJ53" s="28">
        <v>21</v>
      </c>
      <c r="AK53" s="28">
        <v>50</v>
      </c>
      <c r="AL53" s="28">
        <v>0</v>
      </c>
      <c r="AM53" s="89">
        <f>IFERROR((CHC_P139[[#This Row],[BB]]+CHC_P139[[#This Row],[H]])/CHC_P139[[#This Row],[IP]],0)</f>
        <v>1.1480177560079596</v>
      </c>
      <c r="AN53" s="28">
        <v>6</v>
      </c>
      <c r="AO53" s="90">
        <v>3</v>
      </c>
      <c r="AP53" s="28">
        <v>0</v>
      </c>
      <c r="AQ53" s="74">
        <v>0</v>
      </c>
      <c r="AR53" s="780">
        <v>2</v>
      </c>
      <c r="AY53" s="651" t="s">
        <v>990</v>
      </c>
      <c r="AZ53" s="74" t="s">
        <v>206</v>
      </c>
      <c r="BA53" s="71" t="s">
        <v>1010</v>
      </c>
      <c r="BB53" s="88">
        <f>IFERROR(CHC_P151[[#This Row],[R]]*9/CHC_P151[[#This Row],[IP]],0)</f>
        <v>3.3582089552238807</v>
      </c>
      <c r="BC53" s="28">
        <v>5</v>
      </c>
      <c r="BD53" s="74">
        <v>3</v>
      </c>
      <c r="BE53" s="28">
        <v>10</v>
      </c>
      <c r="BF53" s="584">
        <v>67</v>
      </c>
      <c r="BG53" s="28">
        <v>61</v>
      </c>
      <c r="BH53" s="28">
        <v>25</v>
      </c>
      <c r="BI53" s="28">
        <v>14</v>
      </c>
      <c r="BJ53" s="28">
        <v>59</v>
      </c>
      <c r="BK53" s="28">
        <v>0</v>
      </c>
      <c r="BL53" s="89">
        <f>IFERROR((CHC_P151[[#This Row],[BB]]+CHC_P151[[#This Row],[H]])/CHC_P151[[#This Row],[IP]],0)</f>
        <v>1.1194029850746268</v>
      </c>
      <c r="BM53" s="28">
        <v>6</v>
      </c>
      <c r="BN53" s="90">
        <v>4</v>
      </c>
      <c r="BO53" s="28">
        <v>1</v>
      </c>
      <c r="BP53" s="74">
        <v>1</v>
      </c>
      <c r="BQ53" s="615">
        <v>2</v>
      </c>
    </row>
    <row r="54" spans="1:73">
      <c r="A54" s="651" t="s">
        <v>990</v>
      </c>
      <c r="B54" s="74" t="s">
        <v>206</v>
      </c>
      <c r="C54" s="116" t="s">
        <v>1011</v>
      </c>
      <c r="D54" s="88">
        <f>IFERROR((CHC_P[[#This Row],[R]]*9)/CHC_P[[#This Row],[IP]],0)</f>
        <v>4.645161290322581</v>
      </c>
      <c r="E54" s="28">
        <v>2</v>
      </c>
      <c r="F54" s="74">
        <v>5</v>
      </c>
      <c r="G54" s="28">
        <v>10</v>
      </c>
      <c r="H54" s="584">
        <v>62</v>
      </c>
      <c r="I54" s="28">
        <v>58</v>
      </c>
      <c r="J54" s="28">
        <v>32</v>
      </c>
      <c r="K54" s="28">
        <v>22</v>
      </c>
      <c r="L54" s="28">
        <v>56</v>
      </c>
      <c r="M54" s="28">
        <v>0</v>
      </c>
      <c r="N54" s="89">
        <f>IFERROR((CHC_P[[#This Row],[BB]]+CHC_P[[#This Row],[H]])/CHC_P[[#This Row],[IP]],0)</f>
        <v>1.2903225806451613</v>
      </c>
      <c r="O54" s="28">
        <v>6</v>
      </c>
      <c r="P54" s="90">
        <v>4</v>
      </c>
      <c r="Q54" s="28">
        <v>0</v>
      </c>
      <c r="R54" s="74">
        <v>0</v>
      </c>
      <c r="S54" s="780">
        <v>3</v>
      </c>
      <c r="Z54" s="651" t="s">
        <v>990</v>
      </c>
      <c r="AA54" s="74" t="s">
        <v>206</v>
      </c>
      <c r="AB54" s="116" t="s">
        <v>1009</v>
      </c>
      <c r="AC54" s="88">
        <f>IFERROR((CHC_P139[[#This Row],[R]]*9)/CHC_P139[[#This Row],[IP]],0)</f>
        <v>3.3030157970320726</v>
      </c>
      <c r="AD54" s="28">
        <v>5</v>
      </c>
      <c r="AE54" s="74">
        <v>1</v>
      </c>
      <c r="AF54" s="28">
        <v>10</v>
      </c>
      <c r="AG54" s="584">
        <v>62.67</v>
      </c>
      <c r="AH54" s="28">
        <v>54</v>
      </c>
      <c r="AI54" s="28">
        <v>23</v>
      </c>
      <c r="AJ54" s="28">
        <v>26</v>
      </c>
      <c r="AK54" s="28">
        <v>45</v>
      </c>
      <c r="AL54" s="28">
        <v>0</v>
      </c>
      <c r="AM54" s="89">
        <f>IFERROR((CHC_P139[[#This Row],[BB]]+CHC_P139[[#This Row],[H]])/CHC_P139[[#This Row],[IP]],0)</f>
        <v>1.276527844263603</v>
      </c>
      <c r="AN54" s="28">
        <v>6</v>
      </c>
      <c r="AO54" s="90">
        <v>2</v>
      </c>
      <c r="AP54" s="28">
        <v>1</v>
      </c>
      <c r="AQ54" s="74">
        <v>1</v>
      </c>
      <c r="AR54" s="780">
        <v>3</v>
      </c>
      <c r="AY54" s="651" t="s">
        <v>990</v>
      </c>
      <c r="AZ54" s="74" t="s">
        <v>206</v>
      </c>
      <c r="BA54" s="71" t="s">
        <v>1011</v>
      </c>
      <c r="BB54" s="88">
        <f>IFERROR(CHC_P151[[#This Row],[R]]*9/CHC_P151[[#This Row],[IP]],0)</f>
        <v>5.2679714651545639</v>
      </c>
      <c r="BC54" s="28">
        <v>2</v>
      </c>
      <c r="BD54" s="74">
        <v>3</v>
      </c>
      <c r="BE54" s="28">
        <v>10</v>
      </c>
      <c r="BF54" s="584">
        <v>54.67</v>
      </c>
      <c r="BG54" s="28">
        <v>75</v>
      </c>
      <c r="BH54" s="28">
        <v>32</v>
      </c>
      <c r="BI54" s="28">
        <v>29</v>
      </c>
      <c r="BJ54" s="28">
        <v>44</v>
      </c>
      <c r="BK54" s="28">
        <v>0</v>
      </c>
      <c r="BL54" s="89">
        <f>IFERROR((CHC_P151[[#This Row],[BB]]+CHC_P151[[#This Row],[H]])/CHC_P151[[#This Row],[IP]],0)</f>
        <v>1.9023230290835924</v>
      </c>
      <c r="BM54" s="28">
        <v>5</v>
      </c>
      <c r="BN54" s="90">
        <v>3</v>
      </c>
      <c r="BO54" s="28">
        <v>0</v>
      </c>
      <c r="BP54" s="74">
        <v>0</v>
      </c>
      <c r="BQ54" s="615">
        <v>3</v>
      </c>
    </row>
    <row r="55" spans="1:73">
      <c r="A55" s="651" t="s">
        <v>990</v>
      </c>
      <c r="B55" s="74" t="s">
        <v>365</v>
      </c>
      <c r="C55" s="345" t="s">
        <v>1012</v>
      </c>
      <c r="D55" s="88">
        <f>IFERROR((CHC_P[[#This Row],[R]]*9)/CHC_P[[#This Row],[IP]],0)</f>
        <v>2.8208955223880596</v>
      </c>
      <c r="E55" s="28">
        <v>6</v>
      </c>
      <c r="F55" s="74">
        <v>1</v>
      </c>
      <c r="G55" s="28">
        <v>10</v>
      </c>
      <c r="H55" s="584">
        <v>67</v>
      </c>
      <c r="I55" s="28">
        <v>49</v>
      </c>
      <c r="J55" s="28">
        <v>21</v>
      </c>
      <c r="K55" s="28">
        <v>14</v>
      </c>
      <c r="L55" s="28">
        <v>63</v>
      </c>
      <c r="M55" s="28">
        <v>0</v>
      </c>
      <c r="N55" s="89">
        <f>IFERROR((CHC_P[[#This Row],[BB]]+CHC_P[[#This Row],[H]])/CHC_P[[#This Row],[IP]],0)</f>
        <v>0.94029850746268662</v>
      </c>
      <c r="O55" s="28">
        <v>8</v>
      </c>
      <c r="P55" s="90">
        <v>6</v>
      </c>
      <c r="Q55" s="28">
        <v>0</v>
      </c>
      <c r="R55" s="74">
        <v>0</v>
      </c>
      <c r="S55" s="780">
        <v>4</v>
      </c>
      <c r="Z55" s="651" t="s">
        <v>990</v>
      </c>
      <c r="AA55" s="74" t="s">
        <v>206</v>
      </c>
      <c r="AB55" s="116" t="s">
        <v>1011</v>
      </c>
      <c r="AC55" s="88">
        <f>IFERROR((CHC_P139[[#This Row],[R]]*9)/CHC_P139[[#This Row],[IP]],0)</f>
        <v>3.5528185693983896</v>
      </c>
      <c r="AD55" s="28">
        <v>4</v>
      </c>
      <c r="AE55" s="74">
        <v>1</v>
      </c>
      <c r="AF55" s="28">
        <v>10</v>
      </c>
      <c r="AG55" s="584">
        <v>63.33</v>
      </c>
      <c r="AH55" s="28">
        <v>70</v>
      </c>
      <c r="AI55" s="28">
        <v>25</v>
      </c>
      <c r="AJ55" s="28">
        <v>20</v>
      </c>
      <c r="AK55" s="28">
        <v>55</v>
      </c>
      <c r="AL55" s="28">
        <v>0</v>
      </c>
      <c r="AM55" s="89">
        <f>IFERROR((CHC_P139[[#This Row],[BB]]+CHC_P139[[#This Row],[H]])/CHC_P139[[#This Row],[IP]],0)</f>
        <v>1.4211274277593557</v>
      </c>
      <c r="AN55" s="28">
        <v>7</v>
      </c>
      <c r="AO55" s="90">
        <v>5</v>
      </c>
      <c r="AP55" s="28">
        <v>0</v>
      </c>
      <c r="AQ55" s="74">
        <v>0</v>
      </c>
      <c r="AR55" s="780">
        <v>4</v>
      </c>
      <c r="AY55" s="651" t="s">
        <v>990</v>
      </c>
      <c r="AZ55" s="74" t="s">
        <v>206</v>
      </c>
      <c r="BA55" s="71" t="s">
        <v>1009</v>
      </c>
      <c r="BB55" s="88">
        <f>IFERROR(CHC_P151[[#This Row],[R]]*9/CHC_P151[[#This Row],[IP]],0)</f>
        <v>5.3684210526315788</v>
      </c>
      <c r="BC55" s="28">
        <v>3</v>
      </c>
      <c r="BD55" s="74">
        <v>3</v>
      </c>
      <c r="BE55" s="28">
        <v>10</v>
      </c>
      <c r="BF55" s="584">
        <v>57</v>
      </c>
      <c r="BG55" s="28">
        <v>62</v>
      </c>
      <c r="BH55" s="28">
        <v>34</v>
      </c>
      <c r="BI55" s="28">
        <v>16</v>
      </c>
      <c r="BJ55" s="28">
        <v>49</v>
      </c>
      <c r="BK55" s="28">
        <v>0</v>
      </c>
      <c r="BL55" s="89">
        <f>IFERROR((CHC_P151[[#This Row],[BB]]+CHC_P151[[#This Row],[H]])/CHC_P151[[#This Row],[IP]],0)</f>
        <v>1.368421052631579</v>
      </c>
      <c r="BM55" s="28">
        <v>4</v>
      </c>
      <c r="BN55" s="90">
        <v>3</v>
      </c>
      <c r="BO55" s="28">
        <v>1</v>
      </c>
      <c r="BP55" s="74">
        <v>1</v>
      </c>
      <c r="BQ55" s="615">
        <v>4</v>
      </c>
    </row>
    <row r="56" spans="1:73">
      <c r="A56" s="651" t="s">
        <v>990</v>
      </c>
      <c r="B56" s="74" t="s">
        <v>212</v>
      </c>
      <c r="C56" s="116" t="s">
        <v>1008</v>
      </c>
      <c r="D56" s="88">
        <f>IFERROR((CHC_P[[#This Row],[R]]*9)/CHC_P[[#This Row],[IP]],0)</f>
        <v>4.8789302493675457</v>
      </c>
      <c r="E56" s="28">
        <v>0</v>
      </c>
      <c r="F56" s="74">
        <v>1</v>
      </c>
      <c r="G56" s="28">
        <v>11</v>
      </c>
      <c r="H56" s="584">
        <v>27.67</v>
      </c>
      <c r="I56" s="28">
        <v>35</v>
      </c>
      <c r="J56" s="28">
        <v>15</v>
      </c>
      <c r="K56" s="28">
        <v>6</v>
      </c>
      <c r="L56" s="28">
        <v>20</v>
      </c>
      <c r="M56" s="28">
        <v>0</v>
      </c>
      <c r="N56" s="89">
        <f>IFERROR((CHC_P[[#This Row],[BB]]+CHC_P[[#This Row],[H]])/CHC_P[[#This Row],[IP]],0)</f>
        <v>1.4817491868449584</v>
      </c>
      <c r="O56" s="28">
        <v>0</v>
      </c>
      <c r="P56" s="90">
        <v>0</v>
      </c>
      <c r="Q56" s="28">
        <v>0</v>
      </c>
      <c r="R56" s="74">
        <v>0</v>
      </c>
      <c r="S56" s="780">
        <v>5</v>
      </c>
      <c r="Z56" s="651" t="s">
        <v>990</v>
      </c>
      <c r="AA56" s="74" t="s">
        <v>212</v>
      </c>
      <c r="AB56" s="116" t="s">
        <v>1013</v>
      </c>
      <c r="AC56" s="88">
        <f>IFERROR((CHC_P139[[#This Row],[R]]*9)/CHC_P139[[#This Row],[IP]],0)</f>
        <v>7.109004739336493</v>
      </c>
      <c r="AD56" s="28">
        <v>0</v>
      </c>
      <c r="AE56" s="74">
        <v>1</v>
      </c>
      <c r="AF56" s="28">
        <v>3</v>
      </c>
      <c r="AG56" s="584">
        <v>6.33</v>
      </c>
      <c r="AH56" s="28">
        <v>7</v>
      </c>
      <c r="AI56" s="28">
        <v>5</v>
      </c>
      <c r="AJ56" s="28">
        <v>5</v>
      </c>
      <c r="AK56" s="28">
        <v>4</v>
      </c>
      <c r="AL56" s="28">
        <v>0</v>
      </c>
      <c r="AM56" s="89">
        <f>IFERROR((CHC_P139[[#This Row],[BB]]+CHC_P139[[#This Row],[H]])/CHC_P139[[#This Row],[IP]],0)</f>
        <v>1.8957345971563981</v>
      </c>
      <c r="AN56" s="28">
        <v>0</v>
      </c>
      <c r="AO56" s="90">
        <v>0</v>
      </c>
      <c r="AP56" s="28">
        <v>0</v>
      </c>
      <c r="AQ56" s="74">
        <v>0</v>
      </c>
      <c r="AR56" s="780">
        <v>5</v>
      </c>
      <c r="AY56" s="651" t="s">
        <v>990</v>
      </c>
      <c r="AZ56" s="74" t="s">
        <v>215</v>
      </c>
      <c r="BA56" s="71" t="s">
        <v>1018</v>
      </c>
      <c r="BB56" s="88">
        <f>IFERROR(CHC_P151[[#This Row],[R]]*9/CHC_P151[[#This Row],[IP]],0)</f>
        <v>15</v>
      </c>
      <c r="BC56" s="28">
        <v>0</v>
      </c>
      <c r="BD56" s="74">
        <v>0</v>
      </c>
      <c r="BE56" s="28">
        <v>5</v>
      </c>
      <c r="BF56" s="584">
        <v>6</v>
      </c>
      <c r="BG56" s="28">
        <v>13</v>
      </c>
      <c r="BH56" s="28">
        <v>10</v>
      </c>
      <c r="BI56" s="28">
        <v>1</v>
      </c>
      <c r="BJ56" s="28">
        <v>6</v>
      </c>
      <c r="BK56" s="28">
        <v>1</v>
      </c>
      <c r="BL56" s="89">
        <f>IFERROR((CHC_P151[[#This Row],[BB]]+CHC_P151[[#This Row],[H]])/CHC_P151[[#This Row],[IP]],0)</f>
        <v>2.3333333333333335</v>
      </c>
      <c r="BM56" s="28">
        <v>0</v>
      </c>
      <c r="BN56" s="90">
        <v>0</v>
      </c>
      <c r="BO56" s="28">
        <v>0</v>
      </c>
      <c r="BP56" s="74">
        <v>0</v>
      </c>
      <c r="BQ56" s="615">
        <v>5</v>
      </c>
    </row>
    <row r="57" spans="1:73">
      <c r="A57" s="651" t="s">
        <v>990</v>
      </c>
      <c r="B57" s="74" t="s">
        <v>215</v>
      </c>
      <c r="C57" s="28" t="s">
        <v>1016</v>
      </c>
      <c r="D57" s="88">
        <f>IFERROR((CHC_P[[#This Row],[R]]*9)/CHC_P[[#This Row],[IP]],0)</f>
        <v>0</v>
      </c>
      <c r="E57" s="28">
        <v>0</v>
      </c>
      <c r="F57" s="74">
        <v>0</v>
      </c>
      <c r="G57" s="28">
        <v>0</v>
      </c>
      <c r="H57" s="584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89">
        <f>IFERROR((CHC_P[[#This Row],[BB]]+CHC_P[[#This Row],[H]])/CHC_P[[#This Row],[IP]],0)</f>
        <v>0</v>
      </c>
      <c r="O57" s="28">
        <v>0</v>
      </c>
      <c r="P57" s="90">
        <v>0</v>
      </c>
      <c r="Q57" s="28">
        <v>0</v>
      </c>
      <c r="R57" s="74">
        <v>0</v>
      </c>
      <c r="S57" s="780">
        <v>6</v>
      </c>
      <c r="Z57" s="651" t="s">
        <v>990</v>
      </c>
      <c r="AA57" s="74" t="s">
        <v>215</v>
      </c>
      <c r="AB57" s="116" t="s">
        <v>1015</v>
      </c>
      <c r="AC57" s="88">
        <f>IFERROR((CHC_P139[[#This Row],[R]]*9)/CHC_P139[[#This Row],[IP]],0)</f>
        <v>3</v>
      </c>
      <c r="AD57" s="28">
        <v>0</v>
      </c>
      <c r="AE57" s="74">
        <v>0</v>
      </c>
      <c r="AF57" s="28">
        <v>2</v>
      </c>
      <c r="AG57" s="584">
        <v>3</v>
      </c>
      <c r="AH57" s="28">
        <v>3</v>
      </c>
      <c r="AI57" s="28">
        <v>1</v>
      </c>
      <c r="AJ57" s="28">
        <v>0</v>
      </c>
      <c r="AK57" s="28">
        <v>2</v>
      </c>
      <c r="AL57" s="28">
        <v>0</v>
      </c>
      <c r="AM57" s="89">
        <f>IFERROR((CHC_P139[[#This Row],[BB]]+CHC_P139[[#This Row],[H]])/CHC_P139[[#This Row],[IP]],0)</f>
        <v>1</v>
      </c>
      <c r="AN57" s="28">
        <v>0</v>
      </c>
      <c r="AO57" s="90">
        <v>0</v>
      </c>
      <c r="AP57" s="28">
        <v>0</v>
      </c>
      <c r="AQ57" s="74">
        <v>0</v>
      </c>
      <c r="AR57" s="780">
        <v>6</v>
      </c>
      <c r="AY57" s="651" t="s">
        <v>990</v>
      </c>
      <c r="AZ57" s="74" t="s">
        <v>215</v>
      </c>
      <c r="BA57" s="71" t="s">
        <v>1013</v>
      </c>
      <c r="BB57" s="88">
        <f>IFERROR(CHC_P151[[#This Row],[R]]*9/CHC_P151[[#This Row],[IP]],0)</f>
        <v>2.2973835354179961</v>
      </c>
      <c r="BC57" s="28">
        <v>0</v>
      </c>
      <c r="BD57" s="74">
        <v>0</v>
      </c>
      <c r="BE57" s="28">
        <v>7</v>
      </c>
      <c r="BF57" s="584">
        <v>15.67</v>
      </c>
      <c r="BG57" s="28">
        <v>15</v>
      </c>
      <c r="BH57" s="28">
        <v>4</v>
      </c>
      <c r="BI57" s="28">
        <v>8</v>
      </c>
      <c r="BJ57" s="28">
        <v>16</v>
      </c>
      <c r="BK57" s="28">
        <v>0</v>
      </c>
      <c r="BL57" s="89">
        <f>IFERROR((CHC_P151[[#This Row],[BB]]+CHC_P151[[#This Row],[H]])/CHC_P151[[#This Row],[IP]],0)</f>
        <v>1.467772814294831</v>
      </c>
      <c r="BM57" s="28">
        <v>0</v>
      </c>
      <c r="BN57" s="90">
        <v>0</v>
      </c>
      <c r="BO57" s="28">
        <v>0</v>
      </c>
      <c r="BP57" s="74">
        <v>0</v>
      </c>
      <c r="BQ57" s="615">
        <v>6</v>
      </c>
    </row>
    <row r="58" spans="1:73">
      <c r="A58" s="651" t="s">
        <v>990</v>
      </c>
      <c r="B58" s="74" t="s">
        <v>212</v>
      </c>
      <c r="C58" s="71" t="s">
        <v>1013</v>
      </c>
      <c r="D58" s="88">
        <f>IFERROR((CHC_P[[#This Row],[R]]*9)/CHC_P[[#This Row],[IP]],0)</f>
        <v>8.8286208886324307</v>
      </c>
      <c r="E58" s="28">
        <v>0</v>
      </c>
      <c r="F58" s="74">
        <v>0</v>
      </c>
      <c r="G58" s="28">
        <v>8</v>
      </c>
      <c r="H58" s="584">
        <v>17.329999999999998</v>
      </c>
      <c r="I58" s="28">
        <v>23</v>
      </c>
      <c r="J58" s="28">
        <v>17</v>
      </c>
      <c r="K58" s="28">
        <v>4</v>
      </c>
      <c r="L58" s="28">
        <v>17</v>
      </c>
      <c r="M58" s="28">
        <v>0</v>
      </c>
      <c r="N58" s="89">
        <f>IFERROR((CHC_P[[#This Row],[BB]]+CHC_P[[#This Row],[H]])/CHC_P[[#This Row],[IP]],0)</f>
        <v>1.55799192152337</v>
      </c>
      <c r="O58" s="28">
        <v>0</v>
      </c>
      <c r="P58" s="90">
        <v>0</v>
      </c>
      <c r="Q58" s="28">
        <v>0</v>
      </c>
      <c r="R58" s="74">
        <v>0</v>
      </c>
      <c r="S58" s="780">
        <v>7</v>
      </c>
      <c r="Z58" s="651" t="s">
        <v>990</v>
      </c>
      <c r="AA58" s="74" t="s">
        <v>212</v>
      </c>
      <c r="AB58" s="116" t="s">
        <v>1018</v>
      </c>
      <c r="AC58" s="88">
        <f>IFERROR((CHC_P139[[#This Row],[R]]*9)/CHC_P139[[#This Row],[IP]],0)</f>
        <v>6.531204644412191</v>
      </c>
      <c r="AD58" s="28">
        <v>3</v>
      </c>
      <c r="AE58" s="74">
        <v>3</v>
      </c>
      <c r="AF58" s="28">
        <v>13</v>
      </c>
      <c r="AG58" s="584">
        <v>20.67</v>
      </c>
      <c r="AH58" s="28">
        <v>25</v>
      </c>
      <c r="AI58" s="28">
        <v>15</v>
      </c>
      <c r="AJ58" s="28">
        <v>8</v>
      </c>
      <c r="AK58" s="28">
        <v>21</v>
      </c>
      <c r="AL58" s="28">
        <v>0</v>
      </c>
      <c r="AM58" s="89">
        <f>IFERROR((CHC_P139[[#This Row],[BB]]+CHC_P139[[#This Row],[H]])/CHC_P139[[#This Row],[IP]],0)</f>
        <v>1.5965166908563133</v>
      </c>
      <c r="AN58" s="28">
        <v>0</v>
      </c>
      <c r="AO58" s="90">
        <v>0</v>
      </c>
      <c r="AP58" s="28">
        <v>0</v>
      </c>
      <c r="AQ58" s="74">
        <v>0</v>
      </c>
      <c r="AR58" s="780">
        <v>7</v>
      </c>
      <c r="AY58" s="651" t="s">
        <v>990</v>
      </c>
      <c r="AZ58" s="74" t="s">
        <v>215</v>
      </c>
      <c r="BA58" s="71" t="s">
        <v>1014</v>
      </c>
      <c r="BB58" s="88">
        <f>IFERROR(CHC_P151[[#This Row],[R]]*9/CHC_P151[[#This Row],[IP]],0)</f>
        <v>3.742203742203742</v>
      </c>
      <c r="BC58" s="28">
        <v>1</v>
      </c>
      <c r="BD58" s="74">
        <v>1</v>
      </c>
      <c r="BE58" s="28">
        <v>16</v>
      </c>
      <c r="BF58" s="584">
        <v>33.67</v>
      </c>
      <c r="BG58" s="28">
        <v>31</v>
      </c>
      <c r="BH58" s="28">
        <v>14</v>
      </c>
      <c r="BI58" s="28">
        <v>10</v>
      </c>
      <c r="BJ58" s="28">
        <v>31</v>
      </c>
      <c r="BK58" s="28">
        <v>0</v>
      </c>
      <c r="BL58" s="89">
        <f>IFERROR((CHC_P151[[#This Row],[BB]]+CHC_P151[[#This Row],[H]])/CHC_P151[[#This Row],[IP]],0)</f>
        <v>1.2177012177012176</v>
      </c>
      <c r="BM58" s="28">
        <v>0</v>
      </c>
      <c r="BN58" s="90">
        <v>0</v>
      </c>
      <c r="BO58" s="28">
        <v>0</v>
      </c>
      <c r="BP58" s="74">
        <v>0</v>
      </c>
      <c r="BQ58" s="615">
        <v>7</v>
      </c>
    </row>
    <row r="59" spans="1:73">
      <c r="A59" s="651" t="s">
        <v>990</v>
      </c>
      <c r="B59" s="74" t="s">
        <v>215</v>
      </c>
      <c r="C59" s="116" t="s">
        <v>1019</v>
      </c>
      <c r="D59" s="88">
        <f>IFERROR((CHC_P[[#This Row],[R]]*9)/CHC_P[[#This Row],[IP]],0)</f>
        <v>3.375</v>
      </c>
      <c r="E59" s="28">
        <v>1</v>
      </c>
      <c r="F59" s="74">
        <v>0</v>
      </c>
      <c r="G59" s="28">
        <v>13</v>
      </c>
      <c r="H59" s="584">
        <v>16</v>
      </c>
      <c r="I59" s="28">
        <v>18</v>
      </c>
      <c r="J59" s="28">
        <v>6</v>
      </c>
      <c r="K59" s="28">
        <v>4</v>
      </c>
      <c r="L59" s="28">
        <v>20</v>
      </c>
      <c r="M59" s="28">
        <v>0</v>
      </c>
      <c r="N59" s="89">
        <f>IFERROR((CHC_P[[#This Row],[BB]]+CHC_P[[#This Row],[H]])/CHC_P[[#This Row],[IP]],0)</f>
        <v>1.375</v>
      </c>
      <c r="O59" s="28">
        <v>0</v>
      </c>
      <c r="P59" s="90">
        <v>0</v>
      </c>
      <c r="Q59" s="28">
        <v>0</v>
      </c>
      <c r="R59" s="74">
        <v>0</v>
      </c>
      <c r="S59" s="780">
        <v>8</v>
      </c>
      <c r="Z59" s="651" t="s">
        <v>990</v>
      </c>
      <c r="AA59" s="74" t="s">
        <v>212</v>
      </c>
      <c r="AB59" s="116" t="s">
        <v>1014</v>
      </c>
      <c r="AC59" s="88">
        <f>IFERROR((CHC_P139[[#This Row],[R]]*9)/CHC_P139[[#This Row],[IP]],0)</f>
        <v>2.5893958076448831</v>
      </c>
      <c r="AD59" s="28">
        <v>1</v>
      </c>
      <c r="AE59" s="74">
        <v>1</v>
      </c>
      <c r="AF59" s="28">
        <v>18</v>
      </c>
      <c r="AG59" s="584">
        <v>24.33</v>
      </c>
      <c r="AH59" s="28">
        <v>22</v>
      </c>
      <c r="AI59" s="28">
        <v>7</v>
      </c>
      <c r="AJ59" s="28">
        <v>6</v>
      </c>
      <c r="AK59" s="28">
        <v>27</v>
      </c>
      <c r="AL59" s="28">
        <v>0</v>
      </c>
      <c r="AM59" s="89">
        <f>IFERROR((CHC_P139[[#This Row],[BB]]+CHC_P139[[#This Row],[H]])/CHC_P139[[#This Row],[IP]],0)</f>
        <v>1.1508425811755036</v>
      </c>
      <c r="AN59" s="28">
        <v>0</v>
      </c>
      <c r="AO59" s="90">
        <v>0</v>
      </c>
      <c r="AP59" s="28">
        <v>0</v>
      </c>
      <c r="AQ59" s="74">
        <v>0</v>
      </c>
      <c r="AR59" s="780">
        <v>8</v>
      </c>
      <c r="AY59" s="651" t="s">
        <v>990</v>
      </c>
      <c r="AZ59" s="74" t="s">
        <v>212</v>
      </c>
      <c r="BA59" s="71" t="s">
        <v>1021</v>
      </c>
      <c r="BB59" s="88">
        <f>IFERROR(CHC_P151[[#This Row],[R]]*9/CHC_P151[[#This Row],[IP]],0)</f>
        <v>3.8579301898346605</v>
      </c>
      <c r="BC59" s="28">
        <v>2</v>
      </c>
      <c r="BD59" s="74">
        <v>3</v>
      </c>
      <c r="BE59" s="28">
        <v>16</v>
      </c>
      <c r="BF59" s="584">
        <v>16.329999999999998</v>
      </c>
      <c r="BG59" s="28">
        <v>16</v>
      </c>
      <c r="BH59" s="28">
        <v>7</v>
      </c>
      <c r="BI59" s="28">
        <v>3</v>
      </c>
      <c r="BJ59" s="28">
        <v>16</v>
      </c>
      <c r="BK59" s="28">
        <v>3</v>
      </c>
      <c r="BL59" s="89">
        <f>IFERROR((CHC_P151[[#This Row],[BB]]+CHC_P151[[#This Row],[H]])/CHC_P151[[#This Row],[IP]],0)</f>
        <v>1.1635027556644215</v>
      </c>
      <c r="BM59" s="28">
        <v>0</v>
      </c>
      <c r="BN59" s="90">
        <v>0</v>
      </c>
      <c r="BO59" s="28">
        <v>0</v>
      </c>
      <c r="BP59" s="74">
        <v>0</v>
      </c>
      <c r="BQ59" s="615">
        <v>8</v>
      </c>
    </row>
    <row r="60" spans="1:73">
      <c r="A60" s="651" t="s">
        <v>990</v>
      </c>
      <c r="B60" s="74" t="s">
        <v>212</v>
      </c>
      <c r="C60" s="633" t="s">
        <v>1017</v>
      </c>
      <c r="D60" s="88">
        <f>IFERROR((CHC_P[[#This Row],[R]]*9)/CHC_P[[#This Row],[IP]],0)</f>
        <v>2.219482120838471</v>
      </c>
      <c r="E60" s="28">
        <v>3</v>
      </c>
      <c r="F60" s="74">
        <v>5</v>
      </c>
      <c r="G60" s="28">
        <v>15</v>
      </c>
      <c r="H60" s="584">
        <v>24.33</v>
      </c>
      <c r="I60" s="28">
        <v>21</v>
      </c>
      <c r="J60" s="28">
        <v>6</v>
      </c>
      <c r="K60" s="28">
        <v>6</v>
      </c>
      <c r="L60" s="28">
        <v>18</v>
      </c>
      <c r="M60" s="28">
        <v>0</v>
      </c>
      <c r="N60" s="89">
        <f>IFERROR((CHC_P[[#This Row],[BB]]+CHC_P[[#This Row],[H]])/CHC_P[[#This Row],[IP]],0)</f>
        <v>1.1097410604192355</v>
      </c>
      <c r="O60" s="28">
        <v>0</v>
      </c>
      <c r="P60" s="90">
        <v>0</v>
      </c>
      <c r="Q60" s="28">
        <v>0</v>
      </c>
      <c r="R60" s="74">
        <v>0</v>
      </c>
      <c r="S60" s="780">
        <v>9</v>
      </c>
      <c r="Z60" s="651" t="s">
        <v>990</v>
      </c>
      <c r="AA60" s="74" t="s">
        <v>212</v>
      </c>
      <c r="AB60" s="116" t="s">
        <v>1017</v>
      </c>
      <c r="AC60" s="88">
        <f>IFERROR((CHC_P139[[#This Row],[R]]*9)/CHC_P139[[#This Row],[IP]],0)</f>
        <v>2.5054129291679557</v>
      </c>
      <c r="AD60" s="28">
        <v>2</v>
      </c>
      <c r="AE60" s="74">
        <v>1</v>
      </c>
      <c r="AF60" s="28">
        <v>17</v>
      </c>
      <c r="AG60" s="584">
        <v>32.33</v>
      </c>
      <c r="AH60" s="28">
        <v>27</v>
      </c>
      <c r="AI60" s="28">
        <v>9</v>
      </c>
      <c r="AJ60" s="28">
        <v>11</v>
      </c>
      <c r="AK60" s="28">
        <v>26</v>
      </c>
      <c r="AL60" s="28">
        <v>0</v>
      </c>
      <c r="AM60" s="89">
        <f>IFERROR((CHC_P139[[#This Row],[BB]]+CHC_P139[[#This Row],[H]])/CHC_P139[[#This Row],[IP]],0)</f>
        <v>1.1753789050417569</v>
      </c>
      <c r="AN60" s="28">
        <v>0</v>
      </c>
      <c r="AO60" s="90">
        <v>0</v>
      </c>
      <c r="AP60" s="28">
        <v>0</v>
      </c>
      <c r="AQ60" s="74">
        <v>0</v>
      </c>
      <c r="AR60" s="780">
        <v>9</v>
      </c>
      <c r="AY60" s="651" t="s">
        <v>990</v>
      </c>
      <c r="AZ60" s="74" t="s">
        <v>212</v>
      </c>
      <c r="BA60" s="71" t="s">
        <v>1017</v>
      </c>
      <c r="BB60" s="88">
        <f>IFERROR(CHC_P151[[#This Row],[R]]*9/CHC_P151[[#This Row],[IP]],0)</f>
        <v>2.4057024057024057</v>
      </c>
      <c r="BC60" s="28">
        <v>2</v>
      </c>
      <c r="BD60" s="74">
        <v>2</v>
      </c>
      <c r="BE60" s="28">
        <v>17</v>
      </c>
      <c r="BF60" s="584">
        <v>33.67</v>
      </c>
      <c r="BG60" s="28">
        <v>29</v>
      </c>
      <c r="BH60" s="28">
        <v>9</v>
      </c>
      <c r="BI60" s="28">
        <v>8</v>
      </c>
      <c r="BJ60" s="28">
        <v>23</v>
      </c>
      <c r="BK60" s="28">
        <v>3</v>
      </c>
      <c r="BL60" s="89">
        <f>IFERROR((CHC_P151[[#This Row],[BB]]+CHC_P151[[#This Row],[H]])/CHC_P151[[#This Row],[IP]],0)</f>
        <v>1.0989010989010988</v>
      </c>
      <c r="BM60" s="28">
        <v>0</v>
      </c>
      <c r="BN60" s="90">
        <v>0</v>
      </c>
      <c r="BO60" s="28">
        <v>0</v>
      </c>
      <c r="BP60" s="74">
        <v>0</v>
      </c>
      <c r="BQ60" s="615">
        <v>9</v>
      </c>
    </row>
    <row r="61" spans="1:73" ht="17" thickBot="1">
      <c r="A61" s="651" t="s">
        <v>990</v>
      </c>
      <c r="B61" s="74" t="s">
        <v>212</v>
      </c>
      <c r="C61" s="116" t="s">
        <v>1020</v>
      </c>
      <c r="D61" s="88">
        <f>IFERROR((CHC_P[[#This Row],[R]]*9)/CHC_P[[#This Row],[IP]],0)</f>
        <v>2.88</v>
      </c>
      <c r="E61" s="28">
        <v>1</v>
      </c>
      <c r="F61" s="74">
        <v>1</v>
      </c>
      <c r="G61" s="28">
        <v>21</v>
      </c>
      <c r="H61" s="584">
        <v>25</v>
      </c>
      <c r="I61" s="28">
        <v>21</v>
      </c>
      <c r="J61" s="28">
        <v>8</v>
      </c>
      <c r="K61" s="28">
        <v>3</v>
      </c>
      <c r="L61" s="28">
        <v>17</v>
      </c>
      <c r="M61" s="28">
        <v>10</v>
      </c>
      <c r="N61" s="89">
        <f>IFERROR((CHC_P[[#This Row],[BB]]+CHC_P[[#This Row],[H]])/CHC_P[[#This Row],[IP]],0)</f>
        <v>0.96</v>
      </c>
      <c r="O61" s="28">
        <v>0</v>
      </c>
      <c r="P61" s="90">
        <v>0</v>
      </c>
      <c r="Q61" s="28">
        <v>0</v>
      </c>
      <c r="R61" s="74">
        <v>0</v>
      </c>
      <c r="S61" s="780">
        <v>10</v>
      </c>
      <c r="Z61" s="651" t="s">
        <v>990</v>
      </c>
      <c r="AA61" s="74" t="s">
        <v>212</v>
      </c>
      <c r="AB61" s="116" t="s">
        <v>1020</v>
      </c>
      <c r="AC61" s="88">
        <f>IFERROR((CHC_P139[[#This Row],[R]]*9)/CHC_P139[[#This Row],[IP]],0)</f>
        <v>1.8240778273206322</v>
      </c>
      <c r="AD61" s="28">
        <v>1</v>
      </c>
      <c r="AE61" s="74">
        <v>0</v>
      </c>
      <c r="AF61" s="28">
        <v>22</v>
      </c>
      <c r="AG61" s="584">
        <v>24.67</v>
      </c>
      <c r="AH61" s="28">
        <v>20</v>
      </c>
      <c r="AI61" s="28">
        <v>5</v>
      </c>
      <c r="AJ61" s="28">
        <v>7</v>
      </c>
      <c r="AK61" s="28">
        <v>21</v>
      </c>
      <c r="AL61" s="28">
        <v>8</v>
      </c>
      <c r="AM61" s="89">
        <f>IFERROR((CHC_P139[[#This Row],[BB]]+CHC_P139[[#This Row],[H]])/CHC_P139[[#This Row],[IP]],0)</f>
        <v>1.0944466963923793</v>
      </c>
      <c r="AN61" s="28">
        <v>0</v>
      </c>
      <c r="AO61" s="90">
        <v>0</v>
      </c>
      <c r="AP61" s="28">
        <v>0</v>
      </c>
      <c r="AQ61" s="74">
        <v>0</v>
      </c>
      <c r="AR61" s="780">
        <v>10</v>
      </c>
      <c r="AY61" s="651" t="s">
        <v>990</v>
      </c>
      <c r="AZ61" s="74" t="s">
        <v>212</v>
      </c>
      <c r="BA61" s="71" t="s">
        <v>1020</v>
      </c>
      <c r="BB61" s="88">
        <f>IFERROR(CHC_P151[[#This Row],[R]]*9/CHC_P151[[#This Row],[IP]],0)</f>
        <v>6.2319676860934798</v>
      </c>
      <c r="BC61" s="28">
        <v>1</v>
      </c>
      <c r="BD61" s="74">
        <v>1</v>
      </c>
      <c r="BE61" s="28">
        <v>17</v>
      </c>
      <c r="BF61" s="584">
        <v>17.329999999999998</v>
      </c>
      <c r="BG61" s="28">
        <v>20</v>
      </c>
      <c r="BH61" s="28">
        <v>12</v>
      </c>
      <c r="BI61" s="28">
        <v>4</v>
      </c>
      <c r="BJ61" s="28">
        <v>19</v>
      </c>
      <c r="BK61" s="28">
        <v>1</v>
      </c>
      <c r="BL61" s="89">
        <f>IFERROR((CHC_P151[[#This Row],[BB]]+CHC_P151[[#This Row],[H]])/CHC_P151[[#This Row],[IP]],0)</f>
        <v>1.3848817080207734</v>
      </c>
      <c r="BM61" s="28">
        <v>0</v>
      </c>
      <c r="BN61" s="90">
        <v>0</v>
      </c>
      <c r="BO61" s="28">
        <v>0</v>
      </c>
      <c r="BP61" s="74">
        <v>0</v>
      </c>
      <c r="BQ61" s="615">
        <v>10</v>
      </c>
    </row>
    <row r="62" spans="1:73" ht="17" thickBot="1">
      <c r="A62" s="691"/>
      <c r="B62" s="692"/>
      <c r="C62" s="693" t="s">
        <v>195</v>
      </c>
      <c r="D62" s="745">
        <f>(J62*9)/H62</f>
        <v>4.628571428571429</v>
      </c>
      <c r="E62" s="696">
        <f>SUBTOTAL(109,CHC_P[W])</f>
        <v>18</v>
      </c>
      <c r="F62" s="697">
        <f>SUBTOTAL(109,CHC_P[L])</f>
        <v>22</v>
      </c>
      <c r="G62" s="696"/>
      <c r="H62" s="700">
        <f>SUBTOTAL(109,CHC_P[IP])</f>
        <v>350</v>
      </c>
      <c r="I62" s="696">
        <f>SUBTOTAL(109,CHC_P[H])</f>
        <v>352</v>
      </c>
      <c r="J62" s="696">
        <f>SUBTOTAL(109,CHC_P[R])</f>
        <v>180</v>
      </c>
      <c r="K62" s="696">
        <f>SUBTOTAL(109,CHC_P[BB])</f>
        <v>109</v>
      </c>
      <c r="L62" s="696">
        <f>SUBTOTAL(109,CHC_P[K])</f>
        <v>310</v>
      </c>
      <c r="M62" s="696">
        <f>SUBTOTAL(109,CHC_P[SV])</f>
        <v>10</v>
      </c>
      <c r="N62" s="746">
        <f>(K62+I62)/H62</f>
        <v>1.3171428571428572</v>
      </c>
      <c r="O62" s="701">
        <f>SUBTOTAL(109,CHC_P[QS])</f>
        <v>22</v>
      </c>
      <c r="P62" s="702">
        <f>SUBTOTAL(109,CHC_P[UQ])</f>
        <v>14</v>
      </c>
      <c r="Q62" s="703">
        <f>SUBTOTAL(109,CHC_P[CG])</f>
        <v>2</v>
      </c>
      <c r="R62" s="704">
        <f>SUBTOTAL(109,CHC_P[SH])</f>
        <v>2</v>
      </c>
      <c r="S62" s="698"/>
      <c r="Z62" s="691"/>
      <c r="AA62" s="692"/>
      <c r="AB62" s="693" t="s">
        <v>195</v>
      </c>
      <c r="AC62" s="745">
        <f>(AI62*9)/AG62</f>
        <v>3.301720155439007</v>
      </c>
      <c r="AD62" s="696">
        <f>SUBTOTAL(109,CHC_P139[W])</f>
        <v>25</v>
      </c>
      <c r="AE62" s="697">
        <f>SUBTOTAL(109,CHC_P139[L])</f>
        <v>15</v>
      </c>
      <c r="AF62" s="696"/>
      <c r="AG62" s="855">
        <f>SUBTOTAL(109,CHC_P139[IP])</f>
        <v>367.98999999999995</v>
      </c>
      <c r="AH62" s="696">
        <f>SUBTOTAL(109,CHC_P139[H])</f>
        <v>349</v>
      </c>
      <c r="AI62" s="696">
        <f>SUBTOTAL(109,CHC_P139[R])</f>
        <v>135</v>
      </c>
      <c r="AJ62" s="696">
        <f>SUBTOTAL(109,CHC_P139[BB])</f>
        <v>121</v>
      </c>
      <c r="AK62" s="696">
        <f>SUBTOTAL(109,CHC_P139[K])</f>
        <v>300</v>
      </c>
      <c r="AL62" s="696">
        <f>SUBTOTAL(109,CHC_P139[SV])</f>
        <v>8</v>
      </c>
      <c r="AM62" s="746">
        <f>(AJ62+AH62)/AG62</f>
        <v>1.2772086197994512</v>
      </c>
      <c r="AN62" s="701">
        <f>SUBTOTAL(109,CHC_P139[QS])</f>
        <v>27</v>
      </c>
      <c r="AO62" s="702">
        <f>SUBTOTAL(109,CHC_P139[UQ])</f>
        <v>13</v>
      </c>
      <c r="AP62" s="703">
        <f>SUBTOTAL(109,CHC_P139[CG])</f>
        <v>2</v>
      </c>
      <c r="AQ62" s="704">
        <f>SUBTOTAL(109,CHC_P139[SH])</f>
        <v>2</v>
      </c>
      <c r="AR62" s="698"/>
      <c r="AY62" s="691"/>
      <c r="AZ62" s="692"/>
      <c r="BA62" s="693" t="s">
        <v>195</v>
      </c>
      <c r="BB62" s="745">
        <f>(BH62*9)/BF62</f>
        <v>4.7280670224237564</v>
      </c>
      <c r="BC62" s="696">
        <f>SUBTOTAL(109,CHC_P151[W])</f>
        <v>17</v>
      </c>
      <c r="BD62" s="697">
        <f>SUBTOTAL(109,CHC_P151[L])</f>
        <v>23</v>
      </c>
      <c r="BE62" s="696"/>
      <c r="BF62" s="700">
        <f>SUBTOTAL(109,CHC_P151[IP])</f>
        <v>361.67</v>
      </c>
      <c r="BG62" s="696">
        <f>SUBTOTAL(109,CHC_P151[H])</f>
        <v>392</v>
      </c>
      <c r="BH62" s="696">
        <f>SUBTOTAL(109,CHC_P151[R])</f>
        <v>190</v>
      </c>
      <c r="BI62" s="774">
        <f>SUBTOTAL(109,CHC_P151[BB])</f>
        <v>116</v>
      </c>
      <c r="BJ62" s="696">
        <f>SUBTOTAL(109,CHC_P151[K])</f>
        <v>310</v>
      </c>
      <c r="BK62" s="696">
        <f>SUBTOTAL(109,CHC_P151[SV])</f>
        <v>8</v>
      </c>
      <c r="BL62" s="746">
        <f>(BI62+BG62)/BF62</f>
        <v>1.4045953493516188</v>
      </c>
      <c r="BM62" s="701">
        <f>SUBTOTAL(109,CHC_P151[QS])</f>
        <v>20</v>
      </c>
      <c r="BN62" s="702">
        <f>SUM(BN52:BN61)</f>
        <v>12</v>
      </c>
      <c r="BO62" s="703">
        <f>SUM(BO52:BO61)</f>
        <v>3</v>
      </c>
      <c r="BP62" s="704">
        <f>SUM(BP52:BP61)</f>
        <v>3</v>
      </c>
      <c r="BQ62" s="698"/>
    </row>
    <row r="63" spans="1:73" ht="17" thickBot="1"/>
    <row r="64" spans="1:73" ht="24" thickBot="1">
      <c r="A64" s="1012" t="s">
        <v>1022</v>
      </c>
      <c r="B64" s="1013"/>
      <c r="C64" s="1013"/>
      <c r="D64" s="1013"/>
      <c r="E64" s="1013"/>
      <c r="F64" s="1013"/>
      <c r="G64" s="1013"/>
      <c r="H64" s="1013"/>
      <c r="I64" s="1013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4"/>
      <c r="Z64" s="1012" t="s">
        <v>1023</v>
      </c>
      <c r="AA64" s="1013"/>
      <c r="AB64" s="1013"/>
      <c r="AC64" s="1013"/>
      <c r="AD64" s="1013"/>
      <c r="AE64" s="1013"/>
      <c r="AF64" s="1013"/>
      <c r="AG64" s="1013"/>
      <c r="AH64" s="1013"/>
      <c r="AI64" s="1013"/>
      <c r="AJ64" s="1013"/>
      <c r="AK64" s="1013"/>
      <c r="AL64" s="1013"/>
      <c r="AM64" s="1013"/>
      <c r="AN64" s="1013"/>
      <c r="AO64" s="1013"/>
      <c r="AP64" s="1013"/>
      <c r="AQ64" s="1013"/>
      <c r="AR64" s="1013"/>
      <c r="AS64" s="1013"/>
      <c r="AT64" s="1013"/>
      <c r="AU64" s="1013"/>
      <c r="AV64" s="1014"/>
      <c r="AY64" s="1012" t="s">
        <v>1024</v>
      </c>
      <c r="AZ64" s="1013"/>
      <c r="BA64" s="1013"/>
      <c r="BB64" s="1013"/>
      <c r="BC64" s="1013"/>
      <c r="BD64" s="1013"/>
      <c r="BE64" s="1013"/>
      <c r="BF64" s="1013"/>
      <c r="BG64" s="1013"/>
      <c r="BH64" s="1013"/>
      <c r="BI64" s="1013"/>
      <c r="BJ64" s="1013"/>
      <c r="BK64" s="1013"/>
      <c r="BL64" s="1013"/>
      <c r="BM64" s="1013"/>
      <c r="BN64" s="1013"/>
      <c r="BO64" s="1013"/>
      <c r="BP64" s="1013"/>
      <c r="BQ64" s="1013"/>
      <c r="BR64" s="1013"/>
      <c r="BS64" s="1013"/>
      <c r="BT64" s="1013"/>
      <c r="BU64" s="1014"/>
    </row>
    <row r="65" spans="1:73" s="64" customFormat="1" ht="14" thickBot="1">
      <c r="A65" s="605" t="s">
        <v>143</v>
      </c>
      <c r="B65" s="606" t="s">
        <v>144</v>
      </c>
      <c r="C65" s="606" t="s">
        <v>145</v>
      </c>
      <c r="D65" s="606" t="s">
        <v>146</v>
      </c>
      <c r="E65" s="606" t="s">
        <v>147</v>
      </c>
      <c r="F65" s="606" t="s">
        <v>148</v>
      </c>
      <c r="G65" s="606" t="s">
        <v>149</v>
      </c>
      <c r="H65" s="606" t="s">
        <v>150</v>
      </c>
      <c r="I65" s="606" t="s">
        <v>151</v>
      </c>
      <c r="J65" s="606" t="s">
        <v>152</v>
      </c>
      <c r="K65" s="606" t="s">
        <v>153</v>
      </c>
      <c r="L65" s="606" t="s">
        <v>154</v>
      </c>
      <c r="M65" s="606" t="s">
        <v>155</v>
      </c>
      <c r="N65" s="606" t="s">
        <v>156</v>
      </c>
      <c r="O65" s="606" t="s">
        <v>157</v>
      </c>
      <c r="P65" s="606" t="s">
        <v>158</v>
      </c>
      <c r="Q65" s="606" t="s">
        <v>159</v>
      </c>
      <c r="R65" s="606" t="s">
        <v>160</v>
      </c>
      <c r="S65" s="606" t="s">
        <v>16</v>
      </c>
      <c r="T65" s="606" t="s">
        <v>161</v>
      </c>
      <c r="U65" s="606" t="s">
        <v>162</v>
      </c>
      <c r="V65" s="606" t="s">
        <v>163</v>
      </c>
      <c r="W65" s="607" t="s">
        <v>164</v>
      </c>
      <c r="Z65" s="605" t="s">
        <v>143</v>
      </c>
      <c r="AA65" s="606" t="s">
        <v>144</v>
      </c>
      <c r="AB65" s="606" t="s">
        <v>145</v>
      </c>
      <c r="AC65" s="606" t="s">
        <v>146</v>
      </c>
      <c r="AD65" s="606" t="s">
        <v>147</v>
      </c>
      <c r="AE65" s="606" t="s">
        <v>148</v>
      </c>
      <c r="AF65" s="606" t="s">
        <v>149</v>
      </c>
      <c r="AG65" s="606" t="s">
        <v>150</v>
      </c>
      <c r="AH65" s="606" t="s">
        <v>151</v>
      </c>
      <c r="AI65" s="606" t="s">
        <v>152</v>
      </c>
      <c r="AJ65" s="606" t="s">
        <v>153</v>
      </c>
      <c r="AK65" s="606" t="s">
        <v>154</v>
      </c>
      <c r="AL65" s="606" t="s">
        <v>155</v>
      </c>
      <c r="AM65" s="606" t="s">
        <v>156</v>
      </c>
      <c r="AN65" s="606" t="s">
        <v>157</v>
      </c>
      <c r="AO65" s="606" t="s">
        <v>158</v>
      </c>
      <c r="AP65" s="606" t="s">
        <v>159</v>
      </c>
      <c r="AQ65" s="606" t="s">
        <v>160</v>
      </c>
      <c r="AR65" s="606" t="s">
        <v>16</v>
      </c>
      <c r="AS65" s="606" t="s">
        <v>161</v>
      </c>
      <c r="AT65" s="606" t="s">
        <v>162</v>
      </c>
      <c r="AU65" s="606" t="s">
        <v>163</v>
      </c>
      <c r="AV65" s="607" t="s">
        <v>164</v>
      </c>
      <c r="AY65" s="605" t="s">
        <v>143</v>
      </c>
      <c r="AZ65" s="606" t="s">
        <v>144</v>
      </c>
      <c r="BA65" s="606" t="s">
        <v>145</v>
      </c>
      <c r="BB65" s="606" t="s">
        <v>146</v>
      </c>
      <c r="BC65" s="606" t="s">
        <v>147</v>
      </c>
      <c r="BD65" s="606" t="s">
        <v>148</v>
      </c>
      <c r="BE65" s="606" t="s">
        <v>149</v>
      </c>
      <c r="BF65" s="606" t="s">
        <v>150</v>
      </c>
      <c r="BG65" s="606" t="s">
        <v>151</v>
      </c>
      <c r="BH65" s="606" t="s">
        <v>152</v>
      </c>
      <c r="BI65" s="606" t="s">
        <v>153</v>
      </c>
      <c r="BJ65" s="606" t="s">
        <v>154</v>
      </c>
      <c r="BK65" s="606" t="s">
        <v>155</v>
      </c>
      <c r="BL65" s="606" t="s">
        <v>156</v>
      </c>
      <c r="BM65" s="606" t="s">
        <v>157</v>
      </c>
      <c r="BN65" s="606" t="s">
        <v>158</v>
      </c>
      <c r="BO65" s="606" t="s">
        <v>159</v>
      </c>
      <c r="BP65" s="606" t="s">
        <v>160</v>
      </c>
      <c r="BQ65" s="606" t="s">
        <v>16</v>
      </c>
      <c r="BR65" s="606" t="s">
        <v>161</v>
      </c>
      <c r="BS65" s="606" t="s">
        <v>162</v>
      </c>
      <c r="BT65" s="606" t="s">
        <v>163</v>
      </c>
      <c r="BU65" s="607" t="s">
        <v>164</v>
      </c>
    </row>
    <row r="66" spans="1:73">
      <c r="A66" s="650" t="s">
        <v>1025</v>
      </c>
      <c r="B66" s="597" t="s">
        <v>179</v>
      </c>
      <c r="C66" s="597" t="s">
        <v>1031</v>
      </c>
      <c r="D66" s="598">
        <f>IFERROR(CIN_H[[#This Row],[H]]/CIN_H[[#This Row],[AB]],0)</f>
        <v>0.20754716981132076</v>
      </c>
      <c r="E66" s="598">
        <f>IFERROR((CIN_H[[#This Row],[H]]+CIN_H[[#This Row],[BB]])/(CIN_H[[#This Row],[BB]]+CIN_H[[#This Row],[AB]]),0)</f>
        <v>0.3</v>
      </c>
      <c r="F66" s="599">
        <f>IFERROR(((CIN_H[[#This Row],[H]]-CIN_H[[#This Row],[2B]]-CIN_H[[#This Row],[3B]]-CIN_H[[#This Row],[HR]])+(CIN_H[[#This Row],[2B]]*2)+(CIN_H[[#This Row],[3B]]*3)+(CIN_H[[#This Row],[HR]]*4))/CIN_H[[#This Row],[AB]],0)</f>
        <v>0.35849056603773582</v>
      </c>
      <c r="G66" s="600">
        <v>33</v>
      </c>
      <c r="H66" s="600">
        <v>106</v>
      </c>
      <c r="I66" s="600">
        <v>7</v>
      </c>
      <c r="J66" s="600">
        <v>22</v>
      </c>
      <c r="K66" s="600">
        <v>4</v>
      </c>
      <c r="L66" s="600">
        <v>0</v>
      </c>
      <c r="M66" s="600">
        <v>4</v>
      </c>
      <c r="N66" s="600">
        <v>12</v>
      </c>
      <c r="O66" s="600">
        <v>14</v>
      </c>
      <c r="P66" s="604">
        <v>24</v>
      </c>
      <c r="Q66" s="600">
        <v>0</v>
      </c>
      <c r="R66" s="600">
        <v>2</v>
      </c>
      <c r="S66" s="604">
        <v>3</v>
      </c>
      <c r="T66" s="600">
        <f>IFERROR((CIN_H[[#This Row],[H]]-CIN_H[[#This Row],[2B]]-CIN_H[[#This Row],[3B]]-CIN_H[[#This Row],[HR]])+(CIN_H[[#This Row],[2B]]*2)+(CIN_H[[#This Row],[3B]]*3)+(CIN_H[[#This Row],[HR]]*4),0)</f>
        <v>38</v>
      </c>
      <c r="U66" s="598">
        <f>CIN_H[[#This Row],[OBP]]+CIN_H[[#This Row],[SLG]]</f>
        <v>0.65849056603773581</v>
      </c>
      <c r="V66" s="604">
        <v>3</v>
      </c>
      <c r="W66" s="614">
        <v>1</v>
      </c>
      <c r="Z66" s="650" t="s">
        <v>1025</v>
      </c>
      <c r="AA66" s="597" t="s">
        <v>179</v>
      </c>
      <c r="AB66" s="597" t="s">
        <v>1031</v>
      </c>
      <c r="AC66" s="598">
        <f>IFERROR(CIN_H142[[#This Row],[H]]/CIN_H142[[#This Row],[AB]],0)</f>
        <v>0.22695035460992907</v>
      </c>
      <c r="AD66" s="598">
        <f>IFERROR((CIN_H142[[#This Row],[H]]+CIN_H142[[#This Row],[BB]])/(CIN_H142[[#This Row],[BB]]+CIN_H142[[#This Row],[AB]]),0)</f>
        <v>0.30573248407643311</v>
      </c>
      <c r="AE66" s="599">
        <f>IFERROR(((CIN_H142[[#This Row],[H]]-CIN_H142[[#This Row],[2B]]-CIN_H142[[#This Row],[3B]]-CIN_H142[[#This Row],[HR]])+(CIN_H142[[#This Row],[2B]]*2)+(CIN_H142[[#This Row],[3B]]*3)+(CIN_H142[[#This Row],[HR]]*4))/CIN_H142[[#This Row],[AB]],0)</f>
        <v>0.37588652482269502</v>
      </c>
      <c r="AF66" s="600">
        <v>38</v>
      </c>
      <c r="AG66" s="600">
        <v>141</v>
      </c>
      <c r="AH66" s="600">
        <v>16</v>
      </c>
      <c r="AI66" s="600">
        <v>32</v>
      </c>
      <c r="AJ66" s="600">
        <v>9</v>
      </c>
      <c r="AK66" s="600">
        <v>0</v>
      </c>
      <c r="AL66" s="600">
        <v>4</v>
      </c>
      <c r="AM66" s="600">
        <v>14</v>
      </c>
      <c r="AN66" s="600">
        <v>16</v>
      </c>
      <c r="AO66" s="604">
        <v>38</v>
      </c>
      <c r="AP66" s="600">
        <v>0</v>
      </c>
      <c r="AQ66" s="600">
        <v>0</v>
      </c>
      <c r="AR66" s="604">
        <v>7</v>
      </c>
      <c r="AS66" s="600">
        <f>IFERROR((CIN_H142[[#This Row],[H]]-CIN_H142[[#This Row],[2B]]-CIN_H142[[#This Row],[3B]]-CIN_H142[[#This Row],[HR]])+(CIN_H142[[#This Row],[2B]]*2)+(CIN_H142[[#This Row],[3B]]*3)+(CIN_H142[[#This Row],[HR]]*4),0)</f>
        <v>53</v>
      </c>
      <c r="AT66" s="598">
        <f>CIN_H142[[#This Row],[OBP]]+CIN_H142[[#This Row],[SLG]]</f>
        <v>0.68161900889912808</v>
      </c>
      <c r="AU66" s="604">
        <v>2</v>
      </c>
      <c r="AV66" s="614">
        <v>1</v>
      </c>
      <c r="AY66" s="650" t="s">
        <v>1025</v>
      </c>
      <c r="AZ66" s="632" t="s">
        <v>179</v>
      </c>
      <c r="BA66" s="597" t="s">
        <v>1031</v>
      </c>
      <c r="BB66" s="598">
        <f>IFERROR(CIN_H152[[#This Row],[H]]/CIN_H152[[#This Row],[AB]],0)</f>
        <v>0.25547445255474455</v>
      </c>
      <c r="BC66" s="598">
        <f>IFERROR((CIN_H152[[#This Row],[BB]]+CIN_H152[[#This Row],[H]])/(CIN_H152[[#This Row],[BB]]+CIN_H152[[#This Row],[AB]]),0)</f>
        <v>0.34615384615384615</v>
      </c>
      <c r="BD66" s="599">
        <f>IFERROR(((CIN_H152[[#This Row],[H]]-CIN_H152[[#This Row],[2B]]-CIN_H152[[#This Row],[3B]]-CIN_H152[[#This Row],[HR]])+(CIN_H152[[#This Row],[2B]]*2)+(CIN_H152[[#This Row],[3B]]*3)+(CIN_H152[[#This Row],[HR]]*4))/CIN_H152[[#This Row],[AB]],0)</f>
        <v>0.49635036496350365</v>
      </c>
      <c r="BE66" s="600">
        <v>38</v>
      </c>
      <c r="BF66" s="600">
        <v>137</v>
      </c>
      <c r="BG66" s="600">
        <v>20</v>
      </c>
      <c r="BH66" s="600">
        <v>35</v>
      </c>
      <c r="BI66" s="600">
        <v>9</v>
      </c>
      <c r="BJ66" s="600">
        <v>0</v>
      </c>
      <c r="BK66" s="600">
        <v>8</v>
      </c>
      <c r="BL66" s="600">
        <v>19</v>
      </c>
      <c r="BM66" s="600">
        <v>19</v>
      </c>
      <c r="BN66" s="604">
        <v>38</v>
      </c>
      <c r="BO66" s="600">
        <v>0</v>
      </c>
      <c r="BP66" s="600">
        <v>3</v>
      </c>
      <c r="BQ66" s="604">
        <v>4</v>
      </c>
      <c r="BR66" s="600">
        <f>IFERROR((CIN_H152[[#This Row],[H]]-CIN_H152[[#This Row],[2B]]-CIN_H152[[#This Row],[3B]]-CIN_H152[[#This Row],[HR]])+(CIN_H152[[#This Row],[2B]]*2)+(CIN_H152[[#This Row],[3B]]*3)+(CIN_H152[[#This Row],[HR]]*4),0)</f>
        <v>68</v>
      </c>
      <c r="BS66" s="598">
        <f>IFERROR(CIN_H152[[#This Row],[OBP]]+CIN_H152[[#This Row],[SLG]],0)</f>
        <v>0.84250421111734974</v>
      </c>
      <c r="BT66" s="604">
        <v>4</v>
      </c>
      <c r="BU66" s="779">
        <v>1</v>
      </c>
    </row>
    <row r="67" spans="1:73">
      <c r="A67" s="651" t="s">
        <v>1025</v>
      </c>
      <c r="B67" s="71" t="s">
        <v>154</v>
      </c>
      <c r="C67" s="71" t="s">
        <v>1035</v>
      </c>
      <c r="D67" s="72">
        <f>IFERROR(CIN_H[[#This Row],[H]]/CIN_H[[#This Row],[AB]],0)</f>
        <v>0.19548872180451127</v>
      </c>
      <c r="E67" s="72">
        <f>IFERROR((CIN_H[[#This Row],[H]]+CIN_H[[#This Row],[BB]])/(CIN_H[[#This Row],[BB]]+CIN_H[[#This Row],[AB]]),0)</f>
        <v>0.24113475177304963</v>
      </c>
      <c r="F67" s="73">
        <f>IFERROR(((CIN_H[[#This Row],[H]]-CIN_H[[#This Row],[2B]]-CIN_H[[#This Row],[3B]]-CIN_H[[#This Row],[HR]])+(CIN_H[[#This Row],[2B]]*2)+(CIN_H[[#This Row],[3B]]*3)+(CIN_H[[#This Row],[HR]]*4))/CIN_H[[#This Row],[AB]],0)</f>
        <v>0.2932330827067669</v>
      </c>
      <c r="G67" s="28">
        <v>34</v>
      </c>
      <c r="H67" s="28">
        <v>133</v>
      </c>
      <c r="I67" s="28">
        <v>6</v>
      </c>
      <c r="J67" s="28">
        <v>26</v>
      </c>
      <c r="K67" s="28">
        <v>7</v>
      </c>
      <c r="L67" s="28">
        <v>0</v>
      </c>
      <c r="M67" s="28">
        <v>2</v>
      </c>
      <c r="N67" s="28">
        <v>12</v>
      </c>
      <c r="O67" s="28">
        <v>8</v>
      </c>
      <c r="P67" s="74">
        <v>45</v>
      </c>
      <c r="Q67" s="28">
        <v>0</v>
      </c>
      <c r="R67" s="28">
        <v>1</v>
      </c>
      <c r="S67" s="74">
        <v>4</v>
      </c>
      <c r="T67" s="28">
        <f>IFERROR((CIN_H[[#This Row],[H]]-CIN_H[[#This Row],[2B]]-CIN_H[[#This Row],[3B]]-CIN_H[[#This Row],[HR]])+(CIN_H[[#This Row],[2B]]*2)+(CIN_H[[#This Row],[3B]]*3)+(CIN_H[[#This Row],[HR]]*4),0)</f>
        <v>39</v>
      </c>
      <c r="U67" s="72">
        <f>CIN_H[[#This Row],[OBP]]+CIN_H[[#This Row],[SLG]]</f>
        <v>0.53436783447981651</v>
      </c>
      <c r="V67" s="74">
        <v>1</v>
      </c>
      <c r="W67" s="615">
        <v>2</v>
      </c>
      <c r="Z67" s="651" t="s">
        <v>1025</v>
      </c>
      <c r="AA67" s="71" t="s">
        <v>154</v>
      </c>
      <c r="AB67" s="71" t="s">
        <v>620</v>
      </c>
      <c r="AC67" s="72">
        <f>IFERROR(CIN_H142[[#This Row],[H]]/CIN_H142[[#This Row],[AB]],0)</f>
        <v>0.25384615384615383</v>
      </c>
      <c r="AD67" s="72">
        <f>IFERROR((CIN_H142[[#This Row],[H]]+CIN_H142[[#This Row],[BB]])/(CIN_H142[[#This Row],[BB]]+CIN_H142[[#This Row],[AB]]),0)</f>
        <v>0.32167832167832167</v>
      </c>
      <c r="AE67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0.53076923076923077</v>
      </c>
      <c r="AF67" s="28">
        <v>35</v>
      </c>
      <c r="AG67" s="28">
        <v>130</v>
      </c>
      <c r="AH67" s="28">
        <v>15</v>
      </c>
      <c r="AI67" s="28">
        <v>33</v>
      </c>
      <c r="AJ67" s="28">
        <v>6</v>
      </c>
      <c r="AK67" s="28">
        <v>0</v>
      </c>
      <c r="AL67" s="28">
        <v>10</v>
      </c>
      <c r="AM67" s="28">
        <v>21</v>
      </c>
      <c r="AN67" s="28">
        <v>13</v>
      </c>
      <c r="AO67" s="74">
        <v>40</v>
      </c>
      <c r="AP67" s="28">
        <v>0</v>
      </c>
      <c r="AQ67" s="28">
        <v>1</v>
      </c>
      <c r="AR67" s="74">
        <v>6</v>
      </c>
      <c r="AS67" s="28">
        <f>IFERROR((CIN_H142[[#This Row],[H]]-CIN_H142[[#This Row],[2B]]-CIN_H142[[#This Row],[3B]]-CIN_H142[[#This Row],[HR]])+(CIN_H142[[#This Row],[2B]]*2)+(CIN_H142[[#This Row],[3B]]*3)+(CIN_H142[[#This Row],[HR]]*4),0)</f>
        <v>69</v>
      </c>
      <c r="AT67" s="72">
        <f>CIN_H142[[#This Row],[OBP]]+CIN_H142[[#This Row],[SLG]]</f>
        <v>0.85244755244755244</v>
      </c>
      <c r="AU67" s="74">
        <v>5</v>
      </c>
      <c r="AV67" s="615">
        <v>2</v>
      </c>
      <c r="AY67" s="651" t="s">
        <v>1025</v>
      </c>
      <c r="AZ67" s="74" t="s">
        <v>154</v>
      </c>
      <c r="BA67" s="71" t="s">
        <v>620</v>
      </c>
      <c r="BB67" s="72">
        <f>IFERROR(CIN_H152[[#This Row],[H]]/CIN_H152[[#This Row],[AB]],0)</f>
        <v>0.28301886792452829</v>
      </c>
      <c r="BC67" s="72">
        <f>IFERROR((CIN_H152[[#This Row],[BB]]+CIN_H152[[#This Row],[H]])/(CIN_H152[[#This Row],[BB]]+CIN_H152[[#This Row],[AB]]),0)</f>
        <v>0.33720930232558138</v>
      </c>
      <c r="BD67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0.42138364779874216</v>
      </c>
      <c r="BE67" s="28">
        <v>40</v>
      </c>
      <c r="BF67" s="28">
        <v>159</v>
      </c>
      <c r="BG67" s="28">
        <v>16</v>
      </c>
      <c r="BH67" s="28">
        <v>45</v>
      </c>
      <c r="BI67" s="28">
        <v>7</v>
      </c>
      <c r="BJ67" s="28">
        <v>0</v>
      </c>
      <c r="BK67" s="28">
        <v>5</v>
      </c>
      <c r="BL67" s="28">
        <v>20</v>
      </c>
      <c r="BM67" s="28">
        <v>13</v>
      </c>
      <c r="BN67" s="74">
        <v>47</v>
      </c>
      <c r="BO67" s="28">
        <v>0</v>
      </c>
      <c r="BP67" s="28">
        <v>0</v>
      </c>
      <c r="BQ67" s="74">
        <v>6</v>
      </c>
      <c r="BR67" s="28">
        <f>IFERROR((CIN_H152[[#This Row],[H]]-CIN_H152[[#This Row],[2B]]-CIN_H152[[#This Row],[3B]]-CIN_H152[[#This Row],[HR]])+(CIN_H152[[#This Row],[2B]]*2)+(CIN_H152[[#This Row],[3B]]*3)+(CIN_H152[[#This Row],[HR]]*4),0)</f>
        <v>67</v>
      </c>
      <c r="BS67" s="72">
        <f>IFERROR(CIN_H152[[#This Row],[OBP]]+CIN_H152[[#This Row],[SLG]],0)</f>
        <v>0.7585929501243236</v>
      </c>
      <c r="BT67" s="74">
        <v>3</v>
      </c>
      <c r="BU67" s="780">
        <v>2</v>
      </c>
    </row>
    <row r="68" spans="1:73">
      <c r="A68" s="651" t="s">
        <v>1025</v>
      </c>
      <c r="B68" s="71" t="s">
        <v>235</v>
      </c>
      <c r="C68" s="71" t="s">
        <v>1026</v>
      </c>
      <c r="D68" s="72">
        <f>IFERROR(CIN_H[[#This Row],[H]]/CIN_H[[#This Row],[AB]],0)</f>
        <v>0.23870967741935484</v>
      </c>
      <c r="E68" s="72">
        <f>IFERROR((CIN_H[[#This Row],[H]]+CIN_H[[#This Row],[BB]])/(CIN_H[[#This Row],[BB]]+CIN_H[[#This Row],[AB]]),0)</f>
        <v>0.30177514792899407</v>
      </c>
      <c r="F68" s="73">
        <f>IFERROR(((CIN_H[[#This Row],[H]]-CIN_H[[#This Row],[2B]]-CIN_H[[#This Row],[3B]]-CIN_H[[#This Row],[HR]])+(CIN_H[[#This Row],[2B]]*2)+(CIN_H[[#This Row],[3B]]*3)+(CIN_H[[#This Row],[HR]]*4))/CIN_H[[#This Row],[AB]],0)</f>
        <v>0.38709677419354838</v>
      </c>
      <c r="G68" s="28">
        <v>40</v>
      </c>
      <c r="H68" s="28">
        <v>155</v>
      </c>
      <c r="I68" s="28">
        <v>20</v>
      </c>
      <c r="J68" s="28">
        <v>37</v>
      </c>
      <c r="K68" s="28">
        <v>10</v>
      </c>
      <c r="L68" s="28">
        <v>2</v>
      </c>
      <c r="M68" s="28">
        <v>3</v>
      </c>
      <c r="N68" s="28">
        <v>13</v>
      </c>
      <c r="O68" s="28">
        <v>14</v>
      </c>
      <c r="P68" s="74">
        <v>52</v>
      </c>
      <c r="Q68" s="28">
        <v>10</v>
      </c>
      <c r="R68" s="28">
        <v>0</v>
      </c>
      <c r="S68" s="74">
        <v>7</v>
      </c>
      <c r="T68" s="28">
        <f>IFERROR((CIN_H[[#This Row],[H]]-CIN_H[[#This Row],[2B]]-CIN_H[[#This Row],[3B]]-CIN_H[[#This Row],[HR]])+(CIN_H[[#This Row],[2B]]*2)+(CIN_H[[#This Row],[3B]]*3)+(CIN_H[[#This Row],[HR]]*4),0)</f>
        <v>60</v>
      </c>
      <c r="U68" s="72">
        <f>CIN_H[[#This Row],[OBP]]+CIN_H[[#This Row],[SLG]]</f>
        <v>0.68887192212254245</v>
      </c>
      <c r="V68" s="74">
        <v>1</v>
      </c>
      <c r="W68" s="615">
        <v>3</v>
      </c>
      <c r="Z68" s="651" t="s">
        <v>1025</v>
      </c>
      <c r="AA68" s="71" t="s">
        <v>172</v>
      </c>
      <c r="AB68" s="71" t="s">
        <v>1030</v>
      </c>
      <c r="AC68" s="72">
        <f>IFERROR(CIN_H142[[#This Row],[H]]/CIN_H142[[#This Row],[AB]],0)</f>
        <v>0.27329192546583853</v>
      </c>
      <c r="AD68" s="72">
        <f>IFERROR((CIN_H142[[#This Row],[H]]+CIN_H142[[#This Row],[BB]])/(CIN_H142[[#This Row],[BB]]+CIN_H142[[#This Row],[AB]]),0)</f>
        <v>0.35</v>
      </c>
      <c r="AE68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0.40372670807453415</v>
      </c>
      <c r="AF68" s="28">
        <v>38</v>
      </c>
      <c r="AG68" s="28">
        <v>161</v>
      </c>
      <c r="AH68" s="28">
        <v>22</v>
      </c>
      <c r="AI68" s="28">
        <v>44</v>
      </c>
      <c r="AJ68" s="28">
        <v>6</v>
      </c>
      <c r="AK68" s="28">
        <v>0</v>
      </c>
      <c r="AL68" s="28">
        <v>5</v>
      </c>
      <c r="AM68" s="28">
        <v>16</v>
      </c>
      <c r="AN68" s="28">
        <v>19</v>
      </c>
      <c r="AO68" s="74">
        <v>33</v>
      </c>
      <c r="AP68" s="28">
        <v>6</v>
      </c>
      <c r="AQ68" s="28">
        <v>0</v>
      </c>
      <c r="AR68" s="74">
        <v>9</v>
      </c>
      <c r="AS68" s="28">
        <f>IFERROR((CIN_H142[[#This Row],[H]]-CIN_H142[[#This Row],[2B]]-CIN_H142[[#This Row],[3B]]-CIN_H142[[#This Row],[HR]])+(CIN_H142[[#This Row],[2B]]*2)+(CIN_H142[[#This Row],[3B]]*3)+(CIN_H142[[#This Row],[HR]]*4),0)</f>
        <v>65</v>
      </c>
      <c r="AT68" s="72">
        <f>CIN_H142[[#This Row],[OBP]]+CIN_H142[[#This Row],[SLG]]</f>
        <v>0.75372670807453412</v>
      </c>
      <c r="AU68" s="74">
        <v>2</v>
      </c>
      <c r="AV68" s="615">
        <v>3</v>
      </c>
      <c r="AY68" s="651" t="s">
        <v>1025</v>
      </c>
      <c r="AZ68" s="74" t="s">
        <v>172</v>
      </c>
      <c r="BA68" s="71" t="s">
        <v>1030</v>
      </c>
      <c r="BB68" s="72">
        <f>IFERROR(CIN_H152[[#This Row],[H]]/CIN_H152[[#This Row],[AB]],0)</f>
        <v>0.26946107784431139</v>
      </c>
      <c r="BC68" s="72">
        <f>IFERROR((CIN_H152[[#This Row],[BB]]+CIN_H152[[#This Row],[H]])/(CIN_H152[[#This Row],[BB]]+CIN_H152[[#This Row],[AB]]),0)</f>
        <v>0.34054054054054056</v>
      </c>
      <c r="BD68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0.44910179640718562</v>
      </c>
      <c r="BE68" s="28">
        <v>40</v>
      </c>
      <c r="BF68" s="28">
        <v>167</v>
      </c>
      <c r="BG68" s="28">
        <v>25</v>
      </c>
      <c r="BH68" s="28">
        <v>45</v>
      </c>
      <c r="BI68" s="28">
        <v>7</v>
      </c>
      <c r="BJ68" s="28">
        <v>1</v>
      </c>
      <c r="BK68" s="28">
        <v>7</v>
      </c>
      <c r="BL68" s="28">
        <v>19</v>
      </c>
      <c r="BM68" s="28">
        <v>18</v>
      </c>
      <c r="BN68" s="74">
        <v>34</v>
      </c>
      <c r="BO68" s="28">
        <v>4</v>
      </c>
      <c r="BP68" s="28">
        <v>1</v>
      </c>
      <c r="BQ68" s="74">
        <v>9</v>
      </c>
      <c r="BR68" s="28">
        <f>IFERROR((CIN_H152[[#This Row],[H]]-CIN_H152[[#This Row],[2B]]-CIN_H152[[#This Row],[3B]]-CIN_H152[[#This Row],[HR]])+(CIN_H152[[#This Row],[2B]]*2)+(CIN_H152[[#This Row],[3B]]*3)+(CIN_H152[[#This Row],[HR]]*4),0)</f>
        <v>75</v>
      </c>
      <c r="BS68" s="72">
        <f>IFERROR(CIN_H152[[#This Row],[OBP]]+CIN_H152[[#This Row],[SLG]],0)</f>
        <v>0.78964233694772612</v>
      </c>
      <c r="BT68" s="74">
        <v>2</v>
      </c>
      <c r="BU68" s="780">
        <v>3</v>
      </c>
    </row>
    <row r="69" spans="1:73">
      <c r="A69" s="651" t="s">
        <v>1025</v>
      </c>
      <c r="B69" s="71" t="s">
        <v>311</v>
      </c>
      <c r="C69" s="71" t="s">
        <v>1040</v>
      </c>
      <c r="D69" s="72">
        <f>IFERROR(CIN_H[[#This Row],[H]]/CIN_H[[#This Row],[AB]],0)</f>
        <v>0.203125</v>
      </c>
      <c r="E69" s="72">
        <f>IFERROR((CIN_H[[#This Row],[H]]+CIN_H[[#This Row],[BB]])/(CIN_H[[#This Row],[BB]]+CIN_H[[#This Row],[AB]]),0)</f>
        <v>0.25</v>
      </c>
      <c r="F69" s="73">
        <f>IFERROR(((CIN_H[[#This Row],[H]]-CIN_H[[#This Row],[2B]]-CIN_H[[#This Row],[3B]]-CIN_H[[#This Row],[HR]])+(CIN_H[[#This Row],[2B]]*2)+(CIN_H[[#This Row],[3B]]*3)+(CIN_H[[#This Row],[HR]]*4))/CIN_H[[#This Row],[AB]],0)</f>
        <v>0.3125</v>
      </c>
      <c r="G69" s="28">
        <v>18</v>
      </c>
      <c r="H69" s="28">
        <v>64</v>
      </c>
      <c r="I69" s="28">
        <v>5</v>
      </c>
      <c r="J69" s="28">
        <v>13</v>
      </c>
      <c r="K69" s="28">
        <v>1</v>
      </c>
      <c r="L69" s="28">
        <v>0</v>
      </c>
      <c r="M69" s="28">
        <v>2</v>
      </c>
      <c r="N69" s="28">
        <v>3</v>
      </c>
      <c r="O69" s="28">
        <v>4</v>
      </c>
      <c r="P69" s="74">
        <v>25</v>
      </c>
      <c r="Q69" s="28">
        <v>0</v>
      </c>
      <c r="R69" s="28">
        <v>6</v>
      </c>
      <c r="S69" s="74">
        <v>6</v>
      </c>
      <c r="T69" s="28">
        <f>IFERROR((CIN_H[[#This Row],[H]]-CIN_H[[#This Row],[2B]]-CIN_H[[#This Row],[3B]]-CIN_H[[#This Row],[HR]])+(CIN_H[[#This Row],[2B]]*2)+(CIN_H[[#This Row],[3B]]*3)+(CIN_H[[#This Row],[HR]]*4),0)</f>
        <v>20</v>
      </c>
      <c r="U69" s="72">
        <f>CIN_H[[#This Row],[OBP]]+CIN_H[[#This Row],[SLG]]</f>
        <v>0.5625</v>
      </c>
      <c r="V69" s="74">
        <v>1</v>
      </c>
      <c r="W69" s="615">
        <v>4</v>
      </c>
      <c r="Z69" s="651" t="s">
        <v>1025</v>
      </c>
      <c r="AA69" s="71" t="s">
        <v>153</v>
      </c>
      <c r="AB69" s="71" t="s">
        <v>1032</v>
      </c>
      <c r="AC69" s="72">
        <f>IFERROR(CIN_H142[[#This Row],[H]]/CIN_H142[[#This Row],[AB]],0)</f>
        <v>0.33606557377049179</v>
      </c>
      <c r="AD69" s="72">
        <f>IFERROR((CIN_H142[[#This Row],[H]]+CIN_H142[[#This Row],[BB]])/(CIN_H142[[#This Row],[BB]]+CIN_H142[[#This Row],[AB]]),0)</f>
        <v>0.38636363636363635</v>
      </c>
      <c r="AE69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0.57377049180327866</v>
      </c>
      <c r="AF69" s="28">
        <v>32</v>
      </c>
      <c r="AG69" s="28">
        <v>122</v>
      </c>
      <c r="AH69" s="28">
        <v>20</v>
      </c>
      <c r="AI69" s="28">
        <v>41</v>
      </c>
      <c r="AJ69" s="28">
        <v>11</v>
      </c>
      <c r="AK69" s="28">
        <v>0</v>
      </c>
      <c r="AL69" s="28">
        <v>6</v>
      </c>
      <c r="AM69" s="28">
        <v>19</v>
      </c>
      <c r="AN69" s="28">
        <v>10</v>
      </c>
      <c r="AO69" s="74">
        <v>12</v>
      </c>
      <c r="AP69" s="28">
        <v>0</v>
      </c>
      <c r="AQ69" s="28">
        <v>1</v>
      </c>
      <c r="AR69" s="104">
        <v>16</v>
      </c>
      <c r="AS69" s="28">
        <f>IFERROR((CIN_H142[[#This Row],[H]]-CIN_H142[[#This Row],[2B]]-CIN_H142[[#This Row],[3B]]-CIN_H142[[#This Row],[HR]])+(CIN_H142[[#This Row],[2B]]*2)+(CIN_H142[[#This Row],[3B]]*3)+(CIN_H142[[#This Row],[HR]]*4),0)</f>
        <v>70</v>
      </c>
      <c r="AT69" s="72">
        <f>CIN_H142[[#This Row],[OBP]]+CIN_H142[[#This Row],[SLG]]</f>
        <v>0.96013412816691501</v>
      </c>
      <c r="AU69" s="74">
        <v>0</v>
      </c>
      <c r="AV69" s="615">
        <v>4</v>
      </c>
      <c r="AY69" s="651" t="s">
        <v>1025</v>
      </c>
      <c r="AZ69" s="74" t="s">
        <v>153</v>
      </c>
      <c r="BA69" s="71" t="s">
        <v>1037</v>
      </c>
      <c r="BB69" s="72">
        <f>IFERROR(CIN_H152[[#This Row],[H]]/CIN_H152[[#This Row],[AB]],0)</f>
        <v>0.21</v>
      </c>
      <c r="BC69" s="72">
        <f>IFERROR((CIN_H152[[#This Row],[BB]]+CIN_H152[[#This Row],[H]])/(CIN_H152[[#This Row],[BB]]+CIN_H152[[#This Row],[AB]]),0)</f>
        <v>0.26851851851851855</v>
      </c>
      <c r="BD69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0.33</v>
      </c>
      <c r="BE69" s="28">
        <v>32</v>
      </c>
      <c r="BF69" s="28">
        <v>100</v>
      </c>
      <c r="BG69" s="28">
        <v>12</v>
      </c>
      <c r="BH69" s="28">
        <v>21</v>
      </c>
      <c r="BI69" s="28">
        <v>3</v>
      </c>
      <c r="BJ69" s="28">
        <v>0</v>
      </c>
      <c r="BK69" s="28">
        <v>3</v>
      </c>
      <c r="BL69" s="28">
        <v>9</v>
      </c>
      <c r="BM69" s="28">
        <v>8</v>
      </c>
      <c r="BN69" s="74">
        <v>20</v>
      </c>
      <c r="BO69" s="28">
        <v>0</v>
      </c>
      <c r="BP69" s="28">
        <v>2</v>
      </c>
      <c r="BQ69" s="74">
        <v>3</v>
      </c>
      <c r="BR69" s="28">
        <f>IFERROR((CIN_H152[[#This Row],[H]]-CIN_H152[[#This Row],[2B]]-CIN_H152[[#This Row],[3B]]-CIN_H152[[#This Row],[HR]])+(CIN_H152[[#This Row],[2B]]*2)+(CIN_H152[[#This Row],[3B]]*3)+(CIN_H152[[#This Row],[HR]]*4),0)</f>
        <v>33</v>
      </c>
      <c r="BS69" s="72">
        <f>IFERROR(CIN_H152[[#This Row],[OBP]]+CIN_H152[[#This Row],[SLG]],0)</f>
        <v>0.59851851851851856</v>
      </c>
      <c r="BT69" s="74">
        <v>1</v>
      </c>
      <c r="BU69" s="780">
        <v>4</v>
      </c>
    </row>
    <row r="70" spans="1:73">
      <c r="A70" s="651" t="s">
        <v>1025</v>
      </c>
      <c r="B70" s="71" t="s">
        <v>177</v>
      </c>
      <c r="C70" s="71" t="s">
        <v>1027</v>
      </c>
      <c r="D70" s="72">
        <f>IFERROR(CIN_H[[#This Row],[H]]/CIN_H[[#This Row],[AB]],0)</f>
        <v>0.23972602739726026</v>
      </c>
      <c r="E70" s="72">
        <f>IFERROR((CIN_H[[#This Row],[H]]+CIN_H[[#This Row],[BB]])/(CIN_H[[#This Row],[BB]]+CIN_H[[#This Row],[AB]]),0)</f>
        <v>0.32317073170731708</v>
      </c>
      <c r="F70" s="73">
        <f>IFERROR(((CIN_H[[#This Row],[H]]-CIN_H[[#This Row],[2B]]-CIN_H[[#This Row],[3B]]-CIN_H[[#This Row],[HR]])+(CIN_H[[#This Row],[2B]]*2)+(CIN_H[[#This Row],[3B]]*3)+(CIN_H[[#This Row],[HR]]*4))/CIN_H[[#This Row],[AB]],0)</f>
        <v>0.34246575342465752</v>
      </c>
      <c r="G70" s="28">
        <v>38</v>
      </c>
      <c r="H70" s="28">
        <v>146</v>
      </c>
      <c r="I70" s="28">
        <v>15</v>
      </c>
      <c r="J70" s="28">
        <v>35</v>
      </c>
      <c r="K70" s="28">
        <v>6</v>
      </c>
      <c r="L70" s="28">
        <v>0</v>
      </c>
      <c r="M70" s="28">
        <v>3</v>
      </c>
      <c r="N70" s="28">
        <v>11</v>
      </c>
      <c r="O70" s="28">
        <v>18</v>
      </c>
      <c r="P70" s="74">
        <v>40</v>
      </c>
      <c r="Q70" s="28">
        <v>0</v>
      </c>
      <c r="R70" s="28">
        <v>1</v>
      </c>
      <c r="S70" s="74">
        <v>5</v>
      </c>
      <c r="T70" s="28">
        <f>IFERROR((CIN_H[[#This Row],[H]]-CIN_H[[#This Row],[2B]]-CIN_H[[#This Row],[3B]]-CIN_H[[#This Row],[HR]])+(CIN_H[[#This Row],[2B]]*2)+(CIN_H[[#This Row],[3B]]*3)+(CIN_H[[#This Row],[HR]]*4),0)</f>
        <v>50</v>
      </c>
      <c r="U70" s="72">
        <f>CIN_H[[#This Row],[OBP]]+CIN_H[[#This Row],[SLG]]</f>
        <v>0.6656364851319746</v>
      </c>
      <c r="V70" s="74">
        <v>2</v>
      </c>
      <c r="W70" s="615">
        <v>5</v>
      </c>
      <c r="Z70" s="651" t="s">
        <v>1025</v>
      </c>
      <c r="AA70" s="71" t="s">
        <v>177</v>
      </c>
      <c r="AB70" s="71" t="s">
        <v>1027</v>
      </c>
      <c r="AC70" s="72">
        <f>IFERROR(CIN_H142[[#This Row],[H]]/CIN_H142[[#This Row],[AB]],0)</f>
        <v>0.30821917808219179</v>
      </c>
      <c r="AD70" s="72">
        <f>IFERROR((CIN_H142[[#This Row],[H]]+CIN_H142[[#This Row],[BB]])/(CIN_H142[[#This Row],[BB]]+CIN_H142[[#This Row],[AB]]),0)</f>
        <v>0.41279069767441862</v>
      </c>
      <c r="AE70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0.5547945205479452</v>
      </c>
      <c r="AF70" s="28">
        <v>38</v>
      </c>
      <c r="AG70" s="28">
        <v>146</v>
      </c>
      <c r="AH70" s="28">
        <v>13</v>
      </c>
      <c r="AI70" s="28">
        <v>45</v>
      </c>
      <c r="AJ70" s="28">
        <v>9</v>
      </c>
      <c r="AK70" s="28">
        <v>0</v>
      </c>
      <c r="AL70" s="28">
        <v>9</v>
      </c>
      <c r="AM70" s="28">
        <v>21</v>
      </c>
      <c r="AN70" s="28">
        <v>26</v>
      </c>
      <c r="AO70" s="74">
        <v>36</v>
      </c>
      <c r="AP70" s="28">
        <v>0</v>
      </c>
      <c r="AQ70" s="28">
        <v>0</v>
      </c>
      <c r="AR70" s="74">
        <v>7</v>
      </c>
      <c r="AS70" s="28">
        <f>IFERROR((CIN_H142[[#This Row],[H]]-CIN_H142[[#This Row],[2B]]-CIN_H142[[#This Row],[3B]]-CIN_H142[[#This Row],[HR]])+(CIN_H142[[#This Row],[2B]]*2)+(CIN_H142[[#This Row],[3B]]*3)+(CIN_H142[[#This Row],[HR]]*4),0)</f>
        <v>81</v>
      </c>
      <c r="AT70" s="72">
        <f>CIN_H142[[#This Row],[OBP]]+CIN_H142[[#This Row],[SLG]]</f>
        <v>0.96758521822236387</v>
      </c>
      <c r="AU70" s="74">
        <v>1</v>
      </c>
      <c r="AV70" s="615">
        <v>5</v>
      </c>
      <c r="AY70" s="651" t="s">
        <v>1025</v>
      </c>
      <c r="AZ70" s="74" t="s">
        <v>177</v>
      </c>
      <c r="BA70" s="71" t="s">
        <v>1027</v>
      </c>
      <c r="BB70" s="72">
        <f>IFERROR(CIN_H152[[#This Row],[H]]/CIN_H152[[#This Row],[AB]],0)</f>
        <v>0.25850340136054423</v>
      </c>
      <c r="BC70" s="72">
        <f>IFERROR((CIN_H152[[#This Row],[BB]]+CIN_H152[[#This Row],[H]])/(CIN_H152[[#This Row],[BB]]+CIN_H152[[#This Row],[AB]]),0)</f>
        <v>0.35882352941176471</v>
      </c>
      <c r="BD70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0.43537414965986393</v>
      </c>
      <c r="BE70" s="28">
        <v>38</v>
      </c>
      <c r="BF70" s="28">
        <v>147</v>
      </c>
      <c r="BG70" s="28">
        <v>20</v>
      </c>
      <c r="BH70" s="28">
        <v>38</v>
      </c>
      <c r="BI70" s="28">
        <v>11</v>
      </c>
      <c r="BJ70" s="28">
        <v>0</v>
      </c>
      <c r="BK70" s="28">
        <v>5</v>
      </c>
      <c r="BL70" s="28">
        <v>15</v>
      </c>
      <c r="BM70" s="28">
        <v>23</v>
      </c>
      <c r="BN70" s="74">
        <v>44</v>
      </c>
      <c r="BO70" s="28">
        <v>0</v>
      </c>
      <c r="BP70" s="28">
        <v>0</v>
      </c>
      <c r="BQ70" s="74">
        <v>5</v>
      </c>
      <c r="BR70" s="28">
        <f>IFERROR((CIN_H152[[#This Row],[H]]-CIN_H152[[#This Row],[2B]]-CIN_H152[[#This Row],[3B]]-CIN_H152[[#This Row],[HR]])+(CIN_H152[[#This Row],[2B]]*2)+(CIN_H152[[#This Row],[3B]]*3)+(CIN_H152[[#This Row],[HR]]*4),0)</f>
        <v>64</v>
      </c>
      <c r="BS70" s="72">
        <f>IFERROR(CIN_H152[[#This Row],[OBP]]+CIN_H152[[#This Row],[SLG]],0)</f>
        <v>0.79419767907162864</v>
      </c>
      <c r="BT70" s="74">
        <v>3</v>
      </c>
      <c r="BU70" s="780">
        <v>5</v>
      </c>
    </row>
    <row r="71" spans="1:73">
      <c r="A71" s="651" t="s">
        <v>1025</v>
      </c>
      <c r="B71" s="71" t="s">
        <v>174</v>
      </c>
      <c r="C71" s="71" t="s">
        <v>1034</v>
      </c>
      <c r="D71" s="72">
        <f>IFERROR(CIN_H[[#This Row],[H]]/CIN_H[[#This Row],[AB]],0)</f>
        <v>0.1941747572815534</v>
      </c>
      <c r="E71" s="72">
        <f>IFERROR((CIN_H[[#This Row],[H]]+CIN_H[[#This Row],[BB]])/(CIN_H[[#This Row],[BB]]+CIN_H[[#This Row],[AB]]),0)</f>
        <v>0.26548672566371684</v>
      </c>
      <c r="F71" s="73">
        <f>IFERROR(((CIN_H[[#This Row],[H]]-CIN_H[[#This Row],[2B]]-CIN_H[[#This Row],[3B]]-CIN_H[[#This Row],[HR]])+(CIN_H[[#This Row],[2B]]*2)+(CIN_H[[#This Row],[3B]]*3)+(CIN_H[[#This Row],[HR]]*4))/CIN_H[[#This Row],[AB]],0)</f>
        <v>0.41747572815533979</v>
      </c>
      <c r="G71" s="28">
        <v>29</v>
      </c>
      <c r="H71" s="28">
        <v>103</v>
      </c>
      <c r="I71" s="28">
        <v>7</v>
      </c>
      <c r="J71" s="28">
        <v>20</v>
      </c>
      <c r="K71" s="28">
        <v>6</v>
      </c>
      <c r="L71" s="28">
        <v>1</v>
      </c>
      <c r="M71" s="28">
        <v>5</v>
      </c>
      <c r="N71" s="28">
        <v>14</v>
      </c>
      <c r="O71" s="28">
        <v>10</v>
      </c>
      <c r="P71" s="74">
        <v>37</v>
      </c>
      <c r="Q71" s="28">
        <v>0</v>
      </c>
      <c r="R71" s="28">
        <v>0</v>
      </c>
      <c r="S71" s="74">
        <v>5</v>
      </c>
      <c r="T71" s="28">
        <f>IFERROR((CIN_H[[#This Row],[H]]-CIN_H[[#This Row],[2B]]-CIN_H[[#This Row],[3B]]-CIN_H[[#This Row],[HR]])+(CIN_H[[#This Row],[2B]]*2)+(CIN_H[[#This Row],[3B]]*3)+(CIN_H[[#This Row],[HR]]*4),0)</f>
        <v>43</v>
      </c>
      <c r="U71" s="72">
        <f>CIN_H[[#This Row],[OBP]]+CIN_H[[#This Row],[SLG]]</f>
        <v>0.68296245381905663</v>
      </c>
      <c r="V71" s="74">
        <v>1</v>
      </c>
      <c r="W71" s="615">
        <v>6</v>
      </c>
      <c r="Z71" s="651" t="s">
        <v>1025</v>
      </c>
      <c r="AA71" s="71" t="s">
        <v>174</v>
      </c>
      <c r="AB71" s="71" t="s">
        <v>1034</v>
      </c>
      <c r="AC71" s="72">
        <f>IFERROR(CIN_H142[[#This Row],[H]]/CIN_H142[[#This Row],[AB]],0)</f>
        <v>0.14782608695652175</v>
      </c>
      <c r="AD71" s="72">
        <f>IFERROR((CIN_H142[[#This Row],[H]]+CIN_H142[[#This Row],[BB]])/(CIN_H142[[#This Row],[BB]]+CIN_H142[[#This Row],[AB]]),0)</f>
        <v>0.2032520325203252</v>
      </c>
      <c r="AE71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0.27826086956521739</v>
      </c>
      <c r="AF71" s="28">
        <v>32</v>
      </c>
      <c r="AG71" s="28">
        <v>115</v>
      </c>
      <c r="AH71" s="28">
        <v>13</v>
      </c>
      <c r="AI71" s="28">
        <v>17</v>
      </c>
      <c r="AJ71" s="28">
        <v>6</v>
      </c>
      <c r="AK71" s="28">
        <v>0</v>
      </c>
      <c r="AL71" s="28">
        <v>3</v>
      </c>
      <c r="AM71" s="28">
        <v>11</v>
      </c>
      <c r="AN71" s="28">
        <v>8</v>
      </c>
      <c r="AO71" s="74">
        <v>34</v>
      </c>
      <c r="AP71" s="28">
        <v>0</v>
      </c>
      <c r="AQ71" s="28">
        <v>2</v>
      </c>
      <c r="AR71" s="74">
        <v>4</v>
      </c>
      <c r="AS71" s="28">
        <f>IFERROR((CIN_H142[[#This Row],[H]]-CIN_H142[[#This Row],[2B]]-CIN_H142[[#This Row],[3B]]-CIN_H142[[#This Row],[HR]])+(CIN_H142[[#This Row],[2B]]*2)+(CIN_H142[[#This Row],[3B]]*3)+(CIN_H142[[#This Row],[HR]]*4),0)</f>
        <v>32</v>
      </c>
      <c r="AT71" s="72">
        <f>CIN_H142[[#This Row],[OBP]]+CIN_H142[[#This Row],[SLG]]</f>
        <v>0.48151290208554259</v>
      </c>
      <c r="AU71" s="74">
        <v>0</v>
      </c>
      <c r="AV71" s="615">
        <v>6</v>
      </c>
      <c r="AY71" s="651" t="s">
        <v>1025</v>
      </c>
      <c r="AZ71" s="74" t="s">
        <v>174</v>
      </c>
      <c r="BA71" s="71" t="s">
        <v>1038</v>
      </c>
      <c r="BB71" s="72">
        <f>IFERROR(CIN_H152[[#This Row],[H]]/CIN_H152[[#This Row],[AB]],0)</f>
        <v>0.19753086419753085</v>
      </c>
      <c r="BC71" s="72">
        <f>IFERROR((CIN_H152[[#This Row],[BB]]+CIN_H152[[#This Row],[H]])/(CIN_H152[[#This Row],[BB]]+CIN_H152[[#This Row],[AB]]),0)</f>
        <v>0.2696629213483146</v>
      </c>
      <c r="BD71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0.37037037037037035</v>
      </c>
      <c r="BE71" s="28">
        <v>24</v>
      </c>
      <c r="BF71" s="28">
        <v>81</v>
      </c>
      <c r="BG71" s="28">
        <v>10</v>
      </c>
      <c r="BH71" s="28">
        <v>16</v>
      </c>
      <c r="BI71" s="28">
        <v>2</v>
      </c>
      <c r="BJ71" s="28">
        <v>0</v>
      </c>
      <c r="BK71" s="28">
        <v>4</v>
      </c>
      <c r="BL71" s="28">
        <v>12</v>
      </c>
      <c r="BM71" s="28">
        <v>8</v>
      </c>
      <c r="BN71" s="74">
        <v>29</v>
      </c>
      <c r="BO71" s="28">
        <v>0</v>
      </c>
      <c r="BP71" s="28">
        <v>0</v>
      </c>
      <c r="BQ71" s="74">
        <v>4</v>
      </c>
      <c r="BR71" s="28">
        <f>IFERROR((CIN_H152[[#This Row],[H]]-CIN_H152[[#This Row],[2B]]-CIN_H152[[#This Row],[3B]]-CIN_H152[[#This Row],[HR]])+(CIN_H152[[#This Row],[2B]]*2)+(CIN_H152[[#This Row],[3B]]*3)+(CIN_H152[[#This Row],[HR]]*4),0)</f>
        <v>30</v>
      </c>
      <c r="BS71" s="72">
        <f>IFERROR(CIN_H152[[#This Row],[OBP]]+CIN_H152[[#This Row],[SLG]],0)</f>
        <v>0.64003329171868495</v>
      </c>
      <c r="BT71" s="74">
        <v>1</v>
      </c>
      <c r="BU71" s="780">
        <v>6</v>
      </c>
    </row>
    <row r="72" spans="1:73">
      <c r="A72" s="651" t="s">
        <v>1025</v>
      </c>
      <c r="B72" s="71" t="s">
        <v>181</v>
      </c>
      <c r="C72" s="71" t="s">
        <v>1029</v>
      </c>
      <c r="D72" s="72">
        <f>IFERROR(CIN_H[[#This Row],[H]]/CIN_H[[#This Row],[AB]],0)</f>
        <v>0.22368421052631579</v>
      </c>
      <c r="E72" s="72">
        <f>IFERROR((CIN_H[[#This Row],[H]]+CIN_H[[#This Row],[BB]])/(CIN_H[[#This Row],[BB]]+CIN_H[[#This Row],[AB]]),0)</f>
        <v>0.30588235294117649</v>
      </c>
      <c r="F72" s="73">
        <f>IFERROR(((CIN_H[[#This Row],[H]]-CIN_H[[#This Row],[2B]]-CIN_H[[#This Row],[3B]]-CIN_H[[#This Row],[HR]])+(CIN_H[[#This Row],[2B]]*2)+(CIN_H[[#This Row],[3B]]*3)+(CIN_H[[#This Row],[HR]]*4))/CIN_H[[#This Row],[AB]],0)</f>
        <v>0.33552631578947367</v>
      </c>
      <c r="G72" s="28">
        <v>39</v>
      </c>
      <c r="H72" s="28">
        <v>152</v>
      </c>
      <c r="I72" s="28">
        <v>19</v>
      </c>
      <c r="J72" s="28">
        <v>34</v>
      </c>
      <c r="K72" s="28">
        <v>5</v>
      </c>
      <c r="L72" s="28">
        <v>0</v>
      </c>
      <c r="M72" s="28">
        <v>4</v>
      </c>
      <c r="N72" s="28">
        <v>8</v>
      </c>
      <c r="O72" s="28">
        <v>18</v>
      </c>
      <c r="P72" s="74">
        <v>52</v>
      </c>
      <c r="Q72" s="28">
        <v>18</v>
      </c>
      <c r="R72" s="28">
        <v>0</v>
      </c>
      <c r="S72" s="74">
        <v>5</v>
      </c>
      <c r="T72" s="28">
        <f>IFERROR((CIN_H[[#This Row],[H]]-CIN_H[[#This Row],[2B]]-CIN_H[[#This Row],[3B]]-CIN_H[[#This Row],[HR]])+(CIN_H[[#This Row],[2B]]*2)+(CIN_H[[#This Row],[3B]]*3)+(CIN_H[[#This Row],[HR]]*4),0)</f>
        <v>51</v>
      </c>
      <c r="U72" s="72">
        <f>CIN_H[[#This Row],[OBP]]+CIN_H[[#This Row],[SLG]]</f>
        <v>0.64140866873065017</v>
      </c>
      <c r="V72" s="74">
        <v>1</v>
      </c>
      <c r="W72" s="615">
        <v>7</v>
      </c>
      <c r="Z72" s="651" t="s">
        <v>1025</v>
      </c>
      <c r="AA72" s="71" t="s">
        <v>181</v>
      </c>
      <c r="AB72" s="71" t="s">
        <v>1029</v>
      </c>
      <c r="AC72" s="72">
        <f>IFERROR(CIN_H142[[#This Row],[H]]/CIN_H142[[#This Row],[AB]],0)</f>
        <v>0.23749999999999999</v>
      </c>
      <c r="AD72" s="72">
        <f>IFERROR((CIN_H142[[#This Row],[H]]+CIN_H142[[#This Row],[BB]])/(CIN_H142[[#This Row],[BB]]+CIN_H142[[#This Row],[AB]]),0)</f>
        <v>0.33333333333333331</v>
      </c>
      <c r="AE72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0.44374999999999998</v>
      </c>
      <c r="AF72" s="28">
        <v>40</v>
      </c>
      <c r="AG72" s="28">
        <v>160</v>
      </c>
      <c r="AH72" s="28">
        <v>27</v>
      </c>
      <c r="AI72" s="28">
        <v>38</v>
      </c>
      <c r="AJ72" s="28">
        <v>7</v>
      </c>
      <c r="AK72" s="28">
        <v>1</v>
      </c>
      <c r="AL72" s="28">
        <v>8</v>
      </c>
      <c r="AM72" s="28">
        <v>26</v>
      </c>
      <c r="AN72" s="28">
        <v>23</v>
      </c>
      <c r="AO72" s="74">
        <v>46</v>
      </c>
      <c r="AP72" s="28">
        <v>9</v>
      </c>
      <c r="AQ72" s="28">
        <v>0</v>
      </c>
      <c r="AR72" s="74">
        <v>9</v>
      </c>
      <c r="AS72" s="28">
        <f>IFERROR((CIN_H142[[#This Row],[H]]-CIN_H142[[#This Row],[2B]]-CIN_H142[[#This Row],[3B]]-CIN_H142[[#This Row],[HR]])+(CIN_H142[[#This Row],[2B]]*2)+(CIN_H142[[#This Row],[3B]]*3)+(CIN_H142[[#This Row],[HR]]*4),0)</f>
        <v>71</v>
      </c>
      <c r="AT72" s="72">
        <f>CIN_H142[[#This Row],[OBP]]+CIN_H142[[#This Row],[SLG]]</f>
        <v>0.77708333333333335</v>
      </c>
      <c r="AU72" s="74">
        <v>5</v>
      </c>
      <c r="AV72" s="615">
        <v>7</v>
      </c>
      <c r="AY72" s="651" t="s">
        <v>1025</v>
      </c>
      <c r="AZ72" s="74" t="s">
        <v>181</v>
      </c>
      <c r="BA72" s="71" t="s">
        <v>1034</v>
      </c>
      <c r="BB72" s="72">
        <f>IFERROR(CIN_H152[[#This Row],[H]]/CIN_H152[[#This Row],[AB]],0)</f>
        <v>0.18791946308724833</v>
      </c>
      <c r="BC72" s="72">
        <f>IFERROR((CIN_H152[[#This Row],[BB]]+CIN_H152[[#This Row],[H]])/(CIN_H152[[#This Row],[BB]]+CIN_H152[[#This Row],[AB]]),0)</f>
        <v>0.25308641975308643</v>
      </c>
      <c r="BD72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0.33557046979865773</v>
      </c>
      <c r="BE72" s="28">
        <v>40</v>
      </c>
      <c r="BF72" s="28">
        <v>149</v>
      </c>
      <c r="BG72" s="28">
        <v>15</v>
      </c>
      <c r="BH72" s="28">
        <v>28</v>
      </c>
      <c r="BI72" s="28">
        <v>4</v>
      </c>
      <c r="BJ72" s="28">
        <v>0</v>
      </c>
      <c r="BK72" s="28">
        <v>6</v>
      </c>
      <c r="BL72" s="28">
        <v>19</v>
      </c>
      <c r="BM72" s="28">
        <v>13</v>
      </c>
      <c r="BN72" s="74">
        <v>52</v>
      </c>
      <c r="BO72" s="28">
        <v>0</v>
      </c>
      <c r="BP72" s="28">
        <v>0</v>
      </c>
      <c r="BQ72" s="74">
        <v>3</v>
      </c>
      <c r="BR72" s="28">
        <f>IFERROR((CIN_H152[[#This Row],[H]]-CIN_H152[[#This Row],[2B]]-CIN_H152[[#This Row],[3B]]-CIN_H152[[#This Row],[HR]])+(CIN_H152[[#This Row],[2B]]*2)+(CIN_H152[[#This Row],[3B]]*3)+(CIN_H152[[#This Row],[HR]]*4),0)</f>
        <v>50</v>
      </c>
      <c r="BS72" s="72">
        <f>IFERROR(CIN_H152[[#This Row],[OBP]]+CIN_H152[[#This Row],[SLG]],0)</f>
        <v>0.58865688955174411</v>
      </c>
      <c r="BT72" s="74">
        <v>2</v>
      </c>
      <c r="BU72" s="780">
        <v>7</v>
      </c>
    </row>
    <row r="73" spans="1:73">
      <c r="A73" s="651" t="s">
        <v>1025</v>
      </c>
      <c r="B73" s="71" t="s">
        <v>166</v>
      </c>
      <c r="C73" s="71" t="s">
        <v>1028</v>
      </c>
      <c r="D73" s="72">
        <f>IFERROR(CIN_H[[#This Row],[H]]/CIN_H[[#This Row],[AB]],0)</f>
        <v>0.25</v>
      </c>
      <c r="E73" s="72">
        <f>IFERROR((CIN_H[[#This Row],[H]]+CIN_H[[#This Row],[BB]])/(CIN_H[[#This Row],[BB]]+CIN_H[[#This Row],[AB]]),0)</f>
        <v>0.30463576158940397</v>
      </c>
      <c r="F73" s="73">
        <f>IFERROR(((CIN_H[[#This Row],[H]]-CIN_H[[#This Row],[2B]]-CIN_H[[#This Row],[3B]]-CIN_H[[#This Row],[HR]])+(CIN_H[[#This Row],[2B]]*2)+(CIN_H[[#This Row],[3B]]*3)+(CIN_H[[#This Row],[HR]]*4))/CIN_H[[#This Row],[AB]],0)</f>
        <v>0.36428571428571427</v>
      </c>
      <c r="G73" s="28">
        <v>36</v>
      </c>
      <c r="H73" s="28">
        <v>140</v>
      </c>
      <c r="I73" s="28">
        <v>12</v>
      </c>
      <c r="J73" s="28">
        <v>35</v>
      </c>
      <c r="K73" s="28">
        <v>7</v>
      </c>
      <c r="L73" s="28">
        <v>0</v>
      </c>
      <c r="M73" s="28">
        <v>3</v>
      </c>
      <c r="N73" s="28">
        <v>17</v>
      </c>
      <c r="O73" s="28">
        <v>11</v>
      </c>
      <c r="P73" s="74">
        <v>37</v>
      </c>
      <c r="Q73" s="28">
        <v>0</v>
      </c>
      <c r="R73" s="28">
        <v>1</v>
      </c>
      <c r="S73" s="74">
        <v>7</v>
      </c>
      <c r="T73" s="28">
        <f>IFERROR((CIN_H[[#This Row],[H]]-CIN_H[[#This Row],[2B]]-CIN_H[[#This Row],[3B]]-CIN_H[[#This Row],[HR]])+(CIN_H[[#This Row],[2B]]*2)+(CIN_H[[#This Row],[3B]]*3)+(CIN_H[[#This Row],[HR]]*4),0)</f>
        <v>51</v>
      </c>
      <c r="U73" s="72">
        <f>CIN_H[[#This Row],[OBP]]+CIN_H[[#This Row],[SLG]]</f>
        <v>0.6689214758751183</v>
      </c>
      <c r="V73" s="74">
        <v>1</v>
      </c>
      <c r="W73" s="615">
        <v>8</v>
      </c>
      <c r="Z73" s="651" t="s">
        <v>1025</v>
      </c>
      <c r="AA73" s="71" t="s">
        <v>166</v>
      </c>
      <c r="AB73" s="71" t="s">
        <v>1028</v>
      </c>
      <c r="AC73" s="72">
        <f>IFERROR(CIN_H142[[#This Row],[H]]/CIN_H142[[#This Row],[AB]],0)</f>
        <v>0.22352941176470589</v>
      </c>
      <c r="AD73" s="72">
        <f>IFERROR((CIN_H142[[#This Row],[H]]+CIN_H142[[#This Row],[BB]])/(CIN_H142[[#This Row],[BB]]+CIN_H142[[#This Row],[AB]]),0)</f>
        <v>0.2864864864864865</v>
      </c>
      <c r="AE73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0.47058823529411764</v>
      </c>
      <c r="AF73" s="28">
        <v>40</v>
      </c>
      <c r="AG73" s="28">
        <v>170</v>
      </c>
      <c r="AH73" s="28">
        <v>24</v>
      </c>
      <c r="AI73" s="28">
        <v>38</v>
      </c>
      <c r="AJ73" s="28">
        <v>7</v>
      </c>
      <c r="AK73" s="76">
        <v>4</v>
      </c>
      <c r="AL73" s="28">
        <v>9</v>
      </c>
      <c r="AM73" s="28">
        <v>25</v>
      </c>
      <c r="AN73" s="28">
        <v>15</v>
      </c>
      <c r="AO73" s="74">
        <v>44</v>
      </c>
      <c r="AP73" s="28">
        <v>0</v>
      </c>
      <c r="AQ73" s="28">
        <v>0</v>
      </c>
      <c r="AR73" s="74">
        <v>10</v>
      </c>
      <c r="AS73" s="28">
        <f>IFERROR((CIN_H142[[#This Row],[H]]-CIN_H142[[#This Row],[2B]]-CIN_H142[[#This Row],[3B]]-CIN_H142[[#This Row],[HR]])+(CIN_H142[[#This Row],[2B]]*2)+(CIN_H142[[#This Row],[3B]]*3)+(CIN_H142[[#This Row],[HR]]*4),0)</f>
        <v>80</v>
      </c>
      <c r="AT73" s="72">
        <f>CIN_H142[[#This Row],[OBP]]+CIN_H142[[#This Row],[SLG]]</f>
        <v>0.7570747217806042</v>
      </c>
      <c r="AU73" s="74">
        <v>4</v>
      </c>
      <c r="AV73" s="615">
        <v>8</v>
      </c>
      <c r="AY73" s="651" t="s">
        <v>1025</v>
      </c>
      <c r="AZ73" s="104" t="s">
        <v>166</v>
      </c>
      <c r="BA73" s="71" t="s">
        <v>1028</v>
      </c>
      <c r="BB73" s="594">
        <f>IFERROR(CIN_H152[[#This Row],[H]]/CIN_H152[[#This Row],[AB]],0)</f>
        <v>0.3253012048192771</v>
      </c>
      <c r="BC73" s="72">
        <f>IFERROR((CIN_H152[[#This Row],[BB]]+CIN_H152[[#This Row],[H]])/(CIN_H152[[#This Row],[BB]]+CIN_H152[[#This Row],[AB]]),0)</f>
        <v>0.3672316384180791</v>
      </c>
      <c r="BD73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0.57228915662650603</v>
      </c>
      <c r="BE73" s="28">
        <v>40</v>
      </c>
      <c r="BF73" s="28">
        <v>166</v>
      </c>
      <c r="BG73" s="28">
        <v>23</v>
      </c>
      <c r="BH73" s="76">
        <v>54</v>
      </c>
      <c r="BI73" s="28">
        <v>11</v>
      </c>
      <c r="BJ73" s="28">
        <v>0</v>
      </c>
      <c r="BK73" s="28">
        <v>10</v>
      </c>
      <c r="BL73" s="28">
        <v>28</v>
      </c>
      <c r="BM73" s="28">
        <v>11</v>
      </c>
      <c r="BN73" s="74">
        <v>40</v>
      </c>
      <c r="BO73" s="28">
        <v>0</v>
      </c>
      <c r="BP73" s="28">
        <v>1</v>
      </c>
      <c r="BQ73" s="74">
        <v>13</v>
      </c>
      <c r="BR73" s="28">
        <f>IFERROR((CIN_H152[[#This Row],[H]]-CIN_H152[[#This Row],[2B]]-CIN_H152[[#This Row],[3B]]-CIN_H152[[#This Row],[HR]])+(CIN_H152[[#This Row],[2B]]*2)+(CIN_H152[[#This Row],[3B]]*3)+(CIN_H152[[#This Row],[HR]]*4),0)</f>
        <v>95</v>
      </c>
      <c r="BS73" s="72">
        <f>IFERROR(CIN_H152[[#This Row],[OBP]]+CIN_H152[[#This Row],[SLG]],0)</f>
        <v>0.93952079504458519</v>
      </c>
      <c r="BT73" s="74">
        <v>2</v>
      </c>
      <c r="BU73" s="780">
        <v>8</v>
      </c>
    </row>
    <row r="74" spans="1:73">
      <c r="A74" s="651" t="s">
        <v>1025</v>
      </c>
      <c r="B74" s="71" t="s">
        <v>168</v>
      </c>
      <c r="C74" s="71" t="s">
        <v>1036</v>
      </c>
      <c r="D74" s="72">
        <f>IFERROR(CIN_H[[#This Row],[H]]/CIN_H[[#This Row],[AB]],0)</f>
        <v>0.22784810126582278</v>
      </c>
      <c r="E74" s="72">
        <f>IFERROR((CIN_H[[#This Row],[H]]+CIN_H[[#This Row],[BB]])/(CIN_H[[#This Row],[BB]]+CIN_H[[#This Row],[AB]]),0)</f>
        <v>0.34408602150537637</v>
      </c>
      <c r="F74" s="73">
        <f>IFERROR(((CIN_H[[#This Row],[H]]-CIN_H[[#This Row],[2B]]-CIN_H[[#This Row],[3B]]-CIN_H[[#This Row],[HR]])+(CIN_H[[#This Row],[2B]]*2)+(CIN_H[[#This Row],[3B]]*3)+(CIN_H[[#This Row],[HR]]*4))/CIN_H[[#This Row],[AB]],0)</f>
        <v>0.39240506329113922</v>
      </c>
      <c r="G74" s="28">
        <v>24</v>
      </c>
      <c r="H74" s="28">
        <v>79</v>
      </c>
      <c r="I74" s="28">
        <v>9</v>
      </c>
      <c r="J74" s="28">
        <v>18</v>
      </c>
      <c r="K74" s="28">
        <v>1</v>
      </c>
      <c r="L74" s="28">
        <v>0</v>
      </c>
      <c r="M74" s="28">
        <v>4</v>
      </c>
      <c r="N74" s="28">
        <v>13</v>
      </c>
      <c r="O74" s="28">
        <v>14</v>
      </c>
      <c r="P74" s="74">
        <v>22</v>
      </c>
      <c r="Q74" s="28">
        <v>0</v>
      </c>
      <c r="R74" s="28">
        <v>0</v>
      </c>
      <c r="S74" s="74">
        <v>5</v>
      </c>
      <c r="T74" s="28">
        <f>IFERROR((CIN_H[[#This Row],[H]]-CIN_H[[#This Row],[2B]]-CIN_H[[#This Row],[3B]]-CIN_H[[#This Row],[HR]])+(CIN_H[[#This Row],[2B]]*2)+(CIN_H[[#This Row],[3B]]*3)+(CIN_H[[#This Row],[HR]]*4),0)</f>
        <v>31</v>
      </c>
      <c r="U74" s="72">
        <f>CIN_H[[#This Row],[OBP]]+CIN_H[[#This Row],[SLG]]</f>
        <v>0.73649108479651559</v>
      </c>
      <c r="V74" s="74">
        <v>2</v>
      </c>
      <c r="W74" s="615">
        <v>9</v>
      </c>
      <c r="Z74" s="651" t="s">
        <v>1025</v>
      </c>
      <c r="AA74" s="71" t="s">
        <v>168</v>
      </c>
      <c r="AB74" s="71" t="s">
        <v>1036</v>
      </c>
      <c r="AC74" s="72">
        <f>IFERROR(CIN_H142[[#This Row],[H]]/CIN_H142[[#This Row],[AB]],0)</f>
        <v>0.28799999999999998</v>
      </c>
      <c r="AD74" s="72">
        <f>IFERROR((CIN_H142[[#This Row],[H]]+CIN_H142[[#This Row],[BB]])/(CIN_H142[[#This Row],[BB]]+CIN_H142[[#This Row],[AB]]),0)</f>
        <v>0.34558823529411764</v>
      </c>
      <c r="AE74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0.42399999999999999</v>
      </c>
      <c r="AF74" s="28">
        <v>31</v>
      </c>
      <c r="AG74" s="28">
        <v>125</v>
      </c>
      <c r="AH74" s="28">
        <v>20</v>
      </c>
      <c r="AI74" s="28">
        <v>36</v>
      </c>
      <c r="AJ74" s="28">
        <v>5</v>
      </c>
      <c r="AK74" s="28">
        <v>0</v>
      </c>
      <c r="AL74" s="28">
        <v>4</v>
      </c>
      <c r="AM74" s="28">
        <v>19</v>
      </c>
      <c r="AN74" s="28">
        <v>11</v>
      </c>
      <c r="AO74" s="74">
        <v>31</v>
      </c>
      <c r="AP74" s="28">
        <v>0</v>
      </c>
      <c r="AQ74" s="28">
        <v>1</v>
      </c>
      <c r="AR74" s="74">
        <v>11</v>
      </c>
      <c r="AS74" s="28">
        <f>IFERROR((CIN_H142[[#This Row],[H]]-CIN_H142[[#This Row],[2B]]-CIN_H142[[#This Row],[3B]]-CIN_H142[[#This Row],[HR]])+(CIN_H142[[#This Row],[2B]]*2)+(CIN_H142[[#This Row],[3B]]*3)+(CIN_H142[[#This Row],[HR]]*4),0)</f>
        <v>53</v>
      </c>
      <c r="AT74" s="72">
        <f>CIN_H142[[#This Row],[OBP]]+CIN_H142[[#This Row],[SLG]]</f>
        <v>0.76958823529411768</v>
      </c>
      <c r="AU74" s="74">
        <v>2</v>
      </c>
      <c r="AV74" s="615">
        <v>9</v>
      </c>
      <c r="AY74" s="651" t="s">
        <v>1025</v>
      </c>
      <c r="AZ74" s="74" t="s">
        <v>168</v>
      </c>
      <c r="BA74" s="71" t="s">
        <v>1036</v>
      </c>
      <c r="BB74" s="72">
        <f>IFERROR(CIN_H152[[#This Row],[H]]/CIN_H152[[#This Row],[AB]],0)</f>
        <v>0.22018348623853212</v>
      </c>
      <c r="BC74" s="72">
        <f>IFERROR((CIN_H152[[#This Row],[BB]]+CIN_H152[[#This Row],[H]])/(CIN_H152[[#This Row],[BB]]+CIN_H152[[#This Row],[AB]]),0)</f>
        <v>0.32</v>
      </c>
      <c r="BD74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0.34862385321100919</v>
      </c>
      <c r="BE74" s="28">
        <v>32</v>
      </c>
      <c r="BF74" s="28">
        <v>109</v>
      </c>
      <c r="BG74" s="28">
        <v>9</v>
      </c>
      <c r="BH74" s="28">
        <v>24</v>
      </c>
      <c r="BI74" s="28">
        <v>5</v>
      </c>
      <c r="BJ74" s="28">
        <v>0</v>
      </c>
      <c r="BK74" s="28">
        <v>3</v>
      </c>
      <c r="BL74" s="28">
        <v>10</v>
      </c>
      <c r="BM74" s="28">
        <v>16</v>
      </c>
      <c r="BN74" s="74">
        <v>28</v>
      </c>
      <c r="BO74" s="28">
        <v>0</v>
      </c>
      <c r="BP74" s="28">
        <v>1</v>
      </c>
      <c r="BQ74" s="74">
        <v>4</v>
      </c>
      <c r="BR74" s="28">
        <f>IFERROR((CIN_H152[[#This Row],[H]]-CIN_H152[[#This Row],[2B]]-CIN_H152[[#This Row],[3B]]-CIN_H152[[#This Row],[HR]])+(CIN_H152[[#This Row],[2B]]*2)+(CIN_H152[[#This Row],[3B]]*3)+(CIN_H152[[#This Row],[HR]]*4),0)</f>
        <v>38</v>
      </c>
      <c r="BS74" s="72">
        <f>IFERROR(CIN_H152[[#This Row],[OBP]]+CIN_H152[[#This Row],[SLG]],0)</f>
        <v>0.66862385321100914</v>
      </c>
      <c r="BT74" s="74">
        <v>0</v>
      </c>
      <c r="BU74" s="780">
        <v>9</v>
      </c>
    </row>
    <row r="75" spans="1:73">
      <c r="A75" s="651" t="s">
        <v>1025</v>
      </c>
      <c r="B75" s="71" t="s">
        <v>179</v>
      </c>
      <c r="C75" s="71" t="s">
        <v>1044</v>
      </c>
      <c r="D75" s="72">
        <f>IFERROR(CIN_H[[#This Row],[H]]/CIN_H[[#This Row],[AB]],0)</f>
        <v>0.17241379310344829</v>
      </c>
      <c r="E75" s="72">
        <f>IFERROR((CIN_H[[#This Row],[H]]+CIN_H[[#This Row],[BB]])/(CIN_H[[#This Row],[BB]]+CIN_H[[#This Row],[AB]]),0)</f>
        <v>0.25</v>
      </c>
      <c r="F75" s="73">
        <f>IFERROR(((CIN_H[[#This Row],[H]]-CIN_H[[#This Row],[2B]]-CIN_H[[#This Row],[3B]]-CIN_H[[#This Row],[HR]])+(CIN_H[[#This Row],[2B]]*2)+(CIN_H[[#This Row],[3B]]*3)+(CIN_H[[#This Row],[HR]]*4))/CIN_H[[#This Row],[AB]],0)</f>
        <v>0.20689655172413793</v>
      </c>
      <c r="G75" s="28">
        <v>9</v>
      </c>
      <c r="H75" s="28">
        <v>29</v>
      </c>
      <c r="I75" s="28">
        <v>1</v>
      </c>
      <c r="J75" s="28">
        <v>5</v>
      </c>
      <c r="K75" s="28">
        <v>1</v>
      </c>
      <c r="L75" s="28">
        <v>0</v>
      </c>
      <c r="M75" s="28">
        <v>0</v>
      </c>
      <c r="N75" s="28">
        <v>1</v>
      </c>
      <c r="O75" s="28">
        <v>3</v>
      </c>
      <c r="P75" s="74">
        <v>5</v>
      </c>
      <c r="Q75" s="28">
        <v>0</v>
      </c>
      <c r="R75" s="28">
        <v>0</v>
      </c>
      <c r="S75" s="74">
        <v>1</v>
      </c>
      <c r="T75" s="28">
        <f>IFERROR((CIN_H[[#This Row],[H]]-CIN_H[[#This Row],[2B]]-CIN_H[[#This Row],[3B]]-CIN_H[[#This Row],[HR]])+(CIN_H[[#This Row],[2B]]*2)+(CIN_H[[#This Row],[3B]]*3)+(CIN_H[[#This Row],[HR]]*4),0)</f>
        <v>6</v>
      </c>
      <c r="U75" s="72">
        <f>CIN_H[[#This Row],[OBP]]+CIN_H[[#This Row],[SLG]]</f>
        <v>0.4568965517241379</v>
      </c>
      <c r="V75" s="74">
        <v>0</v>
      </c>
      <c r="W75" s="615">
        <v>10</v>
      </c>
      <c r="Z75" s="651" t="s">
        <v>1025</v>
      </c>
      <c r="AA75" s="71" t="s">
        <v>179</v>
      </c>
      <c r="AB75" s="71" t="s">
        <v>1044</v>
      </c>
      <c r="AC75" s="72">
        <f>IFERROR(CIN_H142[[#This Row],[H]]/CIN_H142[[#This Row],[AB]],0)</f>
        <v>0</v>
      </c>
      <c r="AD75" s="72">
        <f>IFERROR((CIN_H142[[#This Row],[H]]+CIN_H142[[#This Row],[BB]])/(CIN_H142[[#This Row],[BB]]+CIN_H142[[#This Row],[AB]]),0)</f>
        <v>0</v>
      </c>
      <c r="AE75" s="73">
        <f>IFERROR(((CIN_H142[[#This Row],[H]]-CIN_H142[[#This Row],[2B]]-CIN_H142[[#This Row],[3B]]-CIN_H142[[#This Row],[HR]])+(CIN_H142[[#This Row],[2B]]*2)+(CIN_H142[[#This Row],[3B]]*3)+(CIN_H142[[#This Row],[HR]]*4))/CIN_H142[[#This Row],[AB]],0)</f>
        <v>0</v>
      </c>
      <c r="AF75" s="28">
        <v>2</v>
      </c>
      <c r="AG75" s="28">
        <v>7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74">
        <v>1</v>
      </c>
      <c r="AP75" s="28">
        <v>0</v>
      </c>
      <c r="AQ75" s="28">
        <v>0</v>
      </c>
      <c r="AR75" s="74">
        <v>0</v>
      </c>
      <c r="AS75" s="28">
        <f>IFERROR((CIN_H142[[#This Row],[H]]-CIN_H142[[#This Row],[2B]]-CIN_H142[[#This Row],[3B]]-CIN_H142[[#This Row],[HR]])+(CIN_H142[[#This Row],[2B]]*2)+(CIN_H142[[#This Row],[3B]]*3)+(CIN_H142[[#This Row],[HR]]*4),0)</f>
        <v>0</v>
      </c>
      <c r="AT75" s="72">
        <f>CIN_H142[[#This Row],[OBP]]+CIN_H142[[#This Row],[SLG]]</f>
        <v>0</v>
      </c>
      <c r="AU75" s="74">
        <v>0</v>
      </c>
      <c r="AV75" s="615">
        <v>10</v>
      </c>
      <c r="AY75" s="651" t="s">
        <v>1025</v>
      </c>
      <c r="AZ75" s="74" t="s">
        <v>179</v>
      </c>
      <c r="BA75" s="71" t="s">
        <v>1044</v>
      </c>
      <c r="BB75" s="72">
        <f>IFERROR(CIN_H152[[#This Row],[H]]/CIN_H152[[#This Row],[AB]],0)</f>
        <v>0.25</v>
      </c>
      <c r="BC75" s="72">
        <f>IFERROR((CIN_H152[[#This Row],[BB]]+CIN_H152[[#This Row],[H]])/(CIN_H152[[#This Row],[BB]]+CIN_H152[[#This Row],[AB]]),0)</f>
        <v>0.25</v>
      </c>
      <c r="BD75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0.25</v>
      </c>
      <c r="BE75" s="28">
        <v>3</v>
      </c>
      <c r="BF75" s="28">
        <v>8</v>
      </c>
      <c r="BG75" s="28">
        <v>0</v>
      </c>
      <c r="BH75" s="28">
        <v>2</v>
      </c>
      <c r="BI75" s="28">
        <v>0</v>
      </c>
      <c r="BJ75" s="28">
        <v>0</v>
      </c>
      <c r="BK75" s="28">
        <v>0</v>
      </c>
      <c r="BL75" s="28">
        <v>1</v>
      </c>
      <c r="BM75" s="28">
        <v>0</v>
      </c>
      <c r="BN75" s="74">
        <v>0</v>
      </c>
      <c r="BO75" s="28">
        <v>0</v>
      </c>
      <c r="BP75" s="28">
        <v>0</v>
      </c>
      <c r="BQ75" s="74">
        <v>2</v>
      </c>
      <c r="BR75" s="28">
        <f>IFERROR((CIN_H152[[#This Row],[H]]-CIN_H152[[#This Row],[2B]]-CIN_H152[[#This Row],[3B]]-CIN_H152[[#This Row],[HR]])+(CIN_H152[[#This Row],[2B]]*2)+(CIN_H152[[#This Row],[3B]]*3)+(CIN_H152[[#This Row],[HR]]*4),0)</f>
        <v>2</v>
      </c>
      <c r="BS75" s="72">
        <f>IFERROR(CIN_H152[[#This Row],[OBP]]+CIN_H152[[#This Row],[SLG]],0)</f>
        <v>0.5</v>
      </c>
      <c r="BT75" s="74">
        <v>0</v>
      </c>
      <c r="BU75" s="780">
        <v>10</v>
      </c>
    </row>
    <row r="76" spans="1:73">
      <c r="A76" s="651" t="s">
        <v>1025</v>
      </c>
      <c r="B76" s="71" t="s">
        <v>192</v>
      </c>
      <c r="C76" s="71" t="s">
        <v>1041</v>
      </c>
      <c r="D76" s="72">
        <f>IFERROR(CIN_H[[#This Row],[H]]/CIN_H[[#This Row],[AB]],0)</f>
        <v>0.2</v>
      </c>
      <c r="E76" s="72">
        <f>IFERROR((CIN_H[[#This Row],[H]]+CIN_H[[#This Row],[BB]])/(CIN_H[[#This Row],[BB]]+CIN_H[[#This Row],[AB]]),0)</f>
        <v>0.25</v>
      </c>
      <c r="F76" s="73">
        <f>IFERROR(((CIN_H[[#This Row],[H]]-CIN_H[[#This Row],[2B]]-CIN_H[[#This Row],[3B]]-CIN_H[[#This Row],[HR]])+(CIN_H[[#This Row],[2B]]*2)+(CIN_H[[#This Row],[3B]]*3)+(CIN_H[[#This Row],[HR]]*4))/CIN_H[[#This Row],[AB]],0)</f>
        <v>0.5</v>
      </c>
      <c r="G76" s="28">
        <v>9</v>
      </c>
      <c r="H76" s="28">
        <v>30</v>
      </c>
      <c r="I76" s="28">
        <v>2</v>
      </c>
      <c r="J76" s="28">
        <v>6</v>
      </c>
      <c r="K76" s="28">
        <v>3</v>
      </c>
      <c r="L76" s="28">
        <v>0</v>
      </c>
      <c r="M76" s="28">
        <v>2</v>
      </c>
      <c r="N76" s="28">
        <v>5</v>
      </c>
      <c r="O76" s="28">
        <v>2</v>
      </c>
      <c r="P76" s="74">
        <v>10</v>
      </c>
      <c r="Q76" s="28">
        <v>0</v>
      </c>
      <c r="R76" s="28">
        <v>1</v>
      </c>
      <c r="S76" s="74">
        <v>2</v>
      </c>
      <c r="T76" s="28">
        <f>IFERROR((CIN_H[[#This Row],[H]]-CIN_H[[#This Row],[2B]]-CIN_H[[#This Row],[3B]]-CIN_H[[#This Row],[HR]])+(CIN_H[[#This Row],[2B]]*2)+(CIN_H[[#This Row],[3B]]*3)+(CIN_H[[#This Row],[HR]]*4),0)</f>
        <v>15</v>
      </c>
      <c r="U76" s="72">
        <f>CIN_H[[#This Row],[OBP]]+CIN_H[[#This Row],[SLG]]</f>
        <v>0.75</v>
      </c>
      <c r="V76" s="74">
        <v>0</v>
      </c>
      <c r="W76" s="615">
        <v>11</v>
      </c>
      <c r="Z76" s="651" t="s">
        <v>1025</v>
      </c>
      <c r="AA76" s="71" t="s">
        <v>187</v>
      </c>
      <c r="AB76" s="71" t="s">
        <v>1035</v>
      </c>
      <c r="AC76" s="72">
        <f>IFERROR(CIN_H142[[#This Row],[H]]/CIN_H142[[#This Row],[AB]],0)</f>
        <v>0.19696969696969696</v>
      </c>
      <c r="AD76" s="72">
        <f>IFERROR((CIN_H142[[#This Row],[H]]+CIN_H142[[#This Row],[BB]])/(CIN_H142[[#This Row],[BB]]+CIN_H142[[#This Row],[AB]]),0)</f>
        <v>0.30263157894736842</v>
      </c>
      <c r="AE76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0.25757575757575757</v>
      </c>
      <c r="AF76" s="28">
        <v>18</v>
      </c>
      <c r="AG76" s="28">
        <v>66</v>
      </c>
      <c r="AH76" s="28">
        <v>6</v>
      </c>
      <c r="AI76" s="28">
        <v>13</v>
      </c>
      <c r="AJ76" s="28">
        <v>1</v>
      </c>
      <c r="AK76" s="28">
        <v>0</v>
      </c>
      <c r="AL76" s="28">
        <v>1</v>
      </c>
      <c r="AM76" s="28">
        <v>4</v>
      </c>
      <c r="AN76" s="28">
        <v>10</v>
      </c>
      <c r="AO76" s="74">
        <v>16</v>
      </c>
      <c r="AP76" s="28">
        <v>0</v>
      </c>
      <c r="AQ76" s="28">
        <v>0</v>
      </c>
      <c r="AR76" s="74">
        <v>5</v>
      </c>
      <c r="AS76" s="28">
        <f>IFERROR((CIN_H142[[#This Row],[H]]-CIN_H142[[#This Row],[2B]]-CIN_H142[[#This Row],[3B]]-CIN_H142[[#This Row],[HR]])+(CIN_H142[[#This Row],[2B]]*2)+(CIN_H142[[#This Row],[3B]]*3)+(CIN_H142[[#This Row],[HR]]*4),0)</f>
        <v>17</v>
      </c>
      <c r="AT76" s="72">
        <f>CIN_H142[[#This Row],[OBP]]+CIN_H142[[#This Row],[SLG]]</f>
        <v>0.56020733652312593</v>
      </c>
      <c r="AU76" s="74">
        <v>1</v>
      </c>
      <c r="AV76" s="615">
        <v>11</v>
      </c>
      <c r="AY76" s="651" t="s">
        <v>1025</v>
      </c>
      <c r="AZ76" s="74" t="s">
        <v>187</v>
      </c>
      <c r="BA76" s="71" t="s">
        <v>1035</v>
      </c>
      <c r="BB76" s="72">
        <f>IFERROR(CIN_H152[[#This Row],[H]]/CIN_H152[[#This Row],[AB]],0)</f>
        <v>0.17777777777777778</v>
      </c>
      <c r="BC76" s="72">
        <f>IFERROR((CIN_H152[[#This Row],[BB]]+CIN_H152[[#This Row],[H]])/(CIN_H152[[#This Row],[BB]]+CIN_H152[[#This Row],[AB]]),0)</f>
        <v>0.24489795918367346</v>
      </c>
      <c r="BD76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0.37777777777777777</v>
      </c>
      <c r="BE76" s="28">
        <v>12</v>
      </c>
      <c r="BF76" s="28">
        <v>45</v>
      </c>
      <c r="BG76" s="28">
        <v>6</v>
      </c>
      <c r="BH76" s="28">
        <v>8</v>
      </c>
      <c r="BI76" s="28">
        <v>3</v>
      </c>
      <c r="BJ76" s="28">
        <v>0</v>
      </c>
      <c r="BK76" s="28">
        <v>2</v>
      </c>
      <c r="BL76" s="28">
        <v>6</v>
      </c>
      <c r="BM76" s="28">
        <v>4</v>
      </c>
      <c r="BN76" s="74">
        <v>13</v>
      </c>
      <c r="BO76" s="28">
        <v>0</v>
      </c>
      <c r="BP76" s="28">
        <v>0</v>
      </c>
      <c r="BQ76" s="74">
        <v>5</v>
      </c>
      <c r="BR76" s="28">
        <f>IFERROR((CIN_H152[[#This Row],[H]]-CIN_H152[[#This Row],[2B]]-CIN_H152[[#This Row],[3B]]-CIN_H152[[#This Row],[HR]])+(CIN_H152[[#This Row],[2B]]*2)+(CIN_H152[[#This Row],[3B]]*3)+(CIN_H152[[#This Row],[HR]]*4),0)</f>
        <v>17</v>
      </c>
      <c r="BS76" s="72">
        <f>IFERROR(CIN_H152[[#This Row],[OBP]]+CIN_H152[[#This Row],[SLG]],0)</f>
        <v>0.62267573696145129</v>
      </c>
      <c r="BT76" s="74">
        <v>0</v>
      </c>
      <c r="BU76" s="780">
        <v>11</v>
      </c>
    </row>
    <row r="77" spans="1:73">
      <c r="A77" s="651" t="s">
        <v>1025</v>
      </c>
      <c r="B77" s="77" t="s">
        <v>187</v>
      </c>
      <c r="C77" s="77" t="s">
        <v>1039</v>
      </c>
      <c r="D77" s="996">
        <f>IFERROR(CIN_H[[#This Row],[H]]/CIN_H[[#This Row],[AB]],0)</f>
        <v>0.12987012987012986</v>
      </c>
      <c r="E77" s="72">
        <f>IFERROR((CIN_H[[#This Row],[H]]+CIN_H[[#This Row],[BB]])/(CIN_H[[#This Row],[BB]]+CIN_H[[#This Row],[AB]]),0)</f>
        <v>0.18292682926829268</v>
      </c>
      <c r="F77" s="73">
        <f>IFERROR(((CIN_H[[#This Row],[H]]-CIN_H[[#This Row],[2B]]-CIN_H[[#This Row],[3B]]-CIN_H[[#This Row],[HR]])+(CIN_H[[#This Row],[2B]]*2)+(CIN_H[[#This Row],[3B]]*3)+(CIN_H[[#This Row],[HR]]*4))/CIN_H[[#This Row],[AB]],0)</f>
        <v>0.27272727272727271</v>
      </c>
      <c r="G77" s="28">
        <v>23</v>
      </c>
      <c r="H77" s="28">
        <v>77</v>
      </c>
      <c r="I77" s="28">
        <v>7</v>
      </c>
      <c r="J77" s="28">
        <v>10</v>
      </c>
      <c r="K77" s="28">
        <v>0</v>
      </c>
      <c r="L77" s="28">
        <v>1</v>
      </c>
      <c r="M77" s="28">
        <v>3</v>
      </c>
      <c r="N77" s="28">
        <v>6</v>
      </c>
      <c r="O77" s="28">
        <v>5</v>
      </c>
      <c r="P77" s="74">
        <v>23</v>
      </c>
      <c r="Q77" s="28">
        <v>0</v>
      </c>
      <c r="R77" s="28">
        <v>0</v>
      </c>
      <c r="S77" s="74">
        <v>1</v>
      </c>
      <c r="T77" s="28">
        <f>IFERROR((CIN_H[[#This Row],[H]]-CIN_H[[#This Row],[2B]]-CIN_H[[#This Row],[3B]]-CIN_H[[#This Row],[HR]])+(CIN_H[[#This Row],[2B]]*2)+(CIN_H[[#This Row],[3B]]*3)+(CIN_H[[#This Row],[HR]]*4),0)</f>
        <v>21</v>
      </c>
      <c r="U77" s="72">
        <f>CIN_H[[#This Row],[OBP]]+CIN_H[[#This Row],[SLG]]</f>
        <v>0.45565410199556539</v>
      </c>
      <c r="V77" s="74">
        <v>1</v>
      </c>
      <c r="W77" s="615">
        <v>12</v>
      </c>
      <c r="Z77" s="651" t="s">
        <v>1025</v>
      </c>
      <c r="AA77" s="71" t="s">
        <v>192</v>
      </c>
      <c r="AB77" s="71" t="s">
        <v>1039</v>
      </c>
      <c r="AC77" s="72">
        <f>IFERROR(CIN_H142[[#This Row],[H]]/CIN_H142[[#This Row],[AB]],0)</f>
        <v>0.22580645161290322</v>
      </c>
      <c r="AD77" s="72">
        <f>IFERROR((CIN_H142[[#This Row],[H]]+CIN_H142[[#This Row],[BB]])/(CIN_H142[[#This Row],[BB]]+CIN_H142[[#This Row],[AB]]),0)</f>
        <v>0.29411764705882354</v>
      </c>
      <c r="AE77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0.41935483870967744</v>
      </c>
      <c r="AF77" s="28">
        <v>10</v>
      </c>
      <c r="AG77" s="28">
        <v>31</v>
      </c>
      <c r="AH77" s="28">
        <v>4</v>
      </c>
      <c r="AI77" s="28">
        <v>7</v>
      </c>
      <c r="AJ77" s="28">
        <v>0</v>
      </c>
      <c r="AK77" s="28">
        <v>0</v>
      </c>
      <c r="AL77" s="28">
        <v>2</v>
      </c>
      <c r="AM77" s="28">
        <v>2</v>
      </c>
      <c r="AN77" s="28">
        <v>3</v>
      </c>
      <c r="AO77" s="74">
        <v>9</v>
      </c>
      <c r="AP77" s="28">
        <v>0</v>
      </c>
      <c r="AQ77" s="28">
        <v>0</v>
      </c>
      <c r="AR77" s="74">
        <v>2</v>
      </c>
      <c r="AS77" s="28">
        <f>IFERROR((CIN_H142[[#This Row],[H]]-CIN_H142[[#This Row],[2B]]-CIN_H142[[#This Row],[3B]]-CIN_H142[[#This Row],[HR]])+(CIN_H142[[#This Row],[2B]]*2)+(CIN_H142[[#This Row],[3B]]*3)+(CIN_H142[[#This Row],[HR]]*4),0)</f>
        <v>13</v>
      </c>
      <c r="AT77" s="72">
        <f>CIN_H142[[#This Row],[OBP]]+CIN_H142[[#This Row],[SLG]]</f>
        <v>0.71347248576850097</v>
      </c>
      <c r="AU77" s="74">
        <v>0</v>
      </c>
      <c r="AV77" s="615">
        <v>12</v>
      </c>
      <c r="AY77" s="651" t="s">
        <v>1025</v>
      </c>
      <c r="AZ77" s="74" t="s">
        <v>187</v>
      </c>
      <c r="BA77" s="71" t="s">
        <v>1032</v>
      </c>
      <c r="BB77" s="72">
        <f>IFERROR(CIN_H152[[#This Row],[H]]/CIN_H152[[#This Row],[AB]],0)</f>
        <v>0.25714285714285712</v>
      </c>
      <c r="BC77" s="72">
        <f>IFERROR((CIN_H152[[#This Row],[BB]]+CIN_H152[[#This Row],[H]])/(CIN_H152[[#This Row],[BB]]+CIN_H152[[#This Row],[AB]]),0)</f>
        <v>0.33333333333333331</v>
      </c>
      <c r="BD77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0.48571428571428571</v>
      </c>
      <c r="BE77" s="28">
        <v>14</v>
      </c>
      <c r="BF77" s="28">
        <v>35</v>
      </c>
      <c r="BG77" s="28">
        <v>7</v>
      </c>
      <c r="BH77" s="28">
        <v>9</v>
      </c>
      <c r="BI77" s="28">
        <v>2</v>
      </c>
      <c r="BJ77" s="28">
        <v>0</v>
      </c>
      <c r="BK77" s="28">
        <v>2</v>
      </c>
      <c r="BL77" s="28">
        <v>8</v>
      </c>
      <c r="BM77" s="28">
        <v>4</v>
      </c>
      <c r="BN77" s="74">
        <v>7</v>
      </c>
      <c r="BO77" s="28">
        <v>0</v>
      </c>
      <c r="BP77" s="28">
        <v>0</v>
      </c>
      <c r="BQ77" s="74">
        <v>4</v>
      </c>
      <c r="BR77" s="28">
        <f>IFERROR((CIN_H152[[#This Row],[H]]-CIN_H152[[#This Row],[2B]]-CIN_H152[[#This Row],[3B]]-CIN_H152[[#This Row],[HR]])+(CIN_H152[[#This Row],[2B]]*2)+(CIN_H152[[#This Row],[3B]]*3)+(CIN_H152[[#This Row],[HR]]*4),0)</f>
        <v>17</v>
      </c>
      <c r="BS77" s="72">
        <f>IFERROR(CIN_H152[[#This Row],[OBP]]+CIN_H152[[#This Row],[SLG]],0)</f>
        <v>0.81904761904761902</v>
      </c>
      <c r="BT77" s="74">
        <v>1</v>
      </c>
      <c r="BU77" s="780">
        <v>12</v>
      </c>
    </row>
    <row r="78" spans="1:73">
      <c r="A78" s="651" t="s">
        <v>1025</v>
      </c>
      <c r="B78" s="71" t="s">
        <v>184</v>
      </c>
      <c r="C78" s="71" t="s">
        <v>1033</v>
      </c>
      <c r="D78" s="72">
        <f>IFERROR(CIN_H[[#This Row],[H]]/CIN_H[[#This Row],[AB]],0)</f>
        <v>0.26595744680851063</v>
      </c>
      <c r="E78" s="72">
        <f>IFERROR((CIN_H[[#This Row],[H]]+CIN_H[[#This Row],[BB]])/(CIN_H[[#This Row],[BB]]+CIN_H[[#This Row],[AB]]),0)</f>
        <v>0.3235294117647059</v>
      </c>
      <c r="F78" s="73">
        <f>IFERROR(((CIN_H[[#This Row],[H]]-CIN_H[[#This Row],[2B]]-CIN_H[[#This Row],[3B]]-CIN_H[[#This Row],[HR]])+(CIN_H[[#This Row],[2B]]*2)+(CIN_H[[#This Row],[3B]]*3)+(CIN_H[[#This Row],[HR]]*4))/CIN_H[[#This Row],[AB]],0)</f>
        <v>0.51063829787234039</v>
      </c>
      <c r="G78" s="28">
        <v>26</v>
      </c>
      <c r="H78" s="28">
        <v>94</v>
      </c>
      <c r="I78" s="28">
        <v>14</v>
      </c>
      <c r="J78" s="28">
        <v>25</v>
      </c>
      <c r="K78" s="28">
        <v>2</v>
      </c>
      <c r="L78" s="28">
        <v>0</v>
      </c>
      <c r="M78" s="28">
        <v>7</v>
      </c>
      <c r="N78" s="28">
        <v>13</v>
      </c>
      <c r="O78" s="28">
        <v>8</v>
      </c>
      <c r="P78" s="74">
        <v>23</v>
      </c>
      <c r="Q78" s="28">
        <v>0</v>
      </c>
      <c r="R78" s="28">
        <v>0</v>
      </c>
      <c r="S78" s="74">
        <v>7</v>
      </c>
      <c r="T78" s="28">
        <f>IFERROR((CIN_H[[#This Row],[H]]-CIN_H[[#This Row],[2B]]-CIN_H[[#This Row],[3B]]-CIN_H[[#This Row],[HR]])+(CIN_H[[#This Row],[2B]]*2)+(CIN_H[[#This Row],[3B]]*3)+(CIN_H[[#This Row],[HR]]*4),0)</f>
        <v>48</v>
      </c>
      <c r="U78" s="72">
        <f>CIN_H[[#This Row],[OBP]]+CIN_H[[#This Row],[SLG]]</f>
        <v>0.83416770963704634</v>
      </c>
      <c r="V78" s="74">
        <v>0</v>
      </c>
      <c r="W78" s="615">
        <v>13</v>
      </c>
      <c r="Z78" s="651" t="s">
        <v>1025</v>
      </c>
      <c r="AA78" s="71" t="s">
        <v>187</v>
      </c>
      <c r="AB78" s="71" t="s">
        <v>1037</v>
      </c>
      <c r="AC78" s="72">
        <f>IFERROR(CIN_H142[[#This Row],[H]]/CIN_H142[[#This Row],[AB]],0)</f>
        <v>0.2857142857142857</v>
      </c>
      <c r="AD78" s="72">
        <f>IFERROR((CIN_H142[[#This Row],[H]]+CIN_H142[[#This Row],[BB]])/(CIN_H142[[#This Row],[BB]]+CIN_H142[[#This Row],[AB]]),0)</f>
        <v>0.2857142857142857</v>
      </c>
      <c r="AE78" s="73">
        <f>IFERROR(((CIN_H142[[#This Row],[H]]-CIN_H142[[#This Row],[2B]]-CIN_H142[[#This Row],[3B]]-CIN_H142[[#This Row],[HR]])+(CIN_H142[[#This Row],[2B]]*2)+(CIN_H142[[#This Row],[3B]]*3)+(CIN_H142[[#This Row],[HR]]*4))/CIN_H142[[#This Row],[AB]],0)</f>
        <v>0.42857142857142855</v>
      </c>
      <c r="AF78" s="28">
        <v>2</v>
      </c>
      <c r="AG78" s="28">
        <v>7</v>
      </c>
      <c r="AH78" s="28">
        <v>0</v>
      </c>
      <c r="AI78" s="28">
        <v>2</v>
      </c>
      <c r="AJ78" s="28">
        <v>1</v>
      </c>
      <c r="AK78" s="28">
        <v>0</v>
      </c>
      <c r="AL78" s="28">
        <v>0</v>
      </c>
      <c r="AM78" s="28">
        <v>0</v>
      </c>
      <c r="AN78" s="28">
        <v>0</v>
      </c>
      <c r="AO78" s="74">
        <v>2</v>
      </c>
      <c r="AP78" s="28">
        <v>0</v>
      </c>
      <c r="AQ78" s="28">
        <v>2</v>
      </c>
      <c r="AR78" s="74">
        <v>2</v>
      </c>
      <c r="AS78" s="28">
        <f>IFERROR((CIN_H142[[#This Row],[H]]-CIN_H142[[#This Row],[2B]]-CIN_H142[[#This Row],[3B]]-CIN_H142[[#This Row],[HR]])+(CIN_H142[[#This Row],[2B]]*2)+(CIN_H142[[#This Row],[3B]]*3)+(CIN_H142[[#This Row],[HR]]*4),0)</f>
        <v>3</v>
      </c>
      <c r="AT78" s="72">
        <f>CIN_H142[[#This Row],[OBP]]+CIN_H142[[#This Row],[SLG]]</f>
        <v>0.71428571428571419</v>
      </c>
      <c r="AU78" s="74">
        <v>0</v>
      </c>
      <c r="AV78" s="615">
        <v>13</v>
      </c>
      <c r="AY78" s="651" t="s">
        <v>1025</v>
      </c>
      <c r="AZ78" s="74" t="s">
        <v>186</v>
      </c>
      <c r="BA78" s="71" t="s">
        <v>1042</v>
      </c>
      <c r="BB78" s="72">
        <f>IFERROR(CIN_H152[[#This Row],[H]]/CIN_H152[[#This Row],[AB]],0)</f>
        <v>0.16949152542372881</v>
      </c>
      <c r="BC78" s="72">
        <f>IFERROR((CIN_H152[[#This Row],[BB]]+CIN_H152[[#This Row],[H]])/(CIN_H152[[#This Row],[BB]]+CIN_H152[[#This Row],[AB]]),0)</f>
        <v>0.25757575757575757</v>
      </c>
      <c r="BD78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0.25423728813559321</v>
      </c>
      <c r="BE78" s="28">
        <v>20</v>
      </c>
      <c r="BF78" s="28">
        <v>59</v>
      </c>
      <c r="BG78" s="28">
        <v>5</v>
      </c>
      <c r="BH78" s="28">
        <v>10</v>
      </c>
      <c r="BI78" s="28">
        <v>2</v>
      </c>
      <c r="BJ78" s="28">
        <v>0</v>
      </c>
      <c r="BK78" s="28">
        <v>1</v>
      </c>
      <c r="BL78" s="28">
        <v>2</v>
      </c>
      <c r="BM78" s="28">
        <v>7</v>
      </c>
      <c r="BN78" s="74">
        <v>17</v>
      </c>
      <c r="BO78" s="28">
        <v>0</v>
      </c>
      <c r="BP78" s="28">
        <v>0</v>
      </c>
      <c r="BQ78" s="74">
        <v>4</v>
      </c>
      <c r="BR78" s="28">
        <f>IFERROR((CIN_H152[[#This Row],[H]]-CIN_H152[[#This Row],[2B]]-CIN_H152[[#This Row],[3B]]-CIN_H152[[#This Row],[HR]])+(CIN_H152[[#This Row],[2B]]*2)+(CIN_H152[[#This Row],[3B]]*3)+(CIN_H152[[#This Row],[HR]]*4),0)</f>
        <v>15</v>
      </c>
      <c r="BS78" s="72">
        <f>IFERROR(CIN_H152[[#This Row],[OBP]]+CIN_H152[[#This Row],[SLG]],0)</f>
        <v>0.51181304571135078</v>
      </c>
      <c r="BT78" s="74">
        <v>1</v>
      </c>
      <c r="BU78" s="780">
        <v>13</v>
      </c>
    </row>
    <row r="79" spans="1:73" ht="17" thickBot="1">
      <c r="A79" s="651" t="s">
        <v>1025</v>
      </c>
      <c r="B79" s="71" t="s">
        <v>186</v>
      </c>
      <c r="C79" s="71" t="s">
        <v>1043</v>
      </c>
      <c r="D79" s="72">
        <f>IFERROR(CIN_H[[#This Row],[H]]/CIN_H[[#This Row],[AB]],0)</f>
        <v>0.17948717948717949</v>
      </c>
      <c r="E79" s="72">
        <f>IFERROR((CIN_H[[#This Row],[H]]+CIN_H[[#This Row],[BB]])/(CIN_H[[#This Row],[BB]]+CIN_H[[#This Row],[AB]]),0)</f>
        <v>0.21951219512195122</v>
      </c>
      <c r="F79" s="73">
        <f>IFERROR(((CIN_H[[#This Row],[H]]-CIN_H[[#This Row],[2B]]-CIN_H[[#This Row],[3B]]-CIN_H[[#This Row],[HR]])+(CIN_H[[#This Row],[2B]]*2)+(CIN_H[[#This Row],[3B]]*3)+(CIN_H[[#This Row],[HR]]*4))/CIN_H[[#This Row],[AB]],0)</f>
        <v>0.20512820512820512</v>
      </c>
      <c r="G79" s="28">
        <v>10</v>
      </c>
      <c r="H79" s="28">
        <v>39</v>
      </c>
      <c r="I79" s="28">
        <v>5</v>
      </c>
      <c r="J79" s="28">
        <v>7</v>
      </c>
      <c r="K79" s="28">
        <v>1</v>
      </c>
      <c r="L79" s="28">
        <v>0</v>
      </c>
      <c r="M79" s="28">
        <v>0</v>
      </c>
      <c r="N79" s="28">
        <v>0</v>
      </c>
      <c r="O79" s="28">
        <v>2</v>
      </c>
      <c r="P79" s="74">
        <v>9</v>
      </c>
      <c r="Q79" s="28">
        <v>2</v>
      </c>
      <c r="R79" s="28">
        <v>0</v>
      </c>
      <c r="S79" s="74">
        <v>6</v>
      </c>
      <c r="T79" s="28">
        <f>IFERROR((CIN_H[[#This Row],[H]]-CIN_H[[#This Row],[2B]]-CIN_H[[#This Row],[3B]]-CIN_H[[#This Row],[HR]])+(CIN_H[[#This Row],[2B]]*2)+(CIN_H[[#This Row],[3B]]*3)+(CIN_H[[#This Row],[HR]]*4),0)</f>
        <v>8</v>
      </c>
      <c r="U79" s="72">
        <f>CIN_H[[#This Row],[OBP]]+CIN_H[[#This Row],[SLG]]</f>
        <v>0.42464040025015637</v>
      </c>
      <c r="V79" s="74">
        <v>0</v>
      </c>
      <c r="W79" s="615">
        <v>14</v>
      </c>
      <c r="Z79" s="651" t="s">
        <v>1025</v>
      </c>
      <c r="AA79" s="71" t="s">
        <v>186</v>
      </c>
      <c r="AB79" s="981" t="s">
        <v>1043</v>
      </c>
      <c r="AC79" s="72">
        <f>IFERROR(CIN_H142[[#This Row],[H]]/CIN_H142[[#This Row],[AB]],0)</f>
        <v>9.0909090909090912E-2</v>
      </c>
      <c r="AD79" s="72">
        <f>IFERROR((CIN_H142[[#This Row],[H]]+CIN_H142[[#This Row],[BB]])/(CIN_H142[[#This Row],[BB]]+CIN_H142[[#This Row],[AB]]),0)</f>
        <v>0.23076923076923078</v>
      </c>
      <c r="AE79" s="73">
        <f>IFERROR(((CIN_H142[[#This Row],[H]]-CIN_H142[[#This Row],[2B]]-CIN_H142[[#This Row],[3B]]-CIN_H142[[#This Row],[HR]])+(CIN_H142[[#This Row],[2B]]*2)+(CIN_H142[[#This Row],[3B]]*3)+(CIN_H142[[#This Row],[HR]]*4))/CIN_H142[[#This Row],[AB]],0)</f>
        <v>9.0909090909090912E-2</v>
      </c>
      <c r="AF79" s="28">
        <v>3</v>
      </c>
      <c r="AG79" s="28">
        <v>11</v>
      </c>
      <c r="AH79" s="28">
        <v>0</v>
      </c>
      <c r="AI79" s="28">
        <v>1</v>
      </c>
      <c r="AJ79" s="28">
        <v>0</v>
      </c>
      <c r="AK79" s="28">
        <v>0</v>
      </c>
      <c r="AL79" s="28">
        <v>0</v>
      </c>
      <c r="AM79" s="28">
        <v>0</v>
      </c>
      <c r="AN79" s="28">
        <v>2</v>
      </c>
      <c r="AO79" s="74">
        <v>6</v>
      </c>
      <c r="AP79" s="28">
        <v>1</v>
      </c>
      <c r="AQ79" s="28">
        <v>1</v>
      </c>
      <c r="AR79" s="74">
        <v>1</v>
      </c>
      <c r="AS79" s="28">
        <f>IFERROR((CIN_H142[[#This Row],[H]]-CIN_H142[[#This Row],[2B]]-CIN_H142[[#This Row],[3B]]-CIN_H142[[#This Row],[HR]])+(CIN_H142[[#This Row],[2B]]*2)+(CIN_H142[[#This Row],[3B]]*3)+(CIN_H142[[#This Row],[HR]]*4),0)</f>
        <v>1</v>
      </c>
      <c r="AT79" s="72">
        <f>CIN_H142[[#This Row],[OBP]]+CIN_H142[[#This Row],[SLG]]</f>
        <v>0.32167832167832167</v>
      </c>
      <c r="AU79" s="74">
        <v>0</v>
      </c>
      <c r="AV79" s="615">
        <v>14</v>
      </c>
      <c r="AY79" s="651" t="s">
        <v>1025</v>
      </c>
      <c r="AZ79" s="74" t="s">
        <v>184</v>
      </c>
      <c r="BA79" s="981" t="s">
        <v>1043</v>
      </c>
      <c r="BB79" s="72">
        <f>IFERROR(CIN_H152[[#This Row],[H]]/CIN_H152[[#This Row],[AB]],0)</f>
        <v>0.1111111111111111</v>
      </c>
      <c r="BC79" s="72">
        <f>IFERROR((CIN_H152[[#This Row],[BB]]+CIN_H152[[#This Row],[H]])/(CIN_H152[[#This Row],[BB]]+CIN_H152[[#This Row],[AB]]),0)</f>
        <v>0.27272727272727271</v>
      </c>
      <c r="BD79" s="73">
        <f>IFERROR(((CIN_H152[[#This Row],[H]]-CIN_H152[[#This Row],[2B]]-CIN_H152[[#This Row],[3B]]-CIN_H152[[#This Row],[HR]])+(CIN_H152[[#This Row],[2B]]*2)+(CIN_H152[[#This Row],[3B]]*3)+(CIN_H152[[#This Row],[HR]]*4))/CIN_H152[[#This Row],[AB]],0)</f>
        <v>0.1111111111111111</v>
      </c>
      <c r="BE79" s="28">
        <v>4</v>
      </c>
      <c r="BF79" s="28">
        <v>9</v>
      </c>
      <c r="BG79" s="28">
        <v>2</v>
      </c>
      <c r="BH79" s="28">
        <v>1</v>
      </c>
      <c r="BI79" s="28">
        <v>0</v>
      </c>
      <c r="BJ79" s="28">
        <v>0</v>
      </c>
      <c r="BK79" s="28">
        <v>0</v>
      </c>
      <c r="BL79" s="28">
        <v>0</v>
      </c>
      <c r="BM79" s="28">
        <v>2</v>
      </c>
      <c r="BN79" s="74">
        <v>5</v>
      </c>
      <c r="BO79" s="28">
        <v>0</v>
      </c>
      <c r="BP79" s="28">
        <v>0</v>
      </c>
      <c r="BQ79" s="74">
        <v>1</v>
      </c>
      <c r="BR79" s="28">
        <f>IFERROR((CIN_H152[[#This Row],[H]]-CIN_H152[[#This Row],[2B]]-CIN_H152[[#This Row],[3B]]-CIN_H152[[#This Row],[HR]])+(CIN_H152[[#This Row],[2B]]*2)+(CIN_H152[[#This Row],[3B]]*3)+(CIN_H152[[#This Row],[HR]]*4),0)</f>
        <v>1</v>
      </c>
      <c r="BS79" s="72">
        <f>IFERROR(CIN_H152[[#This Row],[OBP]]+CIN_H152[[#This Row],[SLG]],0)</f>
        <v>0.38383838383838381</v>
      </c>
      <c r="BT79" s="74">
        <v>0</v>
      </c>
      <c r="BU79" s="780">
        <v>14</v>
      </c>
    </row>
    <row r="80" spans="1:73" ht="17" thickBot="1">
      <c r="A80" s="652"/>
      <c r="B80" s="653"/>
      <c r="C80" s="654" t="s">
        <v>195</v>
      </c>
      <c r="D80" s="656">
        <f>J80/H80</f>
        <v>0.21752041573867856</v>
      </c>
      <c r="E80" s="656">
        <f>(J80+O80)/(O80+H80)</f>
        <v>0.28687415426251689</v>
      </c>
      <c r="F80" s="657">
        <f>((J80-K80-L80-M80)+(K80*2)+(L80*3)+(M80*4))/H80</f>
        <v>0.35708982925018562</v>
      </c>
      <c r="G80" s="658"/>
      <c r="H80" s="658">
        <f>SUBTOTAL(109,CIN_H[AB])</f>
        <v>1347</v>
      </c>
      <c r="I80" s="658">
        <f>SUBTOTAL(109,CIN_H[R])</f>
        <v>129</v>
      </c>
      <c r="J80" s="658">
        <f>SUBTOTAL(109,CIN_H[H])</f>
        <v>293</v>
      </c>
      <c r="K80" s="658">
        <f>SUBTOTAL(109,CIN_H[2B])</f>
        <v>54</v>
      </c>
      <c r="L80" s="658">
        <f>SUBTOTAL(109,CIN_H[3B])</f>
        <v>4</v>
      </c>
      <c r="M80" s="658">
        <f>SUBTOTAL(109,CIN_H[HR])</f>
        <v>42</v>
      </c>
      <c r="N80" s="658">
        <f>SUBTOTAL(109,CIN_H[RBI])</f>
        <v>128</v>
      </c>
      <c r="O80" s="658">
        <f>SUBTOTAL(109,CIN_H[BB])</f>
        <v>131</v>
      </c>
      <c r="P80" s="660">
        <f>SUBTOTAL(109,CIN_H[K])</f>
        <v>404</v>
      </c>
      <c r="Q80" s="658">
        <f>SUBTOTAL(109,CIN_H[SB])</f>
        <v>30</v>
      </c>
      <c r="R80" s="658"/>
      <c r="S80" s="660"/>
      <c r="T80" s="658">
        <f>SUBTOTAL(109,CIN_H[TB])</f>
        <v>481</v>
      </c>
      <c r="U80" s="656">
        <f>F80+E80</f>
        <v>0.64396398351270245</v>
      </c>
      <c r="V80" s="660">
        <f>SUBTOTAL(109,CIN_H[*])</f>
        <v>14</v>
      </c>
      <c r="W80" s="662"/>
      <c r="Z80" s="652"/>
      <c r="AA80" s="653"/>
      <c r="AB80" s="654" t="s">
        <v>195</v>
      </c>
      <c r="AC80" s="656">
        <f>AI80/AG80</f>
        <v>0.24928160919540229</v>
      </c>
      <c r="AD80" s="656">
        <f>(AI80+AN80)/(AN80+AG80)</f>
        <v>0.32493540051679587</v>
      </c>
      <c r="AE80" s="657">
        <f>((AI80-AJ80-AK80-AL80)+(AJ80*2)+(AK80*3)+(AL80*4))/AG80</f>
        <v>0.43678160919540232</v>
      </c>
      <c r="AF80" s="658"/>
      <c r="AG80" s="658">
        <f>SUBTOTAL(109,CIN_H142[AB])</f>
        <v>1392</v>
      </c>
      <c r="AH80" s="658">
        <f>SUBTOTAL(109,CIN_H142[R])</f>
        <v>180</v>
      </c>
      <c r="AI80" s="658">
        <f>SUBTOTAL(109,CIN_H142[H])</f>
        <v>347</v>
      </c>
      <c r="AJ80" s="658">
        <f>SUBTOTAL(109,CIN_H142[2B])</f>
        <v>68</v>
      </c>
      <c r="AK80" s="658">
        <f>SUBTOTAL(109,CIN_H142[3B])</f>
        <v>5</v>
      </c>
      <c r="AL80" s="658">
        <f>SUBTOTAL(109,CIN_H142[HR])</f>
        <v>61</v>
      </c>
      <c r="AM80" s="658">
        <f>SUBTOTAL(109,CIN_H142[RBI])</f>
        <v>178</v>
      </c>
      <c r="AN80" s="658">
        <f>SUBTOTAL(109,CIN_H142[BB])</f>
        <v>156</v>
      </c>
      <c r="AO80" s="660">
        <f>SUBTOTAL(109,CIN_H142[K])</f>
        <v>348</v>
      </c>
      <c r="AP80" s="658">
        <f>SUBTOTAL(109,CIN_H142[SB])</f>
        <v>16</v>
      </c>
      <c r="AQ80" s="658"/>
      <c r="AR80" s="660"/>
      <c r="AS80" s="658">
        <f>SUBTOTAL(109,CIN_H142[TB])</f>
        <v>608</v>
      </c>
      <c r="AT80" s="656">
        <f>AE80+AD80</f>
        <v>0.76171700971219813</v>
      </c>
      <c r="AU80" s="660">
        <f>SUBTOTAL(109,CIN_H142[*])</f>
        <v>22</v>
      </c>
      <c r="AV80" s="662"/>
      <c r="AY80" s="652"/>
      <c r="AZ80" s="653"/>
      <c r="BA80" s="654" t="s">
        <v>195</v>
      </c>
      <c r="BB80" s="656">
        <f>IFERROR(BH80/BF80,0)</f>
        <v>0.24507658643326038</v>
      </c>
      <c r="BC80" s="656">
        <f>IFERROR((BM80+BH80)/(BM80+BF80),0)</f>
        <v>0.3177323665128543</v>
      </c>
      <c r="BD80" s="657">
        <f>IFERROR(((BH80-BI80-BJ80-BK80)+(BI80*2)+(BJ80*3)+(BK80*4))/BF80,0)</f>
        <v>0.41721371261852663</v>
      </c>
      <c r="BE80" s="658"/>
      <c r="BF80" s="658">
        <f>SUBTOTAL(109,CIN_H152[AB])</f>
        <v>1371</v>
      </c>
      <c r="BG80" s="658">
        <f>SUBTOTAL(109,CIN_H152[R])</f>
        <v>170</v>
      </c>
      <c r="BH80" s="658">
        <f>SUBTOTAL(109,CIN_H152[H])</f>
        <v>336</v>
      </c>
      <c r="BI80" s="658">
        <f>SUBTOTAL(109,CIN_H152[2B])</f>
        <v>66</v>
      </c>
      <c r="BJ80" s="658">
        <f>SUBTOTAL(109,CIN_H152[3B])</f>
        <v>1</v>
      </c>
      <c r="BK80" s="658">
        <f>SUBTOTAL(109,CIN_H152[HR])</f>
        <v>56</v>
      </c>
      <c r="BL80" s="658">
        <f>SUBTOTAL(109,CIN_H152[RBI])</f>
        <v>168</v>
      </c>
      <c r="BM80" s="658">
        <f>SUBTOTAL(109,CIN_H152[BB])</f>
        <v>146</v>
      </c>
      <c r="BN80" s="660">
        <f>SUBTOTAL(109,CIN_H152[K])</f>
        <v>374</v>
      </c>
      <c r="BO80" s="658">
        <f>SUBTOTAL(109,CIN_H152[SB])</f>
        <v>4</v>
      </c>
      <c r="BP80" s="658"/>
      <c r="BQ80" s="660"/>
      <c r="BR80" s="658">
        <f>SUBTOTAL(109,CIN_H152[TB])</f>
        <v>572</v>
      </c>
      <c r="BS80" s="656">
        <f>IFERROR(BC80+BD80,0)</f>
        <v>0.73494607913138088</v>
      </c>
      <c r="BT80" s="660">
        <f>SUBTOTAL(109,CIN_H152[*])</f>
        <v>20</v>
      </c>
      <c r="BU80" s="662"/>
    </row>
    <row r="81" spans="1:73" ht="17" thickBot="1"/>
    <row r="82" spans="1:73" s="64" customFormat="1" ht="14" thickBot="1">
      <c r="A82" s="847" t="s">
        <v>143</v>
      </c>
      <c r="B82" s="848" t="s">
        <v>144</v>
      </c>
      <c r="C82" s="848" t="s">
        <v>145</v>
      </c>
      <c r="D82" s="848" t="s">
        <v>196</v>
      </c>
      <c r="E82" s="848" t="s">
        <v>197</v>
      </c>
      <c r="F82" s="848" t="s">
        <v>198</v>
      </c>
      <c r="G82" s="848" t="s">
        <v>149</v>
      </c>
      <c r="H82" s="848" t="s">
        <v>199</v>
      </c>
      <c r="I82" s="848" t="s">
        <v>152</v>
      </c>
      <c r="J82" s="848" t="s">
        <v>151</v>
      </c>
      <c r="K82" s="848" t="s">
        <v>157</v>
      </c>
      <c r="L82" s="848" t="s">
        <v>158</v>
      </c>
      <c r="M82" s="848" t="s">
        <v>200</v>
      </c>
      <c r="N82" s="848" t="s">
        <v>201</v>
      </c>
      <c r="O82" s="848" t="s">
        <v>202</v>
      </c>
      <c r="P82" s="848" t="s">
        <v>203</v>
      </c>
      <c r="Q82" s="848" t="s">
        <v>204</v>
      </c>
      <c r="R82" s="848" t="s">
        <v>205</v>
      </c>
      <c r="S82" s="849" t="s">
        <v>164</v>
      </c>
      <c r="Z82" s="847" t="s">
        <v>143</v>
      </c>
      <c r="AA82" s="848" t="s">
        <v>144</v>
      </c>
      <c r="AB82" s="848" t="s">
        <v>145</v>
      </c>
      <c r="AC82" s="848" t="s">
        <v>196</v>
      </c>
      <c r="AD82" s="848" t="s">
        <v>197</v>
      </c>
      <c r="AE82" s="848" t="s">
        <v>198</v>
      </c>
      <c r="AF82" s="848" t="s">
        <v>149</v>
      </c>
      <c r="AG82" s="848" t="s">
        <v>199</v>
      </c>
      <c r="AH82" s="848" t="s">
        <v>152</v>
      </c>
      <c r="AI82" s="848" t="s">
        <v>151</v>
      </c>
      <c r="AJ82" s="848" t="s">
        <v>157</v>
      </c>
      <c r="AK82" s="848" t="s">
        <v>158</v>
      </c>
      <c r="AL82" s="848" t="s">
        <v>200</v>
      </c>
      <c r="AM82" s="848" t="s">
        <v>201</v>
      </c>
      <c r="AN82" s="848" t="s">
        <v>202</v>
      </c>
      <c r="AO82" s="848" t="s">
        <v>203</v>
      </c>
      <c r="AP82" s="848" t="s">
        <v>204</v>
      </c>
      <c r="AQ82" s="848" t="s">
        <v>205</v>
      </c>
      <c r="AR82" s="849" t="s">
        <v>164</v>
      </c>
      <c r="AY82" s="847" t="s">
        <v>143</v>
      </c>
      <c r="AZ82" s="848" t="s">
        <v>144</v>
      </c>
      <c r="BA82" s="848" t="s">
        <v>145</v>
      </c>
      <c r="BB82" s="848" t="s">
        <v>196</v>
      </c>
      <c r="BC82" s="848" t="s">
        <v>197</v>
      </c>
      <c r="BD82" s="848" t="s">
        <v>198</v>
      </c>
      <c r="BE82" s="848" t="s">
        <v>149</v>
      </c>
      <c r="BF82" s="848" t="s">
        <v>199</v>
      </c>
      <c r="BG82" s="848" t="s">
        <v>152</v>
      </c>
      <c r="BH82" s="848" t="s">
        <v>151</v>
      </c>
      <c r="BI82" s="848" t="s">
        <v>157</v>
      </c>
      <c r="BJ82" s="848" t="s">
        <v>158</v>
      </c>
      <c r="BK82" s="848" t="s">
        <v>200</v>
      </c>
      <c r="BL82" s="848" t="s">
        <v>201</v>
      </c>
      <c r="BM82" s="848" t="s">
        <v>202</v>
      </c>
      <c r="BN82" s="848" t="s">
        <v>203</v>
      </c>
      <c r="BO82" s="848" t="s">
        <v>204</v>
      </c>
      <c r="BP82" s="848" t="s">
        <v>205</v>
      </c>
      <c r="BQ82" s="849" t="s">
        <v>164</v>
      </c>
    </row>
    <row r="83" spans="1:73">
      <c r="A83" s="650" t="s">
        <v>1025</v>
      </c>
      <c r="B83" s="604" t="s">
        <v>206</v>
      </c>
      <c r="C83" s="597" t="s">
        <v>1045</v>
      </c>
      <c r="D83" s="663">
        <f>IFERROR((CIN_P[[#This Row],[R]]*9)/CIN_P[[#This Row],[IP]],0)</f>
        <v>3.2765399737876799</v>
      </c>
      <c r="E83" s="600">
        <v>3</v>
      </c>
      <c r="F83" s="604">
        <v>4</v>
      </c>
      <c r="G83" s="600">
        <v>10</v>
      </c>
      <c r="H83" s="630">
        <v>68.67</v>
      </c>
      <c r="I83" s="600">
        <v>57</v>
      </c>
      <c r="J83" s="600">
        <v>25</v>
      </c>
      <c r="K83" s="600">
        <v>25</v>
      </c>
      <c r="L83" s="600">
        <v>73</v>
      </c>
      <c r="M83" s="600">
        <v>0</v>
      </c>
      <c r="N83" s="631">
        <f>IFERROR((CIN_P[[#This Row],[BB]]+CIN_P[[#This Row],[H]])/CIN_P[[#This Row],[IP]],0)</f>
        <v>1.1941167904470658</v>
      </c>
      <c r="O83" s="600">
        <v>7</v>
      </c>
      <c r="P83" s="601">
        <v>4</v>
      </c>
      <c r="Q83" s="600">
        <v>2</v>
      </c>
      <c r="R83" s="604">
        <v>1</v>
      </c>
      <c r="S83" s="779">
        <v>1</v>
      </c>
      <c r="Z83" s="650" t="s">
        <v>1025</v>
      </c>
      <c r="AA83" s="604" t="s">
        <v>206</v>
      </c>
      <c r="AB83" s="597" t="s">
        <v>1045</v>
      </c>
      <c r="AC83" s="663">
        <f>IFERROR((CIN_P143[[#This Row],[R]]*9)/CIN_P143[[#This Row],[IP]],0)</f>
        <v>2.25</v>
      </c>
      <c r="AD83" s="600">
        <v>7</v>
      </c>
      <c r="AE83" s="604">
        <v>2</v>
      </c>
      <c r="AF83" s="600">
        <v>10</v>
      </c>
      <c r="AG83" s="630">
        <v>76</v>
      </c>
      <c r="AH83" s="600">
        <v>51</v>
      </c>
      <c r="AI83" s="600">
        <v>19</v>
      </c>
      <c r="AJ83" s="600">
        <v>29</v>
      </c>
      <c r="AK83" s="600">
        <v>86</v>
      </c>
      <c r="AL83" s="600">
        <v>0</v>
      </c>
      <c r="AM83" s="631">
        <f>IFERROR((CIN_P143[[#This Row],[BB]]+CIN_P143[[#This Row],[H]])/CIN_P143[[#This Row],[IP]],0)</f>
        <v>1.0526315789473684</v>
      </c>
      <c r="AN83" s="600">
        <v>8</v>
      </c>
      <c r="AO83" s="601">
        <v>6</v>
      </c>
      <c r="AP83" s="708">
        <v>4</v>
      </c>
      <c r="AQ83" s="830">
        <v>3</v>
      </c>
      <c r="AR83" s="779">
        <v>1</v>
      </c>
      <c r="AY83" s="650" t="s">
        <v>1025</v>
      </c>
      <c r="AZ83" s="604" t="s">
        <v>206</v>
      </c>
      <c r="BA83" s="597" t="s">
        <v>1045</v>
      </c>
      <c r="BB83" s="663">
        <f>IFERROR((CIN_P153[[#This Row],[R]]*9)/CIN_P153[[#This Row],[IP]],0)</f>
        <v>3.989951233929363</v>
      </c>
      <c r="BC83" s="600">
        <v>5</v>
      </c>
      <c r="BD83" s="604">
        <v>3</v>
      </c>
      <c r="BE83" s="600">
        <v>10</v>
      </c>
      <c r="BF83" s="630">
        <v>67.67</v>
      </c>
      <c r="BG83" s="600">
        <v>60</v>
      </c>
      <c r="BH83" s="600">
        <v>30</v>
      </c>
      <c r="BI83" s="708">
        <v>39</v>
      </c>
      <c r="BJ83" s="600">
        <v>74</v>
      </c>
      <c r="BK83" s="600">
        <v>0</v>
      </c>
      <c r="BL83" s="631">
        <f>IFERROR((CIN_P153[[#This Row],[BB]]+CIN_P153[[#This Row],[H]])/CIN_P153[[#This Row],[IP]],0)</f>
        <v>1.462982119107433</v>
      </c>
      <c r="BM83" s="600">
        <v>6</v>
      </c>
      <c r="BN83" s="601">
        <v>3</v>
      </c>
      <c r="BO83" s="600">
        <v>2</v>
      </c>
      <c r="BP83" s="604">
        <v>2</v>
      </c>
      <c r="BQ83" s="614">
        <v>1</v>
      </c>
    </row>
    <row r="84" spans="1:73">
      <c r="A84" s="651" t="s">
        <v>1025</v>
      </c>
      <c r="B84" s="74" t="s">
        <v>206</v>
      </c>
      <c r="C84" s="116" t="s">
        <v>1046</v>
      </c>
      <c r="D84" s="88">
        <f>IFERROR((CIN_P[[#This Row],[R]]*9)/CIN_P[[#This Row],[IP]],0)</f>
        <v>4.826546003016591</v>
      </c>
      <c r="E84" s="28">
        <v>3</v>
      </c>
      <c r="F84" s="74">
        <v>5</v>
      </c>
      <c r="G84" s="28">
        <v>10</v>
      </c>
      <c r="H84" s="584">
        <v>59.67</v>
      </c>
      <c r="I84" s="28">
        <v>63</v>
      </c>
      <c r="J84" s="28">
        <v>32</v>
      </c>
      <c r="K84" s="28">
        <v>29</v>
      </c>
      <c r="L84" s="28">
        <v>69</v>
      </c>
      <c r="M84" s="28">
        <v>0</v>
      </c>
      <c r="N84" s="89">
        <f>IFERROR((CIN_P[[#This Row],[BB]]+CIN_P[[#This Row],[H]])/CIN_P[[#This Row],[IP]],0)</f>
        <v>1.5418133065191888</v>
      </c>
      <c r="O84" s="28">
        <v>5</v>
      </c>
      <c r="P84" s="90">
        <v>2</v>
      </c>
      <c r="Q84" s="28">
        <v>0</v>
      </c>
      <c r="R84" s="74">
        <v>0</v>
      </c>
      <c r="S84" s="780">
        <v>2</v>
      </c>
      <c r="Z84" s="651" t="s">
        <v>1025</v>
      </c>
      <c r="AA84" s="74" t="s">
        <v>365</v>
      </c>
      <c r="AB84" s="116" t="s">
        <v>1048</v>
      </c>
      <c r="AC84" s="88">
        <f>IFERROR((CIN_P143[[#This Row],[R]]*9)/CIN_P143[[#This Row],[IP]],0)</f>
        <v>5.9816777438476736</v>
      </c>
      <c r="AD84" s="28">
        <v>2</v>
      </c>
      <c r="AE84" s="74">
        <v>5</v>
      </c>
      <c r="AF84" s="28">
        <v>10</v>
      </c>
      <c r="AG84" s="584">
        <v>55.67</v>
      </c>
      <c r="AH84" s="28">
        <v>57</v>
      </c>
      <c r="AI84" s="28">
        <v>37</v>
      </c>
      <c r="AJ84" s="28">
        <v>33</v>
      </c>
      <c r="AK84" s="28">
        <v>72</v>
      </c>
      <c r="AL84" s="28">
        <v>0</v>
      </c>
      <c r="AM84" s="89">
        <f>IFERROR((CIN_P143[[#This Row],[BB]]+CIN_P143[[#This Row],[H]])/CIN_P143[[#This Row],[IP]],0)</f>
        <v>1.6166696604993713</v>
      </c>
      <c r="AN84" s="28">
        <v>4</v>
      </c>
      <c r="AO84" s="90">
        <v>2</v>
      </c>
      <c r="AP84" s="28">
        <v>0</v>
      </c>
      <c r="AQ84" s="74">
        <v>0</v>
      </c>
      <c r="AR84" s="780">
        <v>2</v>
      </c>
      <c r="AY84" s="651" t="s">
        <v>1025</v>
      </c>
      <c r="AZ84" s="74" t="s">
        <v>206</v>
      </c>
      <c r="BA84" s="71" t="s">
        <v>448</v>
      </c>
      <c r="BB84" s="88">
        <f>IFERROR((CIN_P153[[#This Row],[R]]*9)/CIN_P153[[#This Row],[IP]],0)</f>
        <v>4.0862656072644725</v>
      </c>
      <c r="BC84" s="28">
        <v>4</v>
      </c>
      <c r="BD84" s="74">
        <v>3</v>
      </c>
      <c r="BE84" s="28">
        <v>10</v>
      </c>
      <c r="BF84" s="584">
        <v>61.67</v>
      </c>
      <c r="BG84" s="28">
        <v>51</v>
      </c>
      <c r="BH84" s="28">
        <v>28</v>
      </c>
      <c r="BI84" s="28">
        <v>18</v>
      </c>
      <c r="BJ84" s="28">
        <v>60</v>
      </c>
      <c r="BK84" s="28">
        <v>0</v>
      </c>
      <c r="BL84" s="89">
        <f>IFERROR((CIN_P153[[#This Row],[BB]]+CIN_P153[[#This Row],[H]])/CIN_P153[[#This Row],[IP]],0)</f>
        <v>1.1188584400843198</v>
      </c>
      <c r="BM84" s="28">
        <v>8</v>
      </c>
      <c r="BN84" s="90">
        <v>4</v>
      </c>
      <c r="BO84" s="28">
        <v>1</v>
      </c>
      <c r="BP84" s="74">
        <v>1</v>
      </c>
      <c r="BQ84" s="615">
        <v>2</v>
      </c>
    </row>
    <row r="85" spans="1:73">
      <c r="A85" s="651" t="s">
        <v>1025</v>
      </c>
      <c r="B85" s="74" t="s">
        <v>206</v>
      </c>
      <c r="C85" s="116" t="s">
        <v>1047</v>
      </c>
      <c r="D85" s="88">
        <f>IFERROR((CIN_P[[#This Row],[R]]*9)/CIN_P[[#This Row],[IP]],0)</f>
        <v>4.1536179330806</v>
      </c>
      <c r="E85" s="28">
        <v>3</v>
      </c>
      <c r="F85" s="74">
        <v>5</v>
      </c>
      <c r="G85" s="28">
        <v>10</v>
      </c>
      <c r="H85" s="584">
        <v>60.67</v>
      </c>
      <c r="I85" s="28">
        <v>61</v>
      </c>
      <c r="J85" s="28">
        <v>28</v>
      </c>
      <c r="K85" s="28">
        <v>16</v>
      </c>
      <c r="L85" s="28">
        <v>48</v>
      </c>
      <c r="M85" s="28">
        <v>0</v>
      </c>
      <c r="N85" s="89">
        <f>IFERROR((CIN_P[[#This Row],[BB]]+CIN_P[[#This Row],[H]])/CIN_P[[#This Row],[IP]],0)</f>
        <v>1.269161035107961</v>
      </c>
      <c r="O85" s="28">
        <v>7</v>
      </c>
      <c r="P85" s="90">
        <v>4</v>
      </c>
      <c r="Q85" s="28">
        <v>0</v>
      </c>
      <c r="R85" s="74">
        <v>0</v>
      </c>
      <c r="S85" s="780">
        <v>3</v>
      </c>
      <c r="Z85" s="651" t="s">
        <v>1025</v>
      </c>
      <c r="AA85" s="74" t="s">
        <v>206</v>
      </c>
      <c r="AB85" s="116" t="s">
        <v>1046</v>
      </c>
      <c r="AC85" s="88">
        <f>IFERROR((CIN_P143[[#This Row],[R]]*9)/CIN_P143[[#This Row],[IP]],0)</f>
        <v>4.8953354211307074</v>
      </c>
      <c r="AD85" s="28">
        <v>3</v>
      </c>
      <c r="AE85" s="74">
        <v>4</v>
      </c>
      <c r="AF85" s="28">
        <v>10</v>
      </c>
      <c r="AG85" s="584">
        <v>60.67</v>
      </c>
      <c r="AH85" s="28">
        <v>57</v>
      </c>
      <c r="AI85" s="28">
        <v>33</v>
      </c>
      <c r="AJ85" s="28">
        <v>34</v>
      </c>
      <c r="AK85" s="28">
        <v>79</v>
      </c>
      <c r="AL85" s="28">
        <v>0</v>
      </c>
      <c r="AM85" s="89">
        <f>IFERROR((CIN_P143[[#This Row],[BB]]+CIN_P143[[#This Row],[H]])/CIN_P143[[#This Row],[IP]],0)</f>
        <v>1.4999175869457722</v>
      </c>
      <c r="AN85" s="28">
        <v>6</v>
      </c>
      <c r="AO85" s="90">
        <v>2</v>
      </c>
      <c r="AP85" s="28">
        <v>0</v>
      </c>
      <c r="AQ85" s="74">
        <v>0</v>
      </c>
      <c r="AR85" s="780">
        <v>3</v>
      </c>
      <c r="AY85" s="651" t="s">
        <v>1025</v>
      </c>
      <c r="AZ85" s="74" t="s">
        <v>206</v>
      </c>
      <c r="BA85" s="71" t="s">
        <v>1049</v>
      </c>
      <c r="BB85" s="88">
        <f>IFERROR((CIN_P153[[#This Row],[R]]*9)/CIN_P153[[#This Row],[IP]],0)</f>
        <v>4.2</v>
      </c>
      <c r="BC85" s="28">
        <v>1</v>
      </c>
      <c r="BD85" s="74">
        <v>6</v>
      </c>
      <c r="BE85" s="28">
        <v>10</v>
      </c>
      <c r="BF85" s="584">
        <v>60</v>
      </c>
      <c r="BG85" s="28">
        <v>54</v>
      </c>
      <c r="BH85" s="28">
        <v>28</v>
      </c>
      <c r="BI85" s="28">
        <v>30</v>
      </c>
      <c r="BJ85" s="28">
        <v>61</v>
      </c>
      <c r="BK85" s="28">
        <v>0</v>
      </c>
      <c r="BL85" s="89">
        <f>IFERROR((CIN_P153[[#This Row],[BB]]+CIN_P153[[#This Row],[H]])/CIN_P153[[#This Row],[IP]],0)</f>
        <v>1.4</v>
      </c>
      <c r="BM85" s="28">
        <v>6</v>
      </c>
      <c r="BN85" s="90">
        <v>3</v>
      </c>
      <c r="BO85" s="28">
        <v>0</v>
      </c>
      <c r="BP85" s="74">
        <v>0</v>
      </c>
      <c r="BQ85" s="615">
        <v>3</v>
      </c>
    </row>
    <row r="86" spans="1:73">
      <c r="A86" s="651" t="s">
        <v>1025</v>
      </c>
      <c r="B86" s="74" t="s">
        <v>206</v>
      </c>
      <c r="C86" s="116" t="s">
        <v>1048</v>
      </c>
      <c r="D86" s="88">
        <f>IFERROR((CIN_P[[#This Row],[R]]*9)/CIN_P[[#This Row],[IP]],0)</f>
        <v>7.0514045480603862</v>
      </c>
      <c r="E86" s="28">
        <v>3</v>
      </c>
      <c r="F86" s="74">
        <v>6</v>
      </c>
      <c r="G86" s="28">
        <v>10</v>
      </c>
      <c r="H86" s="584">
        <v>52.33</v>
      </c>
      <c r="I86" s="28">
        <v>65</v>
      </c>
      <c r="J86" s="28">
        <v>41</v>
      </c>
      <c r="K86" s="28">
        <v>33</v>
      </c>
      <c r="L86" s="28">
        <v>64</v>
      </c>
      <c r="M86" s="28">
        <v>0</v>
      </c>
      <c r="N86" s="89">
        <f>IFERROR((CIN_P[[#This Row],[BB]]+CIN_P[[#This Row],[H]])/CIN_P[[#This Row],[IP]],0)</f>
        <v>1.8727307471813492</v>
      </c>
      <c r="O86" s="28">
        <v>2</v>
      </c>
      <c r="P86" s="90">
        <v>0</v>
      </c>
      <c r="Q86" s="28">
        <v>0</v>
      </c>
      <c r="R86" s="74">
        <v>0</v>
      </c>
      <c r="S86" s="780">
        <v>4</v>
      </c>
      <c r="Z86" s="651" t="s">
        <v>1025</v>
      </c>
      <c r="AA86" s="74" t="s">
        <v>206</v>
      </c>
      <c r="AB86" s="116" t="s">
        <v>1049</v>
      </c>
      <c r="AC86" s="88">
        <f>IFERROR((CIN_P143[[#This Row],[R]]*9)/CIN_P143[[#This Row],[IP]],0)</f>
        <v>5.8761249338274215</v>
      </c>
      <c r="AD86" s="28">
        <v>4</v>
      </c>
      <c r="AE86" s="74">
        <v>5</v>
      </c>
      <c r="AF86" s="28">
        <v>10</v>
      </c>
      <c r="AG86" s="584">
        <v>56.67</v>
      </c>
      <c r="AH86" s="28">
        <v>68</v>
      </c>
      <c r="AI86" s="28">
        <v>37</v>
      </c>
      <c r="AJ86" s="28">
        <v>23</v>
      </c>
      <c r="AK86" s="28">
        <v>55</v>
      </c>
      <c r="AL86" s="28">
        <v>0</v>
      </c>
      <c r="AM86" s="89">
        <f>IFERROR((CIN_P143[[#This Row],[BB]]+CIN_P143[[#This Row],[H]])/CIN_P143[[#This Row],[IP]],0)</f>
        <v>1.605787894829716</v>
      </c>
      <c r="AN86" s="28">
        <v>4</v>
      </c>
      <c r="AO86" s="90">
        <v>1</v>
      </c>
      <c r="AP86" s="28">
        <v>0</v>
      </c>
      <c r="AQ86" s="74">
        <v>0</v>
      </c>
      <c r="AR86" s="780">
        <v>4</v>
      </c>
      <c r="AY86" s="651" t="s">
        <v>1025</v>
      </c>
      <c r="AZ86" s="74" t="s">
        <v>206</v>
      </c>
      <c r="BA86" s="71" t="s">
        <v>1050</v>
      </c>
      <c r="BB86" s="88">
        <f>IFERROR((CIN_P153[[#This Row],[R]]*9)/CIN_P153[[#This Row],[IP]],0)</f>
        <v>3.8165541071148108</v>
      </c>
      <c r="BC86" s="28">
        <v>3</v>
      </c>
      <c r="BD86" s="74">
        <v>1</v>
      </c>
      <c r="BE86" s="28">
        <v>10</v>
      </c>
      <c r="BF86" s="584">
        <v>63.67</v>
      </c>
      <c r="BG86" s="28">
        <v>59</v>
      </c>
      <c r="BH86" s="28">
        <v>27</v>
      </c>
      <c r="BI86" s="28">
        <v>21</v>
      </c>
      <c r="BJ86" s="28">
        <v>59</v>
      </c>
      <c r="BK86" s="28">
        <v>0</v>
      </c>
      <c r="BL86" s="89">
        <f>IFERROR((CIN_P153[[#This Row],[BB]]+CIN_P153[[#This Row],[H]])/CIN_P153[[#This Row],[IP]],0)</f>
        <v>1.2564787183917072</v>
      </c>
      <c r="BM86" s="28">
        <v>8</v>
      </c>
      <c r="BN86" s="90">
        <v>2</v>
      </c>
      <c r="BO86" s="28">
        <v>0</v>
      </c>
      <c r="BP86" s="74">
        <v>0</v>
      </c>
      <c r="BQ86" s="615">
        <v>4</v>
      </c>
    </row>
    <row r="87" spans="1:73">
      <c r="A87" s="651" t="s">
        <v>1025</v>
      </c>
      <c r="B87" s="74" t="s">
        <v>215</v>
      </c>
      <c r="C87" s="116" t="s">
        <v>1051</v>
      </c>
      <c r="D87" s="88">
        <f>IFERROR((CIN_P[[#This Row],[R]]*9)/CIN_P[[#This Row],[IP]],0)</f>
        <v>5.329648637978682</v>
      </c>
      <c r="E87" s="28">
        <v>1</v>
      </c>
      <c r="F87" s="74">
        <v>2</v>
      </c>
      <c r="G87" s="28">
        <v>13</v>
      </c>
      <c r="H87" s="584">
        <v>25.33</v>
      </c>
      <c r="I87" s="28">
        <v>33</v>
      </c>
      <c r="J87" s="28">
        <v>15</v>
      </c>
      <c r="K87" s="28">
        <v>10</v>
      </c>
      <c r="L87" s="28">
        <v>22</v>
      </c>
      <c r="M87" s="28">
        <v>0</v>
      </c>
      <c r="N87" s="89">
        <f>IFERROR((CIN_P[[#This Row],[BB]]+CIN_P[[#This Row],[H]])/CIN_P[[#This Row],[IP]],0)</f>
        <v>1.6975917883932097</v>
      </c>
      <c r="O87" s="28">
        <v>0</v>
      </c>
      <c r="P87" s="90">
        <v>0</v>
      </c>
      <c r="Q87" s="28">
        <v>0</v>
      </c>
      <c r="R87" s="74">
        <v>0</v>
      </c>
      <c r="S87" s="780">
        <v>5</v>
      </c>
      <c r="Z87" s="651" t="s">
        <v>1025</v>
      </c>
      <c r="AA87" s="74" t="s">
        <v>212</v>
      </c>
      <c r="AB87" s="116" t="s">
        <v>1050</v>
      </c>
      <c r="AC87" s="88">
        <f>IFERROR((CIN_P143[[#This Row],[R]]*9)/CIN_P143[[#This Row],[IP]],0)</f>
        <v>6.5837600585223113</v>
      </c>
      <c r="AD87" s="28">
        <v>0</v>
      </c>
      <c r="AE87" s="74">
        <v>0</v>
      </c>
      <c r="AF87" s="28">
        <v>8</v>
      </c>
      <c r="AG87" s="584">
        <v>13.67</v>
      </c>
      <c r="AH87" s="28">
        <v>20</v>
      </c>
      <c r="AI87" s="28">
        <v>10</v>
      </c>
      <c r="AJ87" s="28">
        <v>3</v>
      </c>
      <c r="AK87" s="28">
        <v>6</v>
      </c>
      <c r="AL87" s="28">
        <v>0</v>
      </c>
      <c r="AM87" s="89">
        <f>IFERROR((CIN_P143[[#This Row],[BB]]+CIN_P143[[#This Row],[H]])/CIN_P143[[#This Row],[IP]],0)</f>
        <v>1.6825164594001463</v>
      </c>
      <c r="AN87" s="28">
        <v>0</v>
      </c>
      <c r="AO87" s="90">
        <v>0</v>
      </c>
      <c r="AP87" s="28">
        <v>0</v>
      </c>
      <c r="AQ87" s="74">
        <v>0</v>
      </c>
      <c r="AR87" s="780">
        <v>5</v>
      </c>
      <c r="AY87" s="651" t="s">
        <v>1025</v>
      </c>
      <c r="AZ87" s="74" t="s">
        <v>215</v>
      </c>
      <c r="BA87" s="71" t="s">
        <v>1046</v>
      </c>
      <c r="BB87" s="88">
        <f>IFERROR((CIN_P153[[#This Row],[R]]*9)/CIN_P153[[#This Row],[IP]],0)</f>
        <v>2.8421052631578947</v>
      </c>
      <c r="BC87" s="28">
        <v>0</v>
      </c>
      <c r="BD87" s="74">
        <v>0</v>
      </c>
      <c r="BE87" s="28">
        <v>10</v>
      </c>
      <c r="BF87" s="584">
        <v>19</v>
      </c>
      <c r="BG87" s="28">
        <v>21</v>
      </c>
      <c r="BH87" s="28">
        <v>6</v>
      </c>
      <c r="BI87" s="28">
        <v>5</v>
      </c>
      <c r="BJ87" s="28">
        <v>12</v>
      </c>
      <c r="BK87" s="28">
        <v>0</v>
      </c>
      <c r="BL87" s="89">
        <f>IFERROR((CIN_P153[[#This Row],[BB]]+CIN_P153[[#This Row],[H]])/CIN_P153[[#This Row],[IP]],0)</f>
        <v>1.368421052631579</v>
      </c>
      <c r="BM87" s="28">
        <v>0</v>
      </c>
      <c r="BN87" s="90">
        <v>0</v>
      </c>
      <c r="BO87" s="28">
        <v>0</v>
      </c>
      <c r="BP87" s="74">
        <v>0</v>
      </c>
      <c r="BQ87" s="615">
        <v>5</v>
      </c>
    </row>
    <row r="88" spans="1:73">
      <c r="A88" s="651" t="s">
        <v>1025</v>
      </c>
      <c r="B88" s="74" t="s">
        <v>212</v>
      </c>
      <c r="C88" s="116" t="s">
        <v>1053</v>
      </c>
      <c r="D88" s="88">
        <f>IFERROR((CIN_P[[#This Row],[R]]*9)/CIN_P[[#This Row],[IP]],0)</f>
        <v>6.0987415295256531</v>
      </c>
      <c r="E88" s="28">
        <v>0</v>
      </c>
      <c r="F88" s="74">
        <v>0</v>
      </c>
      <c r="G88" s="28">
        <v>7</v>
      </c>
      <c r="H88" s="584">
        <v>10.33</v>
      </c>
      <c r="I88" s="28">
        <v>13</v>
      </c>
      <c r="J88" s="28">
        <v>7</v>
      </c>
      <c r="K88" s="28">
        <v>2</v>
      </c>
      <c r="L88" s="28">
        <v>11</v>
      </c>
      <c r="M88" s="28">
        <v>0</v>
      </c>
      <c r="N88" s="89">
        <f>IFERROR((CIN_P[[#This Row],[BB]]+CIN_P[[#This Row],[H]])/CIN_P[[#This Row],[IP]],0)</f>
        <v>1.452081316553727</v>
      </c>
      <c r="O88" s="28">
        <v>0</v>
      </c>
      <c r="P88" s="90">
        <v>0</v>
      </c>
      <c r="Q88" s="28">
        <v>0</v>
      </c>
      <c r="R88" s="74">
        <v>0</v>
      </c>
      <c r="S88" s="780">
        <v>6</v>
      </c>
      <c r="Z88" s="651" t="s">
        <v>1025</v>
      </c>
      <c r="AA88" s="74" t="s">
        <v>215</v>
      </c>
      <c r="AB88" s="116" t="s">
        <v>1053</v>
      </c>
      <c r="AC88" s="88">
        <f>IFERROR((CIN_P143[[#This Row],[R]]*9)/CIN_P143[[#This Row],[IP]],0)</f>
        <v>8.7124878993223618</v>
      </c>
      <c r="AD88" s="28">
        <v>0</v>
      </c>
      <c r="AE88" s="74">
        <v>0</v>
      </c>
      <c r="AF88" s="28">
        <v>6</v>
      </c>
      <c r="AG88" s="584">
        <v>10.33</v>
      </c>
      <c r="AH88" s="28">
        <v>17</v>
      </c>
      <c r="AI88" s="28">
        <v>10</v>
      </c>
      <c r="AJ88" s="28">
        <v>4</v>
      </c>
      <c r="AK88" s="28">
        <v>6</v>
      </c>
      <c r="AL88" s="28">
        <v>1</v>
      </c>
      <c r="AM88" s="89">
        <f>IFERROR((CIN_P143[[#This Row],[BB]]+CIN_P143[[#This Row],[H]])/CIN_P143[[#This Row],[IP]],0)</f>
        <v>2.0329138431752178</v>
      </c>
      <c r="AN88" s="28">
        <v>0</v>
      </c>
      <c r="AO88" s="90">
        <v>0</v>
      </c>
      <c r="AP88" s="28">
        <v>0</v>
      </c>
      <c r="AQ88" s="74">
        <v>0</v>
      </c>
      <c r="AR88" s="780">
        <v>6</v>
      </c>
      <c r="AY88" s="651" t="s">
        <v>1025</v>
      </c>
      <c r="AZ88" s="74" t="s">
        <v>215</v>
      </c>
      <c r="BA88" s="71" t="s">
        <v>1052</v>
      </c>
      <c r="BB88" s="88">
        <f>IFERROR((CIN_P153[[#This Row],[R]]*9)/CIN_P153[[#This Row],[IP]],0)</f>
        <v>12.698412698412698</v>
      </c>
      <c r="BC88" s="28">
        <v>0</v>
      </c>
      <c r="BD88" s="74">
        <v>0</v>
      </c>
      <c r="BE88" s="28">
        <v>5</v>
      </c>
      <c r="BF88" s="584">
        <v>5.67</v>
      </c>
      <c r="BG88" s="28">
        <v>8</v>
      </c>
      <c r="BH88" s="28">
        <v>8</v>
      </c>
      <c r="BI88" s="28">
        <v>5</v>
      </c>
      <c r="BJ88" s="28">
        <v>4</v>
      </c>
      <c r="BK88" s="28">
        <v>0</v>
      </c>
      <c r="BL88" s="89">
        <f>IFERROR((CIN_P153[[#This Row],[BB]]+CIN_P153[[#This Row],[H]])/CIN_P153[[#This Row],[IP]],0)</f>
        <v>2.2927689594356262</v>
      </c>
      <c r="BM88" s="28">
        <v>0</v>
      </c>
      <c r="BN88" s="90">
        <v>0</v>
      </c>
      <c r="BO88" s="28">
        <v>0</v>
      </c>
      <c r="BP88" s="74">
        <v>0</v>
      </c>
      <c r="BQ88" s="615">
        <v>6</v>
      </c>
    </row>
    <row r="89" spans="1:73">
      <c r="A89" s="651" t="s">
        <v>1025</v>
      </c>
      <c r="B89" s="74" t="s">
        <v>215</v>
      </c>
      <c r="C89" s="28" t="s">
        <v>1054</v>
      </c>
      <c r="D89" s="88">
        <f>IFERROR((CIN_P[[#This Row],[R]]*9)/CIN_P[[#This Row],[IP]],0)</f>
        <v>6</v>
      </c>
      <c r="E89" s="28">
        <v>0</v>
      </c>
      <c r="F89" s="74">
        <v>0</v>
      </c>
      <c r="G89" s="28">
        <v>5</v>
      </c>
      <c r="H89" s="584">
        <v>9</v>
      </c>
      <c r="I89" s="28">
        <v>11</v>
      </c>
      <c r="J89" s="28">
        <v>6</v>
      </c>
      <c r="K89" s="28">
        <v>1</v>
      </c>
      <c r="L89" s="28">
        <v>7</v>
      </c>
      <c r="M89" s="28">
        <v>0</v>
      </c>
      <c r="N89" s="89">
        <f>IFERROR((CIN_P[[#This Row],[BB]]+CIN_P[[#This Row],[H]])/CIN_P[[#This Row],[IP]],0)</f>
        <v>1.3333333333333333</v>
      </c>
      <c r="O89" s="28">
        <v>0</v>
      </c>
      <c r="P89" s="90">
        <v>0</v>
      </c>
      <c r="Q89" s="28">
        <v>0</v>
      </c>
      <c r="R89" s="74">
        <v>0</v>
      </c>
      <c r="S89" s="780">
        <v>7</v>
      </c>
      <c r="Z89" s="651" t="s">
        <v>1025</v>
      </c>
      <c r="AA89" s="74" t="s">
        <v>212</v>
      </c>
      <c r="AB89" s="116" t="s">
        <v>1052</v>
      </c>
      <c r="AC89" s="88">
        <f>IFERROR((CIN_P143[[#This Row],[R]]*9)/CIN_P143[[#This Row],[IP]],0)</f>
        <v>9</v>
      </c>
      <c r="AD89" s="28">
        <v>0</v>
      </c>
      <c r="AE89" s="74">
        <v>0</v>
      </c>
      <c r="AF89" s="28">
        <v>5</v>
      </c>
      <c r="AG89" s="584">
        <v>9</v>
      </c>
      <c r="AH89" s="28">
        <v>17</v>
      </c>
      <c r="AI89" s="28">
        <v>9</v>
      </c>
      <c r="AJ89" s="28">
        <v>7</v>
      </c>
      <c r="AK89" s="28">
        <v>7</v>
      </c>
      <c r="AL89" s="28">
        <v>0</v>
      </c>
      <c r="AM89" s="89">
        <f>IFERROR((CIN_P143[[#This Row],[BB]]+CIN_P143[[#This Row],[H]])/CIN_P143[[#This Row],[IP]],0)</f>
        <v>2.6666666666666665</v>
      </c>
      <c r="AN89" s="28">
        <v>0</v>
      </c>
      <c r="AO89" s="90">
        <v>0</v>
      </c>
      <c r="AP89" s="28">
        <v>0</v>
      </c>
      <c r="AQ89" s="74">
        <v>0</v>
      </c>
      <c r="AR89" s="780">
        <v>7</v>
      </c>
      <c r="AY89" s="651" t="s">
        <v>1025</v>
      </c>
      <c r="AZ89" s="74" t="s">
        <v>212</v>
      </c>
      <c r="BA89" s="71" t="s">
        <v>1057</v>
      </c>
      <c r="BB89" s="88">
        <f>IFERROR((CIN_P153[[#This Row],[R]]*9)/CIN_P153[[#This Row],[IP]],0)</f>
        <v>5.3231939163498092</v>
      </c>
      <c r="BC89" s="28">
        <v>4</v>
      </c>
      <c r="BD89" s="74">
        <v>4</v>
      </c>
      <c r="BE89" s="28">
        <v>25</v>
      </c>
      <c r="BF89" s="584">
        <v>23.67</v>
      </c>
      <c r="BG89" s="28">
        <v>24</v>
      </c>
      <c r="BH89" s="28">
        <v>14</v>
      </c>
      <c r="BI89" s="28">
        <v>14</v>
      </c>
      <c r="BJ89" s="28">
        <v>36</v>
      </c>
      <c r="BK89" s="28">
        <v>1</v>
      </c>
      <c r="BL89" s="89">
        <f>IFERROR((CIN_P153[[#This Row],[BB]]+CIN_P153[[#This Row],[H]])/CIN_P153[[#This Row],[IP]],0)</f>
        <v>1.605407689057879</v>
      </c>
      <c r="BM89" s="28">
        <v>0</v>
      </c>
      <c r="BN89" s="90">
        <v>0</v>
      </c>
      <c r="BO89" s="28">
        <v>0</v>
      </c>
      <c r="BP89" s="74">
        <v>0</v>
      </c>
      <c r="BQ89" s="615">
        <v>7</v>
      </c>
    </row>
    <row r="90" spans="1:73">
      <c r="A90" s="651" t="s">
        <v>1025</v>
      </c>
      <c r="B90" s="74" t="s">
        <v>212</v>
      </c>
      <c r="C90" s="71" t="s">
        <v>1055</v>
      </c>
      <c r="D90" s="88">
        <f>IFERROR((CIN_P[[#This Row],[R]]*9)/CIN_P[[#This Row],[IP]],0)</f>
        <v>3.2727272727272729</v>
      </c>
      <c r="E90" s="28">
        <v>0</v>
      </c>
      <c r="F90" s="74">
        <v>1</v>
      </c>
      <c r="G90" s="28">
        <v>19</v>
      </c>
      <c r="H90" s="584">
        <v>22</v>
      </c>
      <c r="I90" s="28">
        <v>21</v>
      </c>
      <c r="J90" s="28">
        <v>8</v>
      </c>
      <c r="K90" s="28">
        <v>7</v>
      </c>
      <c r="L90" s="28">
        <v>17</v>
      </c>
      <c r="M90" s="28">
        <v>0</v>
      </c>
      <c r="N90" s="89">
        <f>IFERROR((CIN_P[[#This Row],[BB]]+CIN_P[[#This Row],[H]])/CIN_P[[#This Row],[IP]],0)</f>
        <v>1.2727272727272727</v>
      </c>
      <c r="O90" s="28">
        <v>0</v>
      </c>
      <c r="P90" s="90">
        <v>0</v>
      </c>
      <c r="Q90" s="28">
        <v>0</v>
      </c>
      <c r="R90" s="74">
        <v>0</v>
      </c>
      <c r="S90" s="780">
        <v>8</v>
      </c>
      <c r="Z90" s="651" t="s">
        <v>1025</v>
      </c>
      <c r="AA90" s="74" t="s">
        <v>212</v>
      </c>
      <c r="AB90" s="71" t="s">
        <v>1057</v>
      </c>
      <c r="AC90" s="88">
        <f>IFERROR((CIN_P143[[#This Row],[R]]*9)/CIN_P143[[#This Row],[IP]],0)</f>
        <v>6.2018646128901498</v>
      </c>
      <c r="AD90" s="28">
        <v>2</v>
      </c>
      <c r="AE90" s="74">
        <v>2</v>
      </c>
      <c r="AF90" s="28">
        <v>23</v>
      </c>
      <c r="AG90" s="584">
        <v>24.67</v>
      </c>
      <c r="AH90" s="28">
        <v>28</v>
      </c>
      <c r="AI90" s="28">
        <v>17</v>
      </c>
      <c r="AJ90" s="28">
        <v>9</v>
      </c>
      <c r="AK90" s="28">
        <v>39</v>
      </c>
      <c r="AL90" s="28">
        <v>0</v>
      </c>
      <c r="AM90" s="89">
        <f>IFERROR((CIN_P143[[#This Row],[BB]]+CIN_P143[[#This Row],[H]])/CIN_P143[[#This Row],[IP]],0)</f>
        <v>1.4997973246858531</v>
      </c>
      <c r="AN90" s="28">
        <v>0</v>
      </c>
      <c r="AO90" s="90">
        <v>0</v>
      </c>
      <c r="AP90" s="28">
        <v>0</v>
      </c>
      <c r="AQ90" s="74">
        <v>0</v>
      </c>
      <c r="AR90" s="780">
        <v>8</v>
      </c>
      <c r="AY90" s="651" t="s">
        <v>1025</v>
      </c>
      <c r="AZ90" s="74" t="s">
        <v>212</v>
      </c>
      <c r="BA90" s="71" t="s">
        <v>1055</v>
      </c>
      <c r="BB90" s="88">
        <f>IFERROR((CIN_P153[[#This Row],[R]]*9)/CIN_P153[[#This Row],[IP]],0)</f>
        <v>3.7228541882109618</v>
      </c>
      <c r="BC90" s="28">
        <v>0</v>
      </c>
      <c r="BD90" s="74">
        <v>1</v>
      </c>
      <c r="BE90" s="28">
        <v>10</v>
      </c>
      <c r="BF90" s="584">
        <v>9.67</v>
      </c>
      <c r="BG90" s="28">
        <v>9</v>
      </c>
      <c r="BH90" s="28">
        <v>4</v>
      </c>
      <c r="BI90" s="28">
        <v>5</v>
      </c>
      <c r="BJ90" s="28">
        <v>14</v>
      </c>
      <c r="BK90" s="28">
        <v>0</v>
      </c>
      <c r="BL90" s="89">
        <f>IFERROR((CIN_P153[[#This Row],[BB]]+CIN_P153[[#This Row],[H]])/CIN_P153[[#This Row],[IP]],0)</f>
        <v>1.4477766287487073</v>
      </c>
      <c r="BM90" s="28">
        <v>0</v>
      </c>
      <c r="BN90" s="90">
        <v>0</v>
      </c>
      <c r="BO90" s="28">
        <v>0</v>
      </c>
      <c r="BP90" s="74">
        <v>0</v>
      </c>
      <c r="BQ90" s="615">
        <v>8</v>
      </c>
    </row>
    <row r="91" spans="1:73">
      <c r="A91" s="651" t="s">
        <v>1025</v>
      </c>
      <c r="B91" s="74" t="s">
        <v>212</v>
      </c>
      <c r="C91" s="633" t="s">
        <v>1056</v>
      </c>
      <c r="D91" s="88">
        <f>IFERROR((CIN_P[[#This Row],[R]]*9)/CIN_P[[#This Row],[IP]],0)</f>
        <v>2.5893958076448831</v>
      </c>
      <c r="E91" s="28">
        <v>1</v>
      </c>
      <c r="F91" s="74">
        <v>2</v>
      </c>
      <c r="G91" s="76">
        <v>24</v>
      </c>
      <c r="H91" s="584">
        <v>24.33</v>
      </c>
      <c r="I91" s="28">
        <v>20</v>
      </c>
      <c r="J91" s="28">
        <v>7</v>
      </c>
      <c r="K91" s="28">
        <v>17</v>
      </c>
      <c r="L91" s="28">
        <v>28</v>
      </c>
      <c r="M91" s="28">
        <v>0</v>
      </c>
      <c r="N91" s="89">
        <f>IFERROR((CIN_P[[#This Row],[BB]]+CIN_P[[#This Row],[H]])/CIN_P[[#This Row],[IP]],0)</f>
        <v>1.5207562679819155</v>
      </c>
      <c r="O91" s="28">
        <v>0</v>
      </c>
      <c r="P91" s="90">
        <v>0</v>
      </c>
      <c r="Q91" s="28">
        <v>0</v>
      </c>
      <c r="R91" s="74">
        <v>0</v>
      </c>
      <c r="S91" s="780">
        <v>9</v>
      </c>
      <c r="Z91" s="651" t="s">
        <v>1025</v>
      </c>
      <c r="AA91" s="74" t="s">
        <v>212</v>
      </c>
      <c r="AB91" s="116" t="s">
        <v>1056</v>
      </c>
      <c r="AC91" s="88">
        <f>IFERROR((CIN_P143[[#This Row],[R]]*9)/CIN_P143[[#This Row],[IP]],0)</f>
        <v>4.5</v>
      </c>
      <c r="AD91" s="28">
        <v>1</v>
      </c>
      <c r="AE91" s="74">
        <v>0</v>
      </c>
      <c r="AF91" s="28">
        <v>23</v>
      </c>
      <c r="AG91" s="584">
        <v>26</v>
      </c>
      <c r="AH91" s="28">
        <v>20</v>
      </c>
      <c r="AI91" s="28">
        <v>13</v>
      </c>
      <c r="AJ91" s="28">
        <v>15</v>
      </c>
      <c r="AK91" s="28">
        <v>40</v>
      </c>
      <c r="AL91" s="28">
        <v>0</v>
      </c>
      <c r="AM91" s="89">
        <f>IFERROR((CIN_P143[[#This Row],[BB]]+CIN_P143[[#This Row],[H]])/CIN_P143[[#This Row],[IP]],0)</f>
        <v>1.3461538461538463</v>
      </c>
      <c r="AN91" s="28">
        <v>0</v>
      </c>
      <c r="AO91" s="90">
        <v>0</v>
      </c>
      <c r="AP91" s="28">
        <v>0</v>
      </c>
      <c r="AQ91" s="74">
        <v>0</v>
      </c>
      <c r="AR91" s="780">
        <v>9</v>
      </c>
      <c r="AY91" s="651" t="s">
        <v>1025</v>
      </c>
      <c r="AZ91" s="74" t="s">
        <v>212</v>
      </c>
      <c r="BA91" s="71" t="s">
        <v>1056</v>
      </c>
      <c r="BB91" s="88">
        <f>IFERROR((CIN_P153[[#This Row],[R]]*9)/CIN_P153[[#This Row],[IP]],0)</f>
        <v>1.4598540145985401</v>
      </c>
      <c r="BC91" s="28">
        <v>0</v>
      </c>
      <c r="BD91" s="74">
        <v>0</v>
      </c>
      <c r="BE91" s="28">
        <v>12</v>
      </c>
      <c r="BF91" s="584">
        <v>12.33</v>
      </c>
      <c r="BG91" s="28">
        <v>12</v>
      </c>
      <c r="BH91" s="28">
        <v>2</v>
      </c>
      <c r="BI91" s="28">
        <v>1</v>
      </c>
      <c r="BJ91" s="28">
        <v>5</v>
      </c>
      <c r="BK91" s="28">
        <v>0</v>
      </c>
      <c r="BL91" s="89">
        <f>IFERROR((CIN_P153[[#This Row],[BB]]+CIN_P153[[#This Row],[H]])/CIN_P153[[#This Row],[IP]],0)</f>
        <v>1.0543390105433901</v>
      </c>
      <c r="BM91" s="28">
        <v>0</v>
      </c>
      <c r="BN91" s="90">
        <v>0</v>
      </c>
      <c r="BO91" s="28">
        <v>0</v>
      </c>
      <c r="BP91" s="74">
        <v>0</v>
      </c>
      <c r="BQ91" s="615">
        <v>9</v>
      </c>
    </row>
    <row r="92" spans="1:73" ht="17" thickBot="1">
      <c r="A92" s="651" t="s">
        <v>1025</v>
      </c>
      <c r="B92" s="74" t="s">
        <v>212</v>
      </c>
      <c r="C92" s="71" t="s">
        <v>1058</v>
      </c>
      <c r="D92" s="88">
        <f>IFERROR((CIN_P[[#This Row],[R]]*9)/CIN_P[[#This Row],[IP]],0)</f>
        <v>1.9850022055580061</v>
      </c>
      <c r="E92" s="28">
        <v>0</v>
      </c>
      <c r="F92" s="74">
        <v>1</v>
      </c>
      <c r="G92" s="76">
        <v>24</v>
      </c>
      <c r="H92" s="584">
        <v>22.67</v>
      </c>
      <c r="I92" s="28">
        <v>21</v>
      </c>
      <c r="J92" s="28">
        <v>5</v>
      </c>
      <c r="K92" s="28">
        <v>7</v>
      </c>
      <c r="L92" s="28">
        <v>21</v>
      </c>
      <c r="M92" s="28">
        <v>8</v>
      </c>
      <c r="N92" s="89">
        <f>IFERROR((CIN_P[[#This Row],[BB]]+CIN_P[[#This Row],[H]])/CIN_P[[#This Row],[IP]],0)</f>
        <v>1.2351124834583149</v>
      </c>
      <c r="O92" s="28">
        <v>0</v>
      </c>
      <c r="P92" s="90">
        <v>0</v>
      </c>
      <c r="Q92" s="28">
        <v>0</v>
      </c>
      <c r="R92" s="74">
        <v>0</v>
      </c>
      <c r="S92" s="780">
        <v>10</v>
      </c>
      <c r="Z92" s="651" t="s">
        <v>1025</v>
      </c>
      <c r="AA92" s="104" t="s">
        <v>212</v>
      </c>
      <c r="AB92" s="345" t="s">
        <v>1058</v>
      </c>
      <c r="AC92" s="349">
        <f>IFERROR((CIN_P143[[#This Row],[R]]*9)/CIN_P143[[#This Row],[IP]],0)</f>
        <v>0.33745781777277839</v>
      </c>
      <c r="AD92" s="28">
        <v>3</v>
      </c>
      <c r="AE92" s="74">
        <v>0</v>
      </c>
      <c r="AF92" s="28">
        <v>24</v>
      </c>
      <c r="AG92" s="584">
        <v>26.67</v>
      </c>
      <c r="AH92" s="28">
        <v>15</v>
      </c>
      <c r="AI92" s="28">
        <v>1</v>
      </c>
      <c r="AJ92" s="28">
        <v>7</v>
      </c>
      <c r="AK92" s="28">
        <v>27</v>
      </c>
      <c r="AL92" s="28">
        <v>11</v>
      </c>
      <c r="AM92" s="89">
        <f>IFERROR((CIN_P143[[#This Row],[BB]]+CIN_P143[[#This Row],[H]])/CIN_P143[[#This Row],[IP]],0)</f>
        <v>0.82489688788901383</v>
      </c>
      <c r="AN92" s="28">
        <v>0</v>
      </c>
      <c r="AO92" s="90">
        <v>0</v>
      </c>
      <c r="AP92" s="28">
        <v>0</v>
      </c>
      <c r="AQ92" s="74">
        <v>0</v>
      </c>
      <c r="AR92" s="780">
        <v>10</v>
      </c>
      <c r="AY92" s="651" t="s">
        <v>1025</v>
      </c>
      <c r="AZ92" s="74" t="s">
        <v>212</v>
      </c>
      <c r="BA92" s="71" t="s">
        <v>1058</v>
      </c>
      <c r="BB92" s="88">
        <f>IFERROR((CIN_P153[[#This Row],[R]]*9)/CIN_P153[[#This Row],[IP]],0)</f>
        <v>2.88</v>
      </c>
      <c r="BC92" s="28">
        <v>3</v>
      </c>
      <c r="BD92" s="74">
        <v>2</v>
      </c>
      <c r="BE92" s="28">
        <v>21</v>
      </c>
      <c r="BF92" s="584">
        <v>25</v>
      </c>
      <c r="BG92" s="28">
        <v>23</v>
      </c>
      <c r="BH92" s="28">
        <v>8</v>
      </c>
      <c r="BI92" s="28">
        <v>10</v>
      </c>
      <c r="BJ92" s="28">
        <v>25</v>
      </c>
      <c r="BK92" s="28">
        <v>8</v>
      </c>
      <c r="BL92" s="89">
        <f>IFERROR((CIN_P153[[#This Row],[BB]]+CIN_P153[[#This Row],[H]])/CIN_P153[[#This Row],[IP]],0)</f>
        <v>1.32</v>
      </c>
      <c r="BM92" s="28">
        <v>0</v>
      </c>
      <c r="BN92" s="90">
        <v>0</v>
      </c>
      <c r="BO92" s="28">
        <v>0</v>
      </c>
      <c r="BP92" s="74">
        <v>0</v>
      </c>
      <c r="BQ92" s="615">
        <v>10</v>
      </c>
    </row>
    <row r="93" spans="1:73" ht="17" thickBot="1">
      <c r="A93" s="652"/>
      <c r="B93" s="653"/>
      <c r="C93" s="654" t="s">
        <v>195</v>
      </c>
      <c r="D93" s="665">
        <f>(J93*9)/H93</f>
        <v>4.4112676056338032</v>
      </c>
      <c r="E93" s="658">
        <f>SUBTOTAL(109,CIN_P[W])</f>
        <v>14</v>
      </c>
      <c r="F93" s="660">
        <f>SUBTOTAL(109,CIN_P[L])</f>
        <v>26</v>
      </c>
      <c r="G93" s="658"/>
      <c r="H93" s="666">
        <f>SUBTOTAL(109,CIN_P[IP])</f>
        <v>354.99999999999994</v>
      </c>
      <c r="I93" s="658">
        <f>SUBTOTAL(109,CIN_P[H])</f>
        <v>365</v>
      </c>
      <c r="J93" s="658">
        <f>SUBTOTAL(109,CIN_P[R])</f>
        <v>174</v>
      </c>
      <c r="K93" s="658">
        <f>SUBTOTAL(109,CIN_P[BB])</f>
        <v>147</v>
      </c>
      <c r="L93" s="658">
        <f>SUBTOTAL(109,CIN_P[K])</f>
        <v>360</v>
      </c>
      <c r="M93" s="658">
        <f>SUBTOTAL(109,CIN_P[SV])</f>
        <v>8</v>
      </c>
      <c r="N93" s="667">
        <f>(K93+I93)/H93</f>
        <v>1.4422535211267609</v>
      </c>
      <c r="O93" s="690">
        <f>SUBTOTAL(109,CIN_P[QS])</f>
        <v>21</v>
      </c>
      <c r="P93" s="669">
        <f>SUBTOTAL(109,CIN_P[UQ])</f>
        <v>10</v>
      </c>
      <c r="Q93" s="670">
        <f>SUBTOTAL(109,CIN_P[CG])</f>
        <v>2</v>
      </c>
      <c r="R93" s="671">
        <f>SUBTOTAL(109,CIN_P[SH])</f>
        <v>1</v>
      </c>
      <c r="S93" s="662"/>
      <c r="Z93" s="652"/>
      <c r="AA93" s="653"/>
      <c r="AB93" s="654" t="s">
        <v>195</v>
      </c>
      <c r="AC93" s="665">
        <f>(AI93*9)/AG93</f>
        <v>4.6584110198970352</v>
      </c>
      <c r="AD93" s="658">
        <f>SUBTOTAL(109,CIN_P143[W])</f>
        <v>22</v>
      </c>
      <c r="AE93" s="660">
        <f>SUBTOTAL(109,CIN_P143[L])</f>
        <v>18</v>
      </c>
      <c r="AF93" s="658"/>
      <c r="AG93" s="666">
        <f>SUBTOTAL(109,CIN_P143[IP])</f>
        <v>359.35000000000008</v>
      </c>
      <c r="AH93" s="658">
        <f>SUBTOTAL(109,CIN_P143[H])</f>
        <v>350</v>
      </c>
      <c r="AI93" s="658">
        <f>SUBTOTAL(109,CIN_P143[R])</f>
        <v>186</v>
      </c>
      <c r="AJ93" s="658">
        <f>SUBTOTAL(109,CIN_P143[BB])</f>
        <v>164</v>
      </c>
      <c r="AK93" s="658">
        <f>SUBTOTAL(109,CIN_P143[K])</f>
        <v>417</v>
      </c>
      <c r="AL93" s="658">
        <f>SUBTOTAL(109,CIN_P143[SV])</f>
        <v>12</v>
      </c>
      <c r="AM93" s="667">
        <f>(AJ93+AH93)/AG93</f>
        <v>1.4303603728955054</v>
      </c>
      <c r="AN93" s="690">
        <f>SUBTOTAL(109,CIN_P143[QS])</f>
        <v>22</v>
      </c>
      <c r="AO93" s="669">
        <f>SUBTOTAL(109,CIN_P143[UQ])</f>
        <v>11</v>
      </c>
      <c r="AP93" s="670">
        <f>SUBTOTAL(109,CIN_P143[CG])</f>
        <v>4</v>
      </c>
      <c r="AQ93" s="671">
        <f>SUBTOTAL(109,CIN_P143[SH])</f>
        <v>3</v>
      </c>
      <c r="AR93" s="662"/>
      <c r="AY93" s="652"/>
      <c r="AZ93" s="653"/>
      <c r="BA93" s="654" t="s">
        <v>195</v>
      </c>
      <c r="BB93" s="665">
        <f>(BH93*9)/BF93</f>
        <v>4.0045930816707331</v>
      </c>
      <c r="BC93" s="658">
        <f>SUBTOTAL(109,CIN_P153[W])</f>
        <v>20</v>
      </c>
      <c r="BD93" s="660">
        <f>SUBTOTAL(109,CIN_P153[L])</f>
        <v>20</v>
      </c>
      <c r="BE93" s="658"/>
      <c r="BF93" s="666">
        <f>SUBTOTAL(109,CIN_P153[IP])</f>
        <v>348.35</v>
      </c>
      <c r="BG93" s="658">
        <f>SUBTOTAL(109,CIN_P153[H])</f>
        <v>321</v>
      </c>
      <c r="BH93" s="658">
        <f>SUBTOTAL(109,CIN_P153[R])</f>
        <v>155</v>
      </c>
      <c r="BI93" s="658">
        <f>SUBTOTAL(109,CIN_P153[BB])</f>
        <v>148</v>
      </c>
      <c r="BJ93" s="658">
        <f>SUBTOTAL(109,CIN_P153[K])</f>
        <v>350</v>
      </c>
      <c r="BK93" s="658">
        <f>SUBTOTAL(109,CIN_P153[SV])</f>
        <v>9</v>
      </c>
      <c r="BL93" s="667">
        <f>(BI93+BG93)/BF93</f>
        <v>1.3463470647337448</v>
      </c>
      <c r="BM93" s="690">
        <f>SUBTOTAL(109,CIN_P153[QS])</f>
        <v>28</v>
      </c>
      <c r="BN93" s="669">
        <f>SUM(BN83:BN92)</f>
        <v>12</v>
      </c>
      <c r="BO93" s="670">
        <f>SUM(BO83:BO92)</f>
        <v>3</v>
      </c>
      <c r="BP93" s="671">
        <f>SUM(BP83:BP92)</f>
        <v>3</v>
      </c>
      <c r="BQ93" s="662"/>
    </row>
    <row r="94" spans="1:73" ht="17" thickBot="1"/>
    <row r="95" spans="1:73" ht="24" thickBot="1">
      <c r="A95" s="1045" t="s">
        <v>1059</v>
      </c>
      <c r="B95" s="1046"/>
      <c r="C95" s="1046"/>
      <c r="D95" s="1046"/>
      <c r="E95" s="1046"/>
      <c r="F95" s="1046"/>
      <c r="G95" s="1046"/>
      <c r="H95" s="1046"/>
      <c r="I95" s="1046"/>
      <c r="J95" s="1046"/>
      <c r="K95" s="1046"/>
      <c r="L95" s="1046"/>
      <c r="M95" s="1046"/>
      <c r="N95" s="1046"/>
      <c r="O95" s="1046"/>
      <c r="P95" s="1046"/>
      <c r="Q95" s="1046"/>
      <c r="R95" s="1046"/>
      <c r="S95" s="1046"/>
      <c r="T95" s="1046"/>
      <c r="U95" s="1046"/>
      <c r="V95" s="1046"/>
      <c r="W95" s="1047"/>
      <c r="Z95" s="1045" t="s">
        <v>1060</v>
      </c>
      <c r="AA95" s="1046"/>
      <c r="AB95" s="1046"/>
      <c r="AC95" s="1046"/>
      <c r="AD95" s="1046"/>
      <c r="AE95" s="1046"/>
      <c r="AF95" s="1046"/>
      <c r="AG95" s="1046"/>
      <c r="AH95" s="1046"/>
      <c r="AI95" s="1046"/>
      <c r="AJ95" s="1046"/>
      <c r="AK95" s="1046"/>
      <c r="AL95" s="1046"/>
      <c r="AM95" s="1046"/>
      <c r="AN95" s="1046"/>
      <c r="AO95" s="1046"/>
      <c r="AP95" s="1046"/>
      <c r="AQ95" s="1046"/>
      <c r="AR95" s="1046"/>
      <c r="AS95" s="1046"/>
      <c r="AT95" s="1046"/>
      <c r="AU95" s="1046"/>
      <c r="AV95" s="1047"/>
      <c r="AY95" s="1045" t="s">
        <v>1061</v>
      </c>
      <c r="AZ95" s="1046"/>
      <c r="BA95" s="1046"/>
      <c r="BB95" s="1046"/>
      <c r="BC95" s="1046"/>
      <c r="BD95" s="1046"/>
      <c r="BE95" s="1046"/>
      <c r="BF95" s="1046"/>
      <c r="BG95" s="1046"/>
      <c r="BH95" s="1046"/>
      <c r="BI95" s="1046"/>
      <c r="BJ95" s="1046"/>
      <c r="BK95" s="1046"/>
      <c r="BL95" s="1046"/>
      <c r="BM95" s="1046"/>
      <c r="BN95" s="1046"/>
      <c r="BO95" s="1046"/>
      <c r="BP95" s="1046"/>
      <c r="BQ95" s="1046"/>
      <c r="BR95" s="1046"/>
      <c r="BS95" s="1046"/>
      <c r="BT95" s="1046"/>
      <c r="BU95" s="1047"/>
    </row>
    <row r="96" spans="1:73" s="64" customFormat="1" ht="14" thickBot="1">
      <c r="A96" s="605" t="s">
        <v>143</v>
      </c>
      <c r="B96" s="606" t="s">
        <v>144</v>
      </c>
      <c r="C96" s="606" t="s">
        <v>145</v>
      </c>
      <c r="D96" s="606" t="s">
        <v>146</v>
      </c>
      <c r="E96" s="606" t="s">
        <v>147</v>
      </c>
      <c r="F96" s="606" t="s">
        <v>148</v>
      </c>
      <c r="G96" s="606" t="s">
        <v>149</v>
      </c>
      <c r="H96" s="606" t="s">
        <v>150</v>
      </c>
      <c r="I96" s="606" t="s">
        <v>151</v>
      </c>
      <c r="J96" s="606" t="s">
        <v>152</v>
      </c>
      <c r="K96" s="606" t="s">
        <v>153</v>
      </c>
      <c r="L96" s="606" t="s">
        <v>154</v>
      </c>
      <c r="M96" s="606" t="s">
        <v>155</v>
      </c>
      <c r="N96" s="606" t="s">
        <v>156</v>
      </c>
      <c r="O96" s="606" t="s">
        <v>157</v>
      </c>
      <c r="P96" s="606" t="s">
        <v>158</v>
      </c>
      <c r="Q96" s="606" t="s">
        <v>159</v>
      </c>
      <c r="R96" s="606" t="s">
        <v>160</v>
      </c>
      <c r="S96" s="606" t="s">
        <v>16</v>
      </c>
      <c r="T96" s="606" t="s">
        <v>161</v>
      </c>
      <c r="U96" s="606" t="s">
        <v>162</v>
      </c>
      <c r="V96" s="606" t="s">
        <v>163</v>
      </c>
      <c r="W96" s="607" t="s">
        <v>164</v>
      </c>
      <c r="Z96" s="605" t="s">
        <v>143</v>
      </c>
      <c r="AA96" s="606" t="s">
        <v>144</v>
      </c>
      <c r="AB96" s="606" t="s">
        <v>145</v>
      </c>
      <c r="AC96" s="606" t="s">
        <v>146</v>
      </c>
      <c r="AD96" s="606" t="s">
        <v>147</v>
      </c>
      <c r="AE96" s="606" t="s">
        <v>148</v>
      </c>
      <c r="AF96" s="606" t="s">
        <v>149</v>
      </c>
      <c r="AG96" s="606" t="s">
        <v>150</v>
      </c>
      <c r="AH96" s="606" t="s">
        <v>151</v>
      </c>
      <c r="AI96" s="606" t="s">
        <v>152</v>
      </c>
      <c r="AJ96" s="606" t="s">
        <v>153</v>
      </c>
      <c r="AK96" s="606" t="s">
        <v>154</v>
      </c>
      <c r="AL96" s="606" t="s">
        <v>155</v>
      </c>
      <c r="AM96" s="606" t="s">
        <v>156</v>
      </c>
      <c r="AN96" s="606" t="s">
        <v>157</v>
      </c>
      <c r="AO96" s="606" t="s">
        <v>158</v>
      </c>
      <c r="AP96" s="606" t="s">
        <v>159</v>
      </c>
      <c r="AQ96" s="606" t="s">
        <v>160</v>
      </c>
      <c r="AR96" s="606" t="s">
        <v>16</v>
      </c>
      <c r="AS96" s="606" t="s">
        <v>161</v>
      </c>
      <c r="AT96" s="606" t="s">
        <v>162</v>
      </c>
      <c r="AU96" s="606" t="s">
        <v>163</v>
      </c>
      <c r="AV96" s="607" t="s">
        <v>164</v>
      </c>
      <c r="AY96" s="605" t="s">
        <v>143</v>
      </c>
      <c r="AZ96" s="606" t="s">
        <v>144</v>
      </c>
      <c r="BA96" s="606" t="s">
        <v>145</v>
      </c>
      <c r="BB96" s="606" t="s">
        <v>146</v>
      </c>
      <c r="BC96" s="606" t="s">
        <v>147</v>
      </c>
      <c r="BD96" s="606" t="s">
        <v>148</v>
      </c>
      <c r="BE96" s="606" t="s">
        <v>149</v>
      </c>
      <c r="BF96" s="606" t="s">
        <v>150</v>
      </c>
      <c r="BG96" s="606" t="s">
        <v>151</v>
      </c>
      <c r="BH96" s="606" t="s">
        <v>152</v>
      </c>
      <c r="BI96" s="606" t="s">
        <v>153</v>
      </c>
      <c r="BJ96" s="606" t="s">
        <v>154</v>
      </c>
      <c r="BK96" s="606" t="s">
        <v>155</v>
      </c>
      <c r="BL96" s="606" t="s">
        <v>156</v>
      </c>
      <c r="BM96" s="606" t="s">
        <v>157</v>
      </c>
      <c r="BN96" s="606" t="s">
        <v>158</v>
      </c>
      <c r="BO96" s="606" t="s">
        <v>159</v>
      </c>
      <c r="BP96" s="606" t="s">
        <v>160</v>
      </c>
      <c r="BQ96" s="606" t="s">
        <v>16</v>
      </c>
      <c r="BR96" s="606" t="s">
        <v>161</v>
      </c>
      <c r="BS96" s="606" t="s">
        <v>162</v>
      </c>
      <c r="BT96" s="606" t="s">
        <v>163</v>
      </c>
      <c r="BU96" s="607" t="s">
        <v>164</v>
      </c>
    </row>
    <row r="97" spans="1:73">
      <c r="A97" s="650" t="s">
        <v>1062</v>
      </c>
      <c r="B97" s="597" t="s">
        <v>179</v>
      </c>
      <c r="C97" s="597" t="s">
        <v>842</v>
      </c>
      <c r="D97" s="598">
        <f>IFERROR(MIL_H[[#This Row],[H]]/MIL_H[[#This Row],[AB]],0)</f>
        <v>0.25</v>
      </c>
      <c r="E97" s="598">
        <f>IFERROR((MIL_H[[#This Row],[H]]+MIL_H[[#This Row],[BB]])/(MIL_H[[#This Row],[BB]]+MIL_H[[#This Row],[AB]]),0)</f>
        <v>0.30769230769230771</v>
      </c>
      <c r="F97" s="599">
        <f>IFERROR(((MIL_H[[#This Row],[H]]-MIL_H[[#This Row],[2B]]-MIL_H[[#This Row],[3B]]-MIL_H[[#This Row],[HR]])+(MIL_H[[#This Row],[2B]]*2)+(MIL_H[[#This Row],[3B]]*3)+(MIL_H[[#This Row],[HR]]*4))/MIL_H[[#This Row],[AB]],0)</f>
        <v>0.38194444444444442</v>
      </c>
      <c r="G97" s="600">
        <v>39</v>
      </c>
      <c r="H97" s="600">
        <v>144</v>
      </c>
      <c r="I97" s="600">
        <v>15</v>
      </c>
      <c r="J97" s="600">
        <v>36</v>
      </c>
      <c r="K97" s="600">
        <v>10</v>
      </c>
      <c r="L97" s="600">
        <v>0</v>
      </c>
      <c r="M97" s="600">
        <v>3</v>
      </c>
      <c r="N97" s="600">
        <v>13</v>
      </c>
      <c r="O97" s="600">
        <v>12</v>
      </c>
      <c r="P97" s="604">
        <v>38</v>
      </c>
      <c r="Q97" s="600">
        <v>0</v>
      </c>
      <c r="R97" s="600">
        <v>3</v>
      </c>
      <c r="S97" s="604">
        <v>8</v>
      </c>
      <c r="T97" s="600">
        <f>IFERROR((MIL_H[[#This Row],[H]]-MIL_H[[#This Row],[2B]]-MIL_H[[#This Row],[3B]]-MIL_H[[#This Row],[HR]])+(MIL_H[[#This Row],[2B]]*2)+(MIL_H[[#This Row],[3B]]*3)+(MIL_H[[#This Row],[HR]]*4),0)</f>
        <v>55</v>
      </c>
      <c r="U97" s="598">
        <f>MIL_H[[#This Row],[OBP]]+MIL_H[[#This Row],[SLG]]</f>
        <v>0.68963675213675213</v>
      </c>
      <c r="V97" s="604">
        <v>1</v>
      </c>
      <c r="W97" s="614">
        <v>1</v>
      </c>
      <c r="Z97" s="650" t="s">
        <v>1062</v>
      </c>
      <c r="AA97" s="597" t="s">
        <v>179</v>
      </c>
      <c r="AB97" s="597" t="s">
        <v>1068</v>
      </c>
      <c r="AC97" s="598">
        <f>IFERROR(MIL_H146[[#This Row],[H]]/MIL_H146[[#This Row],[AB]],0)</f>
        <v>0.28260869565217389</v>
      </c>
      <c r="AD97" s="598">
        <f>IFERROR((MIL_H146[[#This Row],[H]]+MIL_H146[[#This Row],[BB]])/(MIL_H146[[#This Row],[BB]]+MIL_H146[[#This Row],[AB]]),0)</f>
        <v>0.32191780821917809</v>
      </c>
      <c r="AE97" s="599">
        <f>IFERROR(((MIL_H146[[#This Row],[H]]-MIL_H146[[#This Row],[2B]]-MIL_H146[[#This Row],[3B]]-MIL_H146[[#This Row],[HR]])+(MIL_H146[[#This Row],[2B]]*2)+(MIL_H146[[#This Row],[3B]]*3)+(MIL_H146[[#This Row],[HR]]*4))/MIL_H146[[#This Row],[AB]],0)</f>
        <v>0.43478260869565216</v>
      </c>
      <c r="AF97" s="600">
        <v>36</v>
      </c>
      <c r="AG97" s="600">
        <v>138</v>
      </c>
      <c r="AH97" s="600">
        <v>11</v>
      </c>
      <c r="AI97" s="600">
        <v>39</v>
      </c>
      <c r="AJ97" s="600">
        <v>9</v>
      </c>
      <c r="AK97" s="600">
        <v>0</v>
      </c>
      <c r="AL97" s="600">
        <v>4</v>
      </c>
      <c r="AM97" s="600">
        <v>13</v>
      </c>
      <c r="AN97" s="600">
        <v>8</v>
      </c>
      <c r="AO97" s="604">
        <v>20</v>
      </c>
      <c r="AP97" s="600">
        <v>0</v>
      </c>
      <c r="AQ97" s="600">
        <v>1</v>
      </c>
      <c r="AR97" s="604">
        <v>7</v>
      </c>
      <c r="AS97" s="600">
        <f>IFERROR((MIL_H146[[#This Row],[H]]-MIL_H146[[#This Row],[2B]]-MIL_H146[[#This Row],[3B]]-MIL_H146[[#This Row],[HR]])+(MIL_H146[[#This Row],[2B]]*2)+(MIL_H146[[#This Row],[3B]]*3)+(MIL_H146[[#This Row],[HR]]*4),0)</f>
        <v>60</v>
      </c>
      <c r="AT97" s="598">
        <f>MIL_H146[[#This Row],[OBP]]+MIL_H146[[#This Row],[SLG]]</f>
        <v>0.75670041691483025</v>
      </c>
      <c r="AU97" s="604">
        <v>1</v>
      </c>
      <c r="AV97" s="614">
        <v>1</v>
      </c>
      <c r="AY97" s="650" t="s">
        <v>1062</v>
      </c>
      <c r="AZ97" s="604" t="s">
        <v>179</v>
      </c>
      <c r="BA97" s="597" t="s">
        <v>1068</v>
      </c>
      <c r="BB97" s="598">
        <f>IFERROR(MIL_H154[[#This Row],[H]]/MIL_H154[[#This Row],[AB]],0)</f>
        <v>0.19548872180451127</v>
      </c>
      <c r="BC97" s="598">
        <f>IFERROR((MIL_H154[[#This Row],[H]]+MIL_H154[[#This Row],[BB]])/(MIL_H154[[#This Row],[BB]]+MIL_H154[[#This Row],[AB]]),0)</f>
        <v>0.2620689655172414</v>
      </c>
      <c r="BD97" s="599">
        <f>IFERROR(((MIL_H154[[#This Row],[H]]-MIL_H154[[#This Row],[2B]]-MIL_H154[[#This Row],[3B]]-MIL_H154[[#This Row],[HR]])+(MIL_H154[[#This Row],[2B]]*2)+(MIL_H154[[#This Row],[3B]]*3)+(MIL_H154[[#This Row],[HR]]*4))/MIL_H154[[#This Row],[AB]],0)</f>
        <v>0.27067669172932329</v>
      </c>
      <c r="BE97" s="600">
        <v>38</v>
      </c>
      <c r="BF97" s="600">
        <v>133</v>
      </c>
      <c r="BG97" s="600">
        <v>12</v>
      </c>
      <c r="BH97" s="600">
        <v>26</v>
      </c>
      <c r="BI97" s="600">
        <v>10</v>
      </c>
      <c r="BJ97" s="600">
        <v>0</v>
      </c>
      <c r="BK97" s="600">
        <v>0</v>
      </c>
      <c r="BL97" s="600">
        <v>7</v>
      </c>
      <c r="BM97" s="600">
        <v>12</v>
      </c>
      <c r="BN97" s="604">
        <v>27</v>
      </c>
      <c r="BO97" s="600">
        <v>0</v>
      </c>
      <c r="BP97" s="600">
        <v>3</v>
      </c>
      <c r="BQ97" s="604">
        <v>6</v>
      </c>
      <c r="BR97" s="600">
        <f>(MIL_H154[[#This Row],[H]]-MIL_H154[[#This Row],[2B]]-MIL_H154[[#This Row],[3B]]-MIL_H154[[#This Row],[HR]])+(MIL_H154[[#This Row],[2B]]*2)+(MIL_H154[[#This Row],[3B]]*3)+(MIL_H154[[#This Row],[HR]]*4)</f>
        <v>36</v>
      </c>
      <c r="BS97" s="598">
        <f>IFERROR(MIL_H154[[#This Row],[OBP]]+MIL_H154[[#This Row],[SLG]],0)</f>
        <v>0.53274565724656475</v>
      </c>
      <c r="BT97" s="604">
        <v>2</v>
      </c>
      <c r="BU97" s="614">
        <v>1</v>
      </c>
    </row>
    <row r="98" spans="1:73">
      <c r="A98" s="651" t="s">
        <v>1062</v>
      </c>
      <c r="B98" s="71" t="s">
        <v>154</v>
      </c>
      <c r="C98" s="71" t="s">
        <v>1070</v>
      </c>
      <c r="D98" s="72">
        <f>IFERROR(MIL_H[[#This Row],[H]]/MIL_H[[#This Row],[AB]],0)</f>
        <v>0.20567375886524822</v>
      </c>
      <c r="E98" s="72">
        <f>IFERROR((MIL_H[[#This Row],[H]]+MIL_H[[#This Row],[BB]])/(MIL_H[[#This Row],[BB]]+MIL_H[[#This Row],[AB]]),0)</f>
        <v>0.3</v>
      </c>
      <c r="F98" s="73">
        <f>IFERROR(((MIL_H[[#This Row],[H]]-MIL_H[[#This Row],[2B]]-MIL_H[[#This Row],[3B]]-MIL_H[[#This Row],[HR]])+(MIL_H[[#This Row],[2B]]*2)+(MIL_H[[#This Row],[3B]]*3)+(MIL_H[[#This Row],[HR]]*4))/MIL_H[[#This Row],[AB]],0)</f>
        <v>0.36170212765957449</v>
      </c>
      <c r="G98" s="28">
        <v>40</v>
      </c>
      <c r="H98" s="28">
        <v>141</v>
      </c>
      <c r="I98" s="28">
        <v>17</v>
      </c>
      <c r="J98" s="28">
        <v>29</v>
      </c>
      <c r="K98" s="28">
        <v>7</v>
      </c>
      <c r="L98" s="28">
        <v>0</v>
      </c>
      <c r="M98" s="28">
        <v>5</v>
      </c>
      <c r="N98" s="28">
        <v>15</v>
      </c>
      <c r="O98" s="28">
        <v>19</v>
      </c>
      <c r="P98" s="74">
        <v>47</v>
      </c>
      <c r="Q98" s="28">
        <v>0</v>
      </c>
      <c r="R98" s="28">
        <v>2</v>
      </c>
      <c r="S98" s="74">
        <v>4</v>
      </c>
      <c r="T98" s="28">
        <f>IFERROR((MIL_H[[#This Row],[H]]-MIL_H[[#This Row],[2B]]-MIL_H[[#This Row],[3B]]-MIL_H[[#This Row],[HR]])+(MIL_H[[#This Row],[2B]]*2)+(MIL_H[[#This Row],[3B]]*3)+(MIL_H[[#This Row],[HR]]*4),0)</f>
        <v>51</v>
      </c>
      <c r="U98" s="72">
        <f>MIL_H[[#This Row],[OBP]]+MIL_H[[#This Row],[SLG]]</f>
        <v>0.66170212765957448</v>
      </c>
      <c r="V98" s="74">
        <v>2</v>
      </c>
      <c r="W98" s="615">
        <v>2</v>
      </c>
      <c r="Z98" s="651" t="s">
        <v>1062</v>
      </c>
      <c r="AA98" s="71" t="s">
        <v>154</v>
      </c>
      <c r="AB98" s="71" t="s">
        <v>1072</v>
      </c>
      <c r="AC98" s="72">
        <f>IFERROR(MIL_H146[[#This Row],[H]]/MIL_H146[[#This Row],[AB]],0)</f>
        <v>0.18253968253968253</v>
      </c>
      <c r="AD98" s="72">
        <f>IFERROR((MIL_H146[[#This Row],[H]]+MIL_H146[[#This Row],[BB]])/(MIL_H146[[#This Row],[BB]]+MIL_H146[[#This Row],[AB]]),0)</f>
        <v>0.25899280575539568</v>
      </c>
      <c r="AE98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0.35714285714285715</v>
      </c>
      <c r="AF98" s="28">
        <v>36</v>
      </c>
      <c r="AG98" s="28">
        <v>126</v>
      </c>
      <c r="AH98" s="28">
        <v>9</v>
      </c>
      <c r="AI98" s="28">
        <v>23</v>
      </c>
      <c r="AJ98" s="28">
        <v>4</v>
      </c>
      <c r="AK98" s="28">
        <v>0</v>
      </c>
      <c r="AL98" s="28">
        <v>6</v>
      </c>
      <c r="AM98" s="28">
        <v>14</v>
      </c>
      <c r="AN98" s="28">
        <v>13</v>
      </c>
      <c r="AO98" s="74">
        <v>39</v>
      </c>
      <c r="AP98" s="28">
        <v>0</v>
      </c>
      <c r="AQ98" s="28">
        <v>0</v>
      </c>
      <c r="AR98" s="74">
        <v>6</v>
      </c>
      <c r="AS98" s="28">
        <f>IFERROR((MIL_H146[[#This Row],[H]]-MIL_H146[[#This Row],[2B]]-MIL_H146[[#This Row],[3B]]-MIL_H146[[#This Row],[HR]])+(MIL_H146[[#This Row],[2B]]*2)+(MIL_H146[[#This Row],[3B]]*3)+(MIL_H146[[#This Row],[HR]]*4),0)</f>
        <v>45</v>
      </c>
      <c r="AT98" s="72">
        <f>MIL_H146[[#This Row],[OBP]]+MIL_H146[[#This Row],[SLG]]</f>
        <v>0.61613566289825283</v>
      </c>
      <c r="AU98" s="74">
        <v>3</v>
      </c>
      <c r="AV98" s="615">
        <v>2</v>
      </c>
      <c r="AY98" s="651" t="s">
        <v>1062</v>
      </c>
      <c r="AZ98" s="74" t="s">
        <v>154</v>
      </c>
      <c r="BA98" s="71" t="s">
        <v>1069</v>
      </c>
      <c r="BB98" s="72">
        <f>IFERROR(MIL_H154[[#This Row],[H]]/MIL_H154[[#This Row],[AB]],0)</f>
        <v>0.27439024390243905</v>
      </c>
      <c r="BC98" s="72">
        <f>IFERROR((MIL_H154[[#This Row],[H]]+MIL_H154[[#This Row],[BB]])/(MIL_H154[[#This Row],[BB]]+MIL_H154[[#This Row],[AB]]),0)</f>
        <v>0.34972677595628415</v>
      </c>
      <c r="BD98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0.3902439024390244</v>
      </c>
      <c r="BE98" s="28">
        <v>40</v>
      </c>
      <c r="BF98" s="28">
        <v>164</v>
      </c>
      <c r="BG98" s="28">
        <v>27</v>
      </c>
      <c r="BH98" s="28">
        <v>45</v>
      </c>
      <c r="BI98" s="28">
        <v>10</v>
      </c>
      <c r="BJ98" s="28">
        <v>0</v>
      </c>
      <c r="BK98" s="28">
        <v>3</v>
      </c>
      <c r="BL98" s="28">
        <v>15</v>
      </c>
      <c r="BM98" s="28">
        <v>19</v>
      </c>
      <c r="BN98" s="74">
        <v>36</v>
      </c>
      <c r="BO98" s="28">
        <v>12</v>
      </c>
      <c r="BP98" s="28">
        <v>3</v>
      </c>
      <c r="BQ98" s="74">
        <v>9</v>
      </c>
      <c r="BR98" s="28">
        <f>(MIL_H154[[#This Row],[H]]-MIL_H154[[#This Row],[2B]]-MIL_H154[[#This Row],[3B]]-MIL_H154[[#This Row],[HR]])+(MIL_H154[[#This Row],[2B]]*2)+(MIL_H154[[#This Row],[3B]]*3)+(MIL_H154[[#This Row],[HR]]*4)</f>
        <v>64</v>
      </c>
      <c r="BS98" s="72">
        <f>IFERROR(MIL_H154[[#This Row],[OBP]]+MIL_H154[[#This Row],[SLG]],0)</f>
        <v>0.73997067839530861</v>
      </c>
      <c r="BT98" s="74">
        <v>2</v>
      </c>
      <c r="BU98" s="615">
        <v>2</v>
      </c>
    </row>
    <row r="99" spans="1:73">
      <c r="A99" s="651" t="s">
        <v>1062</v>
      </c>
      <c r="B99" s="71" t="s">
        <v>172</v>
      </c>
      <c r="C99" s="71" t="s">
        <v>1067</v>
      </c>
      <c r="D99" s="72">
        <f>IFERROR(MIL_H[[#This Row],[H]]/MIL_H[[#This Row],[AB]],0)</f>
        <v>0.27325581395348836</v>
      </c>
      <c r="E99" s="72">
        <f>IFERROR((MIL_H[[#This Row],[H]]+MIL_H[[#This Row],[BB]])/(MIL_H[[#This Row],[BB]]+MIL_H[[#This Row],[AB]]),0)</f>
        <v>0.30555555555555558</v>
      </c>
      <c r="F99" s="73">
        <f>IFERROR(((MIL_H[[#This Row],[H]]-MIL_H[[#This Row],[2B]]-MIL_H[[#This Row],[3B]]-MIL_H[[#This Row],[HR]])+(MIL_H[[#This Row],[2B]]*2)+(MIL_H[[#This Row],[3B]]*3)+(MIL_H[[#This Row],[HR]]*4))/MIL_H[[#This Row],[AB]],0)</f>
        <v>0.38372093023255816</v>
      </c>
      <c r="G99" s="28">
        <v>40</v>
      </c>
      <c r="H99" s="28">
        <v>172</v>
      </c>
      <c r="I99" s="28">
        <v>19</v>
      </c>
      <c r="J99" s="28">
        <v>47</v>
      </c>
      <c r="K99" s="28">
        <v>10</v>
      </c>
      <c r="L99" s="28">
        <v>3</v>
      </c>
      <c r="M99" s="28">
        <v>1</v>
      </c>
      <c r="N99" s="28">
        <v>16</v>
      </c>
      <c r="O99" s="28">
        <v>8</v>
      </c>
      <c r="P99" s="74">
        <v>32</v>
      </c>
      <c r="Q99" s="28">
        <v>0</v>
      </c>
      <c r="R99" s="28">
        <v>3</v>
      </c>
      <c r="S99" s="74">
        <v>12</v>
      </c>
      <c r="T99" s="28">
        <f>IFERROR((MIL_H[[#This Row],[H]]-MIL_H[[#This Row],[2B]]-MIL_H[[#This Row],[3B]]-MIL_H[[#This Row],[HR]])+(MIL_H[[#This Row],[2B]]*2)+(MIL_H[[#This Row],[3B]]*3)+(MIL_H[[#This Row],[HR]]*4),0)</f>
        <v>66</v>
      </c>
      <c r="U99" s="72">
        <f>MIL_H[[#This Row],[OBP]]+MIL_H[[#This Row],[SLG]]</f>
        <v>0.68927648578811374</v>
      </c>
      <c r="V99" s="74">
        <v>1</v>
      </c>
      <c r="W99" s="615">
        <v>3</v>
      </c>
      <c r="Z99" s="651" t="s">
        <v>1062</v>
      </c>
      <c r="AA99" s="71" t="s">
        <v>172</v>
      </c>
      <c r="AB99" s="71" t="s">
        <v>1070</v>
      </c>
      <c r="AC99" s="72">
        <f>IFERROR(MIL_H146[[#This Row],[H]]/MIL_H146[[#This Row],[AB]],0)</f>
        <v>0.21568627450980393</v>
      </c>
      <c r="AD99" s="72">
        <f>IFERROR((MIL_H146[[#This Row],[H]]+MIL_H146[[#This Row],[BB]])/(MIL_H146[[#This Row],[BB]]+MIL_H146[[#This Row],[AB]]),0)</f>
        <v>0.29411764705882354</v>
      </c>
      <c r="AE99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0.36601307189542481</v>
      </c>
      <c r="AF99" s="28">
        <v>40</v>
      </c>
      <c r="AG99" s="28">
        <v>153</v>
      </c>
      <c r="AH99" s="28">
        <v>15</v>
      </c>
      <c r="AI99" s="28">
        <v>33</v>
      </c>
      <c r="AJ99" s="28">
        <v>8</v>
      </c>
      <c r="AK99" s="28">
        <v>0</v>
      </c>
      <c r="AL99" s="28">
        <v>5</v>
      </c>
      <c r="AM99" s="28">
        <v>19</v>
      </c>
      <c r="AN99" s="28">
        <v>17</v>
      </c>
      <c r="AO99" s="74">
        <v>44</v>
      </c>
      <c r="AP99" s="28">
        <v>0</v>
      </c>
      <c r="AQ99" s="28">
        <v>1</v>
      </c>
      <c r="AR99" s="74">
        <v>3</v>
      </c>
      <c r="AS99" s="28">
        <f>IFERROR((MIL_H146[[#This Row],[H]]-MIL_H146[[#This Row],[2B]]-MIL_H146[[#This Row],[3B]]-MIL_H146[[#This Row],[HR]])+(MIL_H146[[#This Row],[2B]]*2)+(MIL_H146[[#This Row],[3B]]*3)+(MIL_H146[[#This Row],[HR]]*4),0)</f>
        <v>56</v>
      </c>
      <c r="AT99" s="72">
        <f>MIL_H146[[#This Row],[OBP]]+MIL_H146[[#This Row],[SLG]]</f>
        <v>0.66013071895424835</v>
      </c>
      <c r="AU99" s="74">
        <v>3</v>
      </c>
      <c r="AV99" s="615">
        <v>3</v>
      </c>
      <c r="AY99" s="651" t="s">
        <v>1062</v>
      </c>
      <c r="AZ99" s="74" t="s">
        <v>172</v>
      </c>
      <c r="BA99" s="71" t="s">
        <v>1067</v>
      </c>
      <c r="BB99" s="72">
        <f>IFERROR(MIL_H154[[#This Row],[H]]/MIL_H154[[#This Row],[AB]],0)</f>
        <v>0.27218934911242604</v>
      </c>
      <c r="BC99" s="72">
        <f>IFERROR((MIL_H154[[#This Row],[H]]+MIL_H154[[#This Row],[BB]])/(MIL_H154[[#This Row],[BB]]+MIL_H154[[#This Row],[AB]]),0)</f>
        <v>0.30508474576271188</v>
      </c>
      <c r="BD99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0.4911242603550296</v>
      </c>
      <c r="BE99" s="28">
        <v>40</v>
      </c>
      <c r="BF99" s="28">
        <v>169</v>
      </c>
      <c r="BG99" s="28">
        <v>23</v>
      </c>
      <c r="BH99" s="28">
        <v>46</v>
      </c>
      <c r="BI99" s="28">
        <v>6</v>
      </c>
      <c r="BJ99" s="76">
        <v>5</v>
      </c>
      <c r="BK99" s="28">
        <v>7</v>
      </c>
      <c r="BL99" s="28">
        <v>30</v>
      </c>
      <c r="BM99" s="28">
        <v>8</v>
      </c>
      <c r="BN99" s="74">
        <v>30</v>
      </c>
      <c r="BO99" s="28">
        <v>0</v>
      </c>
      <c r="BP99" s="28">
        <v>0</v>
      </c>
      <c r="BQ99" s="74">
        <v>8</v>
      </c>
      <c r="BR99" s="28">
        <f>(MIL_H154[[#This Row],[H]]-MIL_H154[[#This Row],[2B]]-MIL_H154[[#This Row],[3B]]-MIL_H154[[#This Row],[HR]])+(MIL_H154[[#This Row],[2B]]*2)+(MIL_H154[[#This Row],[3B]]*3)+(MIL_H154[[#This Row],[HR]]*4)</f>
        <v>83</v>
      </c>
      <c r="BS99" s="72">
        <f>IFERROR(MIL_H154[[#This Row],[OBP]]+MIL_H154[[#This Row],[SLG]],0)</f>
        <v>0.79620900611774148</v>
      </c>
      <c r="BT99" s="74">
        <v>2</v>
      </c>
      <c r="BU99" s="615">
        <v>3</v>
      </c>
    </row>
    <row r="100" spans="1:73">
      <c r="A100" s="651" t="s">
        <v>1062</v>
      </c>
      <c r="B100" s="71" t="s">
        <v>153</v>
      </c>
      <c r="C100" s="71" t="s">
        <v>959</v>
      </c>
      <c r="D100" s="72">
        <f>IFERROR(MIL_H[[#This Row],[H]]/MIL_H[[#This Row],[AB]],0)</f>
        <v>0.21008403361344538</v>
      </c>
      <c r="E100" s="72">
        <f>IFERROR((MIL_H[[#This Row],[H]]+MIL_H[[#This Row],[BB]])/(MIL_H[[#This Row],[BB]]+MIL_H[[#This Row],[AB]]),0)</f>
        <v>0.2878787878787879</v>
      </c>
      <c r="F100" s="73">
        <f>IFERROR(((MIL_H[[#This Row],[H]]-MIL_H[[#This Row],[2B]]-MIL_H[[#This Row],[3B]]-MIL_H[[#This Row],[HR]])+(MIL_H[[#This Row],[2B]]*2)+(MIL_H[[#This Row],[3B]]*3)+(MIL_H[[#This Row],[HR]]*4))/MIL_H[[#This Row],[AB]],0)</f>
        <v>0.36974789915966388</v>
      </c>
      <c r="G100" s="28">
        <v>37</v>
      </c>
      <c r="H100" s="28">
        <v>119</v>
      </c>
      <c r="I100" s="28">
        <v>13</v>
      </c>
      <c r="J100" s="28">
        <v>25</v>
      </c>
      <c r="K100" s="28">
        <v>5</v>
      </c>
      <c r="L100" s="28">
        <v>1</v>
      </c>
      <c r="M100" s="28">
        <v>4</v>
      </c>
      <c r="N100" s="28">
        <v>14</v>
      </c>
      <c r="O100" s="28">
        <v>13</v>
      </c>
      <c r="P100" s="74">
        <v>32</v>
      </c>
      <c r="Q100" s="28">
        <v>0</v>
      </c>
      <c r="R100" s="28">
        <v>1</v>
      </c>
      <c r="S100" s="74">
        <v>6</v>
      </c>
      <c r="T100" s="28">
        <f>IFERROR((MIL_H[[#This Row],[H]]-MIL_H[[#This Row],[2B]]-MIL_H[[#This Row],[3B]]-MIL_H[[#This Row],[HR]])+(MIL_H[[#This Row],[2B]]*2)+(MIL_H[[#This Row],[3B]]*3)+(MIL_H[[#This Row],[HR]]*4),0)</f>
        <v>44</v>
      </c>
      <c r="U100" s="72">
        <f>MIL_H[[#This Row],[OBP]]+MIL_H[[#This Row],[SLG]]</f>
        <v>0.65762668703845173</v>
      </c>
      <c r="V100" s="74">
        <v>2</v>
      </c>
      <c r="W100" s="615">
        <v>4</v>
      </c>
      <c r="Z100" s="651" t="s">
        <v>1062</v>
      </c>
      <c r="AA100" s="71" t="s">
        <v>311</v>
      </c>
      <c r="AB100" s="71" t="s">
        <v>1076</v>
      </c>
      <c r="AC100" s="72">
        <f>IFERROR(MIL_H146[[#This Row],[H]]/MIL_H146[[#This Row],[AB]],0)</f>
        <v>0.21</v>
      </c>
      <c r="AD100" s="72">
        <f>IFERROR((MIL_H146[[#This Row],[H]]+MIL_H146[[#This Row],[BB]])/(MIL_H146[[#This Row],[BB]]+MIL_H146[[#This Row],[AB]]),0)</f>
        <v>0.25471698113207547</v>
      </c>
      <c r="AE100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0.35</v>
      </c>
      <c r="AF100" s="28">
        <v>29</v>
      </c>
      <c r="AG100" s="28">
        <v>100</v>
      </c>
      <c r="AH100" s="28">
        <v>7</v>
      </c>
      <c r="AI100" s="28">
        <v>21</v>
      </c>
      <c r="AJ100" s="28">
        <v>9</v>
      </c>
      <c r="AK100" s="28">
        <v>1</v>
      </c>
      <c r="AL100" s="28">
        <v>1</v>
      </c>
      <c r="AM100" s="28">
        <v>8</v>
      </c>
      <c r="AN100" s="28">
        <v>6</v>
      </c>
      <c r="AO100" s="74">
        <v>24</v>
      </c>
      <c r="AP100" s="28">
        <v>0</v>
      </c>
      <c r="AQ100" s="28">
        <v>1</v>
      </c>
      <c r="AR100" s="74">
        <v>4</v>
      </c>
      <c r="AS100" s="28">
        <f>IFERROR((MIL_H146[[#This Row],[H]]-MIL_H146[[#This Row],[2B]]-MIL_H146[[#This Row],[3B]]-MIL_H146[[#This Row],[HR]])+(MIL_H146[[#This Row],[2B]]*2)+(MIL_H146[[#This Row],[3B]]*3)+(MIL_H146[[#This Row],[HR]]*4),0)</f>
        <v>35</v>
      </c>
      <c r="AT100" s="72">
        <f>MIL_H146[[#This Row],[OBP]]+MIL_H146[[#This Row],[SLG]]</f>
        <v>0.60471698113207539</v>
      </c>
      <c r="AU100" s="74">
        <v>1</v>
      </c>
      <c r="AV100" s="615">
        <v>4</v>
      </c>
      <c r="AY100" s="651" t="s">
        <v>1062</v>
      </c>
      <c r="AZ100" s="74" t="s">
        <v>153</v>
      </c>
      <c r="BA100" s="71" t="s">
        <v>1070</v>
      </c>
      <c r="BB100" s="72">
        <f>IFERROR(MIL_H154[[#This Row],[H]]/MIL_H154[[#This Row],[AB]],0)</f>
        <v>0.2185430463576159</v>
      </c>
      <c r="BC100" s="72">
        <f>IFERROR((MIL_H154[[#This Row],[H]]+MIL_H154[[#This Row],[BB]])/(MIL_H154[[#This Row],[BB]]+MIL_H154[[#This Row],[AB]]),0)</f>
        <v>0.27607361963190186</v>
      </c>
      <c r="BD100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0.36423841059602646</v>
      </c>
      <c r="BE100" s="28">
        <v>40</v>
      </c>
      <c r="BF100" s="28">
        <v>151</v>
      </c>
      <c r="BG100" s="28">
        <v>13</v>
      </c>
      <c r="BH100" s="28">
        <v>33</v>
      </c>
      <c r="BI100" s="28">
        <v>10</v>
      </c>
      <c r="BJ100" s="28">
        <v>0</v>
      </c>
      <c r="BK100" s="28">
        <v>4</v>
      </c>
      <c r="BL100" s="28">
        <v>14</v>
      </c>
      <c r="BM100" s="28">
        <v>12</v>
      </c>
      <c r="BN100" s="74">
        <v>43</v>
      </c>
      <c r="BO100" s="28">
        <v>0</v>
      </c>
      <c r="BP100" s="28">
        <v>1</v>
      </c>
      <c r="BQ100" s="74">
        <v>6</v>
      </c>
      <c r="BR100" s="28">
        <f>(MIL_H154[[#This Row],[H]]-MIL_H154[[#This Row],[2B]]-MIL_H154[[#This Row],[3B]]-MIL_H154[[#This Row],[HR]])+(MIL_H154[[#This Row],[2B]]*2)+(MIL_H154[[#This Row],[3B]]*3)+(MIL_H154[[#This Row],[HR]]*4)</f>
        <v>55</v>
      </c>
      <c r="BS100" s="72">
        <f>IFERROR(MIL_H154[[#This Row],[OBP]]+MIL_H154[[#This Row],[SLG]],0)</f>
        <v>0.64031203022792837</v>
      </c>
      <c r="BT100" s="74">
        <v>3</v>
      </c>
      <c r="BU100" s="615">
        <v>4</v>
      </c>
    </row>
    <row r="101" spans="1:73">
      <c r="A101" s="651" t="s">
        <v>1062</v>
      </c>
      <c r="B101" s="71" t="s">
        <v>177</v>
      </c>
      <c r="C101" s="71" t="s">
        <v>1065</v>
      </c>
      <c r="D101" s="72">
        <f>IFERROR(MIL_H[[#This Row],[H]]/MIL_H[[#This Row],[AB]],0)</f>
        <v>0.25324675324675322</v>
      </c>
      <c r="E101" s="72">
        <f>IFERROR((MIL_H[[#This Row],[H]]+MIL_H[[#This Row],[BB]])/(MIL_H[[#This Row],[BB]]+MIL_H[[#This Row],[AB]]),0)</f>
        <v>0.29447852760736198</v>
      </c>
      <c r="F101" s="73">
        <f>IFERROR(((MIL_H[[#This Row],[H]]-MIL_H[[#This Row],[2B]]-MIL_H[[#This Row],[3B]]-MIL_H[[#This Row],[HR]])+(MIL_H[[#This Row],[2B]]*2)+(MIL_H[[#This Row],[3B]]*3)+(MIL_H[[#This Row],[HR]]*4))/MIL_H[[#This Row],[AB]],0)</f>
        <v>0.42857142857142855</v>
      </c>
      <c r="G101" s="28">
        <v>40</v>
      </c>
      <c r="H101" s="28">
        <v>154</v>
      </c>
      <c r="I101" s="28">
        <v>16</v>
      </c>
      <c r="J101" s="28">
        <v>39</v>
      </c>
      <c r="K101" s="28">
        <v>9</v>
      </c>
      <c r="L101" s="28">
        <v>0</v>
      </c>
      <c r="M101" s="28">
        <v>6</v>
      </c>
      <c r="N101" s="28">
        <v>20</v>
      </c>
      <c r="O101" s="28">
        <v>9</v>
      </c>
      <c r="P101" s="74">
        <v>36</v>
      </c>
      <c r="Q101" s="28">
        <v>0</v>
      </c>
      <c r="R101" s="28">
        <v>3</v>
      </c>
      <c r="S101" s="74">
        <v>6</v>
      </c>
      <c r="T101" s="28">
        <f>IFERROR((MIL_H[[#This Row],[H]]-MIL_H[[#This Row],[2B]]-MIL_H[[#This Row],[3B]]-MIL_H[[#This Row],[HR]])+(MIL_H[[#This Row],[2B]]*2)+(MIL_H[[#This Row],[3B]]*3)+(MIL_H[[#This Row],[HR]]*4),0)</f>
        <v>66</v>
      </c>
      <c r="U101" s="72">
        <f>MIL_H[[#This Row],[OBP]]+MIL_H[[#This Row],[SLG]]</f>
        <v>0.72304995617879053</v>
      </c>
      <c r="V101" s="74">
        <v>2</v>
      </c>
      <c r="W101" s="615">
        <v>5</v>
      </c>
      <c r="Z101" s="651" t="s">
        <v>1062</v>
      </c>
      <c r="AA101" s="71" t="s">
        <v>177</v>
      </c>
      <c r="AB101" s="71" t="s">
        <v>1065</v>
      </c>
      <c r="AC101" s="72">
        <f>IFERROR(MIL_H146[[#This Row],[H]]/MIL_H146[[#This Row],[AB]],0)</f>
        <v>0.25949367088607594</v>
      </c>
      <c r="AD101" s="72">
        <f>IFERROR((MIL_H146[[#This Row],[H]]+MIL_H146[[#This Row],[BB]])/(MIL_H146[[#This Row],[BB]]+MIL_H146[[#This Row],[AB]]),0)</f>
        <v>0.33142857142857141</v>
      </c>
      <c r="AE101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0.48734177215189872</v>
      </c>
      <c r="AF101" s="28">
        <v>40</v>
      </c>
      <c r="AG101" s="28">
        <v>158</v>
      </c>
      <c r="AH101" s="28">
        <v>19</v>
      </c>
      <c r="AI101" s="28">
        <v>41</v>
      </c>
      <c r="AJ101" s="28">
        <v>9</v>
      </c>
      <c r="AK101" s="28">
        <v>0</v>
      </c>
      <c r="AL101" s="28">
        <v>9</v>
      </c>
      <c r="AM101" s="28">
        <v>28</v>
      </c>
      <c r="AN101" s="28">
        <v>17</v>
      </c>
      <c r="AO101" s="74">
        <v>50</v>
      </c>
      <c r="AP101" s="28">
        <v>0</v>
      </c>
      <c r="AQ101" s="28">
        <v>8</v>
      </c>
      <c r="AR101" s="74">
        <v>8</v>
      </c>
      <c r="AS101" s="28">
        <f>IFERROR((MIL_H146[[#This Row],[H]]-MIL_H146[[#This Row],[2B]]-MIL_H146[[#This Row],[3B]]-MIL_H146[[#This Row],[HR]])+(MIL_H146[[#This Row],[2B]]*2)+(MIL_H146[[#This Row],[3B]]*3)+(MIL_H146[[#This Row],[HR]]*4),0)</f>
        <v>77</v>
      </c>
      <c r="AT101" s="72">
        <f>MIL_H146[[#This Row],[OBP]]+MIL_H146[[#This Row],[SLG]]</f>
        <v>0.81877034358047007</v>
      </c>
      <c r="AU101" s="74">
        <v>3</v>
      </c>
      <c r="AV101" s="615">
        <v>5</v>
      </c>
      <c r="AY101" s="651" t="s">
        <v>1062</v>
      </c>
      <c r="AZ101" s="74" t="s">
        <v>177</v>
      </c>
      <c r="BA101" s="71" t="s">
        <v>1065</v>
      </c>
      <c r="BB101" s="72">
        <f>IFERROR(MIL_H154[[#This Row],[H]]/MIL_H154[[#This Row],[AB]],0)</f>
        <v>0.24113475177304963</v>
      </c>
      <c r="BC101" s="72">
        <f>IFERROR((MIL_H154[[#This Row],[H]]+MIL_H154[[#This Row],[BB]])/(MIL_H154[[#This Row],[BB]]+MIL_H154[[#This Row],[AB]]),0)</f>
        <v>0.30519480519480519</v>
      </c>
      <c r="BD101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0.42553191489361702</v>
      </c>
      <c r="BE101" s="28">
        <v>38</v>
      </c>
      <c r="BF101" s="28">
        <v>141</v>
      </c>
      <c r="BG101" s="28">
        <v>12</v>
      </c>
      <c r="BH101" s="28">
        <v>34</v>
      </c>
      <c r="BI101" s="28">
        <v>8</v>
      </c>
      <c r="BJ101" s="28">
        <v>0</v>
      </c>
      <c r="BK101" s="28">
        <v>6</v>
      </c>
      <c r="BL101" s="28">
        <v>13</v>
      </c>
      <c r="BM101" s="28">
        <v>13</v>
      </c>
      <c r="BN101" s="74">
        <v>40</v>
      </c>
      <c r="BO101" s="28">
        <v>0</v>
      </c>
      <c r="BP101" s="28">
        <v>0</v>
      </c>
      <c r="BQ101" s="74">
        <v>6</v>
      </c>
      <c r="BR101" s="28">
        <f>(MIL_H154[[#This Row],[H]]-MIL_H154[[#This Row],[2B]]-MIL_H154[[#This Row],[3B]]-MIL_H154[[#This Row],[HR]])+(MIL_H154[[#This Row],[2B]]*2)+(MIL_H154[[#This Row],[3B]]*3)+(MIL_H154[[#This Row],[HR]]*4)</f>
        <v>60</v>
      </c>
      <c r="BS101" s="72">
        <f>IFERROR(MIL_H154[[#This Row],[OBP]]+MIL_H154[[#This Row],[SLG]],0)</f>
        <v>0.73072672008842221</v>
      </c>
      <c r="BT101" s="74">
        <v>0</v>
      </c>
      <c r="BU101" s="615">
        <v>5</v>
      </c>
    </row>
    <row r="102" spans="1:73">
      <c r="A102" s="651" t="s">
        <v>1062</v>
      </c>
      <c r="B102" s="71" t="s">
        <v>174</v>
      </c>
      <c r="C102" s="71" t="s">
        <v>1064</v>
      </c>
      <c r="D102" s="72">
        <f>IFERROR(MIL_H[[#This Row],[H]]/MIL_H[[#This Row],[AB]],0)</f>
        <v>0.27044025157232704</v>
      </c>
      <c r="E102" s="72">
        <f>IFERROR((MIL_H[[#This Row],[H]]+MIL_H[[#This Row],[BB]])/(MIL_H[[#This Row],[BB]]+MIL_H[[#This Row],[AB]]),0)</f>
        <v>0.32163742690058478</v>
      </c>
      <c r="F102" s="73">
        <f>IFERROR(((MIL_H[[#This Row],[H]]-MIL_H[[#This Row],[2B]]-MIL_H[[#This Row],[3B]]-MIL_H[[#This Row],[HR]])+(MIL_H[[#This Row],[2B]]*2)+(MIL_H[[#This Row],[3B]]*3)+(MIL_H[[#This Row],[HR]]*4))/MIL_H[[#This Row],[AB]],0)</f>
        <v>0.49056603773584906</v>
      </c>
      <c r="G102" s="28">
        <v>40</v>
      </c>
      <c r="H102" s="28">
        <v>159</v>
      </c>
      <c r="I102" s="28">
        <v>22</v>
      </c>
      <c r="J102" s="28">
        <v>43</v>
      </c>
      <c r="K102" s="28">
        <v>2</v>
      </c>
      <c r="L102" s="28">
        <v>3</v>
      </c>
      <c r="M102" s="28">
        <v>9</v>
      </c>
      <c r="N102" s="28">
        <v>26</v>
      </c>
      <c r="O102" s="28">
        <v>12</v>
      </c>
      <c r="P102" s="74">
        <v>42</v>
      </c>
      <c r="Q102" s="28">
        <v>0</v>
      </c>
      <c r="R102" s="28">
        <v>0</v>
      </c>
      <c r="S102" s="74">
        <v>9</v>
      </c>
      <c r="T102" s="28">
        <f>IFERROR((MIL_H[[#This Row],[H]]-MIL_H[[#This Row],[2B]]-MIL_H[[#This Row],[3B]]-MIL_H[[#This Row],[HR]])+(MIL_H[[#This Row],[2B]]*2)+(MIL_H[[#This Row],[3B]]*3)+(MIL_H[[#This Row],[HR]]*4),0)</f>
        <v>78</v>
      </c>
      <c r="U102" s="72">
        <f>MIL_H[[#This Row],[OBP]]+MIL_H[[#This Row],[SLG]]</f>
        <v>0.81220346463643378</v>
      </c>
      <c r="V102" s="74">
        <v>2</v>
      </c>
      <c r="W102" s="615">
        <v>6</v>
      </c>
      <c r="Z102" s="651" t="s">
        <v>1062</v>
      </c>
      <c r="AA102" s="345" t="s">
        <v>174</v>
      </c>
      <c r="AB102" s="71" t="s">
        <v>1063</v>
      </c>
      <c r="AC102" s="72">
        <f>IFERROR(MIL_H146[[#This Row],[H]]/MIL_H146[[#This Row],[AB]],0)</f>
        <v>0.27329192546583853</v>
      </c>
      <c r="AD102" s="72">
        <f>IFERROR((MIL_H146[[#This Row],[H]]+MIL_H146[[#This Row],[BB]])/(MIL_H146[[#This Row],[BB]]+MIL_H146[[#This Row],[AB]]),0)</f>
        <v>0.33522727272727271</v>
      </c>
      <c r="AE102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0.55900621118012417</v>
      </c>
      <c r="AF102" s="28">
        <v>39</v>
      </c>
      <c r="AG102" s="28">
        <v>161</v>
      </c>
      <c r="AH102" s="28">
        <v>23</v>
      </c>
      <c r="AI102" s="28">
        <v>44</v>
      </c>
      <c r="AJ102" s="28">
        <v>11</v>
      </c>
      <c r="AK102" s="28">
        <v>1</v>
      </c>
      <c r="AL102" s="28">
        <v>11</v>
      </c>
      <c r="AM102" s="28">
        <v>30</v>
      </c>
      <c r="AN102" s="28">
        <v>15</v>
      </c>
      <c r="AO102" s="74">
        <v>35</v>
      </c>
      <c r="AP102" s="28">
        <v>0</v>
      </c>
      <c r="AQ102" s="28">
        <v>4</v>
      </c>
      <c r="AR102" s="74">
        <v>6</v>
      </c>
      <c r="AS102" s="28">
        <f>IFERROR((MIL_H146[[#This Row],[H]]-MIL_H146[[#This Row],[2B]]-MIL_H146[[#This Row],[3B]]-MIL_H146[[#This Row],[HR]])+(MIL_H146[[#This Row],[2B]]*2)+(MIL_H146[[#This Row],[3B]]*3)+(MIL_H146[[#This Row],[HR]]*4),0)</f>
        <v>90</v>
      </c>
      <c r="AT102" s="72">
        <f>MIL_H146[[#This Row],[OBP]]+MIL_H146[[#This Row],[SLG]]</f>
        <v>0.89423348390739688</v>
      </c>
      <c r="AU102" s="74">
        <v>1</v>
      </c>
      <c r="AV102" s="615">
        <v>6</v>
      </c>
      <c r="AY102" s="651" t="s">
        <v>1062</v>
      </c>
      <c r="AZ102" s="74" t="s">
        <v>174</v>
      </c>
      <c r="BA102" s="71" t="s">
        <v>1063</v>
      </c>
      <c r="BB102" s="72">
        <f>IFERROR(MIL_H154[[#This Row],[H]]/MIL_H154[[#This Row],[AB]],0)</f>
        <v>0.28758169934640521</v>
      </c>
      <c r="BC102" s="72">
        <f>IFERROR((MIL_H154[[#This Row],[H]]+MIL_H154[[#This Row],[BB]])/(MIL_H154[[#This Row],[BB]]+MIL_H154[[#This Row],[AB]]),0)</f>
        <v>0.36257309941520466</v>
      </c>
      <c r="BD102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0.5490196078431373</v>
      </c>
      <c r="BE102" s="28">
        <v>40</v>
      </c>
      <c r="BF102" s="28">
        <v>153</v>
      </c>
      <c r="BG102" s="28">
        <v>26</v>
      </c>
      <c r="BH102" s="28">
        <v>44</v>
      </c>
      <c r="BI102" s="28">
        <v>6</v>
      </c>
      <c r="BJ102" s="28">
        <v>2</v>
      </c>
      <c r="BK102" s="28">
        <v>10</v>
      </c>
      <c r="BL102" s="28">
        <v>30</v>
      </c>
      <c r="BM102" s="28">
        <v>18</v>
      </c>
      <c r="BN102" s="74">
        <v>31</v>
      </c>
      <c r="BO102" s="28">
        <v>1</v>
      </c>
      <c r="BP102" s="28">
        <v>7</v>
      </c>
      <c r="BQ102" s="74">
        <v>7</v>
      </c>
      <c r="BR102" s="28">
        <f>(MIL_H154[[#This Row],[H]]-MIL_H154[[#This Row],[2B]]-MIL_H154[[#This Row],[3B]]-MIL_H154[[#This Row],[HR]])+(MIL_H154[[#This Row],[2B]]*2)+(MIL_H154[[#This Row],[3B]]*3)+(MIL_H154[[#This Row],[HR]]*4)</f>
        <v>84</v>
      </c>
      <c r="BS102" s="72">
        <f>IFERROR(MIL_H154[[#This Row],[OBP]]+MIL_H154[[#This Row],[SLG]],0)</f>
        <v>0.91159270725834196</v>
      </c>
      <c r="BT102" s="74">
        <v>4</v>
      </c>
      <c r="BU102" s="615">
        <v>6</v>
      </c>
    </row>
    <row r="103" spans="1:73">
      <c r="A103" s="651" t="s">
        <v>1062</v>
      </c>
      <c r="B103" s="71" t="s">
        <v>181</v>
      </c>
      <c r="C103" s="71" t="s">
        <v>1066</v>
      </c>
      <c r="D103" s="72">
        <f>IFERROR(MIL_H[[#This Row],[H]]/MIL_H[[#This Row],[AB]],0)</f>
        <v>0.27329192546583853</v>
      </c>
      <c r="E103" s="72">
        <f>IFERROR((MIL_H[[#This Row],[H]]+MIL_H[[#This Row],[BB]])/(MIL_H[[#This Row],[BB]]+MIL_H[[#This Row],[AB]]),0)</f>
        <v>0.33522727272727271</v>
      </c>
      <c r="F103" s="73">
        <f>IFERROR(((MIL_H[[#This Row],[H]]-MIL_H[[#This Row],[2B]]-MIL_H[[#This Row],[3B]]-MIL_H[[#This Row],[HR]])+(MIL_H[[#This Row],[2B]]*2)+(MIL_H[[#This Row],[3B]]*3)+(MIL_H[[#This Row],[HR]]*4))/MIL_H[[#This Row],[AB]],0)</f>
        <v>0.42857142857142855</v>
      </c>
      <c r="G103" s="28">
        <v>38</v>
      </c>
      <c r="H103" s="90">
        <v>161</v>
      </c>
      <c r="I103" s="28">
        <v>27</v>
      </c>
      <c r="J103" s="28">
        <v>44</v>
      </c>
      <c r="K103" s="28">
        <v>13</v>
      </c>
      <c r="L103" s="28">
        <v>0</v>
      </c>
      <c r="M103" s="28">
        <v>4</v>
      </c>
      <c r="N103" s="28">
        <v>18</v>
      </c>
      <c r="O103" s="28">
        <v>15</v>
      </c>
      <c r="P103" s="74">
        <v>42</v>
      </c>
      <c r="Q103" s="28">
        <v>9</v>
      </c>
      <c r="R103" s="28">
        <v>0</v>
      </c>
      <c r="S103" s="74">
        <v>5</v>
      </c>
      <c r="T103" s="28">
        <f>IFERROR((MIL_H[[#This Row],[H]]-MIL_H[[#This Row],[2B]]-MIL_H[[#This Row],[3B]]-MIL_H[[#This Row],[HR]])+(MIL_H[[#This Row],[2B]]*2)+(MIL_H[[#This Row],[3B]]*3)+(MIL_H[[#This Row],[HR]]*4),0)</f>
        <v>69</v>
      </c>
      <c r="U103" s="72">
        <f>MIL_H[[#This Row],[OBP]]+MIL_H[[#This Row],[SLG]]</f>
        <v>0.76379870129870131</v>
      </c>
      <c r="V103" s="74">
        <v>2</v>
      </c>
      <c r="W103" s="615">
        <v>7</v>
      </c>
      <c r="Z103" s="651" t="s">
        <v>1062</v>
      </c>
      <c r="AA103" s="71" t="s">
        <v>181</v>
      </c>
      <c r="AB103" s="71" t="s">
        <v>1067</v>
      </c>
      <c r="AC103" s="72">
        <f>IFERROR(MIL_H146[[#This Row],[H]]/MIL_H146[[#This Row],[AB]],0)</f>
        <v>0.23333333333333334</v>
      </c>
      <c r="AD103" s="72">
        <f>IFERROR((MIL_H146[[#This Row],[H]]+MIL_H146[[#This Row],[BB]])/(MIL_H146[[#This Row],[BB]]+MIL_H146[[#This Row],[AB]]),0)</f>
        <v>0.30303030303030304</v>
      </c>
      <c r="AE103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0.34</v>
      </c>
      <c r="AF103" s="28">
        <v>36</v>
      </c>
      <c r="AG103" s="28">
        <v>150</v>
      </c>
      <c r="AH103" s="28">
        <v>19</v>
      </c>
      <c r="AI103" s="28">
        <v>35</v>
      </c>
      <c r="AJ103" s="28">
        <v>10</v>
      </c>
      <c r="AK103" s="28">
        <v>0</v>
      </c>
      <c r="AL103" s="28">
        <v>2</v>
      </c>
      <c r="AM103" s="28">
        <v>11</v>
      </c>
      <c r="AN103" s="28">
        <v>15</v>
      </c>
      <c r="AO103" s="74">
        <v>30</v>
      </c>
      <c r="AP103" s="28">
        <v>0</v>
      </c>
      <c r="AQ103" s="28">
        <v>1</v>
      </c>
      <c r="AR103" s="74">
        <v>7</v>
      </c>
      <c r="AS103" s="28">
        <f>IFERROR((MIL_H146[[#This Row],[H]]-MIL_H146[[#This Row],[2B]]-MIL_H146[[#This Row],[3B]]-MIL_H146[[#This Row],[HR]])+(MIL_H146[[#This Row],[2B]]*2)+(MIL_H146[[#This Row],[3B]]*3)+(MIL_H146[[#This Row],[HR]]*4),0)</f>
        <v>51</v>
      </c>
      <c r="AT103" s="72">
        <f>MIL_H146[[#This Row],[OBP]]+MIL_H146[[#This Row],[SLG]]</f>
        <v>0.64303030303030306</v>
      </c>
      <c r="AU103" s="74">
        <v>2</v>
      </c>
      <c r="AV103" s="615">
        <v>7</v>
      </c>
      <c r="AY103" s="651" t="s">
        <v>1062</v>
      </c>
      <c r="AZ103" s="74" t="s">
        <v>181</v>
      </c>
      <c r="BA103" s="71" t="s">
        <v>1073</v>
      </c>
      <c r="BB103" s="72">
        <f>IFERROR(MIL_H154[[#This Row],[H]]/MIL_H154[[#This Row],[AB]],0)</f>
        <v>0.24806201550387597</v>
      </c>
      <c r="BC103" s="72">
        <f>IFERROR((MIL_H154[[#This Row],[H]]+MIL_H154[[#This Row],[BB]])/(MIL_H154[[#This Row],[BB]]+MIL_H154[[#This Row],[AB]]),0)</f>
        <v>0.3263888888888889</v>
      </c>
      <c r="BD103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0.37209302325581395</v>
      </c>
      <c r="BE103" s="28">
        <v>40</v>
      </c>
      <c r="BF103" s="28">
        <v>129</v>
      </c>
      <c r="BG103" s="28">
        <v>16</v>
      </c>
      <c r="BH103" s="28">
        <v>32</v>
      </c>
      <c r="BI103" s="28">
        <v>7</v>
      </c>
      <c r="BJ103" s="28">
        <v>0</v>
      </c>
      <c r="BK103" s="28">
        <v>3</v>
      </c>
      <c r="BL103" s="28">
        <v>8</v>
      </c>
      <c r="BM103" s="28">
        <v>15</v>
      </c>
      <c r="BN103" s="74">
        <v>32</v>
      </c>
      <c r="BO103" s="28">
        <v>1</v>
      </c>
      <c r="BP103" s="28">
        <v>0</v>
      </c>
      <c r="BQ103" s="74">
        <v>7</v>
      </c>
      <c r="BR103" s="28">
        <f>(MIL_H154[[#This Row],[H]]-MIL_H154[[#This Row],[2B]]-MIL_H154[[#This Row],[3B]]-MIL_H154[[#This Row],[HR]])+(MIL_H154[[#This Row],[2B]]*2)+(MIL_H154[[#This Row],[3B]]*3)+(MIL_H154[[#This Row],[HR]]*4)</f>
        <v>48</v>
      </c>
      <c r="BS103" s="72">
        <f>IFERROR(MIL_H154[[#This Row],[OBP]]+MIL_H154[[#This Row],[SLG]],0)</f>
        <v>0.69848191214470279</v>
      </c>
      <c r="BT103" s="74">
        <v>2</v>
      </c>
      <c r="BU103" s="615">
        <v>7</v>
      </c>
    </row>
    <row r="104" spans="1:73">
      <c r="A104" s="651" t="s">
        <v>1062</v>
      </c>
      <c r="B104" s="71" t="s">
        <v>240</v>
      </c>
      <c r="C104" s="71" t="s">
        <v>1071</v>
      </c>
      <c r="D104" s="72">
        <f>IFERROR(MIL_H[[#This Row],[H]]/MIL_H[[#This Row],[AB]],0)</f>
        <v>0.29770992366412213</v>
      </c>
      <c r="E104" s="72">
        <f>IFERROR((MIL_H[[#This Row],[H]]+MIL_H[[#This Row],[BB]])/(MIL_H[[#This Row],[BB]]+MIL_H[[#This Row],[AB]]),0)</f>
        <v>0.33333333333333331</v>
      </c>
      <c r="F104" s="73">
        <f>IFERROR(((MIL_H[[#This Row],[H]]-MIL_H[[#This Row],[2B]]-MIL_H[[#This Row],[3B]]-MIL_H[[#This Row],[HR]])+(MIL_H[[#This Row],[2B]]*2)+(MIL_H[[#This Row],[3B]]*3)+(MIL_H[[#This Row],[HR]]*4))/MIL_H[[#This Row],[AB]],0)</f>
        <v>0.41984732824427479</v>
      </c>
      <c r="G104" s="28">
        <v>36</v>
      </c>
      <c r="H104" s="28">
        <v>131</v>
      </c>
      <c r="I104" s="28">
        <v>9</v>
      </c>
      <c r="J104" s="28">
        <v>39</v>
      </c>
      <c r="K104" s="28">
        <v>5</v>
      </c>
      <c r="L104" s="28">
        <v>1</v>
      </c>
      <c r="M104" s="28">
        <v>3</v>
      </c>
      <c r="N104" s="28">
        <v>11</v>
      </c>
      <c r="O104" s="28">
        <v>7</v>
      </c>
      <c r="P104" s="74">
        <v>27</v>
      </c>
      <c r="Q104" s="28">
        <v>1</v>
      </c>
      <c r="R104" s="28">
        <v>0</v>
      </c>
      <c r="S104" s="74">
        <v>6</v>
      </c>
      <c r="T104" s="28">
        <f>IFERROR((MIL_H[[#This Row],[H]]-MIL_H[[#This Row],[2B]]-MIL_H[[#This Row],[3B]]-MIL_H[[#This Row],[HR]])+(MIL_H[[#This Row],[2B]]*2)+(MIL_H[[#This Row],[3B]]*3)+(MIL_H[[#This Row],[HR]]*4),0)</f>
        <v>55</v>
      </c>
      <c r="U104" s="72">
        <f>MIL_H[[#This Row],[OBP]]+MIL_H[[#This Row],[SLG]]</f>
        <v>0.7531806615776081</v>
      </c>
      <c r="V104" s="74">
        <v>2</v>
      </c>
      <c r="W104" s="615">
        <v>8</v>
      </c>
      <c r="Z104" s="651" t="s">
        <v>1062</v>
      </c>
      <c r="AA104" s="71" t="s">
        <v>240</v>
      </c>
      <c r="AB104" s="71" t="s">
        <v>1066</v>
      </c>
      <c r="AC104" s="72">
        <f>IFERROR(MIL_H146[[#This Row],[H]]/MIL_H146[[#This Row],[AB]],0)</f>
        <v>0.24719101123595505</v>
      </c>
      <c r="AD104" s="72">
        <f>IFERROR((MIL_H146[[#This Row],[H]]+MIL_H146[[#This Row],[BB]])/(MIL_H146[[#This Row],[BB]]+MIL_H146[[#This Row],[AB]]),0)</f>
        <v>0.33</v>
      </c>
      <c r="AE104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0.449438202247191</v>
      </c>
      <c r="AF104" s="28">
        <v>24</v>
      </c>
      <c r="AG104" s="90">
        <v>89</v>
      </c>
      <c r="AH104" s="28">
        <v>15</v>
      </c>
      <c r="AI104" s="28">
        <v>22</v>
      </c>
      <c r="AJ104" s="28">
        <v>4</v>
      </c>
      <c r="AK104" s="28">
        <v>1</v>
      </c>
      <c r="AL104" s="28">
        <v>4</v>
      </c>
      <c r="AM104" s="28">
        <v>11</v>
      </c>
      <c r="AN104" s="28">
        <v>11</v>
      </c>
      <c r="AO104" s="74">
        <v>24</v>
      </c>
      <c r="AP104" s="28">
        <v>3</v>
      </c>
      <c r="AQ104" s="28">
        <v>0</v>
      </c>
      <c r="AR104" s="74">
        <v>5</v>
      </c>
      <c r="AS104" s="28">
        <f>IFERROR((MIL_H146[[#This Row],[H]]-MIL_H146[[#This Row],[2B]]-MIL_H146[[#This Row],[3B]]-MIL_H146[[#This Row],[HR]])+(MIL_H146[[#This Row],[2B]]*2)+(MIL_H146[[#This Row],[3B]]*3)+(MIL_H146[[#This Row],[HR]]*4),0)</f>
        <v>40</v>
      </c>
      <c r="AT104" s="72">
        <f>MIL_H146[[#This Row],[OBP]]+MIL_H146[[#This Row],[SLG]]</f>
        <v>0.77943820224719107</v>
      </c>
      <c r="AU104" s="74">
        <v>1</v>
      </c>
      <c r="AV104" s="615">
        <v>8</v>
      </c>
      <c r="AY104" s="651" t="s">
        <v>1062</v>
      </c>
      <c r="AZ104" s="74" t="s">
        <v>166</v>
      </c>
      <c r="BA104" s="71" t="s">
        <v>1064</v>
      </c>
      <c r="BB104" s="72">
        <f>IFERROR(MIL_H154[[#This Row],[H]]/MIL_H154[[#This Row],[AB]],0)</f>
        <v>0.30625000000000002</v>
      </c>
      <c r="BC104" s="72">
        <f>IFERROR((MIL_H154[[#This Row],[H]]+MIL_H154[[#This Row],[BB]])/(MIL_H154[[#This Row],[BB]]+MIL_H154[[#This Row],[AB]]),0)</f>
        <v>0.34705882352941175</v>
      </c>
      <c r="BD104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0.55625000000000002</v>
      </c>
      <c r="BE104" s="28">
        <v>39</v>
      </c>
      <c r="BF104" s="28">
        <v>160</v>
      </c>
      <c r="BG104" s="28">
        <v>24</v>
      </c>
      <c r="BH104" s="28">
        <v>49</v>
      </c>
      <c r="BI104" s="28">
        <v>5</v>
      </c>
      <c r="BJ104" s="28">
        <v>1</v>
      </c>
      <c r="BK104" s="28">
        <v>11</v>
      </c>
      <c r="BL104" s="28">
        <v>27</v>
      </c>
      <c r="BM104" s="28">
        <v>10</v>
      </c>
      <c r="BN104" s="74">
        <v>44</v>
      </c>
      <c r="BO104" s="28">
        <v>4</v>
      </c>
      <c r="BP104" s="28">
        <v>4</v>
      </c>
      <c r="BQ104" s="74">
        <v>6</v>
      </c>
      <c r="BR104" s="28">
        <f>(MIL_H154[[#This Row],[H]]-MIL_H154[[#This Row],[2B]]-MIL_H154[[#This Row],[3B]]-MIL_H154[[#This Row],[HR]])+(MIL_H154[[#This Row],[2B]]*2)+(MIL_H154[[#This Row],[3B]]*3)+(MIL_H154[[#This Row],[HR]]*4)</f>
        <v>89</v>
      </c>
      <c r="BS104" s="72">
        <f>IFERROR(MIL_H154[[#This Row],[OBP]]+MIL_H154[[#This Row],[SLG]],0)</f>
        <v>0.90330882352941178</v>
      </c>
      <c r="BT104" s="74">
        <v>5</v>
      </c>
      <c r="BU104" s="615">
        <v>8</v>
      </c>
    </row>
    <row r="105" spans="1:73">
      <c r="A105" s="651" t="s">
        <v>1062</v>
      </c>
      <c r="B105" s="71" t="s">
        <v>168</v>
      </c>
      <c r="C105" s="71" t="s">
        <v>1063</v>
      </c>
      <c r="D105" s="72">
        <f>IFERROR(MIL_H[[#This Row],[H]]/MIL_H[[#This Row],[AB]],0)</f>
        <v>0.29487179487179488</v>
      </c>
      <c r="E105" s="72">
        <f>IFERROR((MIL_H[[#This Row],[H]]+MIL_H[[#This Row],[BB]])/(MIL_H[[#This Row],[BB]]+MIL_H[[#This Row],[AB]]),0)</f>
        <v>0.34523809523809523</v>
      </c>
      <c r="F105" s="73">
        <f>IFERROR(((MIL_H[[#This Row],[H]]-MIL_H[[#This Row],[2B]]-MIL_H[[#This Row],[3B]]-MIL_H[[#This Row],[HR]])+(MIL_H[[#This Row],[2B]]*2)+(MIL_H[[#This Row],[3B]]*3)+(MIL_H[[#This Row],[HR]]*4))/MIL_H[[#This Row],[AB]],0)</f>
        <v>0.57692307692307687</v>
      </c>
      <c r="G105" s="28">
        <v>40</v>
      </c>
      <c r="H105" s="28">
        <v>156</v>
      </c>
      <c r="I105" s="28">
        <v>23</v>
      </c>
      <c r="J105" s="28">
        <v>46</v>
      </c>
      <c r="K105" s="28">
        <v>8</v>
      </c>
      <c r="L105" s="28">
        <v>0</v>
      </c>
      <c r="M105" s="28">
        <v>12</v>
      </c>
      <c r="N105" s="28">
        <v>29</v>
      </c>
      <c r="O105" s="28">
        <v>12</v>
      </c>
      <c r="P105" s="74">
        <v>31</v>
      </c>
      <c r="Q105" s="28">
        <v>0</v>
      </c>
      <c r="R105" s="28">
        <v>0</v>
      </c>
      <c r="S105" s="74">
        <v>12</v>
      </c>
      <c r="T105" s="28">
        <f>IFERROR((MIL_H[[#This Row],[H]]-MIL_H[[#This Row],[2B]]-MIL_H[[#This Row],[3B]]-MIL_H[[#This Row],[HR]])+(MIL_H[[#This Row],[2B]]*2)+(MIL_H[[#This Row],[3B]]*3)+(MIL_H[[#This Row],[HR]]*4),0)</f>
        <v>90</v>
      </c>
      <c r="U105" s="72">
        <f>MIL_H[[#This Row],[OBP]]+MIL_H[[#This Row],[SLG]]</f>
        <v>0.9221611721611721</v>
      </c>
      <c r="V105" s="74">
        <v>5</v>
      </c>
      <c r="W105" s="615">
        <v>9</v>
      </c>
      <c r="Z105" s="651" t="s">
        <v>1062</v>
      </c>
      <c r="AA105" s="71" t="s">
        <v>168</v>
      </c>
      <c r="AB105" s="71" t="s">
        <v>1064</v>
      </c>
      <c r="AC105" s="72">
        <f>IFERROR(MIL_H146[[#This Row],[H]]/MIL_H146[[#This Row],[AB]],0)</f>
        <v>0.27027027027027029</v>
      </c>
      <c r="AD105" s="72">
        <f>IFERROR((MIL_H146[[#This Row],[H]]+MIL_H146[[#This Row],[BB]])/(MIL_H146[[#This Row],[BB]]+MIL_H146[[#This Row],[AB]]),0)</f>
        <v>0.36094674556213019</v>
      </c>
      <c r="AE105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0.43243243243243246</v>
      </c>
      <c r="AF105" s="28">
        <v>36</v>
      </c>
      <c r="AG105" s="28">
        <v>148</v>
      </c>
      <c r="AH105" s="28">
        <v>28</v>
      </c>
      <c r="AI105" s="28">
        <v>40</v>
      </c>
      <c r="AJ105" s="28">
        <v>6</v>
      </c>
      <c r="AK105" s="28">
        <v>0</v>
      </c>
      <c r="AL105" s="28">
        <v>6</v>
      </c>
      <c r="AM105" s="28">
        <v>13</v>
      </c>
      <c r="AN105" s="28">
        <v>21</v>
      </c>
      <c r="AO105" s="74">
        <v>46</v>
      </c>
      <c r="AP105" s="28">
        <v>3</v>
      </c>
      <c r="AQ105" s="28">
        <v>0</v>
      </c>
      <c r="AR105" s="74">
        <v>15</v>
      </c>
      <c r="AS105" s="28">
        <f>IFERROR((MIL_H146[[#This Row],[H]]-MIL_H146[[#This Row],[2B]]-MIL_H146[[#This Row],[3B]]-MIL_H146[[#This Row],[HR]])+(MIL_H146[[#This Row],[2B]]*2)+(MIL_H146[[#This Row],[3B]]*3)+(MIL_H146[[#This Row],[HR]]*4),0)</f>
        <v>64</v>
      </c>
      <c r="AT105" s="72">
        <f>MIL_H146[[#This Row],[OBP]]+MIL_H146[[#This Row],[SLG]]</f>
        <v>0.7933791779945627</v>
      </c>
      <c r="AU105" s="74">
        <v>2</v>
      </c>
      <c r="AV105" s="615">
        <v>9</v>
      </c>
      <c r="AY105" s="651" t="s">
        <v>1062</v>
      </c>
      <c r="AZ105" s="74" t="s">
        <v>1074</v>
      </c>
      <c r="BA105" s="71" t="s">
        <v>1075</v>
      </c>
      <c r="BB105" s="72">
        <f>IFERROR(MIL_H154[[#This Row],[H]]/MIL_H154[[#This Row],[AB]],0)</f>
        <v>0.22448979591836735</v>
      </c>
      <c r="BC105" s="72">
        <f>IFERROR((MIL_H154[[#This Row],[H]]+MIL_H154[[#This Row],[BB]])/(MIL_H154[[#This Row],[BB]]+MIL_H154[[#This Row],[AB]]),0)</f>
        <v>0.28971962616822428</v>
      </c>
      <c r="BD105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0.39795918367346939</v>
      </c>
      <c r="BE105" s="28">
        <v>28</v>
      </c>
      <c r="BF105" s="28">
        <v>98</v>
      </c>
      <c r="BG105" s="28">
        <v>6</v>
      </c>
      <c r="BH105" s="28">
        <v>22</v>
      </c>
      <c r="BI105" s="28">
        <v>7</v>
      </c>
      <c r="BJ105" s="28">
        <v>2</v>
      </c>
      <c r="BK105" s="28">
        <v>2</v>
      </c>
      <c r="BL105" s="28">
        <v>12</v>
      </c>
      <c r="BM105" s="28">
        <v>9</v>
      </c>
      <c r="BN105" s="74">
        <v>24</v>
      </c>
      <c r="BO105" s="28">
        <v>0</v>
      </c>
      <c r="BP105" s="28">
        <v>4</v>
      </c>
      <c r="BQ105" s="74">
        <v>4</v>
      </c>
      <c r="BR105" s="28">
        <f>(MIL_H154[[#This Row],[H]]-MIL_H154[[#This Row],[2B]]-MIL_H154[[#This Row],[3B]]-MIL_H154[[#This Row],[HR]])+(MIL_H154[[#This Row],[2B]]*2)+(MIL_H154[[#This Row],[3B]]*3)+(MIL_H154[[#This Row],[HR]]*4)</f>
        <v>39</v>
      </c>
      <c r="BS105" s="72">
        <f>IFERROR(MIL_H154[[#This Row],[OBP]]+MIL_H154[[#This Row],[SLG]],0)</f>
        <v>0.68767880984169372</v>
      </c>
      <c r="BT105" s="74">
        <v>1</v>
      </c>
      <c r="BU105" s="615">
        <v>9</v>
      </c>
    </row>
    <row r="106" spans="1:73">
      <c r="A106" s="651" t="s">
        <v>1062</v>
      </c>
      <c r="B106" s="71" t="s">
        <v>179</v>
      </c>
      <c r="C106" s="71" t="s">
        <v>1068</v>
      </c>
      <c r="D106" s="72">
        <f>IFERROR(MIL_H[[#This Row],[H]]/MIL_H[[#This Row],[AB]],0)</f>
        <v>0</v>
      </c>
      <c r="E106" s="72">
        <f>IFERROR((MIL_H[[#This Row],[H]]+MIL_H[[#This Row],[BB]])/(MIL_H[[#This Row],[BB]]+MIL_H[[#This Row],[AB]]),0)</f>
        <v>0</v>
      </c>
      <c r="F106" s="73">
        <f>IFERROR(((MIL_H[[#This Row],[H]]-MIL_H[[#This Row],[2B]]-MIL_H[[#This Row],[3B]]-MIL_H[[#This Row],[HR]])+(MIL_H[[#This Row],[2B]]*2)+(MIL_H[[#This Row],[3B]]*3)+(MIL_H[[#This Row],[HR]]*4))/MIL_H[[#This Row],[AB]],0)</f>
        <v>0</v>
      </c>
      <c r="G106" s="28">
        <v>1</v>
      </c>
      <c r="H106" s="28">
        <v>3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74">
        <v>0</v>
      </c>
      <c r="Q106" s="28">
        <v>0</v>
      </c>
      <c r="R106" s="28">
        <v>0</v>
      </c>
      <c r="S106" s="74">
        <v>0</v>
      </c>
      <c r="T106" s="28">
        <f>IFERROR((MIL_H[[#This Row],[H]]-MIL_H[[#This Row],[2B]]-MIL_H[[#This Row],[3B]]-MIL_H[[#This Row],[HR]])+(MIL_H[[#This Row],[2B]]*2)+(MIL_H[[#This Row],[3B]]*3)+(MIL_H[[#This Row],[HR]]*4),0)</f>
        <v>0</v>
      </c>
      <c r="U106" s="72">
        <f>MIL_H[[#This Row],[OBP]]+MIL_H[[#This Row],[SLG]]</f>
        <v>0</v>
      </c>
      <c r="V106" s="74">
        <v>0</v>
      </c>
      <c r="W106" s="615">
        <v>10</v>
      </c>
      <c r="Z106" s="651" t="s">
        <v>1062</v>
      </c>
      <c r="AA106" s="71" t="s">
        <v>179</v>
      </c>
      <c r="AB106" s="71" t="s">
        <v>1079</v>
      </c>
      <c r="AC106" s="72">
        <f>IFERROR(MIL_H146[[#This Row],[H]]/MIL_H146[[#This Row],[AB]],0)</f>
        <v>0.4</v>
      </c>
      <c r="AD106" s="72">
        <f>IFERROR((MIL_H146[[#This Row],[H]]+MIL_H146[[#This Row],[BB]])/(MIL_H146[[#This Row],[BB]]+MIL_H146[[#This Row],[AB]]),0)</f>
        <v>0.47058823529411764</v>
      </c>
      <c r="AE106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0.66666666666666663</v>
      </c>
      <c r="AF106" s="28">
        <v>5</v>
      </c>
      <c r="AG106" s="28">
        <v>15</v>
      </c>
      <c r="AH106" s="28">
        <v>4</v>
      </c>
      <c r="AI106" s="28">
        <v>6</v>
      </c>
      <c r="AJ106" s="28">
        <v>1</v>
      </c>
      <c r="AK106" s="28">
        <v>0</v>
      </c>
      <c r="AL106" s="28">
        <v>1</v>
      </c>
      <c r="AM106" s="28">
        <v>3</v>
      </c>
      <c r="AN106" s="28">
        <v>2</v>
      </c>
      <c r="AO106" s="74">
        <v>2</v>
      </c>
      <c r="AP106" s="28">
        <v>0</v>
      </c>
      <c r="AQ106" s="28">
        <v>1</v>
      </c>
      <c r="AR106" s="74">
        <v>2</v>
      </c>
      <c r="AS106" s="28">
        <f>IFERROR((MIL_H146[[#This Row],[H]]-MIL_H146[[#This Row],[2B]]-MIL_H146[[#This Row],[3B]]-MIL_H146[[#This Row],[HR]])+(MIL_H146[[#This Row],[2B]]*2)+(MIL_H146[[#This Row],[3B]]*3)+(MIL_H146[[#This Row],[HR]]*4),0)</f>
        <v>10</v>
      </c>
      <c r="AT106" s="72">
        <f>MIL_H146[[#This Row],[OBP]]+MIL_H146[[#This Row],[SLG]]</f>
        <v>1.1372549019607843</v>
      </c>
      <c r="AU106" s="74">
        <v>1</v>
      </c>
      <c r="AV106" s="615">
        <v>10</v>
      </c>
      <c r="AY106" s="651" t="s">
        <v>1062</v>
      </c>
      <c r="AZ106" s="74" t="s">
        <v>308</v>
      </c>
      <c r="BA106" s="71" t="s">
        <v>1079</v>
      </c>
      <c r="BB106" s="72">
        <f>IFERROR(MIL_H154[[#This Row],[H]]/MIL_H154[[#This Row],[AB]],0)</f>
        <v>0.2</v>
      </c>
      <c r="BC106" s="72">
        <f>IFERROR((MIL_H154[[#This Row],[H]]+MIL_H154[[#This Row],[BB]])/(MIL_H154[[#This Row],[BB]]+MIL_H154[[#This Row],[AB]]),0)</f>
        <v>0.2</v>
      </c>
      <c r="BD106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0.3</v>
      </c>
      <c r="BE106" s="28">
        <v>6</v>
      </c>
      <c r="BF106" s="28">
        <v>10</v>
      </c>
      <c r="BG106" s="28">
        <v>1</v>
      </c>
      <c r="BH106" s="28">
        <v>2</v>
      </c>
      <c r="BI106" s="28">
        <v>1</v>
      </c>
      <c r="BJ106" s="28">
        <v>0</v>
      </c>
      <c r="BK106" s="28">
        <v>0</v>
      </c>
      <c r="BL106" s="28">
        <v>0</v>
      </c>
      <c r="BM106" s="28">
        <v>0</v>
      </c>
      <c r="BN106" s="74">
        <v>4</v>
      </c>
      <c r="BO106" s="28">
        <v>0</v>
      </c>
      <c r="BP106" s="28">
        <v>0</v>
      </c>
      <c r="BQ106" s="74">
        <v>1</v>
      </c>
      <c r="BR106" s="28">
        <f>(MIL_H154[[#This Row],[H]]-MIL_H154[[#This Row],[2B]]-MIL_H154[[#This Row],[3B]]-MIL_H154[[#This Row],[HR]])+(MIL_H154[[#This Row],[2B]]*2)+(MIL_H154[[#This Row],[3B]]*3)+(MIL_H154[[#This Row],[HR]]*4)</f>
        <v>3</v>
      </c>
      <c r="BS106" s="72">
        <f>IFERROR(MIL_H154[[#This Row],[OBP]]+MIL_H154[[#This Row],[SLG]],0)</f>
        <v>0.5</v>
      </c>
      <c r="BT106" s="74">
        <v>0</v>
      </c>
      <c r="BU106" s="615">
        <v>10</v>
      </c>
    </row>
    <row r="107" spans="1:73">
      <c r="A107" s="651" t="s">
        <v>1062</v>
      </c>
      <c r="B107" s="71" t="s">
        <v>187</v>
      </c>
      <c r="C107" s="71" t="s">
        <v>1076</v>
      </c>
      <c r="D107" s="72">
        <f>IFERROR(MIL_H[[#This Row],[H]]/MIL_H[[#This Row],[AB]],0)</f>
        <v>6.6666666666666666E-2</v>
      </c>
      <c r="E107" s="72">
        <f>IFERROR((MIL_H[[#This Row],[H]]+MIL_H[[#This Row],[BB]])/(MIL_H[[#This Row],[BB]]+MIL_H[[#This Row],[AB]]),0)</f>
        <v>0.22222222222222221</v>
      </c>
      <c r="F107" s="73">
        <f>IFERROR(((MIL_H[[#This Row],[H]]-MIL_H[[#This Row],[2B]]-MIL_H[[#This Row],[3B]]-MIL_H[[#This Row],[HR]])+(MIL_H[[#This Row],[2B]]*2)+(MIL_H[[#This Row],[3B]]*3)+(MIL_H[[#This Row],[HR]]*4))/MIL_H[[#This Row],[AB]],0)</f>
        <v>6.6666666666666666E-2</v>
      </c>
      <c r="G107" s="28">
        <v>7</v>
      </c>
      <c r="H107" s="28">
        <v>15</v>
      </c>
      <c r="I107" s="28">
        <v>1</v>
      </c>
      <c r="J107" s="28">
        <v>1</v>
      </c>
      <c r="K107" s="28">
        <v>0</v>
      </c>
      <c r="L107" s="28">
        <v>0</v>
      </c>
      <c r="M107" s="28">
        <v>0</v>
      </c>
      <c r="N107" s="28">
        <v>0</v>
      </c>
      <c r="O107" s="28">
        <v>3</v>
      </c>
      <c r="P107" s="74">
        <v>7</v>
      </c>
      <c r="Q107" s="28">
        <v>0</v>
      </c>
      <c r="R107" s="28">
        <v>0</v>
      </c>
      <c r="S107" s="74">
        <v>1</v>
      </c>
      <c r="T107" s="28">
        <f>IFERROR((MIL_H[[#This Row],[H]]-MIL_H[[#This Row],[2B]]-MIL_H[[#This Row],[3B]]-MIL_H[[#This Row],[HR]])+(MIL_H[[#This Row],[2B]]*2)+(MIL_H[[#This Row],[3B]]*3)+(MIL_H[[#This Row],[HR]]*4),0)</f>
        <v>1</v>
      </c>
      <c r="U107" s="72">
        <f>MIL_H[[#This Row],[OBP]]+MIL_H[[#This Row],[SLG]]</f>
        <v>0.28888888888888886</v>
      </c>
      <c r="V107" s="74">
        <v>0</v>
      </c>
      <c r="W107" s="615">
        <v>11</v>
      </c>
      <c r="Z107" s="651" t="s">
        <v>1062</v>
      </c>
      <c r="AA107" s="71" t="s">
        <v>187</v>
      </c>
      <c r="AB107" s="71" t="s">
        <v>1078</v>
      </c>
      <c r="AC107" s="72">
        <f>IFERROR(MIL_H146[[#This Row],[H]]/MIL_H146[[#This Row],[AB]],0)</f>
        <v>0.19230769230769232</v>
      </c>
      <c r="AD107" s="72">
        <f>IFERROR((MIL_H146[[#This Row],[H]]+MIL_H146[[#This Row],[BB]])/(MIL_H146[[#This Row],[BB]]+MIL_H146[[#This Row],[AB]]),0)</f>
        <v>0.19230769230769232</v>
      </c>
      <c r="AE107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0.30769230769230771</v>
      </c>
      <c r="AF107" s="28">
        <v>7</v>
      </c>
      <c r="AG107" s="28">
        <v>26</v>
      </c>
      <c r="AH107" s="28">
        <v>2</v>
      </c>
      <c r="AI107" s="28">
        <v>5</v>
      </c>
      <c r="AJ107" s="28">
        <v>0</v>
      </c>
      <c r="AK107" s="28">
        <v>0</v>
      </c>
      <c r="AL107" s="28">
        <v>1</v>
      </c>
      <c r="AM107" s="28">
        <v>2</v>
      </c>
      <c r="AN107" s="28">
        <v>0</v>
      </c>
      <c r="AO107" s="74">
        <v>10</v>
      </c>
      <c r="AP107" s="28">
        <v>0</v>
      </c>
      <c r="AQ107" s="28">
        <v>1</v>
      </c>
      <c r="AR107" s="74">
        <v>3</v>
      </c>
      <c r="AS107" s="28">
        <f>IFERROR((MIL_H146[[#This Row],[H]]-MIL_H146[[#This Row],[2B]]-MIL_H146[[#This Row],[3B]]-MIL_H146[[#This Row],[HR]])+(MIL_H146[[#This Row],[2B]]*2)+(MIL_H146[[#This Row],[3B]]*3)+(MIL_H146[[#This Row],[HR]]*4),0)</f>
        <v>8</v>
      </c>
      <c r="AT107" s="72">
        <f>MIL_H146[[#This Row],[OBP]]+MIL_H146[[#This Row],[SLG]]</f>
        <v>0.5</v>
      </c>
      <c r="AU107" s="74">
        <v>0</v>
      </c>
      <c r="AV107" s="615">
        <v>11</v>
      </c>
      <c r="AY107" s="651" t="s">
        <v>1062</v>
      </c>
      <c r="AZ107" s="74" t="s">
        <v>187</v>
      </c>
      <c r="BA107" s="71" t="s">
        <v>1078</v>
      </c>
      <c r="BB107" s="72">
        <f>IFERROR(MIL_H154[[#This Row],[H]]/MIL_H154[[#This Row],[AB]],0)</f>
        <v>0.19230769230769232</v>
      </c>
      <c r="BC107" s="72">
        <f>IFERROR((MIL_H154[[#This Row],[H]]+MIL_H154[[#This Row],[BB]])/(MIL_H154[[#This Row],[BB]]+MIL_H154[[#This Row],[AB]]),0)</f>
        <v>0.27586206896551724</v>
      </c>
      <c r="BD107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0.40384615384615385</v>
      </c>
      <c r="BE107" s="28">
        <v>19</v>
      </c>
      <c r="BF107" s="28">
        <v>52</v>
      </c>
      <c r="BG107" s="28">
        <v>7</v>
      </c>
      <c r="BH107" s="28">
        <v>10</v>
      </c>
      <c r="BI107" s="28">
        <v>5</v>
      </c>
      <c r="BJ107" s="28">
        <v>0</v>
      </c>
      <c r="BK107" s="28">
        <v>2</v>
      </c>
      <c r="BL107" s="28">
        <v>9</v>
      </c>
      <c r="BM107" s="28">
        <v>6</v>
      </c>
      <c r="BN107" s="74">
        <v>23</v>
      </c>
      <c r="BO107" s="28">
        <v>0</v>
      </c>
      <c r="BP107" s="28">
        <v>0</v>
      </c>
      <c r="BQ107" s="74">
        <v>2</v>
      </c>
      <c r="BR107" s="28">
        <f>(MIL_H154[[#This Row],[H]]-MIL_H154[[#This Row],[2B]]-MIL_H154[[#This Row],[3B]]-MIL_H154[[#This Row],[HR]])+(MIL_H154[[#This Row],[2B]]*2)+(MIL_H154[[#This Row],[3B]]*3)+(MIL_H154[[#This Row],[HR]]*4)</f>
        <v>21</v>
      </c>
      <c r="BS107" s="72">
        <f>IFERROR(MIL_H154[[#This Row],[OBP]]+MIL_H154[[#This Row],[SLG]],0)</f>
        <v>0.67970822281167109</v>
      </c>
      <c r="BT107" s="74">
        <v>1</v>
      </c>
      <c r="BU107" s="615">
        <v>11</v>
      </c>
    </row>
    <row r="108" spans="1:73">
      <c r="A108" s="651" t="s">
        <v>1062</v>
      </c>
      <c r="B108" s="71" t="s">
        <v>186</v>
      </c>
      <c r="C108" s="71" t="s">
        <v>1077</v>
      </c>
      <c r="D108" s="72">
        <f>IFERROR(MIL_H[[#This Row],[H]]/MIL_H[[#This Row],[AB]],0)</f>
        <v>0.18181818181818182</v>
      </c>
      <c r="E108" s="72">
        <f>IFERROR((MIL_H[[#This Row],[H]]+MIL_H[[#This Row],[BB]])/(MIL_H[[#This Row],[BB]]+MIL_H[[#This Row],[AB]]),0)</f>
        <v>0.18181818181818182</v>
      </c>
      <c r="F108" s="73">
        <f>IFERROR(((MIL_H[[#This Row],[H]]-MIL_H[[#This Row],[2B]]-MIL_H[[#This Row],[3B]]-MIL_H[[#This Row],[HR]])+(MIL_H[[#This Row],[2B]]*2)+(MIL_H[[#This Row],[3B]]*3)+(MIL_H[[#This Row],[HR]]*4))/MIL_H[[#This Row],[AB]],0)</f>
        <v>0.22727272727272727</v>
      </c>
      <c r="G108" s="28">
        <v>7</v>
      </c>
      <c r="H108" s="28">
        <v>22</v>
      </c>
      <c r="I108" s="28">
        <v>2</v>
      </c>
      <c r="J108" s="28">
        <v>4</v>
      </c>
      <c r="K108" s="28">
        <v>1</v>
      </c>
      <c r="L108" s="28">
        <v>0</v>
      </c>
      <c r="M108" s="28">
        <v>0</v>
      </c>
      <c r="N108" s="28">
        <v>1</v>
      </c>
      <c r="O108" s="28">
        <v>0</v>
      </c>
      <c r="P108" s="74">
        <v>5</v>
      </c>
      <c r="Q108" s="28">
        <v>0</v>
      </c>
      <c r="R108" s="28">
        <v>1</v>
      </c>
      <c r="S108" s="74">
        <v>3</v>
      </c>
      <c r="T108" s="28">
        <f>IFERROR((MIL_H[[#This Row],[H]]-MIL_H[[#This Row],[2B]]-MIL_H[[#This Row],[3B]]-MIL_H[[#This Row],[HR]])+(MIL_H[[#This Row],[2B]]*2)+(MIL_H[[#This Row],[3B]]*3)+(MIL_H[[#This Row],[HR]]*4),0)</f>
        <v>5</v>
      </c>
      <c r="U108" s="72">
        <f>MIL_H[[#This Row],[OBP]]+MIL_H[[#This Row],[SLG]]</f>
        <v>0.40909090909090906</v>
      </c>
      <c r="V108" s="74">
        <v>0</v>
      </c>
      <c r="W108" s="615">
        <v>12</v>
      </c>
      <c r="Z108" s="651" t="s">
        <v>1062</v>
      </c>
      <c r="AA108" s="71" t="s">
        <v>186</v>
      </c>
      <c r="AB108" s="71" t="s">
        <v>1075</v>
      </c>
      <c r="AC108" s="72">
        <f>IFERROR(MIL_H146[[#This Row],[H]]/MIL_H146[[#This Row],[AB]],0)</f>
        <v>0.17741935483870969</v>
      </c>
      <c r="AD108" s="72">
        <f>IFERROR((MIL_H146[[#This Row],[H]]+MIL_H146[[#This Row],[BB]])/(MIL_H146[[#This Row],[BB]]+MIL_H146[[#This Row],[AB]]),0)</f>
        <v>0.2608695652173913</v>
      </c>
      <c r="AE108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0.32258064516129031</v>
      </c>
      <c r="AF108" s="28">
        <v>19</v>
      </c>
      <c r="AG108" s="28">
        <v>62</v>
      </c>
      <c r="AH108" s="28">
        <v>4</v>
      </c>
      <c r="AI108" s="28">
        <v>11</v>
      </c>
      <c r="AJ108" s="28">
        <v>3</v>
      </c>
      <c r="AK108" s="28">
        <v>0</v>
      </c>
      <c r="AL108" s="28">
        <v>2</v>
      </c>
      <c r="AM108" s="28">
        <v>5</v>
      </c>
      <c r="AN108" s="28">
        <v>7</v>
      </c>
      <c r="AO108" s="74">
        <v>16</v>
      </c>
      <c r="AP108" s="28">
        <v>0</v>
      </c>
      <c r="AQ108" s="28">
        <v>0</v>
      </c>
      <c r="AR108" s="74">
        <v>2</v>
      </c>
      <c r="AS108" s="28">
        <f>IFERROR((MIL_H146[[#This Row],[H]]-MIL_H146[[#This Row],[2B]]-MIL_H146[[#This Row],[3B]]-MIL_H146[[#This Row],[HR]])+(MIL_H146[[#This Row],[2B]]*2)+(MIL_H146[[#This Row],[3B]]*3)+(MIL_H146[[#This Row],[HR]]*4),0)</f>
        <v>20</v>
      </c>
      <c r="AT108" s="72">
        <f>MIL_H146[[#This Row],[OBP]]+MIL_H146[[#This Row],[SLG]]</f>
        <v>0.58345021037868161</v>
      </c>
      <c r="AU108" s="74">
        <v>0</v>
      </c>
      <c r="AV108" s="615">
        <v>12</v>
      </c>
      <c r="AY108" s="651" t="s">
        <v>1062</v>
      </c>
      <c r="AZ108" s="74" t="s">
        <v>187</v>
      </c>
      <c r="BA108" s="71" t="s">
        <v>1072</v>
      </c>
      <c r="BB108" s="72">
        <f>IFERROR(MIL_H154[[#This Row],[H]]/MIL_H154[[#This Row],[AB]],0)</f>
        <v>0.23076923076923078</v>
      </c>
      <c r="BC108" s="72">
        <f>IFERROR((MIL_H154[[#This Row],[H]]+MIL_H154[[#This Row],[BB]])/(MIL_H154[[#This Row],[BB]]+MIL_H154[[#This Row],[AB]]),0)</f>
        <v>0.2857142857142857</v>
      </c>
      <c r="BD108" s="73">
        <f>IFERROR(((MIL_H154[[#This Row],[H]]-MIL_H154[[#This Row],[2B]]-MIL_H154[[#This Row],[3B]]-MIL_H154[[#This Row],[HR]])+(MIL_H154[[#This Row],[2B]]*2)+(MIL_H154[[#This Row],[3B]]*3)+(MIL_H154[[#This Row],[HR]]*4))/MIL_H154[[#This Row],[AB]],0)</f>
        <v>0.30769230769230771</v>
      </c>
      <c r="BE108" s="28">
        <v>9</v>
      </c>
      <c r="BF108" s="28">
        <v>13</v>
      </c>
      <c r="BG108" s="28">
        <v>2</v>
      </c>
      <c r="BH108" s="28">
        <v>3</v>
      </c>
      <c r="BI108" s="28">
        <v>1</v>
      </c>
      <c r="BJ108" s="28">
        <v>0</v>
      </c>
      <c r="BK108" s="28">
        <v>0</v>
      </c>
      <c r="BL108" s="28">
        <v>0</v>
      </c>
      <c r="BM108" s="28">
        <v>1</v>
      </c>
      <c r="BN108" s="74">
        <v>5</v>
      </c>
      <c r="BO108" s="28">
        <v>0</v>
      </c>
      <c r="BP108" s="28">
        <v>0</v>
      </c>
      <c r="BQ108" s="74">
        <v>3</v>
      </c>
      <c r="BR108" s="28">
        <f>(MIL_H154[[#This Row],[H]]-MIL_H154[[#This Row],[2B]]-MIL_H154[[#This Row],[3B]]-MIL_H154[[#This Row],[HR]])+(MIL_H154[[#This Row],[2B]]*2)+(MIL_H154[[#This Row],[3B]]*3)+(MIL_H154[[#This Row],[HR]]*4)</f>
        <v>4</v>
      </c>
      <c r="BS108" s="72">
        <f>IFERROR(MIL_H154[[#This Row],[OBP]]+MIL_H154[[#This Row],[SLG]],0)</f>
        <v>0.59340659340659341</v>
      </c>
      <c r="BT108" s="74">
        <v>0</v>
      </c>
      <c r="BU108" s="615">
        <v>12</v>
      </c>
    </row>
    <row r="109" spans="1:73">
      <c r="A109" s="651" t="s">
        <v>1062</v>
      </c>
      <c r="B109" s="71" t="s">
        <v>186</v>
      </c>
      <c r="C109" s="71" t="s">
        <v>1080</v>
      </c>
      <c r="D109" s="72">
        <f>IFERROR(MIL_H[[#This Row],[H]]/MIL_H[[#This Row],[AB]],0)</f>
        <v>0</v>
      </c>
      <c r="E109" s="72">
        <f>IFERROR((MIL_H[[#This Row],[H]]+MIL_H[[#This Row],[BB]])/(MIL_H[[#This Row],[BB]]+MIL_H[[#This Row],[AB]]),0)</f>
        <v>0</v>
      </c>
      <c r="F109" s="73">
        <f>IFERROR(((MIL_H[[#This Row],[H]]-MIL_H[[#This Row],[2B]]-MIL_H[[#This Row],[3B]]-MIL_H[[#This Row],[HR]])+(MIL_H[[#This Row],[2B]]*2)+(MIL_H[[#This Row],[3B]]*3)+(MIL_H[[#This Row],[HR]]*4))/MIL_H[[#This Row],[AB]],0)</f>
        <v>0</v>
      </c>
      <c r="G109" s="28">
        <v>1</v>
      </c>
      <c r="H109" s="28">
        <v>3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74">
        <v>0</v>
      </c>
      <c r="Q109" s="28">
        <v>0</v>
      </c>
      <c r="R109" s="28">
        <v>0</v>
      </c>
      <c r="S109" s="74">
        <v>0</v>
      </c>
      <c r="T109" s="28">
        <f>IFERROR((MIL_H[[#This Row],[H]]-MIL_H[[#This Row],[2B]]-MIL_H[[#This Row],[3B]]-MIL_H[[#This Row],[HR]])+(MIL_H[[#This Row],[2B]]*2)+(MIL_H[[#This Row],[3B]]*3)+(MIL_H[[#This Row],[HR]]*4),0)</f>
        <v>0</v>
      </c>
      <c r="U109" s="72">
        <f>MIL_H[[#This Row],[OBP]]+MIL_H[[#This Row],[SLG]]</f>
        <v>0</v>
      </c>
      <c r="V109" s="74">
        <v>0</v>
      </c>
      <c r="W109" s="615">
        <v>13</v>
      </c>
      <c r="Z109" s="651" t="s">
        <v>1062</v>
      </c>
      <c r="AA109" s="71" t="s">
        <v>186</v>
      </c>
      <c r="AB109" s="71" t="s">
        <v>1080</v>
      </c>
      <c r="AC109" s="72">
        <f>IFERROR(MIL_H146[[#This Row],[H]]/MIL_H146[[#This Row],[AB]],0)</f>
        <v>0.22222222222222221</v>
      </c>
      <c r="AD109" s="72">
        <f>IFERROR((MIL_H146[[#This Row],[H]]+MIL_H146[[#This Row],[BB]])/(MIL_H146[[#This Row],[BB]]+MIL_H146[[#This Row],[AB]]),0)</f>
        <v>0.22222222222222221</v>
      </c>
      <c r="AE109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0.27777777777777779</v>
      </c>
      <c r="AF109" s="28">
        <v>4</v>
      </c>
      <c r="AG109" s="28">
        <v>18</v>
      </c>
      <c r="AH109" s="28">
        <v>1</v>
      </c>
      <c r="AI109" s="28">
        <v>4</v>
      </c>
      <c r="AJ109" s="28">
        <v>1</v>
      </c>
      <c r="AK109" s="28">
        <v>0</v>
      </c>
      <c r="AL109" s="28">
        <v>0</v>
      </c>
      <c r="AM109" s="28">
        <v>1</v>
      </c>
      <c r="AN109" s="28">
        <v>0</v>
      </c>
      <c r="AO109" s="74">
        <v>11</v>
      </c>
      <c r="AP109" s="28">
        <v>0</v>
      </c>
      <c r="AQ109" s="28">
        <v>1</v>
      </c>
      <c r="AR109" s="74">
        <v>2</v>
      </c>
      <c r="AS109" s="28">
        <f>IFERROR((MIL_H146[[#This Row],[H]]-MIL_H146[[#This Row],[2B]]-MIL_H146[[#This Row],[3B]]-MIL_H146[[#This Row],[HR]])+(MIL_H146[[#This Row],[2B]]*2)+(MIL_H146[[#This Row],[3B]]*3)+(MIL_H146[[#This Row],[HR]]*4),0)</f>
        <v>5</v>
      </c>
      <c r="AT109" s="72">
        <f>MIL_H146[[#This Row],[OBP]]+MIL_H146[[#This Row],[SLG]]</f>
        <v>0.5</v>
      </c>
      <c r="AU109" s="74">
        <v>0</v>
      </c>
      <c r="AV109" s="615">
        <v>13</v>
      </c>
      <c r="AY109" s="651" t="s">
        <v>1062</v>
      </c>
      <c r="AZ109" s="74" t="s">
        <v>184</v>
      </c>
      <c r="BA109" s="71" t="s">
        <v>1080</v>
      </c>
      <c r="BB109" s="72">
        <v>0.14299999999999999</v>
      </c>
      <c r="BC109" s="72">
        <v>0.36799999999999999</v>
      </c>
      <c r="BD109" s="73">
        <v>0.14299999999999999</v>
      </c>
      <c r="BE109" s="28">
        <v>12</v>
      </c>
      <c r="BF109" s="28">
        <v>14</v>
      </c>
      <c r="BG109" s="28">
        <v>1</v>
      </c>
      <c r="BH109" s="28">
        <v>2</v>
      </c>
      <c r="BI109" s="28">
        <v>0</v>
      </c>
      <c r="BJ109" s="28">
        <v>0</v>
      </c>
      <c r="BK109" s="28">
        <v>0</v>
      </c>
      <c r="BL109" s="28">
        <v>2</v>
      </c>
      <c r="BM109" s="28">
        <v>5</v>
      </c>
      <c r="BN109" s="74">
        <v>2</v>
      </c>
      <c r="BO109" s="28">
        <v>0</v>
      </c>
      <c r="BP109" s="28">
        <v>0</v>
      </c>
      <c r="BQ109" s="74">
        <v>1</v>
      </c>
      <c r="BR109" s="28">
        <v>2</v>
      </c>
      <c r="BS109" s="72">
        <v>0.51100000000000001</v>
      </c>
      <c r="BT109" s="74">
        <v>0</v>
      </c>
      <c r="BU109" s="615">
        <v>13</v>
      </c>
    </row>
    <row r="110" spans="1:73" ht="17" thickBot="1">
      <c r="A110" s="651" t="s">
        <v>1062</v>
      </c>
      <c r="B110" s="71" t="s">
        <v>186</v>
      </c>
      <c r="C110" s="71" t="s">
        <v>1073</v>
      </c>
      <c r="D110" s="72">
        <f>IFERROR(MIL_H[[#This Row],[H]]/MIL_H[[#This Row],[AB]],0)</f>
        <v>0</v>
      </c>
      <c r="E110" s="72">
        <f>IFERROR((MIL_H[[#This Row],[H]]+MIL_H[[#This Row],[BB]])/(MIL_H[[#This Row],[BB]]+MIL_H[[#This Row],[AB]]),0)</f>
        <v>0</v>
      </c>
      <c r="F110" s="73">
        <f>IFERROR(((MIL_H[[#This Row],[H]]-MIL_H[[#This Row],[2B]]-MIL_H[[#This Row],[3B]]-MIL_H[[#This Row],[HR]])+(MIL_H[[#This Row],[2B]]*2)+(MIL_H[[#This Row],[3B]]*3)+(MIL_H[[#This Row],[HR]]*4))/MIL_H[[#This Row],[AB]],0)</f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74">
        <v>0</v>
      </c>
      <c r="Q110" s="28">
        <v>0</v>
      </c>
      <c r="R110" s="28">
        <v>0</v>
      </c>
      <c r="S110" s="74">
        <v>0</v>
      </c>
      <c r="T110" s="28">
        <f>IFERROR((MIL_H[[#This Row],[H]]-MIL_H[[#This Row],[2B]]-MIL_H[[#This Row],[3B]]-MIL_H[[#This Row],[HR]])+(MIL_H[[#This Row],[2B]]*2)+(MIL_H[[#This Row],[3B]]*3)+(MIL_H[[#This Row],[HR]]*4),0)</f>
        <v>0</v>
      </c>
      <c r="U110" s="72">
        <f>MIL_H[[#This Row],[OBP]]+MIL_H[[#This Row],[SLG]]</f>
        <v>0</v>
      </c>
      <c r="V110" s="74">
        <v>0</v>
      </c>
      <c r="W110" s="615">
        <v>14</v>
      </c>
      <c r="Z110" s="651" t="s">
        <v>1062</v>
      </c>
      <c r="AA110" s="71" t="s">
        <v>186</v>
      </c>
      <c r="AB110" s="71" t="s">
        <v>1073</v>
      </c>
      <c r="AC110" s="72">
        <f>IFERROR(MIL_H146[[#This Row],[H]]/MIL_H146[[#This Row],[AB]],0)</f>
        <v>0.19047619047619047</v>
      </c>
      <c r="AD110" s="72">
        <f>IFERROR((MIL_H146[[#This Row],[H]]+MIL_H146[[#This Row],[BB]])/(MIL_H146[[#This Row],[BB]]+MIL_H146[[#This Row],[AB]]),0)</f>
        <v>0.27659574468085107</v>
      </c>
      <c r="AE110" s="73">
        <f>IFERROR(((MIL_H146[[#This Row],[H]]-MIL_H146[[#This Row],[2B]]-MIL_H146[[#This Row],[3B]]-MIL_H146[[#This Row],[HR]])+(MIL_H146[[#This Row],[2B]]*2)+(MIL_H146[[#This Row],[3B]]*3)+(MIL_H146[[#This Row],[HR]]*4))/MIL_H146[[#This Row],[AB]],0)</f>
        <v>0.2857142857142857</v>
      </c>
      <c r="AF110" s="28">
        <v>14</v>
      </c>
      <c r="AG110" s="28">
        <v>42</v>
      </c>
      <c r="AH110" s="28">
        <v>5</v>
      </c>
      <c r="AI110" s="28">
        <v>8</v>
      </c>
      <c r="AJ110" s="28">
        <v>1</v>
      </c>
      <c r="AK110" s="28">
        <v>0</v>
      </c>
      <c r="AL110" s="28">
        <v>1</v>
      </c>
      <c r="AM110" s="28">
        <v>3</v>
      </c>
      <c r="AN110" s="28">
        <v>5</v>
      </c>
      <c r="AO110" s="74">
        <v>13</v>
      </c>
      <c r="AP110" s="28">
        <v>0</v>
      </c>
      <c r="AQ110" s="28">
        <v>1</v>
      </c>
      <c r="AR110" s="74">
        <v>3</v>
      </c>
      <c r="AS110" s="28">
        <f>IFERROR((MIL_H146[[#This Row],[H]]-MIL_H146[[#This Row],[2B]]-MIL_H146[[#This Row],[3B]]-MIL_H146[[#This Row],[HR]])+(MIL_H146[[#This Row],[2B]]*2)+(MIL_H146[[#This Row],[3B]]*3)+(MIL_H146[[#This Row],[HR]]*4),0)</f>
        <v>12</v>
      </c>
      <c r="AT110" s="72">
        <f>MIL_H146[[#This Row],[OBP]]+MIL_H146[[#This Row],[SLG]]</f>
        <v>0.56231003039513672</v>
      </c>
      <c r="AU110" s="74">
        <v>0</v>
      </c>
      <c r="AV110" s="615">
        <v>14</v>
      </c>
      <c r="AY110" s="651" t="s">
        <v>1062</v>
      </c>
      <c r="AZ110" s="74" t="s">
        <v>186</v>
      </c>
      <c r="BA110" s="71" t="s">
        <v>1081</v>
      </c>
      <c r="BB110" s="72">
        <v>0</v>
      </c>
      <c r="BC110" s="72">
        <v>0</v>
      </c>
      <c r="BD110" s="73">
        <v>0</v>
      </c>
      <c r="BE110" s="28">
        <v>0</v>
      </c>
      <c r="BF110" s="90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74">
        <v>0</v>
      </c>
      <c r="BO110" s="28">
        <v>0</v>
      </c>
      <c r="BP110" s="28">
        <v>0</v>
      </c>
      <c r="BQ110" s="74">
        <v>0</v>
      </c>
      <c r="BR110" s="28">
        <v>0</v>
      </c>
      <c r="BS110" s="72">
        <v>0</v>
      </c>
      <c r="BT110" s="74">
        <v>0</v>
      </c>
      <c r="BU110" s="615">
        <v>14</v>
      </c>
    </row>
    <row r="111" spans="1:73" ht="17" thickBot="1">
      <c r="A111" s="691"/>
      <c r="B111" s="692"/>
      <c r="C111" s="693" t="s">
        <v>195</v>
      </c>
      <c r="D111" s="694">
        <f>J111/H111</f>
        <v>0.25579710144927537</v>
      </c>
      <c r="E111" s="694">
        <f>(J111+O111)/(O111+H111)</f>
        <v>0.31073825503355706</v>
      </c>
      <c r="F111" s="695">
        <f>((J111-K111-L111-M111)+(K111*2)+(L111*3)+(M111*4))/H111</f>
        <v>0.42028985507246375</v>
      </c>
      <c r="G111" s="696"/>
      <c r="H111" s="696">
        <f>SUBTOTAL(109,MIL_H[AB])</f>
        <v>1380</v>
      </c>
      <c r="I111" s="696">
        <f>SUBTOTAL(109,MIL_H[R])</f>
        <v>164</v>
      </c>
      <c r="J111" s="696">
        <f>SUBTOTAL(109,MIL_H[H])</f>
        <v>353</v>
      </c>
      <c r="K111" s="696">
        <f>SUBTOTAL(109,MIL_H[2B])</f>
        <v>70</v>
      </c>
      <c r="L111" s="696">
        <f>SUBTOTAL(109,MIL_H[3B])</f>
        <v>8</v>
      </c>
      <c r="M111" s="696">
        <f>SUBTOTAL(109,MIL_H[HR])</f>
        <v>47</v>
      </c>
      <c r="N111" s="696">
        <f>SUBTOTAL(109,MIL_H[RBI])</f>
        <v>163</v>
      </c>
      <c r="O111" s="696">
        <f>SUBTOTAL(109,MIL_H[BB])</f>
        <v>110</v>
      </c>
      <c r="P111" s="697">
        <f>SUBTOTAL(109,MIL_H[K])</f>
        <v>339</v>
      </c>
      <c r="Q111" s="696">
        <f>SUBTOTAL(109,MIL_H[SB])</f>
        <v>10</v>
      </c>
      <c r="R111" s="696"/>
      <c r="S111" s="697"/>
      <c r="T111" s="696">
        <f>SUBTOTAL(109,MIL_H[TB])</f>
        <v>580</v>
      </c>
      <c r="U111" s="694">
        <f>E111+F111</f>
        <v>0.73102811010602076</v>
      </c>
      <c r="V111" s="697">
        <f>SUBTOTAL(109,MIL_H[*])</f>
        <v>19</v>
      </c>
      <c r="W111" s="698"/>
      <c r="Z111" s="691"/>
      <c r="AA111" s="692"/>
      <c r="AB111" s="693" t="s">
        <v>195</v>
      </c>
      <c r="AC111" s="694">
        <f>AI111/AG111</f>
        <v>0.23953823953823955</v>
      </c>
      <c r="AD111" s="694">
        <f>(AI111+AN111)/(AN111+AG111)</f>
        <v>0.30794484569927771</v>
      </c>
      <c r="AE111" s="695">
        <f>((AI111-AJ111-AK111-AL111)+(AJ111*2)+(AK111*3)+(AL111*4))/AG111</f>
        <v>0.41341991341991341</v>
      </c>
      <c r="AF111" s="696"/>
      <c r="AG111" s="696">
        <f>SUBTOTAL(109,MIL_H146[AB])</f>
        <v>1386</v>
      </c>
      <c r="AH111" s="696">
        <f>SUBTOTAL(109,MIL_H146[R])</f>
        <v>162</v>
      </c>
      <c r="AI111" s="696">
        <f>SUBTOTAL(109,MIL_H146[H])</f>
        <v>332</v>
      </c>
      <c r="AJ111" s="696">
        <f>SUBTOTAL(109,MIL_H146[2B])</f>
        <v>76</v>
      </c>
      <c r="AK111" s="696">
        <f>SUBTOTAL(109,MIL_H146[3B])</f>
        <v>3</v>
      </c>
      <c r="AL111" s="696">
        <f>SUBTOTAL(109,MIL_H146[HR])</f>
        <v>53</v>
      </c>
      <c r="AM111" s="696">
        <f>SUBTOTAL(109,MIL_H146[RBI])</f>
        <v>161</v>
      </c>
      <c r="AN111" s="696">
        <f>SUBTOTAL(109,MIL_H146[BB])</f>
        <v>137</v>
      </c>
      <c r="AO111" s="697">
        <f>SUBTOTAL(109,MIL_H146[K])</f>
        <v>364</v>
      </c>
      <c r="AP111" s="696">
        <f>SUBTOTAL(109,MIL_H146[SB])</f>
        <v>6</v>
      </c>
      <c r="AQ111" s="696"/>
      <c r="AR111" s="697"/>
      <c r="AS111" s="696">
        <f>SUBTOTAL(109,MIL_H146[TB])</f>
        <v>573</v>
      </c>
      <c r="AT111" s="694">
        <f>AD111+AE111</f>
        <v>0.72136475911919118</v>
      </c>
      <c r="AU111" s="697">
        <f>SUBTOTAL(109,MIL_H146[*])</f>
        <v>18</v>
      </c>
      <c r="AV111" s="698"/>
      <c r="AY111" s="691"/>
      <c r="AZ111" s="692"/>
      <c r="BA111" s="693" t="s">
        <v>195</v>
      </c>
      <c r="BB111" s="694">
        <f>IFERROR(BH111/BF111,0)</f>
        <v>0.25090122566690698</v>
      </c>
      <c r="BC111" s="694">
        <f>IFERROR((BH111+BM111)/(BM111+BF111),0)</f>
        <v>0.31419141914191417</v>
      </c>
      <c r="BD111" s="695">
        <f>IFERROR(((BH111-BI111-BJ111-BK111)+(BI111*2)+(BJ111*3)+(BK111*4))/BF111,0)</f>
        <v>0.42393655371304972</v>
      </c>
      <c r="BE111" s="696"/>
      <c r="BF111" s="696">
        <f>SUBTOTAL(109,MIL_H154[AB])</f>
        <v>1387</v>
      </c>
      <c r="BG111" s="696">
        <f>SUBTOTAL(109,MIL_H154[R])</f>
        <v>170</v>
      </c>
      <c r="BH111" s="696">
        <f>SUBTOTAL(109,MIL_H154[H])</f>
        <v>348</v>
      </c>
      <c r="BI111" s="696">
        <f>SUBTOTAL(109,MIL_H154[2B])</f>
        <v>76</v>
      </c>
      <c r="BJ111" s="696">
        <f>SUBTOTAL(109,MIL_H154[3B])</f>
        <v>10</v>
      </c>
      <c r="BK111" s="696">
        <f>SUBTOTAL(109,MIL_H154[HR])</f>
        <v>48</v>
      </c>
      <c r="BL111" s="696">
        <f>SUBTOTAL(109,MIL_H154[RBI])</f>
        <v>167</v>
      </c>
      <c r="BM111" s="696">
        <f>SUBTOTAL(109,MIL_H154[BB])</f>
        <v>128</v>
      </c>
      <c r="BN111" s="697">
        <f>SUBTOTAL(109,MIL_H154[K])</f>
        <v>341</v>
      </c>
      <c r="BO111" s="696">
        <f>SUBTOTAL(109,MIL_H154[SB])</f>
        <v>18</v>
      </c>
      <c r="BP111" s="696"/>
      <c r="BQ111" s="697"/>
      <c r="BR111" s="696">
        <f>SUBTOTAL(109,MIL_H154[TB])</f>
        <v>588</v>
      </c>
      <c r="BS111" s="694">
        <f>IFERROR(BC111+BD111,0)</f>
        <v>0.7381279728549639</v>
      </c>
      <c r="BT111" s="697">
        <f>SUBTOTAL(109,MIL_H154[*])</f>
        <v>22</v>
      </c>
      <c r="BU111" s="698"/>
    </row>
    <row r="112" spans="1:73" ht="17" thickBot="1"/>
    <row r="113" spans="1:73" s="64" customFormat="1" ht="14" thickBot="1">
      <c r="A113" s="847" t="s">
        <v>143</v>
      </c>
      <c r="B113" s="848" t="s">
        <v>144</v>
      </c>
      <c r="C113" s="848" t="s">
        <v>145</v>
      </c>
      <c r="D113" s="848" t="s">
        <v>196</v>
      </c>
      <c r="E113" s="848" t="s">
        <v>197</v>
      </c>
      <c r="F113" s="848" t="s">
        <v>198</v>
      </c>
      <c r="G113" s="848" t="s">
        <v>149</v>
      </c>
      <c r="H113" s="848" t="s">
        <v>199</v>
      </c>
      <c r="I113" s="848" t="s">
        <v>152</v>
      </c>
      <c r="J113" s="848" t="s">
        <v>151</v>
      </c>
      <c r="K113" s="848" t="s">
        <v>157</v>
      </c>
      <c r="L113" s="848" t="s">
        <v>158</v>
      </c>
      <c r="M113" s="848" t="s">
        <v>200</v>
      </c>
      <c r="N113" s="848" t="s">
        <v>201</v>
      </c>
      <c r="O113" s="848" t="s">
        <v>202</v>
      </c>
      <c r="P113" s="848" t="s">
        <v>203</v>
      </c>
      <c r="Q113" s="848" t="s">
        <v>204</v>
      </c>
      <c r="R113" s="848" t="s">
        <v>205</v>
      </c>
      <c r="S113" s="849" t="s">
        <v>164</v>
      </c>
      <c r="Z113" s="847" t="s">
        <v>143</v>
      </c>
      <c r="AA113" s="848" t="s">
        <v>144</v>
      </c>
      <c r="AB113" s="848" t="s">
        <v>145</v>
      </c>
      <c r="AC113" s="848" t="s">
        <v>196</v>
      </c>
      <c r="AD113" s="848" t="s">
        <v>197</v>
      </c>
      <c r="AE113" s="848" t="s">
        <v>198</v>
      </c>
      <c r="AF113" s="848" t="s">
        <v>149</v>
      </c>
      <c r="AG113" s="848" t="s">
        <v>199</v>
      </c>
      <c r="AH113" s="848" t="s">
        <v>152</v>
      </c>
      <c r="AI113" s="848" t="s">
        <v>151</v>
      </c>
      <c r="AJ113" s="848" t="s">
        <v>157</v>
      </c>
      <c r="AK113" s="848" t="s">
        <v>158</v>
      </c>
      <c r="AL113" s="848" t="s">
        <v>200</v>
      </c>
      <c r="AM113" s="848" t="s">
        <v>201</v>
      </c>
      <c r="AN113" s="848" t="s">
        <v>202</v>
      </c>
      <c r="AO113" s="848" t="s">
        <v>203</v>
      </c>
      <c r="AP113" s="848" t="s">
        <v>204</v>
      </c>
      <c r="AQ113" s="848" t="s">
        <v>205</v>
      </c>
      <c r="AR113" s="849" t="s">
        <v>164</v>
      </c>
      <c r="AY113" s="847" t="s">
        <v>143</v>
      </c>
      <c r="AZ113" s="848" t="s">
        <v>144</v>
      </c>
      <c r="BA113" s="848" t="s">
        <v>145</v>
      </c>
      <c r="BB113" s="848" t="s">
        <v>196</v>
      </c>
      <c r="BC113" s="848" t="s">
        <v>197</v>
      </c>
      <c r="BD113" s="848" t="s">
        <v>198</v>
      </c>
      <c r="BE113" s="848" t="s">
        <v>149</v>
      </c>
      <c r="BF113" s="848" t="s">
        <v>199</v>
      </c>
      <c r="BG113" s="848" t="s">
        <v>152</v>
      </c>
      <c r="BH113" s="848" t="s">
        <v>151</v>
      </c>
      <c r="BI113" s="848" t="s">
        <v>157</v>
      </c>
      <c r="BJ113" s="848" t="s">
        <v>158</v>
      </c>
      <c r="BK113" s="848" t="s">
        <v>200</v>
      </c>
      <c r="BL113" s="848" t="s">
        <v>201</v>
      </c>
      <c r="BM113" s="848" t="s">
        <v>202</v>
      </c>
      <c r="BN113" s="848" t="s">
        <v>203</v>
      </c>
      <c r="BO113" s="848" t="s">
        <v>204</v>
      </c>
      <c r="BP113" s="848" t="s">
        <v>205</v>
      </c>
      <c r="BQ113" s="849" t="s">
        <v>164</v>
      </c>
    </row>
    <row r="114" spans="1:73">
      <c r="A114" s="827" t="s">
        <v>1062</v>
      </c>
      <c r="B114" s="825" t="s">
        <v>206</v>
      </c>
      <c r="C114" s="826" t="s">
        <v>1082</v>
      </c>
      <c r="D114" s="663">
        <f>IFERROR((MIL_P[[#This Row],[R]]*9)/MIL_P[[#This Row],[IP]],0)</f>
        <v>2.9076923076923076</v>
      </c>
      <c r="E114" s="600">
        <v>4</v>
      </c>
      <c r="F114" s="604">
        <v>4</v>
      </c>
      <c r="G114" s="600">
        <v>10</v>
      </c>
      <c r="H114" s="630">
        <v>65</v>
      </c>
      <c r="I114" s="600">
        <v>59</v>
      </c>
      <c r="J114" s="600">
        <v>21</v>
      </c>
      <c r="K114" s="600">
        <v>25</v>
      </c>
      <c r="L114" s="600">
        <v>83</v>
      </c>
      <c r="M114" s="600">
        <v>0</v>
      </c>
      <c r="N114" s="631">
        <f>IFERROR((MIL_P[[#This Row],[BB]]+MIL_P[[#This Row],[H]])/MIL_P[[#This Row],[IP]],0)</f>
        <v>1.2923076923076924</v>
      </c>
      <c r="O114" s="600">
        <v>6</v>
      </c>
      <c r="P114" s="601">
        <v>6</v>
      </c>
      <c r="Q114" s="600">
        <v>0</v>
      </c>
      <c r="R114" s="604">
        <v>0</v>
      </c>
      <c r="S114" s="779">
        <v>1</v>
      </c>
      <c r="Z114" s="827" t="s">
        <v>1062</v>
      </c>
      <c r="AA114" s="825" t="s">
        <v>206</v>
      </c>
      <c r="AB114" s="826" t="s">
        <v>1082</v>
      </c>
      <c r="AC114" s="663">
        <f>IFERROR((MIL_P147[[#This Row],[R]]*9)/MIL_P147[[#This Row],[IP]],0)</f>
        <v>2.8636363636363638</v>
      </c>
      <c r="AD114" s="600">
        <v>5</v>
      </c>
      <c r="AE114" s="604">
        <v>4</v>
      </c>
      <c r="AF114" s="600">
        <v>10</v>
      </c>
      <c r="AG114" s="630">
        <v>66</v>
      </c>
      <c r="AH114" s="600">
        <v>66</v>
      </c>
      <c r="AI114" s="600">
        <v>21</v>
      </c>
      <c r="AJ114" s="600">
        <v>25</v>
      </c>
      <c r="AK114" s="600">
        <v>77</v>
      </c>
      <c r="AL114" s="600">
        <v>0</v>
      </c>
      <c r="AM114" s="631">
        <f>IFERROR((MIL_P147[[#This Row],[BB]]+MIL_P147[[#This Row],[H]])/MIL_P147[[#This Row],[IP]],0)</f>
        <v>1.3787878787878789</v>
      </c>
      <c r="AN114" s="600">
        <v>7</v>
      </c>
      <c r="AO114" s="601">
        <v>4</v>
      </c>
      <c r="AP114" s="600">
        <v>1</v>
      </c>
      <c r="AQ114" s="604">
        <v>1</v>
      </c>
      <c r="AR114" s="779">
        <v>1</v>
      </c>
      <c r="AY114" s="827" t="s">
        <v>1062</v>
      </c>
      <c r="AZ114" s="825" t="s">
        <v>206</v>
      </c>
      <c r="BA114" s="826" t="s">
        <v>1082</v>
      </c>
      <c r="BB114" s="663">
        <f>IFERROR((MIL_P155[[#This Row],[R]]*9)/MIL_P155[[#This Row],[IP]],0)</f>
        <v>4.0992618187529448</v>
      </c>
      <c r="BC114" s="600">
        <v>5</v>
      </c>
      <c r="BD114" s="604">
        <v>5</v>
      </c>
      <c r="BE114" s="600">
        <v>10</v>
      </c>
      <c r="BF114" s="630">
        <v>63.67</v>
      </c>
      <c r="BG114" s="600">
        <v>62</v>
      </c>
      <c r="BH114" s="600">
        <v>29</v>
      </c>
      <c r="BI114" s="600">
        <v>36</v>
      </c>
      <c r="BJ114" s="600">
        <v>88</v>
      </c>
      <c r="BK114" s="600">
        <v>0</v>
      </c>
      <c r="BL114" s="631">
        <f>IFERROR((MIL_P155[[#This Row],[BB]]+MIL_P155[[#This Row],[H]])/MIL_P155[[#This Row],[IP]],0)</f>
        <v>1.5391864300298412</v>
      </c>
      <c r="BM114" s="600">
        <v>5</v>
      </c>
      <c r="BN114" s="601">
        <v>3</v>
      </c>
      <c r="BO114" s="600">
        <v>0</v>
      </c>
      <c r="BP114" s="604">
        <v>0</v>
      </c>
      <c r="BQ114" s="779">
        <v>1</v>
      </c>
    </row>
    <row r="115" spans="1:73">
      <c r="A115" s="828" t="s">
        <v>1062</v>
      </c>
      <c r="B115" s="114" t="s">
        <v>206</v>
      </c>
      <c r="C115" s="115" t="s">
        <v>1083</v>
      </c>
      <c r="D115" s="88">
        <f>IFERROR((MIL_P[[#This Row],[R]]*9)/MIL_P[[#This Row],[IP]],0)</f>
        <v>2.0248987550622468</v>
      </c>
      <c r="E115" s="28">
        <v>5</v>
      </c>
      <c r="F115" s="74">
        <v>3</v>
      </c>
      <c r="G115" s="28">
        <v>10</v>
      </c>
      <c r="H115" s="584">
        <v>66.67</v>
      </c>
      <c r="I115" s="28">
        <v>55</v>
      </c>
      <c r="J115" s="28">
        <v>15</v>
      </c>
      <c r="K115" s="28">
        <v>26</v>
      </c>
      <c r="L115" s="28">
        <v>78</v>
      </c>
      <c r="M115" s="28">
        <v>0</v>
      </c>
      <c r="N115" s="89">
        <f>IFERROR((MIL_P[[#This Row],[BB]]+MIL_P[[#This Row],[H]])/MIL_P[[#This Row],[IP]],0)</f>
        <v>1.2149392530373482</v>
      </c>
      <c r="O115" s="28">
        <v>8</v>
      </c>
      <c r="P115" s="90">
        <v>6</v>
      </c>
      <c r="Q115" s="28">
        <v>1</v>
      </c>
      <c r="R115" s="74">
        <v>1</v>
      </c>
      <c r="S115" s="780">
        <v>2</v>
      </c>
      <c r="Z115" s="828" t="s">
        <v>1062</v>
      </c>
      <c r="AA115" s="114" t="s">
        <v>206</v>
      </c>
      <c r="AB115" s="115" t="s">
        <v>1083</v>
      </c>
      <c r="AC115" s="88">
        <f>IFERROR((MIL_P147[[#This Row],[R]]*9)/MIL_P147[[#This Row],[IP]],0)</f>
        <v>3</v>
      </c>
      <c r="AD115" s="28">
        <v>6</v>
      </c>
      <c r="AE115" s="74">
        <v>2</v>
      </c>
      <c r="AF115" s="28">
        <v>10</v>
      </c>
      <c r="AG115" s="584">
        <v>69</v>
      </c>
      <c r="AH115" s="28">
        <v>53</v>
      </c>
      <c r="AI115" s="28">
        <v>23</v>
      </c>
      <c r="AJ115" s="28">
        <v>19</v>
      </c>
      <c r="AK115" s="28">
        <v>80</v>
      </c>
      <c r="AL115" s="28">
        <v>0</v>
      </c>
      <c r="AM115" s="89">
        <f>IFERROR((MIL_P147[[#This Row],[BB]]+MIL_P147[[#This Row],[H]])/MIL_P147[[#This Row],[IP]],0)</f>
        <v>1.0434782608695652</v>
      </c>
      <c r="AN115" s="28">
        <v>8</v>
      </c>
      <c r="AO115" s="90">
        <v>4</v>
      </c>
      <c r="AP115" s="28">
        <v>2</v>
      </c>
      <c r="AQ115" s="74">
        <v>1</v>
      </c>
      <c r="AR115" s="780">
        <v>2</v>
      </c>
      <c r="AY115" s="828" t="s">
        <v>1062</v>
      </c>
      <c r="AZ115" s="114" t="s">
        <v>206</v>
      </c>
      <c r="BA115" s="115" t="s">
        <v>1083</v>
      </c>
      <c r="BB115" s="88">
        <f>IFERROR((MIL_P155[[#This Row],[R]]*9)/MIL_P155[[#This Row],[IP]],0)</f>
        <v>3.9348710990502038</v>
      </c>
      <c r="BC115" s="28">
        <v>5</v>
      </c>
      <c r="BD115" s="74">
        <v>3</v>
      </c>
      <c r="BE115" s="28">
        <v>10</v>
      </c>
      <c r="BF115" s="584">
        <v>66.33</v>
      </c>
      <c r="BG115" s="28">
        <v>59</v>
      </c>
      <c r="BH115" s="28">
        <v>29</v>
      </c>
      <c r="BI115" s="28">
        <v>16</v>
      </c>
      <c r="BJ115" s="28">
        <v>65</v>
      </c>
      <c r="BK115" s="28">
        <v>0</v>
      </c>
      <c r="BL115" s="89">
        <f>IFERROR((MIL_P155[[#This Row],[BB]]+MIL_P155[[#This Row],[H]])/MIL_P155[[#This Row],[IP]],0)</f>
        <v>1.1307100859339665</v>
      </c>
      <c r="BM115" s="28">
        <v>7</v>
      </c>
      <c r="BN115" s="90">
        <v>4</v>
      </c>
      <c r="BO115" s="28">
        <v>0</v>
      </c>
      <c r="BP115" s="74">
        <v>0</v>
      </c>
      <c r="BQ115" s="780">
        <v>2</v>
      </c>
    </row>
    <row r="116" spans="1:73">
      <c r="A116" s="828" t="s">
        <v>1062</v>
      </c>
      <c r="B116" s="114" t="s">
        <v>206</v>
      </c>
      <c r="C116" s="115" t="s">
        <v>1084</v>
      </c>
      <c r="D116" s="88">
        <f>IFERROR((MIL_P[[#This Row],[R]]*9)/MIL_P[[#This Row],[IP]],0)</f>
        <v>6.1810952467016085</v>
      </c>
      <c r="E116" s="28">
        <v>4</v>
      </c>
      <c r="F116" s="74">
        <v>4</v>
      </c>
      <c r="G116" s="28">
        <v>10</v>
      </c>
      <c r="H116" s="584">
        <v>55.33</v>
      </c>
      <c r="I116" s="28">
        <v>69</v>
      </c>
      <c r="J116" s="28">
        <v>38</v>
      </c>
      <c r="K116" s="28">
        <v>19</v>
      </c>
      <c r="L116" s="28">
        <v>73</v>
      </c>
      <c r="M116" s="28">
        <v>0</v>
      </c>
      <c r="N116" s="89">
        <f>IFERROR((MIL_P[[#This Row],[BB]]+MIL_P[[#This Row],[H]])/MIL_P[[#This Row],[IP]],0)</f>
        <v>1.5904572564612327</v>
      </c>
      <c r="O116" s="28">
        <v>3</v>
      </c>
      <c r="P116" s="90">
        <v>0</v>
      </c>
      <c r="Q116" s="28">
        <v>0</v>
      </c>
      <c r="R116" s="74">
        <v>0</v>
      </c>
      <c r="S116" s="780">
        <v>3</v>
      </c>
      <c r="Z116" s="828" t="s">
        <v>1062</v>
      </c>
      <c r="AA116" s="114" t="s">
        <v>206</v>
      </c>
      <c r="AB116" s="115" t="s">
        <v>1084</v>
      </c>
      <c r="AC116" s="88">
        <f>IFERROR((MIL_P147[[#This Row],[R]]*9)/MIL_P147[[#This Row],[IP]],0)</f>
        <v>5.4915254237288131</v>
      </c>
      <c r="AD116" s="28">
        <v>0</v>
      </c>
      <c r="AE116" s="74">
        <v>6</v>
      </c>
      <c r="AF116" s="28">
        <v>10</v>
      </c>
      <c r="AG116" s="584">
        <v>59</v>
      </c>
      <c r="AH116" s="28">
        <v>62</v>
      </c>
      <c r="AI116" s="28">
        <v>36</v>
      </c>
      <c r="AJ116" s="28">
        <v>33</v>
      </c>
      <c r="AK116" s="28">
        <v>83</v>
      </c>
      <c r="AL116" s="28">
        <v>0</v>
      </c>
      <c r="AM116" s="89">
        <f>IFERROR((MIL_P147[[#This Row],[BB]]+MIL_P147[[#This Row],[H]])/MIL_P147[[#This Row],[IP]],0)</f>
        <v>1.6101694915254237</v>
      </c>
      <c r="AN116" s="28">
        <v>5</v>
      </c>
      <c r="AO116" s="90">
        <v>3</v>
      </c>
      <c r="AP116" s="28">
        <v>0</v>
      </c>
      <c r="AQ116" s="74">
        <v>0</v>
      </c>
      <c r="AR116" s="780">
        <v>3</v>
      </c>
      <c r="AY116" s="828" t="s">
        <v>1062</v>
      </c>
      <c r="AZ116" s="114" t="s">
        <v>206</v>
      </c>
      <c r="BA116" s="115" t="s">
        <v>1084</v>
      </c>
      <c r="BB116" s="88">
        <f>IFERROR((MIL_P155[[#This Row],[R]]*9)/MIL_P155[[#This Row],[IP]],0)</f>
        <v>3.6374941706824191</v>
      </c>
      <c r="BC116" s="28">
        <v>4</v>
      </c>
      <c r="BD116" s="74">
        <v>3</v>
      </c>
      <c r="BE116" s="28">
        <v>10</v>
      </c>
      <c r="BF116" s="584">
        <v>64.33</v>
      </c>
      <c r="BG116" s="28">
        <v>55</v>
      </c>
      <c r="BH116" s="28">
        <v>26</v>
      </c>
      <c r="BI116" s="28">
        <v>25</v>
      </c>
      <c r="BJ116" s="28">
        <v>89</v>
      </c>
      <c r="BK116" s="28">
        <v>0</v>
      </c>
      <c r="BL116" s="89">
        <f>IFERROR((MIL_P155[[#This Row],[BB]]+MIL_P155[[#This Row],[H]])/MIL_P155[[#This Row],[IP]],0)</f>
        <v>1.2435877506606561</v>
      </c>
      <c r="BM116" s="28">
        <v>6</v>
      </c>
      <c r="BN116" s="90">
        <v>2</v>
      </c>
      <c r="BO116" s="28">
        <v>1</v>
      </c>
      <c r="BP116" s="74">
        <v>0</v>
      </c>
      <c r="BQ116" s="780">
        <v>3</v>
      </c>
    </row>
    <row r="117" spans="1:73">
      <c r="A117" s="828" t="s">
        <v>1062</v>
      </c>
      <c r="B117" s="114" t="s">
        <v>365</v>
      </c>
      <c r="C117" s="28" t="s">
        <v>1085</v>
      </c>
      <c r="D117" s="88">
        <f>IFERROR((MIL_P[[#This Row],[R]]*9)/MIL_P[[#This Row],[IP]],0)</f>
        <v>4.1803754596477649</v>
      </c>
      <c r="E117" s="28">
        <v>2</v>
      </c>
      <c r="F117" s="74">
        <v>3</v>
      </c>
      <c r="G117" s="28">
        <v>10</v>
      </c>
      <c r="H117" s="584">
        <v>51.67</v>
      </c>
      <c r="I117" s="28">
        <v>54</v>
      </c>
      <c r="J117" s="28">
        <v>24</v>
      </c>
      <c r="K117" s="28">
        <v>29</v>
      </c>
      <c r="L117" s="28">
        <v>44</v>
      </c>
      <c r="M117" s="28">
        <v>0</v>
      </c>
      <c r="N117" s="89">
        <f>IFERROR((MIL_P[[#This Row],[BB]]+MIL_P[[#This Row],[H]])/MIL_P[[#This Row],[IP]],0)</f>
        <v>1.6063479775498355</v>
      </c>
      <c r="O117" s="28">
        <v>2</v>
      </c>
      <c r="P117" s="90">
        <v>1</v>
      </c>
      <c r="Q117" s="28">
        <v>0</v>
      </c>
      <c r="R117" s="74">
        <v>0</v>
      </c>
      <c r="S117" s="780">
        <v>4</v>
      </c>
      <c r="Z117" s="828" t="s">
        <v>1062</v>
      </c>
      <c r="AA117" s="114" t="s">
        <v>206</v>
      </c>
      <c r="AB117" s="116" t="s">
        <v>1086</v>
      </c>
      <c r="AC117" s="88">
        <f>IFERROR((MIL_P147[[#This Row],[R]]*9)/MIL_P147[[#This Row],[IP]],0)</f>
        <v>6.0576923076923075</v>
      </c>
      <c r="AD117" s="28">
        <v>3</v>
      </c>
      <c r="AE117" s="74">
        <v>3</v>
      </c>
      <c r="AF117" s="28">
        <v>10</v>
      </c>
      <c r="AG117" s="584">
        <v>52</v>
      </c>
      <c r="AH117" s="28">
        <v>64</v>
      </c>
      <c r="AI117" s="28">
        <v>35</v>
      </c>
      <c r="AJ117" s="28">
        <v>26</v>
      </c>
      <c r="AK117" s="28">
        <v>41</v>
      </c>
      <c r="AL117" s="28">
        <v>0</v>
      </c>
      <c r="AM117" s="89">
        <f>IFERROR((MIL_P147[[#This Row],[BB]]+MIL_P147[[#This Row],[H]])/MIL_P147[[#This Row],[IP]],0)</f>
        <v>1.7307692307692308</v>
      </c>
      <c r="AN117" s="28">
        <v>2</v>
      </c>
      <c r="AO117" s="90">
        <v>0</v>
      </c>
      <c r="AP117" s="28">
        <v>0</v>
      </c>
      <c r="AQ117" s="74">
        <v>0</v>
      </c>
      <c r="AR117" s="780">
        <v>4</v>
      </c>
      <c r="AY117" s="828" t="s">
        <v>1062</v>
      </c>
      <c r="AZ117" s="114" t="s">
        <v>206</v>
      </c>
      <c r="BA117" s="115" t="s">
        <v>1087</v>
      </c>
      <c r="BB117" s="88">
        <f>IFERROR((MIL_P155[[#This Row],[R]]*9)/MIL_P155[[#This Row],[IP]],0)</f>
        <v>6.0545454545454547</v>
      </c>
      <c r="BC117" s="28">
        <v>2</v>
      </c>
      <c r="BD117" s="74">
        <v>5</v>
      </c>
      <c r="BE117" s="28">
        <v>10</v>
      </c>
      <c r="BF117" s="584">
        <v>55</v>
      </c>
      <c r="BG117" s="28">
        <v>70</v>
      </c>
      <c r="BH117" s="28">
        <v>37</v>
      </c>
      <c r="BI117" s="28">
        <v>28</v>
      </c>
      <c r="BJ117" s="28">
        <v>44</v>
      </c>
      <c r="BK117" s="28">
        <v>0</v>
      </c>
      <c r="BL117" s="89">
        <f>IFERROR((MIL_P155[[#This Row],[BB]]+MIL_P155[[#This Row],[H]])/MIL_P155[[#This Row],[IP]],0)</f>
        <v>1.7818181818181817</v>
      </c>
      <c r="BM117" s="28">
        <v>3</v>
      </c>
      <c r="BN117" s="90">
        <v>1</v>
      </c>
      <c r="BO117" s="28">
        <v>0</v>
      </c>
      <c r="BP117" s="74">
        <v>0</v>
      </c>
      <c r="BQ117" s="780">
        <v>4</v>
      </c>
    </row>
    <row r="118" spans="1:73">
      <c r="A118" s="828" t="s">
        <v>1062</v>
      </c>
      <c r="B118" s="114" t="s">
        <v>212</v>
      </c>
      <c r="C118" s="116" t="s">
        <v>1088</v>
      </c>
      <c r="D118" s="88">
        <f>IFERROR((MIL_P[[#This Row],[R]]*9)/MIL_P[[#This Row],[IP]],0)</f>
        <v>3</v>
      </c>
      <c r="E118" s="28">
        <v>0</v>
      </c>
      <c r="F118" s="74">
        <v>0</v>
      </c>
      <c r="G118" s="28">
        <v>5</v>
      </c>
      <c r="H118" s="584">
        <v>12</v>
      </c>
      <c r="I118" s="28">
        <v>9</v>
      </c>
      <c r="J118" s="28">
        <v>4</v>
      </c>
      <c r="K118" s="28">
        <v>3</v>
      </c>
      <c r="L118" s="28">
        <v>8</v>
      </c>
      <c r="M118" s="28">
        <v>0</v>
      </c>
      <c r="N118" s="89">
        <f>IFERROR((MIL_P[[#This Row],[BB]]+MIL_P[[#This Row],[H]])/MIL_P[[#This Row],[IP]],0)</f>
        <v>1</v>
      </c>
      <c r="O118" s="28">
        <v>0</v>
      </c>
      <c r="P118" s="90">
        <v>0</v>
      </c>
      <c r="Q118" s="28">
        <v>0</v>
      </c>
      <c r="R118" s="74">
        <v>0</v>
      </c>
      <c r="S118" s="780">
        <v>5</v>
      </c>
      <c r="Z118" s="828" t="s">
        <v>1062</v>
      </c>
      <c r="AA118" s="114" t="s">
        <v>212</v>
      </c>
      <c r="AB118" s="116" t="s">
        <v>1088</v>
      </c>
      <c r="AC118" s="88">
        <f>IFERROR((MIL_P147[[#This Row],[R]]*9)/MIL_P147[[#This Row],[IP]],0)</f>
        <v>3.2727272727272729</v>
      </c>
      <c r="AD118" s="28">
        <v>0</v>
      </c>
      <c r="AE118" s="74">
        <v>0</v>
      </c>
      <c r="AF118" s="28">
        <v>6</v>
      </c>
      <c r="AG118" s="584">
        <v>11</v>
      </c>
      <c r="AH118" s="28">
        <v>10</v>
      </c>
      <c r="AI118" s="28">
        <v>4</v>
      </c>
      <c r="AJ118" s="28">
        <v>3</v>
      </c>
      <c r="AK118" s="28">
        <v>9</v>
      </c>
      <c r="AL118" s="28">
        <v>0</v>
      </c>
      <c r="AM118" s="89">
        <f>IFERROR((MIL_P147[[#This Row],[BB]]+MIL_P147[[#This Row],[H]])/MIL_P147[[#This Row],[IP]],0)</f>
        <v>1.1818181818181819</v>
      </c>
      <c r="AN118" s="28">
        <v>0</v>
      </c>
      <c r="AO118" s="90">
        <v>0</v>
      </c>
      <c r="AP118" s="28">
        <v>0</v>
      </c>
      <c r="AQ118" s="74">
        <v>0</v>
      </c>
      <c r="AR118" s="780">
        <v>5</v>
      </c>
      <c r="AY118" s="828" t="s">
        <v>1062</v>
      </c>
      <c r="AZ118" s="114" t="s">
        <v>212</v>
      </c>
      <c r="BA118" s="115" t="s">
        <v>1088</v>
      </c>
      <c r="BB118" s="88">
        <f>IFERROR((MIL_P155[[#This Row],[R]]*9)/MIL_P155[[#This Row],[IP]],0)</f>
        <v>5.5113288426209435</v>
      </c>
      <c r="BC118" s="28">
        <v>0</v>
      </c>
      <c r="BD118" s="74">
        <v>0</v>
      </c>
      <c r="BE118" s="28">
        <v>10</v>
      </c>
      <c r="BF118" s="584">
        <v>16.329999999999998</v>
      </c>
      <c r="BG118" s="28">
        <v>21</v>
      </c>
      <c r="BH118" s="28">
        <v>10</v>
      </c>
      <c r="BI118" s="28">
        <v>5</v>
      </c>
      <c r="BJ118" s="28">
        <v>12</v>
      </c>
      <c r="BK118" s="28">
        <v>0</v>
      </c>
      <c r="BL118" s="89">
        <f>IFERROR((MIL_P155[[#This Row],[BB]]+MIL_P155[[#This Row],[H]])/MIL_P155[[#This Row],[IP]],0)</f>
        <v>1.5921616656460504</v>
      </c>
      <c r="BM118" s="28">
        <v>0</v>
      </c>
      <c r="BN118" s="90">
        <v>0</v>
      </c>
      <c r="BO118" s="28">
        <v>0</v>
      </c>
      <c r="BP118" s="74">
        <v>0</v>
      </c>
      <c r="BQ118" s="780">
        <v>5</v>
      </c>
    </row>
    <row r="119" spans="1:73">
      <c r="A119" s="828" t="s">
        <v>1062</v>
      </c>
      <c r="B119" s="114" t="s">
        <v>212</v>
      </c>
      <c r="C119" s="116" t="s">
        <v>1087</v>
      </c>
      <c r="D119" s="88">
        <f>IFERROR((MIL_P[[#This Row],[R]]*9)/MIL_P[[#This Row],[IP]],0)</f>
        <v>0</v>
      </c>
      <c r="E119" s="28">
        <v>0</v>
      </c>
      <c r="F119" s="74">
        <v>0</v>
      </c>
      <c r="G119" s="28">
        <v>6</v>
      </c>
      <c r="H119" s="584">
        <v>13.67</v>
      </c>
      <c r="I119" s="28">
        <v>7</v>
      </c>
      <c r="J119" s="28">
        <v>0</v>
      </c>
      <c r="K119" s="28">
        <v>4</v>
      </c>
      <c r="L119" s="28">
        <v>17</v>
      </c>
      <c r="M119" s="28">
        <v>0</v>
      </c>
      <c r="N119" s="89">
        <f>IFERROR((MIL_P[[#This Row],[BB]]+MIL_P[[#This Row],[H]])/MIL_P[[#This Row],[IP]],0)</f>
        <v>0.8046817849305048</v>
      </c>
      <c r="O119" s="28">
        <v>0</v>
      </c>
      <c r="P119" s="90">
        <v>0</v>
      </c>
      <c r="Q119" s="28">
        <v>0</v>
      </c>
      <c r="R119" s="74">
        <v>0</v>
      </c>
      <c r="S119" s="780">
        <v>6</v>
      </c>
      <c r="Z119" s="828" t="s">
        <v>1062</v>
      </c>
      <c r="AA119" s="114" t="s">
        <v>212</v>
      </c>
      <c r="AB119" s="116" t="s">
        <v>1087</v>
      </c>
      <c r="AC119" s="88">
        <f>IFERROR((MIL_P147[[#This Row],[R]]*9)/MIL_P147[[#This Row],[IP]],0)</f>
        <v>5.625</v>
      </c>
      <c r="AD119" s="28">
        <v>0</v>
      </c>
      <c r="AE119" s="74">
        <v>0</v>
      </c>
      <c r="AF119" s="28">
        <v>4</v>
      </c>
      <c r="AG119" s="584">
        <v>8</v>
      </c>
      <c r="AH119" s="28">
        <v>8</v>
      </c>
      <c r="AI119" s="28">
        <v>5</v>
      </c>
      <c r="AJ119" s="28">
        <v>6</v>
      </c>
      <c r="AK119" s="28">
        <v>7</v>
      </c>
      <c r="AL119" s="28">
        <v>0</v>
      </c>
      <c r="AM119" s="89">
        <f>IFERROR((MIL_P147[[#This Row],[BB]]+MIL_P147[[#This Row],[H]])/MIL_P147[[#This Row],[IP]],0)</f>
        <v>1.75</v>
      </c>
      <c r="AN119" s="28">
        <v>0</v>
      </c>
      <c r="AO119" s="90">
        <v>0</v>
      </c>
      <c r="AP119" s="28">
        <v>0</v>
      </c>
      <c r="AQ119" s="74">
        <v>0</v>
      </c>
      <c r="AR119" s="780">
        <v>6</v>
      </c>
      <c r="AY119" s="828" t="s">
        <v>1062</v>
      </c>
      <c r="AZ119" s="114" t="s">
        <v>212</v>
      </c>
      <c r="BA119" s="115" t="s">
        <v>1086</v>
      </c>
      <c r="BB119" s="88">
        <f>IFERROR((MIL_P155[[#This Row],[R]]*9)/MIL_P155[[#This Row],[IP]],0)</f>
        <v>6.5149948293691828</v>
      </c>
      <c r="BC119" s="28">
        <v>0</v>
      </c>
      <c r="BD119" s="74">
        <v>0</v>
      </c>
      <c r="BE119" s="28">
        <v>7</v>
      </c>
      <c r="BF119" s="584">
        <v>9.67</v>
      </c>
      <c r="BG119" s="28">
        <v>12</v>
      </c>
      <c r="BH119" s="28">
        <v>7</v>
      </c>
      <c r="BI119" s="28">
        <v>4</v>
      </c>
      <c r="BJ119" s="28">
        <v>11</v>
      </c>
      <c r="BK119" s="28">
        <v>0</v>
      </c>
      <c r="BL119" s="89">
        <f>IFERROR((MIL_P155[[#This Row],[BB]]+MIL_P155[[#This Row],[H]])/MIL_P155[[#This Row],[IP]],0)</f>
        <v>1.6546018614270941</v>
      </c>
      <c r="BM119" s="28">
        <v>0</v>
      </c>
      <c r="BN119" s="90">
        <v>0</v>
      </c>
      <c r="BO119" s="28">
        <v>0</v>
      </c>
      <c r="BP119" s="74">
        <v>0</v>
      </c>
      <c r="BQ119" s="780">
        <v>6</v>
      </c>
    </row>
    <row r="120" spans="1:73">
      <c r="A120" s="828" t="s">
        <v>1062</v>
      </c>
      <c r="B120" s="114" t="s">
        <v>212</v>
      </c>
      <c r="C120" s="116" t="s">
        <v>1089</v>
      </c>
      <c r="D120" s="88">
        <f>IFERROR((MIL_P[[#This Row],[R]]*9)/MIL_P[[#This Row],[IP]],0)</f>
        <v>6.7510548523206753</v>
      </c>
      <c r="E120" s="28">
        <v>0</v>
      </c>
      <c r="F120" s="74">
        <v>1</v>
      </c>
      <c r="G120" s="28">
        <v>16</v>
      </c>
      <c r="H120" s="584">
        <v>21.33</v>
      </c>
      <c r="I120" s="28">
        <v>28</v>
      </c>
      <c r="J120" s="28">
        <v>16</v>
      </c>
      <c r="K120" s="28">
        <v>16</v>
      </c>
      <c r="L120" s="28">
        <v>27</v>
      </c>
      <c r="M120" s="28">
        <v>0</v>
      </c>
      <c r="N120" s="89">
        <f>IFERROR((MIL_P[[#This Row],[BB]]+MIL_P[[#This Row],[H]])/MIL_P[[#This Row],[IP]],0)</f>
        <v>2.0628223159868733</v>
      </c>
      <c r="O120" s="28">
        <v>0</v>
      </c>
      <c r="P120" s="90">
        <v>0</v>
      </c>
      <c r="Q120" s="28">
        <v>0</v>
      </c>
      <c r="R120" s="74">
        <v>0</v>
      </c>
      <c r="S120" s="780">
        <v>7</v>
      </c>
      <c r="Z120" s="828" t="s">
        <v>1062</v>
      </c>
      <c r="AA120" s="114" t="s">
        <v>212</v>
      </c>
      <c r="AB120" s="116" t="s">
        <v>1089</v>
      </c>
      <c r="AC120" s="88">
        <f>IFERROR((MIL_P147[[#This Row],[R]]*9)/MIL_P147[[#This Row],[IP]],0)</f>
        <v>4.2637189103829458</v>
      </c>
      <c r="AD120" s="28">
        <v>1</v>
      </c>
      <c r="AE120" s="74">
        <v>2</v>
      </c>
      <c r="AF120" s="28">
        <v>18</v>
      </c>
      <c r="AG120" s="584">
        <v>25.33</v>
      </c>
      <c r="AH120" s="28">
        <v>26</v>
      </c>
      <c r="AI120" s="28">
        <v>12</v>
      </c>
      <c r="AJ120" s="28">
        <v>14</v>
      </c>
      <c r="AK120" s="28">
        <v>25</v>
      </c>
      <c r="AL120" s="28">
        <v>0</v>
      </c>
      <c r="AM120" s="89">
        <f>IFERROR((MIL_P147[[#This Row],[BB]]+MIL_P147[[#This Row],[H]])/MIL_P147[[#This Row],[IP]],0)</f>
        <v>1.5791551519936835</v>
      </c>
      <c r="AN120" s="28">
        <v>0</v>
      </c>
      <c r="AO120" s="90">
        <v>0</v>
      </c>
      <c r="AP120" s="28">
        <v>0</v>
      </c>
      <c r="AQ120" s="74">
        <v>0</v>
      </c>
      <c r="AR120" s="780">
        <v>7</v>
      </c>
      <c r="AY120" s="828" t="s">
        <v>1062</v>
      </c>
      <c r="AZ120" s="114" t="s">
        <v>215</v>
      </c>
      <c r="BA120" s="115" t="s">
        <v>1089</v>
      </c>
      <c r="BB120" s="88">
        <f>IFERROR((MIL_P155[[#This Row],[R]]*9)/MIL_P155[[#This Row],[IP]],0)</f>
        <v>8.6816720257234721</v>
      </c>
      <c r="BC120" s="28">
        <v>1</v>
      </c>
      <c r="BD120" s="74">
        <v>1</v>
      </c>
      <c r="BE120" s="28">
        <v>8</v>
      </c>
      <c r="BF120" s="584">
        <v>9.33</v>
      </c>
      <c r="BG120" s="28">
        <v>14</v>
      </c>
      <c r="BH120" s="28">
        <v>9</v>
      </c>
      <c r="BI120" s="28">
        <v>5</v>
      </c>
      <c r="BJ120" s="28">
        <v>6</v>
      </c>
      <c r="BK120" s="28">
        <v>0</v>
      </c>
      <c r="BL120" s="89">
        <f>IFERROR((MIL_P155[[#This Row],[BB]]+MIL_P155[[#This Row],[H]])/MIL_P155[[#This Row],[IP]],0)</f>
        <v>2.0364415862808145</v>
      </c>
      <c r="BM120" s="28">
        <v>0</v>
      </c>
      <c r="BN120" s="90">
        <v>0</v>
      </c>
      <c r="BO120" s="28">
        <v>0</v>
      </c>
      <c r="BP120" s="74">
        <v>0</v>
      </c>
      <c r="BQ120" s="780">
        <v>7</v>
      </c>
    </row>
    <row r="121" spans="1:73">
      <c r="A121" s="828" t="s">
        <v>1062</v>
      </c>
      <c r="B121" s="114" t="s">
        <v>212</v>
      </c>
      <c r="C121" s="115" t="s">
        <v>362</v>
      </c>
      <c r="D121" s="88">
        <f>IFERROR((MIL_P[[#This Row],[R]]*9)/MIL_P[[#This Row],[IP]],0)</f>
        <v>1.2</v>
      </c>
      <c r="E121" s="28">
        <v>1</v>
      </c>
      <c r="F121" s="74">
        <v>0</v>
      </c>
      <c r="G121" s="28">
        <v>12</v>
      </c>
      <c r="H121" s="584">
        <v>15</v>
      </c>
      <c r="I121" s="28">
        <v>10</v>
      </c>
      <c r="J121" s="28">
        <v>2</v>
      </c>
      <c r="K121" s="28">
        <v>5</v>
      </c>
      <c r="L121" s="28">
        <v>21</v>
      </c>
      <c r="M121" s="28">
        <v>0</v>
      </c>
      <c r="N121" s="89">
        <f>IFERROR((MIL_P[[#This Row],[BB]]+MIL_P[[#This Row],[H]])/MIL_P[[#This Row],[IP]],0)</f>
        <v>1</v>
      </c>
      <c r="O121" s="28">
        <v>0</v>
      </c>
      <c r="P121" s="90">
        <v>0</v>
      </c>
      <c r="Q121" s="28">
        <v>0</v>
      </c>
      <c r="R121" s="74">
        <v>0</v>
      </c>
      <c r="S121" s="780">
        <v>8</v>
      </c>
      <c r="Z121" s="828" t="s">
        <v>1062</v>
      </c>
      <c r="AA121" s="114" t="s">
        <v>212</v>
      </c>
      <c r="AB121" s="115" t="s">
        <v>1090</v>
      </c>
      <c r="AC121" s="88">
        <f>IFERROR((MIL_P147[[#This Row],[R]]*9)/MIL_P147[[#This Row],[IP]],0)</f>
        <v>8.6816720257234721</v>
      </c>
      <c r="AD121" s="28">
        <v>2</v>
      </c>
      <c r="AE121" s="74">
        <v>0</v>
      </c>
      <c r="AF121" s="28">
        <v>8</v>
      </c>
      <c r="AG121" s="584">
        <v>9.33</v>
      </c>
      <c r="AH121" s="28">
        <v>8</v>
      </c>
      <c r="AI121" s="28">
        <v>9</v>
      </c>
      <c r="AJ121" s="28">
        <v>5</v>
      </c>
      <c r="AK121" s="28">
        <v>13</v>
      </c>
      <c r="AL121" s="28">
        <v>0</v>
      </c>
      <c r="AM121" s="89">
        <f>IFERROR((MIL_P147[[#This Row],[BB]]+MIL_P147[[#This Row],[H]])/MIL_P147[[#This Row],[IP]],0)</f>
        <v>1.3933547695605573</v>
      </c>
      <c r="AN121" s="28">
        <v>0</v>
      </c>
      <c r="AO121" s="90">
        <v>0</v>
      </c>
      <c r="AP121" s="28">
        <v>0</v>
      </c>
      <c r="AQ121" s="74">
        <v>0</v>
      </c>
      <c r="AR121" s="780">
        <v>8</v>
      </c>
      <c r="AY121" s="828" t="s">
        <v>1062</v>
      </c>
      <c r="AZ121" s="114" t="s">
        <v>212</v>
      </c>
      <c r="BA121" s="115" t="s">
        <v>1090</v>
      </c>
      <c r="BB121" s="88">
        <f>IFERROR((MIL_P155[[#This Row],[R]]*9)/MIL_P155[[#This Row],[IP]],0)</f>
        <v>7.5</v>
      </c>
      <c r="BC121" s="28">
        <v>2</v>
      </c>
      <c r="BD121" s="74">
        <v>0</v>
      </c>
      <c r="BE121" s="28">
        <v>18</v>
      </c>
      <c r="BF121" s="584">
        <v>18</v>
      </c>
      <c r="BG121" s="28">
        <v>25</v>
      </c>
      <c r="BH121" s="28">
        <v>15</v>
      </c>
      <c r="BI121" s="28">
        <v>13</v>
      </c>
      <c r="BJ121" s="28">
        <v>21</v>
      </c>
      <c r="BK121" s="28">
        <v>0</v>
      </c>
      <c r="BL121" s="89">
        <f>IFERROR((MIL_P155[[#This Row],[BB]]+MIL_P155[[#This Row],[H]])/MIL_P155[[#This Row],[IP]],0)</f>
        <v>2.1111111111111112</v>
      </c>
      <c r="BM121" s="28">
        <v>0</v>
      </c>
      <c r="BN121" s="90">
        <v>0</v>
      </c>
      <c r="BO121" s="28">
        <v>0</v>
      </c>
      <c r="BP121" s="74">
        <v>0</v>
      </c>
      <c r="BQ121" s="780">
        <v>8</v>
      </c>
    </row>
    <row r="122" spans="1:73">
      <c r="A122" s="828" t="s">
        <v>1062</v>
      </c>
      <c r="B122" s="114" t="s">
        <v>212</v>
      </c>
      <c r="C122" s="115" t="s">
        <v>1091</v>
      </c>
      <c r="D122" s="88">
        <f>IFERROR((MIL_P[[#This Row],[R]]*9)/MIL_P[[#This Row],[IP]],0)</f>
        <v>1.6071428571428572</v>
      </c>
      <c r="E122" s="28">
        <v>2</v>
      </c>
      <c r="F122" s="74">
        <v>2</v>
      </c>
      <c r="G122" s="76">
        <v>24</v>
      </c>
      <c r="H122" s="584">
        <v>28</v>
      </c>
      <c r="I122" s="28">
        <v>12</v>
      </c>
      <c r="J122" s="28">
        <v>5</v>
      </c>
      <c r="K122" s="28">
        <v>16</v>
      </c>
      <c r="L122" s="28">
        <v>49</v>
      </c>
      <c r="M122" s="28">
        <v>2</v>
      </c>
      <c r="N122" s="89">
        <f>IFERROR((MIL_P[[#This Row],[BB]]+MIL_P[[#This Row],[H]])/MIL_P[[#This Row],[IP]],0)</f>
        <v>1</v>
      </c>
      <c r="O122" s="28">
        <v>0</v>
      </c>
      <c r="P122" s="90">
        <v>0</v>
      </c>
      <c r="Q122" s="28">
        <v>0</v>
      </c>
      <c r="R122" s="74">
        <v>0</v>
      </c>
      <c r="S122" s="780">
        <v>9</v>
      </c>
      <c r="Z122" s="828" t="s">
        <v>1062</v>
      </c>
      <c r="AA122" s="114" t="s">
        <v>212</v>
      </c>
      <c r="AB122" s="115" t="s">
        <v>1091</v>
      </c>
      <c r="AC122" s="88">
        <f>IFERROR((MIL_P147[[#This Row],[R]]*9)/MIL_P147[[#This Row],[IP]],0)</f>
        <v>2.3475709162047602</v>
      </c>
      <c r="AD122" s="28">
        <v>0</v>
      </c>
      <c r="AE122" s="74">
        <v>2</v>
      </c>
      <c r="AF122" s="28">
        <v>24</v>
      </c>
      <c r="AG122" s="584">
        <v>30.67</v>
      </c>
      <c r="AH122" s="28">
        <v>26</v>
      </c>
      <c r="AI122" s="28">
        <v>8</v>
      </c>
      <c r="AJ122" s="28">
        <v>15</v>
      </c>
      <c r="AK122" s="586">
        <v>52</v>
      </c>
      <c r="AL122" s="28">
        <v>0</v>
      </c>
      <c r="AM122" s="89">
        <f>IFERROR((MIL_P147[[#This Row],[BB]]+MIL_P147[[#This Row],[H]])/MIL_P147[[#This Row],[IP]],0)</f>
        <v>1.336811216172155</v>
      </c>
      <c r="AN122" s="28">
        <v>0</v>
      </c>
      <c r="AO122" s="90">
        <v>0</v>
      </c>
      <c r="AP122" s="28">
        <v>0</v>
      </c>
      <c r="AQ122" s="74">
        <v>0</v>
      </c>
      <c r="AR122" s="780">
        <v>9</v>
      </c>
      <c r="AY122" s="828" t="s">
        <v>1062</v>
      </c>
      <c r="AZ122" s="114" t="s">
        <v>212</v>
      </c>
      <c r="BA122" s="115" t="s">
        <v>1091</v>
      </c>
      <c r="BB122" s="88">
        <f>IFERROR((MIL_P155[[#This Row],[R]]*9)/MIL_P155[[#This Row],[IP]],0)</f>
        <v>3.103448275862069</v>
      </c>
      <c r="BC122" s="28">
        <v>2</v>
      </c>
      <c r="BD122" s="74">
        <v>1</v>
      </c>
      <c r="BE122" s="28">
        <v>27</v>
      </c>
      <c r="BF122" s="584">
        <v>29</v>
      </c>
      <c r="BG122" s="28">
        <v>22</v>
      </c>
      <c r="BH122" s="28">
        <v>10</v>
      </c>
      <c r="BI122" s="28">
        <v>11</v>
      </c>
      <c r="BJ122" s="586">
        <v>52</v>
      </c>
      <c r="BK122" s="28">
        <v>0</v>
      </c>
      <c r="BL122" s="89">
        <f>IFERROR((MIL_P155[[#This Row],[BB]]+MIL_P155[[#This Row],[H]])/MIL_P155[[#This Row],[IP]],0)</f>
        <v>1.1379310344827587</v>
      </c>
      <c r="BM122" s="28">
        <v>0</v>
      </c>
      <c r="BN122" s="90">
        <v>0</v>
      </c>
      <c r="BO122" s="28">
        <v>0</v>
      </c>
      <c r="BP122" s="74">
        <v>0</v>
      </c>
      <c r="BQ122" s="780">
        <v>9</v>
      </c>
    </row>
    <row r="123" spans="1:73" ht="17" thickBot="1">
      <c r="A123" s="828" t="s">
        <v>1062</v>
      </c>
      <c r="B123" s="114" t="s">
        <v>212</v>
      </c>
      <c r="C123" s="115" t="s">
        <v>1092</v>
      </c>
      <c r="D123" s="88">
        <f>IFERROR((MIL_P[[#This Row],[R]]*9)/MIL_P[[#This Row],[IP]],0)</f>
        <v>2.1036229061160885</v>
      </c>
      <c r="E123" s="28">
        <v>1</v>
      </c>
      <c r="F123" s="74">
        <v>4</v>
      </c>
      <c r="G123" s="76">
        <v>24</v>
      </c>
      <c r="H123" s="584">
        <v>25.67</v>
      </c>
      <c r="I123" s="28">
        <v>9</v>
      </c>
      <c r="J123" s="28">
        <v>6</v>
      </c>
      <c r="K123" s="28">
        <v>12</v>
      </c>
      <c r="L123" s="28">
        <v>38</v>
      </c>
      <c r="M123" s="28">
        <v>5</v>
      </c>
      <c r="N123" s="347">
        <f>IFERROR((MIL_P[[#This Row],[BB]]+MIL_P[[#This Row],[H]])/MIL_P[[#This Row],[IP]],0)</f>
        <v>0.81807557460070113</v>
      </c>
      <c r="O123" s="28">
        <v>0</v>
      </c>
      <c r="P123" s="90">
        <v>0</v>
      </c>
      <c r="Q123" s="28">
        <v>0</v>
      </c>
      <c r="R123" s="74">
        <v>0</v>
      </c>
      <c r="S123" s="780">
        <v>10</v>
      </c>
      <c r="Z123" s="828" t="s">
        <v>1062</v>
      </c>
      <c r="AA123" s="114" t="s">
        <v>212</v>
      </c>
      <c r="AB123" s="115" t="s">
        <v>1092</v>
      </c>
      <c r="AC123" s="88">
        <f>IFERROR((MIL_P147[[#This Row],[R]]*9)/MIL_P147[[#This Row],[IP]],0)</f>
        <v>3.5060381768601476</v>
      </c>
      <c r="AD123" s="28">
        <v>1</v>
      </c>
      <c r="AE123" s="74">
        <v>3</v>
      </c>
      <c r="AF123" s="28">
        <v>22</v>
      </c>
      <c r="AG123" s="584">
        <v>25.67</v>
      </c>
      <c r="AH123" s="28">
        <v>16</v>
      </c>
      <c r="AI123" s="28">
        <v>10</v>
      </c>
      <c r="AJ123" s="28">
        <v>14</v>
      </c>
      <c r="AK123" s="28">
        <v>40</v>
      </c>
      <c r="AL123" s="28">
        <v>6</v>
      </c>
      <c r="AM123" s="89">
        <f>IFERROR((MIL_P147[[#This Row],[BB]]+MIL_P147[[#This Row],[H]])/MIL_P147[[#This Row],[IP]],0)</f>
        <v>1.168679392286716</v>
      </c>
      <c r="AN123" s="28">
        <v>0</v>
      </c>
      <c r="AO123" s="90">
        <v>0</v>
      </c>
      <c r="AP123" s="28">
        <v>0</v>
      </c>
      <c r="AQ123" s="74">
        <v>0</v>
      </c>
      <c r="AR123" s="780">
        <v>10</v>
      </c>
      <c r="AY123" s="828" t="s">
        <v>1062</v>
      </c>
      <c r="AZ123" s="114" t="s">
        <v>212</v>
      </c>
      <c r="BA123" s="115" t="s">
        <v>1092</v>
      </c>
      <c r="BB123" s="88">
        <f>IFERROR((MIL_P155[[#This Row],[R]]*9)/MIL_P155[[#This Row],[IP]],0)</f>
        <v>2.7345233573870114</v>
      </c>
      <c r="BC123" s="28">
        <v>1</v>
      </c>
      <c r="BD123" s="74">
        <v>0</v>
      </c>
      <c r="BE123" s="28">
        <v>24</v>
      </c>
      <c r="BF123" s="584">
        <v>26.33</v>
      </c>
      <c r="BG123" s="28">
        <v>19</v>
      </c>
      <c r="BH123" s="28">
        <v>8</v>
      </c>
      <c r="BI123" s="28">
        <v>13</v>
      </c>
      <c r="BJ123" s="28">
        <v>37</v>
      </c>
      <c r="BK123" s="76">
        <v>13</v>
      </c>
      <c r="BL123" s="89">
        <f>IFERROR((MIL_P155[[#This Row],[BB]]+MIL_P155[[#This Row],[H]])/MIL_P155[[#This Row],[IP]],0)</f>
        <v>1.2153437143942272</v>
      </c>
      <c r="BM123" s="28">
        <v>0</v>
      </c>
      <c r="BN123" s="90">
        <v>0</v>
      </c>
      <c r="BO123" s="28">
        <v>0</v>
      </c>
      <c r="BP123" s="74">
        <v>0</v>
      </c>
      <c r="BQ123" s="780">
        <v>10</v>
      </c>
    </row>
    <row r="124" spans="1:73" ht="17" thickBot="1">
      <c r="A124" s="853"/>
      <c r="B124" s="693"/>
      <c r="C124" s="854" t="s">
        <v>195</v>
      </c>
      <c r="D124" s="745">
        <f>(J124*9)/H124</f>
        <v>3.3273127504656541</v>
      </c>
      <c r="E124" s="696">
        <f>SUBTOTAL(109,MIL_P[W])</f>
        <v>19</v>
      </c>
      <c r="F124" s="697">
        <f>SUBTOTAL(109,MIL_P[L])</f>
        <v>21</v>
      </c>
      <c r="G124" s="696"/>
      <c r="H124" s="700">
        <f>SUBTOTAL(109,MIL_P[IP])</f>
        <v>354.34000000000003</v>
      </c>
      <c r="I124" s="696">
        <f>SUBTOTAL(109,MIL_P[H])</f>
        <v>312</v>
      </c>
      <c r="J124" s="696">
        <f>SUBTOTAL(109,MIL_P[R])</f>
        <v>131</v>
      </c>
      <c r="K124" s="696">
        <f>SUBTOTAL(109,MIL_P[BB])</f>
        <v>155</v>
      </c>
      <c r="L124" s="775">
        <f>SUBTOTAL(109,MIL_P[K])</f>
        <v>438</v>
      </c>
      <c r="M124" s="696">
        <f>SUBTOTAL(109,MIL_P[SV])</f>
        <v>7</v>
      </c>
      <c r="N124" s="746">
        <f>(K124+I124)/H124</f>
        <v>1.317943218377829</v>
      </c>
      <c r="O124" s="701">
        <f>SUBTOTAL(109,MIL_P[QS])</f>
        <v>19</v>
      </c>
      <c r="P124" s="702">
        <f>SUBTOTAL(109,MIL_P[UQ])</f>
        <v>13</v>
      </c>
      <c r="Q124" s="703">
        <f>SUBTOTAL(109,MIL_P[CG])</f>
        <v>1</v>
      </c>
      <c r="R124" s="704">
        <f>SUBTOTAL(109,MIL_P[SH])</f>
        <v>1</v>
      </c>
      <c r="S124" s="698"/>
      <c r="Z124" s="853"/>
      <c r="AA124" s="693"/>
      <c r="AB124" s="854" t="s">
        <v>195</v>
      </c>
      <c r="AC124" s="745">
        <f>(AI124*9)/AG124</f>
        <v>4.1207865168539328</v>
      </c>
      <c r="AD124" s="696">
        <f>SUBTOTAL(109,MIL_P147[W])</f>
        <v>18</v>
      </c>
      <c r="AE124" s="697">
        <f>SUBTOTAL(109,MIL_P147[L])</f>
        <v>22</v>
      </c>
      <c r="AF124" s="696"/>
      <c r="AG124" s="700">
        <f>SUBTOTAL(109,MIL_P147[IP])</f>
        <v>356</v>
      </c>
      <c r="AH124" s="696">
        <f>SUBTOTAL(109,MIL_P147[H])</f>
        <v>339</v>
      </c>
      <c r="AI124" s="696">
        <f>SUBTOTAL(109,MIL_P147[R])</f>
        <v>163</v>
      </c>
      <c r="AJ124" s="696">
        <f>SUBTOTAL(109,MIL_P147[BB])</f>
        <v>160</v>
      </c>
      <c r="AK124" s="774">
        <f>SUBTOTAL(109,MIL_P147[K])</f>
        <v>427</v>
      </c>
      <c r="AL124" s="696">
        <f>SUBTOTAL(109,MIL_P147[SV])</f>
        <v>6</v>
      </c>
      <c r="AM124" s="746">
        <f>(AJ124+AH124)/AG124</f>
        <v>1.401685393258427</v>
      </c>
      <c r="AN124" s="701">
        <f>SUBTOTAL(109,MIL_P147[QS])</f>
        <v>22</v>
      </c>
      <c r="AO124" s="702">
        <f>SUBTOTAL(109,MIL_P147[UQ])</f>
        <v>11</v>
      </c>
      <c r="AP124" s="703">
        <f>SUBTOTAL(109,MIL_P147[CG])</f>
        <v>3</v>
      </c>
      <c r="AQ124" s="704">
        <f>SUBTOTAL(109,MIL_P147[SH])</f>
        <v>2</v>
      </c>
      <c r="AR124" s="698"/>
      <c r="AY124" s="853"/>
      <c r="AZ124" s="693"/>
      <c r="BA124" s="854" t="s">
        <v>195</v>
      </c>
      <c r="BB124" s="745">
        <f>IFERROR((BH124*9)/BF124,0)</f>
        <v>4.5252660688846067</v>
      </c>
      <c r="BC124" s="696">
        <f>SUBTOTAL(109,MIL_P155[W])</f>
        <v>22</v>
      </c>
      <c r="BD124" s="697">
        <f>SUBTOTAL(109,MIL_P155[L])</f>
        <v>18</v>
      </c>
      <c r="BE124" s="696"/>
      <c r="BF124" s="700">
        <f>SUBTOTAL(109,MIL_P155[IP])</f>
        <v>357.98999999999995</v>
      </c>
      <c r="BG124" s="696">
        <f>SUBTOTAL(109,MIL_P155[H])</f>
        <v>359</v>
      </c>
      <c r="BH124" s="696">
        <f>SUBTOTAL(109,MIL_P155[R])</f>
        <v>180</v>
      </c>
      <c r="BI124" s="696">
        <f>SUBTOTAL(109,MIL_P155[BB])</f>
        <v>156</v>
      </c>
      <c r="BJ124" s="774">
        <f>SUBTOTAL(109,MIL_P155[K])</f>
        <v>425</v>
      </c>
      <c r="BK124" s="696">
        <f>SUBTOTAL(109,MIL_P155[SV])</f>
        <v>13</v>
      </c>
      <c r="BL124" s="746">
        <f>(BI124+BG124)/BF124</f>
        <v>1.4385876700466496</v>
      </c>
      <c r="BM124" s="701">
        <f>SUBTOTAL(109,MIL_P155[QS])</f>
        <v>21</v>
      </c>
      <c r="BN124" s="702">
        <f>SUBTOTAL(109,MIL_P155[UQ])</f>
        <v>10</v>
      </c>
      <c r="BO124" s="703">
        <f>SUM(BO114:BO123)</f>
        <v>1</v>
      </c>
      <c r="BP124" s="704">
        <f>SUM(BP114:BP123)</f>
        <v>0</v>
      </c>
      <c r="BQ124" s="698"/>
    </row>
    <row r="125" spans="1:73" ht="17" thickBot="1"/>
    <row r="126" spans="1:73" ht="24" thickBot="1">
      <c r="A126" s="1015" t="s">
        <v>1093</v>
      </c>
      <c r="B126" s="1016"/>
      <c r="C126" s="1016"/>
      <c r="D126" s="1016"/>
      <c r="E126" s="1016"/>
      <c r="F126" s="1016"/>
      <c r="G126" s="1016"/>
      <c r="H126" s="1016"/>
      <c r="I126" s="1016"/>
      <c r="J126" s="1016"/>
      <c r="K126" s="1016"/>
      <c r="L126" s="1016"/>
      <c r="M126" s="1016"/>
      <c r="N126" s="1016"/>
      <c r="O126" s="1016"/>
      <c r="P126" s="1016"/>
      <c r="Q126" s="1016"/>
      <c r="R126" s="1016"/>
      <c r="S126" s="1016"/>
      <c r="T126" s="1016"/>
      <c r="U126" s="1016"/>
      <c r="V126" s="1016"/>
      <c r="W126" s="1017"/>
      <c r="Z126" s="1015" t="s">
        <v>1094</v>
      </c>
      <c r="AA126" s="1016"/>
      <c r="AB126" s="1016"/>
      <c r="AC126" s="1016"/>
      <c r="AD126" s="1016"/>
      <c r="AE126" s="1016"/>
      <c r="AF126" s="1016"/>
      <c r="AG126" s="1016"/>
      <c r="AH126" s="1016"/>
      <c r="AI126" s="1016"/>
      <c r="AJ126" s="1016"/>
      <c r="AK126" s="1016"/>
      <c r="AL126" s="1016"/>
      <c r="AM126" s="1016"/>
      <c r="AN126" s="1016"/>
      <c r="AO126" s="1016"/>
      <c r="AP126" s="1016"/>
      <c r="AQ126" s="1016"/>
      <c r="AR126" s="1016"/>
      <c r="AS126" s="1016"/>
      <c r="AT126" s="1016"/>
      <c r="AU126" s="1016"/>
      <c r="AV126" s="1017"/>
      <c r="AY126" s="1015" t="s">
        <v>1095</v>
      </c>
      <c r="AZ126" s="1016"/>
      <c r="BA126" s="1016"/>
      <c r="BB126" s="1016"/>
      <c r="BC126" s="1016"/>
      <c r="BD126" s="1016"/>
      <c r="BE126" s="1016"/>
      <c r="BF126" s="1016"/>
      <c r="BG126" s="1016"/>
      <c r="BH126" s="1016"/>
      <c r="BI126" s="1016"/>
      <c r="BJ126" s="1016"/>
      <c r="BK126" s="1016"/>
      <c r="BL126" s="1016"/>
      <c r="BM126" s="1016"/>
      <c r="BN126" s="1016"/>
      <c r="BO126" s="1016"/>
      <c r="BP126" s="1016"/>
      <c r="BQ126" s="1016"/>
      <c r="BR126" s="1016"/>
      <c r="BS126" s="1016"/>
      <c r="BT126" s="1016"/>
      <c r="BU126" s="1017"/>
    </row>
    <row r="127" spans="1:73" s="64" customFormat="1" ht="14" thickBot="1">
      <c r="A127" s="605" t="s">
        <v>143</v>
      </c>
      <c r="B127" s="606" t="s">
        <v>144</v>
      </c>
      <c r="C127" s="606" t="s">
        <v>145</v>
      </c>
      <c r="D127" s="606" t="s">
        <v>146</v>
      </c>
      <c r="E127" s="606" t="s">
        <v>147</v>
      </c>
      <c r="F127" s="606" t="s">
        <v>148</v>
      </c>
      <c r="G127" s="606" t="s">
        <v>149</v>
      </c>
      <c r="H127" s="606" t="s">
        <v>150</v>
      </c>
      <c r="I127" s="606" t="s">
        <v>151</v>
      </c>
      <c r="J127" s="606" t="s">
        <v>152</v>
      </c>
      <c r="K127" s="606" t="s">
        <v>153</v>
      </c>
      <c r="L127" s="606" t="s">
        <v>154</v>
      </c>
      <c r="M127" s="606" t="s">
        <v>155</v>
      </c>
      <c r="N127" s="606" t="s">
        <v>156</v>
      </c>
      <c r="O127" s="606" t="s">
        <v>157</v>
      </c>
      <c r="P127" s="606" t="s">
        <v>158</v>
      </c>
      <c r="Q127" s="606" t="s">
        <v>159</v>
      </c>
      <c r="R127" s="606" t="s">
        <v>160</v>
      </c>
      <c r="S127" s="606" t="s">
        <v>16</v>
      </c>
      <c r="T127" s="606" t="s">
        <v>161</v>
      </c>
      <c r="U127" s="606" t="s">
        <v>162</v>
      </c>
      <c r="V127" s="606" t="s">
        <v>163</v>
      </c>
      <c r="W127" s="607" t="s">
        <v>164</v>
      </c>
      <c r="Z127" s="605" t="s">
        <v>143</v>
      </c>
      <c r="AA127" s="606" t="s">
        <v>144</v>
      </c>
      <c r="AB127" s="606" t="s">
        <v>145</v>
      </c>
      <c r="AC127" s="606" t="s">
        <v>146</v>
      </c>
      <c r="AD127" s="606" t="s">
        <v>147</v>
      </c>
      <c r="AE127" s="606" t="s">
        <v>148</v>
      </c>
      <c r="AF127" s="606" t="s">
        <v>149</v>
      </c>
      <c r="AG127" s="606" t="s">
        <v>150</v>
      </c>
      <c r="AH127" s="606" t="s">
        <v>151</v>
      </c>
      <c r="AI127" s="606" t="s">
        <v>152</v>
      </c>
      <c r="AJ127" s="606" t="s">
        <v>153</v>
      </c>
      <c r="AK127" s="606" t="s">
        <v>154</v>
      </c>
      <c r="AL127" s="606" t="s">
        <v>155</v>
      </c>
      <c r="AM127" s="606" t="s">
        <v>156</v>
      </c>
      <c r="AN127" s="606" t="s">
        <v>157</v>
      </c>
      <c r="AO127" s="606" t="s">
        <v>158</v>
      </c>
      <c r="AP127" s="606" t="s">
        <v>159</v>
      </c>
      <c r="AQ127" s="606" t="s">
        <v>160</v>
      </c>
      <c r="AR127" s="606" t="s">
        <v>16</v>
      </c>
      <c r="AS127" s="606" t="s">
        <v>161</v>
      </c>
      <c r="AT127" s="606" t="s">
        <v>162</v>
      </c>
      <c r="AU127" s="606" t="s">
        <v>163</v>
      </c>
      <c r="AV127" s="607" t="s">
        <v>164</v>
      </c>
      <c r="AY127" s="605" t="s">
        <v>143</v>
      </c>
      <c r="AZ127" s="606" t="s">
        <v>144</v>
      </c>
      <c r="BA127" s="606" t="s">
        <v>145</v>
      </c>
      <c r="BB127" s="606" t="s">
        <v>146</v>
      </c>
      <c r="BC127" s="606" t="s">
        <v>147</v>
      </c>
      <c r="BD127" s="606" t="s">
        <v>148</v>
      </c>
      <c r="BE127" s="606" t="s">
        <v>149</v>
      </c>
      <c r="BF127" s="606" t="s">
        <v>150</v>
      </c>
      <c r="BG127" s="606" t="s">
        <v>151</v>
      </c>
      <c r="BH127" s="606" t="s">
        <v>152</v>
      </c>
      <c r="BI127" s="606" t="s">
        <v>153</v>
      </c>
      <c r="BJ127" s="606" t="s">
        <v>154</v>
      </c>
      <c r="BK127" s="606" t="s">
        <v>155</v>
      </c>
      <c r="BL127" s="606" t="s">
        <v>156</v>
      </c>
      <c r="BM127" s="606" t="s">
        <v>157</v>
      </c>
      <c r="BN127" s="606" t="s">
        <v>158</v>
      </c>
      <c r="BO127" s="606" t="s">
        <v>159</v>
      </c>
      <c r="BP127" s="606" t="s">
        <v>160</v>
      </c>
      <c r="BQ127" s="606" t="s">
        <v>16</v>
      </c>
      <c r="BR127" s="606" t="s">
        <v>161</v>
      </c>
      <c r="BS127" s="606" t="s">
        <v>162</v>
      </c>
      <c r="BT127" s="606" t="s">
        <v>163</v>
      </c>
      <c r="BU127" s="607" t="s">
        <v>164</v>
      </c>
    </row>
    <row r="128" spans="1:73">
      <c r="A128" s="650" t="s">
        <v>1096</v>
      </c>
      <c r="B128" s="597" t="s">
        <v>179</v>
      </c>
      <c r="C128" s="597" t="s">
        <v>253</v>
      </c>
      <c r="D128" s="598">
        <f>IFERROR(PIT_H[[#This Row],[H]]/PIT_H[[#This Row],[AB]],0)</f>
        <v>0.21212121212121213</v>
      </c>
      <c r="E128" s="598">
        <f>IFERROR((PIT_H[[#This Row],[H]]+PIT_H[[#This Row],[BB]])/(PIT_H[[#This Row],[BB]]+PIT_H[[#This Row],[AB]]),0)</f>
        <v>0.28440366972477066</v>
      </c>
      <c r="F128" s="599">
        <f>IFERROR(((PIT_H[[#This Row],[H]]-PIT_H[[#This Row],[2B]]-PIT_H[[#This Row],[3B]]-PIT_H[[#This Row],[HR]])+(PIT_H[[#This Row],[2B]]*2)+(PIT_H[[#This Row],[3B]]*3)+(PIT_H[[#This Row],[HR]]*4))/PIT_H[[#This Row],[AB]],0)</f>
        <v>0.24242424242424243</v>
      </c>
      <c r="G128" s="600">
        <v>30</v>
      </c>
      <c r="H128" s="600">
        <v>99</v>
      </c>
      <c r="I128" s="600">
        <v>10</v>
      </c>
      <c r="J128" s="600">
        <v>21</v>
      </c>
      <c r="K128" s="600">
        <v>3</v>
      </c>
      <c r="L128" s="600">
        <v>0</v>
      </c>
      <c r="M128" s="600">
        <v>0</v>
      </c>
      <c r="N128" s="600">
        <v>5</v>
      </c>
      <c r="O128" s="600">
        <v>10</v>
      </c>
      <c r="P128" s="604">
        <v>25</v>
      </c>
      <c r="Q128" s="600">
        <v>0</v>
      </c>
      <c r="R128" s="600">
        <v>2</v>
      </c>
      <c r="S128" s="604">
        <v>4</v>
      </c>
      <c r="T128" s="600">
        <f>IFERROR((PIT_H[[#This Row],[H]]-PIT_H[[#This Row],[2B]]-PIT_H[[#This Row],[3B]]-PIT_H[[#This Row],[HR]])+(PIT_H[[#This Row],[2B]]*2)+(PIT_H[[#This Row],[3B]]*3)+(PIT_H[[#This Row],[HR]]*4),0)</f>
        <v>24</v>
      </c>
      <c r="U128" s="598">
        <f>PIT_H[[#This Row],[OBP]]+PIT_H[[#This Row],[SLG]]</f>
        <v>0.52682791214901314</v>
      </c>
      <c r="V128" s="604">
        <v>0</v>
      </c>
      <c r="W128" s="614">
        <v>1</v>
      </c>
      <c r="Z128" s="650" t="s">
        <v>1096</v>
      </c>
      <c r="AA128" s="597" t="s">
        <v>308</v>
      </c>
      <c r="AB128" s="597" t="s">
        <v>253</v>
      </c>
      <c r="AC128" s="598">
        <f>IFERROR(PIT_H150[[#This Row],[H]]/PIT_H150[[#This Row],[AB]],0)</f>
        <v>0.25</v>
      </c>
      <c r="AD128" s="598">
        <f>IFERROR((PIT_H150[[#This Row],[H]]+PIT_H150[[#This Row],[BB]])/(PIT_H150[[#This Row],[BB]]+PIT_H150[[#This Row],[AB]]),0)</f>
        <v>0.31683168316831684</v>
      </c>
      <c r="AE128" s="599">
        <f>IFERROR(((PIT_H150[[#This Row],[H]]-PIT_H150[[#This Row],[2B]]-PIT_H150[[#This Row],[3B]]-PIT_H150[[#This Row],[HR]])+(PIT_H150[[#This Row],[2B]]*2)+(PIT_H150[[#This Row],[3B]]*3)+(PIT_H150[[#This Row],[HR]]*4))/PIT_H150[[#This Row],[AB]],0)</f>
        <v>0.42391304347826086</v>
      </c>
      <c r="AF128" s="600">
        <v>25</v>
      </c>
      <c r="AG128" s="600">
        <v>92</v>
      </c>
      <c r="AH128" s="600">
        <v>15</v>
      </c>
      <c r="AI128" s="600">
        <v>23</v>
      </c>
      <c r="AJ128" s="600">
        <v>5</v>
      </c>
      <c r="AK128" s="600">
        <v>1</v>
      </c>
      <c r="AL128" s="600">
        <v>3</v>
      </c>
      <c r="AM128" s="600">
        <v>6</v>
      </c>
      <c r="AN128" s="600">
        <v>9</v>
      </c>
      <c r="AO128" s="604">
        <v>19</v>
      </c>
      <c r="AP128" s="600">
        <v>0</v>
      </c>
      <c r="AQ128" s="600">
        <v>0</v>
      </c>
      <c r="AR128" s="604">
        <v>6</v>
      </c>
      <c r="AS128" s="600">
        <f>IFERROR((PIT_H150[[#This Row],[H]]-PIT_H150[[#This Row],[2B]]-PIT_H150[[#This Row],[3B]]-PIT_H150[[#This Row],[HR]])+(PIT_H150[[#This Row],[2B]]*2)+(PIT_H150[[#This Row],[3B]]*3)+(PIT_H150[[#This Row],[HR]]*4),0)</f>
        <v>39</v>
      </c>
      <c r="AT128" s="598">
        <f>PIT_H150[[#This Row],[OBP]]+PIT_H150[[#This Row],[SLG]]</f>
        <v>0.74074472664657764</v>
      </c>
      <c r="AU128" s="604">
        <v>1</v>
      </c>
      <c r="AV128" s="614">
        <v>1</v>
      </c>
      <c r="AY128" s="650" t="s">
        <v>1096</v>
      </c>
      <c r="AZ128" s="604" t="s">
        <v>179</v>
      </c>
      <c r="BA128" s="597" t="s">
        <v>1108</v>
      </c>
      <c r="BB128" s="598">
        <f>IFERROR(PIT_H156[[#This Row],[H]]/PIT_H156[[#This Row],[AB]],0)</f>
        <v>0.16216216216216217</v>
      </c>
      <c r="BC128" s="598">
        <f>IFERROR((PIT_H156[[#This Row],[BB]]+PIT_H156[[#This Row],[H]])/(PIT_H156[[#This Row],[BB]]+PIT_H156[[#This Row],[AB]]),0)</f>
        <v>0.23770491803278687</v>
      </c>
      <c r="BD128" s="599">
        <f>IFERROR(((PIT_H156[[#This Row],[H]]-PIT_H156[[#This Row],[2B]]-PIT_H156[[#This Row],[3B]]-PIT_H156[[#This Row],[HR]])+(PIT_H156[[#This Row],[2B]]*2)+(PIT_H156[[#This Row],[3B]]*3)+(PIT_H156[[#This Row],[HR]]*4))/PIT_H156[[#This Row],[AB]],0)</f>
        <v>0.21621621621621623</v>
      </c>
      <c r="BE128" s="600">
        <v>31</v>
      </c>
      <c r="BF128" s="600">
        <v>111</v>
      </c>
      <c r="BG128" s="600">
        <v>12</v>
      </c>
      <c r="BH128" s="600">
        <v>18</v>
      </c>
      <c r="BI128" s="600">
        <v>6</v>
      </c>
      <c r="BJ128" s="600">
        <v>0</v>
      </c>
      <c r="BK128" s="600">
        <v>0</v>
      </c>
      <c r="BL128" s="600">
        <v>3</v>
      </c>
      <c r="BM128" s="600">
        <v>11</v>
      </c>
      <c r="BN128" s="604">
        <v>38</v>
      </c>
      <c r="BO128" s="600">
        <v>0</v>
      </c>
      <c r="BP128" s="600">
        <v>3</v>
      </c>
      <c r="BQ128" s="604">
        <v>3</v>
      </c>
      <c r="BR128" s="600">
        <f>(PIT_H156[[#This Row],[H]]-PIT_H156[[#This Row],[2B]]-PIT_H156[[#This Row],[3B]]-PIT_H156[[#This Row],[HR]])+(PIT_H156[[#This Row],[2B]]*2)+(PIT_H156[[#This Row],[3B]]*3)+(PIT_H156[[#This Row],[HR]]*4)</f>
        <v>24</v>
      </c>
      <c r="BS128" s="598">
        <f>IFERROR(PIT_H156[[#This Row],[OBP]]+PIT_H156[[#This Row],[SLG]],0)</f>
        <v>0.4539211342490031</v>
      </c>
      <c r="BT128" s="604">
        <v>1</v>
      </c>
      <c r="BU128" s="779">
        <v>1</v>
      </c>
    </row>
    <row r="129" spans="1:73">
      <c r="A129" s="651" t="s">
        <v>1096</v>
      </c>
      <c r="B129" s="71" t="s">
        <v>154</v>
      </c>
      <c r="C129" s="71" t="s">
        <v>1102</v>
      </c>
      <c r="D129" s="72">
        <f>IFERROR(PIT_H[[#This Row],[H]]/PIT_H[[#This Row],[AB]],0)</f>
        <v>0.24666666666666667</v>
      </c>
      <c r="E129" s="72">
        <f>IFERROR((PIT_H[[#This Row],[H]]+PIT_H[[#This Row],[BB]])/(PIT_H[[#This Row],[BB]]+PIT_H[[#This Row],[AB]]),0)</f>
        <v>0.28930817610062892</v>
      </c>
      <c r="F129" s="73">
        <f>IFERROR(((PIT_H[[#This Row],[H]]-PIT_H[[#This Row],[2B]]-PIT_H[[#This Row],[3B]]-PIT_H[[#This Row],[HR]])+(PIT_H[[#This Row],[2B]]*2)+(PIT_H[[#This Row],[3B]]*3)+(PIT_H[[#This Row],[HR]]*4))/PIT_H[[#This Row],[AB]],0)</f>
        <v>0.40666666666666668</v>
      </c>
      <c r="G129" s="28">
        <v>40</v>
      </c>
      <c r="H129" s="28">
        <v>150</v>
      </c>
      <c r="I129" s="28">
        <v>11</v>
      </c>
      <c r="J129" s="28">
        <v>37</v>
      </c>
      <c r="K129" s="28">
        <v>6</v>
      </c>
      <c r="L129" s="28">
        <v>3</v>
      </c>
      <c r="M129" s="28">
        <v>4</v>
      </c>
      <c r="N129" s="28">
        <v>15</v>
      </c>
      <c r="O129" s="28">
        <v>9</v>
      </c>
      <c r="P129" s="74">
        <v>40</v>
      </c>
      <c r="Q129" s="28">
        <v>0</v>
      </c>
      <c r="R129" s="28">
        <v>2</v>
      </c>
      <c r="S129" s="74">
        <v>7</v>
      </c>
      <c r="T129" s="28">
        <f>IFERROR((PIT_H[[#This Row],[H]]-PIT_H[[#This Row],[2B]]-PIT_H[[#This Row],[3B]]-PIT_H[[#This Row],[HR]])+(PIT_H[[#This Row],[2B]]*2)+(PIT_H[[#This Row],[3B]]*3)+(PIT_H[[#This Row],[HR]]*4),0)</f>
        <v>61</v>
      </c>
      <c r="U129" s="72">
        <f>PIT_H[[#This Row],[OBP]]+PIT_H[[#This Row],[SLG]]</f>
        <v>0.6959748427672956</v>
      </c>
      <c r="V129" s="74">
        <v>1</v>
      </c>
      <c r="W129" s="615">
        <v>2</v>
      </c>
      <c r="Z129" s="651" t="s">
        <v>1096</v>
      </c>
      <c r="AA129" s="71" t="s">
        <v>154</v>
      </c>
      <c r="AB129" s="71" t="s">
        <v>1102</v>
      </c>
      <c r="AC129" s="72">
        <f>IFERROR(PIT_H150[[#This Row],[H]]/PIT_H150[[#This Row],[AB]],0)</f>
        <v>0.24832214765100671</v>
      </c>
      <c r="AD129" s="72">
        <f>IFERROR((PIT_H150[[#This Row],[H]]+PIT_H150[[#This Row],[BB]])/(PIT_H150[[#This Row],[BB]]+PIT_H150[[#This Row],[AB]]),0)</f>
        <v>0.32934131736526945</v>
      </c>
      <c r="AE129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0.42953020134228187</v>
      </c>
      <c r="AF129" s="28">
        <v>40</v>
      </c>
      <c r="AG129" s="28">
        <v>149</v>
      </c>
      <c r="AH129" s="28">
        <v>16</v>
      </c>
      <c r="AI129" s="28">
        <v>37</v>
      </c>
      <c r="AJ129" s="28">
        <v>7</v>
      </c>
      <c r="AK129" s="28">
        <v>1</v>
      </c>
      <c r="AL129" s="28">
        <v>6</v>
      </c>
      <c r="AM129" s="28">
        <v>20</v>
      </c>
      <c r="AN129" s="28">
        <v>18</v>
      </c>
      <c r="AO129" s="74">
        <v>28</v>
      </c>
      <c r="AP129" s="28">
        <v>0</v>
      </c>
      <c r="AQ129" s="28">
        <v>0</v>
      </c>
      <c r="AR129" s="74">
        <v>3</v>
      </c>
      <c r="AS129" s="28">
        <f>IFERROR((PIT_H150[[#This Row],[H]]-PIT_H150[[#This Row],[2B]]-PIT_H150[[#This Row],[3B]]-PIT_H150[[#This Row],[HR]])+(PIT_H150[[#This Row],[2B]]*2)+(PIT_H150[[#This Row],[3B]]*3)+(PIT_H150[[#This Row],[HR]]*4),0)</f>
        <v>64</v>
      </c>
      <c r="AT129" s="72">
        <f>PIT_H150[[#This Row],[OBP]]+PIT_H150[[#This Row],[SLG]]</f>
        <v>0.75887151870755132</v>
      </c>
      <c r="AU129" s="74">
        <v>2</v>
      </c>
      <c r="AV129" s="615">
        <v>2</v>
      </c>
      <c r="AY129" s="651" t="s">
        <v>1096</v>
      </c>
      <c r="AZ129" s="74" t="s">
        <v>154</v>
      </c>
      <c r="BA129" s="71" t="s">
        <v>1102</v>
      </c>
      <c r="BB129" s="72">
        <f>IFERROR(PIT_H156[[#This Row],[H]]/PIT_H156[[#This Row],[AB]],0)</f>
        <v>0.28104575163398693</v>
      </c>
      <c r="BC129" s="72">
        <f>IFERROR((PIT_H156[[#This Row],[BB]]+PIT_H156[[#This Row],[H]])/(PIT_H156[[#This Row],[BB]]+PIT_H156[[#This Row],[AB]]),0)</f>
        <v>0.34523809523809523</v>
      </c>
      <c r="BD129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0.45751633986928103</v>
      </c>
      <c r="BE129" s="28">
        <v>39</v>
      </c>
      <c r="BF129" s="28">
        <v>153</v>
      </c>
      <c r="BG129" s="28">
        <v>17</v>
      </c>
      <c r="BH129" s="28">
        <v>43</v>
      </c>
      <c r="BI129" s="76">
        <v>15</v>
      </c>
      <c r="BJ129" s="28">
        <v>0</v>
      </c>
      <c r="BK129" s="28">
        <v>4</v>
      </c>
      <c r="BL129" s="28">
        <v>17</v>
      </c>
      <c r="BM129" s="28">
        <v>15</v>
      </c>
      <c r="BN129" s="74">
        <v>51</v>
      </c>
      <c r="BO129" s="28">
        <v>0</v>
      </c>
      <c r="BP129" s="28">
        <v>0</v>
      </c>
      <c r="BQ129" s="74">
        <v>7</v>
      </c>
      <c r="BR129" s="28">
        <f>(PIT_H156[[#This Row],[H]]-PIT_H156[[#This Row],[2B]]-PIT_H156[[#This Row],[3B]]-PIT_H156[[#This Row],[HR]])+(PIT_H156[[#This Row],[2B]]*2)+(PIT_H156[[#This Row],[3B]]*3)+(PIT_H156[[#This Row],[HR]]*4)</f>
        <v>70</v>
      </c>
      <c r="BS129" s="72">
        <f>IFERROR(PIT_H156[[#This Row],[OBP]]+PIT_H156[[#This Row],[SLG]],0)</f>
        <v>0.80275443510737632</v>
      </c>
      <c r="BT129" s="74">
        <v>3</v>
      </c>
      <c r="BU129" s="780">
        <v>2</v>
      </c>
    </row>
    <row r="130" spans="1:73">
      <c r="A130" s="651" t="s">
        <v>1096</v>
      </c>
      <c r="B130" s="71" t="s">
        <v>172</v>
      </c>
      <c r="C130" s="71" t="s">
        <v>1101</v>
      </c>
      <c r="D130" s="72">
        <f>IFERROR(PIT_H[[#This Row],[H]]/PIT_H[[#This Row],[AB]],0)</f>
        <v>0.24666666666666667</v>
      </c>
      <c r="E130" s="72">
        <f>IFERROR((PIT_H[[#This Row],[H]]+PIT_H[[#This Row],[BB]])/(PIT_H[[#This Row],[BB]]+PIT_H[[#This Row],[AB]]),0)</f>
        <v>0.31927710843373491</v>
      </c>
      <c r="F130" s="73">
        <f>IFERROR(((PIT_H[[#This Row],[H]]-PIT_H[[#This Row],[2B]]-PIT_H[[#This Row],[3B]]-PIT_H[[#This Row],[HR]])+(PIT_H[[#This Row],[2B]]*2)+(PIT_H[[#This Row],[3B]]*3)+(PIT_H[[#This Row],[HR]]*4))/PIT_H[[#This Row],[AB]],0)</f>
        <v>0.46</v>
      </c>
      <c r="G130" s="28">
        <v>40</v>
      </c>
      <c r="H130" s="28">
        <v>150</v>
      </c>
      <c r="I130" s="28">
        <v>17</v>
      </c>
      <c r="J130" s="28">
        <v>37</v>
      </c>
      <c r="K130" s="28">
        <v>6</v>
      </c>
      <c r="L130" s="28">
        <v>4</v>
      </c>
      <c r="M130" s="28">
        <v>6</v>
      </c>
      <c r="N130" s="28">
        <v>22</v>
      </c>
      <c r="O130" s="28">
        <v>16</v>
      </c>
      <c r="P130" s="74">
        <v>52</v>
      </c>
      <c r="Q130" s="28">
        <v>5</v>
      </c>
      <c r="R130" s="28">
        <v>0</v>
      </c>
      <c r="S130" s="74">
        <v>6</v>
      </c>
      <c r="T130" s="28">
        <f>IFERROR((PIT_H[[#This Row],[H]]-PIT_H[[#This Row],[2B]]-PIT_H[[#This Row],[3B]]-PIT_H[[#This Row],[HR]])+(PIT_H[[#This Row],[2B]]*2)+(PIT_H[[#This Row],[3B]]*3)+(PIT_H[[#This Row],[HR]]*4),0)</f>
        <v>69</v>
      </c>
      <c r="U130" s="72">
        <f>PIT_H[[#This Row],[OBP]]+PIT_H[[#This Row],[SLG]]</f>
        <v>0.77927710843373488</v>
      </c>
      <c r="V130" s="74">
        <v>4</v>
      </c>
      <c r="W130" s="615">
        <v>3</v>
      </c>
      <c r="Z130" s="651" t="s">
        <v>1096</v>
      </c>
      <c r="AA130" s="71" t="s">
        <v>172</v>
      </c>
      <c r="AB130" s="71" t="s">
        <v>1101</v>
      </c>
      <c r="AC130" s="72">
        <f>IFERROR(PIT_H150[[#This Row],[H]]/PIT_H150[[#This Row],[AB]],0)</f>
        <v>0.21379310344827587</v>
      </c>
      <c r="AD130" s="72">
        <f>IFERROR((PIT_H150[[#This Row],[H]]+PIT_H150[[#This Row],[BB]])/(PIT_H150[[#This Row],[BB]]+PIT_H150[[#This Row],[AB]]),0)</f>
        <v>0.24</v>
      </c>
      <c r="AE130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0.33793103448275863</v>
      </c>
      <c r="AF130" s="28">
        <v>37</v>
      </c>
      <c r="AG130" s="28">
        <v>145</v>
      </c>
      <c r="AH130" s="28">
        <v>9</v>
      </c>
      <c r="AI130" s="28">
        <v>31</v>
      </c>
      <c r="AJ130" s="28">
        <v>6</v>
      </c>
      <c r="AK130" s="28">
        <v>0</v>
      </c>
      <c r="AL130" s="28">
        <v>4</v>
      </c>
      <c r="AM130" s="28">
        <v>15</v>
      </c>
      <c r="AN130" s="28">
        <v>5</v>
      </c>
      <c r="AO130" s="74">
        <v>53</v>
      </c>
      <c r="AP130" s="28">
        <v>0</v>
      </c>
      <c r="AQ130" s="28">
        <v>0</v>
      </c>
      <c r="AR130" s="74">
        <v>5</v>
      </c>
      <c r="AS130" s="28">
        <f>IFERROR((PIT_H150[[#This Row],[H]]-PIT_H150[[#This Row],[2B]]-PIT_H150[[#This Row],[3B]]-PIT_H150[[#This Row],[HR]])+(PIT_H150[[#This Row],[2B]]*2)+(PIT_H150[[#This Row],[3B]]*3)+(PIT_H150[[#This Row],[HR]]*4),0)</f>
        <v>49</v>
      </c>
      <c r="AT130" s="72">
        <f>PIT_H150[[#This Row],[OBP]]+PIT_H150[[#This Row],[SLG]]</f>
        <v>0.57793103448275862</v>
      </c>
      <c r="AU130" s="74">
        <v>1</v>
      </c>
      <c r="AV130" s="615">
        <v>3</v>
      </c>
      <c r="AY130" s="651" t="s">
        <v>1096</v>
      </c>
      <c r="AZ130" s="74" t="s">
        <v>235</v>
      </c>
      <c r="BA130" s="71" t="s">
        <v>1101</v>
      </c>
      <c r="BB130" s="72">
        <f>IFERROR(PIT_H156[[#This Row],[H]]/PIT_H156[[#This Row],[AB]],0)</f>
        <v>0.27450980392156865</v>
      </c>
      <c r="BC130" s="72">
        <f>IFERROR((PIT_H156[[#This Row],[BB]]+PIT_H156[[#This Row],[H]])/(PIT_H156[[#This Row],[BB]]+PIT_H156[[#This Row],[AB]]),0)</f>
        <v>0.3392857142857143</v>
      </c>
      <c r="BD130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0.53921568627450978</v>
      </c>
      <c r="BE130" s="28">
        <v>29</v>
      </c>
      <c r="BF130" s="28">
        <v>102</v>
      </c>
      <c r="BG130" s="28">
        <v>12</v>
      </c>
      <c r="BH130" s="28">
        <v>28</v>
      </c>
      <c r="BI130" s="28">
        <v>6</v>
      </c>
      <c r="BJ130" s="28">
        <v>0</v>
      </c>
      <c r="BK130" s="28">
        <v>7</v>
      </c>
      <c r="BL130" s="28">
        <v>20</v>
      </c>
      <c r="BM130" s="28">
        <v>10</v>
      </c>
      <c r="BN130" s="74">
        <v>19</v>
      </c>
      <c r="BO130" s="28">
        <v>0</v>
      </c>
      <c r="BP130" s="28">
        <v>5</v>
      </c>
      <c r="BQ130" s="74">
        <v>5</v>
      </c>
      <c r="BR130" s="28">
        <f>(PIT_H156[[#This Row],[H]]-PIT_H156[[#This Row],[2B]]-PIT_H156[[#This Row],[3B]]-PIT_H156[[#This Row],[HR]])+(PIT_H156[[#This Row],[2B]]*2)+(PIT_H156[[#This Row],[3B]]*3)+(PIT_H156[[#This Row],[HR]]*4)</f>
        <v>55</v>
      </c>
      <c r="BS130" s="72">
        <f>IFERROR(PIT_H156[[#This Row],[OBP]]+PIT_H156[[#This Row],[SLG]],0)</f>
        <v>0.87850140056022408</v>
      </c>
      <c r="BT130" s="74">
        <v>3</v>
      </c>
      <c r="BU130" s="780">
        <v>3</v>
      </c>
    </row>
    <row r="131" spans="1:73">
      <c r="A131" s="651" t="s">
        <v>1096</v>
      </c>
      <c r="B131" s="71" t="s">
        <v>311</v>
      </c>
      <c r="C131" s="71" t="s">
        <v>1103</v>
      </c>
      <c r="D131" s="72">
        <f>IFERROR(PIT_H[[#This Row],[H]]/PIT_H[[#This Row],[AB]],0)</f>
        <v>0.27619047619047621</v>
      </c>
      <c r="E131" s="72">
        <f>IFERROR((PIT_H[[#This Row],[H]]+PIT_H[[#This Row],[BB]])/(PIT_H[[#This Row],[BB]]+PIT_H[[#This Row],[AB]]),0)</f>
        <v>0.32142857142857145</v>
      </c>
      <c r="F131" s="73">
        <f>IFERROR(((PIT_H[[#This Row],[H]]-PIT_H[[#This Row],[2B]]-PIT_H[[#This Row],[3B]]-PIT_H[[#This Row],[HR]])+(PIT_H[[#This Row],[2B]]*2)+(PIT_H[[#This Row],[3B]]*3)+(PIT_H[[#This Row],[HR]]*4))/PIT_H[[#This Row],[AB]],0)</f>
        <v>0.33333333333333331</v>
      </c>
      <c r="G131" s="28">
        <v>30</v>
      </c>
      <c r="H131" s="28">
        <v>105</v>
      </c>
      <c r="I131" s="28">
        <v>9</v>
      </c>
      <c r="J131" s="28">
        <v>29</v>
      </c>
      <c r="K131" s="28">
        <v>2</v>
      </c>
      <c r="L131" s="28">
        <v>2</v>
      </c>
      <c r="M131" s="28">
        <v>0</v>
      </c>
      <c r="N131" s="28">
        <v>6</v>
      </c>
      <c r="O131" s="28">
        <v>7</v>
      </c>
      <c r="P131" s="74">
        <v>18</v>
      </c>
      <c r="Q131" s="28">
        <v>0</v>
      </c>
      <c r="R131" s="28">
        <v>1</v>
      </c>
      <c r="S131" s="74">
        <v>6</v>
      </c>
      <c r="T131" s="28">
        <f>IFERROR((PIT_H[[#This Row],[H]]-PIT_H[[#This Row],[2B]]-PIT_H[[#This Row],[3B]]-PIT_H[[#This Row],[HR]])+(PIT_H[[#This Row],[2B]]*2)+(PIT_H[[#This Row],[3B]]*3)+(PIT_H[[#This Row],[HR]]*4),0)</f>
        <v>35</v>
      </c>
      <c r="U131" s="72">
        <f>PIT_H[[#This Row],[OBP]]+PIT_H[[#This Row],[SLG]]</f>
        <v>0.65476190476190477</v>
      </c>
      <c r="V131" s="74">
        <v>0</v>
      </c>
      <c r="W131" s="615">
        <v>4</v>
      </c>
      <c r="Z131" s="651" t="s">
        <v>1096</v>
      </c>
      <c r="AA131" s="71" t="s">
        <v>153</v>
      </c>
      <c r="AB131" s="71" t="s">
        <v>1104</v>
      </c>
      <c r="AC131" s="72">
        <f>IFERROR(PIT_H150[[#This Row],[H]]/PIT_H150[[#This Row],[AB]],0)</f>
        <v>0.23423423423423423</v>
      </c>
      <c r="AD131" s="72">
        <f>IFERROR((PIT_H150[[#This Row],[H]]+PIT_H150[[#This Row],[BB]])/(PIT_H150[[#This Row],[BB]]+PIT_H150[[#This Row],[AB]]),0)</f>
        <v>0.2857142857142857</v>
      </c>
      <c r="AE131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0.31531531531531531</v>
      </c>
      <c r="AF131" s="28">
        <v>32</v>
      </c>
      <c r="AG131" s="28">
        <v>111</v>
      </c>
      <c r="AH131" s="28">
        <v>10</v>
      </c>
      <c r="AI131" s="28">
        <v>26</v>
      </c>
      <c r="AJ131" s="28">
        <v>3</v>
      </c>
      <c r="AK131" s="28">
        <v>0</v>
      </c>
      <c r="AL131" s="28">
        <v>2</v>
      </c>
      <c r="AM131" s="28">
        <v>8</v>
      </c>
      <c r="AN131" s="28">
        <v>8</v>
      </c>
      <c r="AO131" s="74">
        <v>24</v>
      </c>
      <c r="AP131" s="28">
        <v>0</v>
      </c>
      <c r="AQ131" s="28">
        <v>3</v>
      </c>
      <c r="AR131" s="74">
        <v>6</v>
      </c>
      <c r="AS131" s="28">
        <f>IFERROR((PIT_H150[[#This Row],[H]]-PIT_H150[[#This Row],[2B]]-PIT_H150[[#This Row],[3B]]-PIT_H150[[#This Row],[HR]])+(PIT_H150[[#This Row],[2B]]*2)+(PIT_H150[[#This Row],[3B]]*3)+(PIT_H150[[#This Row],[HR]]*4),0)</f>
        <v>35</v>
      </c>
      <c r="AT131" s="72">
        <f>PIT_H150[[#This Row],[OBP]]+PIT_H150[[#This Row],[SLG]]</f>
        <v>0.60102960102960101</v>
      </c>
      <c r="AU131" s="74">
        <v>0</v>
      </c>
      <c r="AV131" s="615">
        <v>4</v>
      </c>
      <c r="AY131" s="651" t="s">
        <v>1096</v>
      </c>
      <c r="AZ131" s="74" t="s">
        <v>153</v>
      </c>
      <c r="BA131" s="71" t="s">
        <v>1104</v>
      </c>
      <c r="BB131" s="72">
        <f>IFERROR(PIT_H156[[#This Row],[H]]/PIT_H156[[#This Row],[AB]],0)</f>
        <v>0.26153846153846155</v>
      </c>
      <c r="BC131" s="72">
        <f>IFERROR((PIT_H156[[#This Row],[BB]]+PIT_H156[[#This Row],[H]])/(PIT_H156[[#This Row],[BB]]+PIT_H156[[#This Row],[AB]]),0)</f>
        <v>0.29411764705882354</v>
      </c>
      <c r="BD131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0.40769230769230769</v>
      </c>
      <c r="BE131" s="28">
        <v>33</v>
      </c>
      <c r="BF131" s="28">
        <v>130</v>
      </c>
      <c r="BG131" s="28">
        <v>11</v>
      </c>
      <c r="BH131" s="28">
        <v>34</v>
      </c>
      <c r="BI131" s="28">
        <v>6</v>
      </c>
      <c r="BJ131" s="28">
        <v>2</v>
      </c>
      <c r="BK131" s="28">
        <v>3</v>
      </c>
      <c r="BL131" s="28">
        <v>19</v>
      </c>
      <c r="BM131" s="28">
        <v>6</v>
      </c>
      <c r="BN131" s="74">
        <v>32</v>
      </c>
      <c r="BO131" s="28">
        <v>0</v>
      </c>
      <c r="BP131" s="28">
        <v>0</v>
      </c>
      <c r="BQ131" s="74">
        <v>5</v>
      </c>
      <c r="BR131" s="28">
        <f>(PIT_H156[[#This Row],[H]]-PIT_H156[[#This Row],[2B]]-PIT_H156[[#This Row],[3B]]-PIT_H156[[#This Row],[HR]])+(PIT_H156[[#This Row],[2B]]*2)+(PIT_H156[[#This Row],[3B]]*3)+(PIT_H156[[#This Row],[HR]]*4)</f>
        <v>53</v>
      </c>
      <c r="BS131" s="72">
        <f>IFERROR(PIT_H156[[#This Row],[OBP]]+PIT_H156[[#This Row],[SLG]],0)</f>
        <v>0.70180995475113117</v>
      </c>
      <c r="BT131" s="74">
        <v>2</v>
      </c>
      <c r="BU131" s="780">
        <v>4</v>
      </c>
    </row>
    <row r="132" spans="1:73">
      <c r="A132" s="651" t="s">
        <v>1096</v>
      </c>
      <c r="B132" s="71" t="s">
        <v>177</v>
      </c>
      <c r="C132" s="71" t="s">
        <v>1097</v>
      </c>
      <c r="D132" s="72">
        <f>IFERROR(PIT_H[[#This Row],[H]]/PIT_H[[#This Row],[AB]],0)</f>
        <v>0.27950310559006208</v>
      </c>
      <c r="E132" s="72">
        <f>IFERROR((PIT_H[[#This Row],[H]]+PIT_H[[#This Row],[BB]])/(PIT_H[[#This Row],[BB]]+PIT_H[[#This Row],[AB]]),0)</f>
        <v>0.32947976878612717</v>
      </c>
      <c r="F132" s="73">
        <f>IFERROR(((PIT_H[[#This Row],[H]]-PIT_H[[#This Row],[2B]]-PIT_H[[#This Row],[3B]]-PIT_H[[#This Row],[HR]])+(PIT_H[[#This Row],[2B]]*2)+(PIT_H[[#This Row],[3B]]*3)+(PIT_H[[#This Row],[HR]]*4))/PIT_H[[#This Row],[AB]],0)</f>
        <v>0.48447204968944102</v>
      </c>
      <c r="G132" s="28">
        <v>40</v>
      </c>
      <c r="H132" s="28">
        <v>161</v>
      </c>
      <c r="I132" s="28">
        <v>19</v>
      </c>
      <c r="J132" s="28">
        <v>45</v>
      </c>
      <c r="K132" s="28">
        <v>9</v>
      </c>
      <c r="L132" s="28">
        <v>0</v>
      </c>
      <c r="M132" s="28">
        <v>8</v>
      </c>
      <c r="N132" s="28">
        <v>22</v>
      </c>
      <c r="O132" s="28">
        <v>12</v>
      </c>
      <c r="P132" s="74">
        <v>42</v>
      </c>
      <c r="Q132" s="28">
        <v>0</v>
      </c>
      <c r="R132" s="28">
        <v>8</v>
      </c>
      <c r="S132" s="74">
        <v>8</v>
      </c>
      <c r="T132" s="28">
        <f>IFERROR((PIT_H[[#This Row],[H]]-PIT_H[[#This Row],[2B]]-PIT_H[[#This Row],[3B]]-PIT_H[[#This Row],[HR]])+(PIT_H[[#This Row],[2B]]*2)+(PIT_H[[#This Row],[3B]]*3)+(PIT_H[[#This Row],[HR]]*4),0)</f>
        <v>78</v>
      </c>
      <c r="U132" s="72">
        <f>PIT_H[[#This Row],[OBP]]+PIT_H[[#This Row],[SLG]]</f>
        <v>0.81395181847556819</v>
      </c>
      <c r="V132" s="74">
        <v>2</v>
      </c>
      <c r="W132" s="615">
        <v>5</v>
      </c>
      <c r="Z132" s="651" t="s">
        <v>1096</v>
      </c>
      <c r="AA132" s="71" t="s">
        <v>177</v>
      </c>
      <c r="AB132" s="71" t="s">
        <v>1097</v>
      </c>
      <c r="AC132" s="72">
        <f>IFERROR(PIT_H150[[#This Row],[H]]/PIT_H150[[#This Row],[AB]],0)</f>
        <v>0.2356687898089172</v>
      </c>
      <c r="AD132" s="72">
        <f>IFERROR((PIT_H150[[#This Row],[H]]+PIT_H150[[#This Row],[BB]])/(PIT_H150[[#This Row],[BB]]+PIT_H150[[#This Row],[AB]]),0)</f>
        <v>0.2982456140350877</v>
      </c>
      <c r="AE132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0.52229299363057324</v>
      </c>
      <c r="AF132" s="28">
        <v>40</v>
      </c>
      <c r="AG132" s="28">
        <v>157</v>
      </c>
      <c r="AH132" s="28">
        <v>22</v>
      </c>
      <c r="AI132" s="28">
        <v>37</v>
      </c>
      <c r="AJ132" s="28">
        <v>6</v>
      </c>
      <c r="AK132" s="28">
        <v>0</v>
      </c>
      <c r="AL132" s="28">
        <v>13</v>
      </c>
      <c r="AM132" s="28">
        <v>26</v>
      </c>
      <c r="AN132" s="28">
        <v>14</v>
      </c>
      <c r="AO132" s="74">
        <v>51</v>
      </c>
      <c r="AP132" s="28">
        <v>0</v>
      </c>
      <c r="AQ132" s="28">
        <v>2</v>
      </c>
      <c r="AR132" s="74">
        <v>9</v>
      </c>
      <c r="AS132" s="28">
        <f>IFERROR((PIT_H150[[#This Row],[H]]-PIT_H150[[#This Row],[2B]]-PIT_H150[[#This Row],[3B]]-PIT_H150[[#This Row],[HR]])+(PIT_H150[[#This Row],[2B]]*2)+(PIT_H150[[#This Row],[3B]]*3)+(PIT_H150[[#This Row],[HR]]*4),0)</f>
        <v>82</v>
      </c>
      <c r="AT132" s="72">
        <f>PIT_H150[[#This Row],[OBP]]+PIT_H150[[#This Row],[SLG]]</f>
        <v>0.82053860766566089</v>
      </c>
      <c r="AU132" s="74">
        <v>2</v>
      </c>
      <c r="AV132" s="615">
        <v>5</v>
      </c>
      <c r="AY132" s="651" t="s">
        <v>1096</v>
      </c>
      <c r="AZ132" s="74" t="s">
        <v>177</v>
      </c>
      <c r="BA132" s="71" t="s">
        <v>875</v>
      </c>
      <c r="BB132" s="72">
        <f>IFERROR(PIT_H156[[#This Row],[H]]/PIT_H156[[#This Row],[AB]],0)</f>
        <v>0.24657534246575341</v>
      </c>
      <c r="BC132" s="72">
        <f>IFERROR((PIT_H156[[#This Row],[BB]]+PIT_H156[[#This Row],[H]])/(PIT_H156[[#This Row],[BB]]+PIT_H156[[#This Row],[AB]]),0)</f>
        <v>0.3413173652694611</v>
      </c>
      <c r="BD132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0.42465753424657532</v>
      </c>
      <c r="BE132" s="28">
        <v>39</v>
      </c>
      <c r="BF132" s="28">
        <v>146</v>
      </c>
      <c r="BG132" s="28">
        <v>17</v>
      </c>
      <c r="BH132" s="28">
        <v>36</v>
      </c>
      <c r="BI132" s="28">
        <v>4</v>
      </c>
      <c r="BJ132" s="28">
        <v>2</v>
      </c>
      <c r="BK132" s="28">
        <v>6</v>
      </c>
      <c r="BL132" s="28">
        <v>17</v>
      </c>
      <c r="BM132" s="28">
        <v>21</v>
      </c>
      <c r="BN132" s="74">
        <v>35</v>
      </c>
      <c r="BO132" s="28">
        <v>0</v>
      </c>
      <c r="BP132" s="28">
        <v>0</v>
      </c>
      <c r="BQ132" s="74">
        <v>5</v>
      </c>
      <c r="BR132" s="28">
        <f>(PIT_H156[[#This Row],[H]]-PIT_H156[[#This Row],[2B]]-PIT_H156[[#This Row],[3B]]-PIT_H156[[#This Row],[HR]])+(PIT_H156[[#This Row],[2B]]*2)+(PIT_H156[[#This Row],[3B]]*3)+(PIT_H156[[#This Row],[HR]]*4)</f>
        <v>62</v>
      </c>
      <c r="BS132" s="72">
        <f>IFERROR(PIT_H156[[#This Row],[OBP]]+PIT_H156[[#This Row],[SLG]],0)</f>
        <v>0.76597489951603648</v>
      </c>
      <c r="BT132" s="74">
        <v>0</v>
      </c>
      <c r="BU132" s="780">
        <v>5</v>
      </c>
    </row>
    <row r="133" spans="1:73">
      <c r="A133" s="651" t="s">
        <v>1096</v>
      </c>
      <c r="B133" s="71" t="s">
        <v>174</v>
      </c>
      <c r="C133" s="71" t="s">
        <v>1098</v>
      </c>
      <c r="D133" s="72">
        <f>IFERROR(PIT_H[[#This Row],[H]]/PIT_H[[#This Row],[AB]],0)</f>
        <v>0.27329192546583853</v>
      </c>
      <c r="E133" s="72">
        <f>IFERROR((PIT_H[[#This Row],[H]]+PIT_H[[#This Row],[BB]])/(PIT_H[[#This Row],[BB]]+PIT_H[[#This Row],[AB]]),0)</f>
        <v>0.33522727272727271</v>
      </c>
      <c r="F133" s="73">
        <f>IFERROR(((PIT_H[[#This Row],[H]]-PIT_H[[#This Row],[2B]]-PIT_H[[#This Row],[3B]]-PIT_H[[#This Row],[HR]])+(PIT_H[[#This Row],[2B]]*2)+(PIT_H[[#This Row],[3B]]*3)+(PIT_H[[#This Row],[HR]]*4))/PIT_H[[#This Row],[AB]],0)</f>
        <v>0.47204968944099379</v>
      </c>
      <c r="G133" s="28">
        <v>40</v>
      </c>
      <c r="H133" s="28">
        <v>161</v>
      </c>
      <c r="I133" s="28">
        <v>23</v>
      </c>
      <c r="J133" s="28">
        <v>44</v>
      </c>
      <c r="K133" s="28">
        <v>8</v>
      </c>
      <c r="L133" s="28">
        <v>0</v>
      </c>
      <c r="M133" s="28">
        <v>8</v>
      </c>
      <c r="N133" s="28">
        <v>27</v>
      </c>
      <c r="O133" s="28">
        <v>15</v>
      </c>
      <c r="P133" s="74">
        <v>36</v>
      </c>
      <c r="Q133" s="28">
        <v>0</v>
      </c>
      <c r="R133" s="28">
        <v>2</v>
      </c>
      <c r="S133" s="74">
        <v>9</v>
      </c>
      <c r="T133" s="28">
        <f>IFERROR((PIT_H[[#This Row],[H]]-PIT_H[[#This Row],[2B]]-PIT_H[[#This Row],[3B]]-PIT_H[[#This Row],[HR]])+(PIT_H[[#This Row],[2B]]*2)+(PIT_H[[#This Row],[3B]]*3)+(PIT_H[[#This Row],[HR]]*4),0)</f>
        <v>76</v>
      </c>
      <c r="U133" s="72">
        <f>PIT_H[[#This Row],[OBP]]+PIT_H[[#This Row],[SLG]]</f>
        <v>0.8072769621682665</v>
      </c>
      <c r="V133" s="104">
        <v>6</v>
      </c>
      <c r="W133" s="615">
        <v>6</v>
      </c>
      <c r="Z133" s="651" t="s">
        <v>1096</v>
      </c>
      <c r="AA133" s="71" t="s">
        <v>174</v>
      </c>
      <c r="AB133" s="71" t="s">
        <v>1098</v>
      </c>
      <c r="AC133" s="72">
        <f>IFERROR(PIT_H150[[#This Row],[H]]/PIT_H150[[#This Row],[AB]],0)</f>
        <v>0.28749999999999998</v>
      </c>
      <c r="AD133" s="72">
        <f>IFERROR((PIT_H150[[#This Row],[H]]+PIT_H150[[#This Row],[BB]])/(PIT_H150[[#This Row],[BB]]+PIT_H150[[#This Row],[AB]]),0)</f>
        <v>0.3595505617977528</v>
      </c>
      <c r="AE133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0.4375</v>
      </c>
      <c r="AF133" s="28">
        <v>39</v>
      </c>
      <c r="AG133" s="28">
        <v>160</v>
      </c>
      <c r="AH133" s="28">
        <v>18</v>
      </c>
      <c r="AI133" s="28">
        <v>46</v>
      </c>
      <c r="AJ133" s="28">
        <v>12</v>
      </c>
      <c r="AK133" s="28">
        <v>0</v>
      </c>
      <c r="AL133" s="28">
        <v>4</v>
      </c>
      <c r="AM133" s="28">
        <v>20</v>
      </c>
      <c r="AN133" s="28">
        <v>18</v>
      </c>
      <c r="AO133" s="74">
        <v>45</v>
      </c>
      <c r="AP133" s="28">
        <v>0</v>
      </c>
      <c r="AQ133" s="28">
        <v>3</v>
      </c>
      <c r="AR133" s="74">
        <v>14</v>
      </c>
      <c r="AS133" s="28">
        <f>IFERROR((PIT_H150[[#This Row],[H]]-PIT_H150[[#This Row],[2B]]-PIT_H150[[#This Row],[3B]]-PIT_H150[[#This Row],[HR]])+(PIT_H150[[#This Row],[2B]]*2)+(PIT_H150[[#This Row],[3B]]*3)+(PIT_H150[[#This Row],[HR]]*4),0)</f>
        <v>70</v>
      </c>
      <c r="AT133" s="72">
        <f>PIT_H150[[#This Row],[OBP]]+PIT_H150[[#This Row],[SLG]]</f>
        <v>0.7970505617977528</v>
      </c>
      <c r="AU133" s="74">
        <v>1</v>
      </c>
      <c r="AV133" s="615">
        <v>6</v>
      </c>
      <c r="AY133" s="651" t="s">
        <v>1096</v>
      </c>
      <c r="AZ133" s="74" t="s">
        <v>174</v>
      </c>
      <c r="BA133" s="71" t="s">
        <v>1098</v>
      </c>
      <c r="BB133" s="72">
        <f>IFERROR(PIT_H156[[#This Row],[H]]/PIT_H156[[#This Row],[AB]],0)</f>
        <v>0.30232558139534882</v>
      </c>
      <c r="BC133" s="72">
        <f>IFERROR((PIT_H156[[#This Row],[BB]]+PIT_H156[[#This Row],[H]])/(PIT_H156[[#This Row],[BB]]+PIT_H156[[#This Row],[AB]]),0)</f>
        <v>0.36507936507936506</v>
      </c>
      <c r="BD133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0.52906976744186052</v>
      </c>
      <c r="BE133" s="28">
        <v>40</v>
      </c>
      <c r="BF133" s="28">
        <v>172</v>
      </c>
      <c r="BG133" s="28">
        <v>30</v>
      </c>
      <c r="BH133" s="28">
        <v>52</v>
      </c>
      <c r="BI133" s="28">
        <v>12</v>
      </c>
      <c r="BJ133" s="28">
        <v>0</v>
      </c>
      <c r="BK133" s="28">
        <v>9</v>
      </c>
      <c r="BL133" s="28">
        <v>26</v>
      </c>
      <c r="BM133" s="28">
        <v>17</v>
      </c>
      <c r="BN133" s="74">
        <v>41</v>
      </c>
      <c r="BO133" s="28">
        <v>0</v>
      </c>
      <c r="BP133" s="28">
        <v>6</v>
      </c>
      <c r="BQ133" s="74">
        <v>11</v>
      </c>
      <c r="BR133" s="28">
        <f>(PIT_H156[[#This Row],[H]]-PIT_H156[[#This Row],[2B]]-PIT_H156[[#This Row],[3B]]-PIT_H156[[#This Row],[HR]])+(PIT_H156[[#This Row],[2B]]*2)+(PIT_H156[[#This Row],[3B]]*3)+(PIT_H156[[#This Row],[HR]]*4)</f>
        <v>91</v>
      </c>
      <c r="BS133" s="72">
        <f>IFERROR(PIT_H156[[#This Row],[OBP]]+PIT_H156[[#This Row],[SLG]],0)</f>
        <v>0.89414913252122563</v>
      </c>
      <c r="BT133" s="74">
        <v>1</v>
      </c>
      <c r="BU133" s="780">
        <v>6</v>
      </c>
    </row>
    <row r="134" spans="1:73">
      <c r="A134" s="651" t="s">
        <v>1096</v>
      </c>
      <c r="B134" s="71" t="s">
        <v>181</v>
      </c>
      <c r="C134" s="71" t="s">
        <v>1099</v>
      </c>
      <c r="D134" s="72">
        <f>IFERROR(PIT_H[[#This Row],[H]]/PIT_H[[#This Row],[AB]],0)</f>
        <v>0.23841059602649006</v>
      </c>
      <c r="E134" s="72">
        <f>IFERROR((PIT_H[[#This Row],[H]]+PIT_H[[#This Row],[BB]])/(PIT_H[[#This Row],[BB]]+PIT_H[[#This Row],[AB]]),0)</f>
        <v>0.32748538011695905</v>
      </c>
      <c r="F134" s="73">
        <f>IFERROR(((PIT_H[[#This Row],[H]]-PIT_H[[#This Row],[2B]]-PIT_H[[#This Row],[3B]]-PIT_H[[#This Row],[HR]])+(PIT_H[[#This Row],[2B]]*2)+(PIT_H[[#This Row],[3B]]*3)+(PIT_H[[#This Row],[HR]]*4))/PIT_H[[#This Row],[AB]],0)</f>
        <v>0.39735099337748342</v>
      </c>
      <c r="G134" s="28">
        <v>37</v>
      </c>
      <c r="H134" s="28">
        <v>151</v>
      </c>
      <c r="I134" s="28">
        <v>16</v>
      </c>
      <c r="J134" s="28">
        <v>36</v>
      </c>
      <c r="K134" s="28">
        <v>8</v>
      </c>
      <c r="L134" s="28">
        <v>2</v>
      </c>
      <c r="M134" s="28">
        <v>4</v>
      </c>
      <c r="N134" s="28">
        <v>10</v>
      </c>
      <c r="O134" s="28">
        <v>20</v>
      </c>
      <c r="P134" s="74">
        <v>40</v>
      </c>
      <c r="Q134" s="28">
        <v>8</v>
      </c>
      <c r="R134" s="28">
        <v>0</v>
      </c>
      <c r="S134" s="74">
        <v>9</v>
      </c>
      <c r="T134" s="28">
        <f>IFERROR((PIT_H[[#This Row],[H]]-PIT_H[[#This Row],[2B]]-PIT_H[[#This Row],[3B]]-PIT_H[[#This Row],[HR]])+(PIT_H[[#This Row],[2B]]*2)+(PIT_H[[#This Row],[3B]]*3)+(PIT_H[[#This Row],[HR]]*4),0)</f>
        <v>60</v>
      </c>
      <c r="U134" s="72">
        <f>PIT_H[[#This Row],[OBP]]+PIT_H[[#This Row],[SLG]]</f>
        <v>0.72483637349444252</v>
      </c>
      <c r="V134" s="74">
        <v>0</v>
      </c>
      <c r="W134" s="615">
        <v>7</v>
      </c>
      <c r="Z134" s="651" t="s">
        <v>1096</v>
      </c>
      <c r="AA134" s="71" t="s">
        <v>181</v>
      </c>
      <c r="AB134" s="71" t="s">
        <v>1099</v>
      </c>
      <c r="AC134" s="72">
        <f>IFERROR(PIT_H150[[#This Row],[H]]/PIT_H150[[#This Row],[AB]],0)</f>
        <v>0.20588235294117646</v>
      </c>
      <c r="AD134" s="72">
        <f>IFERROR((PIT_H150[[#This Row],[H]]+PIT_H150[[#This Row],[BB]])/(PIT_H150[[#This Row],[BB]]+PIT_H150[[#This Row],[AB]]),0)</f>
        <v>0.28000000000000003</v>
      </c>
      <c r="AE134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0.3014705882352941</v>
      </c>
      <c r="AF134" s="28">
        <v>32</v>
      </c>
      <c r="AG134" s="28">
        <v>136</v>
      </c>
      <c r="AH134" s="28">
        <v>10</v>
      </c>
      <c r="AI134" s="28">
        <v>28</v>
      </c>
      <c r="AJ134" s="28">
        <v>4</v>
      </c>
      <c r="AK134" s="28">
        <v>3</v>
      </c>
      <c r="AL134" s="28">
        <v>1</v>
      </c>
      <c r="AM134" s="28">
        <v>10</v>
      </c>
      <c r="AN134" s="28">
        <v>14</v>
      </c>
      <c r="AO134" s="74">
        <v>41</v>
      </c>
      <c r="AP134" s="28">
        <v>2</v>
      </c>
      <c r="AQ134" s="28">
        <v>3</v>
      </c>
      <c r="AR134" s="74">
        <v>5</v>
      </c>
      <c r="AS134" s="28">
        <f>IFERROR((PIT_H150[[#This Row],[H]]-PIT_H150[[#This Row],[2B]]-PIT_H150[[#This Row],[3B]]-PIT_H150[[#This Row],[HR]])+(PIT_H150[[#This Row],[2B]]*2)+(PIT_H150[[#This Row],[3B]]*3)+(PIT_H150[[#This Row],[HR]]*4),0)</f>
        <v>41</v>
      </c>
      <c r="AT134" s="72">
        <f>PIT_H150[[#This Row],[OBP]]+PIT_H150[[#This Row],[SLG]]</f>
        <v>0.58147058823529418</v>
      </c>
      <c r="AU134" s="74">
        <v>1</v>
      </c>
      <c r="AV134" s="615">
        <v>7</v>
      </c>
      <c r="AY134" s="651" t="s">
        <v>1096</v>
      </c>
      <c r="AZ134" s="104" t="s">
        <v>181</v>
      </c>
      <c r="BA134" s="71" t="s">
        <v>1099</v>
      </c>
      <c r="BB134" s="72">
        <f>IFERROR(PIT_H156[[#This Row],[H]]/PIT_H156[[#This Row],[AB]],0)</f>
        <v>0.27450980392156865</v>
      </c>
      <c r="BC134" s="72">
        <f>IFERROR((PIT_H156[[#This Row],[BB]]+PIT_H156[[#This Row],[H]])/(PIT_H156[[#This Row],[BB]]+PIT_H156[[#This Row],[AB]]),0)</f>
        <v>0.3392857142857143</v>
      </c>
      <c r="BD134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0.53594771241830064</v>
      </c>
      <c r="BE134" s="28">
        <v>37</v>
      </c>
      <c r="BF134" s="28">
        <v>153</v>
      </c>
      <c r="BG134" s="28">
        <v>26</v>
      </c>
      <c r="BH134" s="28">
        <v>42</v>
      </c>
      <c r="BI134" s="28">
        <v>6</v>
      </c>
      <c r="BJ134" s="28">
        <v>2</v>
      </c>
      <c r="BK134" s="28">
        <v>10</v>
      </c>
      <c r="BL134" s="28">
        <v>26</v>
      </c>
      <c r="BM134" s="28">
        <v>15</v>
      </c>
      <c r="BN134" s="74">
        <v>24</v>
      </c>
      <c r="BO134" s="28">
        <v>5</v>
      </c>
      <c r="BP134" s="28">
        <v>2</v>
      </c>
      <c r="BQ134" s="74">
        <v>7</v>
      </c>
      <c r="BR134" s="28">
        <f>(PIT_H156[[#This Row],[H]]-PIT_H156[[#This Row],[2B]]-PIT_H156[[#This Row],[3B]]-PIT_H156[[#This Row],[HR]])+(PIT_H156[[#This Row],[2B]]*2)+(PIT_H156[[#This Row],[3B]]*3)+(PIT_H156[[#This Row],[HR]]*4)</f>
        <v>82</v>
      </c>
      <c r="BS134" s="72">
        <f>IFERROR(PIT_H156[[#This Row],[OBP]]+PIT_H156[[#This Row],[SLG]],0)</f>
        <v>0.87523342670401494</v>
      </c>
      <c r="BT134" s="74">
        <v>1</v>
      </c>
      <c r="BU134" s="780">
        <v>7</v>
      </c>
    </row>
    <row r="135" spans="1:73">
      <c r="A135" s="651" t="s">
        <v>1096</v>
      </c>
      <c r="B135" s="71" t="s">
        <v>166</v>
      </c>
      <c r="C135" s="71" t="s">
        <v>1100</v>
      </c>
      <c r="D135" s="72">
        <f>IFERROR(PIT_H[[#This Row],[H]]/PIT_H[[#This Row],[AB]],0)</f>
        <v>0.28484848484848485</v>
      </c>
      <c r="E135" s="72">
        <f>IFERROR((PIT_H[[#This Row],[H]]+PIT_H[[#This Row],[BB]])/(PIT_H[[#This Row],[BB]]+PIT_H[[#This Row],[AB]]),0)</f>
        <v>0.32183908045977011</v>
      </c>
      <c r="F135" s="73">
        <f>IFERROR(((PIT_H[[#This Row],[H]]-PIT_H[[#This Row],[2B]]-PIT_H[[#This Row],[3B]]-PIT_H[[#This Row],[HR]])+(PIT_H[[#This Row],[2B]]*2)+(PIT_H[[#This Row],[3B]]*3)+(PIT_H[[#This Row],[HR]]*4))/PIT_H[[#This Row],[AB]],0)</f>
        <v>0.46060606060606063</v>
      </c>
      <c r="G135" s="28">
        <v>40</v>
      </c>
      <c r="H135" s="28">
        <v>165</v>
      </c>
      <c r="I135" s="28">
        <v>23</v>
      </c>
      <c r="J135" s="28">
        <v>47</v>
      </c>
      <c r="K135" s="28">
        <v>7</v>
      </c>
      <c r="L135" s="28">
        <v>2</v>
      </c>
      <c r="M135" s="28">
        <v>6</v>
      </c>
      <c r="N135" s="28">
        <v>19</v>
      </c>
      <c r="O135" s="28">
        <v>9</v>
      </c>
      <c r="P135" s="74">
        <v>33</v>
      </c>
      <c r="Q135" s="28">
        <v>0</v>
      </c>
      <c r="R135" s="28">
        <v>5</v>
      </c>
      <c r="S135" s="74">
        <v>12</v>
      </c>
      <c r="T135" s="28">
        <f>IFERROR((PIT_H[[#This Row],[H]]-PIT_H[[#This Row],[2B]]-PIT_H[[#This Row],[3B]]-PIT_H[[#This Row],[HR]])+(PIT_H[[#This Row],[2B]]*2)+(PIT_H[[#This Row],[3B]]*3)+(PIT_H[[#This Row],[HR]]*4),0)</f>
        <v>76</v>
      </c>
      <c r="U135" s="72">
        <f>PIT_H[[#This Row],[OBP]]+PIT_H[[#This Row],[SLG]]</f>
        <v>0.78244514106583074</v>
      </c>
      <c r="V135" s="74">
        <v>2</v>
      </c>
      <c r="W135" s="615">
        <v>8</v>
      </c>
      <c r="Z135" s="651" t="s">
        <v>1096</v>
      </c>
      <c r="AA135" s="71" t="s">
        <v>166</v>
      </c>
      <c r="AB135" s="71" t="s">
        <v>1100</v>
      </c>
      <c r="AC135" s="72">
        <f>IFERROR(PIT_H150[[#This Row],[H]]/PIT_H150[[#This Row],[AB]],0)</f>
        <v>0.2558139534883721</v>
      </c>
      <c r="AD135" s="72">
        <f>IFERROR((PIT_H150[[#This Row],[H]]+PIT_H150[[#This Row],[BB]])/(PIT_H150[[#This Row],[BB]]+PIT_H150[[#This Row],[AB]]),0)</f>
        <v>0.2768361581920904</v>
      </c>
      <c r="AE135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0.38372093023255816</v>
      </c>
      <c r="AF135" s="28">
        <v>40</v>
      </c>
      <c r="AG135" s="28">
        <v>172</v>
      </c>
      <c r="AH135" s="28">
        <v>19</v>
      </c>
      <c r="AI135" s="28">
        <v>44</v>
      </c>
      <c r="AJ135" s="28">
        <v>6</v>
      </c>
      <c r="AK135" s="28">
        <v>2</v>
      </c>
      <c r="AL135" s="28">
        <v>4</v>
      </c>
      <c r="AM135" s="28">
        <v>12</v>
      </c>
      <c r="AN135" s="28">
        <v>5</v>
      </c>
      <c r="AO135" s="74">
        <v>27</v>
      </c>
      <c r="AP135" s="28">
        <v>0</v>
      </c>
      <c r="AQ135" s="28">
        <v>6</v>
      </c>
      <c r="AR135" s="74">
        <v>10</v>
      </c>
      <c r="AS135" s="28">
        <f>IFERROR((PIT_H150[[#This Row],[H]]-PIT_H150[[#This Row],[2B]]-PIT_H150[[#This Row],[3B]]-PIT_H150[[#This Row],[HR]])+(PIT_H150[[#This Row],[2B]]*2)+(PIT_H150[[#This Row],[3B]]*3)+(PIT_H150[[#This Row],[HR]]*4),0)</f>
        <v>66</v>
      </c>
      <c r="AT135" s="72">
        <f>PIT_H150[[#This Row],[OBP]]+PIT_H150[[#This Row],[SLG]]</f>
        <v>0.66055708842464855</v>
      </c>
      <c r="AU135" s="74">
        <v>3</v>
      </c>
      <c r="AV135" s="615">
        <v>8</v>
      </c>
      <c r="AY135" s="651" t="s">
        <v>1096</v>
      </c>
      <c r="AZ135" s="74" t="s">
        <v>166</v>
      </c>
      <c r="BA135" s="71" t="s">
        <v>1100</v>
      </c>
      <c r="BB135" s="72">
        <f>IFERROR(PIT_H156[[#This Row],[H]]/PIT_H156[[#This Row],[AB]],0)</f>
        <v>0.30952380952380953</v>
      </c>
      <c r="BC135" s="72">
        <f>IFERROR((PIT_H156[[#This Row],[BB]]+PIT_H156[[#This Row],[H]])/(PIT_H156[[#This Row],[BB]]+PIT_H156[[#This Row],[AB]]),0)</f>
        <v>0.34831460674157305</v>
      </c>
      <c r="BD135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0.42857142857142855</v>
      </c>
      <c r="BE135" s="28">
        <v>40</v>
      </c>
      <c r="BF135" s="28">
        <v>168</v>
      </c>
      <c r="BG135" s="28">
        <v>14</v>
      </c>
      <c r="BH135" s="28">
        <v>52</v>
      </c>
      <c r="BI135" s="28">
        <v>6</v>
      </c>
      <c r="BJ135" s="28">
        <v>4</v>
      </c>
      <c r="BK135" s="28">
        <v>2</v>
      </c>
      <c r="BL135" s="28">
        <v>16</v>
      </c>
      <c r="BM135" s="28">
        <v>10</v>
      </c>
      <c r="BN135" s="74">
        <v>34</v>
      </c>
      <c r="BO135" s="28">
        <v>1</v>
      </c>
      <c r="BP135" s="28">
        <v>6</v>
      </c>
      <c r="BQ135" s="74">
        <v>6</v>
      </c>
      <c r="BR135" s="28">
        <f>(PIT_H156[[#This Row],[H]]-PIT_H156[[#This Row],[2B]]-PIT_H156[[#This Row],[3B]]-PIT_H156[[#This Row],[HR]])+(PIT_H156[[#This Row],[2B]]*2)+(PIT_H156[[#This Row],[3B]]*3)+(PIT_H156[[#This Row],[HR]]*4)</f>
        <v>72</v>
      </c>
      <c r="BS135" s="72">
        <f>IFERROR(PIT_H156[[#This Row],[OBP]]+PIT_H156[[#This Row],[SLG]],0)</f>
        <v>0.7768860353130016</v>
      </c>
      <c r="BT135" s="74">
        <v>1</v>
      </c>
      <c r="BU135" s="780">
        <v>8</v>
      </c>
    </row>
    <row r="136" spans="1:73">
      <c r="A136" s="651" t="s">
        <v>1096</v>
      </c>
      <c r="B136" s="71" t="s">
        <v>168</v>
      </c>
      <c r="C136" s="71" t="s">
        <v>723</v>
      </c>
      <c r="D136" s="72">
        <f>IFERROR(PIT_H[[#This Row],[H]]/PIT_H[[#This Row],[AB]],0)</f>
        <v>0.25806451612903225</v>
      </c>
      <c r="E136" s="72">
        <f>IFERROR((PIT_H[[#This Row],[H]]+PIT_H[[#This Row],[BB]])/(PIT_H[[#This Row],[BB]]+PIT_H[[#This Row],[AB]]),0)</f>
        <v>0.28125</v>
      </c>
      <c r="F136" s="73">
        <f>IFERROR(((PIT_H[[#This Row],[H]]-PIT_H[[#This Row],[2B]]-PIT_H[[#This Row],[3B]]-PIT_H[[#This Row],[HR]])+(PIT_H[[#This Row],[2B]]*2)+(PIT_H[[#This Row],[3B]]*3)+(PIT_H[[#This Row],[HR]]*4))/PIT_H[[#This Row],[AB]],0)</f>
        <v>0.34408602150537637</v>
      </c>
      <c r="G136" s="28">
        <v>22</v>
      </c>
      <c r="H136" s="28">
        <v>93</v>
      </c>
      <c r="I136" s="28">
        <v>5</v>
      </c>
      <c r="J136" s="28">
        <v>24</v>
      </c>
      <c r="K136" s="28">
        <v>3</v>
      </c>
      <c r="L136" s="28">
        <v>1</v>
      </c>
      <c r="M136" s="28">
        <v>1</v>
      </c>
      <c r="N136" s="28">
        <v>7</v>
      </c>
      <c r="O136" s="28">
        <v>3</v>
      </c>
      <c r="P136" s="74">
        <v>24</v>
      </c>
      <c r="Q136" s="28">
        <v>5</v>
      </c>
      <c r="R136" s="28">
        <v>3</v>
      </c>
      <c r="S136" s="74">
        <v>5</v>
      </c>
      <c r="T136" s="28">
        <f>IFERROR((PIT_H[[#This Row],[H]]-PIT_H[[#This Row],[2B]]-PIT_H[[#This Row],[3B]]-PIT_H[[#This Row],[HR]])+(PIT_H[[#This Row],[2B]]*2)+(PIT_H[[#This Row],[3B]]*3)+(PIT_H[[#This Row],[HR]]*4),0)</f>
        <v>32</v>
      </c>
      <c r="U136" s="72">
        <f>PIT_H[[#This Row],[OBP]]+PIT_H[[#This Row],[SLG]]</f>
        <v>0.62533602150537637</v>
      </c>
      <c r="V136" s="74">
        <v>1</v>
      </c>
      <c r="W136" s="615">
        <v>9</v>
      </c>
      <c r="Z136" s="651" t="s">
        <v>1096</v>
      </c>
      <c r="AA136" s="71" t="s">
        <v>168</v>
      </c>
      <c r="AB136" s="71" t="s">
        <v>783</v>
      </c>
      <c r="AC136" s="72">
        <f>IFERROR(PIT_H150[[#This Row],[H]]/PIT_H150[[#This Row],[AB]],0)</f>
        <v>0.21052631578947367</v>
      </c>
      <c r="AD136" s="72">
        <f>IFERROR((PIT_H150[[#This Row],[H]]+PIT_H150[[#This Row],[BB]])/(PIT_H150[[#This Row],[BB]]+PIT_H150[[#This Row],[AB]]),0)</f>
        <v>0.29054054054054052</v>
      </c>
      <c r="AE136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0.33834586466165412</v>
      </c>
      <c r="AF136" s="28">
        <v>35</v>
      </c>
      <c r="AG136" s="28">
        <v>133</v>
      </c>
      <c r="AH136" s="28">
        <v>11</v>
      </c>
      <c r="AI136" s="28">
        <v>28</v>
      </c>
      <c r="AJ136" s="28">
        <v>6</v>
      </c>
      <c r="AK136" s="28">
        <v>1</v>
      </c>
      <c r="AL136" s="28">
        <v>3</v>
      </c>
      <c r="AM136" s="28">
        <v>12</v>
      </c>
      <c r="AN136" s="28">
        <v>15</v>
      </c>
      <c r="AO136" s="74">
        <v>33</v>
      </c>
      <c r="AP136" s="28">
        <v>0</v>
      </c>
      <c r="AQ136" s="28">
        <v>5</v>
      </c>
      <c r="AR136" s="74">
        <v>6</v>
      </c>
      <c r="AS136" s="28">
        <f>IFERROR((PIT_H150[[#This Row],[H]]-PIT_H150[[#This Row],[2B]]-PIT_H150[[#This Row],[3B]]-PIT_H150[[#This Row],[HR]])+(PIT_H150[[#This Row],[2B]]*2)+(PIT_H150[[#This Row],[3B]]*3)+(PIT_H150[[#This Row],[HR]]*4),0)</f>
        <v>45</v>
      </c>
      <c r="AT136" s="72">
        <f>PIT_H150[[#This Row],[OBP]]+PIT_H150[[#This Row],[SLG]]</f>
        <v>0.62888640520219463</v>
      </c>
      <c r="AU136" s="74">
        <v>0</v>
      </c>
      <c r="AV136" s="615">
        <v>9</v>
      </c>
      <c r="AY136" s="651" t="s">
        <v>1096</v>
      </c>
      <c r="AZ136" s="74" t="s">
        <v>168</v>
      </c>
      <c r="BA136" s="71" t="s">
        <v>1105</v>
      </c>
      <c r="BB136" s="72">
        <f>IFERROR(PIT_H156[[#This Row],[H]]/PIT_H156[[#This Row],[AB]],0)</f>
        <v>0.25438596491228072</v>
      </c>
      <c r="BC136" s="72">
        <f>IFERROR((PIT_H156[[#This Row],[BB]]+PIT_H156[[#This Row],[H]])/(PIT_H156[[#This Row],[BB]]+PIT_H156[[#This Row],[AB]]),0)</f>
        <v>0.32539682539682541</v>
      </c>
      <c r="BD136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0.46491228070175439</v>
      </c>
      <c r="BE136" s="28">
        <v>32</v>
      </c>
      <c r="BF136" s="28">
        <v>114</v>
      </c>
      <c r="BG136" s="28">
        <v>17</v>
      </c>
      <c r="BH136" s="28">
        <v>29</v>
      </c>
      <c r="BI136" s="28">
        <v>9</v>
      </c>
      <c r="BJ136" s="28">
        <v>0</v>
      </c>
      <c r="BK136" s="28">
        <v>5</v>
      </c>
      <c r="BL136" s="28">
        <v>12</v>
      </c>
      <c r="BM136" s="28">
        <v>12</v>
      </c>
      <c r="BN136" s="74">
        <v>35</v>
      </c>
      <c r="BO136" s="28">
        <v>0</v>
      </c>
      <c r="BP136" s="28">
        <v>0</v>
      </c>
      <c r="BQ136" s="74">
        <v>4</v>
      </c>
      <c r="BR136" s="28">
        <f>(PIT_H156[[#This Row],[H]]-PIT_H156[[#This Row],[2B]]-PIT_H156[[#This Row],[3B]]-PIT_H156[[#This Row],[HR]])+(PIT_H156[[#This Row],[2B]]*2)+(PIT_H156[[#This Row],[3B]]*3)+(PIT_H156[[#This Row],[HR]]*4)</f>
        <v>53</v>
      </c>
      <c r="BS136" s="72">
        <f>IFERROR(PIT_H156[[#This Row],[OBP]]+PIT_H156[[#This Row],[SLG]],0)</f>
        <v>0.79030910609857985</v>
      </c>
      <c r="BT136" s="74">
        <v>0</v>
      </c>
      <c r="BU136" s="780">
        <v>9</v>
      </c>
    </row>
    <row r="137" spans="1:73">
      <c r="A137" s="651" t="s">
        <v>1096</v>
      </c>
      <c r="B137" s="71" t="s">
        <v>179</v>
      </c>
      <c r="C137" s="71" t="s">
        <v>1108</v>
      </c>
      <c r="D137" s="72">
        <f>IFERROR(PIT_H[[#This Row],[H]]/PIT_H[[#This Row],[AB]],0)</f>
        <v>0.125</v>
      </c>
      <c r="E137" s="72">
        <f>IFERROR((PIT_H[[#This Row],[H]]+PIT_H[[#This Row],[BB]])/(PIT_H[[#This Row],[BB]]+PIT_H[[#This Row],[AB]]),0)</f>
        <v>0.16666666666666666</v>
      </c>
      <c r="F137" s="73">
        <f>IFERROR(((PIT_H[[#This Row],[H]]-PIT_H[[#This Row],[2B]]-PIT_H[[#This Row],[3B]]-PIT_H[[#This Row],[HR]])+(PIT_H[[#This Row],[2B]]*2)+(PIT_H[[#This Row],[3B]]*3)+(PIT_H[[#This Row],[HR]]*4))/PIT_H[[#This Row],[AB]],0)</f>
        <v>0.22500000000000001</v>
      </c>
      <c r="G137" s="28">
        <v>10</v>
      </c>
      <c r="H137" s="28">
        <v>40</v>
      </c>
      <c r="I137" s="28">
        <v>4</v>
      </c>
      <c r="J137" s="28">
        <v>5</v>
      </c>
      <c r="K137" s="28">
        <v>1</v>
      </c>
      <c r="L137" s="28">
        <v>0</v>
      </c>
      <c r="M137" s="28">
        <v>1</v>
      </c>
      <c r="N137" s="28">
        <v>3</v>
      </c>
      <c r="O137" s="28">
        <v>2</v>
      </c>
      <c r="P137" s="74">
        <v>15</v>
      </c>
      <c r="Q137" s="28">
        <v>0</v>
      </c>
      <c r="R137" s="28">
        <v>0</v>
      </c>
      <c r="S137" s="74">
        <v>3</v>
      </c>
      <c r="T137" s="28">
        <f>IFERROR((PIT_H[[#This Row],[H]]-PIT_H[[#This Row],[2B]]-PIT_H[[#This Row],[3B]]-PIT_H[[#This Row],[HR]])+(PIT_H[[#This Row],[2B]]*2)+(PIT_H[[#This Row],[3B]]*3)+(PIT_H[[#This Row],[HR]]*4),0)</f>
        <v>9</v>
      </c>
      <c r="U137" s="72">
        <f>PIT_H[[#This Row],[OBP]]+PIT_H[[#This Row],[SLG]]</f>
        <v>0.39166666666666666</v>
      </c>
      <c r="V137" s="74">
        <v>1</v>
      </c>
      <c r="W137" s="615">
        <v>10</v>
      </c>
      <c r="Z137" s="651" t="s">
        <v>1096</v>
      </c>
      <c r="AA137" s="71" t="s">
        <v>179</v>
      </c>
      <c r="AB137" s="71" t="s">
        <v>1108</v>
      </c>
      <c r="AC137" s="72">
        <f>IFERROR(PIT_H150[[#This Row],[H]]/PIT_H150[[#This Row],[AB]],0)</f>
        <v>0.25</v>
      </c>
      <c r="AD137" s="72">
        <f>IFERROR((PIT_H150[[#This Row],[H]]+PIT_H150[[#This Row],[BB]])/(PIT_H150[[#This Row],[BB]]+PIT_H150[[#This Row],[AB]]),0)</f>
        <v>0.31578947368421051</v>
      </c>
      <c r="AE137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0.32692307692307693</v>
      </c>
      <c r="AF137" s="28">
        <v>13</v>
      </c>
      <c r="AG137" s="28">
        <v>52</v>
      </c>
      <c r="AH137" s="28">
        <v>5</v>
      </c>
      <c r="AI137" s="28">
        <v>13</v>
      </c>
      <c r="AJ137" s="28">
        <v>4</v>
      </c>
      <c r="AK137" s="28">
        <v>0</v>
      </c>
      <c r="AL137" s="28">
        <v>0</v>
      </c>
      <c r="AM137" s="28">
        <v>4</v>
      </c>
      <c r="AN137" s="28">
        <v>5</v>
      </c>
      <c r="AO137" s="74">
        <v>13</v>
      </c>
      <c r="AP137" s="28">
        <v>0</v>
      </c>
      <c r="AQ137" s="28">
        <v>0</v>
      </c>
      <c r="AR137" s="74">
        <v>3</v>
      </c>
      <c r="AS137" s="28">
        <f>IFERROR((PIT_H150[[#This Row],[H]]-PIT_H150[[#This Row],[2B]]-PIT_H150[[#This Row],[3B]]-PIT_H150[[#This Row],[HR]])+(PIT_H150[[#This Row],[2B]]*2)+(PIT_H150[[#This Row],[3B]]*3)+(PIT_H150[[#This Row],[HR]]*4),0)</f>
        <v>17</v>
      </c>
      <c r="AT137" s="72">
        <f>PIT_H150[[#This Row],[OBP]]+PIT_H150[[#This Row],[SLG]]</f>
        <v>0.64271255060728749</v>
      </c>
      <c r="AU137" s="74">
        <v>0</v>
      </c>
      <c r="AV137" s="615">
        <v>10</v>
      </c>
      <c r="AY137" s="651" t="s">
        <v>1096</v>
      </c>
      <c r="AZ137" s="74" t="s">
        <v>179</v>
      </c>
      <c r="BA137" s="71" t="s">
        <v>1109</v>
      </c>
      <c r="BB137" s="72">
        <f>IFERROR(PIT_H156[[#This Row],[H]]/PIT_H156[[#This Row],[AB]],0)</f>
        <v>0.19148936170212766</v>
      </c>
      <c r="BC137" s="72">
        <f>IFERROR((PIT_H156[[#This Row],[BB]]+PIT_H156[[#This Row],[H]])/(PIT_H156[[#This Row],[BB]]+PIT_H156[[#This Row],[AB]]),0)</f>
        <v>0.26923076923076922</v>
      </c>
      <c r="BD137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0.40425531914893614</v>
      </c>
      <c r="BE137" s="28">
        <v>14</v>
      </c>
      <c r="BF137" s="28">
        <v>47</v>
      </c>
      <c r="BG137" s="28">
        <v>6</v>
      </c>
      <c r="BH137" s="28">
        <v>9</v>
      </c>
      <c r="BI137" s="28">
        <v>1</v>
      </c>
      <c r="BJ137" s="28">
        <v>0</v>
      </c>
      <c r="BK137" s="28">
        <v>3</v>
      </c>
      <c r="BL137" s="28">
        <v>6</v>
      </c>
      <c r="BM137" s="28">
        <v>5</v>
      </c>
      <c r="BN137" s="74">
        <v>11</v>
      </c>
      <c r="BO137" s="28">
        <v>0</v>
      </c>
      <c r="BP137" s="28">
        <v>0</v>
      </c>
      <c r="BQ137" s="74">
        <v>4</v>
      </c>
      <c r="BR137" s="28">
        <f>(PIT_H156[[#This Row],[H]]-PIT_H156[[#This Row],[2B]]-PIT_H156[[#This Row],[3B]]-PIT_H156[[#This Row],[HR]])+(PIT_H156[[#This Row],[2B]]*2)+(PIT_H156[[#This Row],[3B]]*3)+(PIT_H156[[#This Row],[HR]]*4)</f>
        <v>19</v>
      </c>
      <c r="BS137" s="72">
        <f>IFERROR(PIT_H156[[#This Row],[OBP]]+PIT_H156[[#This Row],[SLG]],0)</f>
        <v>0.67348608837970536</v>
      </c>
      <c r="BT137" s="74">
        <v>1</v>
      </c>
      <c r="BU137" s="780">
        <v>10</v>
      </c>
    </row>
    <row r="138" spans="1:73">
      <c r="A138" s="651" t="s">
        <v>1096</v>
      </c>
      <c r="B138" s="71" t="s">
        <v>187</v>
      </c>
      <c r="C138" s="71" t="s">
        <v>1104</v>
      </c>
      <c r="D138" s="72">
        <f>IFERROR(PIT_H[[#This Row],[H]]/PIT_H[[#This Row],[AB]],0)</f>
        <v>0.14285714285714285</v>
      </c>
      <c r="E138" s="72">
        <f>IFERROR((PIT_H[[#This Row],[H]]+PIT_H[[#This Row],[BB]])/(PIT_H[[#This Row],[BB]]+PIT_H[[#This Row],[AB]]),0)</f>
        <v>0.18181818181818182</v>
      </c>
      <c r="F138" s="73">
        <f>IFERROR(((PIT_H[[#This Row],[H]]-PIT_H[[#This Row],[2B]]-PIT_H[[#This Row],[3B]]-PIT_H[[#This Row],[HR]])+(PIT_H[[#This Row],[2B]]*2)+(PIT_H[[#This Row],[3B]]*3)+(PIT_H[[#This Row],[HR]]*4))/PIT_H[[#This Row],[AB]],0)</f>
        <v>0.21428571428571427</v>
      </c>
      <c r="G138" s="28">
        <v>10</v>
      </c>
      <c r="H138" s="28">
        <v>42</v>
      </c>
      <c r="I138" s="28">
        <v>2</v>
      </c>
      <c r="J138" s="28">
        <v>6</v>
      </c>
      <c r="K138" s="28">
        <v>0</v>
      </c>
      <c r="L138" s="28">
        <v>0</v>
      </c>
      <c r="M138" s="28">
        <v>1</v>
      </c>
      <c r="N138" s="28">
        <v>5</v>
      </c>
      <c r="O138" s="28">
        <v>2</v>
      </c>
      <c r="P138" s="74">
        <v>9</v>
      </c>
      <c r="Q138" s="28">
        <v>0</v>
      </c>
      <c r="R138" s="28">
        <v>0</v>
      </c>
      <c r="S138" s="74">
        <v>4</v>
      </c>
      <c r="T138" s="28">
        <f>IFERROR((PIT_H[[#This Row],[H]]-PIT_H[[#This Row],[2B]]-PIT_H[[#This Row],[3B]]-PIT_H[[#This Row],[HR]])+(PIT_H[[#This Row],[2B]]*2)+(PIT_H[[#This Row],[3B]]*3)+(PIT_H[[#This Row],[HR]]*4),0)</f>
        <v>9</v>
      </c>
      <c r="U138" s="72">
        <f>PIT_H[[#This Row],[OBP]]+PIT_H[[#This Row],[SLG]]</f>
        <v>0.39610389610389607</v>
      </c>
      <c r="V138" s="74">
        <v>0</v>
      </c>
      <c r="W138" s="615">
        <v>11</v>
      </c>
      <c r="Z138" s="651" t="s">
        <v>1096</v>
      </c>
      <c r="AA138" s="71" t="s">
        <v>187</v>
      </c>
      <c r="AB138" s="71" t="s">
        <v>1112</v>
      </c>
      <c r="AC138" s="72">
        <f>IFERROR(PIT_H150[[#This Row],[H]]/PIT_H150[[#This Row],[AB]],0)</f>
        <v>0.21428571428571427</v>
      </c>
      <c r="AD138" s="72">
        <f>IFERROR((PIT_H150[[#This Row],[H]]+PIT_H150[[#This Row],[BB]])/(PIT_H150[[#This Row],[BB]]+PIT_H150[[#This Row],[AB]]),0)</f>
        <v>0.3125</v>
      </c>
      <c r="AE138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0.25</v>
      </c>
      <c r="AF138" s="28">
        <v>8</v>
      </c>
      <c r="AG138" s="28">
        <v>28</v>
      </c>
      <c r="AH138" s="28">
        <v>3</v>
      </c>
      <c r="AI138" s="28">
        <v>6</v>
      </c>
      <c r="AJ138" s="28">
        <v>1</v>
      </c>
      <c r="AK138" s="28">
        <v>0</v>
      </c>
      <c r="AL138" s="28">
        <v>0</v>
      </c>
      <c r="AM138" s="28">
        <v>1</v>
      </c>
      <c r="AN138" s="28">
        <v>4</v>
      </c>
      <c r="AO138" s="74">
        <v>10</v>
      </c>
      <c r="AP138" s="28">
        <v>0</v>
      </c>
      <c r="AQ138" s="28">
        <v>0</v>
      </c>
      <c r="AR138" s="74">
        <v>4</v>
      </c>
      <c r="AS138" s="28">
        <f>IFERROR((PIT_H150[[#This Row],[H]]-PIT_H150[[#This Row],[2B]]-PIT_H150[[#This Row],[3B]]-PIT_H150[[#This Row],[HR]])+(PIT_H150[[#This Row],[2B]]*2)+(PIT_H150[[#This Row],[3B]]*3)+(PIT_H150[[#This Row],[HR]]*4),0)</f>
        <v>7</v>
      </c>
      <c r="AT138" s="72">
        <f>PIT_H150[[#This Row],[OBP]]+PIT_H150[[#This Row],[SLG]]</f>
        <v>0.5625</v>
      </c>
      <c r="AU138" s="74">
        <v>0</v>
      </c>
      <c r="AV138" s="615">
        <v>11</v>
      </c>
      <c r="AY138" s="651" t="s">
        <v>1096</v>
      </c>
      <c r="AZ138" s="74" t="s">
        <v>187</v>
      </c>
      <c r="BA138" s="71" t="s">
        <v>1106</v>
      </c>
      <c r="BB138" s="72">
        <f>IFERROR(PIT_H156[[#This Row],[H]]/PIT_H156[[#This Row],[AB]],0)</f>
        <v>0.2361111111111111</v>
      </c>
      <c r="BC138" s="72">
        <f>IFERROR((PIT_H156[[#This Row],[BB]]+PIT_H156[[#This Row],[H]])/(PIT_H156[[#This Row],[BB]]+PIT_H156[[#This Row],[AB]]),0)</f>
        <v>0.25675675675675674</v>
      </c>
      <c r="BD138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0.3888888888888889</v>
      </c>
      <c r="BE138" s="28">
        <v>19</v>
      </c>
      <c r="BF138" s="28">
        <v>72</v>
      </c>
      <c r="BG138" s="28">
        <v>7</v>
      </c>
      <c r="BH138" s="28">
        <v>17</v>
      </c>
      <c r="BI138" s="28">
        <v>3</v>
      </c>
      <c r="BJ138" s="28">
        <v>4</v>
      </c>
      <c r="BK138" s="28">
        <v>0</v>
      </c>
      <c r="BL138" s="28">
        <v>8</v>
      </c>
      <c r="BM138" s="28">
        <v>2</v>
      </c>
      <c r="BN138" s="74">
        <v>16</v>
      </c>
      <c r="BO138" s="28">
        <v>0</v>
      </c>
      <c r="BP138" s="28">
        <v>0</v>
      </c>
      <c r="BQ138" s="74">
        <v>7</v>
      </c>
      <c r="BR138" s="28">
        <f>(PIT_H156[[#This Row],[H]]-PIT_H156[[#This Row],[2B]]-PIT_H156[[#This Row],[3B]]-PIT_H156[[#This Row],[HR]])+(PIT_H156[[#This Row],[2B]]*2)+(PIT_H156[[#This Row],[3B]]*3)+(PIT_H156[[#This Row],[HR]]*4)</f>
        <v>28</v>
      </c>
      <c r="BS138" s="72">
        <f>IFERROR(PIT_H156[[#This Row],[OBP]]+PIT_H156[[#This Row],[SLG]],0)</f>
        <v>0.64564564564564564</v>
      </c>
      <c r="BT138" s="74">
        <v>0</v>
      </c>
      <c r="BU138" s="780">
        <v>11</v>
      </c>
    </row>
    <row r="139" spans="1:73">
      <c r="A139" s="651" t="s">
        <v>1096</v>
      </c>
      <c r="B139" s="71" t="s">
        <v>192</v>
      </c>
      <c r="C139" s="71" t="s">
        <v>1111</v>
      </c>
      <c r="D139" s="72">
        <f>IFERROR(PIT_H[[#This Row],[H]]/PIT_H[[#This Row],[AB]],0)</f>
        <v>0</v>
      </c>
      <c r="E139" s="72">
        <f>IFERROR((PIT_H[[#This Row],[H]]+PIT_H[[#This Row],[BB]])/(PIT_H[[#This Row],[BB]]+PIT_H[[#This Row],[AB]]),0)</f>
        <v>0</v>
      </c>
      <c r="F139" s="73">
        <f>IFERROR(((PIT_H[[#This Row],[H]]-PIT_H[[#This Row],[2B]]-PIT_H[[#This Row],[3B]]-PIT_H[[#This Row],[HR]])+(PIT_H[[#This Row],[2B]]*2)+(PIT_H[[#This Row],[3B]]*3)+(PIT_H[[#This Row],[HR]]*4))/PIT_H[[#This Row],[AB]],0)</f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74">
        <v>0</v>
      </c>
      <c r="Q139" s="28">
        <v>0</v>
      </c>
      <c r="R139" s="28">
        <v>0</v>
      </c>
      <c r="S139" s="74">
        <v>0</v>
      </c>
      <c r="T139" s="28">
        <f>IFERROR((PIT_H[[#This Row],[H]]-PIT_H[[#This Row],[2B]]-PIT_H[[#This Row],[3B]]-PIT_H[[#This Row],[HR]])+(PIT_H[[#This Row],[2B]]*2)+(PIT_H[[#This Row],[3B]]*3)+(PIT_H[[#This Row],[HR]]*4),0)</f>
        <v>0</v>
      </c>
      <c r="U139" s="72">
        <f>PIT_H[[#This Row],[OBP]]+PIT_H[[#This Row],[SLG]]</f>
        <v>0</v>
      </c>
      <c r="V139" s="74">
        <v>0</v>
      </c>
      <c r="W139" s="615">
        <v>12</v>
      </c>
      <c r="Z139" s="651" t="s">
        <v>1096</v>
      </c>
      <c r="AA139" s="71" t="s">
        <v>187</v>
      </c>
      <c r="AB139" s="71" t="s">
        <v>1110</v>
      </c>
      <c r="AC139" s="72">
        <f>IFERROR(PIT_H150[[#This Row],[H]]/PIT_H150[[#This Row],[AB]],0)</f>
        <v>0.18181818181818182</v>
      </c>
      <c r="AD139" s="72">
        <f>IFERROR((PIT_H150[[#This Row],[H]]+PIT_H150[[#This Row],[BB]])/(PIT_H150[[#This Row],[BB]]+PIT_H150[[#This Row],[AB]]),0)</f>
        <v>0.25</v>
      </c>
      <c r="AE139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0.27272727272727271</v>
      </c>
      <c r="AF139" s="28">
        <v>2</v>
      </c>
      <c r="AG139" s="28">
        <v>11</v>
      </c>
      <c r="AH139" s="28">
        <v>1</v>
      </c>
      <c r="AI139" s="28">
        <v>2</v>
      </c>
      <c r="AJ139" s="28">
        <v>1</v>
      </c>
      <c r="AK139" s="28">
        <v>0</v>
      </c>
      <c r="AL139" s="28">
        <v>0</v>
      </c>
      <c r="AM139" s="28">
        <v>3</v>
      </c>
      <c r="AN139" s="28">
        <v>1</v>
      </c>
      <c r="AO139" s="74">
        <v>4</v>
      </c>
      <c r="AP139" s="28">
        <v>0</v>
      </c>
      <c r="AQ139" s="28">
        <v>2</v>
      </c>
      <c r="AR139" s="74">
        <v>2</v>
      </c>
      <c r="AS139" s="28">
        <f>IFERROR((PIT_H150[[#This Row],[H]]-PIT_H150[[#This Row],[2B]]-PIT_H150[[#This Row],[3B]]-PIT_H150[[#This Row],[HR]])+(PIT_H150[[#This Row],[2B]]*2)+(PIT_H150[[#This Row],[3B]]*3)+(PIT_H150[[#This Row],[HR]]*4),0)</f>
        <v>3</v>
      </c>
      <c r="AT139" s="72">
        <f>PIT_H150[[#This Row],[OBP]]+PIT_H150[[#This Row],[SLG]]</f>
        <v>0.52272727272727271</v>
      </c>
      <c r="AU139" s="74">
        <v>0</v>
      </c>
      <c r="AV139" s="615">
        <v>12</v>
      </c>
      <c r="AY139" s="651" t="s">
        <v>1096</v>
      </c>
      <c r="AZ139" s="74" t="s">
        <v>187</v>
      </c>
      <c r="BA139" s="71" t="s">
        <v>1110</v>
      </c>
      <c r="BB139" s="72">
        <f>IFERROR(PIT_H156[[#This Row],[H]]/PIT_H156[[#This Row],[AB]],0)</f>
        <v>0.25</v>
      </c>
      <c r="BC139" s="72">
        <f>IFERROR((PIT_H156[[#This Row],[BB]]+PIT_H156[[#This Row],[H]])/(PIT_H156[[#This Row],[BB]]+PIT_H156[[#This Row],[AB]]),0)</f>
        <v>0.3</v>
      </c>
      <c r="BD139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0.39285714285714285</v>
      </c>
      <c r="BE139" s="28">
        <v>9</v>
      </c>
      <c r="BF139" s="28">
        <v>28</v>
      </c>
      <c r="BG139" s="28">
        <v>2</v>
      </c>
      <c r="BH139" s="28">
        <v>7</v>
      </c>
      <c r="BI139" s="28">
        <v>1</v>
      </c>
      <c r="BJ139" s="28">
        <v>0</v>
      </c>
      <c r="BK139" s="28">
        <v>1</v>
      </c>
      <c r="BL139" s="28">
        <v>3</v>
      </c>
      <c r="BM139" s="28">
        <v>2</v>
      </c>
      <c r="BN139" s="74">
        <v>10</v>
      </c>
      <c r="BO139" s="28">
        <v>0</v>
      </c>
      <c r="BP139" s="28">
        <v>0</v>
      </c>
      <c r="BQ139" s="74">
        <v>4</v>
      </c>
      <c r="BR139" s="28">
        <f>(PIT_H156[[#This Row],[H]]-PIT_H156[[#This Row],[2B]]-PIT_H156[[#This Row],[3B]]-PIT_H156[[#This Row],[HR]])+(PIT_H156[[#This Row],[2B]]*2)+(PIT_H156[[#This Row],[3B]]*3)+(PIT_H156[[#This Row],[HR]]*4)</f>
        <v>11</v>
      </c>
      <c r="BS139" s="72">
        <f>IFERROR(PIT_H156[[#This Row],[OBP]]+PIT_H156[[#This Row],[SLG]],0)</f>
        <v>0.69285714285714284</v>
      </c>
      <c r="BT139" s="74">
        <v>0</v>
      </c>
      <c r="BU139" s="780">
        <v>12</v>
      </c>
    </row>
    <row r="140" spans="1:73">
      <c r="A140" s="651" t="s">
        <v>1096</v>
      </c>
      <c r="B140" s="71" t="s">
        <v>186</v>
      </c>
      <c r="C140" s="71" t="s">
        <v>783</v>
      </c>
      <c r="D140" s="72">
        <f>IFERROR(PIT_H[[#This Row],[H]]/PIT_H[[#This Row],[AB]],0)</f>
        <v>0.19753086419753085</v>
      </c>
      <c r="E140" s="72">
        <f>IFERROR((PIT_H[[#This Row],[H]]+PIT_H[[#This Row],[BB]])/(PIT_H[[#This Row],[BB]]+PIT_H[[#This Row],[AB]]),0)</f>
        <v>0.30107526881720431</v>
      </c>
      <c r="F140" s="73">
        <f>IFERROR(((PIT_H[[#This Row],[H]]-PIT_H[[#This Row],[2B]]-PIT_H[[#This Row],[3B]]-PIT_H[[#This Row],[HR]])+(PIT_H[[#This Row],[2B]]*2)+(PIT_H[[#This Row],[3B]]*3)+(PIT_H[[#This Row],[HR]]*4))/PIT_H[[#This Row],[AB]],0)</f>
        <v>0.30864197530864196</v>
      </c>
      <c r="G140" s="28">
        <v>22</v>
      </c>
      <c r="H140" s="28">
        <v>81</v>
      </c>
      <c r="I140" s="28">
        <v>8</v>
      </c>
      <c r="J140" s="28">
        <v>16</v>
      </c>
      <c r="K140" s="28">
        <v>3</v>
      </c>
      <c r="L140" s="28">
        <v>0</v>
      </c>
      <c r="M140" s="28">
        <v>2</v>
      </c>
      <c r="N140" s="28">
        <v>6</v>
      </c>
      <c r="O140" s="28">
        <v>12</v>
      </c>
      <c r="P140" s="74">
        <v>14</v>
      </c>
      <c r="Q140" s="28">
        <v>0</v>
      </c>
      <c r="R140" s="28">
        <v>1</v>
      </c>
      <c r="S140" s="74">
        <v>3</v>
      </c>
      <c r="T140" s="28">
        <f>IFERROR((PIT_H[[#This Row],[H]]-PIT_H[[#This Row],[2B]]-PIT_H[[#This Row],[3B]]-PIT_H[[#This Row],[HR]])+(PIT_H[[#This Row],[2B]]*2)+(PIT_H[[#This Row],[3B]]*3)+(PIT_H[[#This Row],[HR]]*4),0)</f>
        <v>25</v>
      </c>
      <c r="U140" s="72">
        <f>PIT_H[[#This Row],[OBP]]+PIT_H[[#This Row],[SLG]]</f>
        <v>0.60971724412584627</v>
      </c>
      <c r="V140" s="74">
        <v>1</v>
      </c>
      <c r="W140" s="615">
        <v>13</v>
      </c>
      <c r="Z140" s="651" t="s">
        <v>1096</v>
      </c>
      <c r="AA140" s="71" t="s">
        <v>186</v>
      </c>
      <c r="AB140" s="71" t="s">
        <v>1105</v>
      </c>
      <c r="AC140" s="72">
        <f>IFERROR(PIT_H150[[#This Row],[H]]/PIT_H150[[#This Row],[AB]],0)</f>
        <v>0.2857142857142857</v>
      </c>
      <c r="AD140" s="72">
        <f>IFERROR((PIT_H150[[#This Row],[H]]+PIT_H150[[#This Row],[BB]])/(PIT_H150[[#This Row],[BB]]+PIT_H150[[#This Row],[AB]]),0)</f>
        <v>0.4</v>
      </c>
      <c r="AE140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0.38095238095238093</v>
      </c>
      <c r="AF140" s="28">
        <v>6</v>
      </c>
      <c r="AG140" s="28">
        <v>21</v>
      </c>
      <c r="AH140" s="28">
        <v>3</v>
      </c>
      <c r="AI140" s="28">
        <v>6</v>
      </c>
      <c r="AJ140" s="28">
        <v>2</v>
      </c>
      <c r="AK140" s="28">
        <v>0</v>
      </c>
      <c r="AL140" s="28">
        <v>0</v>
      </c>
      <c r="AM140" s="28">
        <v>1</v>
      </c>
      <c r="AN140" s="28">
        <v>4</v>
      </c>
      <c r="AO140" s="74">
        <v>5</v>
      </c>
      <c r="AP140" s="28">
        <v>0</v>
      </c>
      <c r="AQ140" s="28">
        <v>0</v>
      </c>
      <c r="AR140" s="74">
        <v>3</v>
      </c>
      <c r="AS140" s="28">
        <f>IFERROR((PIT_H150[[#This Row],[H]]-PIT_H150[[#This Row],[2B]]-PIT_H150[[#This Row],[3B]]-PIT_H150[[#This Row],[HR]])+(PIT_H150[[#This Row],[2B]]*2)+(PIT_H150[[#This Row],[3B]]*3)+(PIT_H150[[#This Row],[HR]]*4),0)</f>
        <v>8</v>
      </c>
      <c r="AT140" s="72">
        <f>PIT_H150[[#This Row],[OBP]]+PIT_H150[[#This Row],[SLG]]</f>
        <v>0.78095238095238095</v>
      </c>
      <c r="AU140" s="74">
        <v>0</v>
      </c>
      <c r="AV140" s="615">
        <v>13</v>
      </c>
      <c r="AY140" s="651" t="s">
        <v>1096</v>
      </c>
      <c r="AZ140" s="74" t="s">
        <v>184</v>
      </c>
      <c r="BA140" s="71" t="s">
        <v>1112</v>
      </c>
      <c r="BB140" s="72">
        <f>IFERROR(PIT_H156[[#This Row],[H]]/PIT_H156[[#This Row],[AB]],0)</f>
        <v>0.41176470588235292</v>
      </c>
      <c r="BC140" s="72">
        <f>IFERROR((PIT_H156[[#This Row],[BB]]+PIT_H156[[#This Row],[H]])/(PIT_H156[[#This Row],[BB]]+PIT_H156[[#This Row],[AB]]),0)</f>
        <v>0.41176470588235292</v>
      </c>
      <c r="BD140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0.58823529411764708</v>
      </c>
      <c r="BE140" s="28">
        <v>4</v>
      </c>
      <c r="BF140" s="28">
        <v>17</v>
      </c>
      <c r="BG140" s="28">
        <v>3</v>
      </c>
      <c r="BH140" s="28">
        <v>7</v>
      </c>
      <c r="BI140" s="28">
        <v>1</v>
      </c>
      <c r="BJ140" s="28">
        <v>1</v>
      </c>
      <c r="BK140" s="28">
        <v>0</v>
      </c>
      <c r="BL140" s="28">
        <v>1</v>
      </c>
      <c r="BM140" s="28">
        <v>0</v>
      </c>
      <c r="BN140" s="74">
        <v>3</v>
      </c>
      <c r="BO140" s="28">
        <v>0</v>
      </c>
      <c r="BP140" s="28">
        <v>4</v>
      </c>
      <c r="BQ140" s="74">
        <v>4</v>
      </c>
      <c r="BR140" s="28">
        <f>(PIT_H156[[#This Row],[H]]-PIT_H156[[#This Row],[2B]]-PIT_H156[[#This Row],[3B]]-PIT_H156[[#This Row],[HR]])+(PIT_H156[[#This Row],[2B]]*2)+(PIT_H156[[#This Row],[3B]]*3)+(PIT_H156[[#This Row],[HR]]*4)</f>
        <v>10</v>
      </c>
      <c r="BS140" s="72">
        <f>IFERROR(PIT_H156[[#This Row],[OBP]]+PIT_H156[[#This Row],[SLG]],0)</f>
        <v>1</v>
      </c>
      <c r="BT140" s="74">
        <v>1</v>
      </c>
      <c r="BU140" s="780">
        <v>13</v>
      </c>
    </row>
    <row r="141" spans="1:73" ht="17" thickBot="1">
      <c r="A141" s="651" t="s">
        <v>1096</v>
      </c>
      <c r="B141" s="71" t="s">
        <v>186</v>
      </c>
      <c r="C141" s="71" t="s">
        <v>1107</v>
      </c>
      <c r="D141" s="72">
        <f>IFERROR(PIT_H[[#This Row],[H]]/PIT_H[[#This Row],[AB]],0)</f>
        <v>0</v>
      </c>
      <c r="E141" s="72">
        <f>IFERROR((PIT_H[[#This Row],[H]]+PIT_H[[#This Row],[BB]])/(PIT_H[[#This Row],[BB]]+PIT_H[[#This Row],[AB]]),0)</f>
        <v>0</v>
      </c>
      <c r="F141" s="73">
        <f>IFERROR(((PIT_H[[#This Row],[H]]-PIT_H[[#This Row],[2B]]-PIT_H[[#This Row],[3B]]-PIT_H[[#This Row],[HR]])+(PIT_H[[#This Row],[2B]]*2)+(PIT_H[[#This Row],[3B]]*3)+(PIT_H[[#This Row],[HR]]*4))/PIT_H[[#This Row],[AB]],0)</f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74">
        <v>0</v>
      </c>
      <c r="Q141" s="28">
        <v>0</v>
      </c>
      <c r="R141" s="28">
        <v>0</v>
      </c>
      <c r="S141" s="74">
        <v>0</v>
      </c>
      <c r="T141" s="28">
        <f>IFERROR((PIT_H[[#This Row],[H]]-PIT_H[[#This Row],[2B]]-PIT_H[[#This Row],[3B]]-PIT_H[[#This Row],[HR]])+(PIT_H[[#This Row],[2B]]*2)+(PIT_H[[#This Row],[3B]]*3)+(PIT_H[[#This Row],[HR]]*4),0)</f>
        <v>0</v>
      </c>
      <c r="U141" s="72">
        <f>PIT_H[[#This Row],[OBP]]+PIT_H[[#This Row],[SLG]]</f>
        <v>0</v>
      </c>
      <c r="V141" s="74">
        <v>0</v>
      </c>
      <c r="W141" s="615">
        <v>14</v>
      </c>
      <c r="Z141" s="651" t="s">
        <v>1096</v>
      </c>
      <c r="AA141" s="71" t="s">
        <v>186</v>
      </c>
      <c r="AB141" s="71" t="s">
        <v>1107</v>
      </c>
      <c r="AC141" s="72">
        <f>IFERROR(PIT_H150[[#This Row],[H]]/PIT_H150[[#This Row],[AB]],0)</f>
        <v>0.39285714285714285</v>
      </c>
      <c r="AD141" s="72">
        <f>IFERROR((PIT_H150[[#This Row],[H]]+PIT_H150[[#This Row],[BB]])/(PIT_H150[[#This Row],[BB]]+PIT_H150[[#This Row],[AB]]),0)</f>
        <v>0.55263157894736847</v>
      </c>
      <c r="AE141" s="73">
        <f>IFERROR(((PIT_H150[[#This Row],[H]]-PIT_H150[[#This Row],[2B]]-PIT_H150[[#This Row],[3B]]-PIT_H150[[#This Row],[HR]])+(PIT_H150[[#This Row],[2B]]*2)+(PIT_H150[[#This Row],[3B]]*3)+(PIT_H150[[#This Row],[HR]]*4))/PIT_H150[[#This Row],[AB]],0)</f>
        <v>0.75</v>
      </c>
      <c r="AF141" s="28">
        <v>8</v>
      </c>
      <c r="AG141" s="28">
        <v>28</v>
      </c>
      <c r="AH141" s="28">
        <v>4</v>
      </c>
      <c r="AI141" s="28">
        <v>11</v>
      </c>
      <c r="AJ141" s="28">
        <v>1</v>
      </c>
      <c r="AK141" s="28">
        <v>0</v>
      </c>
      <c r="AL141" s="28">
        <v>3</v>
      </c>
      <c r="AM141" s="28">
        <v>7</v>
      </c>
      <c r="AN141" s="28">
        <v>10</v>
      </c>
      <c r="AO141" s="74">
        <v>5</v>
      </c>
      <c r="AP141" s="28">
        <v>0</v>
      </c>
      <c r="AQ141" s="28">
        <v>6</v>
      </c>
      <c r="AR141" s="74">
        <v>6</v>
      </c>
      <c r="AS141" s="28">
        <f>IFERROR((PIT_H150[[#This Row],[H]]-PIT_H150[[#This Row],[2B]]-PIT_H150[[#This Row],[3B]]-PIT_H150[[#This Row],[HR]])+(PIT_H150[[#This Row],[2B]]*2)+(PIT_H150[[#This Row],[3B]]*3)+(PIT_H150[[#This Row],[HR]]*4),0)</f>
        <v>21</v>
      </c>
      <c r="AT141" s="72">
        <f>PIT_H150[[#This Row],[OBP]]+PIT_H150[[#This Row],[SLG]]</f>
        <v>1.3026315789473686</v>
      </c>
      <c r="AU141" s="74">
        <v>1</v>
      </c>
      <c r="AV141" s="615">
        <v>14</v>
      </c>
      <c r="AY141" s="651" t="s">
        <v>1096</v>
      </c>
      <c r="AZ141" s="74" t="s">
        <v>184</v>
      </c>
      <c r="BA141" s="71" t="s">
        <v>1107</v>
      </c>
      <c r="BB141" s="72">
        <f>IFERROR(PIT_H156[[#This Row],[H]]/PIT_H156[[#This Row],[AB]],0)</f>
        <v>0.18518518518518517</v>
      </c>
      <c r="BC141" s="72">
        <f>IFERROR((PIT_H156[[#This Row],[BB]]+PIT_H156[[#This Row],[H]])/(PIT_H156[[#This Row],[BB]]+PIT_H156[[#This Row],[AB]]),0)</f>
        <v>0.29032258064516131</v>
      </c>
      <c r="BD141" s="73">
        <f>IFERROR(((PIT_H156[[#This Row],[H]]-PIT_H156[[#This Row],[2B]]-PIT_H156[[#This Row],[3B]]-PIT_H156[[#This Row],[HR]])+(PIT_H156[[#This Row],[2B]]*2)+(PIT_H156[[#This Row],[3B]]*3)+(PIT_H156[[#This Row],[HR]]*4))/PIT_H156[[#This Row],[AB]],0)</f>
        <v>0.25925925925925924</v>
      </c>
      <c r="BE141" s="28">
        <v>9</v>
      </c>
      <c r="BF141" s="28">
        <v>27</v>
      </c>
      <c r="BG141" s="28">
        <v>3</v>
      </c>
      <c r="BH141" s="28">
        <v>5</v>
      </c>
      <c r="BI141" s="28">
        <v>2</v>
      </c>
      <c r="BJ141" s="28">
        <v>0</v>
      </c>
      <c r="BK141" s="28">
        <v>0</v>
      </c>
      <c r="BL141" s="28">
        <v>1</v>
      </c>
      <c r="BM141" s="28">
        <v>4</v>
      </c>
      <c r="BN141" s="74">
        <v>11</v>
      </c>
      <c r="BO141" s="28">
        <v>0</v>
      </c>
      <c r="BP141" s="28">
        <v>0</v>
      </c>
      <c r="BQ141" s="74">
        <v>2</v>
      </c>
      <c r="BR141" s="28">
        <f>(PIT_H156[[#This Row],[H]]-PIT_H156[[#This Row],[2B]]-PIT_H156[[#This Row],[3B]]-PIT_H156[[#This Row],[HR]])+(PIT_H156[[#This Row],[2B]]*2)+(PIT_H156[[#This Row],[3B]]*3)+(PIT_H156[[#This Row],[HR]]*4)</f>
        <v>7</v>
      </c>
      <c r="BS141" s="72">
        <f>IFERROR(PIT_H156[[#This Row],[OBP]]+PIT_H156[[#This Row],[SLG]],0)</f>
        <v>0.54958183990442055</v>
      </c>
      <c r="BT141" s="74">
        <v>0</v>
      </c>
      <c r="BU141" s="780">
        <v>14</v>
      </c>
    </row>
    <row r="142" spans="1:73" ht="17" thickBot="1">
      <c r="A142" s="823"/>
      <c r="B142" s="824"/>
      <c r="C142" s="791" t="s">
        <v>195</v>
      </c>
      <c r="D142" s="792">
        <f>J142/H142</f>
        <v>0.24821173104434907</v>
      </c>
      <c r="E142" s="792">
        <f>(O142+J142)/(H142+O142)</f>
        <v>0.30627062706270625</v>
      </c>
      <c r="F142" s="793">
        <f>((J142-K142-L142-M142)+(K142*2)+(L142*3)+(M142*4))/H142</f>
        <v>0.39628040057224606</v>
      </c>
      <c r="G142" s="794"/>
      <c r="H142" s="794">
        <f>SUBTOTAL(109,PIT_H[AB])</f>
        <v>1398</v>
      </c>
      <c r="I142" s="794">
        <f>SUBTOTAL(109,PIT_H[R])</f>
        <v>147</v>
      </c>
      <c r="J142" s="794">
        <f>SUBTOTAL(109,PIT_H[H])</f>
        <v>347</v>
      </c>
      <c r="K142" s="794">
        <f>SUBTOTAL(109,PIT_H[2B])</f>
        <v>56</v>
      </c>
      <c r="L142" s="795">
        <f>SUBTOTAL(109,PIT_H[3B])</f>
        <v>14</v>
      </c>
      <c r="M142" s="794">
        <f>SUBTOTAL(109,PIT_H[HR])</f>
        <v>41</v>
      </c>
      <c r="N142" s="794">
        <f>SUBTOTAL(109,PIT_H[RBI])</f>
        <v>147</v>
      </c>
      <c r="O142" s="794">
        <f>SUBTOTAL(109,PIT_H[BB])</f>
        <v>117</v>
      </c>
      <c r="P142" s="796">
        <f>SUBTOTAL(109,PIT_H[K])</f>
        <v>348</v>
      </c>
      <c r="Q142" s="794">
        <f>SUBTOTAL(109,PIT_H[SB])</f>
        <v>18</v>
      </c>
      <c r="R142" s="794"/>
      <c r="S142" s="796"/>
      <c r="T142" s="794">
        <f>SUBTOTAL(109,PIT_H[TB])</f>
        <v>554</v>
      </c>
      <c r="U142" s="792">
        <f>E142+F142</f>
        <v>0.70255102763495225</v>
      </c>
      <c r="V142" s="796">
        <f>SUBTOTAL(109,PIT_H[*])</f>
        <v>18</v>
      </c>
      <c r="W142" s="797"/>
      <c r="Z142" s="823"/>
      <c r="AA142" s="824"/>
      <c r="AB142" s="791" t="s">
        <v>195</v>
      </c>
      <c r="AC142" s="792">
        <f>AI142/AG142</f>
        <v>0.24229390681003585</v>
      </c>
      <c r="AD142" s="792">
        <f>(AN142+AI142)/(AG142+AN142)</f>
        <v>0.30688524590163935</v>
      </c>
      <c r="AE142" s="793">
        <f>((AI142-AJ142-AK142-AL142)+(AJ142*2)+(AK142*3)+(AL142*4))/AG142</f>
        <v>0.39211469534050181</v>
      </c>
      <c r="AF142" s="794"/>
      <c r="AG142" s="794">
        <f>SUBTOTAL(109,PIT_H150[AB])</f>
        <v>1395</v>
      </c>
      <c r="AH142" s="794">
        <f>SUBTOTAL(109,PIT_H150[R])</f>
        <v>146</v>
      </c>
      <c r="AI142" s="794">
        <f>SUBTOTAL(109,PIT_H150[H])</f>
        <v>338</v>
      </c>
      <c r="AJ142" s="794">
        <f>SUBTOTAL(109,PIT_H150[2B])</f>
        <v>64</v>
      </c>
      <c r="AK142" s="794">
        <f>SUBTOTAL(109,PIT_H150[3B])</f>
        <v>8</v>
      </c>
      <c r="AL142" s="794">
        <f>SUBTOTAL(109,PIT_H150[HR])</f>
        <v>43</v>
      </c>
      <c r="AM142" s="794">
        <f>SUBTOTAL(109,PIT_H150[RBI])</f>
        <v>145</v>
      </c>
      <c r="AN142" s="794">
        <f>SUBTOTAL(109,PIT_H150[BB])</f>
        <v>130</v>
      </c>
      <c r="AO142" s="796">
        <f>SUBTOTAL(109,PIT_H150[K])</f>
        <v>358</v>
      </c>
      <c r="AP142" s="794">
        <f>SUBTOTAL(109,PIT_H150[SB])</f>
        <v>2</v>
      </c>
      <c r="AQ142" s="794"/>
      <c r="AR142" s="796"/>
      <c r="AS142" s="794">
        <f>SUBTOTAL(109,PIT_H150[TB])</f>
        <v>547</v>
      </c>
      <c r="AT142" s="792">
        <f>AD142+AE142</f>
        <v>0.69899994124214115</v>
      </c>
      <c r="AU142" s="796">
        <f>SUBTOTAL(109,PIT_H150[*])</f>
        <v>12</v>
      </c>
      <c r="AV142" s="797"/>
      <c r="AY142" s="823"/>
      <c r="AZ142" s="824"/>
      <c r="BA142" s="791" t="s">
        <v>195</v>
      </c>
      <c r="BB142" s="792">
        <f>IFERROR(BH142/BF142,0)</f>
        <v>0.26319444444444445</v>
      </c>
      <c r="BC142" s="792">
        <f>IFERROR((BM142+BH142)/(BM142+BF142),0)</f>
        <v>0.32420382165605094</v>
      </c>
      <c r="BD142" s="793">
        <f>IFERROR(((BH142-BI142-BJ142-BK142)+(BI142*2)+(BJ142*3)+(BK142*4))/BF142,0)</f>
        <v>0.44236111111111109</v>
      </c>
      <c r="BE142" s="794"/>
      <c r="BF142" s="794">
        <f>SUBTOTAL(109,PIT_H156[AB])</f>
        <v>1440</v>
      </c>
      <c r="BG142" s="794">
        <f>SUBTOTAL(109,PIT_H156[R])</f>
        <v>177</v>
      </c>
      <c r="BH142" s="794">
        <f>SUBTOTAL(109,PIT_H156[H])</f>
        <v>379</v>
      </c>
      <c r="BI142" s="794">
        <f>SUBTOTAL(109,PIT_H156[2B])</f>
        <v>78</v>
      </c>
      <c r="BJ142" s="795">
        <f>SUBTOTAL(109,PIT_H156[3B])</f>
        <v>15</v>
      </c>
      <c r="BK142" s="794">
        <f>SUBTOTAL(109,PIT_H156[HR])</f>
        <v>50</v>
      </c>
      <c r="BL142" s="794">
        <f>SUBTOTAL(109,PIT_H156[RBI])</f>
        <v>175</v>
      </c>
      <c r="BM142" s="794">
        <f>SUBTOTAL(109,PIT_H156[BB])</f>
        <v>130</v>
      </c>
      <c r="BN142" s="796">
        <f>SUBTOTAL(109,PIT_H156[K])</f>
        <v>360</v>
      </c>
      <c r="BO142" s="794">
        <f>SUBTOTAL(109,PIT_H156[SB])</f>
        <v>6</v>
      </c>
      <c r="BP142" s="794"/>
      <c r="BQ142" s="796"/>
      <c r="BR142" s="794">
        <f>SUBTOTAL(109,PIT_H156[TB])</f>
        <v>637</v>
      </c>
      <c r="BS142" s="792">
        <f>IFERROR(BC142+BD142,0)</f>
        <v>0.76656493276716198</v>
      </c>
      <c r="BT142" s="796">
        <f>SUBTOTAL(109,PIT_H156[*])</f>
        <v>14</v>
      </c>
      <c r="BU142" s="797"/>
    </row>
    <row r="143" spans="1:73" ht="17" thickBot="1"/>
    <row r="144" spans="1:73" s="64" customFormat="1" ht="14" thickBot="1">
      <c r="A144" s="847" t="s">
        <v>143</v>
      </c>
      <c r="B144" s="848" t="s">
        <v>144</v>
      </c>
      <c r="C144" s="848" t="s">
        <v>145</v>
      </c>
      <c r="D144" s="848" t="s">
        <v>196</v>
      </c>
      <c r="E144" s="848" t="s">
        <v>197</v>
      </c>
      <c r="F144" s="848" t="s">
        <v>198</v>
      </c>
      <c r="G144" s="848" t="s">
        <v>149</v>
      </c>
      <c r="H144" s="848" t="s">
        <v>199</v>
      </c>
      <c r="I144" s="848" t="s">
        <v>152</v>
      </c>
      <c r="J144" s="848" t="s">
        <v>151</v>
      </c>
      <c r="K144" s="848" t="s">
        <v>157</v>
      </c>
      <c r="L144" s="848" t="s">
        <v>158</v>
      </c>
      <c r="M144" s="848" t="s">
        <v>200</v>
      </c>
      <c r="N144" s="848" t="s">
        <v>201</v>
      </c>
      <c r="O144" s="848" t="s">
        <v>202</v>
      </c>
      <c r="P144" s="848" t="s">
        <v>203</v>
      </c>
      <c r="Q144" s="848" t="s">
        <v>204</v>
      </c>
      <c r="R144" s="848" t="s">
        <v>205</v>
      </c>
      <c r="S144" s="849" t="s">
        <v>164</v>
      </c>
      <c r="Z144" s="847" t="s">
        <v>143</v>
      </c>
      <c r="AA144" s="848" t="s">
        <v>144</v>
      </c>
      <c r="AB144" s="848" t="s">
        <v>145</v>
      </c>
      <c r="AC144" s="848" t="s">
        <v>196</v>
      </c>
      <c r="AD144" s="848" t="s">
        <v>197</v>
      </c>
      <c r="AE144" s="848" t="s">
        <v>198</v>
      </c>
      <c r="AF144" s="848" t="s">
        <v>149</v>
      </c>
      <c r="AG144" s="848" t="s">
        <v>199</v>
      </c>
      <c r="AH144" s="848" t="s">
        <v>152</v>
      </c>
      <c r="AI144" s="848" t="s">
        <v>151</v>
      </c>
      <c r="AJ144" s="848" t="s">
        <v>157</v>
      </c>
      <c r="AK144" s="848" t="s">
        <v>158</v>
      </c>
      <c r="AL144" s="848" t="s">
        <v>200</v>
      </c>
      <c r="AM144" s="848" t="s">
        <v>201</v>
      </c>
      <c r="AN144" s="848" t="s">
        <v>202</v>
      </c>
      <c r="AO144" s="848" t="s">
        <v>203</v>
      </c>
      <c r="AP144" s="848" t="s">
        <v>204</v>
      </c>
      <c r="AQ144" s="848" t="s">
        <v>205</v>
      </c>
      <c r="AR144" s="849" t="s">
        <v>164</v>
      </c>
      <c r="AY144" s="847" t="s">
        <v>143</v>
      </c>
      <c r="AZ144" s="848" t="s">
        <v>144</v>
      </c>
      <c r="BA144" s="848" t="s">
        <v>145</v>
      </c>
      <c r="BB144" s="848" t="s">
        <v>196</v>
      </c>
      <c r="BC144" s="848" t="s">
        <v>197</v>
      </c>
      <c r="BD144" s="848" t="s">
        <v>198</v>
      </c>
      <c r="BE144" s="848" t="s">
        <v>149</v>
      </c>
      <c r="BF144" s="848" t="s">
        <v>199</v>
      </c>
      <c r="BG144" s="848" t="s">
        <v>152</v>
      </c>
      <c r="BH144" s="848" t="s">
        <v>151</v>
      </c>
      <c r="BI144" s="848" t="s">
        <v>157</v>
      </c>
      <c r="BJ144" s="848" t="s">
        <v>158</v>
      </c>
      <c r="BK144" s="848" t="s">
        <v>200</v>
      </c>
      <c r="BL144" s="848" t="s">
        <v>201</v>
      </c>
      <c r="BM144" s="848" t="s">
        <v>202</v>
      </c>
      <c r="BN144" s="848" t="s">
        <v>203</v>
      </c>
      <c r="BO144" s="848" t="s">
        <v>204</v>
      </c>
      <c r="BP144" s="848" t="s">
        <v>205</v>
      </c>
      <c r="BQ144" s="849" t="s">
        <v>164</v>
      </c>
    </row>
    <row r="145" spans="1:73">
      <c r="A145" s="650" t="s">
        <v>1096</v>
      </c>
      <c r="B145" s="604" t="s">
        <v>365</v>
      </c>
      <c r="C145" s="752" t="s">
        <v>1113</v>
      </c>
      <c r="D145" s="663">
        <f>IFERROR((PIT_P[[#This Row],[R]]*9)/PIT_P[[#This Row],[IP]],0)</f>
        <v>3.0857142857142859</v>
      </c>
      <c r="E145" s="600">
        <v>4</v>
      </c>
      <c r="F145" s="604">
        <v>4</v>
      </c>
      <c r="G145" s="600">
        <v>10</v>
      </c>
      <c r="H145" s="630">
        <v>70</v>
      </c>
      <c r="I145" s="600">
        <v>63</v>
      </c>
      <c r="J145" s="600">
        <v>24</v>
      </c>
      <c r="K145" s="600">
        <v>28</v>
      </c>
      <c r="L145" s="600">
        <v>78</v>
      </c>
      <c r="M145" s="600">
        <v>0</v>
      </c>
      <c r="N145" s="631">
        <f>IFERROR((PIT_P[[#This Row],[BB]]+PIT_P[[#This Row],[H]])/PIT_P[[#This Row],[IP]],0)</f>
        <v>1.3</v>
      </c>
      <c r="O145" s="600">
        <v>8</v>
      </c>
      <c r="P145" s="601">
        <v>6</v>
      </c>
      <c r="Q145" s="600">
        <v>1</v>
      </c>
      <c r="R145" s="604">
        <v>1</v>
      </c>
      <c r="S145" s="779">
        <v>1</v>
      </c>
      <c r="Z145" s="650" t="s">
        <v>1096</v>
      </c>
      <c r="AA145" s="604" t="s">
        <v>206</v>
      </c>
      <c r="AB145" s="752" t="s">
        <v>1114</v>
      </c>
      <c r="AC145" s="663">
        <f>IFERROR((PIT_P151[[#This Row],[R]]*9)/PIT_P151[[#This Row],[IP]],0)</f>
        <v>5.3092870385976738</v>
      </c>
      <c r="AD145" s="600">
        <v>0</v>
      </c>
      <c r="AE145" s="604">
        <v>8</v>
      </c>
      <c r="AF145" s="600">
        <v>10</v>
      </c>
      <c r="AG145" s="630">
        <v>59.33</v>
      </c>
      <c r="AH145" s="600">
        <v>58</v>
      </c>
      <c r="AI145" s="600">
        <v>35</v>
      </c>
      <c r="AJ145" s="600">
        <v>28</v>
      </c>
      <c r="AK145" s="600">
        <v>53</v>
      </c>
      <c r="AL145" s="600">
        <v>0</v>
      </c>
      <c r="AM145" s="631">
        <f>IFERROR((PIT_P151[[#This Row],[BB]]+PIT_P151[[#This Row],[H]])/PIT_P151[[#This Row],[IP]],0)</f>
        <v>1.4495196359346032</v>
      </c>
      <c r="AN145" s="600">
        <v>6</v>
      </c>
      <c r="AO145" s="601">
        <v>1</v>
      </c>
      <c r="AP145" s="600">
        <v>0</v>
      </c>
      <c r="AQ145" s="604">
        <v>0</v>
      </c>
      <c r="AR145" s="779">
        <v>1</v>
      </c>
      <c r="AY145" s="650" t="s">
        <v>1096</v>
      </c>
      <c r="AZ145" s="604" t="s">
        <v>206</v>
      </c>
      <c r="BA145" s="597" t="s">
        <v>1114</v>
      </c>
      <c r="BB145" s="663">
        <f>IFERROR((PIT_P157[[#This Row],[R]]*9)/PIT_P157[[#This Row],[IP]],0)</f>
        <v>5.4562412560236284</v>
      </c>
      <c r="BC145" s="600">
        <v>2</v>
      </c>
      <c r="BD145" s="604">
        <v>5</v>
      </c>
      <c r="BE145" s="600">
        <v>10</v>
      </c>
      <c r="BF145" s="630">
        <v>64.33</v>
      </c>
      <c r="BG145" s="600">
        <v>60</v>
      </c>
      <c r="BH145" s="600">
        <v>39</v>
      </c>
      <c r="BI145" s="600">
        <v>22</v>
      </c>
      <c r="BJ145" s="600">
        <v>51</v>
      </c>
      <c r="BK145" s="600">
        <v>0</v>
      </c>
      <c r="BL145" s="631">
        <f>IFERROR((PIT_P157[[#This Row],[BB]]+PIT_P157[[#This Row],[H]])/PIT_P157[[#This Row],[IP]],0)</f>
        <v>1.2746774444271725</v>
      </c>
      <c r="BM145" s="600">
        <v>5</v>
      </c>
      <c r="BN145" s="601">
        <v>3</v>
      </c>
      <c r="BO145" s="600">
        <v>0</v>
      </c>
      <c r="BP145" s="604">
        <v>0</v>
      </c>
      <c r="BQ145" s="779">
        <v>1</v>
      </c>
    </row>
    <row r="146" spans="1:73">
      <c r="A146" s="651" t="s">
        <v>1096</v>
      </c>
      <c r="B146" s="74" t="s">
        <v>206</v>
      </c>
      <c r="C146" s="116" t="s">
        <v>1115</v>
      </c>
      <c r="D146" s="88">
        <f>IFERROR((PIT_P[[#This Row],[R]]*9)/PIT_P[[#This Row],[IP]],0)</f>
        <v>3.6</v>
      </c>
      <c r="E146" s="28">
        <v>3</v>
      </c>
      <c r="F146" s="74">
        <v>3</v>
      </c>
      <c r="G146" s="28">
        <v>10</v>
      </c>
      <c r="H146" s="584">
        <v>65</v>
      </c>
      <c r="I146" s="28">
        <v>55</v>
      </c>
      <c r="J146" s="28">
        <v>26</v>
      </c>
      <c r="K146" s="28">
        <v>25</v>
      </c>
      <c r="L146" s="28">
        <v>62</v>
      </c>
      <c r="M146" s="28">
        <v>0</v>
      </c>
      <c r="N146" s="89">
        <f>IFERROR((PIT_P[[#This Row],[BB]]+PIT_P[[#This Row],[H]])/PIT_P[[#This Row],[IP]],0)</f>
        <v>1.2307692307692308</v>
      </c>
      <c r="O146" s="28">
        <v>7</v>
      </c>
      <c r="P146" s="90">
        <v>3</v>
      </c>
      <c r="Q146" s="28">
        <v>0</v>
      </c>
      <c r="R146" s="74">
        <v>0</v>
      </c>
      <c r="S146" s="780">
        <v>2</v>
      </c>
      <c r="Z146" s="651" t="s">
        <v>1096</v>
      </c>
      <c r="AA146" s="74" t="s">
        <v>206</v>
      </c>
      <c r="AB146" s="116" t="s">
        <v>1115</v>
      </c>
      <c r="AC146" s="88">
        <f>IFERROR((PIT_P151[[#This Row],[R]]*9)/PIT_P151[[#This Row],[IP]],0)</f>
        <v>5.1206896551724137</v>
      </c>
      <c r="AD146" s="28">
        <v>1</v>
      </c>
      <c r="AE146" s="74">
        <v>6</v>
      </c>
      <c r="AF146" s="28">
        <v>10</v>
      </c>
      <c r="AG146" s="584">
        <v>58</v>
      </c>
      <c r="AH146" s="28">
        <v>57</v>
      </c>
      <c r="AI146" s="28">
        <v>33</v>
      </c>
      <c r="AJ146" s="28">
        <v>31</v>
      </c>
      <c r="AK146" s="28">
        <v>62</v>
      </c>
      <c r="AL146" s="28">
        <v>0</v>
      </c>
      <c r="AM146" s="89">
        <f>IFERROR((PIT_P151[[#This Row],[BB]]+PIT_P151[[#This Row],[H]])/PIT_P151[[#This Row],[IP]],0)</f>
        <v>1.5172413793103448</v>
      </c>
      <c r="AN146" s="28">
        <v>5</v>
      </c>
      <c r="AO146" s="90">
        <v>1</v>
      </c>
      <c r="AP146" s="28">
        <v>0</v>
      </c>
      <c r="AQ146" s="74">
        <v>0</v>
      </c>
      <c r="AR146" s="780">
        <v>2</v>
      </c>
      <c r="AY146" s="651" t="s">
        <v>1096</v>
      </c>
      <c r="AZ146" s="74" t="s">
        <v>206</v>
      </c>
      <c r="BA146" s="71" t="s">
        <v>1115</v>
      </c>
      <c r="BB146" s="88">
        <f>IFERROR((PIT_P157[[#This Row],[R]]*9)/PIT_P157[[#This Row],[IP]],0)</f>
        <v>2.3034267026873314</v>
      </c>
      <c r="BC146" s="28">
        <v>3</v>
      </c>
      <c r="BD146" s="74">
        <v>2</v>
      </c>
      <c r="BE146" s="28">
        <v>10</v>
      </c>
      <c r="BF146" s="584">
        <v>70.33</v>
      </c>
      <c r="BG146" s="28">
        <v>62</v>
      </c>
      <c r="BH146" s="28">
        <v>18</v>
      </c>
      <c r="BI146" s="28">
        <v>31</v>
      </c>
      <c r="BJ146" s="28">
        <v>68</v>
      </c>
      <c r="BK146" s="28">
        <v>0</v>
      </c>
      <c r="BL146" s="89">
        <f>IFERROR((PIT_P157[[#This Row],[BB]]+PIT_P157[[#This Row],[H]])/PIT_P157[[#This Row],[IP]],0)</f>
        <v>1.3223375515427271</v>
      </c>
      <c r="BM146" s="28">
        <v>8</v>
      </c>
      <c r="BN146" s="90">
        <v>4</v>
      </c>
      <c r="BO146" s="28">
        <v>1</v>
      </c>
      <c r="BP146" s="74">
        <v>1</v>
      </c>
      <c r="BQ146" s="780">
        <v>2</v>
      </c>
    </row>
    <row r="147" spans="1:73">
      <c r="A147" s="651" t="s">
        <v>1096</v>
      </c>
      <c r="B147" s="74" t="s">
        <v>206</v>
      </c>
      <c r="C147" s="116" t="s">
        <v>1116</v>
      </c>
      <c r="D147" s="88">
        <f>IFERROR((PIT_P[[#This Row],[R]]*9)/PIT_P[[#This Row],[IP]],0)</f>
        <v>7.0588235294117645</v>
      </c>
      <c r="E147" s="28">
        <v>1</v>
      </c>
      <c r="F147" s="74">
        <v>7</v>
      </c>
      <c r="G147" s="28">
        <v>10</v>
      </c>
      <c r="H147" s="584">
        <v>51</v>
      </c>
      <c r="I147" s="28">
        <v>67</v>
      </c>
      <c r="J147" s="28">
        <v>40</v>
      </c>
      <c r="K147" s="28">
        <v>27</v>
      </c>
      <c r="L147" s="28">
        <v>49</v>
      </c>
      <c r="M147" s="28">
        <v>0</v>
      </c>
      <c r="N147" s="89">
        <f>IFERROR((PIT_P[[#This Row],[BB]]+PIT_P[[#This Row],[H]])/PIT_P[[#This Row],[IP]],0)</f>
        <v>1.8431372549019607</v>
      </c>
      <c r="O147" s="28">
        <v>2</v>
      </c>
      <c r="P147" s="90">
        <v>2</v>
      </c>
      <c r="Q147" s="28">
        <v>0</v>
      </c>
      <c r="R147" s="74">
        <v>0</v>
      </c>
      <c r="S147" s="780">
        <v>3</v>
      </c>
      <c r="Z147" s="651" t="s">
        <v>1096</v>
      </c>
      <c r="AA147" s="74" t="s">
        <v>206</v>
      </c>
      <c r="AB147" s="116" t="s">
        <v>1117</v>
      </c>
      <c r="AC147" s="88">
        <f>IFERROR((PIT_P151[[#This Row],[R]]*9)/PIT_P151[[#This Row],[IP]],0)</f>
        <v>3.239838008099595</v>
      </c>
      <c r="AD147" s="28">
        <v>3</v>
      </c>
      <c r="AE147" s="74">
        <v>0</v>
      </c>
      <c r="AF147" s="28">
        <v>10</v>
      </c>
      <c r="AG147" s="584">
        <v>66.67</v>
      </c>
      <c r="AH147" s="28">
        <v>53</v>
      </c>
      <c r="AI147" s="28">
        <v>24</v>
      </c>
      <c r="AJ147" s="76">
        <v>38</v>
      </c>
      <c r="AK147" s="28">
        <v>64</v>
      </c>
      <c r="AL147" s="28">
        <v>0</v>
      </c>
      <c r="AM147" s="89">
        <f>IFERROR((PIT_P151[[#This Row],[BB]]+PIT_P151[[#This Row],[H]])/PIT_P151[[#This Row],[IP]],0)</f>
        <v>1.3649317534123293</v>
      </c>
      <c r="AN147" s="28">
        <v>5</v>
      </c>
      <c r="AO147" s="90">
        <v>5</v>
      </c>
      <c r="AP147" s="28">
        <v>1</v>
      </c>
      <c r="AQ147" s="74">
        <v>1</v>
      </c>
      <c r="AR147" s="780">
        <v>3</v>
      </c>
      <c r="AY147" s="651" t="s">
        <v>1096</v>
      </c>
      <c r="AZ147" s="74" t="s">
        <v>206</v>
      </c>
      <c r="BA147" s="71" t="s">
        <v>1117</v>
      </c>
      <c r="BB147" s="88">
        <f>IFERROR((PIT_P157[[#This Row],[R]]*9)/PIT_P157[[#This Row],[IP]],0)</f>
        <v>5.7231371270177727</v>
      </c>
      <c r="BC147" s="28">
        <v>4</v>
      </c>
      <c r="BD147" s="74">
        <v>5</v>
      </c>
      <c r="BE147" s="28">
        <v>10</v>
      </c>
      <c r="BF147" s="584">
        <v>61.33</v>
      </c>
      <c r="BG147" s="28">
        <v>63</v>
      </c>
      <c r="BH147" s="28">
        <v>39</v>
      </c>
      <c r="BI147" s="28">
        <v>23</v>
      </c>
      <c r="BJ147" s="28">
        <v>55</v>
      </c>
      <c r="BK147" s="28">
        <v>0</v>
      </c>
      <c r="BL147" s="89">
        <f>IFERROR((PIT_P157[[#This Row],[BB]]+PIT_P157[[#This Row],[H]])/PIT_P157[[#This Row],[IP]],0)</f>
        <v>1.4022501222892549</v>
      </c>
      <c r="BM147" s="28">
        <v>5</v>
      </c>
      <c r="BN147" s="90">
        <v>4</v>
      </c>
      <c r="BO147" s="28">
        <v>0</v>
      </c>
      <c r="BP147" s="74">
        <v>0</v>
      </c>
      <c r="BQ147" s="780">
        <v>3</v>
      </c>
    </row>
    <row r="148" spans="1:73">
      <c r="A148" s="651" t="s">
        <v>1096</v>
      </c>
      <c r="B148" s="74" t="s">
        <v>365</v>
      </c>
      <c r="C148" s="116" t="s">
        <v>319</v>
      </c>
      <c r="D148" s="88">
        <f>IFERROR((PIT_P[[#This Row],[R]]*9)/PIT_P[[#This Row],[IP]],0)</f>
        <v>3.9661016949152543</v>
      </c>
      <c r="E148" s="28">
        <v>5</v>
      </c>
      <c r="F148" s="74">
        <v>3</v>
      </c>
      <c r="G148" s="28">
        <v>10</v>
      </c>
      <c r="H148" s="584">
        <v>59</v>
      </c>
      <c r="I148" s="28">
        <v>53</v>
      </c>
      <c r="J148" s="28">
        <v>26</v>
      </c>
      <c r="K148" s="28">
        <v>21</v>
      </c>
      <c r="L148" s="28">
        <v>54</v>
      </c>
      <c r="M148" s="28">
        <v>0</v>
      </c>
      <c r="N148" s="89">
        <f>IFERROR((PIT_P[[#This Row],[BB]]+PIT_P[[#This Row],[H]])/PIT_P[[#This Row],[IP]],0)</f>
        <v>1.2542372881355932</v>
      </c>
      <c r="O148" s="28">
        <v>6</v>
      </c>
      <c r="P148" s="90">
        <v>2</v>
      </c>
      <c r="Q148" s="28">
        <v>0</v>
      </c>
      <c r="R148" s="74">
        <v>0</v>
      </c>
      <c r="S148" s="780">
        <v>4</v>
      </c>
      <c r="Z148" s="651" t="s">
        <v>1096</v>
      </c>
      <c r="AA148" s="74" t="s">
        <v>206</v>
      </c>
      <c r="AB148" s="116" t="s">
        <v>1116</v>
      </c>
      <c r="AC148" s="88">
        <f>IFERROR((PIT_P151[[#This Row],[R]]*9)/PIT_P151[[#This Row],[IP]],0)</f>
        <v>7.0666398228306821</v>
      </c>
      <c r="AD148" s="28">
        <v>3</v>
      </c>
      <c r="AE148" s="74">
        <v>6</v>
      </c>
      <c r="AF148" s="28">
        <v>10</v>
      </c>
      <c r="AG148" s="584">
        <v>49.67</v>
      </c>
      <c r="AH148" s="28">
        <v>70</v>
      </c>
      <c r="AI148" s="28">
        <v>39</v>
      </c>
      <c r="AJ148" s="28">
        <v>18</v>
      </c>
      <c r="AK148" s="28">
        <v>41</v>
      </c>
      <c r="AL148" s="28">
        <v>0</v>
      </c>
      <c r="AM148" s="89">
        <f>IFERROR((PIT_P151[[#This Row],[BB]]+PIT_P151[[#This Row],[H]])/PIT_P151[[#This Row],[IP]],0)</f>
        <v>1.7716931749547009</v>
      </c>
      <c r="AN148" s="28">
        <v>0</v>
      </c>
      <c r="AO148" s="90">
        <v>0</v>
      </c>
      <c r="AP148" s="28">
        <v>0</v>
      </c>
      <c r="AQ148" s="74">
        <v>0</v>
      </c>
      <c r="AR148" s="780">
        <v>4</v>
      </c>
      <c r="AY148" s="651" t="s">
        <v>1096</v>
      </c>
      <c r="AZ148" s="74" t="s">
        <v>206</v>
      </c>
      <c r="BA148" s="71" t="s">
        <v>1116</v>
      </c>
      <c r="BB148" s="88">
        <f>IFERROR((PIT_P157[[#This Row],[R]]*9)/PIT_P157[[#This Row],[IP]],0)</f>
        <v>7.0975484313389341</v>
      </c>
      <c r="BC148" s="28">
        <v>3</v>
      </c>
      <c r="BD148" s="74">
        <v>4</v>
      </c>
      <c r="BE148" s="28">
        <v>10</v>
      </c>
      <c r="BF148" s="584">
        <v>58.33</v>
      </c>
      <c r="BG148" s="28">
        <v>70</v>
      </c>
      <c r="BH148" s="76">
        <v>46</v>
      </c>
      <c r="BI148" s="28">
        <v>35</v>
      </c>
      <c r="BJ148" s="28">
        <v>70</v>
      </c>
      <c r="BK148" s="28">
        <v>0</v>
      </c>
      <c r="BL148" s="89">
        <f>IFERROR((PIT_P157[[#This Row],[BB]]+PIT_P157[[#This Row],[H]])/PIT_P157[[#This Row],[IP]],0)</f>
        <v>1.8001028630207441</v>
      </c>
      <c r="BM148" s="28">
        <v>3</v>
      </c>
      <c r="BN148" s="90">
        <v>2</v>
      </c>
      <c r="BO148" s="28">
        <v>1</v>
      </c>
      <c r="BP148" s="74">
        <v>0</v>
      </c>
      <c r="BQ148" s="780">
        <v>4</v>
      </c>
    </row>
    <row r="149" spans="1:73">
      <c r="A149" s="651" t="s">
        <v>1096</v>
      </c>
      <c r="B149" s="74" t="s">
        <v>212</v>
      </c>
      <c r="C149" s="116" t="s">
        <v>1120</v>
      </c>
      <c r="D149" s="88">
        <f>IFERROR((PIT_P[[#This Row],[R]]*9)/PIT_P[[#This Row],[IP]],0)</f>
        <v>2.6470588235294117</v>
      </c>
      <c r="E149" s="28">
        <v>0</v>
      </c>
      <c r="F149" s="74">
        <v>0</v>
      </c>
      <c r="G149" s="28">
        <v>8</v>
      </c>
      <c r="H149" s="584">
        <v>17</v>
      </c>
      <c r="I149" s="28">
        <v>18</v>
      </c>
      <c r="J149" s="28">
        <v>5</v>
      </c>
      <c r="K149" s="28">
        <v>8</v>
      </c>
      <c r="L149" s="28">
        <v>12</v>
      </c>
      <c r="M149" s="28">
        <v>0</v>
      </c>
      <c r="N149" s="89">
        <f>IFERROR((PIT_P[[#This Row],[BB]]+PIT_P[[#This Row],[H]])/PIT_P[[#This Row],[IP]],0)</f>
        <v>1.5294117647058822</v>
      </c>
      <c r="O149" s="28">
        <v>0</v>
      </c>
      <c r="P149" s="90">
        <v>0</v>
      </c>
      <c r="Q149" s="28">
        <v>0</v>
      </c>
      <c r="R149" s="74">
        <v>0</v>
      </c>
      <c r="S149" s="780">
        <v>5</v>
      </c>
      <c r="Z149" s="651" t="s">
        <v>1096</v>
      </c>
      <c r="AA149" s="74" t="s">
        <v>215</v>
      </c>
      <c r="AB149" s="116" t="s">
        <v>1120</v>
      </c>
      <c r="AC149" s="88">
        <f>IFERROR((PIT_P151[[#This Row],[R]]*9)/PIT_P151[[#This Row],[IP]],0)</f>
        <v>3.9890896692806002</v>
      </c>
      <c r="AD149" s="28">
        <v>0</v>
      </c>
      <c r="AE149" s="74">
        <v>1</v>
      </c>
      <c r="AF149" s="28">
        <v>12</v>
      </c>
      <c r="AG149" s="584">
        <v>29.33</v>
      </c>
      <c r="AH149" s="28">
        <v>30</v>
      </c>
      <c r="AI149" s="28">
        <v>13</v>
      </c>
      <c r="AJ149" s="28">
        <v>9</v>
      </c>
      <c r="AK149" s="28">
        <v>24</v>
      </c>
      <c r="AL149" s="28">
        <v>0</v>
      </c>
      <c r="AM149" s="89">
        <f>IFERROR((PIT_P151[[#This Row],[BB]]+PIT_P151[[#This Row],[H]])/PIT_P151[[#This Row],[IP]],0)</f>
        <v>1.3296965564268668</v>
      </c>
      <c r="AN149" s="28">
        <v>0</v>
      </c>
      <c r="AO149" s="90">
        <v>0</v>
      </c>
      <c r="AP149" s="28">
        <v>0</v>
      </c>
      <c r="AQ149" s="74">
        <v>0</v>
      </c>
      <c r="AR149" s="780">
        <v>5</v>
      </c>
      <c r="AY149" s="651" t="s">
        <v>1096</v>
      </c>
      <c r="AZ149" s="74" t="s">
        <v>212</v>
      </c>
      <c r="BA149" s="71" t="s">
        <v>1119</v>
      </c>
      <c r="BB149" s="88">
        <f>IFERROR((PIT_P157[[#This Row],[R]]*9)/PIT_P157[[#This Row],[IP]],0)</f>
        <v>0</v>
      </c>
      <c r="BC149" s="28">
        <v>0</v>
      </c>
      <c r="BD149" s="74">
        <v>0</v>
      </c>
      <c r="BE149" s="28">
        <v>0</v>
      </c>
      <c r="BF149" s="584">
        <v>0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89">
        <f>IFERROR((PIT_P157[[#This Row],[BB]]+PIT_P157[[#This Row],[H]])/PIT_P157[[#This Row],[IP]],0)</f>
        <v>0</v>
      </c>
      <c r="BM149" s="28">
        <v>0</v>
      </c>
      <c r="BN149" s="90">
        <v>0</v>
      </c>
      <c r="BO149" s="28">
        <v>0</v>
      </c>
      <c r="BP149" s="74">
        <v>0</v>
      </c>
      <c r="BQ149" s="780">
        <v>5</v>
      </c>
    </row>
    <row r="150" spans="1:73">
      <c r="A150" s="651" t="s">
        <v>1096</v>
      </c>
      <c r="B150" s="74" t="s">
        <v>212</v>
      </c>
      <c r="C150" s="116" t="s">
        <v>1117</v>
      </c>
      <c r="D150" s="88">
        <f>IFERROR((PIT_P[[#This Row],[R]]*9)/PIT_P[[#This Row],[IP]],0)</f>
        <v>3.1760035288928097</v>
      </c>
      <c r="E150" s="28">
        <v>2</v>
      </c>
      <c r="F150" s="74">
        <v>1</v>
      </c>
      <c r="G150" s="28">
        <v>11</v>
      </c>
      <c r="H150" s="584">
        <v>22.67</v>
      </c>
      <c r="I150" s="28">
        <v>19</v>
      </c>
      <c r="J150" s="28">
        <v>8</v>
      </c>
      <c r="K150" s="28">
        <v>11</v>
      </c>
      <c r="L150" s="28">
        <v>20</v>
      </c>
      <c r="M150" s="28">
        <v>0</v>
      </c>
      <c r="N150" s="89">
        <f>IFERROR((PIT_P[[#This Row],[BB]]+PIT_P[[#This Row],[H]])/PIT_P[[#This Row],[IP]],0)</f>
        <v>1.3233348037053374</v>
      </c>
      <c r="O150" s="28">
        <v>0</v>
      </c>
      <c r="P150" s="90">
        <v>0</v>
      </c>
      <c r="Q150" s="28">
        <v>0</v>
      </c>
      <c r="R150" s="74">
        <v>0</v>
      </c>
      <c r="S150" s="780">
        <v>6</v>
      </c>
      <c r="Z150" s="651" t="s">
        <v>1096</v>
      </c>
      <c r="AA150" s="74" t="s">
        <v>212</v>
      </c>
      <c r="AB150" s="116" t="s">
        <v>1121</v>
      </c>
      <c r="AC150" s="88">
        <f>IFERROR((PIT_P151[[#This Row],[R]]*9)/PIT_P151[[#This Row],[IP]],0)</f>
        <v>9</v>
      </c>
      <c r="AD150" s="28">
        <v>1</v>
      </c>
      <c r="AE150" s="74">
        <v>0</v>
      </c>
      <c r="AF150" s="28">
        <v>4</v>
      </c>
      <c r="AG150" s="584">
        <v>6</v>
      </c>
      <c r="AH150" s="28">
        <v>7</v>
      </c>
      <c r="AI150" s="28">
        <v>6</v>
      </c>
      <c r="AJ150" s="28">
        <v>4</v>
      </c>
      <c r="AK150" s="28">
        <v>5</v>
      </c>
      <c r="AL150" s="28">
        <v>0</v>
      </c>
      <c r="AM150" s="89">
        <f>IFERROR((PIT_P151[[#This Row],[BB]]+PIT_P151[[#This Row],[H]])/PIT_P151[[#This Row],[IP]],0)</f>
        <v>1.8333333333333333</v>
      </c>
      <c r="AN150" s="28">
        <v>0</v>
      </c>
      <c r="AO150" s="90">
        <v>0</v>
      </c>
      <c r="AP150" s="28">
        <v>0</v>
      </c>
      <c r="AQ150" s="74">
        <v>0</v>
      </c>
      <c r="AR150" s="780">
        <v>6</v>
      </c>
      <c r="AY150" s="651" t="s">
        <v>1096</v>
      </c>
      <c r="AZ150" s="74" t="s">
        <v>212</v>
      </c>
      <c r="BA150" s="71" t="s">
        <v>1121</v>
      </c>
      <c r="BB150" s="88">
        <f>IFERROR((PIT_P157[[#This Row],[R]]*9)/PIT_P157[[#This Row],[IP]],0)</f>
        <v>5.2165018752130923</v>
      </c>
      <c r="BC150" s="28">
        <v>0</v>
      </c>
      <c r="BD150" s="74">
        <v>5</v>
      </c>
      <c r="BE150" s="28">
        <v>15</v>
      </c>
      <c r="BF150" s="584">
        <v>29.33</v>
      </c>
      <c r="BG150" s="28">
        <v>30</v>
      </c>
      <c r="BH150" s="28">
        <v>17</v>
      </c>
      <c r="BI150" s="28">
        <v>13</v>
      </c>
      <c r="BJ150" s="28">
        <v>26</v>
      </c>
      <c r="BK150" s="28">
        <v>0</v>
      </c>
      <c r="BL150" s="89">
        <f>IFERROR((PIT_P157[[#This Row],[BB]]+PIT_P157[[#This Row],[H]])/PIT_P157[[#This Row],[IP]],0)</f>
        <v>1.4660756904193659</v>
      </c>
      <c r="BM150" s="28">
        <v>0</v>
      </c>
      <c r="BN150" s="90">
        <v>0</v>
      </c>
      <c r="BO150" s="28">
        <v>0</v>
      </c>
      <c r="BP150" s="74">
        <v>0</v>
      </c>
      <c r="BQ150" s="780">
        <v>6</v>
      </c>
    </row>
    <row r="151" spans="1:73">
      <c r="A151" s="651" t="s">
        <v>1096</v>
      </c>
      <c r="B151" s="74" t="s">
        <v>212</v>
      </c>
      <c r="C151" s="116" t="s">
        <v>1118</v>
      </c>
      <c r="D151" s="88">
        <f>IFERROR((PIT_P[[#This Row],[R]]*9)/PIT_P[[#This Row],[IP]],0)</f>
        <v>3.9130434782608696</v>
      </c>
      <c r="E151" s="28">
        <v>1</v>
      </c>
      <c r="F151" s="74">
        <v>0</v>
      </c>
      <c r="G151" s="28">
        <v>15</v>
      </c>
      <c r="H151" s="584">
        <v>23</v>
      </c>
      <c r="I151" s="28">
        <v>22</v>
      </c>
      <c r="J151" s="28">
        <v>10</v>
      </c>
      <c r="K151" s="28">
        <v>12</v>
      </c>
      <c r="L151" s="28">
        <v>26</v>
      </c>
      <c r="M151" s="28">
        <v>0</v>
      </c>
      <c r="N151" s="89">
        <f>IFERROR((PIT_P[[#This Row],[BB]]+PIT_P[[#This Row],[H]])/PIT_P[[#This Row],[IP]],0)</f>
        <v>1.4782608695652173</v>
      </c>
      <c r="O151" s="28">
        <v>0</v>
      </c>
      <c r="P151" s="90">
        <v>0</v>
      </c>
      <c r="Q151" s="28">
        <v>0</v>
      </c>
      <c r="R151" s="74">
        <v>0</v>
      </c>
      <c r="S151" s="780">
        <v>7</v>
      </c>
      <c r="Z151" s="651" t="s">
        <v>1096</v>
      </c>
      <c r="AA151" s="74" t="s">
        <v>215</v>
      </c>
      <c r="AB151" s="116" t="s">
        <v>1118</v>
      </c>
      <c r="AC151" s="88">
        <f>IFERROR((PIT_P151[[#This Row],[R]]*9)/PIT_P151[[#This Row],[IP]],0)</f>
        <v>6</v>
      </c>
      <c r="AD151" s="28">
        <v>1</v>
      </c>
      <c r="AE151" s="74">
        <v>3</v>
      </c>
      <c r="AF151" s="28">
        <v>15</v>
      </c>
      <c r="AG151" s="584">
        <v>33</v>
      </c>
      <c r="AH151" s="28">
        <v>35</v>
      </c>
      <c r="AI151" s="28">
        <v>22</v>
      </c>
      <c r="AJ151" s="28">
        <v>17</v>
      </c>
      <c r="AK151" s="28">
        <v>29</v>
      </c>
      <c r="AL151" s="28">
        <v>0</v>
      </c>
      <c r="AM151" s="89">
        <f>IFERROR((PIT_P151[[#This Row],[BB]]+PIT_P151[[#This Row],[H]])/PIT_P151[[#This Row],[IP]],0)</f>
        <v>1.5757575757575757</v>
      </c>
      <c r="AN151" s="28">
        <v>0</v>
      </c>
      <c r="AO151" s="90">
        <v>0</v>
      </c>
      <c r="AP151" s="28">
        <v>0</v>
      </c>
      <c r="AQ151" s="74">
        <v>0</v>
      </c>
      <c r="AR151" s="780">
        <v>7</v>
      </c>
      <c r="AY151" s="651" t="s">
        <v>1096</v>
      </c>
      <c r="AZ151" s="74" t="s">
        <v>212</v>
      </c>
      <c r="BA151" s="71" t="s">
        <v>1123</v>
      </c>
      <c r="BB151" s="88">
        <f>IFERROR((PIT_P157[[#This Row],[R]]*9)/PIT_P157[[#This Row],[IP]],0)</f>
        <v>6.940874035989717</v>
      </c>
      <c r="BC151" s="28">
        <v>1</v>
      </c>
      <c r="BD151" s="74">
        <v>0</v>
      </c>
      <c r="BE151" s="28">
        <v>12</v>
      </c>
      <c r="BF151" s="584">
        <v>11.67</v>
      </c>
      <c r="BG151" s="28">
        <v>12</v>
      </c>
      <c r="BH151" s="28">
        <v>9</v>
      </c>
      <c r="BI151" s="28">
        <v>9</v>
      </c>
      <c r="BJ151" s="28">
        <v>15</v>
      </c>
      <c r="BK151" s="28">
        <v>0</v>
      </c>
      <c r="BL151" s="89">
        <f>IFERROR((PIT_P157[[#This Row],[BB]]+PIT_P157[[#This Row],[H]])/PIT_P157[[#This Row],[IP]],0)</f>
        <v>1.7994858611825193</v>
      </c>
      <c r="BM151" s="28">
        <v>0</v>
      </c>
      <c r="BN151" s="90">
        <v>0</v>
      </c>
      <c r="BO151" s="28">
        <v>0</v>
      </c>
      <c r="BP151" s="74">
        <v>0</v>
      </c>
      <c r="BQ151" s="780">
        <v>7</v>
      </c>
    </row>
    <row r="152" spans="1:73">
      <c r="A152" s="651" t="s">
        <v>1096</v>
      </c>
      <c r="B152" s="74" t="s">
        <v>215</v>
      </c>
      <c r="C152" s="116" t="s">
        <v>1124</v>
      </c>
      <c r="D152" s="88">
        <f>IFERROR((PIT_P[[#This Row],[R]]*9)/PIT_P[[#This Row],[IP]],0)</f>
        <v>6.3178047223994893</v>
      </c>
      <c r="E152" s="28">
        <v>0</v>
      </c>
      <c r="F152" s="74">
        <v>1</v>
      </c>
      <c r="G152" s="28">
        <v>8</v>
      </c>
      <c r="H152" s="584">
        <v>15.67</v>
      </c>
      <c r="I152" s="28">
        <v>17</v>
      </c>
      <c r="J152" s="28">
        <v>11</v>
      </c>
      <c r="K152" s="28">
        <v>11</v>
      </c>
      <c r="L152" s="28">
        <v>15</v>
      </c>
      <c r="M152" s="28">
        <v>0</v>
      </c>
      <c r="N152" s="89">
        <f>IFERROR((PIT_P[[#This Row],[BB]]+PIT_P[[#This Row],[H]])/PIT_P[[#This Row],[IP]],0)</f>
        <v>1.7868538608806637</v>
      </c>
      <c r="O152" s="28">
        <v>0</v>
      </c>
      <c r="P152" s="90">
        <v>0</v>
      </c>
      <c r="Q152" s="28">
        <v>0</v>
      </c>
      <c r="R152" s="74">
        <v>0</v>
      </c>
      <c r="S152" s="780">
        <v>8</v>
      </c>
      <c r="Z152" s="651" t="s">
        <v>1096</v>
      </c>
      <c r="AA152" s="74" t="s">
        <v>212</v>
      </c>
      <c r="AB152" s="116" t="s">
        <v>1122</v>
      </c>
      <c r="AC152" s="88">
        <f>IFERROR((PIT_P151[[#This Row],[R]]*9)/PIT_P151[[#This Row],[IP]],0)</f>
        <v>3.4460753031269942</v>
      </c>
      <c r="AD152" s="28">
        <v>1</v>
      </c>
      <c r="AE152" s="74">
        <v>0</v>
      </c>
      <c r="AF152" s="28">
        <v>12</v>
      </c>
      <c r="AG152" s="584">
        <v>15.67</v>
      </c>
      <c r="AH152" s="28">
        <v>12</v>
      </c>
      <c r="AI152" s="28">
        <v>6</v>
      </c>
      <c r="AJ152" s="28">
        <v>3</v>
      </c>
      <c r="AK152" s="28">
        <v>15</v>
      </c>
      <c r="AL152" s="28">
        <v>0</v>
      </c>
      <c r="AM152" s="89">
        <f>IFERROR((PIT_P151[[#This Row],[BB]]+PIT_P151[[#This Row],[H]])/PIT_P151[[#This Row],[IP]],0)</f>
        <v>0.95724313975749842</v>
      </c>
      <c r="AN152" s="28">
        <v>0</v>
      </c>
      <c r="AO152" s="90">
        <v>0</v>
      </c>
      <c r="AP152" s="28">
        <v>0</v>
      </c>
      <c r="AQ152" s="74">
        <v>0</v>
      </c>
      <c r="AR152" s="780">
        <v>8</v>
      </c>
      <c r="AY152" s="651" t="s">
        <v>1096</v>
      </c>
      <c r="AZ152" s="74" t="s">
        <v>212</v>
      </c>
      <c r="BA152" s="71" t="s">
        <v>1122</v>
      </c>
      <c r="BB152" s="88">
        <f>IFERROR((PIT_P157[[#This Row],[R]]*9)/PIT_P157[[#This Row],[IP]],0)</f>
        <v>7.5584883023395317</v>
      </c>
      <c r="BC152" s="28">
        <v>0</v>
      </c>
      <c r="BD152" s="74">
        <v>1</v>
      </c>
      <c r="BE152" s="28">
        <v>16</v>
      </c>
      <c r="BF152" s="584">
        <v>16.670000000000002</v>
      </c>
      <c r="BG152" s="28">
        <v>25</v>
      </c>
      <c r="BH152" s="28">
        <v>14</v>
      </c>
      <c r="BI152" s="28">
        <v>7</v>
      </c>
      <c r="BJ152" s="28">
        <v>13</v>
      </c>
      <c r="BK152" s="28">
        <v>0</v>
      </c>
      <c r="BL152" s="89">
        <f>IFERROR((PIT_P157[[#This Row],[BB]]+PIT_P157[[#This Row],[H]])/PIT_P157[[#This Row],[IP]],0)</f>
        <v>1.9196160767846429</v>
      </c>
      <c r="BM152" s="28">
        <v>0</v>
      </c>
      <c r="BN152" s="90">
        <v>0</v>
      </c>
      <c r="BO152" s="28">
        <v>0</v>
      </c>
      <c r="BP152" s="74">
        <v>0</v>
      </c>
      <c r="BQ152" s="780">
        <v>8</v>
      </c>
    </row>
    <row r="153" spans="1:73">
      <c r="A153" s="651" t="s">
        <v>1096</v>
      </c>
      <c r="B153" s="74" t="s">
        <v>215</v>
      </c>
      <c r="C153" s="116" t="s">
        <v>1125</v>
      </c>
      <c r="D153" s="88">
        <f>IFERROR((PIT_P[[#This Row],[R]]*9)/PIT_P[[#This Row],[IP]],0)</f>
        <v>2.8717294192724951</v>
      </c>
      <c r="E153" s="28">
        <v>1</v>
      </c>
      <c r="F153" s="74">
        <v>0</v>
      </c>
      <c r="G153" s="28">
        <v>11</v>
      </c>
      <c r="H153" s="584">
        <v>15.67</v>
      </c>
      <c r="I153" s="28">
        <v>14</v>
      </c>
      <c r="J153" s="28">
        <v>5</v>
      </c>
      <c r="K153" s="28">
        <v>5</v>
      </c>
      <c r="L153" s="28">
        <v>14</v>
      </c>
      <c r="M153" s="28">
        <v>0</v>
      </c>
      <c r="N153" s="89">
        <f>IFERROR((PIT_P[[#This Row],[BB]]+PIT_P[[#This Row],[H]])/PIT_P[[#This Row],[IP]],0)</f>
        <v>1.2125079770261646</v>
      </c>
      <c r="O153" s="28">
        <v>0</v>
      </c>
      <c r="P153" s="90">
        <v>0</v>
      </c>
      <c r="Q153" s="28">
        <v>0</v>
      </c>
      <c r="R153" s="74">
        <v>0</v>
      </c>
      <c r="S153" s="780">
        <v>9</v>
      </c>
      <c r="Z153" s="651" t="s">
        <v>1096</v>
      </c>
      <c r="AA153" s="74" t="s">
        <v>212</v>
      </c>
      <c r="AB153" s="116" t="s">
        <v>1119</v>
      </c>
      <c r="AC153" s="88">
        <f>IFERROR((PIT_P151[[#This Row],[R]]*9)/PIT_P151[[#This Row],[IP]],0)</f>
        <v>5.9253840526700801</v>
      </c>
      <c r="AD153" s="28">
        <v>1</v>
      </c>
      <c r="AE153" s="74">
        <v>2</v>
      </c>
      <c r="AF153" s="28">
        <v>15</v>
      </c>
      <c r="AG153" s="584">
        <v>13.67</v>
      </c>
      <c r="AH153" s="28">
        <v>19</v>
      </c>
      <c r="AI153" s="28">
        <v>9</v>
      </c>
      <c r="AJ153" s="28">
        <v>4</v>
      </c>
      <c r="AK153" s="28">
        <v>8</v>
      </c>
      <c r="AL153" s="28">
        <v>0</v>
      </c>
      <c r="AM153" s="89">
        <f>IFERROR((PIT_P151[[#This Row],[BB]]+PIT_P151[[#This Row],[H]])/PIT_P151[[#This Row],[IP]],0)</f>
        <v>1.6825164594001463</v>
      </c>
      <c r="AN153" s="28">
        <v>0</v>
      </c>
      <c r="AO153" s="90">
        <v>0</v>
      </c>
      <c r="AP153" s="28">
        <v>0</v>
      </c>
      <c r="AQ153" s="74">
        <v>0</v>
      </c>
      <c r="AR153" s="780">
        <v>9</v>
      </c>
      <c r="AY153" s="651" t="s">
        <v>1096</v>
      </c>
      <c r="AZ153" s="74" t="s">
        <v>212</v>
      </c>
      <c r="BA153" s="71" t="s">
        <v>1126</v>
      </c>
      <c r="BB153" s="88">
        <f>IFERROR((PIT_P157[[#This Row],[R]]*9)/PIT_P157[[#This Row],[IP]],0)</f>
        <v>5.25</v>
      </c>
      <c r="BC153" s="28">
        <v>0</v>
      </c>
      <c r="BD153" s="74">
        <v>3</v>
      </c>
      <c r="BE153" s="28">
        <v>23</v>
      </c>
      <c r="BF153" s="584">
        <v>24</v>
      </c>
      <c r="BG153" s="28">
        <v>25</v>
      </c>
      <c r="BH153" s="28">
        <v>14</v>
      </c>
      <c r="BI153" s="28">
        <v>7</v>
      </c>
      <c r="BJ153" s="28">
        <v>30</v>
      </c>
      <c r="BK153" s="28">
        <v>1</v>
      </c>
      <c r="BL153" s="89">
        <f>IFERROR((PIT_P157[[#This Row],[BB]]+PIT_P157[[#This Row],[H]])/PIT_P157[[#This Row],[IP]],0)</f>
        <v>1.3333333333333333</v>
      </c>
      <c r="BM153" s="28">
        <v>0</v>
      </c>
      <c r="BN153" s="90">
        <v>0</v>
      </c>
      <c r="BO153" s="28">
        <v>0</v>
      </c>
      <c r="BP153" s="74">
        <v>0</v>
      </c>
      <c r="BQ153" s="780">
        <v>9</v>
      </c>
    </row>
    <row r="154" spans="1:73" ht="17" thickBot="1">
      <c r="A154" s="651" t="s">
        <v>1096</v>
      </c>
      <c r="B154" s="74" t="s">
        <v>212</v>
      </c>
      <c r="C154" s="116" t="s">
        <v>1126</v>
      </c>
      <c r="D154" s="88">
        <f>IFERROR((PIT_P[[#This Row],[R]]*9)/PIT_P[[#This Row],[IP]],0)</f>
        <v>2.2813688212927756</v>
      </c>
      <c r="E154" s="28">
        <v>1</v>
      </c>
      <c r="F154" s="74">
        <v>3</v>
      </c>
      <c r="G154" s="28">
        <v>22</v>
      </c>
      <c r="H154" s="584">
        <v>23.67</v>
      </c>
      <c r="I154" s="28">
        <v>22</v>
      </c>
      <c r="J154" s="28">
        <v>6</v>
      </c>
      <c r="K154" s="28">
        <v>5</v>
      </c>
      <c r="L154" s="28">
        <v>36</v>
      </c>
      <c r="M154" s="28">
        <v>6</v>
      </c>
      <c r="N154" s="89">
        <f>IFERROR((PIT_P[[#This Row],[BB]]+PIT_P[[#This Row],[H]])/PIT_P[[#This Row],[IP]],0)</f>
        <v>1.1406844106463878</v>
      </c>
      <c r="O154" s="28">
        <v>0</v>
      </c>
      <c r="P154" s="90">
        <v>0</v>
      </c>
      <c r="Q154" s="28">
        <v>0</v>
      </c>
      <c r="R154" s="74">
        <v>0</v>
      </c>
      <c r="S154" s="780">
        <v>10</v>
      </c>
      <c r="Z154" s="651" t="s">
        <v>1096</v>
      </c>
      <c r="AA154" s="74" t="s">
        <v>212</v>
      </c>
      <c r="AB154" s="116" t="s">
        <v>1126</v>
      </c>
      <c r="AC154" s="88">
        <f>IFERROR((PIT_P151[[#This Row],[R]]*9)/PIT_P151[[#This Row],[IP]],0)</f>
        <v>6</v>
      </c>
      <c r="AD154" s="28">
        <v>1</v>
      </c>
      <c r="AE154" s="74">
        <v>2</v>
      </c>
      <c r="AF154" s="28">
        <v>21</v>
      </c>
      <c r="AG154" s="584">
        <v>24</v>
      </c>
      <c r="AH154" s="28">
        <v>22</v>
      </c>
      <c r="AI154" s="28">
        <v>16</v>
      </c>
      <c r="AJ154" s="28">
        <v>12</v>
      </c>
      <c r="AK154" s="28">
        <v>41</v>
      </c>
      <c r="AL154" s="28">
        <v>5</v>
      </c>
      <c r="AM154" s="89">
        <f>IFERROR((PIT_P151[[#This Row],[BB]]+PIT_P151[[#This Row],[H]])/PIT_P151[[#This Row],[IP]],0)</f>
        <v>1.4166666666666667</v>
      </c>
      <c r="AN154" s="28">
        <v>0</v>
      </c>
      <c r="AO154" s="90">
        <v>0</v>
      </c>
      <c r="AP154" s="28">
        <v>0</v>
      </c>
      <c r="AQ154" s="74">
        <v>0</v>
      </c>
      <c r="AR154" s="780">
        <v>10</v>
      </c>
      <c r="AY154" s="651" t="s">
        <v>1096</v>
      </c>
      <c r="AZ154" s="74" t="s">
        <v>212</v>
      </c>
      <c r="BA154" s="71" t="s">
        <v>1127</v>
      </c>
      <c r="BB154" s="88">
        <f>IFERROR((PIT_P157[[#This Row],[R]]*9)/PIT_P157[[#This Row],[IP]],0)</f>
        <v>3.75</v>
      </c>
      <c r="BC154" s="28">
        <v>1</v>
      </c>
      <c r="BD154" s="74">
        <v>1</v>
      </c>
      <c r="BE154" s="28">
        <v>22</v>
      </c>
      <c r="BF154" s="584">
        <v>24</v>
      </c>
      <c r="BG154" s="28">
        <v>24</v>
      </c>
      <c r="BH154" s="28">
        <v>10</v>
      </c>
      <c r="BI154" s="28">
        <v>5</v>
      </c>
      <c r="BJ154" s="28">
        <v>21</v>
      </c>
      <c r="BK154" s="28">
        <v>7</v>
      </c>
      <c r="BL154" s="89">
        <f>IFERROR((PIT_P157[[#This Row],[BB]]+PIT_P157[[#This Row],[H]])/PIT_P157[[#This Row],[IP]],0)</f>
        <v>1.2083333333333333</v>
      </c>
      <c r="BM154" s="28">
        <v>0</v>
      </c>
      <c r="BN154" s="90">
        <v>0</v>
      </c>
      <c r="BO154" s="28">
        <v>0</v>
      </c>
      <c r="BP154" s="74">
        <v>0</v>
      </c>
      <c r="BQ154" s="780">
        <v>10</v>
      </c>
    </row>
    <row r="155" spans="1:73" ht="17" thickBot="1">
      <c r="A155" s="823"/>
      <c r="B155" s="824"/>
      <c r="C155" s="791" t="s">
        <v>195</v>
      </c>
      <c r="D155" s="798">
        <f>(J155*9)/H155</f>
        <v>3.9952575272967898</v>
      </c>
      <c r="E155" s="794">
        <f>SUBTOTAL(109,PIT_P[W])</f>
        <v>18</v>
      </c>
      <c r="F155" s="796">
        <f>SUBTOTAL(109,PIT_P[L])</f>
        <v>22</v>
      </c>
      <c r="G155" s="794"/>
      <c r="H155" s="799">
        <f>SUBTOTAL(109,PIT_P[IP])</f>
        <v>362.68000000000006</v>
      </c>
      <c r="I155" s="794">
        <f>SUBTOTAL(109,PIT_P[H])</f>
        <v>350</v>
      </c>
      <c r="J155" s="794">
        <f>SUBTOTAL(109,PIT_P[R])</f>
        <v>161</v>
      </c>
      <c r="K155" s="794">
        <f>SUBTOTAL(109,PIT_P[BB])</f>
        <v>153</v>
      </c>
      <c r="L155" s="794">
        <f>SUBTOTAL(109,PIT_P[K])</f>
        <v>366</v>
      </c>
      <c r="M155" s="794">
        <f>SUBTOTAL(109,PIT_P[SV])</f>
        <v>6</v>
      </c>
      <c r="N155" s="800">
        <f>(K155+I155)/H155</f>
        <v>1.3868975405315978</v>
      </c>
      <c r="O155" s="801">
        <f>SUBTOTAL(109,PIT_P[QS])</f>
        <v>23</v>
      </c>
      <c r="P155" s="802">
        <f>SUBTOTAL(109,PIT_P[UQ])</f>
        <v>13</v>
      </c>
      <c r="Q155" s="813">
        <f>SUBTOTAL(109,PIT_P[CG])</f>
        <v>1</v>
      </c>
      <c r="R155" s="814">
        <f>SUBTOTAL(109,PIT_P[SH])</f>
        <v>1</v>
      </c>
      <c r="S155" s="797"/>
      <c r="Z155" s="823"/>
      <c r="AA155" s="824"/>
      <c r="AB155" s="791" t="s">
        <v>195</v>
      </c>
      <c r="AC155" s="798">
        <f>(AI155*9)/AG155</f>
        <v>5.1415545674565202</v>
      </c>
      <c r="AD155" s="794">
        <f>SUBTOTAL(109,PIT_P151[W])</f>
        <v>12</v>
      </c>
      <c r="AE155" s="796">
        <f>SUBTOTAL(109,PIT_P151[L])</f>
        <v>28</v>
      </c>
      <c r="AF155" s="794"/>
      <c r="AG155" s="799">
        <f>SUBTOTAL(109,PIT_P151[IP])</f>
        <v>355.34000000000003</v>
      </c>
      <c r="AH155" s="794">
        <f>SUBTOTAL(109,PIT_P151[H])</f>
        <v>363</v>
      </c>
      <c r="AI155" s="794">
        <f>SUBTOTAL(109,PIT_P151[R])</f>
        <v>203</v>
      </c>
      <c r="AJ155" s="794">
        <f>SUBTOTAL(109,PIT_P151[BB])</f>
        <v>164</v>
      </c>
      <c r="AK155" s="794">
        <f>SUBTOTAL(109,PIT_P151[K])</f>
        <v>342</v>
      </c>
      <c r="AL155" s="794">
        <f>SUBTOTAL(109,PIT_P151[SV])</f>
        <v>5</v>
      </c>
      <c r="AM155" s="800">
        <f>(AJ155+AH155)/AG155</f>
        <v>1.4830866212641411</v>
      </c>
      <c r="AN155" s="801">
        <f>SUBTOTAL(109,PIT_P151[QS])</f>
        <v>16</v>
      </c>
      <c r="AO155" s="802">
        <f>SUBTOTAL(109,PIT_P151[UQ])</f>
        <v>7</v>
      </c>
      <c r="AP155" s="813">
        <f>SUBTOTAL(109,PIT_P151[CG])</f>
        <v>1</v>
      </c>
      <c r="AQ155" s="814">
        <f>SUBTOTAL(109,PIT_P151[SH])</f>
        <v>1</v>
      </c>
      <c r="AR155" s="797"/>
      <c r="AY155" s="823"/>
      <c r="AZ155" s="824"/>
      <c r="BA155" s="791" t="s">
        <v>195</v>
      </c>
      <c r="BB155" s="798">
        <f>IFERROR((BH155*9)/BF155,0)</f>
        <v>5.1501430595294311</v>
      </c>
      <c r="BC155" s="794">
        <f>SUBTOTAL(109,PIT_P157[W])</f>
        <v>14</v>
      </c>
      <c r="BD155" s="796">
        <f>SUBTOTAL(109,PIT_P157[L])</f>
        <v>26</v>
      </c>
      <c r="BE155" s="794"/>
      <c r="BF155" s="799">
        <f>SUBTOTAL(109,PIT_P157[IP])</f>
        <v>359.99</v>
      </c>
      <c r="BG155" s="794">
        <f>SUBTOTAL(109,PIT_P157[H])</f>
        <v>371</v>
      </c>
      <c r="BH155" s="794">
        <f>SUBTOTAL(109,PIT_P157[R])</f>
        <v>206</v>
      </c>
      <c r="BI155" s="794">
        <f>SUBTOTAL(109,PIT_P157[BB])</f>
        <v>152</v>
      </c>
      <c r="BJ155" s="794">
        <f>SUBTOTAL(109,PIT_P157[K])</f>
        <v>349</v>
      </c>
      <c r="BK155" s="794">
        <f>SUBTOTAL(109,PIT_P157[SV])</f>
        <v>8</v>
      </c>
      <c r="BL155" s="800">
        <f>(BI155+BG155)/BF155</f>
        <v>1.4528181338370509</v>
      </c>
      <c r="BM155" s="801">
        <f>SUBTOTAL(109,PIT_P157[QS])</f>
        <v>21</v>
      </c>
      <c r="BN155" s="802">
        <f>SUM(BN145:BN154)</f>
        <v>13</v>
      </c>
      <c r="BO155" s="813">
        <f>SUM(BO145:BO154)</f>
        <v>2</v>
      </c>
      <c r="BP155" s="814">
        <f>SUM(BP145:BP154)</f>
        <v>1</v>
      </c>
      <c r="BQ155" s="797"/>
    </row>
    <row r="156" spans="1:73" ht="17" thickBot="1"/>
    <row r="157" spans="1:73" ht="29" thickBot="1">
      <c r="A157" s="1018" t="s">
        <v>937</v>
      </c>
      <c r="B157" s="1019"/>
      <c r="C157" s="1019"/>
      <c r="D157" s="1019"/>
      <c r="E157" s="1019"/>
      <c r="F157" s="1019"/>
      <c r="G157" s="1019"/>
      <c r="H157" s="1019"/>
      <c r="I157" s="1019"/>
      <c r="J157" s="1019"/>
      <c r="K157" s="1019"/>
      <c r="L157" s="1019"/>
      <c r="M157" s="1019"/>
      <c r="N157" s="1019"/>
      <c r="O157" s="1019"/>
      <c r="P157" s="1019"/>
      <c r="Q157" s="1019"/>
      <c r="R157" s="1019"/>
      <c r="S157" s="1019"/>
      <c r="T157" s="1019"/>
      <c r="U157" s="1019"/>
      <c r="V157" s="1019"/>
      <c r="W157" s="1020"/>
      <c r="Z157" s="1018" t="s">
        <v>937</v>
      </c>
      <c r="AA157" s="1019"/>
      <c r="AB157" s="1019"/>
      <c r="AC157" s="1019"/>
      <c r="AD157" s="1019"/>
      <c r="AE157" s="1019"/>
      <c r="AF157" s="1019"/>
      <c r="AG157" s="1019"/>
      <c r="AH157" s="1019"/>
      <c r="AI157" s="1019"/>
      <c r="AJ157" s="1019"/>
      <c r="AK157" s="1019"/>
      <c r="AL157" s="1019"/>
      <c r="AM157" s="1019"/>
      <c r="AN157" s="1019"/>
      <c r="AO157" s="1019"/>
      <c r="AP157" s="1019"/>
      <c r="AQ157" s="1019"/>
      <c r="AR157" s="1019"/>
      <c r="AS157" s="1019"/>
      <c r="AT157" s="1019"/>
      <c r="AU157" s="1019"/>
      <c r="AV157" s="1020"/>
      <c r="AY157" s="1018" t="s">
        <v>937</v>
      </c>
      <c r="AZ157" s="1019"/>
      <c r="BA157" s="1019"/>
      <c r="BB157" s="1019"/>
      <c r="BC157" s="1019"/>
      <c r="BD157" s="1019"/>
      <c r="BE157" s="1019"/>
      <c r="BF157" s="1019"/>
      <c r="BG157" s="1019"/>
      <c r="BH157" s="1019"/>
      <c r="BI157" s="1019"/>
      <c r="BJ157" s="1019"/>
      <c r="BK157" s="1019"/>
      <c r="BL157" s="1019"/>
      <c r="BM157" s="1019"/>
      <c r="BN157" s="1019"/>
      <c r="BO157" s="1019"/>
      <c r="BP157" s="1019"/>
      <c r="BQ157" s="1019"/>
      <c r="BR157" s="1019"/>
      <c r="BS157" s="1019"/>
      <c r="BT157" s="1019"/>
      <c r="BU157" s="1020"/>
    </row>
    <row r="158" spans="1:73" ht="24" thickBot="1">
      <c r="A158" s="1012" t="s">
        <v>1128</v>
      </c>
      <c r="B158" s="1013"/>
      <c r="C158" s="1013"/>
      <c r="D158" s="1013"/>
      <c r="E158" s="1013"/>
      <c r="F158" s="1013"/>
      <c r="G158" s="1013"/>
      <c r="H158" s="1013"/>
      <c r="I158" s="1013"/>
      <c r="J158" s="1013"/>
      <c r="K158" s="1013"/>
      <c r="L158" s="1013"/>
      <c r="M158" s="1013"/>
      <c r="N158" s="1013"/>
      <c r="O158" s="1013"/>
      <c r="P158" s="1013"/>
      <c r="Q158" s="1013"/>
      <c r="R158" s="1013"/>
      <c r="S158" s="1013"/>
      <c r="T158" s="1013"/>
      <c r="U158" s="1013"/>
      <c r="V158" s="1013"/>
      <c r="W158" s="1014"/>
      <c r="Z158" s="1012" t="s">
        <v>1129</v>
      </c>
      <c r="AA158" s="1013"/>
      <c r="AB158" s="1013"/>
      <c r="AC158" s="1013"/>
      <c r="AD158" s="1013"/>
      <c r="AE158" s="1013"/>
      <c r="AF158" s="1013"/>
      <c r="AG158" s="1013"/>
      <c r="AH158" s="1013"/>
      <c r="AI158" s="1013"/>
      <c r="AJ158" s="1013"/>
      <c r="AK158" s="1013"/>
      <c r="AL158" s="1013"/>
      <c r="AM158" s="1013"/>
      <c r="AN158" s="1013"/>
      <c r="AO158" s="1013"/>
      <c r="AP158" s="1013"/>
      <c r="AQ158" s="1013"/>
      <c r="AR158" s="1013"/>
      <c r="AS158" s="1013"/>
      <c r="AT158" s="1013"/>
      <c r="AU158" s="1013"/>
      <c r="AV158" s="1014"/>
      <c r="AY158" s="1045" t="s">
        <v>1130</v>
      </c>
      <c r="AZ158" s="1046"/>
      <c r="BA158" s="1046"/>
      <c r="BB158" s="1046"/>
      <c r="BC158" s="1046"/>
      <c r="BD158" s="1046"/>
      <c r="BE158" s="1046"/>
      <c r="BF158" s="1046"/>
      <c r="BG158" s="1046"/>
      <c r="BH158" s="1046"/>
      <c r="BI158" s="1046"/>
      <c r="BJ158" s="1046"/>
      <c r="BK158" s="1046"/>
      <c r="BL158" s="1046"/>
      <c r="BM158" s="1046"/>
      <c r="BN158" s="1046"/>
      <c r="BO158" s="1046"/>
      <c r="BP158" s="1046"/>
      <c r="BQ158" s="1046"/>
      <c r="BR158" s="1046"/>
      <c r="BS158" s="1046"/>
      <c r="BT158" s="1046"/>
      <c r="BU158" s="1047"/>
    </row>
    <row r="159" spans="1:73" s="64" customFormat="1" ht="14" thickBot="1">
      <c r="A159" s="605" t="s">
        <v>143</v>
      </c>
      <c r="B159" s="606" t="s">
        <v>144</v>
      </c>
      <c r="C159" s="606" t="s">
        <v>145</v>
      </c>
      <c r="D159" s="606" t="s">
        <v>146</v>
      </c>
      <c r="E159" s="606" t="s">
        <v>147</v>
      </c>
      <c r="F159" s="606" t="s">
        <v>148</v>
      </c>
      <c r="G159" s="606" t="s">
        <v>149</v>
      </c>
      <c r="H159" s="606" t="s">
        <v>150</v>
      </c>
      <c r="I159" s="606" t="s">
        <v>151</v>
      </c>
      <c r="J159" s="606" t="s">
        <v>152</v>
      </c>
      <c r="K159" s="606" t="s">
        <v>153</v>
      </c>
      <c r="L159" s="606" t="s">
        <v>154</v>
      </c>
      <c r="M159" s="606" t="s">
        <v>155</v>
      </c>
      <c r="N159" s="606" t="s">
        <v>156</v>
      </c>
      <c r="O159" s="606" t="s">
        <v>157</v>
      </c>
      <c r="P159" s="606" t="s">
        <v>158</v>
      </c>
      <c r="Q159" s="606" t="s">
        <v>159</v>
      </c>
      <c r="R159" s="606" t="s">
        <v>160</v>
      </c>
      <c r="S159" s="606" t="s">
        <v>16</v>
      </c>
      <c r="T159" s="606" t="s">
        <v>161</v>
      </c>
      <c r="U159" s="606" t="s">
        <v>162</v>
      </c>
      <c r="V159" s="606" t="s">
        <v>163</v>
      </c>
      <c r="W159" s="607" t="s">
        <v>164</v>
      </c>
      <c r="Z159" s="605" t="s">
        <v>143</v>
      </c>
      <c r="AA159" s="606" t="s">
        <v>144</v>
      </c>
      <c r="AB159" s="606" t="s">
        <v>145</v>
      </c>
      <c r="AC159" s="606" t="s">
        <v>146</v>
      </c>
      <c r="AD159" s="606" t="s">
        <v>147</v>
      </c>
      <c r="AE159" s="606" t="s">
        <v>148</v>
      </c>
      <c r="AF159" s="606" t="s">
        <v>149</v>
      </c>
      <c r="AG159" s="606" t="s">
        <v>150</v>
      </c>
      <c r="AH159" s="606" t="s">
        <v>151</v>
      </c>
      <c r="AI159" s="606" t="s">
        <v>152</v>
      </c>
      <c r="AJ159" s="606" t="s">
        <v>153</v>
      </c>
      <c r="AK159" s="606" t="s">
        <v>154</v>
      </c>
      <c r="AL159" s="606" t="s">
        <v>155</v>
      </c>
      <c r="AM159" s="606" t="s">
        <v>156</v>
      </c>
      <c r="AN159" s="606" t="s">
        <v>157</v>
      </c>
      <c r="AO159" s="606" t="s">
        <v>158</v>
      </c>
      <c r="AP159" s="606" t="s">
        <v>159</v>
      </c>
      <c r="AQ159" s="606" t="s">
        <v>160</v>
      </c>
      <c r="AR159" s="606" t="s">
        <v>16</v>
      </c>
      <c r="AS159" s="606" t="s">
        <v>161</v>
      </c>
      <c r="AT159" s="606" t="s">
        <v>162</v>
      </c>
      <c r="AU159" s="606" t="s">
        <v>163</v>
      </c>
      <c r="AV159" s="607" t="s">
        <v>164</v>
      </c>
      <c r="AY159" s="605" t="s">
        <v>143</v>
      </c>
      <c r="AZ159" s="606" t="s">
        <v>144</v>
      </c>
      <c r="BA159" s="606" t="s">
        <v>145</v>
      </c>
      <c r="BB159" s="606" t="s">
        <v>146</v>
      </c>
      <c r="BC159" s="606" t="s">
        <v>147</v>
      </c>
      <c r="BD159" s="606" t="s">
        <v>148</v>
      </c>
      <c r="BE159" s="606" t="s">
        <v>149</v>
      </c>
      <c r="BF159" s="606" t="s">
        <v>150</v>
      </c>
      <c r="BG159" s="606" t="s">
        <v>151</v>
      </c>
      <c r="BH159" s="606" t="s">
        <v>152</v>
      </c>
      <c r="BI159" s="606" t="s">
        <v>153</v>
      </c>
      <c r="BJ159" s="606" t="s">
        <v>154</v>
      </c>
      <c r="BK159" s="606" t="s">
        <v>155</v>
      </c>
      <c r="BL159" s="606" t="s">
        <v>156</v>
      </c>
      <c r="BM159" s="606" t="s">
        <v>157</v>
      </c>
      <c r="BN159" s="606" t="s">
        <v>158</v>
      </c>
      <c r="BO159" s="606" t="s">
        <v>159</v>
      </c>
      <c r="BP159" s="606" t="s">
        <v>160</v>
      </c>
      <c r="BQ159" s="606" t="s">
        <v>16</v>
      </c>
      <c r="BR159" s="606" t="s">
        <v>161</v>
      </c>
      <c r="BS159" s="606" t="s">
        <v>162</v>
      </c>
      <c r="BT159" s="606" t="s">
        <v>163</v>
      </c>
      <c r="BU159" s="607" t="s">
        <v>164</v>
      </c>
    </row>
    <row r="160" spans="1:73">
      <c r="A160" s="650" t="s">
        <v>952</v>
      </c>
      <c r="B160" s="597" t="s">
        <v>179</v>
      </c>
      <c r="C160" s="597" t="s">
        <v>958</v>
      </c>
      <c r="D160" s="598">
        <f>IFERROR(STL_H271[[#This Row],[H]]/STL_H271[[#This Row],[AB]],0)</f>
        <v>0.18181818181818182</v>
      </c>
      <c r="E160" s="598">
        <f>IFERROR((STL_H271[[#This Row],[H]]+STL_H271[[#This Row],[BB]])/(STL_H271[[#This Row],[AB]]+STL_H271[[#This Row],[BB]]),0)</f>
        <v>0.25</v>
      </c>
      <c r="F160" s="599">
        <f>IFERROR(((STL_H271[[#This Row],[H]]-STL_H271[[#This Row],[2B]]-STL_H271[[#This Row],[3B]]-STL_H271[[#This Row],[HR]])+(STL_H271[[#This Row],[2B]]*2)+(STL_H271[[#This Row],[3B]]*3)+(STL_H271[[#This Row],[HR]]*4))/STL_H271[[#This Row],[AB]],0)</f>
        <v>0.18181818181818182</v>
      </c>
      <c r="G160" s="600">
        <v>3</v>
      </c>
      <c r="H160" s="600">
        <v>11</v>
      </c>
      <c r="I160" s="600">
        <v>0</v>
      </c>
      <c r="J160" s="600">
        <v>2</v>
      </c>
      <c r="K160" s="600">
        <v>0</v>
      </c>
      <c r="L160" s="600">
        <v>0</v>
      </c>
      <c r="M160" s="600">
        <v>0</v>
      </c>
      <c r="N160" s="600">
        <v>0</v>
      </c>
      <c r="O160" s="600">
        <v>1</v>
      </c>
      <c r="P160" s="604">
        <v>3</v>
      </c>
      <c r="Q160" s="600">
        <v>0</v>
      </c>
      <c r="R160" s="600">
        <v>1</v>
      </c>
      <c r="S160" s="604">
        <v>1</v>
      </c>
      <c r="T160" s="600">
        <f>IFERROR((STL_H271[[#This Row],[H]]-STL_H271[[#This Row],[2B]]-STL_H271[[#This Row],[3B]]-STL_H271[[#This Row],[HR]])+(STL_H271[[#This Row],[2B]]*2)+(STL_H271[[#This Row],[3B]]*3)+(STL_H271[[#This Row],[HR]]*4),0)</f>
        <v>2</v>
      </c>
      <c r="U160" s="598">
        <f>STL_H271[[#This Row],[OBP]]+STL_H271[[#This Row],[SLG]]</f>
        <v>0.43181818181818182</v>
      </c>
      <c r="V160" s="604">
        <v>0</v>
      </c>
      <c r="W160" s="614">
        <v>1</v>
      </c>
      <c r="Z160" s="650" t="s">
        <v>1025</v>
      </c>
      <c r="AA160" s="597" t="s">
        <v>179</v>
      </c>
      <c r="AB160" s="597" t="s">
        <v>1031</v>
      </c>
      <c r="AC160" s="598">
        <f>IFERROR(CIN_H81[[#This Row],[H]]/CIN_H81[[#This Row],[AB]],0)</f>
        <v>0.08</v>
      </c>
      <c r="AD160" s="598">
        <f>IFERROR((CIN_H81[[#This Row],[H]]+CIN_H81[[#This Row],[BB]])/(CIN_H81[[#This Row],[BB]]+CIN_H81[[#This Row],[AB]]),0)</f>
        <v>0.11538461538461539</v>
      </c>
      <c r="AE160" s="599">
        <f>IFERROR(((CIN_H81[[#This Row],[H]]-CIN_H81[[#This Row],[2B]]-CIN_H81[[#This Row],[3B]]-CIN_H81[[#This Row],[HR]])+(CIN_H81[[#This Row],[2B]]*2)+(CIN_H81[[#This Row],[3B]]*3)+(CIN_H81[[#This Row],[HR]]*4))/CIN_H81[[#This Row],[AB]],0)</f>
        <v>0.12</v>
      </c>
      <c r="AF160" s="600">
        <v>7</v>
      </c>
      <c r="AG160" s="600">
        <v>25</v>
      </c>
      <c r="AH160" s="600">
        <v>0</v>
      </c>
      <c r="AI160" s="600">
        <v>2</v>
      </c>
      <c r="AJ160" s="600">
        <v>1</v>
      </c>
      <c r="AK160" s="600">
        <v>0</v>
      </c>
      <c r="AL160" s="600">
        <v>0</v>
      </c>
      <c r="AM160" s="600">
        <v>0</v>
      </c>
      <c r="AN160" s="600">
        <v>1</v>
      </c>
      <c r="AO160" s="604">
        <v>11</v>
      </c>
      <c r="AP160" s="600">
        <v>0</v>
      </c>
      <c r="AQ160" s="600">
        <v>0</v>
      </c>
      <c r="AR160" s="604">
        <v>1</v>
      </c>
      <c r="AS160" s="600">
        <f>IFERROR((CIN_H81[[#This Row],[H]]-CIN_H81[[#This Row],[2B]]-CIN_H81[[#This Row],[3B]]-CIN_H81[[#This Row],[HR]])+(CIN_H81[[#This Row],[2B]]*2)+(CIN_H81[[#This Row],[3B]]*3)+(CIN_H81[[#This Row],[HR]]*4),0)</f>
        <v>3</v>
      </c>
      <c r="AT160" s="598">
        <f>CIN_H81[[#This Row],[OBP]]+CIN_H81[[#This Row],[SLG]]</f>
        <v>0.23538461538461539</v>
      </c>
      <c r="AU160" s="604">
        <v>0</v>
      </c>
      <c r="AV160" s="614">
        <v>1</v>
      </c>
      <c r="AY160" s="650" t="s">
        <v>1062</v>
      </c>
      <c r="AZ160" s="604" t="s">
        <v>179</v>
      </c>
      <c r="BA160" s="597" t="s">
        <v>1068</v>
      </c>
      <c r="BB160" s="598">
        <f>IFERROR(MIL_H78[[#This Row],[H]]/MIL_H78[[#This Row],[AB]],0)</f>
        <v>0.375</v>
      </c>
      <c r="BC160" s="598">
        <f>IFERROR((MIL_H78[[#This Row],[H]]+MIL_H78[[#This Row],[BB]])/(MIL_H78[[#This Row],[BB]]+MIL_H78[[#This Row],[AB]]),0)</f>
        <v>0.44444444444444442</v>
      </c>
      <c r="BD160" s="599">
        <f>IFERROR(((MIL_H78[[#This Row],[H]]-MIL_H78[[#This Row],[2B]]-MIL_H78[[#This Row],[3B]]-MIL_H78[[#This Row],[HR]])+(MIL_H78[[#This Row],[2B]]*2)+(MIL_H78[[#This Row],[3B]]*3)+(MIL_H78[[#This Row],[HR]]*4))/MIL_H78[[#This Row],[AB]],0)</f>
        <v>0.58333333333333337</v>
      </c>
      <c r="BE160" s="600">
        <v>6</v>
      </c>
      <c r="BF160" s="600">
        <v>24</v>
      </c>
      <c r="BG160" s="600">
        <v>3</v>
      </c>
      <c r="BH160" s="600">
        <v>9</v>
      </c>
      <c r="BI160" s="600">
        <v>2</v>
      </c>
      <c r="BJ160" s="600">
        <v>0</v>
      </c>
      <c r="BK160" s="600">
        <v>1</v>
      </c>
      <c r="BL160" s="600">
        <v>6</v>
      </c>
      <c r="BM160" s="600">
        <v>3</v>
      </c>
      <c r="BN160" s="604">
        <v>4</v>
      </c>
      <c r="BO160" s="600">
        <v>0</v>
      </c>
      <c r="BP160" s="600">
        <v>4</v>
      </c>
      <c r="BQ160" s="604">
        <v>4</v>
      </c>
      <c r="BR160" s="600">
        <f>(MIL_H78[[#This Row],[H]]-MIL_H78[[#This Row],[2B]]-MIL_H78[[#This Row],[3B]]-MIL_H78[[#This Row],[HR]])+(MIL_H78[[#This Row],[2B]]*2)+(MIL_H78[[#This Row],[3B]]*3)+(MIL_H78[[#This Row],[HR]]*4)</f>
        <v>14</v>
      </c>
      <c r="BS160" s="598">
        <f>IFERROR(MIL_H78[[#This Row],[OBP]]+MIL_H78[[#This Row],[SLG]],0)</f>
        <v>1.0277777777777777</v>
      </c>
      <c r="BT160" s="604">
        <v>0</v>
      </c>
      <c r="BU160" s="614">
        <v>1</v>
      </c>
    </row>
    <row r="161" spans="1:73">
      <c r="A161" s="651" t="s">
        <v>952</v>
      </c>
      <c r="B161" s="71" t="s">
        <v>154</v>
      </c>
      <c r="C161" s="71" t="s">
        <v>954</v>
      </c>
      <c r="D161" s="72">
        <f>IFERROR(STL_H271[[#This Row],[H]]/STL_H271[[#This Row],[AB]],0)</f>
        <v>0.125</v>
      </c>
      <c r="E161" s="72">
        <f>IFERROR((STL_H271[[#This Row],[H]]+STL_H271[[#This Row],[BB]])/(STL_H271[[#This Row],[AB]]+STL_H271[[#This Row],[BB]]),0)</f>
        <v>0.41666666666666669</v>
      </c>
      <c r="F161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0.5</v>
      </c>
      <c r="G161" s="28">
        <v>3</v>
      </c>
      <c r="H161" s="28">
        <v>8</v>
      </c>
      <c r="I161" s="28">
        <v>1</v>
      </c>
      <c r="J161" s="28">
        <v>1</v>
      </c>
      <c r="K161" s="28">
        <v>0</v>
      </c>
      <c r="L161" s="28">
        <v>0</v>
      </c>
      <c r="M161" s="28">
        <v>1</v>
      </c>
      <c r="N161" s="28">
        <v>1</v>
      </c>
      <c r="O161" s="28">
        <v>4</v>
      </c>
      <c r="P161" s="74">
        <v>1</v>
      </c>
      <c r="Q161" s="28">
        <v>0</v>
      </c>
      <c r="R161" s="28">
        <v>0</v>
      </c>
      <c r="S161" s="74">
        <v>1</v>
      </c>
      <c r="T161" s="28">
        <f>IFERROR((STL_H271[[#This Row],[H]]-STL_H271[[#This Row],[2B]]-STL_H271[[#This Row],[3B]]-STL_H271[[#This Row],[HR]])+(STL_H271[[#This Row],[2B]]*2)+(STL_H271[[#This Row],[3B]]*3)+(STL_H271[[#This Row],[HR]]*4),0)</f>
        <v>4</v>
      </c>
      <c r="U161" s="72">
        <f>STL_H271[[#This Row],[OBP]]+STL_H271[[#This Row],[SLG]]</f>
        <v>0.91666666666666674</v>
      </c>
      <c r="V161" s="74">
        <v>0</v>
      </c>
      <c r="W161" s="615">
        <v>2</v>
      </c>
      <c r="Z161" s="651" t="s">
        <v>1025</v>
      </c>
      <c r="AA161" s="71" t="s">
        <v>154</v>
      </c>
      <c r="AB161" s="71" t="s">
        <v>620</v>
      </c>
      <c r="AC161" s="72">
        <f>IFERROR(CIN_H81[[#This Row],[H]]/CIN_H81[[#This Row],[AB]],0)</f>
        <v>0.19230769230769232</v>
      </c>
      <c r="AD161" s="72">
        <f>IFERROR((CIN_H81[[#This Row],[H]]+CIN_H81[[#This Row],[BB]])/(CIN_H81[[#This Row],[BB]]+CIN_H81[[#This Row],[AB]]),0)</f>
        <v>0.25</v>
      </c>
      <c r="AE161" s="73">
        <f>IFERROR(((CIN_H81[[#This Row],[H]]-CIN_H81[[#This Row],[2B]]-CIN_H81[[#This Row],[3B]]-CIN_H81[[#This Row],[HR]])+(CIN_H81[[#This Row],[2B]]*2)+(CIN_H81[[#This Row],[3B]]*3)+(CIN_H81[[#This Row],[HR]]*4))/CIN_H81[[#This Row],[AB]],0)</f>
        <v>0.42307692307692307</v>
      </c>
      <c r="AF161" s="28">
        <v>7</v>
      </c>
      <c r="AG161" s="28">
        <v>26</v>
      </c>
      <c r="AH161" s="28">
        <v>4</v>
      </c>
      <c r="AI161" s="28">
        <v>5</v>
      </c>
      <c r="AJ161" s="28">
        <v>0</v>
      </c>
      <c r="AK161" s="28">
        <v>0</v>
      </c>
      <c r="AL161" s="28">
        <v>2</v>
      </c>
      <c r="AM161" s="28">
        <v>4</v>
      </c>
      <c r="AN161" s="28">
        <v>2</v>
      </c>
      <c r="AO161" s="74">
        <v>12</v>
      </c>
      <c r="AP161" s="28">
        <v>0</v>
      </c>
      <c r="AQ161" s="28">
        <v>2</v>
      </c>
      <c r="AR161" s="74">
        <v>2</v>
      </c>
      <c r="AS161" s="28">
        <f>IFERROR((CIN_H81[[#This Row],[H]]-CIN_H81[[#This Row],[2B]]-CIN_H81[[#This Row],[3B]]-CIN_H81[[#This Row],[HR]])+(CIN_H81[[#This Row],[2B]]*2)+(CIN_H81[[#This Row],[3B]]*3)+(CIN_H81[[#This Row],[HR]]*4),0)</f>
        <v>11</v>
      </c>
      <c r="AT161" s="72">
        <f>CIN_H81[[#This Row],[OBP]]+CIN_H81[[#This Row],[SLG]]</f>
        <v>0.67307692307692313</v>
      </c>
      <c r="AU161" s="74">
        <v>1</v>
      </c>
      <c r="AV161" s="615">
        <v>2</v>
      </c>
      <c r="AY161" s="651" t="s">
        <v>1062</v>
      </c>
      <c r="AZ161" s="74" t="s">
        <v>154</v>
      </c>
      <c r="BA161" s="71" t="s">
        <v>1069</v>
      </c>
      <c r="BB161" s="72">
        <f>IFERROR(MIL_H78[[#This Row],[H]]/MIL_H78[[#This Row],[AB]],0)</f>
        <v>0.14285714285714285</v>
      </c>
      <c r="BC161" s="72">
        <f>IFERROR((MIL_H78[[#This Row],[H]]+MIL_H78[[#This Row],[BB]])/(MIL_H78[[#This Row],[BB]]+MIL_H78[[#This Row],[AB]]),0)</f>
        <v>0.22580645161290322</v>
      </c>
      <c r="BD161" s="73">
        <f>IFERROR(((MIL_H78[[#This Row],[H]]-MIL_H78[[#This Row],[2B]]-MIL_H78[[#This Row],[3B]]-MIL_H78[[#This Row],[HR]])+(MIL_H78[[#This Row],[2B]]*2)+(MIL_H78[[#This Row],[3B]]*3)+(MIL_H78[[#This Row],[HR]]*4))/MIL_H78[[#This Row],[AB]],0)</f>
        <v>0.17857142857142858</v>
      </c>
      <c r="BE161" s="28">
        <v>6</v>
      </c>
      <c r="BF161" s="28">
        <v>28</v>
      </c>
      <c r="BG161" s="28">
        <v>4</v>
      </c>
      <c r="BH161" s="28">
        <v>4</v>
      </c>
      <c r="BI161" s="28">
        <v>1</v>
      </c>
      <c r="BJ161" s="28">
        <v>0</v>
      </c>
      <c r="BK161" s="28">
        <v>0</v>
      </c>
      <c r="BL161" s="28">
        <v>0</v>
      </c>
      <c r="BM161" s="28">
        <v>3</v>
      </c>
      <c r="BN161" s="74">
        <v>7</v>
      </c>
      <c r="BO161" s="28">
        <v>0</v>
      </c>
      <c r="BP161" s="28">
        <v>0</v>
      </c>
      <c r="BQ161" s="74">
        <v>1</v>
      </c>
      <c r="BR161" s="28">
        <f>(MIL_H78[[#This Row],[H]]-MIL_H78[[#This Row],[2B]]-MIL_H78[[#This Row],[3B]]-MIL_H78[[#This Row],[HR]])+(MIL_H78[[#This Row],[2B]]*2)+(MIL_H78[[#This Row],[3B]]*3)+(MIL_H78[[#This Row],[HR]]*4)</f>
        <v>5</v>
      </c>
      <c r="BS161" s="72">
        <f>IFERROR(MIL_H78[[#This Row],[OBP]]+MIL_H78[[#This Row],[SLG]],0)</f>
        <v>0.40437788018433179</v>
      </c>
      <c r="BT161" s="74">
        <v>0</v>
      </c>
      <c r="BU161" s="615">
        <v>2</v>
      </c>
    </row>
    <row r="162" spans="1:73">
      <c r="A162" s="651" t="s">
        <v>952</v>
      </c>
      <c r="B162" s="71" t="s">
        <v>172</v>
      </c>
      <c r="C162" s="71" t="s">
        <v>962</v>
      </c>
      <c r="D162" s="72">
        <f>IFERROR(STL_H271[[#This Row],[H]]/STL_H271[[#This Row],[AB]],0)</f>
        <v>0.1</v>
      </c>
      <c r="E162" s="72">
        <f>IFERROR((STL_H271[[#This Row],[H]]+STL_H271[[#This Row],[BB]])/(STL_H271[[#This Row],[AB]]+STL_H271[[#This Row],[BB]]),0)</f>
        <v>0.1</v>
      </c>
      <c r="F162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0.1</v>
      </c>
      <c r="G162" s="28">
        <v>3</v>
      </c>
      <c r="H162" s="28">
        <v>10</v>
      </c>
      <c r="I162" s="28">
        <v>0</v>
      </c>
      <c r="J162" s="28">
        <v>1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74">
        <v>3</v>
      </c>
      <c r="Q162" s="28">
        <v>1</v>
      </c>
      <c r="R162" s="28">
        <v>0</v>
      </c>
      <c r="S162" s="74">
        <v>1</v>
      </c>
      <c r="T162" s="28">
        <f>IFERROR((STL_H271[[#This Row],[H]]-STL_H271[[#This Row],[2B]]-STL_H271[[#This Row],[3B]]-STL_H271[[#This Row],[HR]])+(STL_H271[[#This Row],[2B]]*2)+(STL_H271[[#This Row],[3B]]*3)+(STL_H271[[#This Row],[HR]]*4),0)</f>
        <v>1</v>
      </c>
      <c r="U162" s="72">
        <f>STL_H271[[#This Row],[OBP]]+STL_H271[[#This Row],[SLG]]</f>
        <v>0.2</v>
      </c>
      <c r="V162" s="74">
        <v>0</v>
      </c>
      <c r="W162" s="615">
        <v>3</v>
      </c>
      <c r="Z162" s="651" t="s">
        <v>1025</v>
      </c>
      <c r="AA162" s="71" t="s">
        <v>172</v>
      </c>
      <c r="AB162" s="71" t="s">
        <v>1030</v>
      </c>
      <c r="AC162" s="72">
        <f>IFERROR(CIN_H81[[#This Row],[H]]/CIN_H81[[#This Row],[AB]],0)</f>
        <v>0.27586206896551724</v>
      </c>
      <c r="AD162" s="72">
        <f>IFERROR((CIN_H81[[#This Row],[H]]+CIN_H81[[#This Row],[BB]])/(CIN_H81[[#This Row],[BB]]+CIN_H81[[#This Row],[AB]]),0)</f>
        <v>0.34375</v>
      </c>
      <c r="AE162" s="73">
        <f>IFERROR(((CIN_H81[[#This Row],[H]]-CIN_H81[[#This Row],[2B]]-CIN_H81[[#This Row],[3B]]-CIN_H81[[#This Row],[HR]])+(CIN_H81[[#This Row],[2B]]*2)+(CIN_H81[[#This Row],[3B]]*3)+(CIN_H81[[#This Row],[HR]]*4))/CIN_H81[[#This Row],[AB]],0)</f>
        <v>0.31034482758620691</v>
      </c>
      <c r="AF162" s="28">
        <v>7</v>
      </c>
      <c r="AG162" s="28">
        <v>29</v>
      </c>
      <c r="AH162" s="28">
        <v>3</v>
      </c>
      <c r="AI162" s="28">
        <v>8</v>
      </c>
      <c r="AJ162" s="28">
        <v>1</v>
      </c>
      <c r="AK162" s="28">
        <v>0</v>
      </c>
      <c r="AL162" s="28">
        <v>0</v>
      </c>
      <c r="AM162" s="28">
        <v>0</v>
      </c>
      <c r="AN162" s="28">
        <v>3</v>
      </c>
      <c r="AO162" s="74">
        <v>1</v>
      </c>
      <c r="AP162" s="28">
        <v>0</v>
      </c>
      <c r="AQ162" s="28">
        <v>0</v>
      </c>
      <c r="AR162" s="74">
        <v>4</v>
      </c>
      <c r="AS162" s="28">
        <f>IFERROR((CIN_H81[[#This Row],[H]]-CIN_H81[[#This Row],[2B]]-CIN_H81[[#This Row],[3B]]-CIN_H81[[#This Row],[HR]])+(CIN_H81[[#This Row],[2B]]*2)+(CIN_H81[[#This Row],[3B]]*3)+(CIN_H81[[#This Row],[HR]]*4),0)</f>
        <v>9</v>
      </c>
      <c r="AT162" s="72">
        <f>CIN_H81[[#This Row],[OBP]]+CIN_H81[[#This Row],[SLG]]</f>
        <v>0.65409482758620685</v>
      </c>
      <c r="AU162" s="74">
        <v>0</v>
      </c>
      <c r="AV162" s="615">
        <v>3</v>
      </c>
      <c r="AY162" s="651" t="s">
        <v>1062</v>
      </c>
      <c r="AZ162" s="74" t="s">
        <v>172</v>
      </c>
      <c r="BA162" s="71" t="s">
        <v>1067</v>
      </c>
      <c r="BB162" s="72">
        <f>IFERROR(MIL_H78[[#This Row],[H]]/MIL_H78[[#This Row],[AB]],0)</f>
        <v>0.2857142857142857</v>
      </c>
      <c r="BC162" s="72">
        <f>IFERROR((MIL_H78[[#This Row],[H]]+MIL_H78[[#This Row],[BB]])/(MIL_H78[[#This Row],[BB]]+MIL_H78[[#This Row],[AB]]),0)</f>
        <v>0.33333333333333331</v>
      </c>
      <c r="BD162" s="73">
        <f>IFERROR(((MIL_H78[[#This Row],[H]]-MIL_H78[[#This Row],[2B]]-MIL_H78[[#This Row],[3B]]-MIL_H78[[#This Row],[HR]])+(MIL_H78[[#This Row],[2B]]*2)+(MIL_H78[[#This Row],[3B]]*3)+(MIL_H78[[#This Row],[HR]]*4))/MIL_H78[[#This Row],[AB]],0)</f>
        <v>0.32142857142857145</v>
      </c>
      <c r="BE162" s="28">
        <v>6</v>
      </c>
      <c r="BF162" s="28">
        <v>28</v>
      </c>
      <c r="BG162" s="28">
        <v>3</v>
      </c>
      <c r="BH162" s="28">
        <v>8</v>
      </c>
      <c r="BI162" s="28">
        <v>1</v>
      </c>
      <c r="BJ162" s="28">
        <v>0</v>
      </c>
      <c r="BK162" s="28">
        <v>0</v>
      </c>
      <c r="BL162" s="28">
        <v>1</v>
      </c>
      <c r="BM162" s="28">
        <v>2</v>
      </c>
      <c r="BN162" s="74">
        <v>2</v>
      </c>
      <c r="BO162" s="28">
        <v>0</v>
      </c>
      <c r="BP162" s="28">
        <v>1</v>
      </c>
      <c r="BQ162" s="74">
        <v>4</v>
      </c>
      <c r="BR162" s="28">
        <f>(MIL_H78[[#This Row],[H]]-MIL_H78[[#This Row],[2B]]-MIL_H78[[#This Row],[3B]]-MIL_H78[[#This Row],[HR]])+(MIL_H78[[#This Row],[2B]]*2)+(MIL_H78[[#This Row],[3B]]*3)+(MIL_H78[[#This Row],[HR]]*4)</f>
        <v>9</v>
      </c>
      <c r="BS162" s="72">
        <f>IFERROR(MIL_H78[[#This Row],[OBP]]+MIL_H78[[#This Row],[SLG]],0)</f>
        <v>0.65476190476190477</v>
      </c>
      <c r="BT162" s="74">
        <v>0</v>
      </c>
      <c r="BU162" s="615">
        <v>3</v>
      </c>
    </row>
    <row r="163" spans="1:73">
      <c r="A163" s="651" t="s">
        <v>952</v>
      </c>
      <c r="B163" s="71" t="s">
        <v>311</v>
      </c>
      <c r="C163" s="71" t="s">
        <v>961</v>
      </c>
      <c r="D163" s="72">
        <f>IFERROR(STL_H271[[#This Row],[H]]/STL_H271[[#This Row],[AB]],0)</f>
        <v>0.15384615384615385</v>
      </c>
      <c r="E163" s="72">
        <f>IFERROR((STL_H271[[#This Row],[H]]+STL_H271[[#This Row],[BB]])/(STL_H271[[#This Row],[AB]]+STL_H271[[#This Row],[BB]]),0)</f>
        <v>0.15384615384615385</v>
      </c>
      <c r="F163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0.38461538461538464</v>
      </c>
      <c r="G163" s="28">
        <v>3</v>
      </c>
      <c r="H163" s="28">
        <v>13</v>
      </c>
      <c r="I163" s="28">
        <v>1</v>
      </c>
      <c r="J163" s="28">
        <v>2</v>
      </c>
      <c r="K163" s="28">
        <v>0</v>
      </c>
      <c r="L163" s="28">
        <v>0</v>
      </c>
      <c r="M163" s="28">
        <v>1</v>
      </c>
      <c r="N163" s="28">
        <v>3</v>
      </c>
      <c r="O163" s="28">
        <v>0</v>
      </c>
      <c r="P163" s="74">
        <v>2</v>
      </c>
      <c r="Q163" s="28">
        <v>0</v>
      </c>
      <c r="R163" s="28">
        <v>2</v>
      </c>
      <c r="S163" s="74">
        <v>2</v>
      </c>
      <c r="T163" s="28">
        <f>IFERROR((STL_H271[[#This Row],[H]]-STL_H271[[#This Row],[2B]]-STL_H271[[#This Row],[3B]]-STL_H271[[#This Row],[HR]])+(STL_H271[[#This Row],[2B]]*2)+(STL_H271[[#This Row],[3B]]*3)+(STL_H271[[#This Row],[HR]]*4),0)</f>
        <v>5</v>
      </c>
      <c r="U163" s="72">
        <f>STL_H271[[#This Row],[OBP]]+STL_H271[[#This Row],[SLG]]</f>
        <v>0.53846153846153855</v>
      </c>
      <c r="V163" s="74">
        <v>1</v>
      </c>
      <c r="W163" s="615">
        <v>4</v>
      </c>
      <c r="Z163" s="651" t="s">
        <v>1025</v>
      </c>
      <c r="AA163" s="71" t="s">
        <v>153</v>
      </c>
      <c r="AB163" s="71" t="s">
        <v>1032</v>
      </c>
      <c r="AC163" s="72">
        <f>IFERROR(CIN_H81[[#This Row],[H]]/CIN_H81[[#This Row],[AB]],0)</f>
        <v>0.15384615384615385</v>
      </c>
      <c r="AD163" s="72">
        <f>IFERROR((CIN_H81[[#This Row],[H]]+CIN_H81[[#This Row],[BB]])/(CIN_H81[[#This Row],[BB]]+CIN_H81[[#This Row],[AB]]),0)</f>
        <v>0.21428571428571427</v>
      </c>
      <c r="AE163" s="73">
        <f>IFERROR(((CIN_H81[[#This Row],[H]]-CIN_H81[[#This Row],[2B]]-CIN_H81[[#This Row],[3B]]-CIN_H81[[#This Row],[HR]])+(CIN_H81[[#This Row],[2B]]*2)+(CIN_H81[[#This Row],[3B]]*3)+(CIN_H81[[#This Row],[HR]]*4))/CIN_H81[[#This Row],[AB]],0)</f>
        <v>0.15384615384615385</v>
      </c>
      <c r="AF163" s="28">
        <v>7</v>
      </c>
      <c r="AG163" s="28">
        <v>26</v>
      </c>
      <c r="AH163" s="28">
        <v>0</v>
      </c>
      <c r="AI163" s="28">
        <v>4</v>
      </c>
      <c r="AJ163" s="28">
        <v>0</v>
      </c>
      <c r="AK163" s="28">
        <v>0</v>
      </c>
      <c r="AL163" s="28">
        <v>0</v>
      </c>
      <c r="AM163" s="28">
        <v>0</v>
      </c>
      <c r="AN163" s="28">
        <v>2</v>
      </c>
      <c r="AO163" s="74">
        <v>4</v>
      </c>
      <c r="AP163" s="28">
        <v>0</v>
      </c>
      <c r="AQ163" s="28">
        <v>0</v>
      </c>
      <c r="AR163" s="74">
        <v>2</v>
      </c>
      <c r="AS163" s="28">
        <f>IFERROR((CIN_H81[[#This Row],[H]]-CIN_H81[[#This Row],[2B]]-CIN_H81[[#This Row],[3B]]-CIN_H81[[#This Row],[HR]])+(CIN_H81[[#This Row],[2B]]*2)+(CIN_H81[[#This Row],[3B]]*3)+(CIN_H81[[#This Row],[HR]]*4),0)</f>
        <v>4</v>
      </c>
      <c r="AT163" s="72">
        <f>CIN_H81[[#This Row],[OBP]]+CIN_H81[[#This Row],[SLG]]</f>
        <v>0.36813186813186816</v>
      </c>
      <c r="AU163" s="74">
        <v>0</v>
      </c>
      <c r="AV163" s="615">
        <v>4</v>
      </c>
      <c r="AY163" s="651" t="s">
        <v>1062</v>
      </c>
      <c r="AZ163" s="74" t="s">
        <v>153</v>
      </c>
      <c r="BA163" s="71" t="s">
        <v>1070</v>
      </c>
      <c r="BB163" s="72">
        <f>IFERROR(MIL_H78[[#This Row],[H]]/MIL_H78[[#This Row],[AB]],0)</f>
        <v>0.32</v>
      </c>
      <c r="BC163" s="72">
        <f>IFERROR((MIL_H78[[#This Row],[H]]+MIL_H78[[#This Row],[BB]])/(MIL_H78[[#This Row],[BB]]+MIL_H78[[#This Row],[AB]]),0)</f>
        <v>0.41379310344827586</v>
      </c>
      <c r="BD163" s="73">
        <f>IFERROR(((MIL_H78[[#This Row],[H]]-MIL_H78[[#This Row],[2B]]-MIL_H78[[#This Row],[3B]]-MIL_H78[[#This Row],[HR]])+(MIL_H78[[#This Row],[2B]]*2)+(MIL_H78[[#This Row],[3B]]*3)+(MIL_H78[[#This Row],[HR]]*4))/MIL_H78[[#This Row],[AB]],0)</f>
        <v>0.48</v>
      </c>
      <c r="BE163" s="28">
        <v>6</v>
      </c>
      <c r="BF163" s="28">
        <v>25</v>
      </c>
      <c r="BG163" s="28">
        <v>4</v>
      </c>
      <c r="BH163" s="28">
        <v>8</v>
      </c>
      <c r="BI163" s="28">
        <v>1</v>
      </c>
      <c r="BJ163" s="28">
        <v>0</v>
      </c>
      <c r="BK163" s="28">
        <v>1</v>
      </c>
      <c r="BL163" s="28">
        <v>2</v>
      </c>
      <c r="BM163" s="28">
        <v>4</v>
      </c>
      <c r="BN163" s="74">
        <v>13</v>
      </c>
      <c r="BO163" s="28">
        <v>0</v>
      </c>
      <c r="BP163" s="28">
        <v>4</v>
      </c>
      <c r="BQ163" s="74">
        <v>4</v>
      </c>
      <c r="BR163" s="28">
        <f>(MIL_H78[[#This Row],[H]]-MIL_H78[[#This Row],[2B]]-MIL_H78[[#This Row],[3B]]-MIL_H78[[#This Row],[HR]])+(MIL_H78[[#This Row],[2B]]*2)+(MIL_H78[[#This Row],[3B]]*3)+(MIL_H78[[#This Row],[HR]]*4)</f>
        <v>12</v>
      </c>
      <c r="BS163" s="72">
        <f>IFERROR(MIL_H78[[#This Row],[OBP]]+MIL_H78[[#This Row],[SLG]],0)</f>
        <v>0.89379310344827578</v>
      </c>
      <c r="BT163" s="74">
        <v>0</v>
      </c>
      <c r="BU163" s="615">
        <v>4</v>
      </c>
    </row>
    <row r="164" spans="1:73">
      <c r="A164" s="651" t="s">
        <v>952</v>
      </c>
      <c r="B164" s="71" t="s">
        <v>177</v>
      </c>
      <c r="C164" s="71" t="s">
        <v>957</v>
      </c>
      <c r="D164" s="72">
        <f>IFERROR(STL_H271[[#This Row],[H]]/STL_H271[[#This Row],[AB]],0)</f>
        <v>0.36363636363636365</v>
      </c>
      <c r="E164" s="72">
        <f>IFERROR((STL_H271[[#This Row],[H]]+STL_H271[[#This Row],[BB]])/(STL_H271[[#This Row],[AB]]+STL_H271[[#This Row],[BB]]),0)</f>
        <v>0.41666666666666669</v>
      </c>
      <c r="F164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0.45454545454545453</v>
      </c>
      <c r="G164" s="28">
        <v>3</v>
      </c>
      <c r="H164" s="28">
        <v>11</v>
      </c>
      <c r="I164" s="28">
        <v>1</v>
      </c>
      <c r="J164" s="28">
        <v>4</v>
      </c>
      <c r="K164" s="28">
        <v>1</v>
      </c>
      <c r="L164" s="28">
        <v>0</v>
      </c>
      <c r="M164" s="28">
        <v>0</v>
      </c>
      <c r="N164" s="28">
        <v>0</v>
      </c>
      <c r="O164" s="28">
        <v>1</v>
      </c>
      <c r="P164" s="74">
        <v>2</v>
      </c>
      <c r="Q164" s="28">
        <v>0</v>
      </c>
      <c r="R164" s="28">
        <v>3</v>
      </c>
      <c r="S164" s="74">
        <v>3</v>
      </c>
      <c r="T164" s="28">
        <f>IFERROR((STL_H271[[#This Row],[H]]-STL_H271[[#This Row],[2B]]-STL_H271[[#This Row],[3B]]-STL_H271[[#This Row],[HR]])+(STL_H271[[#This Row],[2B]]*2)+(STL_H271[[#This Row],[3B]]*3)+(STL_H271[[#This Row],[HR]]*4),0)</f>
        <v>5</v>
      </c>
      <c r="U164" s="72">
        <f>STL_H271[[#This Row],[OBP]]+STL_H271[[#This Row],[SLG]]</f>
        <v>0.87121212121212122</v>
      </c>
      <c r="V164" s="74">
        <v>0</v>
      </c>
      <c r="W164" s="615">
        <v>5</v>
      </c>
      <c r="Z164" s="651" t="s">
        <v>1025</v>
      </c>
      <c r="AA164" s="71" t="s">
        <v>177</v>
      </c>
      <c r="AB164" s="71" t="s">
        <v>1027</v>
      </c>
      <c r="AC164" s="72">
        <f>IFERROR(CIN_H81[[#This Row],[H]]/CIN_H81[[#This Row],[AB]],0)</f>
        <v>0.17241379310344829</v>
      </c>
      <c r="AD164" s="72">
        <f>IFERROR((CIN_H81[[#This Row],[H]]+CIN_H81[[#This Row],[BB]])/(CIN_H81[[#This Row],[BB]]+CIN_H81[[#This Row],[AB]]),0)</f>
        <v>0.22580645161290322</v>
      </c>
      <c r="AE164" s="73">
        <f>IFERROR(((CIN_H81[[#This Row],[H]]-CIN_H81[[#This Row],[2B]]-CIN_H81[[#This Row],[3B]]-CIN_H81[[#This Row],[HR]])+(CIN_H81[[#This Row],[2B]]*2)+(CIN_H81[[#This Row],[3B]]*3)+(CIN_H81[[#This Row],[HR]]*4))/CIN_H81[[#This Row],[AB]],0)</f>
        <v>0.27586206896551724</v>
      </c>
      <c r="AF164" s="28">
        <v>7</v>
      </c>
      <c r="AG164" s="28">
        <v>29</v>
      </c>
      <c r="AH164" s="28">
        <v>3</v>
      </c>
      <c r="AI164" s="28">
        <v>5</v>
      </c>
      <c r="AJ164" s="28">
        <v>0</v>
      </c>
      <c r="AK164" s="28">
        <v>0</v>
      </c>
      <c r="AL164" s="28">
        <v>1</v>
      </c>
      <c r="AM164" s="28">
        <v>3</v>
      </c>
      <c r="AN164" s="28">
        <v>2</v>
      </c>
      <c r="AO164" s="74">
        <v>5</v>
      </c>
      <c r="AP164" s="28">
        <v>0</v>
      </c>
      <c r="AQ164" s="28">
        <v>1</v>
      </c>
      <c r="AR164" s="74">
        <v>2</v>
      </c>
      <c r="AS164" s="28">
        <f>IFERROR((CIN_H81[[#This Row],[H]]-CIN_H81[[#This Row],[2B]]-CIN_H81[[#This Row],[3B]]-CIN_H81[[#This Row],[HR]])+(CIN_H81[[#This Row],[2B]]*2)+(CIN_H81[[#This Row],[3B]]*3)+(CIN_H81[[#This Row],[HR]]*4),0)</f>
        <v>8</v>
      </c>
      <c r="AT164" s="72">
        <f>CIN_H81[[#This Row],[OBP]]+CIN_H81[[#This Row],[SLG]]</f>
        <v>0.50166852057842048</v>
      </c>
      <c r="AU164" s="74">
        <v>1</v>
      </c>
      <c r="AV164" s="615">
        <v>5</v>
      </c>
      <c r="AY164" s="651" t="s">
        <v>1062</v>
      </c>
      <c r="AZ164" s="74" t="s">
        <v>177</v>
      </c>
      <c r="BA164" s="71" t="s">
        <v>1065</v>
      </c>
      <c r="BB164" s="72">
        <f>IFERROR(MIL_H78[[#This Row],[H]]/MIL_H78[[#This Row],[AB]],0)</f>
        <v>0.21428571428571427</v>
      </c>
      <c r="BC164" s="72">
        <f>IFERROR((MIL_H78[[#This Row],[H]]+MIL_H78[[#This Row],[BB]])/(MIL_H78[[#This Row],[BB]]+MIL_H78[[#This Row],[AB]]),0)</f>
        <v>0.2413793103448276</v>
      </c>
      <c r="BD164" s="73">
        <f>IFERROR(((MIL_H78[[#This Row],[H]]-MIL_H78[[#This Row],[2B]]-MIL_H78[[#This Row],[3B]]-MIL_H78[[#This Row],[HR]])+(MIL_H78[[#This Row],[2B]]*2)+(MIL_H78[[#This Row],[3B]]*3)+(MIL_H78[[#This Row],[HR]]*4))/MIL_H78[[#This Row],[AB]],0)</f>
        <v>0.39285714285714285</v>
      </c>
      <c r="BE164" s="28">
        <v>6</v>
      </c>
      <c r="BF164" s="28">
        <v>28</v>
      </c>
      <c r="BG164" s="28">
        <v>2</v>
      </c>
      <c r="BH164" s="28">
        <v>6</v>
      </c>
      <c r="BI164" s="28">
        <v>2</v>
      </c>
      <c r="BJ164" s="28">
        <v>0</v>
      </c>
      <c r="BK164" s="28">
        <v>1</v>
      </c>
      <c r="BL164" s="28">
        <v>2</v>
      </c>
      <c r="BM164" s="28">
        <v>1</v>
      </c>
      <c r="BN164" s="74">
        <v>7</v>
      </c>
      <c r="BO164" s="28">
        <v>0</v>
      </c>
      <c r="BP164" s="28">
        <v>0</v>
      </c>
      <c r="BQ164" s="74">
        <v>4</v>
      </c>
      <c r="BR164" s="28">
        <f>(MIL_H78[[#This Row],[H]]-MIL_H78[[#This Row],[2B]]-MIL_H78[[#This Row],[3B]]-MIL_H78[[#This Row],[HR]])+(MIL_H78[[#This Row],[2B]]*2)+(MIL_H78[[#This Row],[3B]]*3)+(MIL_H78[[#This Row],[HR]]*4)</f>
        <v>11</v>
      </c>
      <c r="BS164" s="72">
        <f>IFERROR(MIL_H78[[#This Row],[OBP]]+MIL_H78[[#This Row],[SLG]],0)</f>
        <v>0.63423645320197042</v>
      </c>
      <c r="BT164" s="74">
        <v>0</v>
      </c>
      <c r="BU164" s="615">
        <v>5</v>
      </c>
    </row>
    <row r="165" spans="1:73">
      <c r="A165" s="651" t="s">
        <v>952</v>
      </c>
      <c r="B165" s="71" t="s">
        <v>174</v>
      </c>
      <c r="C165" s="71" t="s">
        <v>956</v>
      </c>
      <c r="D165" s="72">
        <f>IFERROR(STL_H271[[#This Row],[H]]/STL_H271[[#This Row],[AB]],0)</f>
        <v>0.2</v>
      </c>
      <c r="E165" s="72">
        <f>IFERROR((STL_H271[[#This Row],[H]]+STL_H271[[#This Row],[BB]])/(STL_H271[[#This Row],[AB]]+STL_H271[[#This Row],[BB]]),0)</f>
        <v>0.33333333333333331</v>
      </c>
      <c r="F165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0.2</v>
      </c>
      <c r="G165" s="28">
        <v>3</v>
      </c>
      <c r="H165" s="28">
        <v>10</v>
      </c>
      <c r="I165" s="28">
        <v>2</v>
      </c>
      <c r="J165" s="28">
        <v>2</v>
      </c>
      <c r="K165" s="28">
        <v>0</v>
      </c>
      <c r="L165" s="28">
        <v>0</v>
      </c>
      <c r="M165" s="28">
        <v>0</v>
      </c>
      <c r="N165" s="28">
        <v>1</v>
      </c>
      <c r="O165" s="28">
        <v>2</v>
      </c>
      <c r="P165" s="74">
        <v>3</v>
      </c>
      <c r="Q165" s="28">
        <v>0</v>
      </c>
      <c r="R165" s="28">
        <v>2</v>
      </c>
      <c r="S165" s="74">
        <v>2</v>
      </c>
      <c r="T165" s="28">
        <f>IFERROR((STL_H271[[#This Row],[H]]-STL_H271[[#This Row],[2B]]-STL_H271[[#This Row],[3B]]-STL_H271[[#This Row],[HR]])+(STL_H271[[#This Row],[2B]]*2)+(STL_H271[[#This Row],[3B]]*3)+(STL_H271[[#This Row],[HR]]*4),0)</f>
        <v>2</v>
      </c>
      <c r="U165" s="72">
        <f>STL_H271[[#This Row],[OBP]]+STL_H271[[#This Row],[SLG]]</f>
        <v>0.53333333333333333</v>
      </c>
      <c r="V165" s="74">
        <v>0</v>
      </c>
      <c r="W165" s="615">
        <v>6</v>
      </c>
      <c r="Z165" s="651" t="s">
        <v>1025</v>
      </c>
      <c r="AA165" s="71" t="s">
        <v>174</v>
      </c>
      <c r="AB165" s="71" t="s">
        <v>1034</v>
      </c>
      <c r="AC165" s="72">
        <f>IFERROR(CIN_H81[[#This Row],[H]]/CIN_H81[[#This Row],[AB]],0)</f>
        <v>0.25</v>
      </c>
      <c r="AD165" s="72">
        <f>IFERROR((CIN_H81[[#This Row],[H]]+CIN_H81[[#This Row],[BB]])/(CIN_H81[[#This Row],[BB]]+CIN_H81[[#This Row],[AB]]),0)</f>
        <v>0.25</v>
      </c>
      <c r="AE165" s="73">
        <f>IFERROR(((CIN_H81[[#This Row],[H]]-CIN_H81[[#This Row],[2B]]-CIN_H81[[#This Row],[3B]]-CIN_H81[[#This Row],[HR]])+(CIN_H81[[#This Row],[2B]]*2)+(CIN_H81[[#This Row],[3B]]*3)+(CIN_H81[[#This Row],[HR]]*4))/CIN_H81[[#This Row],[AB]],0)</f>
        <v>0.4642857142857143</v>
      </c>
      <c r="AF165" s="28">
        <v>7</v>
      </c>
      <c r="AG165" s="28">
        <v>28</v>
      </c>
      <c r="AH165" s="28">
        <v>2</v>
      </c>
      <c r="AI165" s="28">
        <v>7</v>
      </c>
      <c r="AJ165" s="28">
        <v>0</v>
      </c>
      <c r="AK165" s="28">
        <v>0</v>
      </c>
      <c r="AL165" s="28">
        <v>2</v>
      </c>
      <c r="AM165" s="28">
        <v>5</v>
      </c>
      <c r="AN165" s="28">
        <v>0</v>
      </c>
      <c r="AO165" s="74">
        <v>10</v>
      </c>
      <c r="AP165" s="28">
        <v>0</v>
      </c>
      <c r="AQ165" s="28">
        <v>2</v>
      </c>
      <c r="AR165" s="74">
        <v>4</v>
      </c>
      <c r="AS165" s="28">
        <f>IFERROR((CIN_H81[[#This Row],[H]]-CIN_H81[[#This Row],[2B]]-CIN_H81[[#This Row],[3B]]-CIN_H81[[#This Row],[HR]])+(CIN_H81[[#This Row],[2B]]*2)+(CIN_H81[[#This Row],[3B]]*3)+(CIN_H81[[#This Row],[HR]]*4),0)</f>
        <v>13</v>
      </c>
      <c r="AT165" s="72">
        <f>CIN_H81[[#This Row],[OBP]]+CIN_H81[[#This Row],[SLG]]</f>
        <v>0.7142857142857143</v>
      </c>
      <c r="AU165" s="74">
        <v>0</v>
      </c>
      <c r="AV165" s="615">
        <v>6</v>
      </c>
      <c r="AY165" s="651" t="s">
        <v>1062</v>
      </c>
      <c r="AZ165" s="104" t="s">
        <v>174</v>
      </c>
      <c r="BA165" s="71" t="s">
        <v>1063</v>
      </c>
      <c r="BB165" s="72">
        <f>IFERROR(MIL_H78[[#This Row],[H]]/MIL_H78[[#This Row],[AB]],0)</f>
        <v>0.33333333333333331</v>
      </c>
      <c r="BC165" s="72">
        <f>IFERROR((MIL_H78[[#This Row],[H]]+MIL_H78[[#This Row],[BB]])/(MIL_H78[[#This Row],[BB]]+MIL_H78[[#This Row],[AB]]),0)</f>
        <v>0.37931034482758619</v>
      </c>
      <c r="BD165" s="73">
        <f>IFERROR(((MIL_H78[[#This Row],[H]]-MIL_H78[[#This Row],[2B]]-MIL_H78[[#This Row],[3B]]-MIL_H78[[#This Row],[HR]])+(MIL_H78[[#This Row],[2B]]*2)+(MIL_H78[[#This Row],[3B]]*3)+(MIL_H78[[#This Row],[HR]]*4))/MIL_H78[[#This Row],[AB]],0)</f>
        <v>0.59259259259259256</v>
      </c>
      <c r="BE165" s="28">
        <v>6</v>
      </c>
      <c r="BF165" s="28">
        <v>27</v>
      </c>
      <c r="BG165" s="28">
        <v>5</v>
      </c>
      <c r="BH165" s="28">
        <v>9</v>
      </c>
      <c r="BI165" s="28">
        <v>1</v>
      </c>
      <c r="BJ165" s="28">
        <v>0</v>
      </c>
      <c r="BK165" s="28">
        <v>2</v>
      </c>
      <c r="BL165" s="28">
        <v>11</v>
      </c>
      <c r="BM165" s="28">
        <v>2</v>
      </c>
      <c r="BN165" s="74">
        <v>8</v>
      </c>
      <c r="BO165" s="28">
        <v>0</v>
      </c>
      <c r="BP165" s="28">
        <v>2</v>
      </c>
      <c r="BQ165" s="74">
        <v>3</v>
      </c>
      <c r="BR165" s="28">
        <f>(MIL_H78[[#This Row],[H]]-MIL_H78[[#This Row],[2B]]-MIL_H78[[#This Row],[3B]]-MIL_H78[[#This Row],[HR]])+(MIL_H78[[#This Row],[2B]]*2)+(MIL_H78[[#This Row],[3B]]*3)+(MIL_H78[[#This Row],[HR]]*4)</f>
        <v>16</v>
      </c>
      <c r="BS165" s="72">
        <f>IFERROR(MIL_H78[[#This Row],[OBP]]+MIL_H78[[#This Row],[SLG]],0)</f>
        <v>0.97190293742017875</v>
      </c>
      <c r="BT165" s="74">
        <v>1</v>
      </c>
      <c r="BU165" s="615">
        <v>6</v>
      </c>
    </row>
    <row r="166" spans="1:73">
      <c r="A166" s="651" t="s">
        <v>952</v>
      </c>
      <c r="B166" s="71" t="s">
        <v>181</v>
      </c>
      <c r="C166" s="71" t="s">
        <v>953</v>
      </c>
      <c r="D166" s="72">
        <f>IFERROR(STL_H271[[#This Row],[H]]/STL_H271[[#This Row],[AB]],0)</f>
        <v>0.22222222222222221</v>
      </c>
      <c r="E166" s="72">
        <f>IFERROR((STL_H271[[#This Row],[H]]+STL_H271[[#This Row],[BB]])/(STL_H271[[#This Row],[AB]]+STL_H271[[#This Row],[BB]]),0)</f>
        <v>0.3</v>
      </c>
      <c r="F166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0.55555555555555558</v>
      </c>
      <c r="G166" s="28">
        <v>3</v>
      </c>
      <c r="H166" s="28">
        <v>9</v>
      </c>
      <c r="I166" s="28">
        <v>2</v>
      </c>
      <c r="J166" s="28">
        <v>2</v>
      </c>
      <c r="K166" s="28">
        <v>0</v>
      </c>
      <c r="L166" s="28">
        <v>0</v>
      </c>
      <c r="M166" s="28">
        <v>1</v>
      </c>
      <c r="N166" s="28">
        <v>3</v>
      </c>
      <c r="O166" s="28">
        <v>1</v>
      </c>
      <c r="P166" s="74">
        <v>3</v>
      </c>
      <c r="Q166" s="28">
        <v>0</v>
      </c>
      <c r="R166" s="28">
        <v>2</v>
      </c>
      <c r="S166" s="74">
        <v>2</v>
      </c>
      <c r="T166" s="28">
        <f>IFERROR((STL_H271[[#This Row],[H]]-STL_H271[[#This Row],[2B]]-STL_H271[[#This Row],[3B]]-STL_H271[[#This Row],[HR]])+(STL_H271[[#This Row],[2B]]*2)+(STL_H271[[#This Row],[3B]]*3)+(STL_H271[[#This Row],[HR]]*4),0)</f>
        <v>5</v>
      </c>
      <c r="U166" s="72">
        <f>STL_H271[[#This Row],[OBP]]+STL_H271[[#This Row],[SLG]]</f>
        <v>0.85555555555555562</v>
      </c>
      <c r="V166" s="74">
        <v>0</v>
      </c>
      <c r="W166" s="615">
        <v>7</v>
      </c>
      <c r="Z166" s="651" t="s">
        <v>1025</v>
      </c>
      <c r="AA166" s="71" t="s">
        <v>181</v>
      </c>
      <c r="AB166" s="71" t="s">
        <v>1029</v>
      </c>
      <c r="AC166" s="72">
        <f>IFERROR(CIN_H81[[#This Row],[H]]/CIN_H81[[#This Row],[AB]],0)</f>
        <v>0.10714285714285714</v>
      </c>
      <c r="AD166" s="72">
        <f>IFERROR((CIN_H81[[#This Row],[H]]+CIN_H81[[#This Row],[BB]])/(CIN_H81[[#This Row],[BB]]+CIN_H81[[#This Row],[AB]]),0)</f>
        <v>0.21875</v>
      </c>
      <c r="AE166" s="73">
        <f>IFERROR(((CIN_H81[[#This Row],[H]]-CIN_H81[[#This Row],[2B]]-CIN_H81[[#This Row],[3B]]-CIN_H81[[#This Row],[HR]])+(CIN_H81[[#This Row],[2B]]*2)+(CIN_H81[[#This Row],[3B]]*3)+(CIN_H81[[#This Row],[HR]]*4))/CIN_H81[[#This Row],[AB]],0)</f>
        <v>0.32142857142857145</v>
      </c>
      <c r="AF166" s="28">
        <v>7</v>
      </c>
      <c r="AG166" s="28">
        <v>28</v>
      </c>
      <c r="AH166" s="28">
        <v>3</v>
      </c>
      <c r="AI166" s="28">
        <v>3</v>
      </c>
      <c r="AJ166" s="28">
        <v>0</v>
      </c>
      <c r="AK166" s="28">
        <v>0</v>
      </c>
      <c r="AL166" s="28">
        <v>2</v>
      </c>
      <c r="AM166" s="28">
        <v>3</v>
      </c>
      <c r="AN166" s="28">
        <v>4</v>
      </c>
      <c r="AO166" s="74">
        <v>10</v>
      </c>
      <c r="AP166" s="28">
        <v>0</v>
      </c>
      <c r="AQ166" s="28">
        <v>0</v>
      </c>
      <c r="AR166" s="74">
        <v>2</v>
      </c>
      <c r="AS166" s="28">
        <f>IFERROR((CIN_H81[[#This Row],[H]]-CIN_H81[[#This Row],[2B]]-CIN_H81[[#This Row],[3B]]-CIN_H81[[#This Row],[HR]])+(CIN_H81[[#This Row],[2B]]*2)+(CIN_H81[[#This Row],[3B]]*3)+(CIN_H81[[#This Row],[HR]]*4),0)</f>
        <v>9</v>
      </c>
      <c r="AT166" s="72">
        <f>CIN_H81[[#This Row],[OBP]]+CIN_H81[[#This Row],[SLG]]</f>
        <v>0.5401785714285714</v>
      </c>
      <c r="AU166" s="74">
        <v>1</v>
      </c>
      <c r="AV166" s="615">
        <v>7</v>
      </c>
      <c r="AY166" s="651" t="s">
        <v>1062</v>
      </c>
      <c r="AZ166" s="74" t="s">
        <v>181</v>
      </c>
      <c r="BA166" s="71" t="s">
        <v>1073</v>
      </c>
      <c r="BB166" s="72">
        <f>IFERROR(MIL_H78[[#This Row],[H]]/MIL_H78[[#This Row],[AB]],0)</f>
        <v>0.125</v>
      </c>
      <c r="BC166" s="72">
        <f>IFERROR((MIL_H78[[#This Row],[H]]+MIL_H78[[#This Row],[BB]])/(MIL_H78[[#This Row],[BB]]+MIL_H78[[#This Row],[AB]]),0)</f>
        <v>0.19230769230769232</v>
      </c>
      <c r="BD166" s="73">
        <f>IFERROR(((MIL_H78[[#This Row],[H]]-MIL_H78[[#This Row],[2B]]-MIL_H78[[#This Row],[3B]]-MIL_H78[[#This Row],[HR]])+(MIL_H78[[#This Row],[2B]]*2)+(MIL_H78[[#This Row],[3B]]*3)+(MIL_H78[[#This Row],[HR]]*4))/MIL_H78[[#This Row],[AB]],0)</f>
        <v>0.25</v>
      </c>
      <c r="BE166" s="28">
        <v>6</v>
      </c>
      <c r="BF166" s="28">
        <v>24</v>
      </c>
      <c r="BG166" s="28">
        <v>1</v>
      </c>
      <c r="BH166" s="28">
        <v>3</v>
      </c>
      <c r="BI166" s="28">
        <v>0</v>
      </c>
      <c r="BJ166" s="28">
        <v>0</v>
      </c>
      <c r="BK166" s="28">
        <v>1</v>
      </c>
      <c r="BL166" s="28">
        <v>4</v>
      </c>
      <c r="BM166" s="28">
        <v>2</v>
      </c>
      <c r="BN166" s="74">
        <v>4</v>
      </c>
      <c r="BO166" s="28">
        <v>0</v>
      </c>
      <c r="BP166" s="28">
        <v>0</v>
      </c>
      <c r="BQ166" s="74">
        <v>3</v>
      </c>
      <c r="BR166" s="28">
        <f>(MIL_H78[[#This Row],[H]]-MIL_H78[[#This Row],[2B]]-MIL_H78[[#This Row],[3B]]-MIL_H78[[#This Row],[HR]])+(MIL_H78[[#This Row],[2B]]*2)+(MIL_H78[[#This Row],[3B]]*3)+(MIL_H78[[#This Row],[HR]]*4)</f>
        <v>6</v>
      </c>
      <c r="BS166" s="72">
        <f>IFERROR(MIL_H78[[#This Row],[OBP]]+MIL_H78[[#This Row],[SLG]],0)</f>
        <v>0.44230769230769229</v>
      </c>
      <c r="BT166" s="74">
        <v>1</v>
      </c>
      <c r="BU166" s="615">
        <v>7</v>
      </c>
    </row>
    <row r="167" spans="1:73">
      <c r="A167" s="651" t="s">
        <v>952</v>
      </c>
      <c r="B167" s="71" t="s">
        <v>166</v>
      </c>
      <c r="C167" s="71" t="s">
        <v>955</v>
      </c>
      <c r="D167" s="72">
        <f>IFERROR(STL_H271[[#This Row],[H]]/STL_H271[[#This Row],[AB]],0)</f>
        <v>9.0909090909090912E-2</v>
      </c>
      <c r="E167" s="72">
        <f>IFERROR((STL_H271[[#This Row],[H]]+STL_H271[[#This Row],[BB]])/(STL_H271[[#This Row],[AB]]+STL_H271[[#This Row],[BB]]),0)</f>
        <v>0.16666666666666666</v>
      </c>
      <c r="F167" s="73">
        <f>IFERROR(((STL_H271[[#This Row],[H]]-STL_H271[[#This Row],[2B]]-STL_H271[[#This Row],[3B]]-STL_H271[[#This Row],[HR]])+(STL_H271[[#This Row],[2B]]*2)+(STL_H271[[#This Row],[3B]]*3)+(STL_H271[[#This Row],[HR]]*4))/STL_H271[[#This Row],[AB]],0)</f>
        <v>9.0909090909090912E-2</v>
      </c>
      <c r="G167" s="28">
        <v>3</v>
      </c>
      <c r="H167" s="28">
        <v>11</v>
      </c>
      <c r="I167" s="28">
        <v>1</v>
      </c>
      <c r="J167" s="28">
        <v>1</v>
      </c>
      <c r="K167" s="28">
        <v>0</v>
      </c>
      <c r="L167" s="28">
        <v>0</v>
      </c>
      <c r="M167" s="28">
        <v>0</v>
      </c>
      <c r="N167" s="28">
        <v>0</v>
      </c>
      <c r="O167" s="28">
        <v>1</v>
      </c>
      <c r="P167" s="74">
        <v>4</v>
      </c>
      <c r="Q167" s="28">
        <v>0</v>
      </c>
      <c r="R167" s="28">
        <v>1</v>
      </c>
      <c r="S167" s="74">
        <v>1</v>
      </c>
      <c r="T167" s="28">
        <f>IFERROR((STL_H271[[#This Row],[H]]-STL_H271[[#This Row],[2B]]-STL_H271[[#This Row],[3B]]-STL_H271[[#This Row],[HR]])+(STL_H271[[#This Row],[2B]]*2)+(STL_H271[[#This Row],[3B]]*3)+(STL_H271[[#This Row],[HR]]*4),0)</f>
        <v>1</v>
      </c>
      <c r="U167" s="72">
        <f>STL_H271[[#This Row],[OBP]]+STL_H271[[#This Row],[SLG]]</f>
        <v>0.25757575757575757</v>
      </c>
      <c r="V167" s="74">
        <v>0</v>
      </c>
      <c r="W167" s="615">
        <v>8</v>
      </c>
      <c r="Z167" s="651" t="s">
        <v>1025</v>
      </c>
      <c r="AA167" s="71" t="s">
        <v>166</v>
      </c>
      <c r="AB167" s="71" t="s">
        <v>1028</v>
      </c>
      <c r="AC167" s="72">
        <f>IFERROR(CIN_H81[[#This Row],[H]]/CIN_H81[[#This Row],[AB]],0)</f>
        <v>0.20689655172413793</v>
      </c>
      <c r="AD167" s="72">
        <f>IFERROR((CIN_H81[[#This Row],[H]]+CIN_H81[[#This Row],[BB]])/(CIN_H81[[#This Row],[BB]]+CIN_H81[[#This Row],[AB]]),0)</f>
        <v>0.25806451612903225</v>
      </c>
      <c r="AE167" s="73">
        <f>IFERROR(((CIN_H81[[#This Row],[H]]-CIN_H81[[#This Row],[2B]]-CIN_H81[[#This Row],[3B]]-CIN_H81[[#This Row],[HR]])+(CIN_H81[[#This Row],[2B]]*2)+(CIN_H81[[#This Row],[3B]]*3)+(CIN_H81[[#This Row],[HR]]*4))/CIN_H81[[#This Row],[AB]],0)</f>
        <v>0.41379310344827586</v>
      </c>
      <c r="AF167" s="28">
        <v>7</v>
      </c>
      <c r="AG167" s="28">
        <v>29</v>
      </c>
      <c r="AH167" s="28">
        <v>3</v>
      </c>
      <c r="AI167" s="28">
        <v>6</v>
      </c>
      <c r="AJ167" s="28">
        <v>0</v>
      </c>
      <c r="AK167" s="28">
        <v>0</v>
      </c>
      <c r="AL167" s="28">
        <v>2</v>
      </c>
      <c r="AM167" s="28">
        <v>2</v>
      </c>
      <c r="AN167" s="28">
        <v>2</v>
      </c>
      <c r="AO167" s="74">
        <v>6</v>
      </c>
      <c r="AP167" s="28">
        <v>0</v>
      </c>
      <c r="AQ167" s="28">
        <v>0</v>
      </c>
      <c r="AR167" s="74">
        <v>3</v>
      </c>
      <c r="AS167" s="28">
        <f>IFERROR((CIN_H81[[#This Row],[H]]-CIN_H81[[#This Row],[2B]]-CIN_H81[[#This Row],[3B]]-CIN_H81[[#This Row],[HR]])+(CIN_H81[[#This Row],[2B]]*2)+(CIN_H81[[#This Row],[3B]]*3)+(CIN_H81[[#This Row],[HR]]*4),0)</f>
        <v>12</v>
      </c>
      <c r="AT167" s="72">
        <f>CIN_H81[[#This Row],[OBP]]+CIN_H81[[#This Row],[SLG]]</f>
        <v>0.67185761957730805</v>
      </c>
      <c r="AU167" s="74">
        <v>1</v>
      </c>
      <c r="AV167" s="615">
        <v>8</v>
      </c>
      <c r="AY167" s="651" t="s">
        <v>1062</v>
      </c>
      <c r="AZ167" s="74" t="s">
        <v>166</v>
      </c>
      <c r="BA167" s="71" t="s">
        <v>1064</v>
      </c>
      <c r="BB167" s="72">
        <f>IFERROR(MIL_H78[[#This Row],[H]]/MIL_H78[[#This Row],[AB]],0)</f>
        <v>0.28000000000000003</v>
      </c>
      <c r="BC167" s="72">
        <f>IFERROR((MIL_H78[[#This Row],[H]]+MIL_H78[[#This Row],[BB]])/(MIL_H78[[#This Row],[BB]]+MIL_H78[[#This Row],[AB]]),0)</f>
        <v>0.4</v>
      </c>
      <c r="BD167" s="73">
        <f>IFERROR(((MIL_H78[[#This Row],[H]]-MIL_H78[[#This Row],[2B]]-MIL_H78[[#This Row],[3B]]-MIL_H78[[#This Row],[HR]])+(MIL_H78[[#This Row],[2B]]*2)+(MIL_H78[[#This Row],[3B]]*3)+(MIL_H78[[#This Row],[HR]]*4))/MIL_H78[[#This Row],[AB]],0)</f>
        <v>0.52</v>
      </c>
      <c r="BE167" s="28">
        <v>6</v>
      </c>
      <c r="BF167" s="28">
        <v>25</v>
      </c>
      <c r="BG167" s="28">
        <v>6</v>
      </c>
      <c r="BH167" s="28">
        <v>7</v>
      </c>
      <c r="BI167" s="28">
        <v>1</v>
      </c>
      <c r="BJ167" s="28">
        <v>1</v>
      </c>
      <c r="BK167" s="28">
        <v>1</v>
      </c>
      <c r="BL167" s="28">
        <v>2</v>
      </c>
      <c r="BM167" s="28">
        <v>5</v>
      </c>
      <c r="BN167" s="74">
        <v>9</v>
      </c>
      <c r="BO167" s="28">
        <v>0</v>
      </c>
      <c r="BP167" s="28">
        <v>1</v>
      </c>
      <c r="BQ167" s="74">
        <v>3</v>
      </c>
      <c r="BR167" s="28">
        <f>(MIL_H78[[#This Row],[H]]-MIL_H78[[#This Row],[2B]]-MIL_H78[[#This Row],[3B]]-MIL_H78[[#This Row],[HR]])+(MIL_H78[[#This Row],[2B]]*2)+(MIL_H78[[#This Row],[3B]]*3)+(MIL_H78[[#This Row],[HR]]*4)</f>
        <v>13</v>
      </c>
      <c r="BS167" s="72">
        <f>IFERROR(MIL_H78[[#This Row],[OBP]]+MIL_H78[[#This Row],[SLG]],0)</f>
        <v>0.92</v>
      </c>
      <c r="BT167" s="74">
        <v>0</v>
      </c>
      <c r="BU167" s="615">
        <v>8</v>
      </c>
    </row>
    <row r="168" spans="1:73">
      <c r="A168" s="651" t="s">
        <v>952</v>
      </c>
      <c r="B168" s="71" t="s">
        <v>168</v>
      </c>
      <c r="C168" s="71" t="s">
        <v>688</v>
      </c>
      <c r="D168" s="72">
        <f>IFERROR(STL_H271[[#This Row],[H]]/STL_H271[[#This Row],[AB]],0)</f>
        <v>0.16666666666666666</v>
      </c>
      <c r="E168" s="72">
        <f>IFERROR((STL_H271[[#This Row],[H]]+STL_H271[[#This Row],[BB]])/(STL_H271[[#This Row],[AB]]+STL_H271[[#This Row],[BB]]),0)</f>
        <v>0.16666666666666666</v>
      </c>
      <c r="F168" s="73">
        <f>IFERROR(((STL_H271[[#This Row],[H]]-STL_H271[[#This Row],[2B]]-STL_H271[[#This Row],[3B]]-STL_H271[[#This Row],[HR]])+(STL_H271[[#This Row],[2B]]*2)+(STL_H271[[#This Row],[3B]]*3)+(STL_H271[[#This Row],[HR]]*4))/STL_H271[[#This Row],[AB]],0)</f>
        <v>0.25</v>
      </c>
      <c r="G168" s="28">
        <v>3</v>
      </c>
      <c r="H168" s="28">
        <v>12</v>
      </c>
      <c r="I168" s="28">
        <v>0</v>
      </c>
      <c r="J168" s="28">
        <v>2</v>
      </c>
      <c r="K168" s="28">
        <v>1</v>
      </c>
      <c r="L168" s="28">
        <v>0</v>
      </c>
      <c r="M168" s="28">
        <v>0</v>
      </c>
      <c r="N168" s="28">
        <v>0</v>
      </c>
      <c r="O168" s="28">
        <v>0</v>
      </c>
      <c r="P168" s="74">
        <v>2</v>
      </c>
      <c r="Q168" s="28">
        <v>0</v>
      </c>
      <c r="R168" s="28">
        <v>0</v>
      </c>
      <c r="S168" s="74">
        <v>2</v>
      </c>
      <c r="T168" s="28">
        <f>IFERROR((STL_H271[[#This Row],[H]]-STL_H271[[#This Row],[2B]]-STL_H271[[#This Row],[3B]]-STL_H271[[#This Row],[HR]])+(STL_H271[[#This Row],[2B]]*2)+(STL_H271[[#This Row],[3B]]*3)+(STL_H271[[#This Row],[HR]]*4),0)</f>
        <v>3</v>
      </c>
      <c r="U168" s="72">
        <f>STL_H271[[#This Row],[OBP]]+STL_H271[[#This Row],[SLG]]</f>
        <v>0.41666666666666663</v>
      </c>
      <c r="V168" s="74">
        <v>0</v>
      </c>
      <c r="W168" s="615">
        <v>9</v>
      </c>
      <c r="Z168" s="651" t="s">
        <v>1025</v>
      </c>
      <c r="AA168" s="71" t="s">
        <v>168</v>
      </c>
      <c r="AB168" s="71" t="s">
        <v>1036</v>
      </c>
      <c r="AC168" s="72">
        <f>IFERROR(CIN_H81[[#This Row],[H]]/CIN_H81[[#This Row],[AB]],0)</f>
        <v>0.33333333333333331</v>
      </c>
      <c r="AD168" s="72">
        <f>IFERROR((CIN_H81[[#This Row],[H]]+CIN_H81[[#This Row],[BB]])/(CIN_H81[[#This Row],[BB]]+CIN_H81[[#This Row],[AB]]),0)</f>
        <v>0.37931034482758619</v>
      </c>
      <c r="AE168" s="73">
        <f>IFERROR(((CIN_H81[[#This Row],[H]]-CIN_H81[[#This Row],[2B]]-CIN_H81[[#This Row],[3B]]-CIN_H81[[#This Row],[HR]])+(CIN_H81[[#This Row],[2B]]*2)+(CIN_H81[[#This Row],[3B]]*3)+(CIN_H81[[#This Row],[HR]]*4))/CIN_H81[[#This Row],[AB]],0)</f>
        <v>0.40740740740740738</v>
      </c>
      <c r="AF168" s="28">
        <v>7</v>
      </c>
      <c r="AG168" s="28">
        <v>27</v>
      </c>
      <c r="AH168" s="28">
        <v>1</v>
      </c>
      <c r="AI168" s="28">
        <v>9</v>
      </c>
      <c r="AJ168" s="28">
        <v>2</v>
      </c>
      <c r="AK168" s="28">
        <v>0</v>
      </c>
      <c r="AL168" s="28">
        <v>0</v>
      </c>
      <c r="AM168" s="28">
        <v>2</v>
      </c>
      <c r="AN168" s="28">
        <v>2</v>
      </c>
      <c r="AO168" s="74">
        <v>7</v>
      </c>
      <c r="AP168" s="28">
        <v>0</v>
      </c>
      <c r="AQ168" s="28">
        <v>5</v>
      </c>
      <c r="AR168" s="74">
        <v>5</v>
      </c>
      <c r="AS168" s="28">
        <f>IFERROR((CIN_H81[[#This Row],[H]]-CIN_H81[[#This Row],[2B]]-CIN_H81[[#This Row],[3B]]-CIN_H81[[#This Row],[HR]])+(CIN_H81[[#This Row],[2B]]*2)+(CIN_H81[[#This Row],[3B]]*3)+(CIN_H81[[#This Row],[HR]]*4),0)</f>
        <v>11</v>
      </c>
      <c r="AT168" s="72">
        <f>CIN_H81[[#This Row],[OBP]]+CIN_H81[[#This Row],[SLG]]</f>
        <v>0.78671775223499352</v>
      </c>
      <c r="AU168" s="74">
        <v>0</v>
      </c>
      <c r="AV168" s="615">
        <v>9</v>
      </c>
      <c r="AY168" s="651" t="s">
        <v>1062</v>
      </c>
      <c r="AZ168" s="74" t="s">
        <v>1074</v>
      </c>
      <c r="BA168" s="71" t="s">
        <v>1075</v>
      </c>
      <c r="BB168" s="72">
        <f>IFERROR(MIL_H78[[#This Row],[H]]/MIL_H78[[#This Row],[AB]],0)</f>
        <v>0.13043478260869565</v>
      </c>
      <c r="BC168" s="72">
        <f>IFERROR((MIL_H78[[#This Row],[H]]+MIL_H78[[#This Row],[BB]])/(MIL_H78[[#This Row],[BB]]+MIL_H78[[#This Row],[AB]]),0)</f>
        <v>0.25925925925925924</v>
      </c>
      <c r="BD168" s="73">
        <f>IFERROR(((MIL_H78[[#This Row],[H]]-MIL_H78[[#This Row],[2B]]-MIL_H78[[#This Row],[3B]]-MIL_H78[[#This Row],[HR]])+(MIL_H78[[#This Row],[2B]]*2)+(MIL_H78[[#This Row],[3B]]*3)+(MIL_H78[[#This Row],[HR]]*4))/MIL_H78[[#This Row],[AB]],0)</f>
        <v>0.13043478260869565</v>
      </c>
      <c r="BE168" s="28">
        <v>6</v>
      </c>
      <c r="BF168" s="28">
        <v>23</v>
      </c>
      <c r="BG168" s="28">
        <v>2</v>
      </c>
      <c r="BH168" s="28">
        <v>3</v>
      </c>
      <c r="BI168" s="28">
        <v>0</v>
      </c>
      <c r="BJ168" s="28">
        <v>0</v>
      </c>
      <c r="BK168" s="28">
        <v>0</v>
      </c>
      <c r="BL168" s="28">
        <v>2</v>
      </c>
      <c r="BM168" s="28">
        <v>4</v>
      </c>
      <c r="BN168" s="74">
        <v>6</v>
      </c>
      <c r="BO168" s="28">
        <v>0</v>
      </c>
      <c r="BP168" s="28">
        <v>1</v>
      </c>
      <c r="BQ168" s="74">
        <v>2</v>
      </c>
      <c r="BR168" s="28">
        <f>(MIL_H78[[#This Row],[H]]-MIL_H78[[#This Row],[2B]]-MIL_H78[[#This Row],[3B]]-MIL_H78[[#This Row],[HR]])+(MIL_H78[[#This Row],[2B]]*2)+(MIL_H78[[#This Row],[3B]]*3)+(MIL_H78[[#This Row],[HR]]*4)</f>
        <v>3</v>
      </c>
      <c r="BS168" s="72">
        <f>IFERROR(MIL_H78[[#This Row],[OBP]]+MIL_H78[[#This Row],[SLG]],0)</f>
        <v>0.38969404186795487</v>
      </c>
      <c r="BT168" s="74">
        <v>0</v>
      </c>
      <c r="BU168" s="615">
        <v>9</v>
      </c>
    </row>
    <row r="169" spans="1:73">
      <c r="A169" s="651" t="s">
        <v>952</v>
      </c>
      <c r="B169" s="71" t="s">
        <v>308</v>
      </c>
      <c r="C169" s="71" t="s">
        <v>966</v>
      </c>
      <c r="D169" s="72">
        <f>IFERROR(STL_H271[[#This Row],[H]]/STL_H271[[#This Row],[AB]],0)</f>
        <v>0</v>
      </c>
      <c r="E169" s="72">
        <f>IFERROR((STL_H271[[#This Row],[H]]+STL_H271[[#This Row],[BB]])/(STL_H271[[#This Row],[AB]]+STL_H271[[#This Row],[BB]]),0)</f>
        <v>0</v>
      </c>
      <c r="F169" s="73">
        <f>IFERROR(((STL_H271[[#This Row],[H]]-STL_H271[[#This Row],[2B]]-STL_H271[[#This Row],[3B]]-STL_H271[[#This Row],[HR]])+(STL_H271[[#This Row],[2B]]*2)+(STL_H271[[#This Row],[3B]]*3)+(STL_H271[[#This Row],[HR]]*4))/STL_H271[[#This Row],[AB]],0)</f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74">
        <v>0</v>
      </c>
      <c r="Q169" s="28">
        <v>0</v>
      </c>
      <c r="R169" s="28">
        <v>0</v>
      </c>
      <c r="S169" s="74">
        <v>0</v>
      </c>
      <c r="T169" s="28">
        <f>IFERROR((STL_H271[[#This Row],[H]]-STL_H271[[#This Row],[2B]]-STL_H271[[#This Row],[3B]]-STL_H271[[#This Row],[HR]])+(STL_H271[[#This Row],[2B]]*2)+(STL_H271[[#This Row],[3B]]*3)+(STL_H271[[#This Row],[HR]]*4),0)</f>
        <v>0</v>
      </c>
      <c r="U169" s="72">
        <f>STL_H271[[#This Row],[OBP]]+STL_H271[[#This Row],[SLG]]</f>
        <v>0</v>
      </c>
      <c r="V169" s="74">
        <v>0</v>
      </c>
      <c r="W169" s="615">
        <v>10</v>
      </c>
      <c r="Z169" s="651" t="s">
        <v>1025</v>
      </c>
      <c r="AA169" s="71" t="s">
        <v>179</v>
      </c>
      <c r="AB169" s="71" t="s">
        <v>1044</v>
      </c>
      <c r="AC169" s="72">
        <f>IFERROR(CIN_H81[[#This Row],[H]]/CIN_H81[[#This Row],[AB]],0)</f>
        <v>0</v>
      </c>
      <c r="AD169" s="72">
        <f>IFERROR((CIN_H81[[#This Row],[H]]+CIN_H81[[#This Row],[BB]])/(CIN_H81[[#This Row],[BB]]+CIN_H81[[#This Row],[AB]]),0)</f>
        <v>0</v>
      </c>
      <c r="AE169" s="73">
        <f>IFERROR(((CIN_H81[[#This Row],[H]]-CIN_H81[[#This Row],[2B]]-CIN_H81[[#This Row],[3B]]-CIN_H81[[#This Row],[HR]])+(CIN_H81[[#This Row],[2B]]*2)+(CIN_H81[[#This Row],[3B]]*3)+(CIN_H81[[#This Row],[HR]]*4))/CIN_H81[[#This Row],[AB]],0)</f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0</v>
      </c>
      <c r="AP169" s="28">
        <v>0</v>
      </c>
      <c r="AQ169" s="28">
        <v>0</v>
      </c>
      <c r="AR169" s="74">
        <v>0</v>
      </c>
      <c r="AS169" s="28">
        <f>IFERROR((CIN_H81[[#This Row],[H]]-CIN_H81[[#This Row],[2B]]-CIN_H81[[#This Row],[3B]]-CIN_H81[[#This Row],[HR]])+(CIN_H81[[#This Row],[2B]]*2)+(CIN_H81[[#This Row],[3B]]*3)+(CIN_H81[[#This Row],[HR]]*4),0)</f>
        <v>0</v>
      </c>
      <c r="AT169" s="72">
        <f>CIN_H81[[#This Row],[OBP]]+CIN_H81[[#This Row],[SLG]]</f>
        <v>0</v>
      </c>
      <c r="AU169" s="74">
        <v>0</v>
      </c>
      <c r="AV169" s="615">
        <v>10</v>
      </c>
      <c r="AY169" s="651" t="s">
        <v>1062</v>
      </c>
      <c r="AZ169" s="74" t="s">
        <v>308</v>
      </c>
      <c r="BA169" s="71" t="s">
        <v>1079</v>
      </c>
      <c r="BB169" s="72">
        <f>IFERROR(MIL_H78[[#This Row],[H]]/MIL_H78[[#This Row],[AB]],0)</f>
        <v>0</v>
      </c>
      <c r="BC169" s="72">
        <f>IFERROR((MIL_H78[[#This Row],[H]]+MIL_H78[[#This Row],[BB]])/(MIL_H78[[#This Row],[BB]]+MIL_H78[[#This Row],[AB]]),0)</f>
        <v>0</v>
      </c>
      <c r="BD169" s="73">
        <f>IFERROR(((MIL_H78[[#This Row],[H]]-MIL_H78[[#This Row],[2B]]-MIL_H78[[#This Row],[3B]]-MIL_H78[[#This Row],[HR]])+(MIL_H78[[#This Row],[2B]]*2)+(MIL_H78[[#This Row],[3B]]*3)+(MIL_H78[[#This Row],[HR]]*4))/MIL_H78[[#This Row],[AB]],0)</f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28">
        <v>0</v>
      </c>
      <c r="BP169" s="28">
        <v>0</v>
      </c>
      <c r="BQ169" s="74">
        <v>0</v>
      </c>
      <c r="BR169" s="28">
        <f>(MIL_H78[[#This Row],[H]]-MIL_H78[[#This Row],[2B]]-MIL_H78[[#This Row],[3B]]-MIL_H78[[#This Row],[HR]])+(MIL_H78[[#This Row],[2B]]*2)+(MIL_H78[[#This Row],[3B]]*3)+(MIL_H78[[#This Row],[HR]]*4)</f>
        <v>0</v>
      </c>
      <c r="BS169" s="72">
        <f>IFERROR(MIL_H78[[#This Row],[OBP]]+MIL_H78[[#This Row],[SLG]],0)</f>
        <v>0</v>
      </c>
      <c r="BT169" s="74">
        <v>0</v>
      </c>
      <c r="BU169" s="615">
        <v>10</v>
      </c>
    </row>
    <row r="170" spans="1:73">
      <c r="A170" s="651" t="s">
        <v>952</v>
      </c>
      <c r="B170" s="71" t="s">
        <v>192</v>
      </c>
      <c r="C170" s="71" t="s">
        <v>964</v>
      </c>
      <c r="D170" s="72">
        <f>IFERROR(STL_H271[[#This Row],[H]]/STL_H271[[#This Row],[AB]],0)</f>
        <v>0</v>
      </c>
      <c r="E170" s="72">
        <f>IFERROR((STL_H271[[#This Row],[H]]+STL_H271[[#This Row],[BB]])/(STL_H271[[#This Row],[AB]]+STL_H271[[#This Row],[BB]]),0)</f>
        <v>0</v>
      </c>
      <c r="F170" s="73">
        <f>IFERROR(((STL_H271[[#This Row],[H]]-STL_H271[[#This Row],[2B]]-STL_H271[[#This Row],[3B]]-STL_H271[[#This Row],[HR]])+(STL_H271[[#This Row],[2B]]*2)+(STL_H271[[#This Row],[3B]]*3)+(STL_H271[[#This Row],[HR]]*4))/STL_H271[[#This Row],[AB]],0)</f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74">
        <v>0</v>
      </c>
      <c r="Q170" s="28">
        <v>0</v>
      </c>
      <c r="R170" s="28">
        <v>0</v>
      </c>
      <c r="S170" s="74">
        <v>0</v>
      </c>
      <c r="T170" s="28">
        <f>IFERROR((STL_H271[[#This Row],[H]]-STL_H271[[#This Row],[2B]]-STL_H271[[#This Row],[3B]]-STL_H271[[#This Row],[HR]])+(STL_H271[[#This Row],[2B]]*2)+(STL_H271[[#This Row],[3B]]*3)+(STL_H271[[#This Row],[HR]]*4),0)</f>
        <v>0</v>
      </c>
      <c r="U170" s="72">
        <f>STL_H271[[#This Row],[OBP]]+STL_H271[[#This Row],[SLG]]</f>
        <v>0</v>
      </c>
      <c r="V170" s="74">
        <v>0</v>
      </c>
      <c r="W170" s="615">
        <v>11</v>
      </c>
      <c r="Z170" s="651" t="s">
        <v>1025</v>
      </c>
      <c r="AA170" s="71" t="s">
        <v>187</v>
      </c>
      <c r="AB170" s="71" t="s">
        <v>1035</v>
      </c>
      <c r="AC170" s="72">
        <f>IFERROR(CIN_H81[[#This Row],[H]]/CIN_H81[[#This Row],[AB]],0)</f>
        <v>0</v>
      </c>
      <c r="AD170" s="72">
        <f>IFERROR((CIN_H81[[#This Row],[H]]+CIN_H81[[#This Row],[BB]])/(CIN_H81[[#This Row],[BB]]+CIN_H81[[#This Row],[AB]]),0)</f>
        <v>0</v>
      </c>
      <c r="AE170" s="73">
        <f>IFERROR(((CIN_H81[[#This Row],[H]]-CIN_H81[[#This Row],[2B]]-CIN_H81[[#This Row],[3B]]-CIN_H81[[#This Row],[HR]])+(CIN_H81[[#This Row],[2B]]*2)+(CIN_H81[[#This Row],[3B]]*3)+(CIN_H81[[#This Row],[HR]]*4))/CIN_H81[[#This Row],[AB]],0)</f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74">
        <v>0</v>
      </c>
      <c r="AP170" s="28">
        <v>0</v>
      </c>
      <c r="AQ170" s="28">
        <v>0</v>
      </c>
      <c r="AR170" s="74">
        <v>0</v>
      </c>
      <c r="AS170" s="28">
        <f>IFERROR((CIN_H81[[#This Row],[H]]-CIN_H81[[#This Row],[2B]]-CIN_H81[[#This Row],[3B]]-CIN_H81[[#This Row],[HR]])+(CIN_H81[[#This Row],[2B]]*2)+(CIN_H81[[#This Row],[3B]]*3)+(CIN_H81[[#This Row],[HR]]*4),0)</f>
        <v>0</v>
      </c>
      <c r="AT170" s="72">
        <f>CIN_H81[[#This Row],[OBP]]+CIN_H81[[#This Row],[SLG]]</f>
        <v>0</v>
      </c>
      <c r="AU170" s="74">
        <v>0</v>
      </c>
      <c r="AV170" s="615">
        <v>11</v>
      </c>
      <c r="AY170" s="651" t="s">
        <v>1062</v>
      </c>
      <c r="AZ170" s="74" t="s">
        <v>187</v>
      </c>
      <c r="BA170" s="71" t="s">
        <v>1072</v>
      </c>
      <c r="BB170" s="72">
        <f>IFERROR(MIL_H78[[#This Row],[H]]/MIL_H78[[#This Row],[AB]],0)</f>
        <v>0</v>
      </c>
      <c r="BC170" s="72">
        <f>IFERROR((MIL_H78[[#This Row],[H]]+MIL_H78[[#This Row],[BB]])/(MIL_H78[[#This Row],[BB]]+MIL_H78[[#This Row],[AB]]),0)</f>
        <v>0</v>
      </c>
      <c r="BD170" s="73">
        <f>IFERROR(((MIL_H78[[#This Row],[H]]-MIL_H78[[#This Row],[2B]]-MIL_H78[[#This Row],[3B]]-MIL_H78[[#This Row],[HR]])+(MIL_H78[[#This Row],[2B]]*2)+(MIL_H78[[#This Row],[3B]]*3)+(MIL_H78[[#This Row],[HR]]*4))/MIL_H78[[#This Row],[AB]],0)</f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74">
        <v>0</v>
      </c>
      <c r="BO170" s="28">
        <v>0</v>
      </c>
      <c r="BP170" s="28">
        <v>0</v>
      </c>
      <c r="BQ170" s="74">
        <v>0</v>
      </c>
      <c r="BR170" s="28">
        <f>(MIL_H78[[#This Row],[H]]-MIL_H78[[#This Row],[2B]]-MIL_H78[[#This Row],[3B]]-MIL_H78[[#This Row],[HR]])+(MIL_H78[[#This Row],[2B]]*2)+(MIL_H78[[#This Row],[3B]]*3)+(MIL_H78[[#This Row],[HR]]*4)</f>
        <v>0</v>
      </c>
      <c r="BS170" s="72">
        <f>IFERROR(MIL_H78[[#This Row],[OBP]]+MIL_H78[[#This Row],[SLG]],0)</f>
        <v>0</v>
      </c>
      <c r="BT170" s="74">
        <v>0</v>
      </c>
      <c r="BU170" s="615">
        <v>11</v>
      </c>
    </row>
    <row r="171" spans="1:73">
      <c r="A171" s="651" t="s">
        <v>952</v>
      </c>
      <c r="B171" s="71" t="s">
        <v>186</v>
      </c>
      <c r="C171" s="71" t="s">
        <v>967</v>
      </c>
      <c r="D171" s="72">
        <f>IFERROR(STL_H271[[#This Row],[H]]/STL_H271[[#This Row],[AB]],0)</f>
        <v>0</v>
      </c>
      <c r="E171" s="72">
        <f>IFERROR((STL_H271[[#This Row],[H]]+STL_H271[[#This Row],[BB]])/(STL_H271[[#This Row],[AB]]+STL_H271[[#This Row],[BB]]),0)</f>
        <v>0</v>
      </c>
      <c r="F171" s="73">
        <f>IFERROR(((STL_H271[[#This Row],[H]]-STL_H271[[#This Row],[2B]]-STL_H271[[#This Row],[3B]]-STL_H271[[#This Row],[HR]])+(STL_H271[[#This Row],[2B]]*2)+(STL_H271[[#This Row],[3B]]*3)+(STL_H271[[#This Row],[HR]]*4))/STL_H271[[#This Row],[AB]],0)</f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74">
        <v>0</v>
      </c>
      <c r="Q171" s="28">
        <v>0</v>
      </c>
      <c r="R171" s="28">
        <v>0</v>
      </c>
      <c r="S171" s="74">
        <v>0</v>
      </c>
      <c r="T171" s="28">
        <f>IFERROR((STL_H271[[#This Row],[H]]-STL_H271[[#This Row],[2B]]-STL_H271[[#This Row],[3B]]-STL_H271[[#This Row],[HR]])+(STL_H271[[#This Row],[2B]]*2)+(STL_H271[[#This Row],[3B]]*3)+(STL_H271[[#This Row],[HR]]*4),0)</f>
        <v>0</v>
      </c>
      <c r="U171" s="72">
        <f>STL_H271[[#This Row],[OBP]]+STL_H271[[#This Row],[SLG]]</f>
        <v>0</v>
      </c>
      <c r="V171" s="74">
        <v>0</v>
      </c>
      <c r="W171" s="615">
        <v>12</v>
      </c>
      <c r="Z171" s="651" t="s">
        <v>1025</v>
      </c>
      <c r="AA171" s="71" t="s">
        <v>192</v>
      </c>
      <c r="AB171" s="71" t="s">
        <v>1039</v>
      </c>
      <c r="AC171" s="72">
        <f>IFERROR(CIN_H81[[#This Row],[H]]/CIN_H81[[#This Row],[AB]],0)</f>
        <v>0</v>
      </c>
      <c r="AD171" s="72">
        <f>IFERROR((CIN_H81[[#This Row],[H]]+CIN_H81[[#This Row],[BB]])/(CIN_H81[[#This Row],[BB]]+CIN_H81[[#This Row],[AB]]),0)</f>
        <v>0</v>
      </c>
      <c r="AE171" s="73">
        <f>IFERROR(((CIN_H81[[#This Row],[H]]-CIN_H81[[#This Row],[2B]]-CIN_H81[[#This Row],[3B]]-CIN_H81[[#This Row],[HR]])+(CIN_H81[[#This Row],[2B]]*2)+(CIN_H81[[#This Row],[3B]]*3)+(CIN_H81[[#This Row],[HR]]*4))/CIN_H81[[#This Row],[AB]],0)</f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74">
        <v>0</v>
      </c>
      <c r="AP171" s="28">
        <v>0</v>
      </c>
      <c r="AQ171" s="28">
        <v>0</v>
      </c>
      <c r="AR171" s="74">
        <v>0</v>
      </c>
      <c r="AS171" s="28">
        <f>IFERROR((CIN_H81[[#This Row],[H]]-CIN_H81[[#This Row],[2B]]-CIN_H81[[#This Row],[3B]]-CIN_H81[[#This Row],[HR]])+(CIN_H81[[#This Row],[2B]]*2)+(CIN_H81[[#This Row],[3B]]*3)+(CIN_H81[[#This Row],[HR]]*4),0)</f>
        <v>0</v>
      </c>
      <c r="AT171" s="72">
        <f>CIN_H81[[#This Row],[OBP]]+CIN_H81[[#This Row],[SLG]]</f>
        <v>0</v>
      </c>
      <c r="AU171" s="74">
        <v>0</v>
      </c>
      <c r="AV171" s="615">
        <v>12</v>
      </c>
      <c r="AY171" s="651" t="s">
        <v>1062</v>
      </c>
      <c r="AZ171" s="74" t="s">
        <v>187</v>
      </c>
      <c r="BA171" s="71" t="s">
        <v>1078</v>
      </c>
      <c r="BB171" s="72">
        <f>IFERROR(MIL_H78[[#This Row],[H]]/MIL_H78[[#This Row],[AB]],0)</f>
        <v>0</v>
      </c>
      <c r="BC171" s="72">
        <f>IFERROR((MIL_H78[[#This Row],[H]]+MIL_H78[[#This Row],[BB]])/(MIL_H78[[#This Row],[BB]]+MIL_H78[[#This Row],[AB]]),0)</f>
        <v>0</v>
      </c>
      <c r="BD171" s="73">
        <f>IFERROR(((MIL_H78[[#This Row],[H]]-MIL_H78[[#This Row],[2B]]-MIL_H78[[#This Row],[3B]]-MIL_H78[[#This Row],[HR]])+(MIL_H78[[#This Row],[2B]]*2)+(MIL_H78[[#This Row],[3B]]*3)+(MIL_H78[[#This Row],[HR]]*4))/MIL_H78[[#This Row],[AB]],0)</f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74">
        <v>0</v>
      </c>
      <c r="BO171" s="28">
        <v>0</v>
      </c>
      <c r="BP171" s="28">
        <v>0</v>
      </c>
      <c r="BQ171" s="74">
        <v>0</v>
      </c>
      <c r="BR171" s="28">
        <f>(MIL_H78[[#This Row],[H]]-MIL_H78[[#This Row],[2B]]-MIL_H78[[#This Row],[3B]]-MIL_H78[[#This Row],[HR]])+(MIL_H78[[#This Row],[2B]]*2)+(MIL_H78[[#This Row],[3B]]*3)+(MIL_H78[[#This Row],[HR]]*4)</f>
        <v>0</v>
      </c>
      <c r="BS171" s="72">
        <f>IFERROR(MIL_H78[[#This Row],[OBP]]+MIL_H78[[#This Row],[SLG]],0)</f>
        <v>0</v>
      </c>
      <c r="BT171" s="74">
        <v>0</v>
      </c>
      <c r="BU171" s="615">
        <v>12</v>
      </c>
    </row>
    <row r="172" spans="1:73">
      <c r="A172" s="651" t="s">
        <v>952</v>
      </c>
      <c r="B172" s="77" t="s">
        <v>184</v>
      </c>
      <c r="C172" s="77" t="s">
        <v>969</v>
      </c>
      <c r="D172" s="996">
        <f>IFERROR(STL_H271[[#This Row],[H]]/STL_H271[[#This Row],[AB]],0)</f>
        <v>0</v>
      </c>
      <c r="E172" s="72">
        <f>IFERROR((STL_H271[[#This Row],[H]]+STL_H271[[#This Row],[BB]])/(STL_H271[[#This Row],[AB]]+STL_H271[[#This Row],[BB]]),0)</f>
        <v>0</v>
      </c>
      <c r="F172" s="73">
        <f>IFERROR(((STL_H271[[#This Row],[H]]-STL_H271[[#This Row],[2B]]-STL_H271[[#This Row],[3B]]-STL_H271[[#This Row],[HR]])+(STL_H271[[#This Row],[2B]]*2)+(STL_H271[[#This Row],[3B]]*3)+(STL_H271[[#This Row],[HR]]*4))/STL_H271[[#This Row],[AB]],0)</f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74">
        <v>0</v>
      </c>
      <c r="Q172" s="28">
        <v>0</v>
      </c>
      <c r="R172" s="28">
        <v>0</v>
      </c>
      <c r="S172" s="74">
        <v>0</v>
      </c>
      <c r="T172" s="28">
        <f>IFERROR((STL_H271[[#This Row],[H]]-STL_H271[[#This Row],[2B]]-STL_H271[[#This Row],[3B]]-STL_H271[[#This Row],[HR]])+(STL_H271[[#This Row],[2B]]*2)+(STL_H271[[#This Row],[3B]]*3)+(STL_H271[[#This Row],[HR]]*4),0)</f>
        <v>0</v>
      </c>
      <c r="U172" s="72">
        <f>STL_H271[[#This Row],[OBP]]+STL_H271[[#This Row],[SLG]]</f>
        <v>0</v>
      </c>
      <c r="V172" s="74">
        <v>0</v>
      </c>
      <c r="W172" s="615">
        <v>13</v>
      </c>
      <c r="Z172" s="651" t="s">
        <v>1025</v>
      </c>
      <c r="AA172" s="71" t="s">
        <v>187</v>
      </c>
      <c r="AB172" s="71" t="s">
        <v>1037</v>
      </c>
      <c r="AC172" s="72">
        <f>IFERROR(CIN_H81[[#This Row],[H]]/CIN_H81[[#This Row],[AB]],0)</f>
        <v>0</v>
      </c>
      <c r="AD172" s="72">
        <f>IFERROR((CIN_H81[[#This Row],[H]]+CIN_H81[[#This Row],[BB]])/(CIN_H81[[#This Row],[BB]]+CIN_H81[[#This Row],[AB]]),0)</f>
        <v>0</v>
      </c>
      <c r="AE172" s="73">
        <f>IFERROR(((CIN_H81[[#This Row],[H]]-CIN_H81[[#This Row],[2B]]-CIN_H81[[#This Row],[3B]]-CIN_H81[[#This Row],[HR]])+(CIN_H81[[#This Row],[2B]]*2)+(CIN_H81[[#This Row],[3B]]*3)+(CIN_H81[[#This Row],[HR]]*4))/CIN_H81[[#This Row],[AB]],0)</f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74">
        <v>0</v>
      </c>
      <c r="AP172" s="28">
        <v>0</v>
      </c>
      <c r="AQ172" s="28">
        <v>0</v>
      </c>
      <c r="AR172" s="74">
        <v>0</v>
      </c>
      <c r="AS172" s="28">
        <f>IFERROR((CIN_H81[[#This Row],[H]]-CIN_H81[[#This Row],[2B]]-CIN_H81[[#This Row],[3B]]-CIN_H81[[#This Row],[HR]])+(CIN_H81[[#This Row],[2B]]*2)+(CIN_H81[[#This Row],[3B]]*3)+(CIN_H81[[#This Row],[HR]]*4),0)</f>
        <v>0</v>
      </c>
      <c r="AT172" s="72">
        <f>CIN_H81[[#This Row],[OBP]]+CIN_H81[[#This Row],[SLG]]</f>
        <v>0</v>
      </c>
      <c r="AU172" s="74">
        <v>0</v>
      </c>
      <c r="AV172" s="615">
        <v>13</v>
      </c>
      <c r="AY172" s="651" t="s">
        <v>1062</v>
      </c>
      <c r="AZ172" s="74" t="s">
        <v>184</v>
      </c>
      <c r="BA172" s="71" t="s">
        <v>1080</v>
      </c>
      <c r="BB172" s="72">
        <f>IFERROR(MIL_H78[[#This Row],[H]]/MIL_H78[[#This Row],[AB]],0)</f>
        <v>0</v>
      </c>
      <c r="BC172" s="72">
        <f>IFERROR((MIL_H78[[#This Row],[H]]+MIL_H78[[#This Row],[BB]])/(MIL_H78[[#This Row],[BB]]+MIL_H78[[#This Row],[AB]]),0)</f>
        <v>0</v>
      </c>
      <c r="BD172" s="73">
        <f>IFERROR(((MIL_H78[[#This Row],[H]]-MIL_H78[[#This Row],[2B]]-MIL_H78[[#This Row],[3B]]-MIL_H78[[#This Row],[HR]])+(MIL_H78[[#This Row],[2B]]*2)+(MIL_H78[[#This Row],[3B]]*3)+(MIL_H78[[#This Row],[HR]]*4))/MIL_H78[[#This Row],[AB]],0)</f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74">
        <v>0</v>
      </c>
      <c r="BO172" s="28">
        <v>0</v>
      </c>
      <c r="BP172" s="28">
        <v>0</v>
      </c>
      <c r="BQ172" s="74">
        <v>0</v>
      </c>
      <c r="BR172" s="28">
        <f>(MIL_H78[[#This Row],[H]]-MIL_H78[[#This Row],[2B]]-MIL_H78[[#This Row],[3B]]-MIL_H78[[#This Row],[HR]])+(MIL_H78[[#This Row],[2B]]*2)+(MIL_H78[[#This Row],[3B]]*3)+(MIL_H78[[#This Row],[HR]]*4)</f>
        <v>0</v>
      </c>
      <c r="BS172" s="72">
        <f>IFERROR(MIL_H78[[#This Row],[OBP]]+MIL_H78[[#This Row],[SLG]],0)</f>
        <v>0</v>
      </c>
      <c r="BT172" s="74">
        <v>0</v>
      </c>
      <c r="BU172" s="615">
        <v>13</v>
      </c>
    </row>
    <row r="173" spans="1:73" ht="17" thickBot="1">
      <c r="A173" s="651" t="s">
        <v>952</v>
      </c>
      <c r="B173" s="71" t="s">
        <v>186</v>
      </c>
      <c r="C173" s="71" t="s">
        <v>970</v>
      </c>
      <c r="D173" s="72">
        <f>IFERROR(STL_H271[[#This Row],[H]]/STL_H271[[#This Row],[AB]],0)</f>
        <v>0</v>
      </c>
      <c r="E173" s="72">
        <f>IFERROR((STL_H271[[#This Row],[H]]+STL_H271[[#This Row],[BB]])/(STL_H271[[#This Row],[AB]]+STL_H271[[#This Row],[BB]]),0)</f>
        <v>0</v>
      </c>
      <c r="F173" s="73">
        <f>IFERROR(((STL_H271[[#This Row],[H]]-STL_H271[[#This Row],[2B]]-STL_H271[[#This Row],[3B]]-STL_H271[[#This Row],[HR]])+(STL_H271[[#This Row],[2B]]*2)+(STL_H271[[#This Row],[3B]]*3)+(STL_H271[[#This Row],[HR]]*4))/STL_H271[[#This Row],[AB]],0)</f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77">
        <v>0</v>
      </c>
      <c r="R173" s="28">
        <v>0</v>
      </c>
      <c r="S173" s="74">
        <v>0</v>
      </c>
      <c r="T173" s="28">
        <f>IFERROR((STL_H271[[#This Row],[H]]-STL_H271[[#This Row],[2B]]-STL_H271[[#This Row],[3B]]-STL_H271[[#This Row],[HR]])+(STL_H271[[#This Row],[2B]]*2)+(STL_H271[[#This Row],[3B]]*3)+(STL_H271[[#This Row],[HR]]*4),0)</f>
        <v>0</v>
      </c>
      <c r="U173" s="72">
        <f>STL_H271[[#This Row],[OBP]]+STL_H271[[#This Row],[SLG]]</f>
        <v>0</v>
      </c>
      <c r="V173" s="74">
        <v>0</v>
      </c>
      <c r="W173" s="615">
        <v>14</v>
      </c>
      <c r="Z173" s="651" t="s">
        <v>1025</v>
      </c>
      <c r="AA173" s="71" t="s">
        <v>186</v>
      </c>
      <c r="AB173" s="71" t="s">
        <v>1043</v>
      </c>
      <c r="AC173" s="72">
        <f>IFERROR(CIN_H81[[#This Row],[H]]/CIN_H81[[#This Row],[AB]],0)</f>
        <v>0</v>
      </c>
      <c r="AD173" s="72">
        <f>IFERROR((CIN_H81[[#This Row],[H]]+CIN_H81[[#This Row],[BB]])/(CIN_H81[[#This Row],[BB]]+CIN_H81[[#This Row],[AB]]),0)</f>
        <v>0</v>
      </c>
      <c r="AE173" s="73">
        <f>IFERROR(((CIN_H81[[#This Row],[H]]-CIN_H81[[#This Row],[2B]]-CIN_H81[[#This Row],[3B]]-CIN_H81[[#This Row],[HR]])+(CIN_H81[[#This Row],[2B]]*2)+(CIN_H81[[#This Row],[3B]]*3)+(CIN_H81[[#This Row],[HR]]*4))/CIN_H81[[#This Row],[AB]],0)</f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74">
        <v>0</v>
      </c>
      <c r="AP173" s="28">
        <v>0</v>
      </c>
      <c r="AQ173" s="28">
        <v>0</v>
      </c>
      <c r="AR173" s="74">
        <v>0</v>
      </c>
      <c r="AS173" s="28">
        <f>IFERROR((CIN_H81[[#This Row],[H]]-CIN_H81[[#This Row],[2B]]-CIN_H81[[#This Row],[3B]]-CIN_H81[[#This Row],[HR]])+(CIN_H81[[#This Row],[2B]]*2)+(CIN_H81[[#This Row],[3B]]*3)+(CIN_H81[[#This Row],[HR]]*4),0)</f>
        <v>0</v>
      </c>
      <c r="AT173" s="72">
        <f>CIN_H81[[#This Row],[OBP]]+CIN_H81[[#This Row],[SLG]]</f>
        <v>0</v>
      </c>
      <c r="AU173" s="74">
        <v>0</v>
      </c>
      <c r="AV173" s="615">
        <v>14</v>
      </c>
      <c r="AY173" s="651" t="s">
        <v>1062</v>
      </c>
      <c r="AZ173" s="74" t="s">
        <v>186</v>
      </c>
      <c r="BA173" s="71" t="s">
        <v>1081</v>
      </c>
      <c r="BB173" s="72">
        <f>IFERROR(MIL_H78[[#This Row],[H]]/MIL_H78[[#This Row],[AB]],0)</f>
        <v>0</v>
      </c>
      <c r="BC173" s="72">
        <f>IFERROR((MIL_H78[[#This Row],[H]]+MIL_H78[[#This Row],[BB]])/(MIL_H78[[#This Row],[BB]]+MIL_H78[[#This Row],[AB]]),0)</f>
        <v>0</v>
      </c>
      <c r="BD173" s="73">
        <f>IFERROR(((MIL_H78[[#This Row],[H]]-MIL_H78[[#This Row],[2B]]-MIL_H78[[#This Row],[3B]]-MIL_H78[[#This Row],[HR]])+(MIL_H78[[#This Row],[2B]]*2)+(MIL_H78[[#This Row],[3B]]*3)+(MIL_H78[[#This Row],[HR]]*4))/MIL_H78[[#This Row],[AB]],0)</f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74">
        <v>0</v>
      </c>
      <c r="BO173" s="28">
        <v>0</v>
      </c>
      <c r="BP173" s="28">
        <v>0</v>
      </c>
      <c r="BQ173" s="74">
        <v>0</v>
      </c>
      <c r="BR173" s="28">
        <f>(MIL_H78[[#This Row],[H]]-MIL_H78[[#This Row],[2B]]-MIL_H78[[#This Row],[3B]]-MIL_H78[[#This Row],[HR]])+(MIL_H78[[#This Row],[2B]]*2)+(MIL_H78[[#This Row],[3B]]*3)+(MIL_H78[[#This Row],[HR]]*4)</f>
        <v>0</v>
      </c>
      <c r="BS173" s="72">
        <f>IFERROR(MIL_H78[[#This Row],[OBP]]+MIL_H78[[#This Row],[SLG]],0)</f>
        <v>0</v>
      </c>
      <c r="BT173" s="74">
        <v>0</v>
      </c>
      <c r="BU173" s="615">
        <v>14</v>
      </c>
    </row>
    <row r="174" spans="1:73" ht="17" thickBot="1">
      <c r="A174" s="652"/>
      <c r="B174" s="653"/>
      <c r="C174" s="654" t="s">
        <v>195</v>
      </c>
      <c r="D174" s="656">
        <f>J174/H174</f>
        <v>0.17894736842105263</v>
      </c>
      <c r="E174" s="656">
        <f>((J174+O174)/(O174+H174))</f>
        <v>0.25714285714285712</v>
      </c>
      <c r="F174" s="657">
        <f>((J174-K174-L174-M174)+(K174*2)+(L174*3)+(M174*4))/H174</f>
        <v>0.29473684210526313</v>
      </c>
      <c r="G174" s="658"/>
      <c r="H174" s="658">
        <f>SUBTOTAL(109,STL_H271[AB])</f>
        <v>95</v>
      </c>
      <c r="I174" s="658">
        <f>SUBTOTAL(109,STL_H271[R])</f>
        <v>8</v>
      </c>
      <c r="J174" s="658">
        <f>SUBTOTAL(109,STL_H271[H])</f>
        <v>17</v>
      </c>
      <c r="K174" s="658">
        <f>SUBTOTAL(109,STL_H271[2B])</f>
        <v>2</v>
      </c>
      <c r="L174" s="658">
        <f>SUBTOTAL(109,STL_H271[3B])</f>
        <v>0</v>
      </c>
      <c r="M174" s="658">
        <f>SUBTOTAL(109,STL_H271[HR])</f>
        <v>3</v>
      </c>
      <c r="N174" s="658">
        <f>SUBTOTAL(109,STL_H271[RBI])</f>
        <v>8</v>
      </c>
      <c r="O174" s="658">
        <f>SUBTOTAL(109,STL_H271[BB])</f>
        <v>10</v>
      </c>
      <c r="P174" s="660">
        <f>SUBTOTAL(109,STL_H271[K])</f>
        <v>23</v>
      </c>
      <c r="Q174" s="658">
        <f>SUBTOTAL(109,STL_H271[SB])</f>
        <v>1</v>
      </c>
      <c r="R174" s="658"/>
      <c r="S174" s="660"/>
      <c r="T174" s="658">
        <f>SUBTOTAL(109,STL_H271[TB])</f>
        <v>28</v>
      </c>
      <c r="U174" s="656">
        <f>E174+F174</f>
        <v>0.5518796992481203</v>
      </c>
      <c r="V174" s="660">
        <f>SUBTOTAL(109,STL_H271[*])</f>
        <v>1</v>
      </c>
      <c r="W174" s="662"/>
      <c r="Z174" s="652"/>
      <c r="AA174" s="653"/>
      <c r="AB174" s="654" t="s">
        <v>195</v>
      </c>
      <c r="AC174" s="656">
        <f>AI174/AG174</f>
        <v>0.19838056680161945</v>
      </c>
      <c r="AD174" s="656">
        <f>(AI174+AN174)/(AN174+AG174)</f>
        <v>0.25283018867924528</v>
      </c>
      <c r="AE174" s="657">
        <f>((AI174-AJ174-AK174-AL174)+(AJ174*2)+(AK174*3)+(AL174*4))/AG174</f>
        <v>0.32388663967611336</v>
      </c>
      <c r="AF174" s="658"/>
      <c r="AG174" s="658">
        <f>SUBTOTAL(109,CIN_H81[AB])</f>
        <v>247</v>
      </c>
      <c r="AH174" s="658">
        <f>SUBTOTAL(109,CIN_H81[R])</f>
        <v>19</v>
      </c>
      <c r="AI174" s="658">
        <f>SUBTOTAL(109,CIN_H81[H])</f>
        <v>49</v>
      </c>
      <c r="AJ174" s="658">
        <f>SUBTOTAL(109,CIN_H81[2B])</f>
        <v>4</v>
      </c>
      <c r="AK174" s="658">
        <f>SUBTOTAL(109,CIN_H81[3B])</f>
        <v>0</v>
      </c>
      <c r="AL174" s="658">
        <f>SUBTOTAL(109,CIN_H81[HR])</f>
        <v>9</v>
      </c>
      <c r="AM174" s="658">
        <f>SUBTOTAL(109,CIN_H81[RBI])</f>
        <v>19</v>
      </c>
      <c r="AN174" s="658">
        <f>SUBTOTAL(109,CIN_H81[BB])</f>
        <v>18</v>
      </c>
      <c r="AO174" s="660">
        <f>SUBTOTAL(109,CIN_H81[K])</f>
        <v>66</v>
      </c>
      <c r="AP174" s="658">
        <f>SUBTOTAL(109,CIN_H81[SB])</f>
        <v>0</v>
      </c>
      <c r="AQ174" s="658"/>
      <c r="AR174" s="660"/>
      <c r="AS174" s="658">
        <f>SUBTOTAL(109,CIN_H81[TB])</f>
        <v>80</v>
      </c>
      <c r="AT174" s="656">
        <f>AE174+AD174</f>
        <v>0.57671682835535865</v>
      </c>
      <c r="AU174" s="660">
        <f>SUBTOTAL(109,CIN_H81[*])</f>
        <v>4</v>
      </c>
      <c r="AV174" s="662"/>
      <c r="AY174" s="691"/>
      <c r="AZ174" s="692"/>
      <c r="BA174" s="693" t="s">
        <v>195</v>
      </c>
      <c r="BB174" s="694">
        <f>IFERROR(BH174/BF174,0)</f>
        <v>0.24568965517241378</v>
      </c>
      <c r="BC174" s="694">
        <f>IFERROR((BH174+BM174)/(BM174+BF174),0)</f>
        <v>0.32170542635658916</v>
      </c>
      <c r="BD174" s="695">
        <f>IFERROR(((BH174-BI174-BJ174-BK174)+(BI174*2)+(BJ174*3)+(BK174*4))/BF174,0)</f>
        <v>0.38362068965517243</v>
      </c>
      <c r="BE174" s="696"/>
      <c r="BF174" s="696">
        <f>SUBTOTAL(109,MIL_H78[AB])</f>
        <v>232</v>
      </c>
      <c r="BG174" s="696">
        <f>SUBTOTAL(109,MIL_H78[R])</f>
        <v>30</v>
      </c>
      <c r="BH174" s="696">
        <f>SUBTOTAL(109,MIL_H78[H])</f>
        <v>57</v>
      </c>
      <c r="BI174" s="696">
        <f>SUBTOTAL(109,MIL_H78[2B])</f>
        <v>9</v>
      </c>
      <c r="BJ174" s="696">
        <f>SUBTOTAL(109,MIL_H78[3B])</f>
        <v>1</v>
      </c>
      <c r="BK174" s="696">
        <f>SUBTOTAL(109,MIL_H78[HR])</f>
        <v>7</v>
      </c>
      <c r="BL174" s="696">
        <f>SUBTOTAL(109,MIL_H78[RBI])</f>
        <v>30</v>
      </c>
      <c r="BM174" s="696">
        <f>SUBTOTAL(109,MIL_H78[BB])</f>
        <v>26</v>
      </c>
      <c r="BN174" s="697">
        <f>SUBTOTAL(109,MIL_H78[K])</f>
        <v>60</v>
      </c>
      <c r="BO174" s="696">
        <f>SUBTOTAL(109,MIL_H78[SB])</f>
        <v>0</v>
      </c>
      <c r="BP174" s="696"/>
      <c r="BQ174" s="697"/>
      <c r="BR174" s="696">
        <f>SUBTOTAL(109,MIL_H78[TB])</f>
        <v>89</v>
      </c>
      <c r="BS174" s="694">
        <f>IFERROR(BC174+BD174,0)</f>
        <v>0.70532611601176165</v>
      </c>
      <c r="BT174" s="697">
        <f>SUBTOTAL(109,MIL_H78[*])</f>
        <v>2</v>
      </c>
      <c r="BU174" s="698"/>
    </row>
    <row r="175" spans="1:73" ht="17" thickBot="1"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73" s="64" customFormat="1" ht="17" thickBot="1">
      <c r="A176" s="847" t="s">
        <v>143</v>
      </c>
      <c r="B176" s="848" t="s">
        <v>144</v>
      </c>
      <c r="C176" s="848" t="s">
        <v>145</v>
      </c>
      <c r="D176" s="848" t="s">
        <v>196</v>
      </c>
      <c r="E176" s="848" t="s">
        <v>197</v>
      </c>
      <c r="F176" s="848" t="s">
        <v>198</v>
      </c>
      <c r="G176" s="848" t="s">
        <v>149</v>
      </c>
      <c r="H176" s="848" t="s">
        <v>199</v>
      </c>
      <c r="I176" s="848" t="s">
        <v>152</v>
      </c>
      <c r="J176" s="848" t="s">
        <v>151</v>
      </c>
      <c r="K176" s="848" t="s">
        <v>157</v>
      </c>
      <c r="L176" s="848" t="s">
        <v>158</v>
      </c>
      <c r="M176" s="848" t="s">
        <v>200</v>
      </c>
      <c r="N176" s="848" t="s">
        <v>201</v>
      </c>
      <c r="O176" s="848" t="s">
        <v>202</v>
      </c>
      <c r="P176" s="848" t="s">
        <v>203</v>
      </c>
      <c r="Q176" s="848" t="s">
        <v>204</v>
      </c>
      <c r="R176" s="848" t="s">
        <v>205</v>
      </c>
      <c r="S176" s="849" t="s">
        <v>164</v>
      </c>
      <c r="Z176" s="847" t="s">
        <v>143</v>
      </c>
      <c r="AA176" s="848" t="s">
        <v>144</v>
      </c>
      <c r="AB176" s="848" t="s">
        <v>145</v>
      </c>
      <c r="AC176" s="848" t="s">
        <v>196</v>
      </c>
      <c r="AD176" s="848" t="s">
        <v>197</v>
      </c>
      <c r="AE176" s="848" t="s">
        <v>198</v>
      </c>
      <c r="AF176" s="848" t="s">
        <v>149</v>
      </c>
      <c r="AG176" s="848" t="s">
        <v>199</v>
      </c>
      <c r="AH176" s="848" t="s">
        <v>152</v>
      </c>
      <c r="AI176" s="848" t="s">
        <v>151</v>
      </c>
      <c r="AJ176" s="848" t="s">
        <v>157</v>
      </c>
      <c r="AK176" s="848" t="s">
        <v>158</v>
      </c>
      <c r="AL176" s="848" t="s">
        <v>200</v>
      </c>
      <c r="AM176" s="848" t="s">
        <v>201</v>
      </c>
      <c r="AN176" s="848" t="s">
        <v>202</v>
      </c>
      <c r="AO176" s="848" t="s">
        <v>203</v>
      </c>
      <c r="AP176" s="848" t="s">
        <v>204</v>
      </c>
      <c r="AQ176" s="848" t="s">
        <v>205</v>
      </c>
      <c r="AR176" s="849" t="s">
        <v>164</v>
      </c>
      <c r="AS176"/>
      <c r="AT176"/>
      <c r="AU176"/>
      <c r="AV176"/>
      <c r="AY176" s="847" t="s">
        <v>143</v>
      </c>
      <c r="AZ176" s="848" t="s">
        <v>144</v>
      </c>
      <c r="BA176" s="848" t="s">
        <v>145</v>
      </c>
      <c r="BB176" s="848" t="s">
        <v>196</v>
      </c>
      <c r="BC176" s="848" t="s">
        <v>197</v>
      </c>
      <c r="BD176" s="848" t="s">
        <v>198</v>
      </c>
      <c r="BE176" s="848" t="s">
        <v>149</v>
      </c>
      <c r="BF176" s="848" t="s">
        <v>199</v>
      </c>
      <c r="BG176" s="848" t="s">
        <v>152</v>
      </c>
      <c r="BH176" s="848" t="s">
        <v>151</v>
      </c>
      <c r="BI176" s="848" t="s">
        <v>157</v>
      </c>
      <c r="BJ176" s="848" t="s">
        <v>158</v>
      </c>
      <c r="BK176" s="848" t="s">
        <v>200</v>
      </c>
      <c r="BL176" s="848" t="s">
        <v>201</v>
      </c>
      <c r="BM176" s="848" t="s">
        <v>202</v>
      </c>
      <c r="BN176" s="848" t="s">
        <v>203</v>
      </c>
      <c r="BO176" s="848" t="s">
        <v>204</v>
      </c>
      <c r="BP176" s="848" t="s">
        <v>205</v>
      </c>
      <c r="BQ176" s="849" t="s">
        <v>164</v>
      </c>
    </row>
    <row r="177" spans="1:73">
      <c r="A177" s="650" t="s">
        <v>952</v>
      </c>
      <c r="B177" s="604" t="s">
        <v>206</v>
      </c>
      <c r="C177" s="597" t="s">
        <v>972</v>
      </c>
      <c r="D177" s="663">
        <f>IFERROR((STL_P272[[#This Row],[R]]*9)/STL_P272[[#This Row],[IP]],0)</f>
        <v>2.5714285714285716</v>
      </c>
      <c r="E177" s="600">
        <v>0</v>
      </c>
      <c r="F177" s="604">
        <v>1</v>
      </c>
      <c r="G177" s="600">
        <v>1</v>
      </c>
      <c r="H177" s="630">
        <v>7</v>
      </c>
      <c r="I177" s="600">
        <v>5</v>
      </c>
      <c r="J177" s="600">
        <v>2</v>
      </c>
      <c r="K177" s="600">
        <v>3</v>
      </c>
      <c r="L177" s="600">
        <v>9</v>
      </c>
      <c r="M177" s="600">
        <v>0</v>
      </c>
      <c r="N177" s="631">
        <f>IFERROR((STL_P272[[#This Row],[BB]]+STL_P272[[#This Row],[H]])/STL_P272[[#This Row],[IP]],0)</f>
        <v>1.1428571428571428</v>
      </c>
      <c r="O177" s="600">
        <v>1</v>
      </c>
      <c r="P177" s="601">
        <v>1</v>
      </c>
      <c r="Q177" s="600">
        <v>0</v>
      </c>
      <c r="R177" s="604">
        <v>0</v>
      </c>
      <c r="S177" s="779">
        <v>1</v>
      </c>
      <c r="Z177" s="650" t="s">
        <v>1025</v>
      </c>
      <c r="AA177" s="604" t="s">
        <v>206</v>
      </c>
      <c r="AB177" s="597" t="s">
        <v>1045</v>
      </c>
      <c r="AC177" s="628">
        <f>IFERROR((CIN_P82[[#This Row],[R]]*9)/CIN_P82[[#This Row],[IP]],0)</f>
        <v>0.9</v>
      </c>
      <c r="AD177" s="600">
        <v>3</v>
      </c>
      <c r="AE177" s="604">
        <v>0</v>
      </c>
      <c r="AF177" s="600">
        <v>3</v>
      </c>
      <c r="AG177" s="630">
        <v>20</v>
      </c>
      <c r="AH177" s="600">
        <v>17</v>
      </c>
      <c r="AI177" s="600">
        <v>2</v>
      </c>
      <c r="AJ177" s="600">
        <v>7</v>
      </c>
      <c r="AK177" s="600">
        <v>22</v>
      </c>
      <c r="AL177" s="600">
        <v>0</v>
      </c>
      <c r="AM177" s="631">
        <f>IFERROR((CIN_P82[[#This Row],[BB]]+CIN_P82[[#This Row],[H]])/CIN_P82[[#This Row],[IP]],0)</f>
        <v>1.2</v>
      </c>
      <c r="AN177" s="600">
        <v>3</v>
      </c>
      <c r="AO177" s="601">
        <v>1</v>
      </c>
      <c r="AP177" s="600">
        <v>0</v>
      </c>
      <c r="AQ177" s="604">
        <v>0</v>
      </c>
      <c r="AR177" s="779">
        <v>1</v>
      </c>
      <c r="AS177"/>
      <c r="AT177"/>
      <c r="AU177"/>
      <c r="AV177"/>
      <c r="AY177" s="827" t="s">
        <v>1062</v>
      </c>
      <c r="AZ177" s="825" t="s">
        <v>206</v>
      </c>
      <c r="BA177" s="826" t="s">
        <v>1082</v>
      </c>
      <c r="BB177" s="663">
        <f>IFERROR((MIL_P98[[#This Row],[R]]*9)/MIL_P98[[#This Row],[IP]],0)</f>
        <v>1.2269938650306749</v>
      </c>
      <c r="BC177" s="600">
        <v>1</v>
      </c>
      <c r="BD177" s="604">
        <v>0</v>
      </c>
      <c r="BE177" s="600">
        <v>2</v>
      </c>
      <c r="BF177" s="630">
        <v>14.67</v>
      </c>
      <c r="BG177" s="600">
        <v>8</v>
      </c>
      <c r="BH177" s="600">
        <v>2</v>
      </c>
      <c r="BI177" s="600">
        <v>7</v>
      </c>
      <c r="BJ177" s="600">
        <v>15</v>
      </c>
      <c r="BK177" s="600">
        <v>0</v>
      </c>
      <c r="BL177" s="631">
        <f>IFERROR((MIL_P98[[#This Row],[BB]]+MIL_P98[[#This Row],[H]])/MIL_P98[[#This Row],[IP]],0)</f>
        <v>1.0224948875255624</v>
      </c>
      <c r="BM177" s="600">
        <v>2</v>
      </c>
      <c r="BN177" s="601">
        <v>1</v>
      </c>
      <c r="BO177" s="600">
        <v>0</v>
      </c>
      <c r="BP177" s="604">
        <v>0</v>
      </c>
      <c r="BQ177" s="779">
        <v>1</v>
      </c>
    </row>
    <row r="178" spans="1:73">
      <c r="A178" s="651" t="s">
        <v>952</v>
      </c>
      <c r="B178" s="74" t="s">
        <v>206</v>
      </c>
      <c r="C178" s="71" t="s">
        <v>973</v>
      </c>
      <c r="D178" s="88">
        <f>IFERROR((STL_P272[[#This Row],[R]]*9)/STL_P272[[#This Row],[IP]],0)</f>
        <v>5.1428571428571432</v>
      </c>
      <c r="E178" s="28">
        <v>0</v>
      </c>
      <c r="F178" s="74">
        <v>0</v>
      </c>
      <c r="G178" s="28">
        <v>1</v>
      </c>
      <c r="H178" s="584">
        <v>7</v>
      </c>
      <c r="I178" s="28">
        <v>6</v>
      </c>
      <c r="J178" s="28">
        <v>4</v>
      </c>
      <c r="K178" s="28">
        <v>2</v>
      </c>
      <c r="L178" s="28">
        <v>4</v>
      </c>
      <c r="M178" s="28">
        <v>0</v>
      </c>
      <c r="N178" s="89">
        <f>IFERROR((STL_P272[[#This Row],[BB]]+STL_P272[[#This Row],[H]])/STL_P272[[#This Row],[IP]],0)</f>
        <v>1.1428571428571428</v>
      </c>
      <c r="O178" s="28">
        <v>0</v>
      </c>
      <c r="P178" s="90">
        <v>0</v>
      </c>
      <c r="Q178" s="28">
        <v>0</v>
      </c>
      <c r="R178" s="74">
        <v>0</v>
      </c>
      <c r="S178" s="780">
        <v>2</v>
      </c>
      <c r="Z178" s="651" t="s">
        <v>1025</v>
      </c>
      <c r="AA178" s="74" t="s">
        <v>365</v>
      </c>
      <c r="AB178" s="116" t="s">
        <v>1048</v>
      </c>
      <c r="AC178" s="88">
        <f>IFERROR((CIN_P82[[#This Row],[R]]*9)/CIN_P82[[#This Row],[IP]],0)</f>
        <v>2.5714285714285716</v>
      </c>
      <c r="AD178" s="28">
        <v>0</v>
      </c>
      <c r="AE178" s="74">
        <v>0</v>
      </c>
      <c r="AF178" s="28">
        <v>1</v>
      </c>
      <c r="AG178" s="584">
        <v>7</v>
      </c>
      <c r="AH178" s="28">
        <v>5</v>
      </c>
      <c r="AI178" s="28">
        <v>2</v>
      </c>
      <c r="AJ178" s="28">
        <v>1</v>
      </c>
      <c r="AK178" s="28">
        <v>11</v>
      </c>
      <c r="AL178" s="28">
        <v>0</v>
      </c>
      <c r="AM178" s="89">
        <f>IFERROR((CIN_P82[[#This Row],[BB]]+CIN_P82[[#This Row],[H]])/CIN_P82[[#This Row],[IP]],0)</f>
        <v>0.8571428571428571</v>
      </c>
      <c r="AN178" s="28">
        <v>1</v>
      </c>
      <c r="AO178" s="90">
        <v>1</v>
      </c>
      <c r="AP178" s="28">
        <v>0</v>
      </c>
      <c r="AQ178" s="74">
        <v>0</v>
      </c>
      <c r="AR178" s="780">
        <v>2</v>
      </c>
      <c r="AS178"/>
      <c r="AT178"/>
      <c r="AU178"/>
      <c r="AV178"/>
      <c r="AY178" s="828" t="s">
        <v>1062</v>
      </c>
      <c r="AZ178" s="114" t="s">
        <v>206</v>
      </c>
      <c r="BA178" s="115" t="s">
        <v>1083</v>
      </c>
      <c r="BB178" s="349">
        <f>IFERROR((MIL_P98[[#This Row],[R]]*9)/MIL_P98[[#This Row],[IP]],0)</f>
        <v>1.2</v>
      </c>
      <c r="BC178" s="28">
        <v>0</v>
      </c>
      <c r="BD178" s="74">
        <v>0</v>
      </c>
      <c r="BE178" s="28">
        <v>2</v>
      </c>
      <c r="BF178" s="584">
        <v>15</v>
      </c>
      <c r="BG178" s="28">
        <v>12</v>
      </c>
      <c r="BH178" s="28">
        <v>2</v>
      </c>
      <c r="BI178" s="28">
        <v>3</v>
      </c>
      <c r="BJ178" s="28">
        <v>18</v>
      </c>
      <c r="BK178" s="28">
        <v>0</v>
      </c>
      <c r="BL178" s="89">
        <f>IFERROR((MIL_P98[[#This Row],[BB]]+MIL_P98[[#This Row],[H]])/MIL_P98[[#This Row],[IP]],0)</f>
        <v>1</v>
      </c>
      <c r="BM178" s="28">
        <v>2</v>
      </c>
      <c r="BN178" s="90">
        <v>1</v>
      </c>
      <c r="BO178" s="76">
        <v>1</v>
      </c>
      <c r="BP178" s="74">
        <v>0</v>
      </c>
      <c r="BQ178" s="780">
        <v>2</v>
      </c>
    </row>
    <row r="179" spans="1:73">
      <c r="A179" s="651" t="s">
        <v>952</v>
      </c>
      <c r="B179" s="74" t="s">
        <v>206</v>
      </c>
      <c r="C179" s="116" t="s">
        <v>974</v>
      </c>
      <c r="D179" s="88">
        <f>IFERROR((STL_P272[[#This Row],[R]]*9)/STL_P272[[#This Row],[IP]],0)</f>
        <v>1.5</v>
      </c>
      <c r="E179" s="28">
        <v>0</v>
      </c>
      <c r="F179" s="74">
        <v>0</v>
      </c>
      <c r="G179" s="28">
        <v>1</v>
      </c>
      <c r="H179" s="584">
        <v>6</v>
      </c>
      <c r="I179" s="28">
        <v>4</v>
      </c>
      <c r="J179" s="28">
        <v>1</v>
      </c>
      <c r="K179" s="28">
        <v>2</v>
      </c>
      <c r="L179" s="28">
        <v>3</v>
      </c>
      <c r="M179" s="28">
        <v>0</v>
      </c>
      <c r="N179" s="89">
        <f>IFERROR((STL_P272[[#This Row],[BB]]+STL_P272[[#This Row],[H]])/STL_P272[[#This Row],[IP]],0)</f>
        <v>1</v>
      </c>
      <c r="O179" s="28">
        <v>1</v>
      </c>
      <c r="P179" s="90">
        <v>0</v>
      </c>
      <c r="Q179" s="28">
        <v>0</v>
      </c>
      <c r="R179" s="74">
        <v>0</v>
      </c>
      <c r="S179" s="780">
        <v>3</v>
      </c>
      <c r="Z179" s="651" t="s">
        <v>1025</v>
      </c>
      <c r="AA179" s="74" t="s">
        <v>206</v>
      </c>
      <c r="AB179" s="116" t="s">
        <v>1046</v>
      </c>
      <c r="AC179" s="88">
        <f>IFERROR((CIN_P82[[#This Row],[R]]*9)/CIN_P82[[#This Row],[IP]],0)</f>
        <v>3.9279869067103115</v>
      </c>
      <c r="AD179" s="28">
        <v>1</v>
      </c>
      <c r="AE179" s="74">
        <v>2</v>
      </c>
      <c r="AF179" s="28">
        <v>3</v>
      </c>
      <c r="AG179" s="584">
        <v>18.329999999999998</v>
      </c>
      <c r="AH179" s="28">
        <v>19</v>
      </c>
      <c r="AI179" s="28">
        <v>8</v>
      </c>
      <c r="AJ179" s="28">
        <v>4</v>
      </c>
      <c r="AK179" s="28">
        <v>24</v>
      </c>
      <c r="AL179" s="28">
        <v>0</v>
      </c>
      <c r="AM179" s="89">
        <f>IFERROR((CIN_P82[[#This Row],[BB]]+CIN_P82[[#This Row],[H]])/CIN_P82[[#This Row],[IP]],0)</f>
        <v>1.2547735951991272</v>
      </c>
      <c r="AN179" s="28">
        <v>1</v>
      </c>
      <c r="AO179" s="90">
        <v>1</v>
      </c>
      <c r="AP179" s="28">
        <v>0</v>
      </c>
      <c r="AQ179" s="74">
        <v>0</v>
      </c>
      <c r="AR179" s="780">
        <v>3</v>
      </c>
      <c r="AS179"/>
      <c r="AT179"/>
      <c r="AU179"/>
      <c r="AV179"/>
      <c r="AY179" s="828" t="s">
        <v>1062</v>
      </c>
      <c r="AZ179" s="114" t="s">
        <v>206</v>
      </c>
      <c r="BA179" s="115" t="s">
        <v>1084</v>
      </c>
      <c r="BB179" s="88">
        <f>IFERROR((MIL_P98[[#This Row],[R]]*9)/MIL_P98[[#This Row],[IP]],0)</f>
        <v>16</v>
      </c>
      <c r="BC179" s="28">
        <v>0</v>
      </c>
      <c r="BD179" s="74">
        <v>1</v>
      </c>
      <c r="BE179" s="28">
        <v>2</v>
      </c>
      <c r="BF179" s="584">
        <v>9</v>
      </c>
      <c r="BG179" s="28">
        <v>14</v>
      </c>
      <c r="BH179" s="28">
        <v>16</v>
      </c>
      <c r="BI179" s="28">
        <v>10</v>
      </c>
      <c r="BJ179" s="28">
        <v>15</v>
      </c>
      <c r="BK179" s="28">
        <v>0</v>
      </c>
      <c r="BL179" s="89">
        <f>IFERROR((MIL_P98[[#This Row],[BB]]+MIL_P98[[#This Row],[H]])/MIL_P98[[#This Row],[IP]],0)</f>
        <v>2.6666666666666665</v>
      </c>
      <c r="BM179" s="28">
        <v>0</v>
      </c>
      <c r="BN179" s="90">
        <v>0</v>
      </c>
      <c r="BO179" s="28">
        <v>0</v>
      </c>
      <c r="BP179" s="74">
        <v>0</v>
      </c>
      <c r="BQ179" s="780">
        <v>3</v>
      </c>
    </row>
    <row r="180" spans="1:73">
      <c r="A180" s="651" t="s">
        <v>952</v>
      </c>
      <c r="B180" s="74" t="s">
        <v>206</v>
      </c>
      <c r="C180" s="116" t="s">
        <v>976</v>
      </c>
      <c r="D180" s="88">
        <f>IFERROR((STL_P272[[#This Row],[R]]*9)/STL_P272[[#This Row],[IP]],0)</f>
        <v>0</v>
      </c>
      <c r="E180" s="28">
        <v>0</v>
      </c>
      <c r="F180" s="74">
        <v>0</v>
      </c>
      <c r="G180" s="28">
        <v>0</v>
      </c>
      <c r="H180" s="584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89">
        <f>IFERROR((STL_P272[[#This Row],[BB]]+STL_P272[[#This Row],[H]])/STL_P272[[#This Row],[IP]],0)</f>
        <v>0</v>
      </c>
      <c r="O180" s="28">
        <v>0</v>
      </c>
      <c r="P180" s="90">
        <v>0</v>
      </c>
      <c r="Q180" s="28">
        <v>0</v>
      </c>
      <c r="R180" s="74">
        <v>0</v>
      </c>
      <c r="S180" s="780">
        <v>4</v>
      </c>
      <c r="Z180" s="651" t="s">
        <v>1025</v>
      </c>
      <c r="AA180" s="74" t="s">
        <v>206</v>
      </c>
      <c r="AB180" s="116" t="s">
        <v>1049</v>
      </c>
      <c r="AC180" s="88">
        <f>IFERROR((CIN_P82[[#This Row],[R]]*9)/CIN_P82[[#This Row],[IP]],0)</f>
        <v>0</v>
      </c>
      <c r="AD180" s="28">
        <v>0</v>
      </c>
      <c r="AE180" s="74">
        <v>0</v>
      </c>
      <c r="AF180" s="28">
        <v>0</v>
      </c>
      <c r="AG180" s="584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89">
        <f>IFERROR((CIN_P82[[#This Row],[BB]]+CIN_P82[[#This Row],[H]])/CIN_P82[[#This Row],[IP]],0)</f>
        <v>0</v>
      </c>
      <c r="AN180" s="28">
        <v>0</v>
      </c>
      <c r="AO180" s="90">
        <v>0</v>
      </c>
      <c r="AP180" s="28">
        <v>0</v>
      </c>
      <c r="AQ180" s="74">
        <v>0</v>
      </c>
      <c r="AR180" s="780">
        <v>4</v>
      </c>
      <c r="AS180"/>
      <c r="AT180"/>
      <c r="AU180"/>
      <c r="AV180"/>
      <c r="AY180" s="828" t="s">
        <v>1062</v>
      </c>
      <c r="AZ180" s="114" t="s">
        <v>206</v>
      </c>
      <c r="BA180" s="115" t="s">
        <v>1087</v>
      </c>
      <c r="BB180" s="88">
        <f>IFERROR((MIL_P98[[#This Row],[R]]*9)/MIL_P98[[#This Row],[IP]],0)</f>
        <v>9</v>
      </c>
      <c r="BC180" s="28">
        <v>0</v>
      </c>
      <c r="BD180" s="74">
        <v>0</v>
      </c>
      <c r="BE180" s="28">
        <v>1</v>
      </c>
      <c r="BF180" s="584">
        <v>2</v>
      </c>
      <c r="BG180" s="28">
        <v>6</v>
      </c>
      <c r="BH180" s="28">
        <v>2</v>
      </c>
      <c r="BI180" s="28">
        <v>0</v>
      </c>
      <c r="BJ180" s="28">
        <v>3</v>
      </c>
      <c r="BK180" s="28">
        <v>0</v>
      </c>
      <c r="BL180" s="89">
        <f>IFERROR((MIL_P98[[#This Row],[BB]]+MIL_P98[[#This Row],[H]])/MIL_P98[[#This Row],[IP]],0)</f>
        <v>3</v>
      </c>
      <c r="BM180" s="28">
        <v>0</v>
      </c>
      <c r="BN180" s="90">
        <v>0</v>
      </c>
      <c r="BO180" s="28">
        <v>0</v>
      </c>
      <c r="BP180" s="74">
        <v>0</v>
      </c>
      <c r="BQ180" s="780">
        <v>4</v>
      </c>
    </row>
    <row r="181" spans="1:73">
      <c r="A181" s="651" t="s">
        <v>952</v>
      </c>
      <c r="B181" s="74" t="s">
        <v>212</v>
      </c>
      <c r="C181" s="116" t="s">
        <v>977</v>
      </c>
      <c r="D181" s="88">
        <f>IFERROR((STL_P272[[#This Row],[R]]*9)/STL_P272[[#This Row],[IP]],0)</f>
        <v>0</v>
      </c>
      <c r="E181" s="28">
        <v>0</v>
      </c>
      <c r="F181" s="74">
        <v>0</v>
      </c>
      <c r="G181" s="28">
        <v>0</v>
      </c>
      <c r="H181" s="584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89">
        <f>IFERROR((STL_P272[[#This Row],[BB]]+STL_P272[[#This Row],[H]])/STL_P272[[#This Row],[IP]],0)</f>
        <v>0</v>
      </c>
      <c r="O181" s="28">
        <v>0</v>
      </c>
      <c r="P181" s="90">
        <v>0</v>
      </c>
      <c r="Q181" s="28">
        <v>0</v>
      </c>
      <c r="R181" s="74">
        <v>0</v>
      </c>
      <c r="S181" s="780">
        <v>5</v>
      </c>
      <c r="Z181" s="651" t="s">
        <v>1025</v>
      </c>
      <c r="AA181" s="74" t="s">
        <v>212</v>
      </c>
      <c r="AB181" s="116" t="s">
        <v>1050</v>
      </c>
      <c r="AC181" s="88">
        <f>IFERROR((CIN_P82[[#This Row],[R]]*9)/CIN_P82[[#This Row],[IP]],0)</f>
        <v>6</v>
      </c>
      <c r="AD181" s="28">
        <v>0</v>
      </c>
      <c r="AE181" s="74">
        <v>1</v>
      </c>
      <c r="AF181" s="28">
        <v>1</v>
      </c>
      <c r="AG181" s="584">
        <v>3</v>
      </c>
      <c r="AH181" s="28">
        <v>3</v>
      </c>
      <c r="AI181" s="28">
        <v>2</v>
      </c>
      <c r="AJ181" s="28">
        <v>1</v>
      </c>
      <c r="AK181" s="28">
        <v>2</v>
      </c>
      <c r="AL181" s="28">
        <v>0</v>
      </c>
      <c r="AM181" s="89">
        <f>IFERROR((CIN_P82[[#This Row],[BB]]+CIN_P82[[#This Row],[H]])/CIN_P82[[#This Row],[IP]],0)</f>
        <v>1.3333333333333333</v>
      </c>
      <c r="AN181" s="28">
        <v>0</v>
      </c>
      <c r="AO181" s="90">
        <v>0</v>
      </c>
      <c r="AP181" s="28">
        <v>0</v>
      </c>
      <c r="AQ181" s="74">
        <v>0</v>
      </c>
      <c r="AR181" s="780">
        <v>5</v>
      </c>
      <c r="AS181"/>
      <c r="AT181"/>
      <c r="AU181"/>
      <c r="AV181"/>
      <c r="AY181" s="828" t="s">
        <v>1062</v>
      </c>
      <c r="AZ181" s="114" t="s">
        <v>212</v>
      </c>
      <c r="BA181" s="115" t="s">
        <v>1088</v>
      </c>
      <c r="BB181" s="88">
        <f>IFERROR((MIL_P98[[#This Row],[R]]*9)/MIL_P98[[#This Row],[IP]],0)</f>
        <v>0</v>
      </c>
      <c r="BC181" s="28">
        <v>0</v>
      </c>
      <c r="BD181" s="74">
        <v>0</v>
      </c>
      <c r="BE181" s="28">
        <v>0</v>
      </c>
      <c r="BF181" s="584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89">
        <f>IFERROR((MIL_P98[[#This Row],[BB]]+MIL_P98[[#This Row],[H]])/MIL_P98[[#This Row],[IP]],0)</f>
        <v>0</v>
      </c>
      <c r="BM181" s="28">
        <v>0</v>
      </c>
      <c r="BN181" s="90">
        <v>0</v>
      </c>
      <c r="BO181" s="28">
        <v>0</v>
      </c>
      <c r="BP181" s="74">
        <v>0</v>
      </c>
      <c r="BQ181" s="780">
        <v>5</v>
      </c>
    </row>
    <row r="182" spans="1:73">
      <c r="A182" s="651" t="s">
        <v>952</v>
      </c>
      <c r="B182" s="74" t="s">
        <v>215</v>
      </c>
      <c r="C182" s="116" t="s">
        <v>979</v>
      </c>
      <c r="D182" s="88">
        <f>IFERROR((STL_P272[[#This Row],[R]]*9)/STL_P272[[#This Row],[IP]],0)</f>
        <v>0</v>
      </c>
      <c r="E182" s="28">
        <v>0</v>
      </c>
      <c r="F182" s="74">
        <v>0</v>
      </c>
      <c r="G182" s="28">
        <v>0</v>
      </c>
      <c r="H182" s="584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89">
        <f>IFERROR((STL_P272[[#This Row],[BB]]+STL_P272[[#This Row],[H]])/STL_P272[[#This Row],[IP]],0)</f>
        <v>0</v>
      </c>
      <c r="O182" s="28">
        <v>0</v>
      </c>
      <c r="P182" s="90">
        <v>0</v>
      </c>
      <c r="Q182" s="28">
        <v>0</v>
      </c>
      <c r="R182" s="74">
        <v>0</v>
      </c>
      <c r="S182" s="780">
        <v>6</v>
      </c>
      <c r="Z182" s="651" t="s">
        <v>1025</v>
      </c>
      <c r="AA182" s="74" t="s">
        <v>215</v>
      </c>
      <c r="AB182" s="116" t="s">
        <v>1053</v>
      </c>
      <c r="AC182" s="88">
        <f>IFERROR((CIN_P82[[#This Row],[R]]*9)/CIN_P82[[#This Row],[IP]],0)</f>
        <v>0</v>
      </c>
      <c r="AD182" s="28">
        <v>0</v>
      </c>
      <c r="AE182" s="74">
        <v>0</v>
      </c>
      <c r="AF182" s="28">
        <v>0</v>
      </c>
      <c r="AG182" s="584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89">
        <f>IFERROR((CIN_P82[[#This Row],[BB]]+CIN_P82[[#This Row],[H]])/CIN_P82[[#This Row],[IP]],0)</f>
        <v>0</v>
      </c>
      <c r="AN182" s="28">
        <v>0</v>
      </c>
      <c r="AO182" s="90">
        <v>0</v>
      </c>
      <c r="AP182" s="28">
        <v>0</v>
      </c>
      <c r="AQ182" s="74">
        <v>0</v>
      </c>
      <c r="AR182" s="780">
        <v>6</v>
      </c>
      <c r="AS182"/>
      <c r="AT182"/>
      <c r="AU182"/>
      <c r="AV182"/>
      <c r="AY182" s="828" t="s">
        <v>1062</v>
      </c>
      <c r="AZ182" s="114" t="s">
        <v>212</v>
      </c>
      <c r="BA182" s="115" t="s">
        <v>1086</v>
      </c>
      <c r="BB182" s="88">
        <f>IFERROR((MIL_P98[[#This Row],[R]]*9)/MIL_P98[[#This Row],[IP]],0)</f>
        <v>0</v>
      </c>
      <c r="BC182" s="28">
        <v>0</v>
      </c>
      <c r="BD182" s="74">
        <v>0</v>
      </c>
      <c r="BE182" s="28">
        <v>0</v>
      </c>
      <c r="BF182" s="584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89">
        <f>IFERROR((MIL_P98[[#This Row],[BB]]+MIL_P98[[#This Row],[H]])/MIL_P98[[#This Row],[IP]],0)</f>
        <v>0</v>
      </c>
      <c r="BM182" s="28">
        <v>0</v>
      </c>
      <c r="BN182" s="90">
        <v>0</v>
      </c>
      <c r="BO182" s="28">
        <v>0</v>
      </c>
      <c r="BP182" s="74">
        <v>0</v>
      </c>
      <c r="BQ182" s="780">
        <v>6</v>
      </c>
    </row>
    <row r="183" spans="1:73">
      <c r="A183" s="651" t="s">
        <v>952</v>
      </c>
      <c r="B183" s="74" t="s">
        <v>212</v>
      </c>
      <c r="C183" s="116" t="s">
        <v>978</v>
      </c>
      <c r="D183" s="88">
        <f>IFERROR((STL_P272[[#This Row],[R]]*9)/STL_P272[[#This Row],[IP]],0)</f>
        <v>0</v>
      </c>
      <c r="E183" s="28">
        <v>0</v>
      </c>
      <c r="F183" s="74">
        <v>0</v>
      </c>
      <c r="G183" s="28">
        <v>0</v>
      </c>
      <c r="H183" s="584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89">
        <f>IFERROR((STL_P272[[#This Row],[BB]]+STL_P272[[#This Row],[H]])/STL_P272[[#This Row],[IP]],0)</f>
        <v>0</v>
      </c>
      <c r="O183" s="28">
        <v>0</v>
      </c>
      <c r="P183" s="90">
        <v>0</v>
      </c>
      <c r="Q183" s="28">
        <v>0</v>
      </c>
      <c r="R183" s="74">
        <v>0</v>
      </c>
      <c r="S183" s="780">
        <v>7</v>
      </c>
      <c r="Z183" s="651" t="s">
        <v>1025</v>
      </c>
      <c r="AA183" s="74" t="s">
        <v>212</v>
      </c>
      <c r="AB183" s="116" t="s">
        <v>1052</v>
      </c>
      <c r="AC183" s="88">
        <f>IFERROR((CIN_P82[[#This Row],[R]]*9)/CIN_P82[[#This Row],[IP]],0)</f>
        <v>0</v>
      </c>
      <c r="AD183" s="28">
        <v>0</v>
      </c>
      <c r="AE183" s="74">
        <v>0</v>
      </c>
      <c r="AF183" s="28">
        <v>0</v>
      </c>
      <c r="AG183" s="584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89">
        <f>IFERROR((CIN_P82[[#This Row],[BB]]+CIN_P82[[#This Row],[H]])/CIN_P82[[#This Row],[IP]],0)</f>
        <v>0</v>
      </c>
      <c r="AN183" s="28">
        <v>0</v>
      </c>
      <c r="AO183" s="90">
        <v>0</v>
      </c>
      <c r="AP183" s="28">
        <v>0</v>
      </c>
      <c r="AQ183" s="74">
        <v>0</v>
      </c>
      <c r="AR183" s="780">
        <v>7</v>
      </c>
      <c r="AS183"/>
      <c r="AT183"/>
      <c r="AU183"/>
      <c r="AV183"/>
      <c r="AY183" s="828" t="s">
        <v>1062</v>
      </c>
      <c r="AZ183" s="114" t="s">
        <v>215</v>
      </c>
      <c r="BA183" s="115" t="s">
        <v>1089</v>
      </c>
      <c r="BB183" s="88">
        <f>IFERROR((MIL_P98[[#This Row],[R]]*9)/MIL_P98[[#This Row],[IP]],0)</f>
        <v>0</v>
      </c>
      <c r="BC183" s="28">
        <v>0</v>
      </c>
      <c r="BD183" s="74">
        <v>0</v>
      </c>
      <c r="BE183" s="28">
        <v>0</v>
      </c>
      <c r="BF183" s="584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89">
        <f>IFERROR((MIL_P98[[#This Row],[BB]]+MIL_P98[[#This Row],[H]])/MIL_P98[[#This Row],[IP]],0)</f>
        <v>0</v>
      </c>
      <c r="BM183" s="28">
        <v>0</v>
      </c>
      <c r="BN183" s="90">
        <v>0</v>
      </c>
      <c r="BO183" s="28">
        <v>0</v>
      </c>
      <c r="BP183" s="74">
        <v>0</v>
      </c>
      <c r="BQ183" s="780">
        <v>7</v>
      </c>
    </row>
    <row r="184" spans="1:73">
      <c r="A184" s="651" t="s">
        <v>952</v>
      </c>
      <c r="B184" s="74" t="s">
        <v>212</v>
      </c>
      <c r="C184" s="116" t="s">
        <v>980</v>
      </c>
      <c r="D184" s="88">
        <f>IFERROR((STL_P272[[#This Row],[R]]*9)/STL_P272[[#This Row],[IP]],0)</f>
        <v>0</v>
      </c>
      <c r="E184" s="28">
        <v>0</v>
      </c>
      <c r="F184" s="74">
        <v>0</v>
      </c>
      <c r="G184" s="28">
        <v>0</v>
      </c>
      <c r="H184" s="584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89">
        <f>IFERROR((STL_P272[[#This Row],[BB]]+STL_P272[[#This Row],[H]])/STL_P272[[#This Row],[IP]],0)</f>
        <v>0</v>
      </c>
      <c r="O184" s="28">
        <v>0</v>
      </c>
      <c r="P184" s="90">
        <v>0</v>
      </c>
      <c r="Q184" s="28">
        <v>0</v>
      </c>
      <c r="R184" s="74">
        <v>0</v>
      </c>
      <c r="S184" s="780">
        <v>8</v>
      </c>
      <c r="Z184" s="651" t="s">
        <v>1025</v>
      </c>
      <c r="AA184" s="74" t="s">
        <v>212</v>
      </c>
      <c r="AB184" s="71" t="s">
        <v>1057</v>
      </c>
      <c r="AC184" s="88">
        <f>IFERROR((CIN_P82[[#This Row],[R]]*9)/CIN_P82[[#This Row],[IP]],0)</f>
        <v>0</v>
      </c>
      <c r="AD184" s="28">
        <v>0</v>
      </c>
      <c r="AE184" s="74">
        <v>0</v>
      </c>
      <c r="AF184" s="28">
        <v>5</v>
      </c>
      <c r="AG184" s="584">
        <v>5.33</v>
      </c>
      <c r="AH184" s="28">
        <v>3</v>
      </c>
      <c r="AI184" s="28">
        <v>0</v>
      </c>
      <c r="AJ184" s="28">
        <v>1</v>
      </c>
      <c r="AK184" s="28">
        <v>8</v>
      </c>
      <c r="AL184" s="28">
        <v>0</v>
      </c>
      <c r="AM184" s="89">
        <f>IFERROR((CIN_P82[[#This Row],[BB]]+CIN_P82[[#This Row],[H]])/CIN_P82[[#This Row],[IP]],0)</f>
        <v>0.75046904315196994</v>
      </c>
      <c r="AN184" s="28">
        <v>0</v>
      </c>
      <c r="AO184" s="90">
        <v>0</v>
      </c>
      <c r="AP184" s="28">
        <v>0</v>
      </c>
      <c r="AQ184" s="74">
        <v>0</v>
      </c>
      <c r="AR184" s="780">
        <v>8</v>
      </c>
      <c r="AS184"/>
      <c r="AT184"/>
      <c r="AU184"/>
      <c r="AV184"/>
      <c r="AY184" s="828" t="s">
        <v>1062</v>
      </c>
      <c r="AZ184" s="114" t="s">
        <v>212</v>
      </c>
      <c r="BA184" s="115" t="s">
        <v>1090</v>
      </c>
      <c r="BB184" s="88">
        <f>IFERROR((MIL_P98[[#This Row],[R]]*9)/MIL_P98[[#This Row],[IP]],0)</f>
        <v>18</v>
      </c>
      <c r="BC184" s="28">
        <v>0</v>
      </c>
      <c r="BD184" s="74">
        <v>2</v>
      </c>
      <c r="BE184" s="28">
        <v>4</v>
      </c>
      <c r="BF184" s="584">
        <v>5</v>
      </c>
      <c r="BG184" s="28">
        <v>11</v>
      </c>
      <c r="BH184" s="28">
        <v>10</v>
      </c>
      <c r="BI184" s="28">
        <v>4</v>
      </c>
      <c r="BJ184" s="28">
        <v>7</v>
      </c>
      <c r="BK184" s="28">
        <v>0</v>
      </c>
      <c r="BL184" s="89">
        <f>IFERROR((MIL_P98[[#This Row],[BB]]+MIL_P98[[#This Row],[H]])/MIL_P98[[#This Row],[IP]],0)</f>
        <v>3</v>
      </c>
      <c r="BM184" s="28">
        <v>0</v>
      </c>
      <c r="BN184" s="90">
        <v>0</v>
      </c>
      <c r="BO184" s="28">
        <v>0</v>
      </c>
      <c r="BP184" s="74">
        <v>0</v>
      </c>
      <c r="BQ184" s="780">
        <v>8</v>
      </c>
    </row>
    <row r="185" spans="1:73">
      <c r="A185" s="651" t="s">
        <v>952</v>
      </c>
      <c r="B185" s="74" t="s">
        <v>212</v>
      </c>
      <c r="C185" s="116" t="s">
        <v>983</v>
      </c>
      <c r="D185" s="88">
        <f>IFERROR((STL_P272[[#This Row],[R]]*9)/STL_P272[[#This Row],[IP]],0)</f>
        <v>9.8092643051771127</v>
      </c>
      <c r="E185" s="28">
        <v>0</v>
      </c>
      <c r="F185" s="74">
        <v>1</v>
      </c>
      <c r="G185" s="28">
        <v>3</v>
      </c>
      <c r="H185" s="584">
        <v>3.67</v>
      </c>
      <c r="I185" s="28">
        <v>5</v>
      </c>
      <c r="J185" s="28">
        <v>4</v>
      </c>
      <c r="K185" s="28">
        <v>1</v>
      </c>
      <c r="L185" s="28">
        <v>5</v>
      </c>
      <c r="M185" s="28">
        <v>0</v>
      </c>
      <c r="N185" s="89">
        <f>IFERROR((STL_P272[[#This Row],[BB]]+STL_P272[[#This Row],[H]])/STL_P272[[#This Row],[IP]],0)</f>
        <v>1.6348773841961852</v>
      </c>
      <c r="O185" s="28">
        <v>0</v>
      </c>
      <c r="P185" s="90">
        <v>0</v>
      </c>
      <c r="Q185" s="28">
        <v>0</v>
      </c>
      <c r="R185" s="74">
        <v>0</v>
      </c>
      <c r="S185" s="780">
        <v>9</v>
      </c>
      <c r="Z185" s="651" t="s">
        <v>1025</v>
      </c>
      <c r="AA185" s="74" t="s">
        <v>212</v>
      </c>
      <c r="AB185" s="116" t="s">
        <v>1056</v>
      </c>
      <c r="AC185" s="88">
        <f>IFERROR((CIN_P82[[#This Row],[R]]*9)/CIN_P82[[#This Row],[IP]],0)</f>
        <v>0</v>
      </c>
      <c r="AD185" s="28">
        <v>0</v>
      </c>
      <c r="AE185" s="74">
        <v>0</v>
      </c>
      <c r="AF185" s="28">
        <v>4</v>
      </c>
      <c r="AG185" s="584">
        <v>5</v>
      </c>
      <c r="AH185" s="28">
        <v>2</v>
      </c>
      <c r="AI185" s="28">
        <v>0</v>
      </c>
      <c r="AJ185" s="28">
        <v>2</v>
      </c>
      <c r="AK185" s="28">
        <v>9</v>
      </c>
      <c r="AL185" s="28">
        <v>0</v>
      </c>
      <c r="AM185" s="89">
        <f>IFERROR((CIN_P82[[#This Row],[BB]]+CIN_P82[[#This Row],[H]])/CIN_P82[[#This Row],[IP]],0)</f>
        <v>0.8</v>
      </c>
      <c r="AN185" s="28">
        <v>0</v>
      </c>
      <c r="AO185" s="90">
        <v>0</v>
      </c>
      <c r="AP185" s="28">
        <v>0</v>
      </c>
      <c r="AQ185" s="74">
        <v>0</v>
      </c>
      <c r="AR185" s="780">
        <v>9</v>
      </c>
      <c r="AS185"/>
      <c r="AT185"/>
      <c r="AU185"/>
      <c r="AV185"/>
      <c r="AY185" s="828" t="s">
        <v>1062</v>
      </c>
      <c r="AZ185" s="114" t="s">
        <v>212</v>
      </c>
      <c r="BA185" s="115" t="s">
        <v>1091</v>
      </c>
      <c r="BB185" s="88">
        <f>IFERROR((MIL_P98[[#This Row],[R]]*9)/MIL_P98[[#This Row],[IP]],0)</f>
        <v>0.96463022508038587</v>
      </c>
      <c r="BC185" s="28">
        <v>0</v>
      </c>
      <c r="BD185" s="74">
        <v>1</v>
      </c>
      <c r="BE185" s="28">
        <v>5</v>
      </c>
      <c r="BF185" s="584">
        <v>9.33</v>
      </c>
      <c r="BG185" s="28">
        <v>5</v>
      </c>
      <c r="BH185" s="28">
        <v>1</v>
      </c>
      <c r="BI185" s="28">
        <v>2</v>
      </c>
      <c r="BJ185" s="28">
        <v>17</v>
      </c>
      <c r="BK185" s="28">
        <v>0</v>
      </c>
      <c r="BL185" s="89">
        <f>IFERROR((MIL_P98[[#This Row],[BB]]+MIL_P98[[#This Row],[H]])/MIL_P98[[#This Row],[IP]],0)</f>
        <v>0.75026795284030012</v>
      </c>
      <c r="BM185" s="28">
        <v>0</v>
      </c>
      <c r="BN185" s="90">
        <v>0</v>
      </c>
      <c r="BO185" s="28">
        <v>0</v>
      </c>
      <c r="BP185" s="74">
        <v>0</v>
      </c>
      <c r="BQ185" s="780">
        <v>9</v>
      </c>
    </row>
    <row r="186" spans="1:73" ht="17" thickBot="1">
      <c r="A186" s="651" t="s">
        <v>952</v>
      </c>
      <c r="B186" s="74" t="s">
        <v>212</v>
      </c>
      <c r="C186" s="116" t="s">
        <v>986</v>
      </c>
      <c r="D186" s="88">
        <f>IFERROR((STL_P272[[#This Row],[R]]*9)/STL_P272[[#This Row],[IP]],0)</f>
        <v>0</v>
      </c>
      <c r="E186" s="28">
        <v>1</v>
      </c>
      <c r="F186" s="74">
        <v>0</v>
      </c>
      <c r="G186" s="28">
        <v>3</v>
      </c>
      <c r="H186" s="584">
        <v>3</v>
      </c>
      <c r="I186" s="28">
        <v>1</v>
      </c>
      <c r="J186" s="28">
        <v>0</v>
      </c>
      <c r="K186" s="28">
        <v>1</v>
      </c>
      <c r="L186" s="28">
        <v>5</v>
      </c>
      <c r="M186" s="28">
        <v>0</v>
      </c>
      <c r="N186" s="89">
        <f>IFERROR((STL_P272[[#This Row],[BB]]+STL_P272[[#This Row],[H]])/STL_P272[[#This Row],[IP]],0)</f>
        <v>0.66666666666666663</v>
      </c>
      <c r="O186" s="28">
        <v>0</v>
      </c>
      <c r="P186" s="90">
        <v>0</v>
      </c>
      <c r="Q186" s="28">
        <v>0</v>
      </c>
      <c r="R186" s="74">
        <v>0</v>
      </c>
      <c r="S186" s="780">
        <v>10</v>
      </c>
      <c r="Z186" s="651" t="s">
        <v>1025</v>
      </c>
      <c r="AA186" s="74" t="s">
        <v>212</v>
      </c>
      <c r="AB186" s="71" t="s">
        <v>1058</v>
      </c>
      <c r="AC186" s="88">
        <f>IFERROR((CIN_P82[[#This Row],[R]]*9)/CIN_P82[[#This Row],[IP]],0)</f>
        <v>8.6434573829531818</v>
      </c>
      <c r="AD186" s="28">
        <v>0</v>
      </c>
      <c r="AE186" s="74">
        <v>0</v>
      </c>
      <c r="AF186" s="28">
        <v>7</v>
      </c>
      <c r="AG186" s="584">
        <v>8.33</v>
      </c>
      <c r="AH186" s="28">
        <v>12</v>
      </c>
      <c r="AI186" s="28">
        <v>8</v>
      </c>
      <c r="AJ186" s="28">
        <v>4</v>
      </c>
      <c r="AK186" s="28">
        <v>6</v>
      </c>
      <c r="AL186" s="28">
        <v>2</v>
      </c>
      <c r="AM186" s="89">
        <f>IFERROR((CIN_P82[[#This Row],[BB]]+CIN_P82[[#This Row],[H]])/CIN_P82[[#This Row],[IP]],0)</f>
        <v>1.9207683073229291</v>
      </c>
      <c r="AN186" s="28">
        <v>0</v>
      </c>
      <c r="AO186" s="90">
        <v>0</v>
      </c>
      <c r="AP186" s="28">
        <v>0</v>
      </c>
      <c r="AQ186" s="74">
        <v>0</v>
      </c>
      <c r="AR186" s="780">
        <v>10</v>
      </c>
      <c r="AS186"/>
      <c r="AT186"/>
      <c r="AU186"/>
      <c r="AV186"/>
      <c r="AY186" s="828" t="s">
        <v>1062</v>
      </c>
      <c r="AZ186" s="114" t="s">
        <v>212</v>
      </c>
      <c r="BA186" s="115" t="s">
        <v>1092</v>
      </c>
      <c r="BB186" s="349">
        <f>IFERROR((MIL_P98[[#This Row],[R]]*9)/MIL_P98[[#This Row],[IP]],0)</f>
        <v>0</v>
      </c>
      <c r="BC186" s="28">
        <v>1</v>
      </c>
      <c r="BD186" s="74">
        <v>0</v>
      </c>
      <c r="BE186" s="28">
        <v>5</v>
      </c>
      <c r="BF186" s="584">
        <v>7</v>
      </c>
      <c r="BG186" s="28">
        <v>3</v>
      </c>
      <c r="BH186" s="28">
        <v>0</v>
      </c>
      <c r="BI186" s="28">
        <v>3</v>
      </c>
      <c r="BJ186" s="28">
        <v>13</v>
      </c>
      <c r="BK186" s="28">
        <v>0</v>
      </c>
      <c r="BL186" s="89">
        <f>IFERROR((MIL_P98[[#This Row],[BB]]+MIL_P98[[#This Row],[H]])/MIL_P98[[#This Row],[IP]],0)</f>
        <v>0.8571428571428571</v>
      </c>
      <c r="BM186" s="28">
        <v>0</v>
      </c>
      <c r="BN186" s="90">
        <v>0</v>
      </c>
      <c r="BO186" s="28">
        <v>0</v>
      </c>
      <c r="BP186" s="74">
        <v>0</v>
      </c>
      <c r="BQ186" s="780">
        <v>10</v>
      </c>
    </row>
    <row r="187" spans="1:73" ht="17" thickBot="1">
      <c r="A187" s="652"/>
      <c r="B187" s="653"/>
      <c r="C187" s="654" t="s">
        <v>195</v>
      </c>
      <c r="D187" s="665">
        <f>(J187*9)/H187</f>
        <v>3.7120359955005622</v>
      </c>
      <c r="E187" s="658">
        <f>SUBTOTAL(109,STL_P272[W])</f>
        <v>1</v>
      </c>
      <c r="F187" s="660">
        <f>SUBTOTAL(109,STL_P272[L])</f>
        <v>2</v>
      </c>
      <c r="G187" s="658"/>
      <c r="H187" s="666">
        <f>SUBTOTAL(109,STL_P272[IP])</f>
        <v>26.67</v>
      </c>
      <c r="I187" s="658">
        <f>SUBTOTAL(109,STL_P272[H])</f>
        <v>21</v>
      </c>
      <c r="J187" s="658">
        <f>SUBTOTAL(109,STL_P272[R])</f>
        <v>11</v>
      </c>
      <c r="K187" s="658">
        <f>SUBTOTAL(109,STL_P272[BB])</f>
        <v>9</v>
      </c>
      <c r="L187" s="658">
        <f>SUBTOTAL(109,STL_P272[K])</f>
        <v>26</v>
      </c>
      <c r="M187" s="658">
        <f>SUBTOTAL(109,STL_P272[SV])</f>
        <v>0</v>
      </c>
      <c r="N187" s="667">
        <f>(K187+I187)/H187</f>
        <v>1.124859392575928</v>
      </c>
      <c r="O187" s="690">
        <f>SUBTOTAL(109,STL_P272[QS])</f>
        <v>2</v>
      </c>
      <c r="P187" s="669">
        <f>SUBTOTAL(109,STL_P272[UQ])</f>
        <v>1</v>
      </c>
      <c r="Q187" s="670">
        <f>SUBTOTAL(109,STL_P272[CG])</f>
        <v>0</v>
      </c>
      <c r="R187" s="671">
        <f>SUBTOTAL(109,STL_P272[SH])</f>
        <v>0</v>
      </c>
      <c r="S187" s="662"/>
      <c r="Z187" s="652"/>
      <c r="AA187" s="653"/>
      <c r="AB187" s="654" t="s">
        <v>195</v>
      </c>
      <c r="AC187" s="665">
        <f>(AI187*9)/AG187</f>
        <v>2.9556650246305423</v>
      </c>
      <c r="AD187" s="658">
        <f>SUBTOTAL(109,CIN_P82[W])</f>
        <v>4</v>
      </c>
      <c r="AE187" s="660">
        <f>SUBTOTAL(109,CIN_P82[L])</f>
        <v>3</v>
      </c>
      <c r="AF187" s="658"/>
      <c r="AG187" s="666">
        <f>SUBTOTAL(109,CIN_P82[IP])</f>
        <v>66.989999999999995</v>
      </c>
      <c r="AH187" s="658">
        <f>SUBTOTAL(109,CIN_P82[H])</f>
        <v>61</v>
      </c>
      <c r="AI187" s="658">
        <f>SUBTOTAL(109,CIN_P82[R])</f>
        <v>22</v>
      </c>
      <c r="AJ187" s="658">
        <f>SUBTOTAL(109,CIN_P82[BB])</f>
        <v>20</v>
      </c>
      <c r="AK187" s="658">
        <f>SUBTOTAL(109,CIN_P82[K])</f>
        <v>82</v>
      </c>
      <c r="AL187" s="658">
        <f>SUBTOTAL(109,CIN_P82[SV])</f>
        <v>2</v>
      </c>
      <c r="AM187" s="667">
        <f>(AJ187+AH187)/AG187</f>
        <v>1.2091356918943126</v>
      </c>
      <c r="AN187" s="690">
        <f>SUBTOTAL(109,CIN_P82[QS])</f>
        <v>5</v>
      </c>
      <c r="AO187" s="669">
        <f>SUBTOTAL(109,CIN_P82[UQ])</f>
        <v>3</v>
      </c>
      <c r="AP187" s="670">
        <f>SUBTOTAL(109,CIN_P82[CG])</f>
        <v>0</v>
      </c>
      <c r="AQ187" s="671">
        <f>SUBTOTAL(109,CIN_P82[SH])</f>
        <v>0</v>
      </c>
      <c r="AR187" s="662"/>
      <c r="AS187"/>
      <c r="AT187"/>
      <c r="AU187"/>
      <c r="AV187"/>
      <c r="AY187" s="853"/>
      <c r="AZ187" s="693"/>
      <c r="BA187" s="854" t="s">
        <v>195</v>
      </c>
      <c r="BB187" s="745">
        <f>IFERROR((BH187*9)/BF187,0)</f>
        <v>4.790322580645161</v>
      </c>
      <c r="BC187" s="696">
        <f>SUBTOTAL(109,MIL_P98[W])</f>
        <v>2</v>
      </c>
      <c r="BD187" s="697">
        <f>SUBTOTAL(109,MIL_P98[L])</f>
        <v>4</v>
      </c>
      <c r="BE187" s="696"/>
      <c r="BF187" s="700">
        <f>SUBTOTAL(109,MIL_P98[IP])</f>
        <v>62</v>
      </c>
      <c r="BG187" s="696">
        <f>SUBTOTAL(109,MIL_P98[H])</f>
        <v>59</v>
      </c>
      <c r="BH187" s="696">
        <f>SUBTOTAL(109,MIL_P98[R])</f>
        <v>33</v>
      </c>
      <c r="BI187" s="696">
        <f>SUBTOTAL(109,MIL_P98[BB])</f>
        <v>29</v>
      </c>
      <c r="BJ187" s="696">
        <f>SUBTOTAL(109,MIL_P98[K])</f>
        <v>88</v>
      </c>
      <c r="BK187" s="696">
        <f>SUBTOTAL(109,MIL_P98[SV])</f>
        <v>0</v>
      </c>
      <c r="BL187" s="746">
        <f>IFERROR((BI187+BG187)/BF187,0)</f>
        <v>1.4193548387096775</v>
      </c>
      <c r="BM187" s="701">
        <f>SUBTOTAL(109,MIL_P98[QS])</f>
        <v>4</v>
      </c>
      <c r="BN187" s="702">
        <f>SUBTOTAL(109,MIL_P98[UQ])</f>
        <v>2</v>
      </c>
      <c r="BO187" s="703">
        <f>SUM(BO177:BO186)</f>
        <v>1</v>
      </c>
      <c r="BP187" s="704">
        <f>SUM(BP177:BP186)</f>
        <v>0</v>
      </c>
      <c r="BQ187" s="698"/>
    </row>
    <row r="188" spans="1:73" ht="17" thickBo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73" ht="24" thickBo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Z189" s="1045" t="s">
        <v>1131</v>
      </c>
      <c r="AA189" s="1046"/>
      <c r="AB189" s="1046"/>
      <c r="AC189" s="1046"/>
      <c r="AD189" s="1046"/>
      <c r="AE189" s="1046"/>
      <c r="AF189" s="1046"/>
      <c r="AG189" s="1046"/>
      <c r="AH189" s="1046"/>
      <c r="AI189" s="1046"/>
      <c r="AJ189" s="1046"/>
      <c r="AK189" s="1046"/>
      <c r="AL189" s="1046"/>
      <c r="AM189" s="1046"/>
      <c r="AN189" s="1046"/>
      <c r="AO189" s="1046"/>
      <c r="AP189" s="1046"/>
      <c r="AQ189" s="1046"/>
      <c r="AR189" s="1046"/>
      <c r="AS189" s="1046"/>
      <c r="AT189" s="1046"/>
      <c r="AU189" s="1046"/>
      <c r="AV189" s="1047"/>
      <c r="AY189" s="1012" t="s">
        <v>1132</v>
      </c>
      <c r="AZ189" s="1013"/>
      <c r="BA189" s="1013"/>
      <c r="BB189" s="1013"/>
      <c r="BC189" s="1013"/>
      <c r="BD189" s="1013"/>
      <c r="BE189" s="1013"/>
      <c r="BF189" s="1013"/>
      <c r="BG189" s="1013"/>
      <c r="BH189" s="1013"/>
      <c r="BI189" s="1013"/>
      <c r="BJ189" s="1013"/>
      <c r="BK189" s="1013"/>
      <c r="BL189" s="1013"/>
      <c r="BM189" s="1013"/>
      <c r="BN189" s="1013"/>
      <c r="BO189" s="1013"/>
      <c r="BP189" s="1013"/>
      <c r="BQ189" s="1013"/>
      <c r="BR189" s="1013"/>
      <c r="BS189" s="1013"/>
      <c r="BT189" s="1013"/>
      <c r="BU189" s="1014"/>
    </row>
    <row r="190" spans="1:73" s="64" customFormat="1" ht="17" thickBo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Z190" s="605" t="s">
        <v>143</v>
      </c>
      <c r="AA190" s="606" t="s">
        <v>144</v>
      </c>
      <c r="AB190" s="606" t="s">
        <v>145</v>
      </c>
      <c r="AC190" s="606" t="s">
        <v>146</v>
      </c>
      <c r="AD190" s="606" t="s">
        <v>147</v>
      </c>
      <c r="AE190" s="606" t="s">
        <v>148</v>
      </c>
      <c r="AF190" s="606" t="s">
        <v>149</v>
      </c>
      <c r="AG190" s="606" t="s">
        <v>150</v>
      </c>
      <c r="AH190" s="606" t="s">
        <v>151</v>
      </c>
      <c r="AI190" s="606" t="s">
        <v>152</v>
      </c>
      <c r="AJ190" s="606" t="s">
        <v>153</v>
      </c>
      <c r="AK190" s="606" t="s">
        <v>154</v>
      </c>
      <c r="AL190" s="606" t="s">
        <v>155</v>
      </c>
      <c r="AM190" s="606" t="s">
        <v>156</v>
      </c>
      <c r="AN190" s="606" t="s">
        <v>157</v>
      </c>
      <c r="AO190" s="606" t="s">
        <v>158</v>
      </c>
      <c r="AP190" s="606" t="s">
        <v>159</v>
      </c>
      <c r="AQ190" s="606" t="s">
        <v>160</v>
      </c>
      <c r="AR190" s="606" t="s">
        <v>16</v>
      </c>
      <c r="AS190" s="606" t="s">
        <v>161</v>
      </c>
      <c r="AT190" s="606" t="s">
        <v>162</v>
      </c>
      <c r="AU190" s="606" t="s">
        <v>163</v>
      </c>
      <c r="AV190" s="607" t="s">
        <v>164</v>
      </c>
      <c r="AY190" s="605" t="s">
        <v>143</v>
      </c>
      <c r="AZ190" s="606" t="s">
        <v>144</v>
      </c>
      <c r="BA190" s="606" t="s">
        <v>145</v>
      </c>
      <c r="BB190" s="606" t="s">
        <v>146</v>
      </c>
      <c r="BC190" s="606" t="s">
        <v>147</v>
      </c>
      <c r="BD190" s="606" t="s">
        <v>148</v>
      </c>
      <c r="BE190" s="606" t="s">
        <v>149</v>
      </c>
      <c r="BF190" s="606" t="s">
        <v>150</v>
      </c>
      <c r="BG190" s="606" t="s">
        <v>151</v>
      </c>
      <c r="BH190" s="606" t="s">
        <v>152</v>
      </c>
      <c r="BI190" s="606" t="s">
        <v>153</v>
      </c>
      <c r="BJ190" s="606" t="s">
        <v>154</v>
      </c>
      <c r="BK190" s="606" t="s">
        <v>155</v>
      </c>
      <c r="BL190" s="606" t="s">
        <v>156</v>
      </c>
      <c r="BM190" s="606" t="s">
        <v>157</v>
      </c>
      <c r="BN190" s="606" t="s">
        <v>158</v>
      </c>
      <c r="BO190" s="606" t="s">
        <v>159</v>
      </c>
      <c r="BP190" s="606" t="s">
        <v>160</v>
      </c>
      <c r="BQ190" s="606" t="s">
        <v>16</v>
      </c>
      <c r="BR190" s="606" t="s">
        <v>161</v>
      </c>
      <c r="BS190" s="606" t="s">
        <v>162</v>
      </c>
      <c r="BT190" s="606" t="s">
        <v>163</v>
      </c>
      <c r="BU190" s="607" t="s">
        <v>164</v>
      </c>
    </row>
    <row r="191" spans="1:73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Z191" s="650" t="s">
        <v>990</v>
      </c>
      <c r="AA191" s="597" t="s">
        <v>179</v>
      </c>
      <c r="AB191" s="597" t="s">
        <v>1000</v>
      </c>
      <c r="AC191" s="598">
        <f>IFERROR(CHC_C83[[#This Row],[H]]/CHC_C83[[#This Row],[AB]],0)</f>
        <v>0.14285714285714285</v>
      </c>
      <c r="AD191" s="598">
        <f>IFERROR((CHC_C83[[#This Row],[H]]+CHC_C83[[#This Row],[BB]])/(CHC_C83[[#This Row],[BB]]+CHC_C83[[#This Row],[AB]]),0)</f>
        <v>0.14285714285714285</v>
      </c>
      <c r="AE191" s="599">
        <f>IFERROR(((CHC_C83[[#This Row],[H]]-CHC_C83[[#This Row],[2B]]-CHC_C83[[#This Row],[3B]]-CHC_C83[[#This Row],[HR]])+(CHC_C83[[#This Row],[2B]]*2)+(CHC_C83[[#This Row],[3B]]*3)+(CHC_C83[[#This Row],[HR]]*4))/CHC_C83[[#This Row],[AB]],0)</f>
        <v>0.14285714285714285</v>
      </c>
      <c r="AF191" s="600">
        <v>2</v>
      </c>
      <c r="AG191" s="600">
        <v>7</v>
      </c>
      <c r="AH191" s="600">
        <v>0</v>
      </c>
      <c r="AI191" s="600">
        <v>1</v>
      </c>
      <c r="AJ191" s="600">
        <v>0</v>
      </c>
      <c r="AK191" s="600">
        <v>0</v>
      </c>
      <c r="AL191" s="600">
        <v>0</v>
      </c>
      <c r="AM191" s="600">
        <v>0</v>
      </c>
      <c r="AN191" s="600">
        <v>0</v>
      </c>
      <c r="AO191" s="604">
        <v>5</v>
      </c>
      <c r="AP191" s="600">
        <v>0</v>
      </c>
      <c r="AQ191" s="600">
        <v>0</v>
      </c>
      <c r="AR191" s="604">
        <v>1</v>
      </c>
      <c r="AS191" s="600">
        <f>IFERROR((CHC_C83[[#This Row],[H]]-CHC_C83[[#This Row],[2B]]-CHC_C83[[#This Row],[3B]]-CHC_C83[[#This Row],[HR]])+(CHC_C83[[#This Row],[2B]]*2)+(CHC_C83[[#This Row],[3B]]*3)+(CHC_C83[[#This Row],[HR]]*4),0)</f>
        <v>1</v>
      </c>
      <c r="AT191" s="598">
        <f>CHC_C83[[#This Row],[OBP]]+CHC_C83[[#This Row],[SLG]]</f>
        <v>0.2857142857142857</v>
      </c>
      <c r="AU191" s="604">
        <v>0</v>
      </c>
      <c r="AV191" s="614">
        <v>1</v>
      </c>
      <c r="AY191" s="650" t="s">
        <v>952</v>
      </c>
      <c r="AZ191" s="604" t="s">
        <v>179</v>
      </c>
      <c r="BA191" s="597" t="s">
        <v>958</v>
      </c>
      <c r="BB191" s="598">
        <f>IFERROR(STL_H107[[#This Row],[H]]/STL_H107[[#This Row],[AB]],0)</f>
        <v>0.23076923076923078</v>
      </c>
      <c r="BC191" s="598">
        <f>IFERROR((STL_H107[[#This Row],[BB]]+STL_H107[[#This Row],[H]])/(STL_H107[[#This Row],[BB]]+STL_H107[[#This Row],[AB]]),0)</f>
        <v>0.31034482758620691</v>
      </c>
      <c r="BD191" s="599">
        <f>IFERROR(((STL_H107[[#This Row],[H]]-STL_H107[[#This Row],[2B]]-STL_H107[[#This Row],[3B]]-STL_H107[[#This Row],[HR]])+(STL_H107[[#This Row],[2B]]*2)+(STL_H107[[#This Row],[3B]]*3)+(STL_H107[[#This Row],[HR]]*4))/STL_H107[[#This Row],[AB]],0)</f>
        <v>0.38461538461538464</v>
      </c>
      <c r="BE191" s="600">
        <v>7</v>
      </c>
      <c r="BF191" s="600">
        <v>26</v>
      </c>
      <c r="BG191" s="600">
        <v>5</v>
      </c>
      <c r="BH191" s="600">
        <v>6</v>
      </c>
      <c r="BI191" s="600">
        <v>1</v>
      </c>
      <c r="BJ191" s="600">
        <v>0</v>
      </c>
      <c r="BK191" s="600">
        <v>1</v>
      </c>
      <c r="BL191" s="600">
        <v>2</v>
      </c>
      <c r="BM191" s="600">
        <v>3</v>
      </c>
      <c r="BN191" s="604">
        <v>5</v>
      </c>
      <c r="BO191" s="600">
        <v>0</v>
      </c>
      <c r="BP191" s="600">
        <v>1</v>
      </c>
      <c r="BQ191" s="604">
        <v>3</v>
      </c>
      <c r="BR191" s="600">
        <f>IFERROR((STL_H107[[#This Row],[H]]-STL_H107[[#This Row],[2B]]-STL_H107[[#This Row],[3B]]-STL_H107[[#This Row],[HR]])+(STL_H107[[#This Row],[2B]]*2)+(STL_H107[[#This Row],[3B]]*3)+(STL_H107[[#This Row],[HR]]*4),0)</f>
        <v>10</v>
      </c>
      <c r="BS191" s="598">
        <f>IFERROR(STL_H107[[#This Row],[OBP]]+STL_H107[[#This Row],[SLG]],0)</f>
        <v>0.69496021220159154</v>
      </c>
      <c r="BT191" s="604">
        <v>0</v>
      </c>
      <c r="BU191" s="614">
        <v>1</v>
      </c>
    </row>
    <row r="192" spans="1:73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Z192" s="651" t="s">
        <v>990</v>
      </c>
      <c r="AA192" s="71" t="s">
        <v>154</v>
      </c>
      <c r="AB192" s="71" t="s">
        <v>1002</v>
      </c>
      <c r="AC192" s="72">
        <f>IFERROR(CHC_C83[[#This Row],[H]]/CHC_C83[[#This Row],[AB]],0)</f>
        <v>0.25</v>
      </c>
      <c r="AD192" s="72">
        <f>IFERROR((CHC_C83[[#This Row],[H]]+CHC_C83[[#This Row],[BB]])/(CHC_C83[[#This Row],[BB]]+CHC_C83[[#This Row],[AB]]),0)</f>
        <v>0.25</v>
      </c>
      <c r="AE192" s="73">
        <f>IFERROR(((CHC_C83[[#This Row],[H]]-CHC_C83[[#This Row],[2B]]-CHC_C83[[#This Row],[3B]]-CHC_C83[[#This Row],[HR]])+(CHC_C83[[#This Row],[2B]]*2)+(CHC_C83[[#This Row],[3B]]*3)+(CHC_C83[[#This Row],[HR]]*4))/CHC_C83[[#This Row],[AB]],0)</f>
        <v>0.375</v>
      </c>
      <c r="AF192" s="28">
        <v>2</v>
      </c>
      <c r="AG192" s="28">
        <v>8</v>
      </c>
      <c r="AH192" s="28">
        <v>1</v>
      </c>
      <c r="AI192" s="28">
        <v>2</v>
      </c>
      <c r="AJ192" s="28">
        <v>1</v>
      </c>
      <c r="AK192" s="28">
        <v>0</v>
      </c>
      <c r="AL192" s="28">
        <v>0</v>
      </c>
      <c r="AM192" s="28">
        <v>0</v>
      </c>
      <c r="AN192" s="28">
        <v>0</v>
      </c>
      <c r="AO192" s="74">
        <v>3</v>
      </c>
      <c r="AP192" s="28">
        <v>0</v>
      </c>
      <c r="AQ192" s="28">
        <v>0</v>
      </c>
      <c r="AR192" s="74">
        <v>1</v>
      </c>
      <c r="AS192" s="28">
        <f>IFERROR((CHC_C83[[#This Row],[H]]-CHC_C83[[#This Row],[2B]]-CHC_C83[[#This Row],[3B]]-CHC_C83[[#This Row],[HR]])+(CHC_C83[[#This Row],[2B]]*2)+(CHC_C83[[#This Row],[3B]]*3)+(CHC_C83[[#This Row],[HR]]*4),0)</f>
        <v>3</v>
      </c>
      <c r="AT192" s="72">
        <f>CHC_C83[[#This Row],[OBP]]+CHC_C83[[#This Row],[SLG]]</f>
        <v>0.625</v>
      </c>
      <c r="AU192" s="74">
        <v>0</v>
      </c>
      <c r="AV192" s="615">
        <v>2</v>
      </c>
      <c r="AY192" s="651" t="s">
        <v>952</v>
      </c>
      <c r="AZ192" s="74" t="s">
        <v>154</v>
      </c>
      <c r="BA192" s="71" t="s">
        <v>954</v>
      </c>
      <c r="BB192" s="72">
        <f>IFERROR(STL_H107[[#This Row],[H]]/STL_H107[[#This Row],[AB]],0)</f>
        <v>0.27586206896551724</v>
      </c>
      <c r="BC192" s="72">
        <f>IFERROR((STL_H107[[#This Row],[BB]]+STL_H107[[#This Row],[H]])/(STL_H107[[#This Row],[BB]]+STL_H107[[#This Row],[AB]]),0)</f>
        <v>0.34375</v>
      </c>
      <c r="BD192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0.65517241379310343</v>
      </c>
      <c r="BE192" s="28">
        <v>7</v>
      </c>
      <c r="BF192" s="28">
        <v>29</v>
      </c>
      <c r="BG192" s="28">
        <v>6</v>
      </c>
      <c r="BH192" s="28">
        <v>8</v>
      </c>
      <c r="BI192" s="28">
        <v>2</v>
      </c>
      <c r="BJ192" s="28">
        <v>0</v>
      </c>
      <c r="BK192" s="28">
        <v>3</v>
      </c>
      <c r="BL192" s="28">
        <v>8</v>
      </c>
      <c r="BM192" s="28">
        <v>3</v>
      </c>
      <c r="BN192" s="74">
        <v>5</v>
      </c>
      <c r="BO192" s="28">
        <v>0</v>
      </c>
      <c r="BP192" s="28">
        <v>1</v>
      </c>
      <c r="BQ192" s="74">
        <v>2</v>
      </c>
      <c r="BR192" s="28">
        <f>IFERROR((STL_H107[[#This Row],[H]]-STL_H107[[#This Row],[2B]]-STL_H107[[#This Row],[3B]]-STL_H107[[#This Row],[HR]])+(STL_H107[[#This Row],[2B]]*2)+(STL_H107[[#This Row],[3B]]*3)+(STL_H107[[#This Row],[HR]]*4),0)</f>
        <v>19</v>
      </c>
      <c r="BS192" s="72">
        <f>IFERROR(STL_H107[[#This Row],[OBP]]+STL_H107[[#This Row],[SLG]],0)</f>
        <v>0.99892241379310343</v>
      </c>
      <c r="BT192" s="74">
        <v>2</v>
      </c>
      <c r="BU192" s="615">
        <v>2</v>
      </c>
    </row>
    <row r="193" spans="1:73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Z193" s="651" t="s">
        <v>990</v>
      </c>
      <c r="AA193" s="71" t="s">
        <v>172</v>
      </c>
      <c r="AB193" s="71" t="s">
        <v>999</v>
      </c>
      <c r="AC193" s="72">
        <f>IFERROR(CHC_C83[[#This Row],[H]]/CHC_C83[[#This Row],[AB]],0)</f>
        <v>0.42857142857142855</v>
      </c>
      <c r="AD193" s="72">
        <f>IFERROR((CHC_C83[[#This Row],[H]]+CHC_C83[[#This Row],[BB]])/(CHC_C83[[#This Row],[BB]]+CHC_C83[[#This Row],[AB]]),0)</f>
        <v>0.42857142857142855</v>
      </c>
      <c r="AE193" s="73">
        <f>IFERROR(((CHC_C83[[#This Row],[H]]-CHC_C83[[#This Row],[2B]]-CHC_C83[[#This Row],[3B]]-CHC_C83[[#This Row],[HR]])+(CHC_C83[[#This Row],[2B]]*2)+(CHC_C83[[#This Row],[3B]]*3)+(CHC_C83[[#This Row],[HR]]*4))/CHC_C83[[#This Row],[AB]],0)</f>
        <v>0.42857142857142855</v>
      </c>
      <c r="AF193" s="28">
        <v>2</v>
      </c>
      <c r="AG193" s="28">
        <v>7</v>
      </c>
      <c r="AH193" s="28">
        <v>1</v>
      </c>
      <c r="AI193" s="28">
        <v>3</v>
      </c>
      <c r="AJ193" s="28">
        <v>0</v>
      </c>
      <c r="AK193" s="28">
        <v>0</v>
      </c>
      <c r="AL193" s="28">
        <v>0</v>
      </c>
      <c r="AM193" s="28">
        <v>1</v>
      </c>
      <c r="AN193" s="28">
        <v>0</v>
      </c>
      <c r="AO193" s="74">
        <v>0</v>
      </c>
      <c r="AP193" s="28">
        <v>0</v>
      </c>
      <c r="AQ193" s="28">
        <v>2</v>
      </c>
      <c r="AR193" s="74">
        <v>2</v>
      </c>
      <c r="AS193" s="28">
        <f>IFERROR((CHC_C83[[#This Row],[H]]-CHC_C83[[#This Row],[2B]]-CHC_C83[[#This Row],[3B]]-CHC_C83[[#This Row],[HR]])+(CHC_C83[[#This Row],[2B]]*2)+(CHC_C83[[#This Row],[3B]]*3)+(CHC_C83[[#This Row],[HR]]*4),0)</f>
        <v>3</v>
      </c>
      <c r="AT193" s="72">
        <f>CHC_C83[[#This Row],[OBP]]+CHC_C83[[#This Row],[SLG]]</f>
        <v>0.8571428571428571</v>
      </c>
      <c r="AU193" s="74">
        <v>0</v>
      </c>
      <c r="AV193" s="615">
        <v>3</v>
      </c>
      <c r="AY193" s="651" t="s">
        <v>952</v>
      </c>
      <c r="AZ193" s="74" t="s">
        <v>172</v>
      </c>
      <c r="BA193" s="71" t="s">
        <v>963</v>
      </c>
      <c r="BB193" s="72">
        <f>IFERROR(STL_H107[[#This Row],[H]]/STL_H107[[#This Row],[AB]],0)</f>
        <v>0.13636363636363635</v>
      </c>
      <c r="BC193" s="72">
        <f>IFERROR((STL_H107[[#This Row],[BB]]+STL_H107[[#This Row],[H]])/(STL_H107[[#This Row],[BB]]+STL_H107[[#This Row],[AB]]),0)</f>
        <v>0.20833333333333334</v>
      </c>
      <c r="BD193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0.13636363636363635</v>
      </c>
      <c r="BE193" s="28">
        <v>7</v>
      </c>
      <c r="BF193" s="28">
        <v>22</v>
      </c>
      <c r="BG193" s="28">
        <v>1</v>
      </c>
      <c r="BH193" s="28">
        <v>3</v>
      </c>
      <c r="BI193" s="28">
        <v>0</v>
      </c>
      <c r="BJ193" s="28">
        <v>0</v>
      </c>
      <c r="BK193" s="28">
        <v>0</v>
      </c>
      <c r="BL193" s="28">
        <v>1</v>
      </c>
      <c r="BM193" s="28">
        <v>2</v>
      </c>
      <c r="BN193" s="74">
        <v>3</v>
      </c>
      <c r="BO193" s="28">
        <v>0</v>
      </c>
      <c r="BP193" s="28">
        <v>0</v>
      </c>
      <c r="BQ193" s="74">
        <v>2</v>
      </c>
      <c r="BR193" s="28">
        <f>IFERROR((STL_H107[[#This Row],[H]]-STL_H107[[#This Row],[2B]]-STL_H107[[#This Row],[3B]]-STL_H107[[#This Row],[HR]])+(STL_H107[[#This Row],[2B]]*2)+(STL_H107[[#This Row],[3B]]*3)+(STL_H107[[#This Row],[HR]]*4),0)</f>
        <v>3</v>
      </c>
      <c r="BS193" s="72">
        <f>IFERROR(STL_H107[[#This Row],[OBP]]+STL_H107[[#This Row],[SLG]],0)</f>
        <v>0.34469696969696972</v>
      </c>
      <c r="BT193" s="74">
        <v>0</v>
      </c>
      <c r="BU193" s="615">
        <v>3</v>
      </c>
    </row>
    <row r="194" spans="1:73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Z194" s="651" t="s">
        <v>990</v>
      </c>
      <c r="AA194" s="71" t="s">
        <v>153</v>
      </c>
      <c r="AB194" s="71" t="s">
        <v>995</v>
      </c>
      <c r="AC194" s="72">
        <f>IFERROR(CHC_C83[[#This Row],[H]]/CHC_C83[[#This Row],[AB]],0)</f>
        <v>0.625</v>
      </c>
      <c r="AD194" s="72">
        <f>IFERROR((CHC_C83[[#This Row],[H]]+CHC_C83[[#This Row],[BB]])/(CHC_C83[[#This Row],[BB]]+CHC_C83[[#This Row],[AB]]),0)</f>
        <v>0.66666666666666663</v>
      </c>
      <c r="AE194" s="73">
        <f>IFERROR(((CHC_C83[[#This Row],[H]]-CHC_C83[[#This Row],[2B]]-CHC_C83[[#This Row],[3B]]-CHC_C83[[#This Row],[HR]])+(CHC_C83[[#This Row],[2B]]*2)+(CHC_C83[[#This Row],[3B]]*3)+(CHC_C83[[#This Row],[HR]]*4))/CHC_C83[[#This Row],[AB]],0)</f>
        <v>0.875</v>
      </c>
      <c r="AF194" s="28">
        <v>2</v>
      </c>
      <c r="AG194" s="28">
        <v>8</v>
      </c>
      <c r="AH194" s="28">
        <v>0</v>
      </c>
      <c r="AI194" s="28">
        <v>5</v>
      </c>
      <c r="AJ194" s="28">
        <v>0</v>
      </c>
      <c r="AK194" s="28">
        <v>1</v>
      </c>
      <c r="AL194" s="28">
        <v>0</v>
      </c>
      <c r="AM194" s="28">
        <v>2</v>
      </c>
      <c r="AN194" s="28">
        <v>1</v>
      </c>
      <c r="AO194" s="74">
        <v>0</v>
      </c>
      <c r="AP194" s="28">
        <v>1</v>
      </c>
      <c r="AQ194" s="28">
        <v>2</v>
      </c>
      <c r="AR194" s="74">
        <v>2</v>
      </c>
      <c r="AS194" s="28">
        <f>IFERROR((CHC_C83[[#This Row],[H]]-CHC_C83[[#This Row],[2B]]-CHC_C83[[#This Row],[3B]]-CHC_C83[[#This Row],[HR]])+(CHC_C83[[#This Row],[2B]]*2)+(CHC_C83[[#This Row],[3B]]*3)+(CHC_C83[[#This Row],[HR]]*4),0)</f>
        <v>7</v>
      </c>
      <c r="AT194" s="72">
        <f>CHC_C83[[#This Row],[OBP]]+CHC_C83[[#This Row],[SLG]]</f>
        <v>1.5416666666666665</v>
      </c>
      <c r="AU194" s="74">
        <v>0</v>
      </c>
      <c r="AV194" s="615">
        <v>4</v>
      </c>
      <c r="AY194" s="651" t="s">
        <v>952</v>
      </c>
      <c r="AZ194" s="74" t="s">
        <v>153</v>
      </c>
      <c r="BA194" s="71" t="s">
        <v>959</v>
      </c>
      <c r="BB194" s="72">
        <f>IFERROR(STL_H107[[#This Row],[H]]/STL_H107[[#This Row],[AB]],0)</f>
        <v>0.19230769230769232</v>
      </c>
      <c r="BC194" s="72">
        <f>IFERROR((STL_H107[[#This Row],[BB]]+STL_H107[[#This Row],[H]])/(STL_H107[[#This Row],[BB]]+STL_H107[[#This Row],[AB]]),0)</f>
        <v>0.27586206896551724</v>
      </c>
      <c r="BD194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0.23076923076923078</v>
      </c>
      <c r="BE194" s="28">
        <v>6</v>
      </c>
      <c r="BF194" s="28">
        <v>26</v>
      </c>
      <c r="BG194" s="28">
        <v>2</v>
      </c>
      <c r="BH194" s="28">
        <v>5</v>
      </c>
      <c r="BI194" s="28">
        <v>1</v>
      </c>
      <c r="BJ194" s="28">
        <v>0</v>
      </c>
      <c r="BK194" s="28">
        <v>0</v>
      </c>
      <c r="BL194" s="28">
        <v>2</v>
      </c>
      <c r="BM194" s="28">
        <v>3</v>
      </c>
      <c r="BN194" s="74">
        <v>6</v>
      </c>
      <c r="BO194" s="28">
        <v>0</v>
      </c>
      <c r="BP194" s="28">
        <v>1</v>
      </c>
      <c r="BQ194" s="74">
        <v>3</v>
      </c>
      <c r="BR194" s="28">
        <f>IFERROR((STL_H107[[#This Row],[H]]-STL_H107[[#This Row],[2B]]-STL_H107[[#This Row],[3B]]-STL_H107[[#This Row],[HR]])+(STL_H107[[#This Row],[2B]]*2)+(STL_H107[[#This Row],[3B]]*3)+(STL_H107[[#This Row],[HR]]*4),0)</f>
        <v>6</v>
      </c>
      <c r="BS194" s="72">
        <f>IFERROR(STL_H107[[#This Row],[OBP]]+STL_H107[[#This Row],[SLG]],0)</f>
        <v>0.50663129973474796</v>
      </c>
      <c r="BT194" s="74">
        <v>0</v>
      </c>
      <c r="BU194" s="615">
        <v>4</v>
      </c>
    </row>
    <row r="195" spans="1:73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Z195" s="651" t="s">
        <v>990</v>
      </c>
      <c r="AA195" s="71" t="s">
        <v>177</v>
      </c>
      <c r="AB195" s="71" t="s">
        <v>991</v>
      </c>
      <c r="AC195" s="72">
        <f>IFERROR(CHC_C83[[#This Row],[H]]/CHC_C83[[#This Row],[AB]],0)</f>
        <v>0</v>
      </c>
      <c r="AD195" s="72">
        <f>IFERROR((CHC_C83[[#This Row],[H]]+CHC_C83[[#This Row],[BB]])/(CHC_C83[[#This Row],[BB]]+CHC_C83[[#This Row],[AB]]),0)</f>
        <v>0</v>
      </c>
      <c r="AE195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195" s="28">
        <v>2</v>
      </c>
      <c r="AG195" s="28">
        <v>8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74">
        <v>4</v>
      </c>
      <c r="AP195" s="28">
        <v>0</v>
      </c>
      <c r="AQ195" s="28">
        <v>0</v>
      </c>
      <c r="AR195" s="74">
        <v>0</v>
      </c>
      <c r="AS195" s="28">
        <f>IFERROR((CHC_C83[[#This Row],[H]]-CHC_C83[[#This Row],[2B]]-CHC_C83[[#This Row],[3B]]-CHC_C83[[#This Row],[HR]])+(CHC_C83[[#This Row],[2B]]*2)+(CHC_C83[[#This Row],[3B]]*3)+(CHC_C83[[#This Row],[HR]]*4),0)</f>
        <v>0</v>
      </c>
      <c r="AT195" s="72">
        <f>CHC_C83[[#This Row],[OBP]]+CHC_C83[[#This Row],[SLG]]</f>
        <v>0</v>
      </c>
      <c r="AU195" s="74">
        <v>0</v>
      </c>
      <c r="AV195" s="615">
        <v>5</v>
      </c>
      <c r="AY195" s="651" t="s">
        <v>952</v>
      </c>
      <c r="AZ195" s="74" t="s">
        <v>177</v>
      </c>
      <c r="BA195" s="71" t="s">
        <v>957</v>
      </c>
      <c r="BB195" s="72">
        <f>IFERROR(STL_H107[[#This Row],[H]]/STL_H107[[#This Row],[AB]],0)</f>
        <v>0.2413793103448276</v>
      </c>
      <c r="BC195" s="72">
        <f>IFERROR((STL_H107[[#This Row],[BB]]+STL_H107[[#This Row],[H]])/(STL_H107[[#This Row],[BB]]+STL_H107[[#This Row],[AB]]),0)</f>
        <v>0.33333333333333331</v>
      </c>
      <c r="BD195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0.37931034482758619</v>
      </c>
      <c r="BE195" s="28">
        <v>7</v>
      </c>
      <c r="BF195" s="28">
        <v>29</v>
      </c>
      <c r="BG195" s="28">
        <v>5</v>
      </c>
      <c r="BH195" s="28">
        <v>7</v>
      </c>
      <c r="BI195" s="28">
        <v>1</v>
      </c>
      <c r="BJ195" s="28">
        <v>0</v>
      </c>
      <c r="BK195" s="28">
        <v>1</v>
      </c>
      <c r="BL195" s="28">
        <v>1</v>
      </c>
      <c r="BM195" s="28">
        <v>4</v>
      </c>
      <c r="BN195" s="74">
        <v>10</v>
      </c>
      <c r="BO195" s="28">
        <v>0</v>
      </c>
      <c r="BP195" s="28">
        <v>1</v>
      </c>
      <c r="BQ195" s="74">
        <v>2</v>
      </c>
      <c r="BR195" s="28">
        <f>IFERROR((STL_H107[[#This Row],[H]]-STL_H107[[#This Row],[2B]]-STL_H107[[#This Row],[3B]]-STL_H107[[#This Row],[HR]])+(STL_H107[[#This Row],[2B]]*2)+(STL_H107[[#This Row],[3B]]*3)+(STL_H107[[#This Row],[HR]]*4),0)</f>
        <v>11</v>
      </c>
      <c r="BS195" s="72">
        <f>IFERROR(STL_H107[[#This Row],[OBP]]+STL_H107[[#This Row],[SLG]],0)</f>
        <v>0.71264367816091956</v>
      </c>
      <c r="BT195" s="74">
        <v>0</v>
      </c>
      <c r="BU195" s="615">
        <v>5</v>
      </c>
    </row>
    <row r="196" spans="1:73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Z196" s="651" t="s">
        <v>990</v>
      </c>
      <c r="AA196" s="71" t="s">
        <v>174</v>
      </c>
      <c r="AB196" s="71" t="s">
        <v>996</v>
      </c>
      <c r="AC196" s="72">
        <f>IFERROR(CHC_C83[[#This Row],[H]]/CHC_C83[[#This Row],[AB]],0)</f>
        <v>0.25</v>
      </c>
      <c r="AD196" s="72">
        <f>IFERROR((CHC_C83[[#This Row],[H]]+CHC_C83[[#This Row],[BB]])/(CHC_C83[[#This Row],[BB]]+CHC_C83[[#This Row],[AB]]),0)</f>
        <v>0.25</v>
      </c>
      <c r="AE196" s="73">
        <f>IFERROR(((CHC_C83[[#This Row],[H]]-CHC_C83[[#This Row],[2B]]-CHC_C83[[#This Row],[3B]]-CHC_C83[[#This Row],[HR]])+(CHC_C83[[#This Row],[2B]]*2)+(CHC_C83[[#This Row],[3B]]*3)+(CHC_C83[[#This Row],[HR]]*4))/CHC_C83[[#This Row],[AB]],0)</f>
        <v>0.25</v>
      </c>
      <c r="AF196" s="28">
        <v>2</v>
      </c>
      <c r="AG196" s="28">
        <v>8</v>
      </c>
      <c r="AH196" s="28">
        <v>0</v>
      </c>
      <c r="AI196" s="28">
        <v>2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74">
        <v>3</v>
      </c>
      <c r="AP196" s="28">
        <v>0</v>
      </c>
      <c r="AQ196" s="28">
        <v>2</v>
      </c>
      <c r="AR196" s="74">
        <v>2</v>
      </c>
      <c r="AS196" s="28">
        <f>IFERROR((CHC_C83[[#This Row],[H]]-CHC_C83[[#This Row],[2B]]-CHC_C83[[#This Row],[3B]]-CHC_C83[[#This Row],[HR]])+(CHC_C83[[#This Row],[2B]]*2)+(CHC_C83[[#This Row],[3B]]*3)+(CHC_C83[[#This Row],[HR]]*4),0)</f>
        <v>2</v>
      </c>
      <c r="AT196" s="72">
        <f>CHC_C83[[#This Row],[OBP]]+CHC_C83[[#This Row],[SLG]]</f>
        <v>0.5</v>
      </c>
      <c r="AU196" s="74">
        <v>0</v>
      </c>
      <c r="AV196" s="615">
        <v>6</v>
      </c>
      <c r="AY196" s="651" t="s">
        <v>952</v>
      </c>
      <c r="AZ196" s="74" t="s">
        <v>174</v>
      </c>
      <c r="BA196" s="71" t="s">
        <v>955</v>
      </c>
      <c r="BB196" s="72">
        <f>IFERROR(STL_H107[[#This Row],[H]]/STL_H107[[#This Row],[AB]],0)</f>
        <v>0.26923076923076922</v>
      </c>
      <c r="BC196" s="72">
        <f>IFERROR((STL_H107[[#This Row],[BB]]+STL_H107[[#This Row],[H]])/(STL_H107[[#This Row],[BB]]+STL_H107[[#This Row],[AB]]),0)</f>
        <v>0.34482758620689657</v>
      </c>
      <c r="BD196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0.42307692307692307</v>
      </c>
      <c r="BE196" s="28">
        <v>7</v>
      </c>
      <c r="BF196" s="28">
        <v>26</v>
      </c>
      <c r="BG196" s="28">
        <v>2</v>
      </c>
      <c r="BH196" s="28">
        <v>7</v>
      </c>
      <c r="BI196" s="28">
        <v>1</v>
      </c>
      <c r="BJ196" s="28">
        <v>0</v>
      </c>
      <c r="BK196" s="28">
        <v>1</v>
      </c>
      <c r="BL196" s="28">
        <v>3</v>
      </c>
      <c r="BM196" s="28">
        <v>3</v>
      </c>
      <c r="BN196" s="74">
        <v>8</v>
      </c>
      <c r="BO196" s="28">
        <v>0</v>
      </c>
      <c r="BP196" s="28">
        <v>2</v>
      </c>
      <c r="BQ196" s="74">
        <v>4</v>
      </c>
      <c r="BR196" s="28">
        <f>IFERROR((STL_H107[[#This Row],[H]]-STL_H107[[#This Row],[2B]]-STL_H107[[#This Row],[3B]]-STL_H107[[#This Row],[HR]])+(STL_H107[[#This Row],[2B]]*2)+(STL_H107[[#This Row],[3B]]*3)+(STL_H107[[#This Row],[HR]]*4),0)</f>
        <v>11</v>
      </c>
      <c r="BS196" s="72">
        <f>IFERROR(STL_H107[[#This Row],[OBP]]+STL_H107[[#This Row],[SLG]],0)</f>
        <v>0.7679045092838197</v>
      </c>
      <c r="BT196" s="74">
        <v>0</v>
      </c>
      <c r="BU196" s="615">
        <v>6</v>
      </c>
    </row>
    <row r="197" spans="1:73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Z197" s="651" t="s">
        <v>990</v>
      </c>
      <c r="AA197" s="71" t="s">
        <v>181</v>
      </c>
      <c r="AB197" s="71" t="s">
        <v>993</v>
      </c>
      <c r="AC197" s="72">
        <f>IFERROR(CHC_C83[[#This Row],[H]]/CHC_C83[[#This Row],[AB]],0)</f>
        <v>0.1111111111111111</v>
      </c>
      <c r="AD197" s="72">
        <f>IFERROR((CHC_C83[[#This Row],[H]]+CHC_C83[[#This Row],[BB]])/(CHC_C83[[#This Row],[BB]]+CHC_C83[[#This Row],[AB]]),0)</f>
        <v>0.1111111111111111</v>
      </c>
      <c r="AE197" s="73">
        <f>IFERROR(((CHC_C83[[#This Row],[H]]-CHC_C83[[#This Row],[2B]]-CHC_C83[[#This Row],[3B]]-CHC_C83[[#This Row],[HR]])+(CHC_C83[[#This Row],[2B]]*2)+(CHC_C83[[#This Row],[3B]]*3)+(CHC_C83[[#This Row],[HR]]*4))/CHC_C83[[#This Row],[AB]],0)</f>
        <v>0.22222222222222221</v>
      </c>
      <c r="AF197" s="28">
        <v>2</v>
      </c>
      <c r="AG197" s="28">
        <v>9</v>
      </c>
      <c r="AH197" s="28">
        <v>0</v>
      </c>
      <c r="AI197" s="28">
        <v>1</v>
      </c>
      <c r="AJ197" s="28">
        <v>1</v>
      </c>
      <c r="AK197" s="28">
        <v>0</v>
      </c>
      <c r="AL197" s="28">
        <v>0</v>
      </c>
      <c r="AM197" s="28">
        <v>0</v>
      </c>
      <c r="AN197" s="28">
        <v>0</v>
      </c>
      <c r="AO197" s="74">
        <v>1</v>
      </c>
      <c r="AP197" s="28">
        <v>0</v>
      </c>
      <c r="AQ197" s="28">
        <v>1</v>
      </c>
      <c r="AR197" s="74">
        <v>1</v>
      </c>
      <c r="AS197" s="28">
        <f>IFERROR((CHC_C83[[#This Row],[H]]-CHC_C83[[#This Row],[2B]]-CHC_C83[[#This Row],[3B]]-CHC_C83[[#This Row],[HR]])+(CHC_C83[[#This Row],[2B]]*2)+(CHC_C83[[#This Row],[3B]]*3)+(CHC_C83[[#This Row],[HR]]*4),0)</f>
        <v>2</v>
      </c>
      <c r="AT197" s="72">
        <f>CHC_C83[[#This Row],[OBP]]+CHC_C83[[#This Row],[SLG]]</f>
        <v>0.33333333333333331</v>
      </c>
      <c r="AU197" s="74">
        <v>0</v>
      </c>
      <c r="AV197" s="615">
        <v>7</v>
      </c>
      <c r="AY197" s="651" t="s">
        <v>952</v>
      </c>
      <c r="AZ197" s="74" t="s">
        <v>181</v>
      </c>
      <c r="BA197" s="71" t="s">
        <v>189</v>
      </c>
      <c r="BB197" s="72">
        <f>IFERROR(STL_H107[[#This Row],[H]]/STL_H107[[#This Row],[AB]],0)</f>
        <v>0.28000000000000003</v>
      </c>
      <c r="BC197" s="72">
        <f>IFERROR((STL_H107[[#This Row],[BB]]+STL_H107[[#This Row],[H]])/(STL_H107[[#This Row],[BB]]+STL_H107[[#This Row],[AB]]),0)</f>
        <v>0.35714285714285715</v>
      </c>
      <c r="BD197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0.28000000000000003</v>
      </c>
      <c r="BE197" s="28">
        <v>7</v>
      </c>
      <c r="BF197" s="28">
        <v>25</v>
      </c>
      <c r="BG197" s="28">
        <v>1</v>
      </c>
      <c r="BH197" s="28">
        <v>7</v>
      </c>
      <c r="BI197" s="28">
        <v>0</v>
      </c>
      <c r="BJ197" s="28">
        <v>0</v>
      </c>
      <c r="BK197" s="28">
        <v>0</v>
      </c>
      <c r="BL197" s="28">
        <v>2</v>
      </c>
      <c r="BM197" s="28">
        <v>3</v>
      </c>
      <c r="BN197" s="74">
        <v>6</v>
      </c>
      <c r="BO197" s="28">
        <v>0</v>
      </c>
      <c r="BP197" s="28">
        <v>2</v>
      </c>
      <c r="BQ197" s="74">
        <v>2</v>
      </c>
      <c r="BR197" s="28">
        <f>IFERROR((STL_H107[[#This Row],[H]]-STL_H107[[#This Row],[2B]]-STL_H107[[#This Row],[3B]]-STL_H107[[#This Row],[HR]])+(STL_H107[[#This Row],[2B]]*2)+(STL_H107[[#This Row],[3B]]*3)+(STL_H107[[#This Row],[HR]]*4),0)</f>
        <v>7</v>
      </c>
      <c r="BS197" s="72">
        <f>IFERROR(STL_H107[[#This Row],[OBP]]+STL_H107[[#This Row],[SLG]],0)</f>
        <v>0.63714285714285723</v>
      </c>
      <c r="BT197" s="74">
        <v>0</v>
      </c>
      <c r="BU197" s="615">
        <v>7</v>
      </c>
    </row>
    <row r="198" spans="1:73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Z198" s="651" t="s">
        <v>990</v>
      </c>
      <c r="AA198" s="71" t="s">
        <v>166</v>
      </c>
      <c r="AB198" s="71" t="s">
        <v>994</v>
      </c>
      <c r="AC198" s="72">
        <f>IFERROR(CHC_C83[[#This Row],[H]]/CHC_C83[[#This Row],[AB]],0)</f>
        <v>0.16666666666666666</v>
      </c>
      <c r="AD198" s="72">
        <f>IFERROR((CHC_C83[[#This Row],[H]]+CHC_C83[[#This Row],[BB]])/(CHC_C83[[#This Row],[BB]]+CHC_C83[[#This Row],[AB]]),0)</f>
        <v>0.2857142857142857</v>
      </c>
      <c r="AE198" s="73">
        <f>IFERROR(((CHC_C83[[#This Row],[H]]-CHC_C83[[#This Row],[2B]]-CHC_C83[[#This Row],[3B]]-CHC_C83[[#This Row],[HR]])+(CHC_C83[[#This Row],[2B]]*2)+(CHC_C83[[#This Row],[3B]]*3)+(CHC_C83[[#This Row],[HR]]*4))/CHC_C83[[#This Row],[AB]],0)</f>
        <v>0.16666666666666666</v>
      </c>
      <c r="AF198" s="28">
        <v>2</v>
      </c>
      <c r="AG198" s="28">
        <v>6</v>
      </c>
      <c r="AH198" s="28">
        <v>1</v>
      </c>
      <c r="AI198" s="28">
        <v>1</v>
      </c>
      <c r="AJ198" s="28">
        <v>0</v>
      </c>
      <c r="AK198" s="28">
        <v>0</v>
      </c>
      <c r="AL198" s="28">
        <v>0</v>
      </c>
      <c r="AM198" s="28">
        <v>0</v>
      </c>
      <c r="AN198" s="28">
        <v>1</v>
      </c>
      <c r="AO198" s="74">
        <v>2</v>
      </c>
      <c r="AP198" s="28">
        <v>0</v>
      </c>
      <c r="AQ198" s="28">
        <v>0</v>
      </c>
      <c r="AR198" s="74">
        <v>1</v>
      </c>
      <c r="AS198" s="28">
        <f>IFERROR((CHC_C83[[#This Row],[H]]-CHC_C83[[#This Row],[2B]]-CHC_C83[[#This Row],[3B]]-CHC_C83[[#This Row],[HR]])+(CHC_C83[[#This Row],[2B]]*2)+(CHC_C83[[#This Row],[3B]]*3)+(CHC_C83[[#This Row],[HR]]*4),0)</f>
        <v>1</v>
      </c>
      <c r="AT198" s="72">
        <f>CHC_C83[[#This Row],[OBP]]+CHC_C83[[#This Row],[SLG]]</f>
        <v>0.45238095238095233</v>
      </c>
      <c r="AU198" s="74">
        <v>0</v>
      </c>
      <c r="AV198" s="615">
        <v>8</v>
      </c>
      <c r="AY198" s="651" t="s">
        <v>952</v>
      </c>
      <c r="AZ198" s="74" t="s">
        <v>166</v>
      </c>
      <c r="BA198" s="71" t="s">
        <v>960</v>
      </c>
      <c r="BB198" s="72">
        <f>IFERROR(STL_H107[[#This Row],[H]]/STL_H107[[#This Row],[AB]],0)</f>
        <v>0.32142857142857145</v>
      </c>
      <c r="BC198" s="72">
        <f>IFERROR((STL_H107[[#This Row],[BB]]+STL_H107[[#This Row],[H]])/(STL_H107[[#This Row],[BB]]+STL_H107[[#This Row],[AB]]),0)</f>
        <v>0.34482758620689657</v>
      </c>
      <c r="BD198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0.8214285714285714</v>
      </c>
      <c r="BE198" s="28">
        <v>7</v>
      </c>
      <c r="BF198" s="28">
        <v>28</v>
      </c>
      <c r="BG198" s="28">
        <v>5</v>
      </c>
      <c r="BH198" s="28">
        <v>9</v>
      </c>
      <c r="BI198" s="28">
        <v>2</v>
      </c>
      <c r="BJ198" s="28">
        <v>0</v>
      </c>
      <c r="BK198" s="28">
        <v>4</v>
      </c>
      <c r="BL198" s="28">
        <v>8</v>
      </c>
      <c r="BM198" s="28">
        <v>1</v>
      </c>
      <c r="BN198" s="74">
        <v>9</v>
      </c>
      <c r="BO198" s="28">
        <v>0</v>
      </c>
      <c r="BP198" s="28">
        <v>1</v>
      </c>
      <c r="BQ198" s="74">
        <v>3</v>
      </c>
      <c r="BR198" s="28">
        <f>IFERROR((STL_H107[[#This Row],[H]]-STL_H107[[#This Row],[2B]]-STL_H107[[#This Row],[3B]]-STL_H107[[#This Row],[HR]])+(STL_H107[[#This Row],[2B]]*2)+(STL_H107[[#This Row],[3B]]*3)+(STL_H107[[#This Row],[HR]]*4),0)</f>
        <v>23</v>
      </c>
      <c r="BS198" s="72">
        <f>IFERROR(STL_H107[[#This Row],[OBP]]+STL_H107[[#This Row],[SLG]],0)</f>
        <v>1.166256157635468</v>
      </c>
      <c r="BT198" s="74">
        <v>0</v>
      </c>
      <c r="BU198" s="615">
        <v>8</v>
      </c>
    </row>
    <row r="199" spans="1:73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Z199" s="651" t="s">
        <v>990</v>
      </c>
      <c r="AA199" s="71" t="s">
        <v>168</v>
      </c>
      <c r="AB199" s="71" t="s">
        <v>992</v>
      </c>
      <c r="AC199" s="72">
        <f>IFERROR(CHC_C83[[#This Row],[H]]/CHC_C83[[#This Row],[AB]],0)</f>
        <v>0</v>
      </c>
      <c r="AD199" s="72">
        <f>IFERROR((CHC_C83[[#This Row],[H]]+CHC_C83[[#This Row],[BB]])/(CHC_C83[[#This Row],[BB]]+CHC_C83[[#This Row],[AB]]),0)</f>
        <v>0</v>
      </c>
      <c r="AE199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199" s="28">
        <v>2</v>
      </c>
      <c r="AG199" s="28">
        <v>8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74">
        <v>3</v>
      </c>
      <c r="AP199" s="28">
        <v>0</v>
      </c>
      <c r="AQ199" s="28">
        <v>0</v>
      </c>
      <c r="AR199" s="74">
        <v>0</v>
      </c>
      <c r="AS199" s="28">
        <f>IFERROR((CHC_C83[[#This Row],[H]]-CHC_C83[[#This Row],[2B]]-CHC_C83[[#This Row],[3B]]-CHC_C83[[#This Row],[HR]])+(CHC_C83[[#This Row],[2B]]*2)+(CHC_C83[[#This Row],[3B]]*3)+(CHC_C83[[#This Row],[HR]]*4),0)</f>
        <v>0</v>
      </c>
      <c r="AT199" s="72">
        <f>CHC_C83[[#This Row],[OBP]]+CHC_C83[[#This Row],[SLG]]</f>
        <v>0</v>
      </c>
      <c r="AU199" s="74">
        <v>0</v>
      </c>
      <c r="AV199" s="615">
        <v>9</v>
      </c>
      <c r="AY199" s="651" t="s">
        <v>952</v>
      </c>
      <c r="AZ199" s="104" t="s">
        <v>168</v>
      </c>
      <c r="BA199" s="71" t="s">
        <v>724</v>
      </c>
      <c r="BB199" s="72">
        <f>IFERROR(STL_H107[[#This Row],[H]]/STL_H107[[#This Row],[AB]],0)</f>
        <v>0.25</v>
      </c>
      <c r="BC199" s="72">
        <f>IFERROR((STL_H107[[#This Row],[BB]]+STL_H107[[#This Row],[H]])/(STL_H107[[#This Row],[BB]]+STL_H107[[#This Row],[AB]]),0)</f>
        <v>0.34375</v>
      </c>
      <c r="BD199" s="770">
        <f>IFERROR(((STL_H107[[#This Row],[H]]-STL_H107[[#This Row],[2B]]-STL_H107[[#This Row],[3B]]-STL_H107[[#This Row],[HR]])+(STL_H107[[#This Row],[2B]]*2)+(STL_H107[[#This Row],[3B]]*3)+(STL_H107[[#This Row],[HR]]*4))/STL_H107[[#This Row],[AB]],0)</f>
        <v>0.8571428571428571</v>
      </c>
      <c r="BE199" s="28">
        <v>7</v>
      </c>
      <c r="BF199" s="28">
        <v>28</v>
      </c>
      <c r="BG199" s="28">
        <v>7</v>
      </c>
      <c r="BH199" s="28">
        <v>7</v>
      </c>
      <c r="BI199" s="28">
        <v>2</v>
      </c>
      <c r="BJ199" s="28">
        <v>0</v>
      </c>
      <c r="BK199" s="28">
        <v>5</v>
      </c>
      <c r="BL199" s="28">
        <v>9</v>
      </c>
      <c r="BM199" s="28">
        <v>4</v>
      </c>
      <c r="BN199" s="74">
        <v>6</v>
      </c>
      <c r="BO199" s="28">
        <v>0</v>
      </c>
      <c r="BP199" s="28">
        <v>0</v>
      </c>
      <c r="BQ199" s="74">
        <v>1</v>
      </c>
      <c r="BR199" s="28">
        <f>IFERROR((STL_H107[[#This Row],[H]]-STL_H107[[#This Row],[2B]]-STL_H107[[#This Row],[3B]]-STL_H107[[#This Row],[HR]])+(STL_H107[[#This Row],[2B]]*2)+(STL_H107[[#This Row],[3B]]*3)+(STL_H107[[#This Row],[HR]]*4),0)</f>
        <v>24</v>
      </c>
      <c r="BS199" s="594">
        <f>IFERROR(STL_H107[[#This Row],[OBP]]+STL_H107[[#This Row],[SLG]],0)</f>
        <v>1.2008928571428572</v>
      </c>
      <c r="BT199" s="74">
        <v>1</v>
      </c>
      <c r="BU199" s="615">
        <v>9</v>
      </c>
    </row>
    <row r="200" spans="1:73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Z200" s="651" t="s">
        <v>990</v>
      </c>
      <c r="AA200" s="71" t="s">
        <v>179</v>
      </c>
      <c r="AB200" s="71" t="s">
        <v>1004</v>
      </c>
      <c r="AC200" s="72">
        <f>IFERROR(CHC_C83[[#This Row],[H]]/CHC_C83[[#This Row],[AB]],0)</f>
        <v>0</v>
      </c>
      <c r="AD200" s="72">
        <f>IFERROR((CHC_C83[[#This Row],[H]]+CHC_C83[[#This Row],[BB]])/(CHC_C83[[#This Row],[BB]]+CHC_C83[[#This Row],[AB]]),0)</f>
        <v>0</v>
      </c>
      <c r="AE200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74">
        <v>0</v>
      </c>
      <c r="AP200" s="28">
        <v>0</v>
      </c>
      <c r="AQ200" s="28">
        <v>0</v>
      </c>
      <c r="AR200" s="74">
        <v>0</v>
      </c>
      <c r="AS200" s="28">
        <f>IFERROR((CHC_C83[[#This Row],[H]]-CHC_C83[[#This Row],[2B]]-CHC_C83[[#This Row],[3B]]-CHC_C83[[#This Row],[HR]])+(CHC_C83[[#This Row],[2B]]*2)+(CHC_C83[[#This Row],[3B]]*3)+(CHC_C83[[#This Row],[HR]]*4),0)</f>
        <v>0</v>
      </c>
      <c r="AT200" s="72">
        <f>CHC_C83[[#This Row],[OBP]]+CHC_C83[[#This Row],[SLG]]</f>
        <v>0</v>
      </c>
      <c r="AU200" s="74">
        <v>0</v>
      </c>
      <c r="AV200" s="615">
        <v>10</v>
      </c>
      <c r="AY200" s="651" t="s">
        <v>952</v>
      </c>
      <c r="AZ200" s="74" t="s">
        <v>179</v>
      </c>
      <c r="BA200" s="71" t="s">
        <v>968</v>
      </c>
      <c r="BB200" s="72">
        <f>IFERROR(STL_H107[[#This Row],[H]]/STL_H107[[#This Row],[AB]],0)</f>
        <v>0</v>
      </c>
      <c r="BC200" s="72">
        <f>IFERROR((STL_H107[[#This Row],[BB]]+STL_H107[[#This Row],[H]])/(STL_H107[[#This Row],[BB]]+STL_H107[[#This Row],[AB]]),0)</f>
        <v>0</v>
      </c>
      <c r="BD200" s="73">
        <f>IFERROR(((STL_H107[[#This Row],[H]]-STL_H107[[#This Row],[2B]]-STL_H107[[#This Row],[3B]]-STL_H107[[#This Row],[HR]])+(STL_H107[[#This Row],[2B]]*2)+(STL_H107[[#This Row],[3B]]*3)+(STL_H107[[#This Row],[HR]]*4))/STL_H107[[#This Row],[AB]],0)</f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74">
        <v>0</v>
      </c>
      <c r="BO200" s="28">
        <v>0</v>
      </c>
      <c r="BP200" s="28">
        <v>0</v>
      </c>
      <c r="BQ200" s="74">
        <v>0</v>
      </c>
      <c r="BR200" s="28">
        <f>IFERROR((STL_H107[[#This Row],[H]]-STL_H107[[#This Row],[2B]]-STL_H107[[#This Row],[3B]]-STL_H107[[#This Row],[HR]])+(STL_H107[[#This Row],[2B]]*2)+(STL_H107[[#This Row],[3B]]*3)+(STL_H107[[#This Row],[HR]]*4),0)</f>
        <v>0</v>
      </c>
      <c r="BS200" s="72">
        <f>IFERROR(STL_H107[[#This Row],[OBP]]+STL_H107[[#This Row],[SLG]],0)</f>
        <v>0</v>
      </c>
      <c r="BT200" s="74">
        <v>0</v>
      </c>
      <c r="BU200" s="615">
        <v>10</v>
      </c>
    </row>
    <row r="201" spans="1:73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Z201" s="651" t="s">
        <v>990</v>
      </c>
      <c r="AA201" s="71" t="s">
        <v>187</v>
      </c>
      <c r="AB201" s="71" t="s">
        <v>1003</v>
      </c>
      <c r="AC201" s="72">
        <f>IFERROR(CHC_C83[[#This Row],[H]]/CHC_C83[[#This Row],[AB]],0)</f>
        <v>0</v>
      </c>
      <c r="AD201" s="72">
        <f>IFERROR((CHC_C83[[#This Row],[H]]+CHC_C83[[#This Row],[BB]])/(CHC_C83[[#This Row],[BB]]+CHC_C83[[#This Row],[AB]]),0)</f>
        <v>0</v>
      </c>
      <c r="AE201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74">
        <v>0</v>
      </c>
      <c r="AP201" s="28">
        <v>0</v>
      </c>
      <c r="AQ201" s="28">
        <v>0</v>
      </c>
      <c r="AR201" s="74">
        <v>0</v>
      </c>
      <c r="AS201" s="28">
        <f>IFERROR((CHC_C83[[#This Row],[H]]-CHC_C83[[#This Row],[2B]]-CHC_C83[[#This Row],[3B]]-CHC_C83[[#This Row],[HR]])+(CHC_C83[[#This Row],[2B]]*2)+(CHC_C83[[#This Row],[3B]]*3)+(CHC_C83[[#This Row],[HR]]*4),0)</f>
        <v>0</v>
      </c>
      <c r="AT201" s="72">
        <f>CHC_C83[[#This Row],[OBP]]+CHC_C83[[#This Row],[SLG]]</f>
        <v>0</v>
      </c>
      <c r="AU201" s="74">
        <v>0</v>
      </c>
      <c r="AV201" s="615">
        <v>11</v>
      </c>
      <c r="AY201" s="651" t="s">
        <v>952</v>
      </c>
      <c r="AZ201" s="74" t="s">
        <v>187</v>
      </c>
      <c r="BA201" s="71" t="s">
        <v>965</v>
      </c>
      <c r="BB201" s="72">
        <f>IFERROR(STL_H107[[#This Row],[H]]/STL_H107[[#This Row],[AB]],0)</f>
        <v>0.5</v>
      </c>
      <c r="BC201" s="72">
        <f>IFERROR((STL_H107[[#This Row],[BB]]+STL_H107[[#This Row],[H]])/(STL_H107[[#This Row],[BB]]+STL_H107[[#This Row],[AB]]),0)</f>
        <v>0.5</v>
      </c>
      <c r="BD201" s="73">
        <f>IFERROR(((STL_H107[[#This Row],[H]]-STL_H107[[#This Row],[2B]]-STL_H107[[#This Row],[3B]]-STL_H107[[#This Row],[HR]])+(STL_H107[[#This Row],[2B]]*2)+(STL_H107[[#This Row],[3B]]*3)+(STL_H107[[#This Row],[HR]]*4))/STL_H107[[#This Row],[AB]],0)</f>
        <v>0.5</v>
      </c>
      <c r="BE201" s="28">
        <v>2</v>
      </c>
      <c r="BF201" s="28">
        <v>2</v>
      </c>
      <c r="BG201" s="28">
        <v>0</v>
      </c>
      <c r="BH201" s="28">
        <v>1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74">
        <v>2</v>
      </c>
      <c r="BO201" s="28">
        <v>0</v>
      </c>
      <c r="BP201" s="28">
        <v>0</v>
      </c>
      <c r="BQ201" s="74">
        <v>0</v>
      </c>
      <c r="BR201" s="28">
        <f>IFERROR((STL_H107[[#This Row],[H]]-STL_H107[[#This Row],[2B]]-STL_H107[[#This Row],[3B]]-STL_H107[[#This Row],[HR]])+(STL_H107[[#This Row],[2B]]*2)+(STL_H107[[#This Row],[3B]]*3)+(STL_H107[[#This Row],[HR]]*4),0)</f>
        <v>1</v>
      </c>
      <c r="BS201" s="72">
        <f>IFERROR(STL_H107[[#This Row],[OBP]]+STL_H107[[#This Row],[SLG]],0)</f>
        <v>1</v>
      </c>
      <c r="BT201" s="74">
        <v>0</v>
      </c>
      <c r="BU201" s="615">
        <v>11</v>
      </c>
    </row>
    <row r="202" spans="1:73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Z202" s="651" t="s">
        <v>990</v>
      </c>
      <c r="AA202" s="71" t="s">
        <v>192</v>
      </c>
      <c r="AB202" s="71" t="s">
        <v>1007</v>
      </c>
      <c r="AC202" s="72">
        <f>IFERROR(CHC_C83[[#This Row],[H]]/CHC_C83[[#This Row],[AB]],0)</f>
        <v>0</v>
      </c>
      <c r="AD202" s="72">
        <f>IFERROR((CHC_C83[[#This Row],[H]]+CHC_C83[[#This Row],[BB]])/(CHC_C83[[#This Row],[BB]]+CHC_C83[[#This Row],[AB]]),0)</f>
        <v>0</v>
      </c>
      <c r="AE202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74">
        <v>0</v>
      </c>
      <c r="AP202" s="28">
        <v>0</v>
      </c>
      <c r="AQ202" s="28">
        <v>0</v>
      </c>
      <c r="AR202" s="74">
        <v>0</v>
      </c>
      <c r="AS202" s="28">
        <f>IFERROR((CHC_C83[[#This Row],[H]]-CHC_C83[[#This Row],[2B]]-CHC_C83[[#This Row],[3B]]-CHC_C83[[#This Row],[HR]])+(CHC_C83[[#This Row],[2B]]*2)+(CHC_C83[[#This Row],[3B]]*3)+(CHC_C83[[#This Row],[HR]]*4),0)</f>
        <v>0</v>
      </c>
      <c r="AT202" s="72">
        <f>CHC_C83[[#This Row],[OBP]]+CHC_C83[[#This Row],[SLG]]</f>
        <v>0</v>
      </c>
      <c r="AU202" s="74">
        <v>0</v>
      </c>
      <c r="AV202" s="615">
        <v>12</v>
      </c>
      <c r="AY202" s="651" t="s">
        <v>952</v>
      </c>
      <c r="AZ202" s="74" t="s">
        <v>187</v>
      </c>
      <c r="BA202" s="71" t="s">
        <v>971</v>
      </c>
      <c r="BB202" s="72">
        <f>IFERROR(STL_H107[[#This Row],[H]]/STL_H107[[#This Row],[AB]],0)</f>
        <v>0</v>
      </c>
      <c r="BC202" s="72">
        <f>IFERROR((STL_H107[[#This Row],[BB]]+STL_H107[[#This Row],[H]])/(STL_H107[[#This Row],[BB]]+STL_H107[[#This Row],[AB]]),0)</f>
        <v>0</v>
      </c>
      <c r="BD202" s="73">
        <f>IFERROR(((STL_H107[[#This Row],[H]]-STL_H107[[#This Row],[2B]]-STL_H107[[#This Row],[3B]]-STL_H107[[#This Row],[HR]])+(STL_H107[[#This Row],[2B]]*2)+(STL_H107[[#This Row],[3B]]*3)+(STL_H107[[#This Row],[HR]]*4))/STL_H107[[#This Row],[AB]],0)</f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74">
        <v>0</v>
      </c>
      <c r="BO202" s="28">
        <v>0</v>
      </c>
      <c r="BP202" s="28">
        <v>0</v>
      </c>
      <c r="BQ202" s="74">
        <v>0</v>
      </c>
      <c r="BR202" s="28">
        <f>IFERROR((STL_H107[[#This Row],[H]]-STL_H107[[#This Row],[2B]]-STL_H107[[#This Row],[3B]]-STL_H107[[#This Row],[HR]])+(STL_H107[[#This Row],[2B]]*2)+(STL_H107[[#This Row],[3B]]*3)+(STL_H107[[#This Row],[HR]]*4),0)</f>
        <v>0</v>
      </c>
      <c r="BS202" s="72">
        <f>IFERROR(STL_H107[[#This Row],[OBP]]+STL_H107[[#This Row],[SLG]],0)</f>
        <v>0</v>
      </c>
      <c r="BT202" s="74">
        <v>0</v>
      </c>
      <c r="BU202" s="615">
        <v>12</v>
      </c>
    </row>
    <row r="203" spans="1:73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Z203" s="651" t="s">
        <v>990</v>
      </c>
      <c r="AA203" s="71" t="s">
        <v>184</v>
      </c>
      <c r="AB203" s="71" t="s">
        <v>1005</v>
      </c>
      <c r="AC203" s="72">
        <f>IFERROR(CHC_C83[[#This Row],[H]]/CHC_C83[[#This Row],[AB]],0)</f>
        <v>0</v>
      </c>
      <c r="AD203" s="72">
        <f>IFERROR((CHC_C83[[#This Row],[H]]+CHC_C83[[#This Row],[BB]])/(CHC_C83[[#This Row],[BB]]+CHC_C83[[#This Row],[AB]]),0)</f>
        <v>0</v>
      </c>
      <c r="AE203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74">
        <v>0</v>
      </c>
      <c r="AP203" s="28">
        <v>0</v>
      </c>
      <c r="AQ203" s="28">
        <v>0</v>
      </c>
      <c r="AR203" s="74">
        <v>0</v>
      </c>
      <c r="AS203" s="28">
        <f>IFERROR((CHC_C83[[#This Row],[H]]-CHC_C83[[#This Row],[2B]]-CHC_C83[[#This Row],[3B]]-CHC_C83[[#This Row],[HR]])+(CHC_C83[[#This Row],[2B]]*2)+(CHC_C83[[#This Row],[3B]]*3)+(CHC_C83[[#This Row],[HR]]*4),0)</f>
        <v>0</v>
      </c>
      <c r="AT203" s="72">
        <f>CHC_C83[[#This Row],[OBP]]+CHC_C83[[#This Row],[SLG]]</f>
        <v>0</v>
      </c>
      <c r="AU203" s="74">
        <v>0</v>
      </c>
      <c r="AV203" s="615">
        <v>13</v>
      </c>
      <c r="AY203" s="651" t="s">
        <v>952</v>
      </c>
      <c r="AZ203" s="74" t="s">
        <v>186</v>
      </c>
      <c r="BA203" s="71" t="s">
        <v>956</v>
      </c>
      <c r="BB203" s="72">
        <f>IFERROR(STL_H107[[#This Row],[H]]/STL_H107[[#This Row],[AB]],0)</f>
        <v>0</v>
      </c>
      <c r="BC203" s="72">
        <f>IFERROR((STL_H107[[#This Row],[BB]]+STL_H107[[#This Row],[H]])/(STL_H107[[#This Row],[BB]]+STL_H107[[#This Row],[AB]]),0)</f>
        <v>1</v>
      </c>
      <c r="BD203" s="73">
        <f>IFERROR(((STL_H107[[#This Row],[H]]-STL_H107[[#This Row],[2B]]-STL_H107[[#This Row],[3B]]-STL_H107[[#This Row],[HR]])+(STL_H107[[#This Row],[2B]]*2)+(STL_H107[[#This Row],[3B]]*3)+(STL_H107[[#This Row],[HR]]*4))/STL_H107[[#This Row],[AB]],0)</f>
        <v>0</v>
      </c>
      <c r="BE203" s="28">
        <v>1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1</v>
      </c>
      <c r="BN203" s="74">
        <v>0</v>
      </c>
      <c r="BO203" s="28">
        <v>0</v>
      </c>
      <c r="BP203" s="28">
        <v>0</v>
      </c>
      <c r="BQ203" s="74">
        <v>0</v>
      </c>
      <c r="BR203" s="28">
        <f>IFERROR((STL_H107[[#This Row],[H]]-STL_H107[[#This Row],[2B]]-STL_H107[[#This Row],[3B]]-STL_H107[[#This Row],[HR]])+(STL_H107[[#This Row],[2B]]*2)+(STL_H107[[#This Row],[3B]]*3)+(STL_H107[[#This Row],[HR]]*4),0)</f>
        <v>0</v>
      </c>
      <c r="BS203" s="72">
        <f>IFERROR(STL_H107[[#This Row],[OBP]]+STL_H107[[#This Row],[SLG]],0)</f>
        <v>1</v>
      </c>
      <c r="BT203" s="74">
        <v>0</v>
      </c>
      <c r="BU203" s="615">
        <v>13</v>
      </c>
    </row>
    <row r="204" spans="1:73" ht="17" thickBo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Z204" s="651" t="s">
        <v>990</v>
      </c>
      <c r="AA204" s="71" t="s">
        <v>184</v>
      </c>
      <c r="AB204" s="71" t="s">
        <v>1006</v>
      </c>
      <c r="AC204" s="72">
        <f>IFERROR(CHC_C83[[#This Row],[H]]/CHC_C83[[#This Row],[AB]],0)</f>
        <v>0</v>
      </c>
      <c r="AD204" s="72">
        <f>IFERROR((CHC_C83[[#This Row],[H]]+CHC_C83[[#This Row],[BB]])/(CHC_C83[[#This Row],[BB]]+CHC_C83[[#This Row],[AB]]),0)</f>
        <v>0</v>
      </c>
      <c r="AE204" s="73">
        <f>IFERROR(((CHC_C83[[#This Row],[H]]-CHC_C83[[#This Row],[2B]]-CHC_C83[[#This Row],[3B]]-CHC_C83[[#This Row],[HR]])+(CHC_C83[[#This Row],[2B]]*2)+(CHC_C83[[#This Row],[3B]]*3)+(CHC_C83[[#This Row],[HR]]*4))/CHC_C83[[#This Row],[AB]],0)</f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74">
        <v>0</v>
      </c>
      <c r="AP204" s="28">
        <v>0</v>
      </c>
      <c r="AQ204" s="28">
        <v>0</v>
      </c>
      <c r="AR204" s="74">
        <v>0</v>
      </c>
      <c r="AS204" s="28">
        <f>IFERROR((CHC_C83[[#This Row],[H]]-CHC_C83[[#This Row],[2B]]-CHC_C83[[#This Row],[3B]]-CHC_C83[[#This Row],[HR]])+(CHC_C83[[#This Row],[2B]]*2)+(CHC_C83[[#This Row],[3B]]*3)+(CHC_C83[[#This Row],[HR]]*4),0)</f>
        <v>0</v>
      </c>
      <c r="AT204" s="72">
        <f>CHC_C83[[#This Row],[OBP]]+CHC_C83[[#This Row],[SLG]]</f>
        <v>0</v>
      </c>
      <c r="AU204" s="74">
        <v>0</v>
      </c>
      <c r="AV204" s="615">
        <v>14</v>
      </c>
      <c r="AY204" s="651" t="s">
        <v>952</v>
      </c>
      <c r="AZ204" s="74" t="s">
        <v>184</v>
      </c>
      <c r="BA204" s="71" t="s">
        <v>962</v>
      </c>
      <c r="BB204" s="72">
        <f>IFERROR(STL_H107[[#This Row],[H]]/STL_H107[[#This Row],[AB]],0)</f>
        <v>0</v>
      </c>
      <c r="BC204" s="72">
        <f>IFERROR((STL_H107[[#This Row],[BB]]+STL_H107[[#This Row],[H]])/(STL_H107[[#This Row],[BB]]+STL_H107[[#This Row],[AB]]),0)</f>
        <v>0</v>
      </c>
      <c r="BD204" s="73">
        <f>IFERROR(((STL_H107[[#This Row],[H]]-STL_H107[[#This Row],[2B]]-STL_H107[[#This Row],[3B]]-STL_H107[[#This Row],[HR]])+(STL_H107[[#This Row],[2B]]*2)+(STL_H107[[#This Row],[3B]]*3)+(STL_H107[[#This Row],[HR]]*4))/STL_H107[[#This Row],[AB]],0)</f>
        <v>0</v>
      </c>
      <c r="BE204" s="28">
        <v>2</v>
      </c>
      <c r="BF204" s="28">
        <v>4</v>
      </c>
      <c r="BG204" s="28">
        <v>2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28">
        <v>0</v>
      </c>
      <c r="BO204" s="77">
        <v>0</v>
      </c>
      <c r="BP204" s="28">
        <v>1</v>
      </c>
      <c r="BQ204" s="74">
        <v>1</v>
      </c>
      <c r="BR204" s="28">
        <f>IFERROR((STL_H107[[#This Row],[H]]-STL_H107[[#This Row],[2B]]-STL_H107[[#This Row],[3B]]-STL_H107[[#This Row],[HR]])+(STL_H107[[#This Row],[2B]]*2)+(STL_H107[[#This Row],[3B]]*3)+(STL_H107[[#This Row],[HR]]*4),0)</f>
        <v>0</v>
      </c>
      <c r="BS204" s="72">
        <f>IFERROR(STL_H107[[#This Row],[OBP]]+STL_H107[[#This Row],[SLG]],0)</f>
        <v>0</v>
      </c>
      <c r="BT204" s="74">
        <v>0</v>
      </c>
      <c r="BU204" s="615">
        <v>14</v>
      </c>
    </row>
    <row r="205" spans="1:73" ht="17" thickBo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Z205" s="691"/>
      <c r="AA205" s="692"/>
      <c r="AB205" s="693" t="s">
        <v>195</v>
      </c>
      <c r="AC205" s="694">
        <f>AI205/AG205</f>
        <v>0.21739130434782608</v>
      </c>
      <c r="AD205" s="694">
        <f>(AI205+AN205)/(AN205+AG205)</f>
        <v>0.23943661971830985</v>
      </c>
      <c r="AE205" s="695">
        <f>((AI205-AJ205-AK205-AL205)+(AJ205*2)+(AK205*3)+(AL205*4))/AG205</f>
        <v>0.27536231884057971</v>
      </c>
      <c r="AF205" s="696"/>
      <c r="AG205" s="696">
        <f>SUBTOTAL(109,CHC_C83[AB])</f>
        <v>69</v>
      </c>
      <c r="AH205" s="696">
        <f>SUBTOTAL(109,CHC_C83[R])</f>
        <v>3</v>
      </c>
      <c r="AI205" s="696">
        <f>SUBTOTAL(109,CHC_C83[H])</f>
        <v>15</v>
      </c>
      <c r="AJ205" s="696">
        <f>SUBTOTAL(109,CHC_C83[2B])</f>
        <v>2</v>
      </c>
      <c r="AK205" s="696">
        <f>SUBTOTAL(109,CHC_C83[3B])</f>
        <v>1</v>
      </c>
      <c r="AL205" s="696">
        <f>SUBTOTAL(109,CHC_C83[HR])</f>
        <v>0</v>
      </c>
      <c r="AM205" s="696">
        <f>SUBTOTAL(109,CHC_C83[RBI])</f>
        <v>3</v>
      </c>
      <c r="AN205" s="696">
        <f>SUBTOTAL(109,CHC_C83[BB])</f>
        <v>2</v>
      </c>
      <c r="AO205" s="697">
        <f>SUBTOTAL(109,CHC_C83[K])</f>
        <v>21</v>
      </c>
      <c r="AP205" s="696">
        <f>SUBTOTAL(109,CHC_C83[SB])</f>
        <v>1</v>
      </c>
      <c r="AQ205" s="696"/>
      <c r="AR205" s="697"/>
      <c r="AS205" s="696">
        <f>SUBTOTAL(109,CHC_C83[TB])</f>
        <v>19</v>
      </c>
      <c r="AT205" s="694">
        <f>AD205+AE205</f>
        <v>0.51479893855888958</v>
      </c>
      <c r="AU205" s="697">
        <f>SUBTOTAL(109,CHC_C83[*])</f>
        <v>0</v>
      </c>
      <c r="AV205" s="852"/>
      <c r="AY205" s="652"/>
      <c r="AZ205" s="653"/>
      <c r="BA205" s="654" t="s">
        <v>195</v>
      </c>
      <c r="BB205" s="656">
        <f>IFERROR(BH205/BF205,0)</f>
        <v>0.24489795918367346</v>
      </c>
      <c r="BC205" s="656">
        <f>IFERROR((BM205+BH205)/(BM205+BF205),0)</f>
        <v>0.31985294117647056</v>
      </c>
      <c r="BD205" s="657">
        <f>IFERROR(((BH205-BI205-BJ205-BK205)+(BI205*2)+(BJ205*3)+(BK205*4))/BF205,0)</f>
        <v>0.46938775510204084</v>
      </c>
      <c r="BE205" s="658"/>
      <c r="BF205" s="658">
        <f>SUBTOTAL(109,STL_H107[AB])</f>
        <v>245</v>
      </c>
      <c r="BG205" s="658">
        <f>SUBTOTAL(109,STL_H107[R])</f>
        <v>36</v>
      </c>
      <c r="BH205" s="658">
        <f>SUBTOTAL(109,STL_H107[H])</f>
        <v>60</v>
      </c>
      <c r="BI205" s="658">
        <f>SUBTOTAL(109,STL_H107[2B])</f>
        <v>10</v>
      </c>
      <c r="BJ205" s="658">
        <f>SUBTOTAL(109,STL_H107[3B])</f>
        <v>0</v>
      </c>
      <c r="BK205" s="658">
        <f>SUBTOTAL(109,STL_H107[HR])</f>
        <v>15</v>
      </c>
      <c r="BL205" s="658">
        <f>SUBTOTAL(109,STL_H107[RBI])</f>
        <v>36</v>
      </c>
      <c r="BM205" s="658">
        <f>SUBTOTAL(109,STL_H107[BB])</f>
        <v>27</v>
      </c>
      <c r="BN205" s="660">
        <f>SUBTOTAL(109,STL_H107[K])</f>
        <v>60</v>
      </c>
      <c r="BO205" s="658">
        <f>SUBTOTAL(109,STL_H107[SB])</f>
        <v>0</v>
      </c>
      <c r="BP205" s="658"/>
      <c r="BQ205" s="660"/>
      <c r="BR205" s="658">
        <f>SUBTOTAL(109,STL_H107[TB])</f>
        <v>115</v>
      </c>
      <c r="BS205" s="656">
        <f>IFERROR((BC205+BD205),0)</f>
        <v>0.78924069627851146</v>
      </c>
      <c r="BT205" s="660">
        <f>SUBTOTAL(109,STL_H107[*])</f>
        <v>3</v>
      </c>
      <c r="BU205" s="662"/>
    </row>
    <row r="206" spans="1:73" ht="17" thickBo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73" s="64" customFormat="1" ht="17" thickBo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Z207" s="847" t="s">
        <v>143</v>
      </c>
      <c r="AA207" s="848" t="s">
        <v>144</v>
      </c>
      <c r="AB207" s="848" t="s">
        <v>145</v>
      </c>
      <c r="AC207" s="848" t="s">
        <v>196</v>
      </c>
      <c r="AD207" s="848" t="s">
        <v>197</v>
      </c>
      <c r="AE207" s="848" t="s">
        <v>198</v>
      </c>
      <c r="AF207" s="848" t="s">
        <v>149</v>
      </c>
      <c r="AG207" s="848" t="s">
        <v>199</v>
      </c>
      <c r="AH207" s="848" t="s">
        <v>152</v>
      </c>
      <c r="AI207" s="848" t="s">
        <v>151</v>
      </c>
      <c r="AJ207" s="848" t="s">
        <v>157</v>
      </c>
      <c r="AK207" s="848" t="s">
        <v>158</v>
      </c>
      <c r="AL207" s="848" t="s">
        <v>200</v>
      </c>
      <c r="AM207" s="848" t="s">
        <v>201</v>
      </c>
      <c r="AN207" s="848" t="s">
        <v>202</v>
      </c>
      <c r="AO207" s="848" t="s">
        <v>203</v>
      </c>
      <c r="AP207" s="848" t="s">
        <v>204</v>
      </c>
      <c r="AQ207" s="848" t="s">
        <v>205</v>
      </c>
      <c r="AR207" s="849" t="s">
        <v>164</v>
      </c>
      <c r="AS207"/>
      <c r="AT207"/>
      <c r="AU207"/>
      <c r="AV207"/>
      <c r="AY207" s="847" t="s">
        <v>143</v>
      </c>
      <c r="AZ207" s="848" t="s">
        <v>144</v>
      </c>
      <c r="BA207" s="848" t="s">
        <v>145</v>
      </c>
      <c r="BB207" s="848" t="s">
        <v>196</v>
      </c>
      <c r="BC207" s="848" t="s">
        <v>197</v>
      </c>
      <c r="BD207" s="848" t="s">
        <v>198</v>
      </c>
      <c r="BE207" s="848" t="s">
        <v>149</v>
      </c>
      <c r="BF207" s="848" t="s">
        <v>199</v>
      </c>
      <c r="BG207" s="848" t="s">
        <v>152</v>
      </c>
      <c r="BH207" s="848" t="s">
        <v>151</v>
      </c>
      <c r="BI207" s="848" t="s">
        <v>157</v>
      </c>
      <c r="BJ207" s="848" t="s">
        <v>158</v>
      </c>
      <c r="BK207" s="848" t="s">
        <v>200</v>
      </c>
      <c r="BL207" s="848" t="s">
        <v>201</v>
      </c>
      <c r="BM207" s="848" t="s">
        <v>202</v>
      </c>
      <c r="BN207" s="848" t="s">
        <v>203</v>
      </c>
      <c r="BO207" s="848" t="s">
        <v>204</v>
      </c>
      <c r="BP207" s="848" t="s">
        <v>205</v>
      </c>
      <c r="BQ207" s="849" t="s">
        <v>164</v>
      </c>
    </row>
    <row r="208" spans="1:73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Z208" s="650" t="s">
        <v>990</v>
      </c>
      <c r="AA208" s="604" t="s">
        <v>206</v>
      </c>
      <c r="AB208" s="597" t="s">
        <v>1008</v>
      </c>
      <c r="AC208" s="663">
        <f>IFERROR((CHC_P84[[#This Row],[R]]*9)/CHC_P84[[#This Row],[IP]],0)</f>
        <v>9</v>
      </c>
      <c r="AD208" s="600">
        <v>0</v>
      </c>
      <c r="AE208" s="604">
        <v>1</v>
      </c>
      <c r="AF208" s="600">
        <v>1</v>
      </c>
      <c r="AG208" s="630">
        <v>5</v>
      </c>
      <c r="AH208" s="600">
        <v>5</v>
      </c>
      <c r="AI208" s="600">
        <v>5</v>
      </c>
      <c r="AJ208" s="600">
        <v>3</v>
      </c>
      <c r="AK208" s="600">
        <v>4</v>
      </c>
      <c r="AL208" s="600">
        <v>0</v>
      </c>
      <c r="AM208" s="631">
        <f>IFERROR((CHC_P84[[#This Row],[BB]]+CHC_P84[[#This Row],[H]])/CHC_P84[[#This Row],[IP]],0)</f>
        <v>1.6</v>
      </c>
      <c r="AN208" s="600">
        <v>0</v>
      </c>
      <c r="AO208" s="601">
        <v>0</v>
      </c>
      <c r="AP208" s="600">
        <v>0</v>
      </c>
      <c r="AQ208" s="604">
        <v>0</v>
      </c>
      <c r="AR208" s="779">
        <v>1</v>
      </c>
      <c r="AS208"/>
      <c r="AT208"/>
      <c r="AU208"/>
      <c r="AV208"/>
      <c r="AY208" s="650" t="s">
        <v>952</v>
      </c>
      <c r="AZ208" s="604" t="s">
        <v>206</v>
      </c>
      <c r="BA208" s="597" t="s">
        <v>973</v>
      </c>
      <c r="BB208" s="663">
        <f>IFERROR((STL_P108[[#This Row],[R]]*9)/STL_P108[[#This Row],[IP]],0)</f>
        <v>4.05</v>
      </c>
      <c r="BC208" s="600">
        <v>2</v>
      </c>
      <c r="BD208" s="604">
        <v>0</v>
      </c>
      <c r="BE208" s="600">
        <v>3</v>
      </c>
      <c r="BF208" s="630">
        <v>20</v>
      </c>
      <c r="BG208" s="600">
        <v>18</v>
      </c>
      <c r="BH208" s="600">
        <v>9</v>
      </c>
      <c r="BI208" s="600">
        <v>6</v>
      </c>
      <c r="BJ208" s="600">
        <v>19</v>
      </c>
      <c r="BK208" s="600">
        <v>0</v>
      </c>
      <c r="BL208" s="631">
        <f>IFERROR((STL_P108[[#This Row],[BB]]+STL_P108[[#This Row],[H]])/STL_P108[[#This Row],[IP]],0)</f>
        <v>1.2</v>
      </c>
      <c r="BM208" s="600">
        <v>2</v>
      </c>
      <c r="BN208" s="601">
        <v>0</v>
      </c>
      <c r="BO208" s="600">
        <v>0</v>
      </c>
      <c r="BP208" s="604">
        <v>0</v>
      </c>
      <c r="BQ208" s="614">
        <v>1</v>
      </c>
    </row>
    <row r="209" spans="1:69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Z209" s="651" t="s">
        <v>990</v>
      </c>
      <c r="AA209" s="74" t="s">
        <v>206</v>
      </c>
      <c r="AB209" s="116" t="s">
        <v>824</v>
      </c>
      <c r="AC209" s="88">
        <f>IFERROR((CHC_P84[[#This Row],[R]]*9)/CHC_P84[[#This Row],[IP]],0)</f>
        <v>1.4218009478672986</v>
      </c>
      <c r="AD209" s="28">
        <v>0</v>
      </c>
      <c r="AE209" s="74">
        <v>1</v>
      </c>
      <c r="AF209" s="28">
        <v>1</v>
      </c>
      <c r="AG209" s="584">
        <v>6.33</v>
      </c>
      <c r="AH209" s="28">
        <v>5</v>
      </c>
      <c r="AI209" s="28">
        <v>1</v>
      </c>
      <c r="AJ209" s="28">
        <v>5</v>
      </c>
      <c r="AK209" s="28">
        <v>7</v>
      </c>
      <c r="AL209" s="28">
        <v>0</v>
      </c>
      <c r="AM209" s="89">
        <f>IFERROR((CHC_P84[[#This Row],[BB]]+CHC_P84[[#This Row],[H]])/CHC_P84[[#This Row],[IP]],0)</f>
        <v>1.5797788309636651</v>
      </c>
      <c r="AN209" s="28">
        <v>1</v>
      </c>
      <c r="AO209" s="90">
        <v>0</v>
      </c>
      <c r="AP209" s="28">
        <v>0</v>
      </c>
      <c r="AQ209" s="74">
        <v>0</v>
      </c>
      <c r="AR209" s="780">
        <v>2</v>
      </c>
      <c r="AS209"/>
      <c r="AT209"/>
      <c r="AU209"/>
      <c r="AV209"/>
      <c r="AY209" s="651" t="s">
        <v>952</v>
      </c>
      <c r="AZ209" s="74" t="s">
        <v>206</v>
      </c>
      <c r="BA209" s="71" t="s">
        <v>972</v>
      </c>
      <c r="BB209" s="88">
        <f>IFERROR((STL_P108[[#This Row],[R]]*9)/STL_P108[[#This Row],[IP]],0)</f>
        <v>5.060918462980319</v>
      </c>
      <c r="BC209" s="28">
        <v>0</v>
      </c>
      <c r="BD209" s="74">
        <v>2</v>
      </c>
      <c r="BE209" s="28">
        <v>2</v>
      </c>
      <c r="BF209" s="584">
        <v>10.67</v>
      </c>
      <c r="BG209" s="28">
        <v>12</v>
      </c>
      <c r="BH209" s="28">
        <v>6</v>
      </c>
      <c r="BI209" s="28">
        <v>7</v>
      </c>
      <c r="BJ209" s="28">
        <v>9</v>
      </c>
      <c r="BK209" s="28">
        <v>0</v>
      </c>
      <c r="BL209" s="89">
        <f>IFERROR((STL_P108[[#This Row],[BB]]+STL_P108[[#This Row],[H]])/STL_P108[[#This Row],[IP]],0)</f>
        <v>1.7806935332708529</v>
      </c>
      <c r="BM209" s="28">
        <v>1</v>
      </c>
      <c r="BN209" s="90">
        <v>0</v>
      </c>
      <c r="BO209" s="28">
        <v>0</v>
      </c>
      <c r="BP209" s="74">
        <v>0</v>
      </c>
      <c r="BQ209" s="615">
        <v>2</v>
      </c>
    </row>
    <row r="210" spans="1:69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Z210" s="651" t="s">
        <v>990</v>
      </c>
      <c r="AA210" s="74" t="s">
        <v>206</v>
      </c>
      <c r="AB210" s="116" t="s">
        <v>1009</v>
      </c>
      <c r="AC210" s="88">
        <f>IFERROR((CHC_P84[[#This Row],[R]]*9)/CHC_P84[[#This Row],[IP]],0)</f>
        <v>0</v>
      </c>
      <c r="AD210" s="28">
        <v>0</v>
      </c>
      <c r="AE210" s="74">
        <v>0</v>
      </c>
      <c r="AF210" s="28">
        <v>0</v>
      </c>
      <c r="AG210" s="584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89">
        <f>IFERROR((CHC_P84[[#This Row],[BB]]+CHC_P84[[#This Row],[H]])/CHC_P84[[#This Row],[IP]],0)</f>
        <v>0</v>
      </c>
      <c r="AN210" s="28">
        <v>0</v>
      </c>
      <c r="AO210" s="90">
        <v>0</v>
      </c>
      <c r="AP210" s="28">
        <v>0</v>
      </c>
      <c r="AQ210" s="74">
        <v>0</v>
      </c>
      <c r="AR210" s="780">
        <v>3</v>
      </c>
      <c r="AS210"/>
      <c r="AT210"/>
      <c r="AU210"/>
      <c r="AV210"/>
      <c r="AY210" s="651" t="s">
        <v>952</v>
      </c>
      <c r="AZ210" s="74" t="s">
        <v>206</v>
      </c>
      <c r="BA210" s="71" t="s">
        <v>975</v>
      </c>
      <c r="BB210" s="88">
        <f>IFERROR((STL_P108[[#This Row],[R]]*9)/STL_P108[[#This Row],[IP]],0)</f>
        <v>3.6496350364963503</v>
      </c>
      <c r="BC210" s="28">
        <v>1</v>
      </c>
      <c r="BD210" s="74">
        <v>1</v>
      </c>
      <c r="BE210" s="28">
        <v>2</v>
      </c>
      <c r="BF210" s="584">
        <v>12.33</v>
      </c>
      <c r="BG210" s="28">
        <v>12</v>
      </c>
      <c r="BH210" s="28">
        <v>5</v>
      </c>
      <c r="BI210" s="28">
        <v>7</v>
      </c>
      <c r="BJ210" s="28">
        <v>12</v>
      </c>
      <c r="BK210" s="28">
        <v>0</v>
      </c>
      <c r="BL210" s="89">
        <f>IFERROR((STL_P108[[#This Row],[BB]]+STL_P108[[#This Row],[H]])/STL_P108[[#This Row],[IP]],0)</f>
        <v>1.5409570154095702</v>
      </c>
      <c r="BM210" s="28">
        <v>1</v>
      </c>
      <c r="BN210" s="90">
        <v>1</v>
      </c>
      <c r="BO210" s="28">
        <v>0</v>
      </c>
      <c r="BP210" s="74">
        <v>0</v>
      </c>
      <c r="BQ210" s="615">
        <v>3</v>
      </c>
    </row>
    <row r="211" spans="1:69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Z211" s="651" t="s">
        <v>990</v>
      </c>
      <c r="AA211" s="74" t="s">
        <v>206</v>
      </c>
      <c r="AB211" s="116" t="s">
        <v>1011</v>
      </c>
      <c r="AC211" s="88">
        <f>IFERROR((CHC_P84[[#This Row],[R]]*9)/CHC_P84[[#This Row],[IP]],0)</f>
        <v>0</v>
      </c>
      <c r="AD211" s="28">
        <v>0</v>
      </c>
      <c r="AE211" s="74">
        <v>0</v>
      </c>
      <c r="AF211" s="28">
        <v>0</v>
      </c>
      <c r="AG211" s="584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89">
        <f>IFERROR((CHC_P84[[#This Row],[BB]]+CHC_P84[[#This Row],[H]])/CHC_P84[[#This Row],[IP]],0)</f>
        <v>0</v>
      </c>
      <c r="AN211" s="28">
        <v>0</v>
      </c>
      <c r="AO211" s="90">
        <v>0</v>
      </c>
      <c r="AP211" s="28">
        <v>0</v>
      </c>
      <c r="AQ211" s="74">
        <v>0</v>
      </c>
      <c r="AR211" s="780">
        <v>4</v>
      </c>
      <c r="AS211"/>
      <c r="AT211"/>
      <c r="AU211"/>
      <c r="AV211"/>
      <c r="AY211" s="651" t="s">
        <v>952</v>
      </c>
      <c r="AZ211" s="74" t="s">
        <v>206</v>
      </c>
      <c r="BA211" s="71" t="s">
        <v>974</v>
      </c>
      <c r="BB211" s="88">
        <f>IFERROR((STL_P108[[#This Row],[R]]*9)/STL_P108[[#This Row],[IP]],0)</f>
        <v>0</v>
      </c>
      <c r="BC211" s="28">
        <v>0</v>
      </c>
      <c r="BD211" s="74">
        <v>0</v>
      </c>
      <c r="BE211" s="28">
        <v>0</v>
      </c>
      <c r="BF211" s="584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89">
        <f>IFERROR((STL_P108[[#This Row],[BB]]+STL_P108[[#This Row],[H]])/STL_P108[[#This Row],[IP]],0)</f>
        <v>0</v>
      </c>
      <c r="BM211" s="28">
        <v>0</v>
      </c>
      <c r="BN211" s="90">
        <v>0</v>
      </c>
      <c r="BO211" s="28">
        <v>0</v>
      </c>
      <c r="BP211" s="74">
        <v>0</v>
      </c>
      <c r="BQ211" s="615">
        <v>4</v>
      </c>
    </row>
    <row r="212" spans="1:69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Z212" s="651" t="s">
        <v>990</v>
      </c>
      <c r="AA212" s="74" t="s">
        <v>212</v>
      </c>
      <c r="AB212" s="116" t="s">
        <v>1013</v>
      </c>
      <c r="AC212" s="88">
        <f>IFERROR((CHC_P84[[#This Row],[R]]*9)/CHC_P84[[#This Row],[IP]],0)</f>
        <v>0</v>
      </c>
      <c r="AD212" s="28">
        <v>0</v>
      </c>
      <c r="AE212" s="74">
        <v>0</v>
      </c>
      <c r="AF212" s="28">
        <v>0</v>
      </c>
      <c r="AG212" s="584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89">
        <f>IFERROR((CHC_P84[[#This Row],[BB]]+CHC_P84[[#This Row],[H]])/CHC_P84[[#This Row],[IP]],0)</f>
        <v>0</v>
      </c>
      <c r="AN212" s="28">
        <v>0</v>
      </c>
      <c r="AO212" s="90">
        <v>0</v>
      </c>
      <c r="AP212" s="28">
        <v>0</v>
      </c>
      <c r="AQ212" s="74">
        <v>0</v>
      </c>
      <c r="AR212" s="780">
        <v>5</v>
      </c>
      <c r="AS212"/>
      <c r="AT212"/>
      <c r="AU212"/>
      <c r="AV212"/>
      <c r="AY212" s="651" t="s">
        <v>952</v>
      </c>
      <c r="AZ212" s="74" t="s">
        <v>212</v>
      </c>
      <c r="BA212" s="71" t="s">
        <v>977</v>
      </c>
      <c r="BB212" s="88">
        <f>IFERROR((STL_P108[[#This Row],[R]]*9)/STL_P108[[#This Row],[IP]],0)</f>
        <v>12.6</v>
      </c>
      <c r="BC212" s="28">
        <v>0</v>
      </c>
      <c r="BD212" s="74">
        <v>1</v>
      </c>
      <c r="BE212" s="28">
        <v>3</v>
      </c>
      <c r="BF212" s="584">
        <v>5</v>
      </c>
      <c r="BG212" s="28">
        <v>7</v>
      </c>
      <c r="BH212" s="28">
        <v>7</v>
      </c>
      <c r="BI212" s="28">
        <v>3</v>
      </c>
      <c r="BJ212" s="28">
        <v>3</v>
      </c>
      <c r="BK212" s="28">
        <v>0</v>
      </c>
      <c r="BL212" s="89">
        <f>IFERROR((STL_P108[[#This Row],[BB]]+STL_P108[[#This Row],[H]])/STL_P108[[#This Row],[IP]],0)</f>
        <v>2</v>
      </c>
      <c r="BM212" s="28">
        <v>0</v>
      </c>
      <c r="BN212" s="90">
        <v>0</v>
      </c>
      <c r="BO212" s="28">
        <v>0</v>
      </c>
      <c r="BP212" s="74">
        <v>0</v>
      </c>
      <c r="BQ212" s="615">
        <v>5</v>
      </c>
    </row>
    <row r="213" spans="1:69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Z213" s="651" t="s">
        <v>990</v>
      </c>
      <c r="AA213" s="74" t="s">
        <v>215</v>
      </c>
      <c r="AB213" s="116" t="s">
        <v>1015</v>
      </c>
      <c r="AC213" s="88">
        <f>IFERROR((CHC_P84[[#This Row],[R]]*9)/CHC_P84[[#This Row],[IP]],0)</f>
        <v>0</v>
      </c>
      <c r="AD213" s="28">
        <v>0</v>
      </c>
      <c r="AE213" s="74">
        <v>0</v>
      </c>
      <c r="AF213" s="28">
        <v>0</v>
      </c>
      <c r="AG213" s="584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89">
        <f>IFERROR((CHC_P84[[#This Row],[BB]]+CHC_P84[[#This Row],[H]])/CHC_P84[[#This Row],[IP]],0)</f>
        <v>0</v>
      </c>
      <c r="AN213" s="28">
        <v>0</v>
      </c>
      <c r="AO213" s="90">
        <v>0</v>
      </c>
      <c r="AP213" s="28">
        <v>0</v>
      </c>
      <c r="AQ213" s="74">
        <v>0</v>
      </c>
      <c r="AR213" s="780">
        <v>6</v>
      </c>
      <c r="AS213"/>
      <c r="AT213"/>
      <c r="AU213"/>
      <c r="AV213"/>
      <c r="AY213" s="651" t="s">
        <v>952</v>
      </c>
      <c r="AZ213" s="74" t="s">
        <v>215</v>
      </c>
      <c r="BA213" s="71" t="s">
        <v>981</v>
      </c>
      <c r="BB213" s="88">
        <f>IFERROR((STL_P108[[#This Row],[R]]*9)/STL_P108[[#This Row],[IP]],0)</f>
        <v>0</v>
      </c>
      <c r="BC213" s="28">
        <v>0</v>
      </c>
      <c r="BD213" s="74">
        <v>0</v>
      </c>
      <c r="BE213" s="28">
        <v>0</v>
      </c>
      <c r="BF213" s="584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89">
        <f>IFERROR((STL_P108[[#This Row],[BB]]+STL_P108[[#This Row],[H]])/STL_P108[[#This Row],[IP]],0)</f>
        <v>0</v>
      </c>
      <c r="BM213" s="28">
        <v>0</v>
      </c>
      <c r="BN213" s="90">
        <v>0</v>
      </c>
      <c r="BO213" s="28">
        <v>0</v>
      </c>
      <c r="BP213" s="74">
        <v>0</v>
      </c>
      <c r="BQ213" s="615">
        <v>6</v>
      </c>
    </row>
    <row r="214" spans="1:69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Z214" s="651" t="s">
        <v>990</v>
      </c>
      <c r="AA214" s="74" t="s">
        <v>212</v>
      </c>
      <c r="AB214" s="116" t="s">
        <v>1018</v>
      </c>
      <c r="AC214" s="88">
        <f>IFERROR((CHC_P84[[#This Row],[R]]*9)/CHC_P84[[#This Row],[IP]],0)</f>
        <v>0</v>
      </c>
      <c r="AD214" s="28">
        <v>0</v>
      </c>
      <c r="AE214" s="74">
        <v>0</v>
      </c>
      <c r="AF214" s="28">
        <v>0</v>
      </c>
      <c r="AG214" s="584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89">
        <f>IFERROR((CHC_P84[[#This Row],[BB]]+CHC_P84[[#This Row],[H]])/CHC_P84[[#This Row],[IP]],0)</f>
        <v>0</v>
      </c>
      <c r="AN214" s="28">
        <v>0</v>
      </c>
      <c r="AO214" s="90">
        <v>0</v>
      </c>
      <c r="AP214" s="28">
        <v>0</v>
      </c>
      <c r="AQ214" s="74">
        <v>0</v>
      </c>
      <c r="AR214" s="780">
        <v>7</v>
      </c>
      <c r="AS214"/>
      <c r="AT214"/>
      <c r="AU214"/>
      <c r="AV214"/>
      <c r="AY214" s="651" t="s">
        <v>952</v>
      </c>
      <c r="AZ214" s="74" t="s">
        <v>212</v>
      </c>
      <c r="BA214" s="71" t="s">
        <v>978</v>
      </c>
      <c r="BB214" s="88">
        <f>IFERROR((STL_P108[[#This Row],[R]]*9)/STL_P108[[#This Row],[IP]],0)</f>
        <v>0</v>
      </c>
      <c r="BC214" s="28">
        <v>0</v>
      </c>
      <c r="BD214" s="74">
        <v>0</v>
      </c>
      <c r="BE214" s="28">
        <v>0</v>
      </c>
      <c r="BF214" s="584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89">
        <f>IFERROR((STL_P108[[#This Row],[BB]]+STL_P108[[#This Row],[H]])/STL_P108[[#This Row],[IP]],0)</f>
        <v>0</v>
      </c>
      <c r="BM214" s="28">
        <v>0</v>
      </c>
      <c r="BN214" s="90">
        <v>0</v>
      </c>
      <c r="BO214" s="28">
        <v>0</v>
      </c>
      <c r="BP214" s="74">
        <v>0</v>
      </c>
      <c r="BQ214" s="615">
        <v>7</v>
      </c>
    </row>
    <row r="215" spans="1:69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Z215" s="651" t="s">
        <v>990</v>
      </c>
      <c r="AA215" s="74" t="s">
        <v>212</v>
      </c>
      <c r="AB215" s="116" t="s">
        <v>1014</v>
      </c>
      <c r="AC215" s="88">
        <f>IFERROR((CHC_P84[[#This Row],[R]]*9)/CHC_P84[[#This Row],[IP]],0)</f>
        <v>0</v>
      </c>
      <c r="AD215" s="28">
        <v>0</v>
      </c>
      <c r="AE215" s="74">
        <v>0</v>
      </c>
      <c r="AF215" s="28">
        <v>2</v>
      </c>
      <c r="AG215" s="584">
        <v>2</v>
      </c>
      <c r="AH215" s="28">
        <v>2</v>
      </c>
      <c r="AI215" s="28">
        <v>0</v>
      </c>
      <c r="AJ215" s="28">
        <v>1</v>
      </c>
      <c r="AK215" s="28">
        <v>1</v>
      </c>
      <c r="AL215" s="28">
        <v>0</v>
      </c>
      <c r="AM215" s="89">
        <f>IFERROR((CHC_P84[[#This Row],[BB]]+CHC_P84[[#This Row],[H]])/CHC_P84[[#This Row],[IP]],0)</f>
        <v>1.5</v>
      </c>
      <c r="AN215" s="28">
        <v>0</v>
      </c>
      <c r="AO215" s="90">
        <v>0</v>
      </c>
      <c r="AP215" s="28">
        <v>0</v>
      </c>
      <c r="AQ215" s="74">
        <v>0</v>
      </c>
      <c r="AR215" s="780">
        <v>8</v>
      </c>
      <c r="AS215"/>
      <c r="AT215"/>
      <c r="AU215"/>
      <c r="AV215"/>
      <c r="AY215" s="651" t="s">
        <v>952</v>
      </c>
      <c r="AZ215" s="74" t="s">
        <v>212</v>
      </c>
      <c r="BA215" s="71" t="s">
        <v>985</v>
      </c>
      <c r="BB215" s="88">
        <f>IFERROR((STL_P108[[#This Row],[R]]*9)/STL_P108[[#This Row],[IP]],0)</f>
        <v>3</v>
      </c>
      <c r="BC215" s="28">
        <v>0</v>
      </c>
      <c r="BD215" s="74">
        <v>0</v>
      </c>
      <c r="BE215" s="28">
        <v>2</v>
      </c>
      <c r="BF215" s="584">
        <v>3</v>
      </c>
      <c r="BG215" s="28">
        <v>3</v>
      </c>
      <c r="BH215" s="28">
        <v>1</v>
      </c>
      <c r="BI215" s="28">
        <v>2</v>
      </c>
      <c r="BJ215" s="28">
        <v>3</v>
      </c>
      <c r="BK215" s="28">
        <v>0</v>
      </c>
      <c r="BL215" s="89">
        <f>IFERROR((STL_P108[[#This Row],[BB]]+STL_P108[[#This Row],[H]])/STL_P108[[#This Row],[IP]],0)</f>
        <v>1.6666666666666667</v>
      </c>
      <c r="BM215" s="28">
        <v>0</v>
      </c>
      <c r="BN215" s="90">
        <v>0</v>
      </c>
      <c r="BO215" s="28">
        <v>0</v>
      </c>
      <c r="BP215" s="74">
        <v>0</v>
      </c>
      <c r="BQ215" s="615">
        <v>8</v>
      </c>
    </row>
    <row r="216" spans="1:69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Z216" s="651" t="s">
        <v>990</v>
      </c>
      <c r="AA216" s="74" t="s">
        <v>212</v>
      </c>
      <c r="AB216" s="116" t="s">
        <v>1017</v>
      </c>
      <c r="AC216" s="88">
        <f>IFERROR((CHC_P84[[#This Row],[R]]*9)/CHC_P84[[#This Row],[IP]],0)</f>
        <v>0</v>
      </c>
      <c r="AD216" s="28">
        <v>0</v>
      </c>
      <c r="AE216" s="74">
        <v>0</v>
      </c>
      <c r="AF216" s="28">
        <v>1</v>
      </c>
      <c r="AG216" s="584">
        <v>3</v>
      </c>
      <c r="AH216" s="28">
        <v>2</v>
      </c>
      <c r="AI216" s="28">
        <v>0</v>
      </c>
      <c r="AJ216" s="28">
        <v>1</v>
      </c>
      <c r="AK216" s="28">
        <v>4</v>
      </c>
      <c r="AL216" s="28">
        <v>0</v>
      </c>
      <c r="AM216" s="89">
        <f>IFERROR((CHC_P84[[#This Row],[BB]]+CHC_P84[[#This Row],[H]])/CHC_P84[[#This Row],[IP]],0)</f>
        <v>1</v>
      </c>
      <c r="AN216" s="28">
        <v>0</v>
      </c>
      <c r="AO216" s="90">
        <v>0</v>
      </c>
      <c r="AP216" s="28">
        <v>0</v>
      </c>
      <c r="AQ216" s="74">
        <v>0</v>
      </c>
      <c r="AR216" s="780">
        <v>9</v>
      </c>
      <c r="AS216"/>
      <c r="AT216"/>
      <c r="AU216"/>
      <c r="AV216"/>
      <c r="AY216" s="651" t="s">
        <v>952</v>
      </c>
      <c r="AZ216" s="74" t="s">
        <v>212</v>
      </c>
      <c r="BA216" s="71" t="s">
        <v>983</v>
      </c>
      <c r="BB216" s="88">
        <f>IFERROR((STL_P108[[#This Row],[R]]*9)/STL_P108[[#This Row],[IP]],0)</f>
        <v>5.0656660412757972</v>
      </c>
      <c r="BC216" s="28">
        <v>0</v>
      </c>
      <c r="BD216" s="74">
        <v>0</v>
      </c>
      <c r="BE216" s="28">
        <v>4</v>
      </c>
      <c r="BF216" s="584">
        <v>5.33</v>
      </c>
      <c r="BG216" s="28">
        <v>5</v>
      </c>
      <c r="BH216" s="28">
        <v>3</v>
      </c>
      <c r="BI216" s="28">
        <v>4</v>
      </c>
      <c r="BJ216" s="28">
        <v>8</v>
      </c>
      <c r="BK216" s="28">
        <v>0</v>
      </c>
      <c r="BL216" s="89">
        <f>IFERROR((STL_P108[[#This Row],[BB]]+STL_P108[[#This Row],[H]])/STL_P108[[#This Row],[IP]],0)</f>
        <v>1.6885553470919323</v>
      </c>
      <c r="BM216" s="28">
        <v>0</v>
      </c>
      <c r="BN216" s="90">
        <v>0</v>
      </c>
      <c r="BO216" s="28">
        <v>0</v>
      </c>
      <c r="BP216" s="74">
        <v>0</v>
      </c>
      <c r="BQ216" s="615">
        <v>9</v>
      </c>
    </row>
    <row r="217" spans="1:69" ht="17" thickBo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Z217" s="651" t="s">
        <v>990</v>
      </c>
      <c r="AA217" s="74" t="s">
        <v>212</v>
      </c>
      <c r="AB217" s="116" t="s">
        <v>1020</v>
      </c>
      <c r="AC217" s="88">
        <f>IFERROR((CHC_P84[[#This Row],[R]]*9)/CHC_P84[[#This Row],[IP]],0)</f>
        <v>0</v>
      </c>
      <c r="AD217" s="28">
        <v>0</v>
      </c>
      <c r="AE217" s="74">
        <v>0</v>
      </c>
      <c r="AF217" s="28">
        <v>1</v>
      </c>
      <c r="AG217" s="584">
        <v>1.67</v>
      </c>
      <c r="AH217" s="28">
        <v>2</v>
      </c>
      <c r="AI217" s="28">
        <v>0</v>
      </c>
      <c r="AJ217" s="28">
        <v>1</v>
      </c>
      <c r="AK217" s="28">
        <v>3</v>
      </c>
      <c r="AL217" s="28">
        <v>0</v>
      </c>
      <c r="AM217" s="89">
        <f>IFERROR((CHC_P84[[#This Row],[BB]]+CHC_P84[[#This Row],[H]])/CHC_P84[[#This Row],[IP]],0)</f>
        <v>1.7964071856287427</v>
      </c>
      <c r="AN217" s="28">
        <v>0</v>
      </c>
      <c r="AO217" s="90">
        <v>0</v>
      </c>
      <c r="AP217" s="28">
        <v>0</v>
      </c>
      <c r="AQ217" s="74">
        <v>0</v>
      </c>
      <c r="AR217" s="780">
        <v>10</v>
      </c>
      <c r="AS217"/>
      <c r="AT217"/>
      <c r="AU217"/>
      <c r="AV217"/>
      <c r="AY217" s="651" t="s">
        <v>952</v>
      </c>
      <c r="AZ217" s="74" t="s">
        <v>212</v>
      </c>
      <c r="BA217" s="71" t="s">
        <v>984</v>
      </c>
      <c r="BB217" s="349">
        <f>IFERROR((STL_P108[[#This Row],[R]]*9)/STL_P108[[#This Row],[IP]],0)</f>
        <v>0</v>
      </c>
      <c r="BC217" s="28">
        <v>0</v>
      </c>
      <c r="BD217" s="74">
        <v>0</v>
      </c>
      <c r="BE217" s="28">
        <v>4</v>
      </c>
      <c r="BF217" s="584">
        <v>5</v>
      </c>
      <c r="BG217" s="28">
        <v>2</v>
      </c>
      <c r="BH217" s="28">
        <v>0</v>
      </c>
      <c r="BI217" s="28">
        <v>1</v>
      </c>
      <c r="BJ217" s="28">
        <v>5</v>
      </c>
      <c r="BK217" s="28">
        <v>1</v>
      </c>
      <c r="BL217" s="89">
        <f>IFERROR((STL_P108[[#This Row],[BB]]+STL_P108[[#This Row],[H]])/STL_P108[[#This Row],[IP]],0)</f>
        <v>0.6</v>
      </c>
      <c r="BM217" s="28">
        <v>0</v>
      </c>
      <c r="BN217" s="90">
        <v>0</v>
      </c>
      <c r="BO217" s="28">
        <v>0</v>
      </c>
      <c r="BP217" s="74">
        <v>0</v>
      </c>
      <c r="BQ217" s="615">
        <v>10</v>
      </c>
    </row>
    <row r="218" spans="1:69" ht="17" thickBo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Z218" s="691"/>
      <c r="AA218" s="692"/>
      <c r="AB218" s="693" t="s">
        <v>195</v>
      </c>
      <c r="AC218" s="745">
        <f>(AI218*9)/AG218</f>
        <v>3</v>
      </c>
      <c r="AD218" s="696">
        <f>SUBTOTAL(109,CHC_P84[W])</f>
        <v>0</v>
      </c>
      <c r="AE218" s="697">
        <f>SUBTOTAL(109,CHC_P84[L])</f>
        <v>2</v>
      </c>
      <c r="AF218" s="696"/>
      <c r="AG218" s="700">
        <f>SUBTOTAL(109,CHC_P84[IP])</f>
        <v>18</v>
      </c>
      <c r="AH218" s="696">
        <f>SUBTOTAL(109,CHC_P84[H])</f>
        <v>16</v>
      </c>
      <c r="AI218" s="696">
        <f>SUBTOTAL(109,CHC_P84[R])</f>
        <v>6</v>
      </c>
      <c r="AJ218" s="696">
        <f>SUBTOTAL(109,CHC_P84[BB])</f>
        <v>11</v>
      </c>
      <c r="AK218" s="696">
        <f>SUBTOTAL(109,CHC_P84[K])</f>
        <v>19</v>
      </c>
      <c r="AL218" s="696">
        <f>SUBTOTAL(109,CHC_P84[SV])</f>
        <v>0</v>
      </c>
      <c r="AM218" s="746">
        <f>(AJ218+AH218)/AG218</f>
        <v>1.5</v>
      </c>
      <c r="AN218" s="701">
        <f>SUBTOTAL(109,CHC_P84[QS])</f>
        <v>1</v>
      </c>
      <c r="AO218" s="702">
        <f>SUBTOTAL(109,CHC_P84[UQ])</f>
        <v>0</v>
      </c>
      <c r="AP218" s="703">
        <f>SUBTOTAL(109,CHC_P84[CG])</f>
        <v>0</v>
      </c>
      <c r="AQ218" s="704">
        <f>SUBTOTAL(109,CHC_P84[SH])</f>
        <v>0</v>
      </c>
      <c r="AR218" s="698"/>
      <c r="AS218"/>
      <c r="AT218"/>
      <c r="AU218"/>
      <c r="AV218"/>
      <c r="AY218" s="652"/>
      <c r="AZ218" s="653"/>
      <c r="BA218" s="654" t="s">
        <v>195</v>
      </c>
      <c r="BB218" s="665">
        <f>IFERROR((BH218*9)/BF218,0)</f>
        <v>4.5491602804500246</v>
      </c>
      <c r="BC218" s="658">
        <f>SUBTOTAL(109,STL_P108[W])</f>
        <v>3</v>
      </c>
      <c r="BD218" s="660">
        <f>SUBTOTAL(109,STL_P108[L])</f>
        <v>4</v>
      </c>
      <c r="BE218" s="658"/>
      <c r="BF218" s="666">
        <f>SUBTOTAL(109,STL_P108[IP])</f>
        <v>61.33</v>
      </c>
      <c r="BG218" s="658">
        <f>SUBTOTAL(109,STL_P108[H])</f>
        <v>59</v>
      </c>
      <c r="BH218" s="658">
        <f>SUBTOTAL(109,STL_P108[R])</f>
        <v>31</v>
      </c>
      <c r="BI218" s="658">
        <f>SUBTOTAL(109,STL_P108[BB])</f>
        <v>30</v>
      </c>
      <c r="BJ218" s="658">
        <f>SUBTOTAL(109,STL_P108[K])</f>
        <v>59</v>
      </c>
      <c r="BK218" s="658">
        <f>SUBTOTAL(109,STL_P108[SV])</f>
        <v>1</v>
      </c>
      <c r="BL218" s="667">
        <f>(BI218+BG218)/BF218</f>
        <v>1.4511658242295777</v>
      </c>
      <c r="BM218" s="690">
        <f>SUBTOTAL(109,STL_P108[QS])</f>
        <v>4</v>
      </c>
      <c r="BN218" s="669">
        <f>SUBTOTAL(109,STL_P108[UQ])</f>
        <v>1</v>
      </c>
      <c r="BO218" s="670">
        <f>SUM(BO208:BO217)</f>
        <v>0</v>
      </c>
      <c r="BP218" s="671">
        <f>SUM(BP208:BP217)</f>
        <v>0</v>
      </c>
      <c r="BQ218" s="662"/>
    </row>
  </sheetData>
  <sortState xmlns:xlrd2="http://schemas.microsoft.com/office/spreadsheetml/2017/richdata2" ref="AY191:BU204">
    <sortCondition ref="BU191:BU204"/>
  </sortState>
  <mergeCells count="26">
    <mergeCell ref="Z157:AV157"/>
    <mergeCell ref="AY157:BU157"/>
    <mergeCell ref="Z158:AV158"/>
    <mergeCell ref="AY158:BU158"/>
    <mergeCell ref="Z189:AV189"/>
    <mergeCell ref="AY189:BU189"/>
    <mergeCell ref="Z64:AV64"/>
    <mergeCell ref="AY64:BU64"/>
    <mergeCell ref="Z95:AV95"/>
    <mergeCell ref="AY95:BU95"/>
    <mergeCell ref="Z126:AV126"/>
    <mergeCell ref="AY126:BU126"/>
    <mergeCell ref="Z1:AV1"/>
    <mergeCell ref="AY1:BU1"/>
    <mergeCell ref="Z2:AV2"/>
    <mergeCell ref="AY2:BU2"/>
    <mergeCell ref="Z33:AV33"/>
    <mergeCell ref="AY33:BU33"/>
    <mergeCell ref="A158:W158"/>
    <mergeCell ref="A157:W157"/>
    <mergeCell ref="A1:W1"/>
    <mergeCell ref="A95:W95"/>
    <mergeCell ref="A2:W2"/>
    <mergeCell ref="A64:W64"/>
    <mergeCell ref="A33:W33"/>
    <mergeCell ref="A126:W126"/>
  </mergeCells>
  <pageMargins left="0.7" right="0.7" top="0.75" bottom="0.75" header="0.3" footer="0.3"/>
  <tableParts count="4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U249"/>
  <sheetViews>
    <sheetView zoomScale="110" zoomScaleNormal="110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C199" sqref="C199"/>
    </sheetView>
  </sheetViews>
  <sheetFormatPr baseColWidth="10" defaultRowHeight="16"/>
  <cols>
    <col min="1" max="1" width="6.33203125" customWidth="1"/>
    <col min="2" max="2" width="5.83203125" customWidth="1"/>
    <col min="3" max="3" width="14" customWidth="1"/>
    <col min="4" max="6" width="7.1640625" customWidth="1"/>
    <col min="7" max="7" width="5" customWidth="1"/>
    <col min="8" max="8" width="6" customWidth="1"/>
    <col min="9" max="10" width="5" customWidth="1"/>
    <col min="11" max="11" width="6" customWidth="1"/>
    <col min="12" max="12" width="5.6640625" customWidth="1"/>
    <col min="13" max="13" width="6.1640625" customWidth="1"/>
    <col min="14" max="14" width="6.6640625" customWidth="1"/>
    <col min="15" max="15" width="6" customWidth="1"/>
    <col min="16" max="17" width="6.1640625" customWidth="1"/>
    <col min="18" max="18" width="6" customWidth="1"/>
    <col min="19" max="19" width="5.83203125" customWidth="1"/>
    <col min="20" max="20" width="6" customWidth="1"/>
    <col min="21" max="21" width="7" customWidth="1"/>
    <col min="22" max="23" width="4.5" customWidth="1"/>
    <col min="24" max="25" width="2.83203125" customWidth="1"/>
    <col min="26" max="26" width="6.33203125" customWidth="1"/>
    <col min="27" max="27" width="5.83203125" customWidth="1"/>
    <col min="28" max="28" width="14" customWidth="1"/>
    <col min="29" max="31" width="7.1640625" customWidth="1"/>
    <col min="32" max="32" width="5" customWidth="1"/>
    <col min="33" max="33" width="6" customWidth="1"/>
    <col min="34" max="35" width="5" customWidth="1"/>
    <col min="36" max="36" width="6" customWidth="1"/>
    <col min="37" max="37" width="5.6640625" customWidth="1"/>
    <col min="38" max="38" width="6.1640625" customWidth="1"/>
    <col min="39" max="39" width="6.6640625" customWidth="1"/>
    <col min="40" max="40" width="6" customWidth="1"/>
    <col min="41" max="42" width="6.1640625" customWidth="1"/>
    <col min="43" max="43" width="6" customWidth="1"/>
    <col min="44" max="44" width="5.83203125" customWidth="1"/>
    <col min="45" max="45" width="6" customWidth="1"/>
    <col min="46" max="46" width="7" customWidth="1"/>
    <col min="47" max="48" width="4.5" customWidth="1"/>
    <col min="49" max="50" width="2.83203125" customWidth="1"/>
    <col min="51" max="51" width="6.33203125" customWidth="1"/>
    <col min="52" max="52" width="5.83203125" customWidth="1"/>
    <col min="53" max="53" width="14" customWidth="1"/>
    <col min="54" max="54" width="7.1640625" customWidth="1"/>
    <col min="55" max="55" width="7.33203125" customWidth="1"/>
    <col min="56" max="56" width="7.1640625" customWidth="1"/>
    <col min="57" max="57" width="5" customWidth="1"/>
    <col min="58" max="58" width="6" customWidth="1"/>
    <col min="59" max="60" width="5" customWidth="1"/>
    <col min="61" max="61" width="6" customWidth="1"/>
    <col min="62" max="62" width="5.6640625" customWidth="1"/>
    <col min="63" max="63" width="6.1640625" customWidth="1"/>
    <col min="64" max="64" width="6.6640625" customWidth="1"/>
    <col min="65" max="65" width="6" customWidth="1"/>
    <col min="66" max="67" width="6.1640625" customWidth="1"/>
    <col min="68" max="68" width="6" customWidth="1"/>
    <col min="69" max="69" width="5.83203125" customWidth="1"/>
    <col min="70" max="70" width="6" customWidth="1"/>
    <col min="71" max="71" width="7" customWidth="1"/>
    <col min="72" max="73" width="4.5" customWidth="1"/>
    <col min="74" max="74" width="2.83203125" customWidth="1"/>
  </cols>
  <sheetData>
    <row r="1" spans="1:73" ht="29" thickBot="1">
      <c r="A1" s="1021" t="s">
        <v>1133</v>
      </c>
      <c r="B1" s="1022"/>
      <c r="C1" s="1022"/>
      <c r="D1" s="1022"/>
      <c r="E1" s="1022"/>
      <c r="F1" s="1022"/>
      <c r="G1" s="1022"/>
      <c r="H1" s="1022"/>
      <c r="I1" s="1022"/>
      <c r="J1" s="1022"/>
      <c r="K1" s="1022"/>
      <c r="L1" s="1022"/>
      <c r="M1" s="1022"/>
      <c r="N1" s="1022"/>
      <c r="O1" s="1022"/>
      <c r="P1" s="1022"/>
      <c r="Q1" s="1022"/>
      <c r="R1" s="1022"/>
      <c r="S1" s="1022"/>
      <c r="T1" s="1022"/>
      <c r="U1" s="1022"/>
      <c r="V1" s="1022"/>
      <c r="W1" s="1023"/>
      <c r="Z1" s="1021" t="s">
        <v>1134</v>
      </c>
      <c r="AA1" s="1022"/>
      <c r="AB1" s="1022"/>
      <c r="AC1" s="1022"/>
      <c r="AD1" s="1022"/>
      <c r="AE1" s="1022"/>
      <c r="AF1" s="1022"/>
      <c r="AG1" s="1022"/>
      <c r="AH1" s="1022"/>
      <c r="AI1" s="1022"/>
      <c r="AJ1" s="1022"/>
      <c r="AK1" s="1022"/>
      <c r="AL1" s="1022"/>
      <c r="AM1" s="1022"/>
      <c r="AN1" s="1022"/>
      <c r="AO1" s="1022"/>
      <c r="AP1" s="1022"/>
      <c r="AQ1" s="1022"/>
      <c r="AR1" s="1022"/>
      <c r="AS1" s="1022"/>
      <c r="AT1" s="1022"/>
      <c r="AU1" s="1022"/>
      <c r="AV1" s="1023"/>
      <c r="AY1" s="1021" t="s">
        <v>1135</v>
      </c>
      <c r="AZ1" s="1022"/>
      <c r="BA1" s="1022"/>
      <c r="BB1" s="1022"/>
      <c r="BC1" s="1022"/>
      <c r="BD1" s="1022"/>
      <c r="BE1" s="1022"/>
      <c r="BF1" s="1022"/>
      <c r="BG1" s="1022"/>
      <c r="BH1" s="1022"/>
      <c r="BI1" s="1022"/>
      <c r="BJ1" s="1022"/>
      <c r="BK1" s="1022"/>
      <c r="BL1" s="1022"/>
      <c r="BM1" s="1022"/>
      <c r="BN1" s="1022"/>
      <c r="BO1" s="1022"/>
      <c r="BP1" s="1022"/>
      <c r="BQ1" s="1022"/>
      <c r="BR1" s="1022"/>
      <c r="BS1" s="1022"/>
      <c r="BT1" s="1022"/>
      <c r="BU1" s="1023"/>
    </row>
    <row r="2" spans="1:73" ht="24" thickBot="1">
      <c r="A2" s="1012" t="s">
        <v>1136</v>
      </c>
      <c r="B2" s="1013"/>
      <c r="C2" s="1013"/>
      <c r="D2" s="1013"/>
      <c r="E2" s="1013"/>
      <c r="F2" s="1013"/>
      <c r="G2" s="1013"/>
      <c r="H2" s="1013"/>
      <c r="I2" s="1013"/>
      <c r="J2" s="1013"/>
      <c r="K2" s="1013"/>
      <c r="L2" s="1013"/>
      <c r="M2" s="1013"/>
      <c r="N2" s="1013"/>
      <c r="O2" s="1013"/>
      <c r="P2" s="1013"/>
      <c r="Q2" s="1013"/>
      <c r="R2" s="1013"/>
      <c r="S2" s="1013"/>
      <c r="T2" s="1013"/>
      <c r="U2" s="1013"/>
      <c r="V2" s="1013"/>
      <c r="W2" s="1014"/>
      <c r="Y2" s="108"/>
      <c r="Z2" s="1027" t="s">
        <v>1137</v>
      </c>
      <c r="AA2" s="1028"/>
      <c r="AB2" s="1028"/>
      <c r="AC2" s="1028"/>
      <c r="AD2" s="1028"/>
      <c r="AE2" s="1028"/>
      <c r="AF2" s="1028"/>
      <c r="AG2" s="1028"/>
      <c r="AH2" s="1028"/>
      <c r="AI2" s="1028"/>
      <c r="AJ2" s="1028"/>
      <c r="AK2" s="1028"/>
      <c r="AL2" s="1028"/>
      <c r="AM2" s="1028"/>
      <c r="AN2" s="1028"/>
      <c r="AO2" s="1028"/>
      <c r="AP2" s="1028"/>
      <c r="AQ2" s="1028"/>
      <c r="AR2" s="1028"/>
      <c r="AS2" s="1028"/>
      <c r="AT2" s="1028"/>
      <c r="AU2" s="1028"/>
      <c r="AV2" s="1029"/>
      <c r="AY2" s="1012" t="s">
        <v>1138</v>
      </c>
      <c r="AZ2" s="1013"/>
      <c r="BA2" s="1013"/>
      <c r="BB2" s="1013"/>
      <c r="BC2" s="1013"/>
      <c r="BD2" s="1013"/>
      <c r="BE2" s="1013"/>
      <c r="BF2" s="1013"/>
      <c r="BG2" s="1013"/>
      <c r="BH2" s="1013"/>
      <c r="BI2" s="1013"/>
      <c r="BJ2" s="1013"/>
      <c r="BK2" s="1013"/>
      <c r="BL2" s="1013"/>
      <c r="BM2" s="1013"/>
      <c r="BN2" s="1013"/>
      <c r="BO2" s="1013"/>
      <c r="BP2" s="1013"/>
      <c r="BQ2" s="1013"/>
      <c r="BR2" s="1013"/>
      <c r="BS2" s="1013"/>
      <c r="BT2" s="1013"/>
      <c r="BU2" s="1014"/>
    </row>
    <row r="3" spans="1:73" s="108" customFormat="1" ht="15" thickBot="1">
      <c r="A3" s="605" t="s">
        <v>143</v>
      </c>
      <c r="B3" s="606" t="s">
        <v>144</v>
      </c>
      <c r="C3" s="606" t="s">
        <v>145</v>
      </c>
      <c r="D3" s="606" t="s">
        <v>146</v>
      </c>
      <c r="E3" s="606" t="s">
        <v>147</v>
      </c>
      <c r="F3" s="606" t="s">
        <v>148</v>
      </c>
      <c r="G3" s="606" t="s">
        <v>149</v>
      </c>
      <c r="H3" s="606" t="s">
        <v>150</v>
      </c>
      <c r="I3" s="606" t="s">
        <v>151</v>
      </c>
      <c r="J3" s="606" t="s">
        <v>152</v>
      </c>
      <c r="K3" s="606" t="s">
        <v>153</v>
      </c>
      <c r="L3" s="606" t="s">
        <v>154</v>
      </c>
      <c r="M3" s="606" t="s">
        <v>155</v>
      </c>
      <c r="N3" s="606" t="s">
        <v>156</v>
      </c>
      <c r="O3" s="606" t="s">
        <v>157</v>
      </c>
      <c r="P3" s="606" t="s">
        <v>158</v>
      </c>
      <c r="Q3" s="606" t="s">
        <v>159</v>
      </c>
      <c r="R3" s="606" t="s">
        <v>160</v>
      </c>
      <c r="S3" s="606" t="s">
        <v>16</v>
      </c>
      <c r="T3" s="606" t="s">
        <v>161</v>
      </c>
      <c r="U3" s="606" t="s">
        <v>162</v>
      </c>
      <c r="V3" s="606" t="s">
        <v>163</v>
      </c>
      <c r="W3" s="607" t="s">
        <v>164</v>
      </c>
      <c r="Z3" s="605" t="s">
        <v>143</v>
      </c>
      <c r="AA3" s="606" t="s">
        <v>144</v>
      </c>
      <c r="AB3" s="606" t="s">
        <v>145</v>
      </c>
      <c r="AC3" s="606" t="s">
        <v>146</v>
      </c>
      <c r="AD3" s="606" t="s">
        <v>147</v>
      </c>
      <c r="AE3" s="606" t="s">
        <v>148</v>
      </c>
      <c r="AF3" s="606" t="s">
        <v>149</v>
      </c>
      <c r="AG3" s="606" t="s">
        <v>150</v>
      </c>
      <c r="AH3" s="606" t="s">
        <v>151</v>
      </c>
      <c r="AI3" s="606" t="s">
        <v>152</v>
      </c>
      <c r="AJ3" s="606" t="s">
        <v>153</v>
      </c>
      <c r="AK3" s="606" t="s">
        <v>154</v>
      </c>
      <c r="AL3" s="606" t="s">
        <v>155</v>
      </c>
      <c r="AM3" s="606" t="s">
        <v>156</v>
      </c>
      <c r="AN3" s="606" t="s">
        <v>157</v>
      </c>
      <c r="AO3" s="606" t="s">
        <v>158</v>
      </c>
      <c r="AP3" s="606" t="s">
        <v>159</v>
      </c>
      <c r="AQ3" s="606" t="s">
        <v>160</v>
      </c>
      <c r="AR3" s="606" t="s">
        <v>16</v>
      </c>
      <c r="AS3" s="606" t="s">
        <v>161</v>
      </c>
      <c r="AT3" s="606" t="s">
        <v>162</v>
      </c>
      <c r="AU3" s="606" t="s">
        <v>163</v>
      </c>
      <c r="AV3" s="607" t="s">
        <v>164</v>
      </c>
      <c r="AY3" s="605" t="s">
        <v>143</v>
      </c>
      <c r="AZ3" s="606" t="s">
        <v>144</v>
      </c>
      <c r="BA3" s="606" t="s">
        <v>145</v>
      </c>
      <c r="BB3" s="606" t="s">
        <v>146</v>
      </c>
      <c r="BC3" s="606" t="s">
        <v>147</v>
      </c>
      <c r="BD3" s="606" t="s">
        <v>148</v>
      </c>
      <c r="BE3" s="606" t="s">
        <v>149</v>
      </c>
      <c r="BF3" s="606" t="s">
        <v>150</v>
      </c>
      <c r="BG3" s="606" t="s">
        <v>151</v>
      </c>
      <c r="BH3" s="606" t="s">
        <v>152</v>
      </c>
      <c r="BI3" s="606" t="s">
        <v>153</v>
      </c>
      <c r="BJ3" s="606" t="s">
        <v>154</v>
      </c>
      <c r="BK3" s="606" t="s">
        <v>155</v>
      </c>
      <c r="BL3" s="606" t="s">
        <v>156</v>
      </c>
      <c r="BM3" s="606" t="s">
        <v>157</v>
      </c>
      <c r="BN3" s="606" t="s">
        <v>158</v>
      </c>
      <c r="BO3" s="606" t="s">
        <v>159</v>
      </c>
      <c r="BP3" s="606" t="s">
        <v>160</v>
      </c>
      <c r="BQ3" s="606" t="s">
        <v>16</v>
      </c>
      <c r="BR3" s="606" t="s">
        <v>161</v>
      </c>
      <c r="BS3" s="606" t="s">
        <v>162</v>
      </c>
      <c r="BT3" s="606" t="s">
        <v>163</v>
      </c>
      <c r="BU3" s="607" t="s">
        <v>164</v>
      </c>
    </row>
    <row r="4" spans="1:73">
      <c r="A4" s="650" t="s">
        <v>1139</v>
      </c>
      <c r="B4" s="597" t="s">
        <v>179</v>
      </c>
      <c r="C4" s="597" t="s">
        <v>1147</v>
      </c>
      <c r="D4" s="598">
        <f>IFERROR(SFG_H[[#This Row],[H]]/SFG_H[[#This Row],[AB]],0)</f>
        <v>0.22758620689655173</v>
      </c>
      <c r="E4" s="598">
        <f>IFERROR((SFG_H[[#This Row],[H]]+SFG_H[[#This Row],[BB]])/(SFG_H[[#This Row],[BB]]+SFG_H[[#This Row],[AB]]),0)</f>
        <v>0.3</v>
      </c>
      <c r="F4" s="599">
        <f>IFERROR(((SFG_H[[#This Row],[H]]-SFG_H[[#This Row],[2B]]-SFG_H[[#This Row],[3B]]-SFG_H[[#This Row],[HR]])+(SFG_H[[#This Row],[2B]]*2)+(SFG_H[[#This Row],[3B]]*3)+(SFG_H[[#This Row],[HR]]*4))/SFG_H[[#This Row],[AB]],0)</f>
        <v>0.33103448275862069</v>
      </c>
      <c r="G4" s="600">
        <v>38</v>
      </c>
      <c r="H4" s="600">
        <v>145</v>
      </c>
      <c r="I4" s="600">
        <v>13</v>
      </c>
      <c r="J4" s="600">
        <v>33</v>
      </c>
      <c r="K4" s="600">
        <v>9</v>
      </c>
      <c r="L4" s="600">
        <v>0</v>
      </c>
      <c r="M4" s="600">
        <v>2</v>
      </c>
      <c r="N4" s="600">
        <v>11</v>
      </c>
      <c r="O4" s="600">
        <v>15</v>
      </c>
      <c r="P4" s="604">
        <v>27</v>
      </c>
      <c r="Q4" s="600">
        <v>0</v>
      </c>
      <c r="R4" s="600">
        <v>0</v>
      </c>
      <c r="S4" s="604">
        <v>6</v>
      </c>
      <c r="T4" s="600">
        <f>IFERROR((SFG_H[[#This Row],[H]]-SFG_H[[#This Row],[2B]]-SFG_H[[#This Row],[3B]]-SFG_H[[#This Row],[HR]])+(SFG_H[[#This Row],[2B]]*2)+(SFG_H[[#This Row],[3B]]*3)+(SFG_H[[#This Row],[HR]]*4),0)</f>
        <v>48</v>
      </c>
      <c r="U4" s="598">
        <f>SFG_H[[#This Row],[OBP]]+SFG_H[[#This Row],[SLG]]</f>
        <v>0.63103448275862073</v>
      </c>
      <c r="V4" s="604">
        <v>2</v>
      </c>
      <c r="W4" s="614">
        <v>1</v>
      </c>
      <c r="Z4" s="608" t="s">
        <v>1139</v>
      </c>
      <c r="AA4" s="597" t="s">
        <v>179</v>
      </c>
      <c r="AB4" s="597" t="s">
        <v>1147</v>
      </c>
      <c r="AC4" s="598">
        <f>IFERROR(SFG_H110[[#This Row],[H]]/SFG_H110[[#This Row],[AB]],0)</f>
        <v>0.28187919463087246</v>
      </c>
      <c r="AD4" s="598">
        <f>IFERROR((SFG_H110[[#This Row],[H]]+SFG_H110[[#This Row],[BB]])/(SFG_H110[[#This Row],[BB]]+SFG_H110[[#This Row],[AB]]),0)</f>
        <v>0.33124999999999999</v>
      </c>
      <c r="AE4" s="599">
        <f>IFERROR(((SFG_H110[[#This Row],[H]]-SFG_H110[[#This Row],[2B]]-SFG_H110[[#This Row],[3B]]-SFG_H110[[#This Row],[HR]])+(SFG_H110[[#This Row],[2B]]*2)+(SFG_H110[[#This Row],[3B]]*3)+(SFG_H110[[#This Row],[HR]]*4))/SFG_H110[[#This Row],[AB]],0)</f>
        <v>0.43624161073825501</v>
      </c>
      <c r="AF4" s="600">
        <v>38</v>
      </c>
      <c r="AG4" s="600">
        <v>149</v>
      </c>
      <c r="AH4" s="600">
        <v>18</v>
      </c>
      <c r="AI4" s="600">
        <v>42</v>
      </c>
      <c r="AJ4" s="600">
        <v>5</v>
      </c>
      <c r="AK4" s="600">
        <v>0</v>
      </c>
      <c r="AL4" s="600">
        <v>6</v>
      </c>
      <c r="AM4" s="600">
        <v>24</v>
      </c>
      <c r="AN4" s="600">
        <v>11</v>
      </c>
      <c r="AO4" s="604">
        <v>23</v>
      </c>
      <c r="AP4" s="600">
        <v>0</v>
      </c>
      <c r="AQ4" s="600">
        <v>1</v>
      </c>
      <c r="AR4" s="604">
        <v>9</v>
      </c>
      <c r="AS4" s="600">
        <f>IFERROR((SFG_H110[[#This Row],[H]]-SFG_H110[[#This Row],[2B]]-SFG_H110[[#This Row],[3B]]-SFG_H110[[#This Row],[HR]])+(SFG_H110[[#This Row],[2B]]*2)+(SFG_H110[[#This Row],[3B]]*3)+(SFG_H110[[#This Row],[HR]]*4),0)</f>
        <v>65</v>
      </c>
      <c r="AT4" s="598">
        <f>SFG_H110[[#This Row],[OBP]]+SFG_H110[[#This Row],[SLG]]</f>
        <v>0.767491610738255</v>
      </c>
      <c r="AU4" s="604">
        <v>4</v>
      </c>
      <c r="AV4" s="614">
        <v>1</v>
      </c>
      <c r="AY4" s="650" t="s">
        <v>1139</v>
      </c>
      <c r="AZ4" s="597" t="s">
        <v>179</v>
      </c>
      <c r="BA4" s="597" t="s">
        <v>1147</v>
      </c>
      <c r="BB4" s="598">
        <f>IFERROR(SFG_H117[[#This Row],[H]]/SFG_H117[[#This Row],[AB]],0)</f>
        <v>0.24342105263157895</v>
      </c>
      <c r="BC4" s="598">
        <f>IFERROR((SFG_H117[[#This Row],[BB]]+SFG_H117[[#This Row],[H]])/(SFG_H117[[#This Row],[BB]]+SFG_H117[[#This Row],[AB]]),0)</f>
        <v>0.30722891566265059</v>
      </c>
      <c r="BD4" s="599">
        <f>IFERROR(((SFG_H117[[#This Row],[H]]-SFG_H117[[#This Row],[2B]]-SFG_H117[[#This Row],[3B]]-SFG_H117[[#This Row],[HR]])+(SFG_H117[[#This Row],[2B]]*2)+(SFG_H117[[#This Row],[3B]]*3)+(SFG_H117[[#This Row],[HR]]*4))/SFG_H117[[#This Row],[AB]],0)</f>
        <v>0.38157894736842107</v>
      </c>
      <c r="BE4" s="600">
        <v>38</v>
      </c>
      <c r="BF4" s="600">
        <v>152</v>
      </c>
      <c r="BG4" s="600">
        <v>15</v>
      </c>
      <c r="BH4" s="600">
        <v>37</v>
      </c>
      <c r="BI4" s="600">
        <v>9</v>
      </c>
      <c r="BJ4" s="600">
        <v>0</v>
      </c>
      <c r="BK4" s="600">
        <v>4</v>
      </c>
      <c r="BL4" s="600">
        <v>19</v>
      </c>
      <c r="BM4" s="600">
        <v>14</v>
      </c>
      <c r="BN4" s="604">
        <v>31</v>
      </c>
      <c r="BO4" s="600">
        <v>0</v>
      </c>
      <c r="BP4" s="600">
        <v>3</v>
      </c>
      <c r="BQ4" s="604">
        <v>7</v>
      </c>
      <c r="BR4" s="600">
        <f>(SFG_H117[[#This Row],[H]]-SFG_H117[[#This Row],[2B]]-SFG_H117[[#This Row],[3B]]-SFG_H117[[#This Row],[HR]])+(SFG_H117[[#This Row],[2B]]*2)+(SFG_H117[[#This Row],[3B]]*3)+(SFG_H117[[#This Row],[HR]]*4)</f>
        <v>58</v>
      </c>
      <c r="BS4" s="598">
        <f>IFERROR(SFG_H117[[#This Row],[OBP]]+SFG_H117[[#This Row],[SLG]],0)</f>
        <v>0.68880786303107167</v>
      </c>
      <c r="BT4" s="604">
        <v>4</v>
      </c>
      <c r="BU4" s="614">
        <v>1</v>
      </c>
    </row>
    <row r="5" spans="1:73">
      <c r="A5" s="651" t="s">
        <v>1139</v>
      </c>
      <c r="B5" s="71" t="s">
        <v>154</v>
      </c>
      <c r="C5" s="71" t="s">
        <v>1141</v>
      </c>
      <c r="D5" s="72">
        <f>IFERROR(SFG_H[[#This Row],[H]]/SFG_H[[#This Row],[AB]],0)</f>
        <v>0.23776223776223776</v>
      </c>
      <c r="E5" s="72">
        <f>IFERROR((SFG_H[[#This Row],[H]]+SFG_H[[#This Row],[BB]])/(SFG_H[[#This Row],[BB]]+SFG_H[[#This Row],[AB]]),0)</f>
        <v>0.310126582278481</v>
      </c>
      <c r="F5" s="73">
        <f>IFERROR(((SFG_H[[#This Row],[H]]-SFG_H[[#This Row],[2B]]-SFG_H[[#This Row],[3B]]-SFG_H[[#This Row],[HR]])+(SFG_H[[#This Row],[2B]]*2)+(SFG_H[[#This Row],[3B]]*3)+(SFG_H[[#This Row],[HR]]*4))/SFG_H[[#This Row],[AB]],0)</f>
        <v>0.42657342657342656</v>
      </c>
      <c r="G5" s="28">
        <v>38</v>
      </c>
      <c r="H5" s="28">
        <v>143</v>
      </c>
      <c r="I5" s="28">
        <v>14</v>
      </c>
      <c r="J5" s="28">
        <v>34</v>
      </c>
      <c r="K5" s="28">
        <v>4</v>
      </c>
      <c r="L5" s="28">
        <v>1</v>
      </c>
      <c r="M5" s="28">
        <v>7</v>
      </c>
      <c r="N5" s="28">
        <v>19</v>
      </c>
      <c r="O5" s="28">
        <v>15</v>
      </c>
      <c r="P5" s="74">
        <v>42</v>
      </c>
      <c r="Q5" s="28">
        <v>0</v>
      </c>
      <c r="R5" s="28">
        <v>0</v>
      </c>
      <c r="S5" s="74">
        <v>7</v>
      </c>
      <c r="T5" s="28">
        <f>IFERROR((SFG_H[[#This Row],[H]]-SFG_H[[#This Row],[2B]]-SFG_H[[#This Row],[3B]]-SFG_H[[#This Row],[HR]])+(SFG_H[[#This Row],[2B]]*2)+(SFG_H[[#This Row],[3B]]*3)+(SFG_H[[#This Row],[HR]]*4),0)</f>
        <v>61</v>
      </c>
      <c r="U5" s="72">
        <f>SFG_H[[#This Row],[OBP]]+SFG_H[[#This Row],[SLG]]</f>
        <v>0.73670000885190756</v>
      </c>
      <c r="V5" s="74">
        <v>4</v>
      </c>
      <c r="W5" s="615">
        <v>2</v>
      </c>
      <c r="Z5" s="609" t="s">
        <v>1139</v>
      </c>
      <c r="AA5" s="345" t="s">
        <v>154</v>
      </c>
      <c r="AB5" s="345" t="s">
        <v>1141</v>
      </c>
      <c r="AC5" s="72">
        <f>IFERROR(SFG_H110[[#This Row],[H]]/SFG_H110[[#This Row],[AB]],0)</f>
        <v>0.30625000000000002</v>
      </c>
      <c r="AD5" s="72">
        <f>IFERROR((SFG_H110[[#This Row],[H]]+SFG_H110[[#This Row],[BB]])/(SFG_H110[[#This Row],[BB]]+SFG_H110[[#This Row],[AB]]),0)</f>
        <v>0.36571428571428571</v>
      </c>
      <c r="AE5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0.61250000000000004</v>
      </c>
      <c r="AF5" s="28">
        <v>40</v>
      </c>
      <c r="AG5" s="28">
        <v>160</v>
      </c>
      <c r="AH5" s="76">
        <v>30</v>
      </c>
      <c r="AI5" s="28">
        <v>49</v>
      </c>
      <c r="AJ5" s="28">
        <v>10</v>
      </c>
      <c r="AK5" s="28">
        <v>0</v>
      </c>
      <c r="AL5" s="28">
        <v>13</v>
      </c>
      <c r="AM5" s="76">
        <v>33</v>
      </c>
      <c r="AN5" s="28">
        <v>15</v>
      </c>
      <c r="AO5" s="74">
        <v>36</v>
      </c>
      <c r="AP5" s="28">
        <v>0</v>
      </c>
      <c r="AQ5" s="28">
        <v>2</v>
      </c>
      <c r="AR5" s="74">
        <v>11</v>
      </c>
      <c r="AS5" s="28">
        <f>IFERROR((SFG_H110[[#This Row],[H]]-SFG_H110[[#This Row],[2B]]-SFG_H110[[#This Row],[3B]]-SFG_H110[[#This Row],[HR]])+(SFG_H110[[#This Row],[2B]]*2)+(SFG_H110[[#This Row],[3B]]*3)+(SFG_H110[[#This Row],[HR]]*4),0)</f>
        <v>98</v>
      </c>
      <c r="AT5" s="72">
        <f>SFG_H110[[#This Row],[OBP]]+SFG_H110[[#This Row],[SLG]]</f>
        <v>0.9782142857142857</v>
      </c>
      <c r="AU5" s="74">
        <v>5</v>
      </c>
      <c r="AV5" s="615">
        <v>2</v>
      </c>
      <c r="AY5" s="651" t="s">
        <v>1139</v>
      </c>
      <c r="AZ5" s="71" t="s">
        <v>154</v>
      </c>
      <c r="BA5" s="71" t="s">
        <v>1141</v>
      </c>
      <c r="BB5" s="72">
        <f>IFERROR(SFG_H117[[#This Row],[H]]/SFG_H117[[#This Row],[AB]],0)</f>
        <v>0.2348993288590604</v>
      </c>
      <c r="BC5" s="72">
        <f>IFERROR((SFG_H117[[#This Row],[BB]]+SFG_H117[[#This Row],[H]])/(SFG_H117[[#This Row],[BB]]+SFG_H117[[#This Row],[AB]]),0)</f>
        <v>0.29629629629629628</v>
      </c>
      <c r="BD5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0.3825503355704698</v>
      </c>
      <c r="BE5" s="28">
        <v>38</v>
      </c>
      <c r="BF5" s="28">
        <v>149</v>
      </c>
      <c r="BG5" s="28">
        <v>15</v>
      </c>
      <c r="BH5" s="28">
        <v>35</v>
      </c>
      <c r="BI5" s="28">
        <v>7</v>
      </c>
      <c r="BJ5" s="28">
        <v>0</v>
      </c>
      <c r="BK5" s="28">
        <v>5</v>
      </c>
      <c r="BL5" s="28">
        <v>24</v>
      </c>
      <c r="BM5" s="28">
        <v>13</v>
      </c>
      <c r="BN5" s="74">
        <v>39</v>
      </c>
      <c r="BO5" s="28">
        <v>0</v>
      </c>
      <c r="BP5" s="28">
        <v>2</v>
      </c>
      <c r="BQ5" s="74">
        <v>6</v>
      </c>
      <c r="BR5" s="28">
        <f>(SFG_H117[[#This Row],[H]]-SFG_H117[[#This Row],[2B]]-SFG_H117[[#This Row],[3B]]-SFG_H117[[#This Row],[HR]])+(SFG_H117[[#This Row],[2B]]*2)+(SFG_H117[[#This Row],[3B]]*3)+(SFG_H117[[#This Row],[HR]]*4)</f>
        <v>57</v>
      </c>
      <c r="BS5" s="72">
        <f>IFERROR(SFG_H117[[#This Row],[OBP]]+SFG_H117[[#This Row],[SLG]],0)</f>
        <v>0.67884663186676608</v>
      </c>
      <c r="BT5" s="74">
        <v>2</v>
      </c>
      <c r="BU5" s="615">
        <v>2</v>
      </c>
    </row>
    <row r="6" spans="1:73">
      <c r="A6" s="651" t="s">
        <v>1139</v>
      </c>
      <c r="B6" s="71" t="s">
        <v>172</v>
      </c>
      <c r="C6" s="71" t="s">
        <v>1140</v>
      </c>
      <c r="D6" s="72">
        <f>IFERROR(SFG_H[[#This Row],[H]]/SFG_H[[#This Row],[AB]],0)</f>
        <v>0.23448275862068965</v>
      </c>
      <c r="E6" s="72">
        <f>IFERROR((SFG_H[[#This Row],[H]]+SFG_H[[#This Row],[BB]])/(SFG_H[[#This Row],[BB]]+SFG_H[[#This Row],[AB]]),0)</f>
        <v>0.29746835443037972</v>
      </c>
      <c r="F6" s="73">
        <f>IFERROR(((SFG_H[[#This Row],[H]]-SFG_H[[#This Row],[2B]]-SFG_H[[#This Row],[3B]]-SFG_H[[#This Row],[HR]])+(SFG_H[[#This Row],[2B]]*2)+(SFG_H[[#This Row],[3B]]*3)+(SFG_H[[#This Row],[HR]]*4))/SFG_H[[#This Row],[AB]],0)</f>
        <v>0.42758620689655175</v>
      </c>
      <c r="G6" s="28">
        <v>40</v>
      </c>
      <c r="H6" s="28">
        <v>145</v>
      </c>
      <c r="I6" s="28">
        <v>17</v>
      </c>
      <c r="J6" s="28">
        <v>34</v>
      </c>
      <c r="K6" s="28">
        <v>10</v>
      </c>
      <c r="L6" s="28">
        <v>0</v>
      </c>
      <c r="M6" s="28">
        <v>6</v>
      </c>
      <c r="N6" s="28">
        <v>18</v>
      </c>
      <c r="O6" s="28">
        <v>13</v>
      </c>
      <c r="P6" s="74">
        <v>36</v>
      </c>
      <c r="Q6" s="28">
        <v>0</v>
      </c>
      <c r="R6" s="28">
        <v>14</v>
      </c>
      <c r="S6" s="74">
        <v>14</v>
      </c>
      <c r="T6" s="28">
        <f>IFERROR((SFG_H[[#This Row],[H]]-SFG_H[[#This Row],[2B]]-SFG_H[[#This Row],[3B]]-SFG_H[[#This Row],[HR]])+(SFG_H[[#This Row],[2B]]*2)+(SFG_H[[#This Row],[3B]]*3)+(SFG_H[[#This Row],[HR]]*4),0)</f>
        <v>62</v>
      </c>
      <c r="U6" s="72">
        <f>SFG_H[[#This Row],[OBP]]+SFG_H[[#This Row],[SLG]]</f>
        <v>0.72505456132693147</v>
      </c>
      <c r="V6" s="74">
        <v>2</v>
      </c>
      <c r="W6" s="615">
        <v>3</v>
      </c>
      <c r="Z6" s="609" t="s">
        <v>1139</v>
      </c>
      <c r="AA6" s="71" t="s">
        <v>172</v>
      </c>
      <c r="AB6" s="71" t="s">
        <v>1140</v>
      </c>
      <c r="AC6" s="72">
        <f>IFERROR(SFG_H110[[#This Row],[H]]/SFG_H110[[#This Row],[AB]],0)</f>
        <v>0.22307692307692309</v>
      </c>
      <c r="AD6" s="72">
        <f>IFERROR((SFG_H110[[#This Row],[H]]+SFG_H110[[#This Row],[BB]])/(SFG_H110[[#This Row],[BB]]+SFG_H110[[#This Row],[AB]]),0)</f>
        <v>0.2937062937062937</v>
      </c>
      <c r="AE6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0.3</v>
      </c>
      <c r="AF6" s="28">
        <v>37</v>
      </c>
      <c r="AG6" s="28">
        <v>130</v>
      </c>
      <c r="AH6" s="28">
        <v>10</v>
      </c>
      <c r="AI6" s="28">
        <v>29</v>
      </c>
      <c r="AJ6" s="28">
        <v>3</v>
      </c>
      <c r="AK6" s="28">
        <v>2</v>
      </c>
      <c r="AL6" s="28">
        <v>1</v>
      </c>
      <c r="AM6" s="28">
        <v>10</v>
      </c>
      <c r="AN6" s="28">
        <v>13</v>
      </c>
      <c r="AO6" s="74">
        <v>35</v>
      </c>
      <c r="AP6" s="28">
        <v>0</v>
      </c>
      <c r="AQ6" s="28">
        <v>2</v>
      </c>
      <c r="AR6" s="74">
        <v>5</v>
      </c>
      <c r="AS6" s="28">
        <f>IFERROR((SFG_H110[[#This Row],[H]]-SFG_H110[[#This Row],[2B]]-SFG_H110[[#This Row],[3B]]-SFG_H110[[#This Row],[HR]])+(SFG_H110[[#This Row],[2B]]*2)+(SFG_H110[[#This Row],[3B]]*3)+(SFG_H110[[#This Row],[HR]]*4),0)</f>
        <v>39</v>
      </c>
      <c r="AT6" s="72">
        <f>SFG_H110[[#This Row],[OBP]]+SFG_H110[[#This Row],[SLG]]</f>
        <v>0.59370629370629369</v>
      </c>
      <c r="AU6" s="74">
        <v>1</v>
      </c>
      <c r="AV6" s="615">
        <v>3</v>
      </c>
      <c r="AY6" s="651" t="s">
        <v>1139</v>
      </c>
      <c r="AZ6" s="71" t="s">
        <v>172</v>
      </c>
      <c r="BA6" s="71" t="s">
        <v>1140</v>
      </c>
      <c r="BB6" s="72">
        <f>IFERROR(SFG_H117[[#This Row],[H]]/SFG_H117[[#This Row],[AB]],0)</f>
        <v>0.28813559322033899</v>
      </c>
      <c r="BC6" s="72">
        <f>IFERROR((SFG_H117[[#This Row],[BB]]+SFG_H117[[#This Row],[H]])/(SFG_H117[[#This Row],[BB]]+SFG_H117[[#This Row],[AB]]),0)</f>
        <v>0.36363636363636365</v>
      </c>
      <c r="BD6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0.4576271186440678</v>
      </c>
      <c r="BE6" s="28">
        <v>36</v>
      </c>
      <c r="BF6" s="28">
        <v>118</v>
      </c>
      <c r="BG6" s="28">
        <v>8</v>
      </c>
      <c r="BH6" s="28">
        <v>34</v>
      </c>
      <c r="BI6" s="28">
        <v>6</v>
      </c>
      <c r="BJ6" s="28">
        <v>1</v>
      </c>
      <c r="BK6" s="28">
        <v>4</v>
      </c>
      <c r="BL6" s="28">
        <v>11</v>
      </c>
      <c r="BM6" s="28">
        <v>14</v>
      </c>
      <c r="BN6" s="74">
        <v>18</v>
      </c>
      <c r="BO6" s="28">
        <v>0</v>
      </c>
      <c r="BP6" s="28">
        <v>0</v>
      </c>
      <c r="BQ6" s="74">
        <v>8</v>
      </c>
      <c r="BR6" s="28">
        <f>(SFG_H117[[#This Row],[H]]-SFG_H117[[#This Row],[2B]]-SFG_H117[[#This Row],[3B]]-SFG_H117[[#This Row],[HR]])+(SFG_H117[[#This Row],[2B]]*2)+(SFG_H117[[#This Row],[3B]]*3)+(SFG_H117[[#This Row],[HR]]*4)</f>
        <v>54</v>
      </c>
      <c r="BS6" s="72">
        <f>IFERROR(SFG_H117[[#This Row],[OBP]]+SFG_H117[[#This Row],[SLG]],0)</f>
        <v>0.82126348228043144</v>
      </c>
      <c r="BT6" s="74">
        <v>2</v>
      </c>
      <c r="BU6" s="615">
        <v>3</v>
      </c>
    </row>
    <row r="7" spans="1:73">
      <c r="A7" s="651" t="s">
        <v>1139</v>
      </c>
      <c r="B7" s="71" t="s">
        <v>153</v>
      </c>
      <c r="C7" s="71" t="s">
        <v>1150</v>
      </c>
      <c r="D7" s="72">
        <f>IFERROR(SFG_H[[#This Row],[H]]/SFG_H[[#This Row],[AB]],0)</f>
        <v>0.29032258064516131</v>
      </c>
      <c r="E7" s="72">
        <f>IFERROR((SFG_H[[#This Row],[H]]+SFG_H[[#This Row],[BB]])/(SFG_H[[#This Row],[BB]]+SFG_H[[#This Row],[AB]]),0)</f>
        <v>0.34653465346534651</v>
      </c>
      <c r="F7" s="73">
        <f>IFERROR(((SFG_H[[#This Row],[H]]-SFG_H[[#This Row],[2B]]-SFG_H[[#This Row],[3B]]-SFG_H[[#This Row],[HR]])+(SFG_H[[#This Row],[2B]]*2)+(SFG_H[[#This Row],[3B]]*3)+(SFG_H[[#This Row],[HR]]*4))/SFG_H[[#This Row],[AB]],0)</f>
        <v>0.43010752688172044</v>
      </c>
      <c r="G7" s="28">
        <v>26</v>
      </c>
      <c r="H7" s="28">
        <v>93</v>
      </c>
      <c r="I7" s="28">
        <v>12</v>
      </c>
      <c r="J7" s="28">
        <v>27</v>
      </c>
      <c r="K7" s="28">
        <v>9</v>
      </c>
      <c r="L7" s="28">
        <v>2</v>
      </c>
      <c r="M7" s="28">
        <v>0</v>
      </c>
      <c r="N7" s="28">
        <v>9</v>
      </c>
      <c r="O7" s="28">
        <v>8</v>
      </c>
      <c r="P7" s="74">
        <v>29</v>
      </c>
      <c r="Q7" s="28">
        <v>0</v>
      </c>
      <c r="R7" s="28">
        <v>0</v>
      </c>
      <c r="S7" s="74">
        <v>5</v>
      </c>
      <c r="T7" s="28">
        <f>IFERROR((SFG_H[[#This Row],[H]]-SFG_H[[#This Row],[2B]]-SFG_H[[#This Row],[3B]]-SFG_H[[#This Row],[HR]])+(SFG_H[[#This Row],[2B]]*2)+(SFG_H[[#This Row],[3B]]*3)+(SFG_H[[#This Row],[HR]]*4),0)</f>
        <v>40</v>
      </c>
      <c r="U7" s="72">
        <f>SFG_H[[#This Row],[OBP]]+SFG_H[[#This Row],[SLG]]</f>
        <v>0.77664218034706689</v>
      </c>
      <c r="V7" s="74">
        <v>2</v>
      </c>
      <c r="W7" s="615">
        <v>4</v>
      </c>
      <c r="Z7" s="609" t="s">
        <v>1139</v>
      </c>
      <c r="AA7" s="71" t="s">
        <v>153</v>
      </c>
      <c r="AB7" s="71" t="s">
        <v>1148</v>
      </c>
      <c r="AC7" s="72">
        <f>IFERROR(SFG_H110[[#This Row],[H]]/SFG_H110[[#This Row],[AB]],0)</f>
        <v>0.28947368421052633</v>
      </c>
      <c r="AD7" s="72">
        <f>IFERROR((SFG_H110[[#This Row],[H]]+SFG_H110[[#This Row],[BB]])/(SFG_H110[[#This Row],[BB]]+SFG_H110[[#This Row],[AB]]),0)</f>
        <v>0.32500000000000001</v>
      </c>
      <c r="AE7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0.42105263157894735</v>
      </c>
      <c r="AF7" s="28">
        <v>31</v>
      </c>
      <c r="AG7" s="28">
        <v>114</v>
      </c>
      <c r="AH7" s="28">
        <v>13</v>
      </c>
      <c r="AI7" s="28">
        <v>33</v>
      </c>
      <c r="AJ7" s="28">
        <v>12</v>
      </c>
      <c r="AK7" s="28">
        <v>0</v>
      </c>
      <c r="AL7" s="28">
        <v>1</v>
      </c>
      <c r="AM7" s="28">
        <v>12</v>
      </c>
      <c r="AN7" s="28">
        <v>6</v>
      </c>
      <c r="AO7" s="74">
        <v>20</v>
      </c>
      <c r="AP7" s="28">
        <v>0</v>
      </c>
      <c r="AQ7" s="28">
        <v>3</v>
      </c>
      <c r="AR7" s="74">
        <v>11</v>
      </c>
      <c r="AS7" s="28">
        <f>IFERROR((SFG_H110[[#This Row],[H]]-SFG_H110[[#This Row],[2B]]-SFG_H110[[#This Row],[3B]]-SFG_H110[[#This Row],[HR]])+(SFG_H110[[#This Row],[2B]]*2)+(SFG_H110[[#This Row],[3B]]*3)+(SFG_H110[[#This Row],[HR]]*4),0)</f>
        <v>48</v>
      </c>
      <c r="AT7" s="72">
        <f>SFG_H110[[#This Row],[OBP]]+SFG_H110[[#This Row],[SLG]]</f>
        <v>0.7460526315789473</v>
      </c>
      <c r="AU7" s="74">
        <v>0</v>
      </c>
      <c r="AV7" s="615">
        <v>4</v>
      </c>
      <c r="AY7" s="651" t="s">
        <v>1139</v>
      </c>
      <c r="AZ7" s="71" t="s">
        <v>153</v>
      </c>
      <c r="BA7" s="71" t="s">
        <v>1150</v>
      </c>
      <c r="BB7" s="72">
        <f>IFERROR(SFG_H117[[#This Row],[H]]/SFG_H117[[#This Row],[AB]],0)</f>
        <v>0.22784810126582278</v>
      </c>
      <c r="BC7" s="72">
        <f>IFERROR((SFG_H117[[#This Row],[BB]]+SFG_H117[[#This Row],[H]])/(SFG_H117[[#This Row],[BB]]+SFG_H117[[#This Row],[AB]]),0)</f>
        <v>0.25609756097560976</v>
      </c>
      <c r="BD7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0.35443037974683544</v>
      </c>
      <c r="BE7" s="28">
        <v>27</v>
      </c>
      <c r="BF7" s="28">
        <v>79</v>
      </c>
      <c r="BG7" s="28">
        <v>10</v>
      </c>
      <c r="BH7" s="28">
        <v>18</v>
      </c>
      <c r="BI7" s="28">
        <v>4</v>
      </c>
      <c r="BJ7" s="28">
        <v>0</v>
      </c>
      <c r="BK7" s="28">
        <v>2</v>
      </c>
      <c r="BL7" s="28">
        <v>7</v>
      </c>
      <c r="BM7" s="28">
        <v>3</v>
      </c>
      <c r="BN7" s="74">
        <v>12</v>
      </c>
      <c r="BO7" s="28">
        <v>0</v>
      </c>
      <c r="BP7" s="28">
        <v>0</v>
      </c>
      <c r="BQ7" s="74">
        <v>4</v>
      </c>
      <c r="BR7" s="28">
        <f>(SFG_H117[[#This Row],[H]]-SFG_H117[[#This Row],[2B]]-SFG_H117[[#This Row],[3B]]-SFG_H117[[#This Row],[HR]])+(SFG_H117[[#This Row],[2B]]*2)+(SFG_H117[[#This Row],[3B]]*3)+(SFG_H117[[#This Row],[HR]]*4)</f>
        <v>28</v>
      </c>
      <c r="BS7" s="72">
        <f>IFERROR(SFG_H117[[#This Row],[OBP]]+SFG_H117[[#This Row],[SLG]],0)</f>
        <v>0.61052794072244521</v>
      </c>
      <c r="BT7" s="74">
        <v>1</v>
      </c>
      <c r="BU7" s="615">
        <v>4</v>
      </c>
    </row>
    <row r="8" spans="1:73">
      <c r="A8" s="651" t="s">
        <v>1139</v>
      </c>
      <c r="B8" s="71" t="s">
        <v>177</v>
      </c>
      <c r="C8" s="71" t="s">
        <v>1146</v>
      </c>
      <c r="D8" s="72">
        <f>IFERROR(SFG_H[[#This Row],[H]]/SFG_H[[#This Row],[AB]],0)</f>
        <v>0.2831858407079646</v>
      </c>
      <c r="E8" s="72">
        <f>IFERROR((SFG_H[[#This Row],[H]]+SFG_H[[#This Row],[BB]])/(SFG_H[[#This Row],[BB]]+SFG_H[[#This Row],[AB]]),0)</f>
        <v>0.3671875</v>
      </c>
      <c r="F8" s="73">
        <f>IFERROR(((SFG_H[[#This Row],[H]]-SFG_H[[#This Row],[2B]]-SFG_H[[#This Row],[3B]]-SFG_H[[#This Row],[HR]])+(SFG_H[[#This Row],[2B]]*2)+(SFG_H[[#This Row],[3B]]*3)+(SFG_H[[#This Row],[HR]]*4))/SFG_H[[#This Row],[AB]],0)</f>
        <v>0.52212389380530977</v>
      </c>
      <c r="G8" s="28">
        <v>33</v>
      </c>
      <c r="H8" s="28">
        <v>113</v>
      </c>
      <c r="I8" s="28">
        <v>20</v>
      </c>
      <c r="J8" s="28">
        <v>32</v>
      </c>
      <c r="K8" s="28">
        <v>3</v>
      </c>
      <c r="L8" s="28">
        <v>3</v>
      </c>
      <c r="M8" s="28">
        <v>6</v>
      </c>
      <c r="N8" s="28">
        <v>12</v>
      </c>
      <c r="O8" s="28">
        <v>15</v>
      </c>
      <c r="P8" s="74">
        <v>36</v>
      </c>
      <c r="Q8" s="28">
        <v>0</v>
      </c>
      <c r="R8" s="28">
        <v>6</v>
      </c>
      <c r="S8" s="74">
        <v>6</v>
      </c>
      <c r="T8" s="28">
        <f>IFERROR((SFG_H[[#This Row],[H]]-SFG_H[[#This Row],[2B]]-SFG_H[[#This Row],[3B]]-SFG_H[[#This Row],[HR]])+(SFG_H[[#This Row],[2B]]*2)+(SFG_H[[#This Row],[3B]]*3)+(SFG_H[[#This Row],[HR]]*4),0)</f>
        <v>59</v>
      </c>
      <c r="U8" s="72">
        <f>SFG_H[[#This Row],[OBP]]+SFG_H[[#This Row],[SLG]]</f>
        <v>0.88931139380530977</v>
      </c>
      <c r="V8" s="74">
        <v>2</v>
      </c>
      <c r="W8" s="615">
        <v>5</v>
      </c>
      <c r="Z8" s="609" t="s">
        <v>1139</v>
      </c>
      <c r="AA8" s="71" t="s">
        <v>177</v>
      </c>
      <c r="AB8" s="71" t="s">
        <v>1146</v>
      </c>
      <c r="AC8" s="72">
        <f>IFERROR(SFG_H110[[#This Row],[H]]/SFG_H110[[#This Row],[AB]],0)</f>
        <v>0.22935779816513763</v>
      </c>
      <c r="AD8" s="72">
        <f>IFERROR((SFG_H110[[#This Row],[H]]+SFG_H110[[#This Row],[BB]])/(SFG_H110[[#This Row],[BB]]+SFG_H110[[#This Row],[AB]]),0)</f>
        <v>0.38235294117647056</v>
      </c>
      <c r="AE8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0.39449541284403672</v>
      </c>
      <c r="AF8" s="28">
        <v>35</v>
      </c>
      <c r="AG8" s="28">
        <v>109</v>
      </c>
      <c r="AH8" s="28">
        <v>17</v>
      </c>
      <c r="AI8" s="28">
        <v>25</v>
      </c>
      <c r="AJ8" s="28">
        <v>6</v>
      </c>
      <c r="AK8" s="28">
        <v>0</v>
      </c>
      <c r="AL8" s="28">
        <v>4</v>
      </c>
      <c r="AM8" s="28">
        <v>15</v>
      </c>
      <c r="AN8" s="28">
        <v>27</v>
      </c>
      <c r="AO8" s="74">
        <v>38</v>
      </c>
      <c r="AP8" s="28">
        <v>0</v>
      </c>
      <c r="AQ8" s="28">
        <v>0</v>
      </c>
      <c r="AR8" s="74">
        <v>6</v>
      </c>
      <c r="AS8" s="28">
        <f>IFERROR((SFG_H110[[#This Row],[H]]-SFG_H110[[#This Row],[2B]]-SFG_H110[[#This Row],[3B]]-SFG_H110[[#This Row],[HR]])+(SFG_H110[[#This Row],[2B]]*2)+(SFG_H110[[#This Row],[3B]]*3)+(SFG_H110[[#This Row],[HR]]*4),0)</f>
        <v>43</v>
      </c>
      <c r="AT8" s="72">
        <f>SFG_H110[[#This Row],[OBP]]+SFG_H110[[#This Row],[SLG]]</f>
        <v>0.77684835402050734</v>
      </c>
      <c r="AU8" s="74">
        <v>3</v>
      </c>
      <c r="AV8" s="615">
        <v>5</v>
      </c>
      <c r="AY8" s="651" t="s">
        <v>1139</v>
      </c>
      <c r="AZ8" s="71" t="s">
        <v>177</v>
      </c>
      <c r="BA8" s="71" t="s">
        <v>1146</v>
      </c>
      <c r="BB8" s="72">
        <f>IFERROR(SFG_H117[[#This Row],[H]]/SFG_H117[[#This Row],[AB]],0)</f>
        <v>0.27642276422764228</v>
      </c>
      <c r="BC8" s="72">
        <f>IFERROR((SFG_H117[[#This Row],[BB]]+SFG_H117[[#This Row],[H]])/(SFG_H117[[#This Row],[BB]]+SFG_H117[[#This Row],[AB]]),0)</f>
        <v>0.35036496350364965</v>
      </c>
      <c r="BD8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0.47967479674796748</v>
      </c>
      <c r="BE8" s="28">
        <v>37</v>
      </c>
      <c r="BF8" s="28">
        <v>123</v>
      </c>
      <c r="BG8" s="28">
        <v>16</v>
      </c>
      <c r="BH8" s="28">
        <v>34</v>
      </c>
      <c r="BI8" s="28">
        <v>8</v>
      </c>
      <c r="BJ8" s="28">
        <v>1</v>
      </c>
      <c r="BK8" s="28">
        <v>5</v>
      </c>
      <c r="BL8" s="28">
        <v>22</v>
      </c>
      <c r="BM8" s="28">
        <v>14</v>
      </c>
      <c r="BN8" s="74">
        <v>34</v>
      </c>
      <c r="BO8" s="28">
        <v>0</v>
      </c>
      <c r="BP8" s="28">
        <v>0</v>
      </c>
      <c r="BQ8" s="74">
        <v>3</v>
      </c>
      <c r="BR8" s="28">
        <f>(SFG_H117[[#This Row],[H]]-SFG_H117[[#This Row],[2B]]-SFG_H117[[#This Row],[3B]]-SFG_H117[[#This Row],[HR]])+(SFG_H117[[#This Row],[2B]]*2)+(SFG_H117[[#This Row],[3B]]*3)+(SFG_H117[[#This Row],[HR]]*4)</f>
        <v>59</v>
      </c>
      <c r="BS8" s="72">
        <f>IFERROR(SFG_H117[[#This Row],[OBP]]+SFG_H117[[#This Row],[SLG]],0)</f>
        <v>0.83003976025161719</v>
      </c>
      <c r="BT8" s="74">
        <v>4</v>
      </c>
      <c r="BU8" s="615">
        <v>5</v>
      </c>
    </row>
    <row r="9" spans="1:73">
      <c r="A9" s="651" t="s">
        <v>1139</v>
      </c>
      <c r="B9" s="71" t="s">
        <v>174</v>
      </c>
      <c r="C9" s="71" t="s">
        <v>1149</v>
      </c>
      <c r="D9" s="72">
        <f>IFERROR(SFG_H[[#This Row],[H]]/SFG_H[[#This Row],[AB]],0)</f>
        <v>0.23636363636363636</v>
      </c>
      <c r="E9" s="72">
        <f>IFERROR((SFG_H[[#This Row],[H]]+SFG_H[[#This Row],[BB]])/(SFG_H[[#This Row],[BB]]+SFG_H[[#This Row],[AB]]),0)</f>
        <v>0.32258064516129031</v>
      </c>
      <c r="F9" s="73">
        <f>IFERROR(((SFG_H[[#This Row],[H]]-SFG_H[[#This Row],[2B]]-SFG_H[[#This Row],[3B]]-SFG_H[[#This Row],[HR]])+(SFG_H[[#This Row],[2B]]*2)+(SFG_H[[#This Row],[3B]]*3)+(SFG_H[[#This Row],[HR]]*4))/SFG_H[[#This Row],[AB]],0)</f>
        <v>0.31818181818181818</v>
      </c>
      <c r="G9" s="28">
        <v>33</v>
      </c>
      <c r="H9" s="28">
        <v>110</v>
      </c>
      <c r="I9" s="28">
        <v>9</v>
      </c>
      <c r="J9" s="28">
        <v>26</v>
      </c>
      <c r="K9" s="28">
        <v>3</v>
      </c>
      <c r="L9" s="28">
        <v>0</v>
      </c>
      <c r="M9" s="28">
        <v>2</v>
      </c>
      <c r="N9" s="28">
        <v>10</v>
      </c>
      <c r="O9" s="28">
        <v>14</v>
      </c>
      <c r="P9" s="74">
        <v>26</v>
      </c>
      <c r="Q9" s="28">
        <v>0</v>
      </c>
      <c r="R9" s="28">
        <v>9</v>
      </c>
      <c r="S9" s="74">
        <v>9</v>
      </c>
      <c r="T9" s="28">
        <f>IFERROR((SFG_H[[#This Row],[H]]-SFG_H[[#This Row],[2B]]-SFG_H[[#This Row],[3B]]-SFG_H[[#This Row],[HR]])+(SFG_H[[#This Row],[2B]]*2)+(SFG_H[[#This Row],[3B]]*3)+(SFG_H[[#This Row],[HR]]*4),0)</f>
        <v>35</v>
      </c>
      <c r="U9" s="72">
        <f>SFG_H[[#This Row],[OBP]]+SFG_H[[#This Row],[SLG]]</f>
        <v>0.64076246334310849</v>
      </c>
      <c r="V9" s="74">
        <v>1</v>
      </c>
      <c r="W9" s="615">
        <v>6</v>
      </c>
      <c r="Z9" s="609" t="s">
        <v>1139</v>
      </c>
      <c r="AA9" s="71" t="s">
        <v>174</v>
      </c>
      <c r="AB9" s="71" t="s">
        <v>1142</v>
      </c>
      <c r="AC9" s="72">
        <f>IFERROR(SFG_H110[[#This Row],[H]]/SFG_H110[[#This Row],[AB]],0)</f>
        <v>0.2620689655172414</v>
      </c>
      <c r="AD9" s="72">
        <f>IFERROR((SFG_H110[[#This Row],[H]]+SFG_H110[[#This Row],[BB]])/(SFG_H110[[#This Row],[BB]]+SFG_H110[[#This Row],[AB]]),0)</f>
        <v>0.34756097560975607</v>
      </c>
      <c r="AE9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0.53793103448275859</v>
      </c>
      <c r="AF9" s="28">
        <v>38</v>
      </c>
      <c r="AG9" s="28">
        <v>145</v>
      </c>
      <c r="AH9" s="28">
        <v>25</v>
      </c>
      <c r="AI9" s="28">
        <v>38</v>
      </c>
      <c r="AJ9" s="28">
        <v>8</v>
      </c>
      <c r="AK9" s="28">
        <v>1</v>
      </c>
      <c r="AL9" s="28">
        <v>10</v>
      </c>
      <c r="AM9" s="28">
        <v>27</v>
      </c>
      <c r="AN9" s="28">
        <v>19</v>
      </c>
      <c r="AO9" s="74">
        <v>30</v>
      </c>
      <c r="AP9" s="28">
        <v>0</v>
      </c>
      <c r="AQ9" s="28">
        <v>1</v>
      </c>
      <c r="AR9" s="74">
        <v>5</v>
      </c>
      <c r="AS9" s="28">
        <f>IFERROR((SFG_H110[[#This Row],[H]]-SFG_H110[[#This Row],[2B]]-SFG_H110[[#This Row],[3B]]-SFG_H110[[#This Row],[HR]])+(SFG_H110[[#This Row],[2B]]*2)+(SFG_H110[[#This Row],[3B]]*3)+(SFG_H110[[#This Row],[HR]]*4),0)</f>
        <v>78</v>
      </c>
      <c r="AT9" s="72">
        <f>SFG_H110[[#This Row],[OBP]]+SFG_H110[[#This Row],[SLG]]</f>
        <v>0.88549201009251466</v>
      </c>
      <c r="AU9" s="74">
        <v>4</v>
      </c>
      <c r="AV9" s="615">
        <v>6</v>
      </c>
      <c r="AY9" s="651" t="s">
        <v>1139</v>
      </c>
      <c r="AZ9" s="345" t="s">
        <v>174</v>
      </c>
      <c r="BA9" s="345" t="s">
        <v>1142</v>
      </c>
      <c r="BB9" s="72">
        <f>IFERROR(SFG_H117[[#This Row],[H]]/SFG_H117[[#This Row],[AB]],0)</f>
        <v>0.30303030303030304</v>
      </c>
      <c r="BC9" s="594">
        <f>IFERROR((SFG_H117[[#This Row],[BB]]+SFG_H117[[#This Row],[H]])/(SFG_H117[[#This Row],[BB]]+SFG_H117[[#This Row],[AB]]),0)</f>
        <v>0.44578313253012047</v>
      </c>
      <c r="BD9" s="346">
        <f>IFERROR(((SFG_H117[[#This Row],[H]]-SFG_H117[[#This Row],[2B]]-SFG_H117[[#This Row],[3B]]-SFG_H117[[#This Row],[HR]])+(SFG_H117[[#This Row],[2B]]*2)+(SFG_H117[[#This Row],[3B]]*3)+(SFG_H117[[#This Row],[HR]]*4))/SFG_H117[[#This Row],[AB]],0)</f>
        <v>0.6742424242424242</v>
      </c>
      <c r="BE9" s="28">
        <v>38</v>
      </c>
      <c r="BF9" s="28">
        <v>132</v>
      </c>
      <c r="BG9" s="76">
        <v>34</v>
      </c>
      <c r="BH9" s="28">
        <v>40</v>
      </c>
      <c r="BI9" s="28">
        <v>7</v>
      </c>
      <c r="BJ9" s="28">
        <v>0</v>
      </c>
      <c r="BK9" s="28">
        <v>14</v>
      </c>
      <c r="BL9" s="76">
        <v>42</v>
      </c>
      <c r="BM9" s="76">
        <v>34</v>
      </c>
      <c r="BN9" s="74">
        <v>26</v>
      </c>
      <c r="BO9" s="28">
        <v>1</v>
      </c>
      <c r="BP9" s="28">
        <v>0</v>
      </c>
      <c r="BQ9" s="74">
        <v>6</v>
      </c>
      <c r="BR9" s="28">
        <f>(SFG_H117[[#This Row],[H]]-SFG_H117[[#This Row],[2B]]-SFG_H117[[#This Row],[3B]]-SFG_H117[[#This Row],[HR]])+(SFG_H117[[#This Row],[2B]]*2)+(SFG_H117[[#This Row],[3B]]*3)+(SFG_H117[[#This Row],[HR]]*4)</f>
        <v>89</v>
      </c>
      <c r="BS9" s="728">
        <f>IFERROR(SFG_H117[[#This Row],[OBP]]+SFG_H117[[#This Row],[SLG]],0)</f>
        <v>1.1200255567725446</v>
      </c>
      <c r="BT9" s="104">
        <v>9</v>
      </c>
      <c r="BU9" s="615">
        <v>6</v>
      </c>
    </row>
    <row r="10" spans="1:73">
      <c r="A10" s="651" t="s">
        <v>1139</v>
      </c>
      <c r="B10" s="71" t="s">
        <v>383</v>
      </c>
      <c r="C10" s="71" t="s">
        <v>1144</v>
      </c>
      <c r="D10" s="72">
        <f>IFERROR(SFG_H[[#This Row],[H]]/SFG_H[[#This Row],[AB]],0)</f>
        <v>0.26874999999999999</v>
      </c>
      <c r="E10" s="72">
        <f>IFERROR((SFG_H[[#This Row],[H]]+SFG_H[[#This Row],[BB]])/(SFG_H[[#This Row],[BB]]+SFG_H[[#This Row],[AB]]),0)</f>
        <v>0.32369942196531792</v>
      </c>
      <c r="F10" s="73">
        <f>IFERROR(((SFG_H[[#This Row],[H]]-SFG_H[[#This Row],[2B]]-SFG_H[[#This Row],[3B]]-SFG_H[[#This Row],[HR]])+(SFG_H[[#This Row],[2B]]*2)+(SFG_H[[#This Row],[3B]]*3)+(SFG_H[[#This Row],[HR]]*4))/SFG_H[[#This Row],[AB]],0)</f>
        <v>0.375</v>
      </c>
      <c r="G10" s="28">
        <v>40</v>
      </c>
      <c r="H10" s="28">
        <v>160</v>
      </c>
      <c r="I10" s="28">
        <v>19</v>
      </c>
      <c r="J10" s="28">
        <v>43</v>
      </c>
      <c r="K10" s="28">
        <v>9</v>
      </c>
      <c r="L10" s="28">
        <v>4</v>
      </c>
      <c r="M10" s="28">
        <v>0</v>
      </c>
      <c r="N10" s="28">
        <v>11</v>
      </c>
      <c r="O10" s="28">
        <v>13</v>
      </c>
      <c r="P10" s="74">
        <v>23</v>
      </c>
      <c r="Q10" s="28">
        <v>0</v>
      </c>
      <c r="R10" s="28">
        <v>4</v>
      </c>
      <c r="S10" s="74">
        <v>7</v>
      </c>
      <c r="T10" s="28">
        <f>IFERROR((SFG_H[[#This Row],[H]]-SFG_H[[#This Row],[2B]]-SFG_H[[#This Row],[3B]]-SFG_H[[#This Row],[HR]])+(SFG_H[[#This Row],[2B]]*2)+(SFG_H[[#This Row],[3B]]*3)+(SFG_H[[#This Row],[HR]]*4),0)</f>
        <v>60</v>
      </c>
      <c r="U10" s="72">
        <f>SFG_H[[#This Row],[OBP]]+SFG_H[[#This Row],[SLG]]</f>
        <v>0.69869942196531798</v>
      </c>
      <c r="V10" s="74">
        <v>1</v>
      </c>
      <c r="W10" s="615">
        <v>7</v>
      </c>
      <c r="Z10" s="609" t="s">
        <v>1139</v>
      </c>
      <c r="AA10" s="71" t="s">
        <v>181</v>
      </c>
      <c r="AB10" s="71" t="s">
        <v>1143</v>
      </c>
      <c r="AC10" s="72">
        <f>IFERROR(SFG_H110[[#This Row],[H]]/SFG_H110[[#This Row],[AB]],0)</f>
        <v>0.23333333333333334</v>
      </c>
      <c r="AD10" s="72">
        <f>IFERROR((SFG_H110[[#This Row],[H]]+SFG_H110[[#This Row],[BB]])/(SFG_H110[[#This Row],[BB]]+SFG_H110[[#This Row],[AB]]),0)</f>
        <v>0.34285714285714286</v>
      </c>
      <c r="AE10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0.40666666666666668</v>
      </c>
      <c r="AF10" s="28">
        <v>39</v>
      </c>
      <c r="AG10" s="28">
        <v>150</v>
      </c>
      <c r="AH10" s="28">
        <v>21</v>
      </c>
      <c r="AI10" s="28">
        <v>35</v>
      </c>
      <c r="AJ10" s="28">
        <v>8</v>
      </c>
      <c r="AK10" s="28">
        <v>0</v>
      </c>
      <c r="AL10" s="28">
        <v>6</v>
      </c>
      <c r="AM10" s="28">
        <v>19</v>
      </c>
      <c r="AN10" s="28">
        <v>25</v>
      </c>
      <c r="AO10" s="74">
        <v>45</v>
      </c>
      <c r="AP10" s="28">
        <v>0</v>
      </c>
      <c r="AQ10" s="28">
        <v>3</v>
      </c>
      <c r="AR10" s="74">
        <v>8</v>
      </c>
      <c r="AS10" s="28">
        <f>IFERROR((SFG_H110[[#This Row],[H]]-SFG_H110[[#This Row],[2B]]-SFG_H110[[#This Row],[3B]]-SFG_H110[[#This Row],[HR]])+(SFG_H110[[#This Row],[2B]]*2)+(SFG_H110[[#This Row],[3B]]*3)+(SFG_H110[[#This Row],[HR]]*4),0)</f>
        <v>61</v>
      </c>
      <c r="AT10" s="72">
        <f>SFG_H110[[#This Row],[OBP]]+SFG_H110[[#This Row],[SLG]]</f>
        <v>0.74952380952380948</v>
      </c>
      <c r="AU10" s="74">
        <v>3</v>
      </c>
      <c r="AV10" s="615">
        <v>7</v>
      </c>
      <c r="AY10" s="651" t="s">
        <v>1139</v>
      </c>
      <c r="AZ10" s="71" t="s">
        <v>181</v>
      </c>
      <c r="BA10" s="71" t="s">
        <v>1143</v>
      </c>
      <c r="BB10" s="72">
        <f>IFERROR(SFG_H117[[#This Row],[H]]/SFG_H117[[#This Row],[AB]],0)</f>
        <v>0.23448275862068965</v>
      </c>
      <c r="BC10" s="72">
        <f>IFERROR((SFG_H117[[#This Row],[BB]]+SFG_H117[[#This Row],[H]])/(SFG_H117[[#This Row],[BB]]+SFG_H117[[#This Row],[AB]]),0)</f>
        <v>0.26</v>
      </c>
      <c r="BD10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0.44137931034482758</v>
      </c>
      <c r="BE10" s="28">
        <v>39</v>
      </c>
      <c r="BF10" s="28">
        <v>145</v>
      </c>
      <c r="BG10" s="28">
        <v>13</v>
      </c>
      <c r="BH10" s="28">
        <v>34</v>
      </c>
      <c r="BI10" s="28">
        <v>10</v>
      </c>
      <c r="BJ10" s="28">
        <v>1</v>
      </c>
      <c r="BK10" s="28">
        <v>6</v>
      </c>
      <c r="BL10" s="28">
        <v>13</v>
      </c>
      <c r="BM10" s="28">
        <v>5</v>
      </c>
      <c r="BN10" s="74">
        <v>48</v>
      </c>
      <c r="BO10" s="28">
        <v>0</v>
      </c>
      <c r="BP10" s="28">
        <v>5</v>
      </c>
      <c r="BQ10" s="74">
        <v>5</v>
      </c>
      <c r="BR10" s="28">
        <f>(SFG_H117[[#This Row],[H]]-SFG_H117[[#This Row],[2B]]-SFG_H117[[#This Row],[3B]]-SFG_H117[[#This Row],[HR]])+(SFG_H117[[#This Row],[2B]]*2)+(SFG_H117[[#This Row],[3B]]*3)+(SFG_H117[[#This Row],[HR]]*4)</f>
        <v>64</v>
      </c>
      <c r="BS10" s="72">
        <f>IFERROR(SFG_H117[[#This Row],[OBP]]+SFG_H117[[#This Row],[SLG]],0)</f>
        <v>0.70137931034482759</v>
      </c>
      <c r="BT10" s="74">
        <v>1</v>
      </c>
      <c r="BU10" s="615">
        <v>7</v>
      </c>
    </row>
    <row r="11" spans="1:73">
      <c r="A11" s="651" t="s">
        <v>1139</v>
      </c>
      <c r="B11" s="71" t="s">
        <v>166</v>
      </c>
      <c r="C11" s="71" t="s">
        <v>1143</v>
      </c>
      <c r="D11" s="72">
        <f>IFERROR(SFG_H[[#This Row],[H]]/SFG_H[[#This Row],[AB]],0)</f>
        <v>0.21917808219178081</v>
      </c>
      <c r="E11" s="72">
        <f>IFERROR((SFG_H[[#This Row],[H]]+SFG_H[[#This Row],[BB]])/(SFG_H[[#This Row],[BB]]+SFG_H[[#This Row],[AB]]),0)</f>
        <v>0.28301886792452829</v>
      </c>
      <c r="F11" s="73">
        <f>IFERROR(((SFG_H[[#This Row],[H]]-SFG_H[[#This Row],[2B]]-SFG_H[[#This Row],[3B]]-SFG_H[[#This Row],[HR]])+(SFG_H[[#This Row],[2B]]*2)+(SFG_H[[#This Row],[3B]]*3)+(SFG_H[[#This Row],[HR]]*4))/SFG_H[[#This Row],[AB]],0)</f>
        <v>0.4041095890410959</v>
      </c>
      <c r="G11" s="28">
        <v>40</v>
      </c>
      <c r="H11" s="28">
        <v>146</v>
      </c>
      <c r="I11" s="28">
        <v>18</v>
      </c>
      <c r="J11" s="28">
        <v>32</v>
      </c>
      <c r="K11" s="28">
        <v>6</v>
      </c>
      <c r="L11" s="28">
        <v>0</v>
      </c>
      <c r="M11" s="28">
        <v>7</v>
      </c>
      <c r="N11" s="28">
        <v>22</v>
      </c>
      <c r="O11" s="28">
        <v>13</v>
      </c>
      <c r="P11" s="74">
        <v>47</v>
      </c>
      <c r="Q11" s="28">
        <v>0</v>
      </c>
      <c r="R11" s="28">
        <v>5</v>
      </c>
      <c r="S11" s="74">
        <v>5</v>
      </c>
      <c r="T11" s="28">
        <f>IFERROR((SFG_H[[#This Row],[H]]-SFG_H[[#This Row],[2B]]-SFG_H[[#This Row],[3B]]-SFG_H[[#This Row],[HR]])+(SFG_H[[#This Row],[2B]]*2)+(SFG_H[[#This Row],[3B]]*3)+(SFG_H[[#This Row],[HR]]*4),0)</f>
        <v>59</v>
      </c>
      <c r="U11" s="72">
        <f>SFG_H[[#This Row],[OBP]]+SFG_H[[#This Row],[SLG]]</f>
        <v>0.68712845696562419</v>
      </c>
      <c r="V11" s="74">
        <v>3</v>
      </c>
      <c r="W11" s="615">
        <v>8</v>
      </c>
      <c r="Z11" s="609" t="s">
        <v>1139</v>
      </c>
      <c r="AA11" s="71" t="s">
        <v>166</v>
      </c>
      <c r="AB11" s="71" t="s">
        <v>1149</v>
      </c>
      <c r="AC11" s="72">
        <f>IFERROR(SFG_H110[[#This Row],[H]]/SFG_H110[[#This Row],[AB]],0)</f>
        <v>0.2196969696969697</v>
      </c>
      <c r="AD11" s="72">
        <f>IFERROR((SFG_H110[[#This Row],[H]]+SFG_H110[[#This Row],[BB]])/(SFG_H110[[#This Row],[BB]]+SFG_H110[[#This Row],[AB]]),0)</f>
        <v>0.27972027972027974</v>
      </c>
      <c r="AE11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0.35606060606060608</v>
      </c>
      <c r="AF11" s="28">
        <v>34</v>
      </c>
      <c r="AG11" s="28">
        <v>132</v>
      </c>
      <c r="AH11" s="28">
        <v>16</v>
      </c>
      <c r="AI11" s="28">
        <v>29</v>
      </c>
      <c r="AJ11" s="28">
        <v>7</v>
      </c>
      <c r="AK11" s="28">
        <v>1</v>
      </c>
      <c r="AL11" s="28">
        <v>3</v>
      </c>
      <c r="AM11" s="28">
        <v>15</v>
      </c>
      <c r="AN11" s="28">
        <v>11</v>
      </c>
      <c r="AO11" s="74">
        <v>32</v>
      </c>
      <c r="AP11" s="28">
        <v>0</v>
      </c>
      <c r="AQ11" s="28">
        <v>0</v>
      </c>
      <c r="AR11" s="74">
        <v>6</v>
      </c>
      <c r="AS11" s="28">
        <f>IFERROR((SFG_H110[[#This Row],[H]]-SFG_H110[[#This Row],[2B]]-SFG_H110[[#This Row],[3B]]-SFG_H110[[#This Row],[HR]])+(SFG_H110[[#This Row],[2B]]*2)+(SFG_H110[[#This Row],[3B]]*3)+(SFG_H110[[#This Row],[HR]]*4),0)</f>
        <v>47</v>
      </c>
      <c r="AT11" s="72">
        <f>SFG_H110[[#This Row],[OBP]]+SFG_H110[[#This Row],[SLG]]</f>
        <v>0.63578088578088576</v>
      </c>
      <c r="AU11" s="74">
        <v>1</v>
      </c>
      <c r="AV11" s="615">
        <v>8</v>
      </c>
      <c r="AY11" s="651" t="s">
        <v>1139</v>
      </c>
      <c r="AZ11" s="71" t="s">
        <v>166</v>
      </c>
      <c r="BA11" s="71" t="s">
        <v>1149</v>
      </c>
      <c r="BB11" s="72">
        <f>IFERROR(SFG_H117[[#This Row],[H]]/SFG_H117[[#This Row],[AB]],0)</f>
        <v>0.22047244094488189</v>
      </c>
      <c r="BC11" s="72">
        <f>IFERROR((SFG_H117[[#This Row],[BB]]+SFG_H117[[#This Row],[H]])/(SFG_H117[[#This Row],[BB]]+SFG_H117[[#This Row],[AB]]),0)</f>
        <v>0.29285714285714287</v>
      </c>
      <c r="BD11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0.39370078740157483</v>
      </c>
      <c r="BE11" s="28">
        <v>34</v>
      </c>
      <c r="BF11" s="28">
        <v>127</v>
      </c>
      <c r="BG11" s="28">
        <v>24</v>
      </c>
      <c r="BH11" s="28">
        <v>28</v>
      </c>
      <c r="BI11" s="28">
        <v>7</v>
      </c>
      <c r="BJ11" s="28">
        <v>0</v>
      </c>
      <c r="BK11" s="28">
        <v>5</v>
      </c>
      <c r="BL11" s="28">
        <v>8</v>
      </c>
      <c r="BM11" s="28">
        <v>13</v>
      </c>
      <c r="BN11" s="74">
        <v>29</v>
      </c>
      <c r="BO11" s="28">
        <v>0</v>
      </c>
      <c r="BP11" s="28">
        <v>0</v>
      </c>
      <c r="BQ11" s="74">
        <v>6</v>
      </c>
      <c r="BR11" s="28">
        <f>(SFG_H117[[#This Row],[H]]-SFG_H117[[#This Row],[2B]]-SFG_H117[[#This Row],[3B]]-SFG_H117[[#This Row],[HR]])+(SFG_H117[[#This Row],[2B]]*2)+(SFG_H117[[#This Row],[3B]]*3)+(SFG_H117[[#This Row],[HR]]*4)</f>
        <v>50</v>
      </c>
      <c r="BS11" s="72">
        <f>IFERROR(SFG_H117[[#This Row],[OBP]]+SFG_H117[[#This Row],[SLG]],0)</f>
        <v>0.6865579302587177</v>
      </c>
      <c r="BT11" s="74">
        <v>0</v>
      </c>
      <c r="BU11" s="615">
        <v>8</v>
      </c>
    </row>
    <row r="12" spans="1:73">
      <c r="A12" s="651" t="s">
        <v>1139</v>
      </c>
      <c r="B12" s="71" t="s">
        <v>168</v>
      </c>
      <c r="C12" s="71" t="s">
        <v>1145</v>
      </c>
      <c r="D12" s="72">
        <f>IFERROR(SFG_H[[#This Row],[H]]/SFG_H[[#This Row],[AB]],0)</f>
        <v>0.20289855072463769</v>
      </c>
      <c r="E12" s="72">
        <f>IFERROR((SFG_H[[#This Row],[H]]+SFG_H[[#This Row],[BB]])/(SFG_H[[#This Row],[BB]]+SFG_H[[#This Row],[AB]]),0)</f>
        <v>0.29487179487179488</v>
      </c>
      <c r="F12" s="73">
        <f>IFERROR(((SFG_H[[#This Row],[H]]-SFG_H[[#This Row],[2B]]-SFG_H[[#This Row],[3B]]-SFG_H[[#This Row],[HR]])+(SFG_H[[#This Row],[2B]]*2)+(SFG_H[[#This Row],[3B]]*3)+(SFG_H[[#This Row],[HR]]*4))/SFG_H[[#This Row],[AB]],0)</f>
        <v>0.30434782608695654</v>
      </c>
      <c r="G12" s="28">
        <v>37</v>
      </c>
      <c r="H12" s="28">
        <v>138</v>
      </c>
      <c r="I12" s="28">
        <v>9</v>
      </c>
      <c r="J12" s="28">
        <v>28</v>
      </c>
      <c r="K12" s="28">
        <v>3</v>
      </c>
      <c r="L12" s="28">
        <v>1</v>
      </c>
      <c r="M12" s="28">
        <v>3</v>
      </c>
      <c r="N12" s="28">
        <v>14</v>
      </c>
      <c r="O12" s="28">
        <v>18</v>
      </c>
      <c r="P12" s="74">
        <v>28</v>
      </c>
      <c r="Q12" s="28">
        <v>0</v>
      </c>
      <c r="R12" s="28">
        <v>0</v>
      </c>
      <c r="S12" s="74">
        <v>4</v>
      </c>
      <c r="T12" s="28">
        <f>IFERROR((SFG_H[[#This Row],[H]]-SFG_H[[#This Row],[2B]]-SFG_H[[#This Row],[3B]]-SFG_H[[#This Row],[HR]])+(SFG_H[[#This Row],[2B]]*2)+(SFG_H[[#This Row],[3B]]*3)+(SFG_H[[#This Row],[HR]]*4),0)</f>
        <v>42</v>
      </c>
      <c r="U12" s="72">
        <f>SFG_H[[#This Row],[OBP]]+SFG_H[[#This Row],[SLG]]</f>
        <v>0.59921962095875148</v>
      </c>
      <c r="V12" s="74">
        <v>0</v>
      </c>
      <c r="W12" s="615">
        <v>9</v>
      </c>
      <c r="Z12" s="609" t="s">
        <v>1139</v>
      </c>
      <c r="AA12" s="71" t="s">
        <v>168</v>
      </c>
      <c r="AB12" s="71" t="s">
        <v>1145</v>
      </c>
      <c r="AC12" s="72">
        <f>IFERROR(SFG_H110[[#This Row],[H]]/SFG_H110[[#This Row],[AB]],0)</f>
        <v>0.30519480519480519</v>
      </c>
      <c r="AD12" s="72">
        <f>IFERROR((SFG_H110[[#This Row],[H]]+SFG_H110[[#This Row],[BB]])/(SFG_H110[[#This Row],[BB]]+SFG_H110[[#This Row],[AB]]),0)</f>
        <v>0.36309523809523808</v>
      </c>
      <c r="AE12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0.48051948051948051</v>
      </c>
      <c r="AF12" s="28">
        <v>38</v>
      </c>
      <c r="AG12" s="28">
        <v>154</v>
      </c>
      <c r="AH12" s="28">
        <v>27</v>
      </c>
      <c r="AI12" s="28">
        <v>47</v>
      </c>
      <c r="AJ12" s="28">
        <v>8</v>
      </c>
      <c r="AK12" s="28">
        <v>2</v>
      </c>
      <c r="AL12" s="28">
        <v>5</v>
      </c>
      <c r="AM12" s="28">
        <v>21</v>
      </c>
      <c r="AN12" s="28">
        <v>14</v>
      </c>
      <c r="AO12" s="74">
        <v>30</v>
      </c>
      <c r="AP12" s="28">
        <v>0</v>
      </c>
      <c r="AQ12" s="28">
        <v>2</v>
      </c>
      <c r="AR12" s="74">
        <v>11</v>
      </c>
      <c r="AS12" s="28">
        <f>IFERROR((SFG_H110[[#This Row],[H]]-SFG_H110[[#This Row],[2B]]-SFG_H110[[#This Row],[3B]]-SFG_H110[[#This Row],[HR]])+(SFG_H110[[#This Row],[2B]]*2)+(SFG_H110[[#This Row],[3B]]*3)+(SFG_H110[[#This Row],[HR]]*4),0)</f>
        <v>74</v>
      </c>
      <c r="AT12" s="72">
        <f>SFG_H110[[#This Row],[OBP]]+SFG_H110[[#This Row],[SLG]]</f>
        <v>0.8436147186147186</v>
      </c>
      <c r="AU12" s="74">
        <v>5</v>
      </c>
      <c r="AV12" s="615">
        <v>9</v>
      </c>
      <c r="AY12" s="651" t="s">
        <v>1139</v>
      </c>
      <c r="AZ12" s="71" t="s">
        <v>168</v>
      </c>
      <c r="BA12" s="71" t="s">
        <v>1145</v>
      </c>
      <c r="BB12" s="72">
        <f>IFERROR(SFG_H117[[#This Row],[H]]/SFG_H117[[#This Row],[AB]],0)</f>
        <v>0.23684210526315788</v>
      </c>
      <c r="BC12" s="72">
        <f>IFERROR((SFG_H117[[#This Row],[BB]]+SFG_H117[[#This Row],[H]])/(SFG_H117[[#This Row],[BB]]+SFG_H117[[#This Row],[AB]]),0)</f>
        <v>0.32163742690058478</v>
      </c>
      <c r="BD12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0.41447368421052633</v>
      </c>
      <c r="BE12" s="28">
        <v>39</v>
      </c>
      <c r="BF12" s="28">
        <v>152</v>
      </c>
      <c r="BG12" s="28">
        <v>28</v>
      </c>
      <c r="BH12" s="28">
        <v>36</v>
      </c>
      <c r="BI12" s="28">
        <v>7</v>
      </c>
      <c r="BJ12" s="28">
        <v>1</v>
      </c>
      <c r="BK12" s="28">
        <v>6</v>
      </c>
      <c r="BL12" s="28">
        <v>15</v>
      </c>
      <c r="BM12" s="28">
        <v>19</v>
      </c>
      <c r="BN12" s="74">
        <v>26</v>
      </c>
      <c r="BO12" s="28">
        <v>0</v>
      </c>
      <c r="BP12" s="28">
        <v>0</v>
      </c>
      <c r="BQ12" s="74">
        <v>5</v>
      </c>
      <c r="BR12" s="28">
        <f>(SFG_H117[[#This Row],[H]]-SFG_H117[[#This Row],[2B]]-SFG_H117[[#This Row],[3B]]-SFG_H117[[#This Row],[HR]])+(SFG_H117[[#This Row],[2B]]*2)+(SFG_H117[[#This Row],[3B]]*3)+(SFG_H117[[#This Row],[HR]]*4)</f>
        <v>63</v>
      </c>
      <c r="BS12" s="72">
        <f>IFERROR(SFG_H117[[#This Row],[OBP]]+SFG_H117[[#This Row],[SLG]],0)</f>
        <v>0.73611111111111116</v>
      </c>
      <c r="BT12" s="74">
        <v>1</v>
      </c>
      <c r="BU12" s="615">
        <v>9</v>
      </c>
    </row>
    <row r="13" spans="1:73">
      <c r="A13" s="651" t="s">
        <v>1139</v>
      </c>
      <c r="B13" s="71" t="s">
        <v>179</v>
      </c>
      <c r="C13" s="71" t="s">
        <v>1152</v>
      </c>
      <c r="D13" s="72">
        <f>IFERROR(SFG_H[[#This Row],[H]]/SFG_H[[#This Row],[AB]],0)</f>
        <v>0.34375</v>
      </c>
      <c r="E13" s="72">
        <f>IFERROR((SFG_H[[#This Row],[H]]+SFG_H[[#This Row],[BB]])/(SFG_H[[#This Row],[BB]]+SFG_H[[#This Row],[AB]]),0)</f>
        <v>0.36363636363636365</v>
      </c>
      <c r="F13" s="73">
        <f>IFERROR(((SFG_H[[#This Row],[H]]-SFG_H[[#This Row],[2B]]-SFG_H[[#This Row],[3B]]-SFG_H[[#This Row],[HR]])+(SFG_H[[#This Row],[2B]]*2)+(SFG_H[[#This Row],[3B]]*3)+(SFG_H[[#This Row],[HR]]*4))/SFG_H[[#This Row],[AB]],0)</f>
        <v>0.65625</v>
      </c>
      <c r="G13" s="28">
        <v>10</v>
      </c>
      <c r="H13" s="28">
        <v>32</v>
      </c>
      <c r="I13" s="28">
        <v>5</v>
      </c>
      <c r="J13" s="28">
        <v>11</v>
      </c>
      <c r="K13" s="28">
        <v>1</v>
      </c>
      <c r="L13" s="28">
        <v>0</v>
      </c>
      <c r="M13" s="28">
        <v>3</v>
      </c>
      <c r="N13" s="28">
        <v>6</v>
      </c>
      <c r="O13" s="28">
        <v>1</v>
      </c>
      <c r="P13" s="74">
        <v>5</v>
      </c>
      <c r="Q13" s="28">
        <v>0</v>
      </c>
      <c r="R13" s="28">
        <v>0</v>
      </c>
      <c r="S13" s="74">
        <v>6</v>
      </c>
      <c r="T13" s="28">
        <f>IFERROR((SFG_H[[#This Row],[H]]-SFG_H[[#This Row],[2B]]-SFG_H[[#This Row],[3B]]-SFG_H[[#This Row],[HR]])+(SFG_H[[#This Row],[2B]]*2)+(SFG_H[[#This Row],[3B]]*3)+(SFG_H[[#This Row],[HR]]*4),0)</f>
        <v>21</v>
      </c>
      <c r="U13" s="72">
        <f>SFG_H[[#This Row],[OBP]]+SFG_H[[#This Row],[SLG]]</f>
        <v>1.0198863636363638</v>
      </c>
      <c r="V13" s="74">
        <v>1</v>
      </c>
      <c r="W13" s="615">
        <v>10</v>
      </c>
      <c r="Z13" s="609" t="s">
        <v>1139</v>
      </c>
      <c r="AA13" s="71" t="s">
        <v>179</v>
      </c>
      <c r="AB13" s="71" t="s">
        <v>1152</v>
      </c>
      <c r="AC13" s="72">
        <f>IFERROR(SFG_H110[[#This Row],[H]]/SFG_H110[[#This Row],[AB]],0)</f>
        <v>0.3</v>
      </c>
      <c r="AD13" s="72">
        <f>IFERROR((SFG_H110[[#This Row],[H]]+SFG_H110[[#This Row],[BB]])/(SFG_H110[[#This Row],[BB]]+SFG_H110[[#This Row],[AB]]),0)</f>
        <v>0.36363636363636365</v>
      </c>
      <c r="AE13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0.6333333333333333</v>
      </c>
      <c r="AF13" s="28">
        <v>9</v>
      </c>
      <c r="AG13" s="28">
        <v>30</v>
      </c>
      <c r="AH13" s="28">
        <v>5</v>
      </c>
      <c r="AI13" s="28">
        <v>9</v>
      </c>
      <c r="AJ13" s="28">
        <v>4</v>
      </c>
      <c r="AK13" s="28">
        <v>0</v>
      </c>
      <c r="AL13" s="28">
        <v>2</v>
      </c>
      <c r="AM13" s="28">
        <v>6</v>
      </c>
      <c r="AN13" s="28">
        <v>3</v>
      </c>
      <c r="AO13" s="74">
        <v>9</v>
      </c>
      <c r="AP13" s="28">
        <v>0</v>
      </c>
      <c r="AQ13" s="28">
        <v>0</v>
      </c>
      <c r="AR13" s="74">
        <v>4</v>
      </c>
      <c r="AS13" s="28">
        <f>IFERROR((SFG_H110[[#This Row],[H]]-SFG_H110[[#This Row],[2B]]-SFG_H110[[#This Row],[3B]]-SFG_H110[[#This Row],[HR]])+(SFG_H110[[#This Row],[2B]]*2)+(SFG_H110[[#This Row],[3B]]*3)+(SFG_H110[[#This Row],[HR]]*4),0)</f>
        <v>19</v>
      </c>
      <c r="AT13" s="72">
        <f>SFG_H110[[#This Row],[OBP]]+SFG_H110[[#This Row],[SLG]]</f>
        <v>0.99696969696969695</v>
      </c>
      <c r="AU13" s="74">
        <v>0</v>
      </c>
      <c r="AV13" s="615">
        <v>10</v>
      </c>
      <c r="AY13" s="651" t="s">
        <v>1139</v>
      </c>
      <c r="AZ13" s="71" t="s">
        <v>179</v>
      </c>
      <c r="BA13" s="71" t="s">
        <v>1152</v>
      </c>
      <c r="BB13" s="72">
        <f>IFERROR(SFG_H117[[#This Row],[H]]/SFG_H117[[#This Row],[AB]],0)</f>
        <v>0.19444444444444445</v>
      </c>
      <c r="BC13" s="72">
        <f>IFERROR((SFG_H117[[#This Row],[BB]]+SFG_H117[[#This Row],[H]])/(SFG_H117[[#This Row],[BB]]+SFG_H117[[#This Row],[AB]]),0)</f>
        <v>0.19444444444444445</v>
      </c>
      <c r="BD13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0.27777777777777779</v>
      </c>
      <c r="BE13" s="28">
        <v>11</v>
      </c>
      <c r="BF13" s="28">
        <v>36</v>
      </c>
      <c r="BG13" s="28">
        <v>3</v>
      </c>
      <c r="BH13" s="28">
        <v>7</v>
      </c>
      <c r="BI13" s="28">
        <v>1</v>
      </c>
      <c r="BJ13" s="28">
        <v>1</v>
      </c>
      <c r="BK13" s="28">
        <v>0</v>
      </c>
      <c r="BL13" s="28">
        <v>1</v>
      </c>
      <c r="BM13" s="28">
        <v>0</v>
      </c>
      <c r="BN13" s="74">
        <v>9</v>
      </c>
      <c r="BO13" s="28">
        <v>0</v>
      </c>
      <c r="BP13" s="28">
        <v>2</v>
      </c>
      <c r="BQ13" s="74">
        <v>2</v>
      </c>
      <c r="BR13" s="28">
        <f>(SFG_H117[[#This Row],[H]]-SFG_H117[[#This Row],[2B]]-SFG_H117[[#This Row],[3B]]-SFG_H117[[#This Row],[HR]])+(SFG_H117[[#This Row],[2B]]*2)+(SFG_H117[[#This Row],[3B]]*3)+(SFG_H117[[#This Row],[HR]]*4)</f>
        <v>10</v>
      </c>
      <c r="BS13" s="72">
        <f>IFERROR(SFG_H117[[#This Row],[OBP]]+SFG_H117[[#This Row],[SLG]],0)</f>
        <v>0.47222222222222221</v>
      </c>
      <c r="BT13" s="74">
        <v>0</v>
      </c>
      <c r="BU13" s="615">
        <v>10</v>
      </c>
    </row>
    <row r="14" spans="1:73">
      <c r="A14" s="651" t="s">
        <v>1139</v>
      </c>
      <c r="B14" s="71" t="s">
        <v>192</v>
      </c>
      <c r="C14" s="71" t="s">
        <v>1157</v>
      </c>
      <c r="D14" s="72">
        <f>IFERROR(SFG_H[[#This Row],[H]]/SFG_H[[#This Row],[AB]],0)</f>
        <v>0.27272727272727271</v>
      </c>
      <c r="E14" s="72">
        <f>IFERROR((SFG_H[[#This Row],[H]]+SFG_H[[#This Row],[BB]])/(SFG_H[[#This Row],[BB]]+SFG_H[[#This Row],[AB]]),0)</f>
        <v>0.27272727272727271</v>
      </c>
      <c r="F14" s="73">
        <f>IFERROR(((SFG_H[[#This Row],[H]]-SFG_H[[#This Row],[2B]]-SFG_H[[#This Row],[3B]]-SFG_H[[#This Row],[HR]])+(SFG_H[[#This Row],[2B]]*2)+(SFG_H[[#This Row],[3B]]*3)+(SFG_H[[#This Row],[HR]]*4))/SFG_H[[#This Row],[AB]],0)</f>
        <v>0.63636363636363635</v>
      </c>
      <c r="G14" s="28">
        <v>4</v>
      </c>
      <c r="H14" s="28">
        <v>11</v>
      </c>
      <c r="I14" s="28">
        <v>2</v>
      </c>
      <c r="J14" s="28">
        <v>3</v>
      </c>
      <c r="K14" s="28">
        <v>1</v>
      </c>
      <c r="L14" s="28">
        <v>0</v>
      </c>
      <c r="M14" s="28">
        <v>1</v>
      </c>
      <c r="N14" s="28">
        <v>1</v>
      </c>
      <c r="O14" s="28">
        <v>0</v>
      </c>
      <c r="P14" s="74">
        <v>4</v>
      </c>
      <c r="Q14" s="28">
        <v>0</v>
      </c>
      <c r="R14" s="28">
        <v>2</v>
      </c>
      <c r="S14" s="74">
        <v>2</v>
      </c>
      <c r="T14" s="28">
        <f>IFERROR((SFG_H[[#This Row],[H]]-SFG_H[[#This Row],[2B]]-SFG_H[[#This Row],[3B]]-SFG_H[[#This Row],[HR]])+(SFG_H[[#This Row],[2B]]*2)+(SFG_H[[#This Row],[3B]]*3)+(SFG_H[[#This Row],[HR]]*4),0)</f>
        <v>7</v>
      </c>
      <c r="U14" s="72">
        <f>SFG_H[[#This Row],[OBP]]+SFG_H[[#This Row],[SLG]]</f>
        <v>0.90909090909090906</v>
      </c>
      <c r="V14" s="74">
        <v>0</v>
      </c>
      <c r="W14" s="615">
        <v>11</v>
      </c>
      <c r="Z14" s="609" t="s">
        <v>1139</v>
      </c>
      <c r="AA14" s="71" t="s">
        <v>187</v>
      </c>
      <c r="AB14" s="71" t="s">
        <v>1150</v>
      </c>
      <c r="AC14" s="72">
        <f>IFERROR(SFG_H110[[#This Row],[H]]/SFG_H110[[#This Row],[AB]],0)</f>
        <v>0.16666666666666666</v>
      </c>
      <c r="AD14" s="72">
        <f>IFERROR((SFG_H110[[#This Row],[H]]+SFG_H110[[#This Row],[BB]])/(SFG_H110[[#This Row],[BB]]+SFG_H110[[#This Row],[AB]]),0)</f>
        <v>0.2857142857142857</v>
      </c>
      <c r="AE14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0.16666666666666666</v>
      </c>
      <c r="AF14" s="28">
        <v>7</v>
      </c>
      <c r="AG14" s="28">
        <v>18</v>
      </c>
      <c r="AH14" s="28">
        <v>1</v>
      </c>
      <c r="AI14" s="28">
        <v>3</v>
      </c>
      <c r="AJ14" s="28">
        <v>0</v>
      </c>
      <c r="AK14" s="28">
        <v>0</v>
      </c>
      <c r="AL14" s="28">
        <v>0</v>
      </c>
      <c r="AM14" s="28">
        <v>1</v>
      </c>
      <c r="AN14" s="28">
        <v>3</v>
      </c>
      <c r="AO14" s="74">
        <v>3</v>
      </c>
      <c r="AP14" s="28">
        <v>0</v>
      </c>
      <c r="AQ14" s="28">
        <v>3</v>
      </c>
      <c r="AR14" s="74">
        <v>3</v>
      </c>
      <c r="AS14" s="28">
        <f>IFERROR((SFG_H110[[#This Row],[H]]-SFG_H110[[#This Row],[2B]]-SFG_H110[[#This Row],[3B]]-SFG_H110[[#This Row],[HR]])+(SFG_H110[[#This Row],[2B]]*2)+(SFG_H110[[#This Row],[3B]]*3)+(SFG_H110[[#This Row],[HR]]*4),0)</f>
        <v>3</v>
      </c>
      <c r="AT14" s="72">
        <f>SFG_H110[[#This Row],[OBP]]+SFG_H110[[#This Row],[SLG]]</f>
        <v>0.45238095238095233</v>
      </c>
      <c r="AU14" s="74">
        <v>0</v>
      </c>
      <c r="AV14" s="615">
        <v>11</v>
      </c>
      <c r="AY14" s="651" t="s">
        <v>1139</v>
      </c>
      <c r="AZ14" s="71" t="s">
        <v>187</v>
      </c>
      <c r="BA14" s="71" t="s">
        <v>1148</v>
      </c>
      <c r="BB14" s="72">
        <f>IFERROR(SFG_H117[[#This Row],[H]]/SFG_H117[[#This Row],[AB]],0)</f>
        <v>0.25423728813559321</v>
      </c>
      <c r="BC14" s="72">
        <f>IFERROR((SFG_H117[[#This Row],[BB]]+SFG_H117[[#This Row],[H]])/(SFG_H117[[#This Row],[BB]]+SFG_H117[[#This Row],[AB]]),0)</f>
        <v>0.33333333333333331</v>
      </c>
      <c r="BD14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0.38983050847457629</v>
      </c>
      <c r="BE14" s="28">
        <v>20</v>
      </c>
      <c r="BF14" s="28">
        <v>59</v>
      </c>
      <c r="BG14" s="28">
        <v>6</v>
      </c>
      <c r="BH14" s="28">
        <v>15</v>
      </c>
      <c r="BI14" s="28">
        <v>2</v>
      </c>
      <c r="BJ14" s="28">
        <v>0</v>
      </c>
      <c r="BK14" s="28">
        <v>2</v>
      </c>
      <c r="BL14" s="28">
        <v>12</v>
      </c>
      <c r="BM14" s="28">
        <v>7</v>
      </c>
      <c r="BN14" s="74">
        <v>7</v>
      </c>
      <c r="BO14" s="28">
        <v>0</v>
      </c>
      <c r="BP14" s="28">
        <v>1</v>
      </c>
      <c r="BQ14" s="74">
        <v>5</v>
      </c>
      <c r="BR14" s="28">
        <f>(SFG_H117[[#This Row],[H]]-SFG_H117[[#This Row],[2B]]-SFG_H117[[#This Row],[3B]]-SFG_H117[[#This Row],[HR]])+(SFG_H117[[#This Row],[2B]]*2)+(SFG_H117[[#This Row],[3B]]*3)+(SFG_H117[[#This Row],[HR]]*4)</f>
        <v>23</v>
      </c>
      <c r="BS14" s="72">
        <f>IFERROR(SFG_H117[[#This Row],[OBP]]+SFG_H117[[#This Row],[SLG]],0)</f>
        <v>0.7231638418079096</v>
      </c>
      <c r="BT14" s="74">
        <v>1</v>
      </c>
      <c r="BU14" s="615">
        <v>11</v>
      </c>
    </row>
    <row r="15" spans="1:73">
      <c r="A15" s="651" t="s">
        <v>1139</v>
      </c>
      <c r="B15" s="71" t="s">
        <v>187</v>
      </c>
      <c r="C15" s="71" t="s">
        <v>1148</v>
      </c>
      <c r="D15" s="72">
        <f>IFERROR(SFG_H[[#This Row],[H]]/SFG_H[[#This Row],[AB]],0)</f>
        <v>0.1891891891891892</v>
      </c>
      <c r="E15" s="72">
        <f>IFERROR((SFG_H[[#This Row],[H]]+SFG_H[[#This Row],[BB]])/(SFG_H[[#This Row],[BB]]+SFG_H[[#This Row],[AB]]),0)</f>
        <v>0.23076923076923078</v>
      </c>
      <c r="F15" s="73">
        <f>IFERROR(((SFG_H[[#This Row],[H]]-SFG_H[[#This Row],[2B]]-SFG_H[[#This Row],[3B]]-SFG_H[[#This Row],[HR]])+(SFG_H[[#This Row],[2B]]*2)+(SFG_H[[#This Row],[3B]]*3)+(SFG_H[[#This Row],[HR]]*4))/SFG_H[[#This Row],[AB]],0)</f>
        <v>0.3783783783783784</v>
      </c>
      <c r="G15" s="28">
        <v>10</v>
      </c>
      <c r="H15" s="28">
        <v>37</v>
      </c>
      <c r="I15" s="28">
        <v>4</v>
      </c>
      <c r="J15" s="28">
        <v>7</v>
      </c>
      <c r="K15" s="28">
        <v>1</v>
      </c>
      <c r="L15" s="28">
        <v>0</v>
      </c>
      <c r="M15" s="28">
        <v>2</v>
      </c>
      <c r="N15" s="28">
        <v>3</v>
      </c>
      <c r="O15" s="28">
        <v>2</v>
      </c>
      <c r="P15" s="74">
        <v>8</v>
      </c>
      <c r="Q15" s="28">
        <v>0</v>
      </c>
      <c r="R15" s="28">
        <v>1</v>
      </c>
      <c r="S15" s="74">
        <v>4</v>
      </c>
      <c r="T15" s="28">
        <f>IFERROR((SFG_H[[#This Row],[H]]-SFG_H[[#This Row],[2B]]-SFG_H[[#This Row],[3B]]-SFG_H[[#This Row],[HR]])+(SFG_H[[#This Row],[2B]]*2)+(SFG_H[[#This Row],[3B]]*3)+(SFG_H[[#This Row],[HR]]*4),0)</f>
        <v>14</v>
      </c>
      <c r="U15" s="72">
        <f>SFG_H[[#This Row],[OBP]]+SFG_H[[#This Row],[SLG]]</f>
        <v>0.60914760914760913</v>
      </c>
      <c r="V15" s="74">
        <v>1</v>
      </c>
      <c r="W15" s="615">
        <v>12</v>
      </c>
      <c r="Z15" s="609" t="s">
        <v>1139</v>
      </c>
      <c r="AA15" s="71" t="s">
        <v>187</v>
      </c>
      <c r="AB15" s="71" t="s">
        <v>1153</v>
      </c>
      <c r="AC15" s="72">
        <f>IFERROR(SFG_H110[[#This Row],[H]]/SFG_H110[[#This Row],[AB]],0)</f>
        <v>0.13636363636363635</v>
      </c>
      <c r="AD15" s="72">
        <f>IFERROR((SFG_H110[[#This Row],[H]]+SFG_H110[[#This Row],[BB]])/(SFG_H110[[#This Row],[BB]]+SFG_H110[[#This Row],[AB]]),0)</f>
        <v>0.20833333333333334</v>
      </c>
      <c r="AE15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0.20454545454545456</v>
      </c>
      <c r="AF15" s="28">
        <v>15</v>
      </c>
      <c r="AG15" s="28">
        <v>44</v>
      </c>
      <c r="AH15" s="28">
        <v>3</v>
      </c>
      <c r="AI15" s="28">
        <v>6</v>
      </c>
      <c r="AJ15" s="28">
        <v>0</v>
      </c>
      <c r="AK15" s="28">
        <v>0</v>
      </c>
      <c r="AL15" s="28">
        <v>1</v>
      </c>
      <c r="AM15" s="28">
        <v>5</v>
      </c>
      <c r="AN15" s="28">
        <v>4</v>
      </c>
      <c r="AO15" s="74">
        <v>9</v>
      </c>
      <c r="AP15" s="28">
        <v>0</v>
      </c>
      <c r="AQ15" s="28">
        <v>2</v>
      </c>
      <c r="AR15" s="74">
        <v>2</v>
      </c>
      <c r="AS15" s="28">
        <f>IFERROR((SFG_H110[[#This Row],[H]]-SFG_H110[[#This Row],[2B]]-SFG_H110[[#This Row],[3B]]-SFG_H110[[#This Row],[HR]])+(SFG_H110[[#This Row],[2B]]*2)+(SFG_H110[[#This Row],[3B]]*3)+(SFG_H110[[#This Row],[HR]]*4),0)</f>
        <v>9</v>
      </c>
      <c r="AT15" s="72">
        <f>SFG_H110[[#This Row],[OBP]]+SFG_H110[[#This Row],[SLG]]</f>
        <v>0.4128787878787879</v>
      </c>
      <c r="AU15" s="74">
        <v>0</v>
      </c>
      <c r="AV15" s="615">
        <v>12</v>
      </c>
      <c r="AY15" s="651" t="s">
        <v>1139</v>
      </c>
      <c r="AZ15" s="71" t="s">
        <v>187</v>
      </c>
      <c r="BA15" s="71" t="s">
        <v>1153</v>
      </c>
      <c r="BB15" s="72">
        <f>IFERROR(SFG_H117[[#This Row],[H]]/SFG_H117[[#This Row],[AB]],0)</f>
        <v>0.22641509433962265</v>
      </c>
      <c r="BC15" s="72">
        <f>IFERROR((SFG_H117[[#This Row],[BB]]+SFG_H117[[#This Row],[H]])/(SFG_H117[[#This Row],[BB]]+SFG_H117[[#This Row],[AB]]),0)</f>
        <v>0.26785714285714285</v>
      </c>
      <c r="BD15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0.26415094339622641</v>
      </c>
      <c r="BE15" s="28">
        <v>18</v>
      </c>
      <c r="BF15" s="28">
        <v>53</v>
      </c>
      <c r="BG15" s="28">
        <v>2</v>
      </c>
      <c r="BH15" s="28">
        <v>12</v>
      </c>
      <c r="BI15" s="28">
        <v>2</v>
      </c>
      <c r="BJ15" s="28">
        <v>0</v>
      </c>
      <c r="BK15" s="28">
        <v>0</v>
      </c>
      <c r="BL15" s="28">
        <v>2</v>
      </c>
      <c r="BM15" s="28">
        <v>3</v>
      </c>
      <c r="BN15" s="74">
        <v>10</v>
      </c>
      <c r="BO15" s="28">
        <v>0</v>
      </c>
      <c r="BP15" s="28">
        <v>2</v>
      </c>
      <c r="BQ15" s="74">
        <v>4</v>
      </c>
      <c r="BR15" s="28">
        <f>(SFG_H117[[#This Row],[H]]-SFG_H117[[#This Row],[2B]]-SFG_H117[[#This Row],[3B]]-SFG_H117[[#This Row],[HR]])+(SFG_H117[[#This Row],[2B]]*2)+(SFG_H117[[#This Row],[3B]]*3)+(SFG_H117[[#This Row],[HR]]*4)</f>
        <v>14</v>
      </c>
      <c r="BS15" s="72">
        <f>IFERROR(SFG_H117[[#This Row],[OBP]]+SFG_H117[[#This Row],[SLG]],0)</f>
        <v>0.53200808625336926</v>
      </c>
      <c r="BT15" s="74">
        <v>0</v>
      </c>
      <c r="BU15" s="615">
        <v>12</v>
      </c>
    </row>
    <row r="16" spans="1:73">
      <c r="A16" s="651" t="s">
        <v>1139</v>
      </c>
      <c r="B16" s="71" t="s">
        <v>187</v>
      </c>
      <c r="C16" s="71" t="s">
        <v>1151</v>
      </c>
      <c r="D16" s="72">
        <f>IFERROR(SFG_H[[#This Row],[H]]/SFG_H[[#This Row],[AB]],0)</f>
        <v>0.30508474576271188</v>
      </c>
      <c r="E16" s="72">
        <f>IFERROR((SFG_H[[#This Row],[H]]+SFG_H[[#This Row],[BB]])/(SFG_H[[#This Row],[BB]]+SFG_H[[#This Row],[AB]]),0)</f>
        <v>0.32786885245901637</v>
      </c>
      <c r="F16" s="73">
        <f>IFERROR(((SFG_H[[#This Row],[H]]-SFG_H[[#This Row],[2B]]-SFG_H[[#This Row],[3B]]-SFG_H[[#This Row],[HR]])+(SFG_H[[#This Row],[2B]]*2)+(SFG_H[[#This Row],[3B]]*3)+(SFG_H[[#This Row],[HR]]*4))/SFG_H[[#This Row],[AB]],0)</f>
        <v>0.5423728813559322</v>
      </c>
      <c r="G16" s="28">
        <v>17</v>
      </c>
      <c r="H16" s="28">
        <v>59</v>
      </c>
      <c r="I16" s="28">
        <v>7</v>
      </c>
      <c r="J16" s="28">
        <v>18</v>
      </c>
      <c r="K16" s="28">
        <v>6</v>
      </c>
      <c r="L16" s="28">
        <v>1</v>
      </c>
      <c r="M16" s="28">
        <v>2</v>
      </c>
      <c r="N16" s="28">
        <v>11</v>
      </c>
      <c r="O16" s="28">
        <v>2</v>
      </c>
      <c r="P16" s="74">
        <v>17</v>
      </c>
      <c r="Q16" s="28">
        <v>0</v>
      </c>
      <c r="R16" s="28">
        <v>0</v>
      </c>
      <c r="S16" s="74">
        <v>5</v>
      </c>
      <c r="T16" s="28">
        <f>IFERROR((SFG_H[[#This Row],[H]]-SFG_H[[#This Row],[2B]]-SFG_H[[#This Row],[3B]]-SFG_H[[#This Row],[HR]])+(SFG_H[[#This Row],[2B]]*2)+(SFG_H[[#This Row],[3B]]*3)+(SFG_H[[#This Row],[HR]]*4),0)</f>
        <v>32</v>
      </c>
      <c r="U16" s="72">
        <f>SFG_H[[#This Row],[OBP]]+SFG_H[[#This Row],[SLG]]</f>
        <v>0.87024173381494863</v>
      </c>
      <c r="V16" s="74">
        <v>2</v>
      </c>
      <c r="W16" s="615">
        <v>13</v>
      </c>
      <c r="Z16" s="609" t="s">
        <v>1139</v>
      </c>
      <c r="AA16" s="71" t="s">
        <v>192</v>
      </c>
      <c r="AB16" s="71" t="s">
        <v>1151</v>
      </c>
      <c r="AC16" s="72">
        <f>IFERROR(SFG_H110[[#This Row],[H]]/SFG_H110[[#This Row],[AB]],0)</f>
        <v>0.14814814814814814</v>
      </c>
      <c r="AD16" s="72">
        <f>IFERROR((SFG_H110[[#This Row],[H]]+SFG_H110[[#This Row],[BB]])/(SFG_H110[[#This Row],[BB]]+SFG_H110[[#This Row],[AB]]),0)</f>
        <v>0.28125</v>
      </c>
      <c r="AE16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0.18518518518518517</v>
      </c>
      <c r="AF16" s="28">
        <v>10</v>
      </c>
      <c r="AG16" s="28">
        <v>27</v>
      </c>
      <c r="AH16" s="28">
        <v>3</v>
      </c>
      <c r="AI16" s="28">
        <v>4</v>
      </c>
      <c r="AJ16" s="28">
        <v>1</v>
      </c>
      <c r="AK16" s="28">
        <v>0</v>
      </c>
      <c r="AL16" s="28">
        <v>0</v>
      </c>
      <c r="AM16" s="28">
        <v>2</v>
      </c>
      <c r="AN16" s="28">
        <v>5</v>
      </c>
      <c r="AO16" s="74">
        <v>8</v>
      </c>
      <c r="AP16" s="28">
        <v>0</v>
      </c>
      <c r="AQ16" s="28">
        <v>2</v>
      </c>
      <c r="AR16" s="74">
        <v>2</v>
      </c>
      <c r="AS16" s="28">
        <f>IFERROR((SFG_H110[[#This Row],[H]]-SFG_H110[[#This Row],[2B]]-SFG_H110[[#This Row],[3B]]-SFG_H110[[#This Row],[HR]])+(SFG_H110[[#This Row],[2B]]*2)+(SFG_H110[[#This Row],[3B]]*3)+(SFG_H110[[#This Row],[HR]]*4),0)</f>
        <v>5</v>
      </c>
      <c r="AT16" s="72">
        <f>SFG_H110[[#This Row],[OBP]]+SFG_H110[[#This Row],[SLG]]</f>
        <v>0.46643518518518517</v>
      </c>
      <c r="AU16" s="74">
        <v>0</v>
      </c>
      <c r="AV16" s="615">
        <v>13</v>
      </c>
      <c r="AY16" s="651" t="s">
        <v>1139</v>
      </c>
      <c r="AZ16" s="71" t="s">
        <v>186</v>
      </c>
      <c r="BA16" s="71" t="s">
        <v>1154</v>
      </c>
      <c r="BB16" s="72">
        <f>IFERROR(SFG_H117[[#This Row],[H]]/SFG_H117[[#This Row],[AB]],0)</f>
        <v>0.25</v>
      </c>
      <c r="BC16" s="72">
        <f>IFERROR((SFG_H117[[#This Row],[BB]]+SFG_H117[[#This Row],[H]])/(SFG_H117[[#This Row],[BB]]+SFG_H117[[#This Row],[AB]]),0)</f>
        <v>0.3125</v>
      </c>
      <c r="BD16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0.47727272727272729</v>
      </c>
      <c r="BE16" s="28">
        <v>16</v>
      </c>
      <c r="BF16" s="28">
        <v>44</v>
      </c>
      <c r="BG16" s="28">
        <v>11</v>
      </c>
      <c r="BH16" s="28">
        <v>11</v>
      </c>
      <c r="BI16" s="28">
        <v>1</v>
      </c>
      <c r="BJ16" s="28">
        <v>0</v>
      </c>
      <c r="BK16" s="28">
        <v>3</v>
      </c>
      <c r="BL16" s="28">
        <v>8</v>
      </c>
      <c r="BM16" s="28">
        <v>4</v>
      </c>
      <c r="BN16" s="74">
        <v>12</v>
      </c>
      <c r="BO16" s="28">
        <v>0</v>
      </c>
      <c r="BP16" s="28">
        <v>4</v>
      </c>
      <c r="BQ16" s="74">
        <v>4</v>
      </c>
      <c r="BR16" s="28">
        <f>(SFG_H117[[#This Row],[H]]-SFG_H117[[#This Row],[2B]]-SFG_H117[[#This Row],[3B]]-SFG_H117[[#This Row],[HR]])+(SFG_H117[[#This Row],[2B]]*2)+(SFG_H117[[#This Row],[3B]]*3)+(SFG_H117[[#This Row],[HR]]*4)</f>
        <v>21</v>
      </c>
      <c r="BS16" s="72">
        <f>IFERROR(SFG_H117[[#This Row],[OBP]]+SFG_H117[[#This Row],[SLG]],0)</f>
        <v>0.78977272727272729</v>
      </c>
      <c r="BT16" s="74">
        <v>1</v>
      </c>
      <c r="BU16" s="615">
        <v>13</v>
      </c>
    </row>
    <row r="17" spans="1:73" ht="17" thickBot="1">
      <c r="A17" s="651" t="s">
        <v>1139</v>
      </c>
      <c r="B17" s="71" t="s">
        <v>184</v>
      </c>
      <c r="C17" s="71" t="s">
        <v>1156</v>
      </c>
      <c r="D17" s="72">
        <f>IFERROR(SFG_H[[#This Row],[H]]/SFG_H[[#This Row],[AB]],0)</f>
        <v>0.1875</v>
      </c>
      <c r="E17" s="72">
        <f>IFERROR((SFG_H[[#This Row],[H]]+SFG_H[[#This Row],[BB]])/(SFG_H[[#This Row],[BB]]+SFG_H[[#This Row],[AB]]),0)</f>
        <v>0.23529411764705882</v>
      </c>
      <c r="F17" s="73">
        <f>IFERROR(((SFG_H[[#This Row],[H]]-SFG_H[[#This Row],[2B]]-SFG_H[[#This Row],[3B]]-SFG_H[[#This Row],[HR]])+(SFG_H[[#This Row],[2B]]*2)+(SFG_H[[#This Row],[3B]]*3)+(SFG_H[[#This Row],[HR]]*4))/SFG_H[[#This Row],[AB]],0)</f>
        <v>0.28125</v>
      </c>
      <c r="G17" s="28">
        <v>11</v>
      </c>
      <c r="H17" s="28">
        <v>32</v>
      </c>
      <c r="I17" s="28">
        <v>2</v>
      </c>
      <c r="J17" s="28">
        <v>6</v>
      </c>
      <c r="K17" s="28">
        <v>0</v>
      </c>
      <c r="L17" s="28">
        <v>0</v>
      </c>
      <c r="M17" s="28">
        <v>1</v>
      </c>
      <c r="N17" s="28">
        <v>2</v>
      </c>
      <c r="O17" s="28">
        <v>2</v>
      </c>
      <c r="P17" s="74">
        <v>4</v>
      </c>
      <c r="Q17" s="28">
        <v>0</v>
      </c>
      <c r="R17" s="28">
        <v>3</v>
      </c>
      <c r="S17" s="74">
        <v>3</v>
      </c>
      <c r="T17" s="28">
        <f>IFERROR((SFG_H[[#This Row],[H]]-SFG_H[[#This Row],[2B]]-SFG_H[[#This Row],[3B]]-SFG_H[[#This Row],[HR]])+(SFG_H[[#This Row],[2B]]*2)+(SFG_H[[#This Row],[3B]]*3)+(SFG_H[[#This Row],[HR]]*4),0)</f>
        <v>9</v>
      </c>
      <c r="U17" s="72">
        <f>SFG_H[[#This Row],[OBP]]+SFG_H[[#This Row],[SLG]]</f>
        <v>0.51654411764705888</v>
      </c>
      <c r="V17" s="74">
        <v>0</v>
      </c>
      <c r="W17" s="615">
        <v>14</v>
      </c>
      <c r="Z17" s="609" t="s">
        <v>1139</v>
      </c>
      <c r="AA17" s="71" t="s">
        <v>186</v>
      </c>
      <c r="AB17" s="71" t="s">
        <v>1155</v>
      </c>
      <c r="AC17" s="72">
        <f>IFERROR(SFG_H110[[#This Row],[H]]/SFG_H110[[#This Row],[AB]],0)</f>
        <v>0.13953488372093023</v>
      </c>
      <c r="AD17" s="72">
        <f>IFERROR((SFG_H110[[#This Row],[H]]+SFG_H110[[#This Row],[BB]])/(SFG_H110[[#This Row],[BB]]+SFG_H110[[#This Row],[AB]]),0)</f>
        <v>0.22916666666666666</v>
      </c>
      <c r="AE17" s="73">
        <f>IFERROR(((SFG_H110[[#This Row],[H]]-SFG_H110[[#This Row],[2B]]-SFG_H110[[#This Row],[3B]]-SFG_H110[[#This Row],[HR]])+(SFG_H110[[#This Row],[2B]]*2)+(SFG_H110[[#This Row],[3B]]*3)+(SFG_H110[[#This Row],[HR]]*4))/SFG_H110[[#This Row],[AB]],0)</f>
        <v>0.16279069767441862</v>
      </c>
      <c r="AF17" s="28">
        <v>18</v>
      </c>
      <c r="AG17" s="28">
        <v>43</v>
      </c>
      <c r="AH17" s="28">
        <v>5</v>
      </c>
      <c r="AI17" s="28">
        <v>6</v>
      </c>
      <c r="AJ17" s="28">
        <v>1</v>
      </c>
      <c r="AK17" s="28">
        <v>0</v>
      </c>
      <c r="AL17" s="28">
        <v>0</v>
      </c>
      <c r="AM17" s="28">
        <v>1</v>
      </c>
      <c r="AN17" s="28">
        <v>5</v>
      </c>
      <c r="AO17" s="74">
        <v>18</v>
      </c>
      <c r="AP17" s="28">
        <v>0</v>
      </c>
      <c r="AQ17" s="28">
        <v>0</v>
      </c>
      <c r="AR17" s="74">
        <v>1</v>
      </c>
      <c r="AS17" s="28">
        <f>IFERROR((SFG_H110[[#This Row],[H]]-SFG_H110[[#This Row],[2B]]-SFG_H110[[#This Row],[3B]]-SFG_H110[[#This Row],[HR]])+(SFG_H110[[#This Row],[2B]]*2)+(SFG_H110[[#This Row],[3B]]*3)+(SFG_H110[[#This Row],[HR]]*4),0)</f>
        <v>7</v>
      </c>
      <c r="AT17" s="72">
        <f>SFG_H110[[#This Row],[OBP]]+SFG_H110[[#This Row],[SLG]]</f>
        <v>0.3919573643410853</v>
      </c>
      <c r="AU17" s="74">
        <v>0</v>
      </c>
      <c r="AV17" s="615">
        <v>14</v>
      </c>
      <c r="AY17" s="651" t="s">
        <v>1139</v>
      </c>
      <c r="AZ17" s="71" t="s">
        <v>186</v>
      </c>
      <c r="BA17" s="71" t="s">
        <v>1155</v>
      </c>
      <c r="BB17" s="72">
        <f>IFERROR(SFG_H117[[#This Row],[H]]/SFG_H117[[#This Row],[AB]],0)</f>
        <v>0.29032258064516131</v>
      </c>
      <c r="BC17" s="72">
        <f>IFERROR((SFG_H117[[#This Row],[BB]]+SFG_H117[[#This Row],[H]])/(SFG_H117[[#This Row],[BB]]+SFG_H117[[#This Row],[AB]]),0)</f>
        <v>0.3125</v>
      </c>
      <c r="BD17" s="73">
        <f>IFERROR(((SFG_H117[[#This Row],[H]]-SFG_H117[[#This Row],[2B]]-SFG_H117[[#This Row],[3B]]-SFG_H117[[#This Row],[HR]])+(SFG_H117[[#This Row],[2B]]*2)+(SFG_H117[[#This Row],[3B]]*3)+(SFG_H117[[#This Row],[HR]]*4))/SFG_H117[[#This Row],[AB]],0)</f>
        <v>0.4838709677419355</v>
      </c>
      <c r="BE17" s="28">
        <v>17</v>
      </c>
      <c r="BF17" s="28">
        <v>31</v>
      </c>
      <c r="BG17" s="28">
        <v>2</v>
      </c>
      <c r="BH17" s="28">
        <v>9</v>
      </c>
      <c r="BI17" s="28">
        <v>3</v>
      </c>
      <c r="BJ17" s="28">
        <v>0</v>
      </c>
      <c r="BK17" s="28">
        <v>1</v>
      </c>
      <c r="BL17" s="28">
        <v>3</v>
      </c>
      <c r="BM17" s="28">
        <v>1</v>
      </c>
      <c r="BN17" s="74">
        <v>8</v>
      </c>
      <c r="BO17" s="28">
        <v>0</v>
      </c>
      <c r="BP17" s="28">
        <v>5</v>
      </c>
      <c r="BQ17" s="74">
        <v>5</v>
      </c>
      <c r="BR17" s="28">
        <f>(SFG_H117[[#This Row],[H]]-SFG_H117[[#This Row],[2B]]-SFG_H117[[#This Row],[3B]]-SFG_H117[[#This Row],[HR]])+(SFG_H117[[#This Row],[2B]]*2)+(SFG_H117[[#This Row],[3B]]*3)+(SFG_H117[[#This Row],[HR]]*4)</f>
        <v>15</v>
      </c>
      <c r="BS17" s="72">
        <f>IFERROR(SFG_H117[[#This Row],[OBP]]+SFG_H117[[#This Row],[SLG]],0)</f>
        <v>0.7963709677419355</v>
      </c>
      <c r="BT17" s="74">
        <v>1</v>
      </c>
      <c r="BU17" s="615">
        <v>14</v>
      </c>
    </row>
    <row r="18" spans="1:73" ht="17" thickBot="1">
      <c r="A18" s="809"/>
      <c r="B18" s="810"/>
      <c r="C18" s="654" t="s">
        <v>195</v>
      </c>
      <c r="D18" s="656">
        <f>J18/H18</f>
        <v>0.24486803519061584</v>
      </c>
      <c r="E18" s="656">
        <f>(J18+O18)/(O18+H18)</f>
        <v>0.31103678929765888</v>
      </c>
      <c r="F18" s="657">
        <f>((J18-K18-L18-M18)+(K18*2)+(L18*3)+(M18*4))/H18</f>
        <v>0.40249266862170086</v>
      </c>
      <c r="G18" s="658"/>
      <c r="H18" s="658">
        <f>SUBTOTAL(109,SFG_H[AB])</f>
        <v>1364</v>
      </c>
      <c r="I18" s="658">
        <f>SUBTOTAL(109,SFG_H[R])</f>
        <v>151</v>
      </c>
      <c r="J18" s="658">
        <f>SUBTOTAL(109,SFG_H[H])</f>
        <v>334</v>
      </c>
      <c r="K18" s="658">
        <f>SUBTOTAL(109,SFG_H[2B])</f>
        <v>65</v>
      </c>
      <c r="L18" s="658">
        <f>SUBTOTAL(109,SFG_H[3B])</f>
        <v>12</v>
      </c>
      <c r="M18" s="658">
        <f>SUBTOTAL(109,SFG_H[HR])</f>
        <v>42</v>
      </c>
      <c r="N18" s="658">
        <f>SUBTOTAL(109,SFG_H[RBI])</f>
        <v>149</v>
      </c>
      <c r="O18" s="658">
        <f>SUBTOTAL(109,SFG_H[BB])</f>
        <v>131</v>
      </c>
      <c r="P18" s="660">
        <f>SUBTOTAL(109,SFG_H[K])</f>
        <v>332</v>
      </c>
      <c r="Q18" s="658">
        <f>SUBTOTAL(109,SFG_H[SB])</f>
        <v>0</v>
      </c>
      <c r="R18" s="658"/>
      <c r="S18" s="660"/>
      <c r="T18" s="658">
        <f>SUBTOTAL(109,SFG_H[TB])</f>
        <v>549</v>
      </c>
      <c r="U18" s="656">
        <f>F18+E18</f>
        <v>0.71352945791935973</v>
      </c>
      <c r="V18" s="660">
        <f>SUBTOTAL(109,SFG_H[*])</f>
        <v>21</v>
      </c>
      <c r="W18" s="662"/>
      <c r="Z18" s="809"/>
      <c r="AA18" s="810"/>
      <c r="AB18" s="654" t="s">
        <v>195</v>
      </c>
      <c r="AC18" s="656">
        <f>AI18/AG18</f>
        <v>0.25266903914590749</v>
      </c>
      <c r="AD18" s="656">
        <f>(AI18+AN18)/(AN18+AG18)</f>
        <v>0.32950191570881227</v>
      </c>
      <c r="AE18" s="657">
        <f>((AI18-AJ18-AK18-AL18)+(AJ18*2)+(AK18*3)+(AL18*4))/AG18</f>
        <v>0.42419928825622777</v>
      </c>
      <c r="AF18" s="658"/>
      <c r="AG18" s="658">
        <f>SUBTOTAL(109,SFG_H110[AB])</f>
        <v>1405</v>
      </c>
      <c r="AH18" s="658">
        <f>SUBTOTAL(109,SFG_H110[R])</f>
        <v>194</v>
      </c>
      <c r="AI18" s="658">
        <f>SUBTOTAL(109,SFG_H110[H])</f>
        <v>355</v>
      </c>
      <c r="AJ18" s="658">
        <f>SUBTOTAL(109,SFG_H110[2B])</f>
        <v>73</v>
      </c>
      <c r="AK18" s="658">
        <f>SUBTOTAL(109,SFG_H110[3B])</f>
        <v>6</v>
      </c>
      <c r="AL18" s="658">
        <f>SUBTOTAL(109,SFG_H110[HR])</f>
        <v>52</v>
      </c>
      <c r="AM18" s="658">
        <f>SUBTOTAL(109,SFG_H110[RBI])</f>
        <v>191</v>
      </c>
      <c r="AN18" s="659">
        <f>SUBTOTAL(109,SFG_H110[BB])</f>
        <v>161</v>
      </c>
      <c r="AO18" s="660">
        <f>SUBTOTAL(109,SFG_H110[K])</f>
        <v>336</v>
      </c>
      <c r="AP18" s="658">
        <f>SUBTOTAL(109,SFG_H110[SB])</f>
        <v>0</v>
      </c>
      <c r="AQ18" s="658"/>
      <c r="AR18" s="660"/>
      <c r="AS18" s="658">
        <f>SUBTOTAL(109,SFG_H110[TB])</f>
        <v>596</v>
      </c>
      <c r="AT18" s="656">
        <f>AE18+AD18</f>
        <v>0.75370120396504003</v>
      </c>
      <c r="AU18" s="660">
        <f>SUBTOTAL(109,SFG_H110[*])</f>
        <v>26</v>
      </c>
      <c r="AV18" s="662"/>
      <c r="AY18" s="809"/>
      <c r="AZ18" s="810"/>
      <c r="BA18" s="654" t="s">
        <v>195</v>
      </c>
      <c r="BB18" s="656">
        <f>IFERROR(BH18/BF18,0)</f>
        <v>0.25</v>
      </c>
      <c r="BC18" s="656">
        <f>IFERROR((BM18+BH18)/(BM18+BF18),0)</f>
        <v>0.31994818652849744</v>
      </c>
      <c r="BD18" s="657">
        <f>IFERROR(((BH18-BI18-BJ18-BK18)+(BI18*2)+(BJ18*3)+(BK18*4))/BF18,0)</f>
        <v>0.43214285714285716</v>
      </c>
      <c r="BE18" s="658"/>
      <c r="BF18" s="658">
        <f>SUBTOTAL(109,SFG_H117[AB])</f>
        <v>1400</v>
      </c>
      <c r="BG18" s="658">
        <f>SUBTOTAL(109,SFG_H117[R])</f>
        <v>187</v>
      </c>
      <c r="BH18" s="658">
        <f>SUBTOTAL(109,SFG_H117[H])</f>
        <v>350</v>
      </c>
      <c r="BI18" s="658">
        <f>SUBTOTAL(109,SFG_H117[2B])</f>
        <v>74</v>
      </c>
      <c r="BJ18" s="658">
        <f>SUBTOTAL(109,SFG_H117[3B])</f>
        <v>5</v>
      </c>
      <c r="BK18" s="658">
        <f>SUBTOTAL(109,SFG_H117[HR])</f>
        <v>57</v>
      </c>
      <c r="BL18" s="658">
        <f>SUBTOTAL(109,SFG_H117[RBI])</f>
        <v>187</v>
      </c>
      <c r="BM18" s="658">
        <f>SUBTOTAL(109,SFG_H117[BB])</f>
        <v>144</v>
      </c>
      <c r="BN18" s="660">
        <f>SUBTOTAL(109,SFG_H117[K])</f>
        <v>309</v>
      </c>
      <c r="BO18" s="658">
        <f>SUBTOTAL(109,SFG_H117[SB])</f>
        <v>1</v>
      </c>
      <c r="BP18" s="658"/>
      <c r="BQ18" s="660"/>
      <c r="BR18" s="658">
        <f>SUBTOTAL(109,SFG_H117[TB])</f>
        <v>605</v>
      </c>
      <c r="BS18" s="656">
        <f>IFERROR(BC18+BD18,0)</f>
        <v>0.7520910436713546</v>
      </c>
      <c r="BT18" s="660">
        <f>SUBTOTAL(109,SFG_H117[*])</f>
        <v>27</v>
      </c>
      <c r="BU18" s="662"/>
    </row>
    <row r="19" spans="1:73" ht="17" thickBot="1">
      <c r="E19" s="28"/>
      <c r="F19" s="28"/>
      <c r="G19" s="28"/>
      <c r="AD19" s="28"/>
      <c r="AE19" s="28"/>
      <c r="AF19" s="28"/>
    </row>
    <row r="20" spans="1:73" s="108" customFormat="1" ht="15" thickBot="1">
      <c r="A20" s="605" t="s">
        <v>143</v>
      </c>
      <c r="B20" s="606" t="s">
        <v>144</v>
      </c>
      <c r="C20" s="606" t="s">
        <v>145</v>
      </c>
      <c r="D20" s="606" t="s">
        <v>196</v>
      </c>
      <c r="E20" s="606" t="s">
        <v>197</v>
      </c>
      <c r="F20" s="606" t="s">
        <v>198</v>
      </c>
      <c r="G20" s="606" t="s">
        <v>149</v>
      </c>
      <c r="H20" s="606" t="s">
        <v>199</v>
      </c>
      <c r="I20" s="606" t="s">
        <v>152</v>
      </c>
      <c r="J20" s="606" t="s">
        <v>151</v>
      </c>
      <c r="K20" s="606" t="s">
        <v>157</v>
      </c>
      <c r="L20" s="606" t="s">
        <v>158</v>
      </c>
      <c r="M20" s="606" t="s">
        <v>200</v>
      </c>
      <c r="N20" s="606" t="s">
        <v>201</v>
      </c>
      <c r="O20" s="606" t="s">
        <v>202</v>
      </c>
      <c r="P20" s="606" t="s">
        <v>203</v>
      </c>
      <c r="Q20" s="606" t="s">
        <v>204</v>
      </c>
      <c r="R20" s="606" t="s">
        <v>205</v>
      </c>
      <c r="S20" s="607" t="s">
        <v>164</v>
      </c>
      <c r="Z20" s="605" t="s">
        <v>143</v>
      </c>
      <c r="AA20" s="606" t="s">
        <v>144</v>
      </c>
      <c r="AB20" s="606" t="s">
        <v>145</v>
      </c>
      <c r="AC20" s="606" t="s">
        <v>196</v>
      </c>
      <c r="AD20" s="606" t="s">
        <v>197</v>
      </c>
      <c r="AE20" s="606" t="s">
        <v>198</v>
      </c>
      <c r="AF20" s="606" t="s">
        <v>149</v>
      </c>
      <c r="AG20" s="606" t="s">
        <v>199</v>
      </c>
      <c r="AH20" s="606" t="s">
        <v>152</v>
      </c>
      <c r="AI20" s="606" t="s">
        <v>151</v>
      </c>
      <c r="AJ20" s="606" t="s">
        <v>157</v>
      </c>
      <c r="AK20" s="606" t="s">
        <v>158</v>
      </c>
      <c r="AL20" s="606" t="s">
        <v>200</v>
      </c>
      <c r="AM20" s="606" t="s">
        <v>201</v>
      </c>
      <c r="AN20" s="606" t="s">
        <v>202</v>
      </c>
      <c r="AO20" s="606" t="s">
        <v>203</v>
      </c>
      <c r="AP20" s="606" t="s">
        <v>204</v>
      </c>
      <c r="AQ20" s="606" t="s">
        <v>205</v>
      </c>
      <c r="AR20" s="607" t="s">
        <v>164</v>
      </c>
      <c r="AY20" s="605" t="s">
        <v>143</v>
      </c>
      <c r="AZ20" s="606" t="s">
        <v>144</v>
      </c>
      <c r="BA20" s="606" t="s">
        <v>145</v>
      </c>
      <c r="BB20" s="606" t="s">
        <v>196</v>
      </c>
      <c r="BC20" s="606" t="s">
        <v>197</v>
      </c>
      <c r="BD20" s="606" t="s">
        <v>198</v>
      </c>
      <c r="BE20" s="606" t="s">
        <v>149</v>
      </c>
      <c r="BF20" s="606" t="s">
        <v>199</v>
      </c>
      <c r="BG20" s="606" t="s">
        <v>152</v>
      </c>
      <c r="BH20" s="606" t="s">
        <v>151</v>
      </c>
      <c r="BI20" s="606" t="s">
        <v>157</v>
      </c>
      <c r="BJ20" s="606" t="s">
        <v>158</v>
      </c>
      <c r="BK20" s="606" t="s">
        <v>200</v>
      </c>
      <c r="BL20" s="606" t="s">
        <v>201</v>
      </c>
      <c r="BM20" s="606" t="s">
        <v>202</v>
      </c>
      <c r="BN20" s="606" t="s">
        <v>203</v>
      </c>
      <c r="BO20" s="606" t="s">
        <v>204</v>
      </c>
      <c r="BP20" s="606" t="s">
        <v>205</v>
      </c>
      <c r="BQ20" s="607" t="s">
        <v>164</v>
      </c>
    </row>
    <row r="21" spans="1:73">
      <c r="A21" s="827" t="s">
        <v>1139</v>
      </c>
      <c r="B21" s="825" t="s">
        <v>206</v>
      </c>
      <c r="C21" s="752" t="s">
        <v>559</v>
      </c>
      <c r="D21" s="663">
        <f>IFERROR((SFG_P[[#This Row],[R]]*9)/SFG_P[[#This Row],[IP]],0)</f>
        <v>3.7826086956521738</v>
      </c>
      <c r="E21" s="600">
        <v>5</v>
      </c>
      <c r="F21" s="604">
        <v>3</v>
      </c>
      <c r="G21" s="600">
        <v>10</v>
      </c>
      <c r="H21" s="630">
        <v>69</v>
      </c>
      <c r="I21" s="600">
        <v>60</v>
      </c>
      <c r="J21" s="600">
        <v>29</v>
      </c>
      <c r="K21" s="600">
        <v>26</v>
      </c>
      <c r="L21" s="600">
        <v>82</v>
      </c>
      <c r="M21" s="600">
        <v>0</v>
      </c>
      <c r="N21" s="631">
        <f>IFERROR((SFG_P[[#This Row],[BB]]+SFG_P[[#This Row],[H]])/SFG_P[[#This Row],[IP]],0)</f>
        <v>1.2463768115942029</v>
      </c>
      <c r="O21" s="600">
        <v>7</v>
      </c>
      <c r="P21" s="601">
        <v>5</v>
      </c>
      <c r="Q21" s="600">
        <v>1</v>
      </c>
      <c r="R21" s="604">
        <v>1</v>
      </c>
      <c r="S21" s="614">
        <v>1</v>
      </c>
      <c r="Z21" s="870" t="s">
        <v>1139</v>
      </c>
      <c r="AA21" s="825" t="s">
        <v>206</v>
      </c>
      <c r="AB21" s="752" t="s">
        <v>559</v>
      </c>
      <c r="AC21" s="663">
        <f>IFERROR((SFG_P109[[#This Row],[R]]*9)/SFG_P109[[#This Row],[IP]],0)</f>
        <v>2.4664647338814367</v>
      </c>
      <c r="AD21" s="600">
        <v>2</v>
      </c>
      <c r="AE21" s="604">
        <v>4</v>
      </c>
      <c r="AF21" s="600">
        <v>10</v>
      </c>
      <c r="AG21" s="630">
        <v>69.33</v>
      </c>
      <c r="AH21" s="600">
        <v>53</v>
      </c>
      <c r="AI21" s="600">
        <v>19</v>
      </c>
      <c r="AJ21" s="600">
        <v>25</v>
      </c>
      <c r="AK21" s="600">
        <v>91</v>
      </c>
      <c r="AL21" s="600">
        <v>0</v>
      </c>
      <c r="AM21" s="631">
        <f>IFERROR((SFG_P109[[#This Row],[BB]]+SFG_P109[[#This Row],[H]])/SFG_P109[[#This Row],[IP]],0)</f>
        <v>1.1250540891389009</v>
      </c>
      <c r="AN21" s="600">
        <v>8</v>
      </c>
      <c r="AO21" s="601">
        <v>6</v>
      </c>
      <c r="AP21" s="600">
        <v>1</v>
      </c>
      <c r="AQ21" s="604">
        <v>1</v>
      </c>
      <c r="AR21" s="614">
        <v>1</v>
      </c>
      <c r="AY21" s="827" t="s">
        <v>1139</v>
      </c>
      <c r="AZ21" s="825" t="s">
        <v>206</v>
      </c>
      <c r="BA21" s="826" t="s">
        <v>1158</v>
      </c>
      <c r="BB21" s="663">
        <f>IFERROR((SFG_P118[[#This Row],[R]]*9)/SFG_P118[[#This Row],[IP]],0)</f>
        <v>2.8228555843447429</v>
      </c>
      <c r="BC21" s="600">
        <v>5</v>
      </c>
      <c r="BD21" s="604">
        <v>4</v>
      </c>
      <c r="BE21" s="600">
        <v>10</v>
      </c>
      <c r="BF21" s="630">
        <v>73.33</v>
      </c>
      <c r="BG21" s="600">
        <v>58</v>
      </c>
      <c r="BH21" s="600">
        <v>23</v>
      </c>
      <c r="BI21" s="600">
        <v>20</v>
      </c>
      <c r="BJ21" s="600">
        <v>75</v>
      </c>
      <c r="BK21" s="600">
        <v>0</v>
      </c>
      <c r="BL21" s="631">
        <f>IFERROR((SFG_P118[[#This Row],[BB]]+SFG_P118[[#This Row],[H]])/SFG_P118[[#This Row],[IP]],0)</f>
        <v>1.0636847129414975</v>
      </c>
      <c r="BM21" s="600">
        <v>8</v>
      </c>
      <c r="BN21" s="601">
        <v>6</v>
      </c>
      <c r="BO21" s="600">
        <v>2</v>
      </c>
      <c r="BP21" s="604">
        <v>2</v>
      </c>
      <c r="BQ21" s="614">
        <v>1</v>
      </c>
    </row>
    <row r="22" spans="1:73">
      <c r="A22" s="828" t="s">
        <v>1139</v>
      </c>
      <c r="B22" s="114" t="s">
        <v>206</v>
      </c>
      <c r="C22" s="115" t="s">
        <v>1158</v>
      </c>
      <c r="D22" s="88">
        <f>IFERROR((SFG_P[[#This Row],[R]]*9)/SFG_P[[#This Row],[IP]],0)</f>
        <v>3.4411764705882355</v>
      </c>
      <c r="E22" s="28">
        <v>4</v>
      </c>
      <c r="F22" s="28">
        <v>3</v>
      </c>
      <c r="G22" s="77">
        <v>10</v>
      </c>
      <c r="H22" s="584">
        <v>68</v>
      </c>
      <c r="I22" s="28">
        <v>59</v>
      </c>
      <c r="J22" s="28">
        <v>26</v>
      </c>
      <c r="K22" s="28">
        <v>18</v>
      </c>
      <c r="L22" s="28">
        <v>68</v>
      </c>
      <c r="M22" s="28">
        <v>0</v>
      </c>
      <c r="N22" s="89">
        <f>IFERROR((SFG_P[[#This Row],[BB]]+SFG_P[[#This Row],[H]])/SFG_P[[#This Row],[IP]],0)</f>
        <v>1.1323529411764706</v>
      </c>
      <c r="O22" s="28">
        <v>6</v>
      </c>
      <c r="P22" s="90">
        <v>5</v>
      </c>
      <c r="Q22" s="28">
        <v>1</v>
      </c>
      <c r="R22" s="74">
        <v>1</v>
      </c>
      <c r="S22" s="615">
        <v>2</v>
      </c>
      <c r="Z22" s="871" t="s">
        <v>1139</v>
      </c>
      <c r="AA22" s="114" t="s">
        <v>206</v>
      </c>
      <c r="AB22" s="115" t="s">
        <v>1158</v>
      </c>
      <c r="AC22" s="88">
        <f>IFERROR((SFG_P109[[#This Row],[R]]*9)/SFG_P109[[#This Row],[IP]],0)</f>
        <v>3.1363636363636362</v>
      </c>
      <c r="AD22" s="28">
        <v>5</v>
      </c>
      <c r="AE22" s="28">
        <v>3</v>
      </c>
      <c r="AF22" s="77">
        <v>10</v>
      </c>
      <c r="AG22" s="584">
        <v>66</v>
      </c>
      <c r="AH22" s="28">
        <v>62</v>
      </c>
      <c r="AI22" s="28">
        <v>23</v>
      </c>
      <c r="AJ22" s="28">
        <v>20</v>
      </c>
      <c r="AK22" s="28">
        <v>57</v>
      </c>
      <c r="AL22" s="28">
        <v>0</v>
      </c>
      <c r="AM22" s="89">
        <f>IFERROR((SFG_P109[[#This Row],[BB]]+SFG_P109[[#This Row],[H]])/SFG_P109[[#This Row],[IP]],0)</f>
        <v>1.2424242424242424</v>
      </c>
      <c r="AN22" s="28">
        <v>8</v>
      </c>
      <c r="AO22" s="90">
        <v>4</v>
      </c>
      <c r="AP22" s="28">
        <v>1</v>
      </c>
      <c r="AQ22" s="74">
        <v>1</v>
      </c>
      <c r="AR22" s="615">
        <v>2</v>
      </c>
      <c r="AY22" s="828" t="s">
        <v>1139</v>
      </c>
      <c r="AZ22" s="114" t="s">
        <v>206</v>
      </c>
      <c r="BA22" s="115" t="s">
        <v>286</v>
      </c>
      <c r="BB22" s="88">
        <f>IFERROR((SFG_P118[[#This Row],[R]]*9)/SFG_P118[[#This Row],[IP]],0)</f>
        <v>4.430769230769231</v>
      </c>
      <c r="BC22" s="28">
        <v>5</v>
      </c>
      <c r="BD22" s="28">
        <v>4</v>
      </c>
      <c r="BE22" s="77">
        <v>10</v>
      </c>
      <c r="BF22" s="584">
        <v>65</v>
      </c>
      <c r="BG22" s="28">
        <v>61</v>
      </c>
      <c r="BH22" s="28">
        <v>32</v>
      </c>
      <c r="BI22" s="28">
        <v>22</v>
      </c>
      <c r="BJ22" s="28">
        <v>79</v>
      </c>
      <c r="BK22" s="28">
        <v>0</v>
      </c>
      <c r="BL22" s="89">
        <f>IFERROR((SFG_P118[[#This Row],[BB]]+SFG_P118[[#This Row],[H]])/SFG_P118[[#This Row],[IP]],0)</f>
        <v>1.2769230769230768</v>
      </c>
      <c r="BM22" s="28">
        <v>7</v>
      </c>
      <c r="BN22" s="90">
        <v>4</v>
      </c>
      <c r="BO22" s="28">
        <v>0</v>
      </c>
      <c r="BP22" s="74">
        <v>0</v>
      </c>
      <c r="BQ22" s="615">
        <v>2</v>
      </c>
    </row>
    <row r="23" spans="1:73">
      <c r="A23" s="828" t="s">
        <v>1139</v>
      </c>
      <c r="B23" s="114" t="s">
        <v>206</v>
      </c>
      <c r="C23" s="116" t="s">
        <v>1159</v>
      </c>
      <c r="D23" s="88">
        <f>IFERROR((SFG_P[[#This Row],[R]]*9)/SFG_P[[#This Row],[IP]],0)</f>
        <v>3.4262220191868433</v>
      </c>
      <c r="E23" s="28">
        <v>3</v>
      </c>
      <c r="F23" s="74">
        <v>3</v>
      </c>
      <c r="G23" s="28">
        <v>10</v>
      </c>
      <c r="H23" s="584">
        <v>65.67</v>
      </c>
      <c r="I23" s="28">
        <v>63</v>
      </c>
      <c r="J23" s="28">
        <v>25</v>
      </c>
      <c r="K23" s="28">
        <v>27</v>
      </c>
      <c r="L23" s="28">
        <v>62</v>
      </c>
      <c r="M23" s="28">
        <v>0</v>
      </c>
      <c r="N23" s="89">
        <f>IFERROR((SFG_P[[#This Row],[BB]]+SFG_P[[#This Row],[H]])/SFG_P[[#This Row],[IP]],0)</f>
        <v>1.3704888076747372</v>
      </c>
      <c r="O23" s="28">
        <v>7</v>
      </c>
      <c r="P23" s="90">
        <v>5</v>
      </c>
      <c r="Q23" s="28">
        <v>0</v>
      </c>
      <c r="R23" s="74">
        <v>0</v>
      </c>
      <c r="S23" s="615">
        <v>3</v>
      </c>
      <c r="Z23" s="871" t="s">
        <v>1139</v>
      </c>
      <c r="AA23" s="114" t="s">
        <v>206</v>
      </c>
      <c r="AB23" s="116" t="s">
        <v>1159</v>
      </c>
      <c r="AC23" s="88">
        <f>IFERROR((SFG_P109[[#This Row],[R]]*9)/SFG_P109[[#This Row],[IP]],0)</f>
        <v>3.4654259586074123</v>
      </c>
      <c r="AD23" s="586">
        <v>8</v>
      </c>
      <c r="AE23" s="74">
        <v>0</v>
      </c>
      <c r="AF23" s="28">
        <v>10</v>
      </c>
      <c r="AG23" s="584">
        <v>62.33</v>
      </c>
      <c r="AH23" s="28">
        <v>59</v>
      </c>
      <c r="AI23" s="28">
        <v>24</v>
      </c>
      <c r="AJ23" s="28">
        <v>24</v>
      </c>
      <c r="AK23" s="28">
        <v>64</v>
      </c>
      <c r="AL23" s="28">
        <v>0</v>
      </c>
      <c r="AM23" s="89">
        <f>IFERROR((SFG_P109[[#This Row],[BB]]+SFG_P109[[#This Row],[H]])/SFG_P109[[#This Row],[IP]],0)</f>
        <v>1.3316220118722926</v>
      </c>
      <c r="AN23" s="28">
        <v>6</v>
      </c>
      <c r="AO23" s="90">
        <v>5</v>
      </c>
      <c r="AP23" s="28">
        <v>1</v>
      </c>
      <c r="AQ23" s="74">
        <v>1</v>
      </c>
      <c r="AR23" s="615">
        <v>3</v>
      </c>
      <c r="AY23" s="828" t="s">
        <v>1139</v>
      </c>
      <c r="AZ23" s="114" t="s">
        <v>206</v>
      </c>
      <c r="BA23" s="115" t="s">
        <v>1159</v>
      </c>
      <c r="BB23" s="88">
        <f>IFERROR((SFG_P118[[#This Row],[R]]*9)/SFG_P118[[#This Row],[IP]],0)</f>
        <v>2.8833551769331587</v>
      </c>
      <c r="BC23" s="28">
        <v>6</v>
      </c>
      <c r="BD23" s="74">
        <v>3</v>
      </c>
      <c r="BE23" s="28">
        <v>10</v>
      </c>
      <c r="BF23" s="584">
        <v>68.67</v>
      </c>
      <c r="BG23" s="28">
        <v>54</v>
      </c>
      <c r="BH23" s="28">
        <v>22</v>
      </c>
      <c r="BI23" s="28">
        <v>25</v>
      </c>
      <c r="BJ23" s="28">
        <v>63</v>
      </c>
      <c r="BK23" s="28">
        <v>0</v>
      </c>
      <c r="BL23" s="89">
        <f>IFERROR((SFG_P118[[#This Row],[BB]]+SFG_P118[[#This Row],[H]])/SFG_P118[[#This Row],[IP]],0)</f>
        <v>1.1504295907965632</v>
      </c>
      <c r="BM23" s="28">
        <v>8</v>
      </c>
      <c r="BN23" s="90">
        <v>6</v>
      </c>
      <c r="BO23" s="28">
        <v>1</v>
      </c>
      <c r="BP23" s="74">
        <v>1</v>
      </c>
      <c r="BQ23" s="615">
        <v>3</v>
      </c>
    </row>
    <row r="24" spans="1:73">
      <c r="A24" s="828" t="s">
        <v>1139</v>
      </c>
      <c r="B24" s="114" t="s">
        <v>206</v>
      </c>
      <c r="C24" s="116" t="s">
        <v>1160</v>
      </c>
      <c r="D24" s="88">
        <f>IFERROR((SFG_P[[#This Row],[R]]*9)/SFG_P[[#This Row],[IP]],0)</f>
        <v>5.5384615384615383</v>
      </c>
      <c r="E24" s="28">
        <v>4</v>
      </c>
      <c r="F24" s="74">
        <v>4</v>
      </c>
      <c r="G24" s="28">
        <v>10</v>
      </c>
      <c r="H24" s="584">
        <v>52</v>
      </c>
      <c r="I24" s="28">
        <v>64</v>
      </c>
      <c r="J24" s="28">
        <v>32</v>
      </c>
      <c r="K24" s="28">
        <v>23</v>
      </c>
      <c r="L24" s="28">
        <v>34</v>
      </c>
      <c r="M24" s="28">
        <v>0</v>
      </c>
      <c r="N24" s="89">
        <f>IFERROR((SFG_P[[#This Row],[BB]]+SFG_P[[#This Row],[H]])/SFG_P[[#This Row],[IP]],0)</f>
        <v>1.6730769230769231</v>
      </c>
      <c r="O24" s="28">
        <v>4</v>
      </c>
      <c r="P24" s="90">
        <v>1</v>
      </c>
      <c r="Q24" s="28">
        <v>0</v>
      </c>
      <c r="R24" s="74">
        <v>0</v>
      </c>
      <c r="S24" s="615">
        <v>4</v>
      </c>
      <c r="Z24" s="871" t="s">
        <v>1139</v>
      </c>
      <c r="AA24" s="114" t="s">
        <v>206</v>
      </c>
      <c r="AB24" s="116" t="s">
        <v>1047</v>
      </c>
      <c r="AC24" s="88">
        <f>IFERROR((SFG_P109[[#This Row],[R]]*9)/SFG_P109[[#This Row],[IP]],0)</f>
        <v>3.0294160690765404</v>
      </c>
      <c r="AD24" s="28">
        <v>6</v>
      </c>
      <c r="AE24" s="74">
        <v>1</v>
      </c>
      <c r="AF24" s="28">
        <v>10</v>
      </c>
      <c r="AG24" s="584">
        <v>68.33</v>
      </c>
      <c r="AH24" s="28">
        <v>44</v>
      </c>
      <c r="AI24" s="28">
        <v>23</v>
      </c>
      <c r="AJ24" s="28">
        <v>18</v>
      </c>
      <c r="AK24" s="28">
        <v>44</v>
      </c>
      <c r="AL24" s="28">
        <v>0</v>
      </c>
      <c r="AM24" s="89">
        <f>IFERROR((SFG_P109[[#This Row],[BB]]+SFG_P109[[#This Row],[H]])/SFG_P109[[#This Row],[IP]],0)</f>
        <v>0.90736133469925362</v>
      </c>
      <c r="AN24" s="28">
        <v>4</v>
      </c>
      <c r="AO24" s="90">
        <v>3</v>
      </c>
      <c r="AP24" s="28">
        <v>2</v>
      </c>
      <c r="AQ24" s="74">
        <v>2</v>
      </c>
      <c r="AR24" s="615">
        <v>4</v>
      </c>
      <c r="AY24" s="828" t="s">
        <v>1139</v>
      </c>
      <c r="AZ24" s="114" t="s">
        <v>206</v>
      </c>
      <c r="BA24" s="115" t="s">
        <v>1047</v>
      </c>
      <c r="BB24" s="88">
        <f>IFERROR((SFG_P118[[#This Row],[R]]*9)/SFG_P118[[#This Row],[IP]],0)</f>
        <v>5.2581714827096162</v>
      </c>
      <c r="BC24" s="28">
        <v>5</v>
      </c>
      <c r="BD24" s="74">
        <v>2</v>
      </c>
      <c r="BE24" s="28">
        <v>10</v>
      </c>
      <c r="BF24" s="584">
        <v>63.33</v>
      </c>
      <c r="BG24" s="28">
        <v>71</v>
      </c>
      <c r="BH24" s="28">
        <v>37</v>
      </c>
      <c r="BI24" s="28">
        <v>21</v>
      </c>
      <c r="BJ24" s="28">
        <v>58</v>
      </c>
      <c r="BK24" s="28">
        <v>0</v>
      </c>
      <c r="BL24" s="89">
        <f>IFERROR((SFG_P118[[#This Row],[BB]]+SFG_P118[[#This Row],[H]])/SFG_P118[[#This Row],[IP]],0)</f>
        <v>1.4527080372651193</v>
      </c>
      <c r="BM24" s="28">
        <v>5</v>
      </c>
      <c r="BN24" s="90">
        <v>2</v>
      </c>
      <c r="BO24" s="28">
        <v>1</v>
      </c>
      <c r="BP24" s="74">
        <v>1</v>
      </c>
      <c r="BQ24" s="615">
        <v>4</v>
      </c>
    </row>
    <row r="25" spans="1:73">
      <c r="A25" s="828" t="s">
        <v>1139</v>
      </c>
      <c r="B25" s="114" t="s">
        <v>212</v>
      </c>
      <c r="C25" s="116" t="s">
        <v>1161</v>
      </c>
      <c r="D25" s="88">
        <f>IFERROR((SFG_P[[#This Row],[R]]*9)/SFG_P[[#This Row],[IP]],0)</f>
        <v>5.8235294117647056</v>
      </c>
      <c r="E25" s="28">
        <v>0</v>
      </c>
      <c r="F25" s="74">
        <v>0</v>
      </c>
      <c r="G25" s="28">
        <v>9</v>
      </c>
      <c r="H25" s="584">
        <v>17</v>
      </c>
      <c r="I25" s="28">
        <v>24</v>
      </c>
      <c r="J25" s="28">
        <v>11</v>
      </c>
      <c r="K25" s="28">
        <v>9</v>
      </c>
      <c r="L25" s="28">
        <v>14</v>
      </c>
      <c r="M25" s="28">
        <v>0</v>
      </c>
      <c r="N25" s="89">
        <f>IFERROR((SFG_P[[#This Row],[BB]]+SFG_P[[#This Row],[H]])/SFG_P[[#This Row],[IP]],0)</f>
        <v>1.9411764705882353</v>
      </c>
      <c r="O25" s="28">
        <v>0</v>
      </c>
      <c r="P25" s="90">
        <v>0</v>
      </c>
      <c r="Q25" s="28">
        <v>0</v>
      </c>
      <c r="R25" s="74">
        <v>0</v>
      </c>
      <c r="S25" s="615">
        <v>5</v>
      </c>
      <c r="Z25" s="871" t="s">
        <v>1139</v>
      </c>
      <c r="AA25" s="114" t="s">
        <v>212</v>
      </c>
      <c r="AB25" s="116" t="s">
        <v>1160</v>
      </c>
      <c r="AC25" s="88">
        <f>IFERROR((SFG_P109[[#This Row],[R]]*9)/SFG_P109[[#This Row],[IP]],0)</f>
        <v>1.8</v>
      </c>
      <c r="AD25" s="28">
        <v>0</v>
      </c>
      <c r="AE25" s="74">
        <v>1</v>
      </c>
      <c r="AF25" s="28">
        <v>9</v>
      </c>
      <c r="AG25" s="584">
        <v>15</v>
      </c>
      <c r="AH25" s="28">
        <v>14</v>
      </c>
      <c r="AI25" s="28">
        <v>3</v>
      </c>
      <c r="AJ25" s="28">
        <v>4</v>
      </c>
      <c r="AK25" s="28">
        <v>13</v>
      </c>
      <c r="AL25" s="28">
        <v>0</v>
      </c>
      <c r="AM25" s="89">
        <f>IFERROR((SFG_P109[[#This Row],[BB]]+SFG_P109[[#This Row],[H]])/SFG_P109[[#This Row],[IP]],0)</f>
        <v>1.2</v>
      </c>
      <c r="AN25" s="28">
        <v>0</v>
      </c>
      <c r="AO25" s="90">
        <v>0</v>
      </c>
      <c r="AP25" s="28">
        <v>0</v>
      </c>
      <c r="AQ25" s="74">
        <v>0</v>
      </c>
      <c r="AR25" s="615">
        <v>5</v>
      </c>
      <c r="AY25" s="828" t="s">
        <v>1139</v>
      </c>
      <c r="AZ25" s="114" t="s">
        <v>212</v>
      </c>
      <c r="BA25" s="115" t="s">
        <v>1160</v>
      </c>
      <c r="BB25" s="88">
        <f>IFERROR((SFG_P118[[#This Row],[R]]*9)/SFG_P118[[#This Row],[IP]],0)</f>
        <v>3.1141868512110729</v>
      </c>
      <c r="BC25" s="28">
        <v>1</v>
      </c>
      <c r="BD25" s="74">
        <v>0</v>
      </c>
      <c r="BE25" s="28">
        <v>6</v>
      </c>
      <c r="BF25" s="584">
        <v>8.67</v>
      </c>
      <c r="BG25" s="28">
        <v>9</v>
      </c>
      <c r="BH25" s="28">
        <v>3</v>
      </c>
      <c r="BI25" s="28">
        <v>2</v>
      </c>
      <c r="BJ25" s="28">
        <v>6</v>
      </c>
      <c r="BK25" s="28">
        <v>1</v>
      </c>
      <c r="BL25" s="89">
        <f>IFERROR((SFG_P118[[#This Row],[BB]]+SFG_P118[[#This Row],[H]])/SFG_P118[[#This Row],[IP]],0)</f>
        <v>1.2687427912341407</v>
      </c>
      <c r="BM25" s="28">
        <v>0</v>
      </c>
      <c r="BN25" s="90">
        <v>0</v>
      </c>
      <c r="BO25" s="28">
        <v>0</v>
      </c>
      <c r="BP25" s="74">
        <v>0</v>
      </c>
      <c r="BQ25" s="615">
        <v>5</v>
      </c>
    </row>
    <row r="26" spans="1:73">
      <c r="A26" s="828" t="s">
        <v>1139</v>
      </c>
      <c r="B26" s="114" t="s">
        <v>215</v>
      </c>
      <c r="C26" s="116" t="s">
        <v>1164</v>
      </c>
      <c r="D26" s="88">
        <f>IFERROR((SFG_P[[#This Row],[R]]*9)/SFG_P[[#This Row],[IP]],0)</f>
        <v>6.75</v>
      </c>
      <c r="E26" s="28">
        <v>0</v>
      </c>
      <c r="F26" s="74">
        <v>0</v>
      </c>
      <c r="G26" s="28">
        <v>7</v>
      </c>
      <c r="H26" s="584">
        <v>8</v>
      </c>
      <c r="I26" s="28">
        <v>11</v>
      </c>
      <c r="J26" s="28">
        <v>6</v>
      </c>
      <c r="K26" s="28">
        <v>3</v>
      </c>
      <c r="L26" s="28">
        <v>5</v>
      </c>
      <c r="M26" s="28">
        <v>0</v>
      </c>
      <c r="N26" s="89">
        <f>IFERROR((SFG_P[[#This Row],[BB]]+SFG_P[[#This Row],[H]])/SFG_P[[#This Row],[IP]],0)</f>
        <v>1.75</v>
      </c>
      <c r="O26" s="28">
        <v>0</v>
      </c>
      <c r="P26" s="90">
        <v>0</v>
      </c>
      <c r="Q26" s="28">
        <v>0</v>
      </c>
      <c r="R26" s="74">
        <v>0</v>
      </c>
      <c r="S26" s="615">
        <v>6</v>
      </c>
      <c r="Z26" s="871" t="s">
        <v>1139</v>
      </c>
      <c r="AA26" s="114" t="s">
        <v>215</v>
      </c>
      <c r="AB26" s="116" t="s">
        <v>1161</v>
      </c>
      <c r="AC26" s="88">
        <f>IFERROR((SFG_P109[[#This Row],[R]]*9)/SFG_P109[[#This Row],[IP]],0)</f>
        <v>2.5122121423586878</v>
      </c>
      <c r="AD26" s="28">
        <v>1</v>
      </c>
      <c r="AE26" s="74">
        <v>0</v>
      </c>
      <c r="AF26" s="28">
        <v>8</v>
      </c>
      <c r="AG26" s="584">
        <v>14.33</v>
      </c>
      <c r="AH26" s="28">
        <v>10</v>
      </c>
      <c r="AI26" s="28">
        <v>4</v>
      </c>
      <c r="AJ26" s="28">
        <v>7</v>
      </c>
      <c r="AK26" s="28">
        <v>15</v>
      </c>
      <c r="AL26" s="28">
        <v>0</v>
      </c>
      <c r="AM26" s="89">
        <f>IFERROR((SFG_P109[[#This Row],[BB]]+SFG_P109[[#This Row],[H]])/SFG_P109[[#This Row],[IP]],0)</f>
        <v>1.1863224005582693</v>
      </c>
      <c r="AN26" s="28">
        <v>0</v>
      </c>
      <c r="AO26" s="90">
        <v>0</v>
      </c>
      <c r="AP26" s="28">
        <v>0</v>
      </c>
      <c r="AQ26" s="74">
        <v>0</v>
      </c>
      <c r="AR26" s="615">
        <v>6</v>
      </c>
      <c r="AY26" s="828" t="s">
        <v>1139</v>
      </c>
      <c r="AZ26" s="114" t="s">
        <v>212</v>
      </c>
      <c r="BA26" s="115" t="s">
        <v>1166</v>
      </c>
      <c r="BB26" s="88">
        <f>IFERROR((SFG_P118[[#This Row],[R]]*9)/SFG_P118[[#This Row],[IP]],0)</f>
        <v>6.940874035989717</v>
      </c>
      <c r="BC26" s="28">
        <v>0</v>
      </c>
      <c r="BD26" s="74">
        <v>0</v>
      </c>
      <c r="BE26" s="28">
        <v>11</v>
      </c>
      <c r="BF26" s="584">
        <v>11.67</v>
      </c>
      <c r="BG26" s="28">
        <v>14</v>
      </c>
      <c r="BH26" s="28">
        <v>9</v>
      </c>
      <c r="BI26" s="28">
        <v>3</v>
      </c>
      <c r="BJ26" s="28">
        <v>8</v>
      </c>
      <c r="BK26" s="28">
        <v>0</v>
      </c>
      <c r="BL26" s="89">
        <f>IFERROR((SFG_P118[[#This Row],[BB]]+SFG_P118[[#This Row],[H]])/SFG_P118[[#This Row],[IP]],0)</f>
        <v>1.4567266495287061</v>
      </c>
      <c r="BM26" s="28">
        <v>0</v>
      </c>
      <c r="BN26" s="90">
        <v>0</v>
      </c>
      <c r="BO26" s="28">
        <v>0</v>
      </c>
      <c r="BP26" s="74">
        <v>0</v>
      </c>
      <c r="BQ26" s="615">
        <v>6</v>
      </c>
    </row>
    <row r="27" spans="1:73">
      <c r="A27" s="828" t="s">
        <v>1139</v>
      </c>
      <c r="B27" s="114" t="s">
        <v>212</v>
      </c>
      <c r="C27" s="116" t="s">
        <v>1162</v>
      </c>
      <c r="D27" s="88">
        <f>IFERROR((SFG_P[[#This Row],[R]]*9)/SFG_P[[#This Row],[IP]],0)</f>
        <v>5.4009819967266779</v>
      </c>
      <c r="E27" s="28">
        <v>1</v>
      </c>
      <c r="F27" s="74">
        <v>2</v>
      </c>
      <c r="G27" s="28">
        <v>14</v>
      </c>
      <c r="H27" s="584">
        <v>18.329999999999998</v>
      </c>
      <c r="I27" s="28">
        <v>23</v>
      </c>
      <c r="J27" s="28">
        <v>11</v>
      </c>
      <c r="K27" s="28">
        <v>3</v>
      </c>
      <c r="L27" s="28">
        <v>15</v>
      </c>
      <c r="M27" s="28">
        <v>1</v>
      </c>
      <c r="N27" s="89">
        <f>IFERROR((SFG_P[[#This Row],[BB]]+SFG_P[[#This Row],[H]])/SFG_P[[#This Row],[IP]],0)</f>
        <v>1.4184397163120568</v>
      </c>
      <c r="O27" s="28">
        <v>0</v>
      </c>
      <c r="P27" s="90">
        <v>0</v>
      </c>
      <c r="Q27" s="28">
        <v>0</v>
      </c>
      <c r="R27" s="74">
        <v>0</v>
      </c>
      <c r="S27" s="615">
        <v>7</v>
      </c>
      <c r="Z27" s="871" t="s">
        <v>1139</v>
      </c>
      <c r="AA27" s="114" t="s">
        <v>212</v>
      </c>
      <c r="AB27" s="116" t="s">
        <v>459</v>
      </c>
      <c r="AC27" s="88">
        <f>IFERROR((SFG_P109[[#This Row],[R]]*9)/SFG_P109[[#This Row],[IP]],0)</f>
        <v>7.7142857142857144</v>
      </c>
      <c r="AD27" s="28">
        <v>1</v>
      </c>
      <c r="AE27" s="74">
        <v>3</v>
      </c>
      <c r="AF27" s="28">
        <v>13</v>
      </c>
      <c r="AG27" s="584">
        <v>14</v>
      </c>
      <c r="AH27" s="28">
        <v>22</v>
      </c>
      <c r="AI27" s="28">
        <v>12</v>
      </c>
      <c r="AJ27" s="28">
        <v>5</v>
      </c>
      <c r="AK27" s="28">
        <v>15</v>
      </c>
      <c r="AL27" s="28">
        <v>0</v>
      </c>
      <c r="AM27" s="89">
        <f>IFERROR((SFG_P109[[#This Row],[BB]]+SFG_P109[[#This Row],[H]])/SFG_P109[[#This Row],[IP]],0)</f>
        <v>1.9285714285714286</v>
      </c>
      <c r="AN27" s="28">
        <v>0</v>
      </c>
      <c r="AO27" s="90">
        <v>0</v>
      </c>
      <c r="AP27" s="28">
        <v>0</v>
      </c>
      <c r="AQ27" s="74">
        <v>0</v>
      </c>
      <c r="AR27" s="615">
        <v>7</v>
      </c>
      <c r="AY27" s="828" t="s">
        <v>1139</v>
      </c>
      <c r="AZ27" s="114" t="s">
        <v>212</v>
      </c>
      <c r="BA27" s="115" t="s">
        <v>1162</v>
      </c>
      <c r="BB27" s="88">
        <f>IFERROR((SFG_P118[[#This Row],[R]]*9)/SFG_P118[[#This Row],[IP]],0)</f>
        <v>0.65837600585223122</v>
      </c>
      <c r="BC27" s="28">
        <v>0</v>
      </c>
      <c r="BD27" s="74">
        <v>0</v>
      </c>
      <c r="BE27" s="28">
        <v>13</v>
      </c>
      <c r="BF27" s="584">
        <v>13.67</v>
      </c>
      <c r="BG27" s="28">
        <v>6</v>
      </c>
      <c r="BH27" s="28">
        <v>1</v>
      </c>
      <c r="BI27" s="28">
        <v>3</v>
      </c>
      <c r="BJ27" s="28">
        <v>10</v>
      </c>
      <c r="BK27" s="28">
        <v>0</v>
      </c>
      <c r="BL27" s="89">
        <f>IFERROR((SFG_P118[[#This Row],[BB]]+SFG_P118[[#This Row],[H]])/SFG_P118[[#This Row],[IP]],0)</f>
        <v>0.65837600585223122</v>
      </c>
      <c r="BM27" s="28">
        <v>0</v>
      </c>
      <c r="BN27" s="90">
        <v>0</v>
      </c>
      <c r="BO27" s="28">
        <v>0</v>
      </c>
      <c r="BP27" s="74">
        <v>0</v>
      </c>
      <c r="BQ27" s="615">
        <v>7</v>
      </c>
    </row>
    <row r="28" spans="1:73">
      <c r="A28" s="828" t="s">
        <v>1139</v>
      </c>
      <c r="B28" s="114" t="s">
        <v>212</v>
      </c>
      <c r="C28" s="116" t="s">
        <v>1163</v>
      </c>
      <c r="D28" s="88">
        <f>IFERROR((SFG_P[[#This Row],[R]]*9)/SFG_P[[#This Row],[IP]],0)</f>
        <v>3.8579301898346605</v>
      </c>
      <c r="E28" s="28">
        <v>2</v>
      </c>
      <c r="F28" s="74">
        <v>1</v>
      </c>
      <c r="G28" s="28">
        <v>14</v>
      </c>
      <c r="H28" s="584">
        <v>16.329999999999998</v>
      </c>
      <c r="I28" s="28">
        <v>16</v>
      </c>
      <c r="J28" s="28">
        <v>7</v>
      </c>
      <c r="K28" s="28">
        <v>6</v>
      </c>
      <c r="L28" s="28">
        <v>15</v>
      </c>
      <c r="M28" s="28">
        <v>0</v>
      </c>
      <c r="N28" s="89">
        <f>IFERROR((SFG_P[[#This Row],[BB]]+SFG_P[[#This Row],[H]])/SFG_P[[#This Row],[IP]],0)</f>
        <v>1.3472137170851195</v>
      </c>
      <c r="O28" s="28">
        <v>0</v>
      </c>
      <c r="P28" s="90">
        <v>0</v>
      </c>
      <c r="Q28" s="28">
        <v>0</v>
      </c>
      <c r="R28" s="74">
        <v>0</v>
      </c>
      <c r="S28" s="615">
        <v>8</v>
      </c>
      <c r="Z28" s="871" t="s">
        <v>1139</v>
      </c>
      <c r="AA28" s="114" t="s">
        <v>212</v>
      </c>
      <c r="AB28" s="116" t="s">
        <v>1163</v>
      </c>
      <c r="AC28" s="88">
        <f>IFERROR((SFG_P109[[#This Row],[R]]*9)/SFG_P109[[#This Row],[IP]],0)</f>
        <v>5.4</v>
      </c>
      <c r="AD28" s="28">
        <v>0</v>
      </c>
      <c r="AE28" s="74">
        <v>2</v>
      </c>
      <c r="AF28" s="28">
        <v>16</v>
      </c>
      <c r="AG28" s="584">
        <v>15</v>
      </c>
      <c r="AH28" s="28">
        <v>17</v>
      </c>
      <c r="AI28" s="28">
        <v>9</v>
      </c>
      <c r="AJ28" s="28">
        <v>6</v>
      </c>
      <c r="AK28" s="28">
        <v>12</v>
      </c>
      <c r="AL28" s="28">
        <v>0</v>
      </c>
      <c r="AM28" s="89">
        <f>IFERROR((SFG_P109[[#This Row],[BB]]+SFG_P109[[#This Row],[H]])/SFG_P109[[#This Row],[IP]],0)</f>
        <v>1.5333333333333334</v>
      </c>
      <c r="AN28" s="28">
        <v>0</v>
      </c>
      <c r="AO28" s="90">
        <v>0</v>
      </c>
      <c r="AP28" s="28">
        <v>0</v>
      </c>
      <c r="AQ28" s="74">
        <v>0</v>
      </c>
      <c r="AR28" s="615">
        <v>8</v>
      </c>
      <c r="AY28" s="828" t="s">
        <v>1139</v>
      </c>
      <c r="AZ28" s="114" t="s">
        <v>212</v>
      </c>
      <c r="BA28" s="115" t="s">
        <v>1163</v>
      </c>
      <c r="BB28" s="88">
        <f>IFERROR((SFG_P118[[#This Row],[R]]*9)/SFG_P118[[#This Row],[IP]],0)</f>
        <v>1.7230376515634971</v>
      </c>
      <c r="BC28" s="28">
        <v>1</v>
      </c>
      <c r="BD28" s="74">
        <v>0</v>
      </c>
      <c r="BE28" s="28">
        <v>18</v>
      </c>
      <c r="BF28" s="584">
        <v>15.67</v>
      </c>
      <c r="BG28" s="28">
        <v>12</v>
      </c>
      <c r="BH28" s="28">
        <v>3</v>
      </c>
      <c r="BI28" s="28">
        <v>4</v>
      </c>
      <c r="BJ28" s="28">
        <v>7</v>
      </c>
      <c r="BK28" s="28">
        <v>1</v>
      </c>
      <c r="BL28" s="89">
        <f>IFERROR((SFG_P118[[#This Row],[BB]]+SFG_P118[[#This Row],[H]])/SFG_P118[[#This Row],[IP]],0)</f>
        <v>1.0210593490746649</v>
      </c>
      <c r="BM28" s="28">
        <v>0</v>
      </c>
      <c r="BN28" s="90">
        <v>0</v>
      </c>
      <c r="BO28" s="28">
        <v>0</v>
      </c>
      <c r="BP28" s="74">
        <v>0</v>
      </c>
      <c r="BQ28" s="615">
        <v>8</v>
      </c>
    </row>
    <row r="29" spans="1:73">
      <c r="A29" s="828" t="s">
        <v>1139</v>
      </c>
      <c r="B29" s="114" t="s">
        <v>212</v>
      </c>
      <c r="C29" s="116" t="s">
        <v>1165</v>
      </c>
      <c r="D29" s="88">
        <f>IFERROR((SFG_P[[#This Row],[R]]*9)/SFG_P[[#This Row],[IP]],0)</f>
        <v>2.4102838778789502</v>
      </c>
      <c r="E29" s="28">
        <v>0</v>
      </c>
      <c r="F29" s="74">
        <v>0</v>
      </c>
      <c r="G29" s="28">
        <v>18</v>
      </c>
      <c r="H29" s="584">
        <v>18.670000000000002</v>
      </c>
      <c r="I29" s="28">
        <v>16</v>
      </c>
      <c r="J29" s="28">
        <v>5</v>
      </c>
      <c r="K29" s="28">
        <v>12</v>
      </c>
      <c r="L29" s="28">
        <v>15</v>
      </c>
      <c r="M29" s="28">
        <v>1</v>
      </c>
      <c r="N29" s="89">
        <f>IFERROR((SFG_P[[#This Row],[BB]]+SFG_P[[#This Row],[H]])/SFG_P[[#This Row],[IP]],0)</f>
        <v>1.4997321906802354</v>
      </c>
      <c r="O29" s="28">
        <v>0</v>
      </c>
      <c r="P29" s="90">
        <v>0</v>
      </c>
      <c r="Q29" s="28">
        <v>0</v>
      </c>
      <c r="R29" s="74">
        <v>0</v>
      </c>
      <c r="S29" s="615">
        <v>9</v>
      </c>
      <c r="Z29" s="871" t="s">
        <v>1139</v>
      </c>
      <c r="AA29" s="114" t="s">
        <v>212</v>
      </c>
      <c r="AB29" s="116" t="s">
        <v>1165</v>
      </c>
      <c r="AC29" s="88">
        <f>IFERROR((SFG_P109[[#This Row],[R]]*9)/SFG_P109[[#This Row],[IP]],0)</f>
        <v>2.2045315370483776</v>
      </c>
      <c r="AD29" s="28">
        <v>2</v>
      </c>
      <c r="AE29" s="74">
        <v>0</v>
      </c>
      <c r="AF29" s="28">
        <v>16</v>
      </c>
      <c r="AG29" s="584">
        <v>16.329999999999998</v>
      </c>
      <c r="AH29" s="28">
        <v>10</v>
      </c>
      <c r="AI29" s="28">
        <v>4</v>
      </c>
      <c r="AJ29" s="28">
        <v>7</v>
      </c>
      <c r="AK29" s="28">
        <v>12</v>
      </c>
      <c r="AL29" s="28">
        <v>0</v>
      </c>
      <c r="AM29" s="89">
        <f>IFERROR((SFG_P109[[#This Row],[BB]]+SFG_P109[[#This Row],[H]])/SFG_P109[[#This Row],[IP]],0)</f>
        <v>1.041028781383956</v>
      </c>
      <c r="AN29" s="28">
        <v>0</v>
      </c>
      <c r="AO29" s="90">
        <v>0</v>
      </c>
      <c r="AP29" s="28">
        <v>0</v>
      </c>
      <c r="AQ29" s="74">
        <v>0</v>
      </c>
      <c r="AR29" s="615">
        <v>9</v>
      </c>
      <c r="AY29" s="828" t="s">
        <v>1139</v>
      </c>
      <c r="AZ29" s="114" t="s">
        <v>212</v>
      </c>
      <c r="BA29" s="115" t="s">
        <v>1165</v>
      </c>
      <c r="BB29" s="88">
        <f>IFERROR((SFG_P118[[#This Row],[R]]*9)/SFG_P118[[#This Row],[IP]],0)</f>
        <v>0.69230769230769229</v>
      </c>
      <c r="BC29" s="28">
        <v>0</v>
      </c>
      <c r="BD29" s="74">
        <v>0</v>
      </c>
      <c r="BE29" s="28">
        <v>12</v>
      </c>
      <c r="BF29" s="584">
        <v>13</v>
      </c>
      <c r="BG29" s="28">
        <v>6</v>
      </c>
      <c r="BH29" s="28">
        <v>1</v>
      </c>
      <c r="BI29" s="28">
        <v>7</v>
      </c>
      <c r="BJ29" s="28">
        <v>12</v>
      </c>
      <c r="BK29" s="28">
        <v>1</v>
      </c>
      <c r="BL29" s="89">
        <f>IFERROR((SFG_P118[[#This Row],[BB]]+SFG_P118[[#This Row],[H]])/SFG_P118[[#This Row],[IP]],0)</f>
        <v>1</v>
      </c>
      <c r="BM29" s="28">
        <v>0</v>
      </c>
      <c r="BN29" s="90">
        <v>0</v>
      </c>
      <c r="BO29" s="28">
        <v>0</v>
      </c>
      <c r="BP29" s="74">
        <v>0</v>
      </c>
      <c r="BQ29" s="615">
        <v>9</v>
      </c>
    </row>
    <row r="30" spans="1:73" ht="17" thickBot="1">
      <c r="A30" s="828" t="s">
        <v>1139</v>
      </c>
      <c r="B30" s="114" t="s">
        <v>212</v>
      </c>
      <c r="C30" s="115" t="s">
        <v>1167</v>
      </c>
      <c r="D30" s="88">
        <f>IFERROR((SFG_P[[#This Row],[R]]*9)/SFG_P[[#This Row],[IP]],0)</f>
        <v>4.1532071988924777</v>
      </c>
      <c r="E30" s="28">
        <v>2</v>
      </c>
      <c r="F30" s="74">
        <v>3</v>
      </c>
      <c r="G30" s="28">
        <v>21</v>
      </c>
      <c r="H30" s="584">
        <v>21.67</v>
      </c>
      <c r="I30" s="28">
        <v>22</v>
      </c>
      <c r="J30" s="28">
        <v>10</v>
      </c>
      <c r="K30" s="28">
        <v>7</v>
      </c>
      <c r="L30" s="28">
        <v>35</v>
      </c>
      <c r="M30" s="28">
        <v>10</v>
      </c>
      <c r="N30" s="89">
        <f>IFERROR((SFG_P[[#This Row],[BB]]+SFG_P[[#This Row],[H]])/SFG_P[[#This Row],[IP]],0)</f>
        <v>1.3382556529764651</v>
      </c>
      <c r="O30" s="28">
        <v>0</v>
      </c>
      <c r="P30" s="90">
        <v>0</v>
      </c>
      <c r="Q30" s="28">
        <v>0</v>
      </c>
      <c r="R30" s="74">
        <v>0</v>
      </c>
      <c r="S30" s="615">
        <v>10</v>
      </c>
      <c r="Z30" s="871" t="s">
        <v>1139</v>
      </c>
      <c r="AA30" s="114" t="s">
        <v>212</v>
      </c>
      <c r="AB30" s="115" t="s">
        <v>1167</v>
      </c>
      <c r="AC30" s="88">
        <f>IFERROR((SFG_P109[[#This Row],[R]]*9)/SFG_P109[[#This Row],[IP]],0)</f>
        <v>2.1036229061160885</v>
      </c>
      <c r="AD30" s="28">
        <v>1</v>
      </c>
      <c r="AE30" s="74">
        <v>0</v>
      </c>
      <c r="AF30" s="28">
        <v>24</v>
      </c>
      <c r="AG30" s="584">
        <v>25.67</v>
      </c>
      <c r="AH30" s="28">
        <v>22</v>
      </c>
      <c r="AI30" s="28">
        <v>6</v>
      </c>
      <c r="AJ30" s="28">
        <v>7</v>
      </c>
      <c r="AK30" s="28">
        <v>33</v>
      </c>
      <c r="AL30" s="28">
        <v>10</v>
      </c>
      <c r="AM30" s="89">
        <f>IFERROR((SFG_P109[[#This Row],[BB]]+SFG_P109[[#This Row],[H]])/SFG_P109[[#This Row],[IP]],0)</f>
        <v>1.1297234125438254</v>
      </c>
      <c r="AN30" s="28">
        <v>0</v>
      </c>
      <c r="AO30" s="90">
        <v>0</v>
      </c>
      <c r="AP30" s="28">
        <v>0</v>
      </c>
      <c r="AQ30" s="74">
        <v>0</v>
      </c>
      <c r="AR30" s="615">
        <v>10</v>
      </c>
      <c r="AY30" s="828" t="s">
        <v>1139</v>
      </c>
      <c r="AZ30" s="356" t="s">
        <v>215</v>
      </c>
      <c r="BA30" s="357" t="s">
        <v>1167</v>
      </c>
      <c r="BB30" s="88">
        <f>IFERROR((SFG_P118[[#This Row],[R]]*9)/SFG_P118[[#This Row],[IP]],0)</f>
        <v>2.9403029403029404</v>
      </c>
      <c r="BC30" s="28">
        <v>4</v>
      </c>
      <c r="BD30" s="74">
        <v>0</v>
      </c>
      <c r="BE30" s="28">
        <v>24</v>
      </c>
      <c r="BF30" s="584">
        <v>33.67</v>
      </c>
      <c r="BG30" s="28">
        <v>26</v>
      </c>
      <c r="BH30" s="28">
        <v>11</v>
      </c>
      <c r="BI30" s="28">
        <v>15</v>
      </c>
      <c r="BJ30" s="28">
        <v>43</v>
      </c>
      <c r="BK30" s="28">
        <v>10</v>
      </c>
      <c r="BL30" s="89">
        <f>IFERROR((SFG_P118[[#This Row],[BB]]+SFG_P118[[#This Row],[H]])/SFG_P118[[#This Row],[IP]],0)</f>
        <v>1.2177012177012176</v>
      </c>
      <c r="BM30" s="28">
        <v>0</v>
      </c>
      <c r="BN30" s="90">
        <v>0</v>
      </c>
      <c r="BO30" s="28">
        <v>0</v>
      </c>
      <c r="BP30" s="74">
        <v>0</v>
      </c>
      <c r="BQ30" s="615">
        <v>10</v>
      </c>
    </row>
    <row r="31" spans="1:73" s="28" customFormat="1" ht="17" thickBot="1">
      <c r="A31" s="809"/>
      <c r="B31" s="810"/>
      <c r="C31" s="856" t="s">
        <v>195</v>
      </c>
      <c r="D31" s="665">
        <f>(J31*9)/H31</f>
        <v>4.1108636197028225</v>
      </c>
      <c r="E31" s="658">
        <f>SUBTOTAL(109,SFG_P[W])</f>
        <v>21</v>
      </c>
      <c r="F31" s="660">
        <f>SUBTOTAL(109,SFG_P[L])</f>
        <v>19</v>
      </c>
      <c r="G31" s="658"/>
      <c r="H31" s="666">
        <f>SUBTOTAL(109,SFG_P[IP])</f>
        <v>354.67</v>
      </c>
      <c r="I31" s="658">
        <f>SUBTOTAL(109,SFG_P[H])</f>
        <v>358</v>
      </c>
      <c r="J31" s="658">
        <f>SUBTOTAL(109,SFG_P[R])</f>
        <v>162</v>
      </c>
      <c r="K31" s="658">
        <f>SUBTOTAL(109,SFG_P[BB])</f>
        <v>134</v>
      </c>
      <c r="L31" s="658">
        <f>SUBTOTAL(109,SFG_P[K])</f>
        <v>345</v>
      </c>
      <c r="M31" s="659">
        <f>SUBTOTAL(109,SFG_P[SV])</f>
        <v>12</v>
      </c>
      <c r="N31" s="667">
        <f>(K31+I31)/H31</f>
        <v>1.3872050074717341</v>
      </c>
      <c r="O31" s="661">
        <f>SUBTOTAL(109,SFG_P[QS])</f>
        <v>24</v>
      </c>
      <c r="P31" s="750">
        <f>SUBTOTAL(109,SFG_P[UQ])</f>
        <v>16</v>
      </c>
      <c r="Q31" s="670">
        <f>SUBTOTAL(109,SFG_P[CG])</f>
        <v>2</v>
      </c>
      <c r="R31" s="671">
        <f>SUBTOTAL(109,SFG_P[SH])</f>
        <v>2</v>
      </c>
      <c r="S31" s="662"/>
      <c r="T31"/>
      <c r="U31"/>
      <c r="V31"/>
      <c r="W31"/>
      <c r="Z31" s="809"/>
      <c r="AA31" s="810"/>
      <c r="AB31" s="856" t="s">
        <v>195</v>
      </c>
      <c r="AC31" s="872">
        <f>(AI31*9)/AG31</f>
        <v>3.1202227560602758</v>
      </c>
      <c r="AD31" s="658">
        <f>SUBTOTAL(109,SFG_P109[W])</f>
        <v>26</v>
      </c>
      <c r="AE31" s="660">
        <f>SUBTOTAL(109,SFG_P109[L])</f>
        <v>14</v>
      </c>
      <c r="AF31" s="658"/>
      <c r="AG31" s="666">
        <f>SUBTOTAL(109,SFG_P109[IP])</f>
        <v>366.31999999999994</v>
      </c>
      <c r="AH31" s="658">
        <f>SUBTOTAL(109,SFG_P109[H])</f>
        <v>313</v>
      </c>
      <c r="AI31" s="659">
        <f>SUBTOTAL(109,SFG_P109[R])</f>
        <v>127</v>
      </c>
      <c r="AJ31" s="658">
        <f>SUBTOTAL(109,SFG_P109[BB])</f>
        <v>123</v>
      </c>
      <c r="AK31" s="658">
        <f>SUBTOTAL(109,SFG_P109[K])</f>
        <v>356</v>
      </c>
      <c r="AL31" s="658">
        <f>SUBTOTAL(109,SFG_P109[SV])</f>
        <v>10</v>
      </c>
      <c r="AM31" s="667">
        <f>(AJ31+AH31)/AG31</f>
        <v>1.1902162044114437</v>
      </c>
      <c r="AN31" s="661">
        <f>SUBTOTAL(109,SFG_P109[QS])</f>
        <v>26</v>
      </c>
      <c r="AO31" s="750">
        <f>SUBTOTAL(109,SFG_P109[UQ])</f>
        <v>18</v>
      </c>
      <c r="AP31" s="670">
        <f>SUBTOTAL(109,SFG_P109[CG])</f>
        <v>5</v>
      </c>
      <c r="AQ31" s="873">
        <f>SUBTOTAL(109,SFG_P109[SH])</f>
        <v>5</v>
      </c>
      <c r="AR31" s="662"/>
      <c r="AS31"/>
      <c r="AT31"/>
      <c r="AU31"/>
      <c r="AV31"/>
      <c r="AY31" s="809"/>
      <c r="AZ31" s="810"/>
      <c r="BA31" s="856" t="s">
        <v>195</v>
      </c>
      <c r="BB31" s="665">
        <f>IFERROR((BH31*9)/BF31,0)</f>
        <v>3.4853278062615898</v>
      </c>
      <c r="BC31" s="658">
        <f>SUBTOTAL(109,SFG_P118[W])</f>
        <v>27</v>
      </c>
      <c r="BD31" s="660">
        <f>SUBTOTAL(109,SFG_P118[L])</f>
        <v>13</v>
      </c>
      <c r="BE31" s="658"/>
      <c r="BF31" s="666">
        <f>SUBTOTAL(109,SFG_P118[IP])</f>
        <v>366.68000000000006</v>
      </c>
      <c r="BG31" s="658">
        <f>SUBTOTAL(109,SFG_P118[H])</f>
        <v>317</v>
      </c>
      <c r="BH31" s="658">
        <f>SUBTOTAL(109,SFG_P118[R])</f>
        <v>142</v>
      </c>
      <c r="BI31" s="658">
        <f>SUBTOTAL(109,SFG_P118[BB])</f>
        <v>122</v>
      </c>
      <c r="BJ31" s="658">
        <f>SUBTOTAL(109,SFG_P118[K])</f>
        <v>361</v>
      </c>
      <c r="BK31" s="658">
        <f>SUBTOTAL(109,SFG_P118[SV])</f>
        <v>13</v>
      </c>
      <c r="BL31" s="667">
        <f>(BI31+BG31)/BF31</f>
        <v>1.1972291916657574</v>
      </c>
      <c r="BM31" s="661">
        <f>SUBTOTAL(109,SFG_P118[QS])</f>
        <v>28</v>
      </c>
      <c r="BN31" s="750">
        <f>SUBTOTAL(109,SFG_P118[UQ])</f>
        <v>18</v>
      </c>
      <c r="BO31" s="670">
        <f>SUM(BO21:BO30)</f>
        <v>4</v>
      </c>
      <c r="BP31" s="671">
        <f>SUM(BP21:BP30)</f>
        <v>4</v>
      </c>
      <c r="BQ31" s="662"/>
    </row>
    <row r="32" spans="1:73" ht="17" thickBot="1">
      <c r="E32" s="28"/>
      <c r="F32" s="28"/>
      <c r="G32" s="28"/>
      <c r="AD32" s="28"/>
      <c r="AE32" s="28"/>
      <c r="AF32" s="28"/>
    </row>
    <row r="33" spans="1:73" ht="24" thickBot="1">
      <c r="A33" s="1063" t="s">
        <v>1168</v>
      </c>
      <c r="B33" s="1064"/>
      <c r="C33" s="1064"/>
      <c r="D33" s="1064"/>
      <c r="E33" s="1064"/>
      <c r="F33" s="1064"/>
      <c r="G33" s="1064"/>
      <c r="H33" s="1064"/>
      <c r="I33" s="1064"/>
      <c r="J33" s="1064"/>
      <c r="K33" s="1064"/>
      <c r="L33" s="1064"/>
      <c r="M33" s="1064"/>
      <c r="N33" s="1064"/>
      <c r="O33" s="1064"/>
      <c r="P33" s="1064"/>
      <c r="Q33" s="1064"/>
      <c r="R33" s="1064"/>
      <c r="S33" s="1064"/>
      <c r="T33" s="1064"/>
      <c r="U33" s="1064"/>
      <c r="V33" s="1064"/>
      <c r="W33" s="1065"/>
      <c r="Z33" s="1045" t="s">
        <v>1169</v>
      </c>
      <c r="AA33" s="1046"/>
      <c r="AB33" s="1046"/>
      <c r="AC33" s="1046"/>
      <c r="AD33" s="1046"/>
      <c r="AE33" s="1046"/>
      <c r="AF33" s="1046"/>
      <c r="AG33" s="1046"/>
      <c r="AH33" s="1046"/>
      <c r="AI33" s="1046"/>
      <c r="AJ33" s="1046"/>
      <c r="AK33" s="1046"/>
      <c r="AL33" s="1046"/>
      <c r="AM33" s="1046"/>
      <c r="AN33" s="1046"/>
      <c r="AO33" s="1046"/>
      <c r="AP33" s="1046"/>
      <c r="AQ33" s="1046"/>
      <c r="AR33" s="1046"/>
      <c r="AS33" s="1046"/>
      <c r="AT33" s="1046"/>
      <c r="AU33" s="1046"/>
      <c r="AV33" s="1047"/>
      <c r="AY33" s="1045" t="s">
        <v>1170</v>
      </c>
      <c r="AZ33" s="1046"/>
      <c r="BA33" s="1046"/>
      <c r="BB33" s="1046"/>
      <c r="BC33" s="1046"/>
      <c r="BD33" s="1046"/>
      <c r="BE33" s="1046"/>
      <c r="BF33" s="1046"/>
      <c r="BG33" s="1046"/>
      <c r="BH33" s="1046"/>
      <c r="BI33" s="1046"/>
      <c r="BJ33" s="1046"/>
      <c r="BK33" s="1046"/>
      <c r="BL33" s="1046"/>
      <c r="BM33" s="1046"/>
      <c r="BN33" s="1046"/>
      <c r="BO33" s="1046"/>
      <c r="BP33" s="1046"/>
      <c r="BQ33" s="1046"/>
      <c r="BR33" s="1046"/>
      <c r="BS33" s="1046"/>
      <c r="BT33" s="1046"/>
      <c r="BU33" s="1047"/>
    </row>
    <row r="34" spans="1:73" s="108" customFormat="1" ht="15" thickBot="1">
      <c r="A34" s="857" t="s">
        <v>143</v>
      </c>
      <c r="B34" s="606" t="s">
        <v>144</v>
      </c>
      <c r="C34" s="606" t="s">
        <v>145</v>
      </c>
      <c r="D34" s="606" t="s">
        <v>146</v>
      </c>
      <c r="E34" s="606" t="s">
        <v>147</v>
      </c>
      <c r="F34" s="606" t="s">
        <v>148</v>
      </c>
      <c r="G34" s="606" t="s">
        <v>149</v>
      </c>
      <c r="H34" s="606" t="s">
        <v>150</v>
      </c>
      <c r="I34" s="606" t="s">
        <v>151</v>
      </c>
      <c r="J34" s="606" t="s">
        <v>152</v>
      </c>
      <c r="K34" s="606" t="s">
        <v>153</v>
      </c>
      <c r="L34" s="606" t="s">
        <v>154</v>
      </c>
      <c r="M34" s="606" t="s">
        <v>155</v>
      </c>
      <c r="N34" s="606" t="s">
        <v>156</v>
      </c>
      <c r="O34" s="606" t="s">
        <v>157</v>
      </c>
      <c r="P34" s="606" t="s">
        <v>158</v>
      </c>
      <c r="Q34" s="606" t="s">
        <v>159</v>
      </c>
      <c r="R34" s="606" t="s">
        <v>160</v>
      </c>
      <c r="S34" s="606" t="s">
        <v>16</v>
      </c>
      <c r="T34" s="606" t="s">
        <v>161</v>
      </c>
      <c r="U34" s="606" t="s">
        <v>162</v>
      </c>
      <c r="V34" s="606" t="s">
        <v>163</v>
      </c>
      <c r="W34" s="607" t="s">
        <v>164</v>
      </c>
      <c r="Z34" s="605" t="s">
        <v>143</v>
      </c>
      <c r="AA34" s="606" t="s">
        <v>144</v>
      </c>
      <c r="AB34" s="606" t="s">
        <v>145</v>
      </c>
      <c r="AC34" s="606" t="s">
        <v>146</v>
      </c>
      <c r="AD34" s="606" t="s">
        <v>147</v>
      </c>
      <c r="AE34" s="606" t="s">
        <v>148</v>
      </c>
      <c r="AF34" s="606" t="s">
        <v>149</v>
      </c>
      <c r="AG34" s="606" t="s">
        <v>150</v>
      </c>
      <c r="AH34" s="606" t="s">
        <v>151</v>
      </c>
      <c r="AI34" s="606" t="s">
        <v>152</v>
      </c>
      <c r="AJ34" s="606" t="s">
        <v>153</v>
      </c>
      <c r="AK34" s="606" t="s">
        <v>154</v>
      </c>
      <c r="AL34" s="606" t="s">
        <v>155</v>
      </c>
      <c r="AM34" s="606" t="s">
        <v>156</v>
      </c>
      <c r="AN34" s="606" t="s">
        <v>157</v>
      </c>
      <c r="AO34" s="606" t="s">
        <v>158</v>
      </c>
      <c r="AP34" s="606" t="s">
        <v>159</v>
      </c>
      <c r="AQ34" s="606" t="s">
        <v>160</v>
      </c>
      <c r="AR34" s="606" t="s">
        <v>16</v>
      </c>
      <c r="AS34" s="606" t="s">
        <v>161</v>
      </c>
      <c r="AT34" s="606" t="s">
        <v>162</v>
      </c>
      <c r="AU34" s="606" t="s">
        <v>163</v>
      </c>
      <c r="AV34" s="607" t="s">
        <v>164</v>
      </c>
      <c r="AY34" s="605" t="s">
        <v>143</v>
      </c>
      <c r="AZ34" s="606" t="s">
        <v>144</v>
      </c>
      <c r="BA34" s="606" t="s">
        <v>145</v>
      </c>
      <c r="BB34" s="606" t="s">
        <v>146</v>
      </c>
      <c r="BC34" s="606" t="s">
        <v>147</v>
      </c>
      <c r="BD34" s="606" t="s">
        <v>148</v>
      </c>
      <c r="BE34" s="606" t="s">
        <v>149</v>
      </c>
      <c r="BF34" s="606" t="s">
        <v>150</v>
      </c>
      <c r="BG34" s="606" t="s">
        <v>151</v>
      </c>
      <c r="BH34" s="606" t="s">
        <v>152</v>
      </c>
      <c r="BI34" s="606" t="s">
        <v>153</v>
      </c>
      <c r="BJ34" s="606" t="s">
        <v>154</v>
      </c>
      <c r="BK34" s="606" t="s">
        <v>155</v>
      </c>
      <c r="BL34" s="606" t="s">
        <v>156</v>
      </c>
      <c r="BM34" s="606" t="s">
        <v>157</v>
      </c>
      <c r="BN34" s="606" t="s">
        <v>158</v>
      </c>
      <c r="BO34" s="606" t="s">
        <v>159</v>
      </c>
      <c r="BP34" s="606" t="s">
        <v>160</v>
      </c>
      <c r="BQ34" s="606" t="s">
        <v>16</v>
      </c>
      <c r="BR34" s="606" t="s">
        <v>161</v>
      </c>
      <c r="BS34" s="606" t="s">
        <v>162</v>
      </c>
      <c r="BT34" s="606" t="s">
        <v>163</v>
      </c>
      <c r="BU34" s="607" t="s">
        <v>164</v>
      </c>
    </row>
    <row r="35" spans="1:73">
      <c r="A35" s="719" t="s">
        <v>1171</v>
      </c>
      <c r="B35" s="596" t="s">
        <v>179</v>
      </c>
      <c r="C35" s="597" t="s">
        <v>864</v>
      </c>
      <c r="D35" s="598">
        <f>IFERROR(LAD_H[[#This Row],[H]]/LAD_H[[#This Row],[AB]],0)</f>
        <v>0.23484848484848486</v>
      </c>
      <c r="E35" s="598">
        <f>IFERROR((LAD_H[[#This Row],[H]]+LAD_H[[#This Row],[BB]])/(LAD_H[[#This Row],[BB]]+LAD_H[[#This Row],[AB]]),0)</f>
        <v>0.28368794326241137</v>
      </c>
      <c r="F35" s="599">
        <f>IFERROR(((LAD_H[[#This Row],[H]]-LAD_H[[#This Row],[2B]]-LAD_H[[#This Row],[3B]]-LAD_H[[#This Row],[HR]])+(LAD_H[[#This Row],[2B]]*2)+(LAD_H[[#This Row],[3B]]*3)+(LAD_H[[#This Row],[HR]]*4))/LAD_H[[#This Row],[AB]],0)</f>
        <v>0.48484848484848486</v>
      </c>
      <c r="G35" s="600">
        <v>37</v>
      </c>
      <c r="H35" s="600">
        <v>132</v>
      </c>
      <c r="I35" s="600">
        <v>20</v>
      </c>
      <c r="J35" s="600">
        <v>31</v>
      </c>
      <c r="K35" s="600">
        <v>6</v>
      </c>
      <c r="L35" s="600">
        <v>0</v>
      </c>
      <c r="M35" s="600">
        <v>9</v>
      </c>
      <c r="N35" s="600">
        <v>24</v>
      </c>
      <c r="O35" s="600">
        <v>9</v>
      </c>
      <c r="P35" s="604">
        <v>34</v>
      </c>
      <c r="Q35" s="600">
        <v>0</v>
      </c>
      <c r="R35" s="600">
        <v>1</v>
      </c>
      <c r="S35" s="604">
        <v>3</v>
      </c>
      <c r="T35" s="600">
        <f>IFERROR((LAD_H[[#This Row],[H]]-LAD_H[[#This Row],[2B]]-LAD_H[[#This Row],[3B]]-LAD_H[[#This Row],[HR]])+(LAD_H[[#This Row],[2B]]*2)+(LAD_H[[#This Row],[3B]]*3)+(LAD_H[[#This Row],[HR]]*4),0)</f>
        <v>64</v>
      </c>
      <c r="U35" s="598">
        <f>LAD_H[[#This Row],[OBP]]+LAD_H[[#This Row],[SLG]]</f>
        <v>0.76853642811089617</v>
      </c>
      <c r="V35" s="604">
        <v>1</v>
      </c>
      <c r="W35" s="614">
        <v>1</v>
      </c>
      <c r="Z35" s="650" t="s">
        <v>1171</v>
      </c>
      <c r="AA35" s="597" t="s">
        <v>179</v>
      </c>
      <c r="AB35" s="597" t="s">
        <v>864</v>
      </c>
      <c r="AC35" s="598">
        <f>IFERROR(LAD_H112[[#This Row],[H]]/LAD_H112[[#This Row],[AB]],0)</f>
        <v>0.21428571428571427</v>
      </c>
      <c r="AD35" s="598">
        <f>IFERROR((LAD_H112[[#This Row],[H]]+LAD_H112[[#This Row],[BB]])/(LAD_H112[[#This Row],[BB]]+LAD_H112[[#This Row],[AB]]),0)</f>
        <v>0.28104575163398693</v>
      </c>
      <c r="AE35" s="599">
        <f>IFERROR(((LAD_H112[[#This Row],[H]]-LAD_H112[[#This Row],[2B]]-LAD_H112[[#This Row],[3B]]-LAD_H112[[#This Row],[HR]])+(LAD_H112[[#This Row],[2B]]*2)+(LAD_H112[[#This Row],[3B]]*3)+(LAD_H112[[#This Row],[HR]]*4))/LAD_H112[[#This Row],[AB]],0)</f>
        <v>0.40714285714285714</v>
      </c>
      <c r="AF35" s="600">
        <v>39</v>
      </c>
      <c r="AG35" s="600">
        <v>140</v>
      </c>
      <c r="AH35" s="600">
        <v>16</v>
      </c>
      <c r="AI35" s="600">
        <v>30</v>
      </c>
      <c r="AJ35" s="600">
        <v>4</v>
      </c>
      <c r="AK35" s="600">
        <v>1</v>
      </c>
      <c r="AL35" s="600">
        <v>7</v>
      </c>
      <c r="AM35" s="600">
        <v>18</v>
      </c>
      <c r="AN35" s="600">
        <v>13</v>
      </c>
      <c r="AO35" s="604">
        <v>45</v>
      </c>
      <c r="AP35" s="600">
        <v>0</v>
      </c>
      <c r="AQ35" s="600">
        <v>0</v>
      </c>
      <c r="AR35" s="604">
        <v>9</v>
      </c>
      <c r="AS35" s="600">
        <f>IFERROR((LAD_H112[[#This Row],[H]]-LAD_H112[[#This Row],[2B]]-LAD_H112[[#This Row],[3B]]-LAD_H112[[#This Row],[HR]])+(LAD_H112[[#This Row],[2B]]*2)+(LAD_H112[[#This Row],[3B]]*3)+(LAD_H112[[#This Row],[HR]]*4),0)</f>
        <v>57</v>
      </c>
      <c r="AT35" s="598">
        <f>LAD_H112[[#This Row],[OBP]]+LAD_H112[[#This Row],[SLG]]</f>
        <v>0.68818860877684407</v>
      </c>
      <c r="AU35" s="604">
        <v>2</v>
      </c>
      <c r="AV35" s="614">
        <v>1</v>
      </c>
      <c r="AY35" s="650" t="s">
        <v>1171</v>
      </c>
      <c r="AZ35" s="604" t="s">
        <v>179</v>
      </c>
      <c r="BA35" s="597" t="s">
        <v>864</v>
      </c>
      <c r="BB35" s="598">
        <f>IFERROR(LAD_H119[[#This Row],[H]]/LAD_H119[[#This Row],[AB]],0)</f>
        <v>0.25694444444444442</v>
      </c>
      <c r="BC35" s="598">
        <f>IFERROR((LAD_H119[[#This Row],[BB]]+LAD_H119[[#This Row],[H]])/(LAD_H119[[#This Row],[AB]]+LAD_H119[[#This Row],[BB]]),0)</f>
        <v>0.31847133757961782</v>
      </c>
      <c r="BD35" s="599">
        <f>IFERROR(((LAD_H119[[#This Row],[H]]-LAD_H119[[#This Row],[2B]]-LAD_H119[[#This Row],[3B]]-LAD_H119[[#This Row],[HR]])+(LAD_H119[[#This Row],[2B]]*2)+(LAD_H119[[#This Row],[3B]]*3)+(LAD_H119[[#This Row],[HR]]*4))/LAD_H119[[#This Row],[AB]],0)</f>
        <v>0.4236111111111111</v>
      </c>
      <c r="BE35" s="600">
        <v>39</v>
      </c>
      <c r="BF35" s="600">
        <v>144</v>
      </c>
      <c r="BG35" s="600">
        <v>15</v>
      </c>
      <c r="BH35" s="600">
        <v>37</v>
      </c>
      <c r="BI35" s="600">
        <v>6</v>
      </c>
      <c r="BJ35" s="600">
        <v>0</v>
      </c>
      <c r="BK35" s="600">
        <v>6</v>
      </c>
      <c r="BL35" s="600">
        <v>17</v>
      </c>
      <c r="BM35" s="600">
        <v>13</v>
      </c>
      <c r="BN35" s="604">
        <v>43</v>
      </c>
      <c r="BO35" s="600">
        <v>0</v>
      </c>
      <c r="BP35" s="600">
        <v>1</v>
      </c>
      <c r="BQ35" s="604">
        <v>6</v>
      </c>
      <c r="BR35" s="600">
        <f>(LAD_H119[[#This Row],[H]]-LAD_H119[[#This Row],[2B]]-LAD_H119[[#This Row],[3B]]-LAD_H119[[#This Row],[HR]])+(LAD_H119[[#This Row],[2B]]*2)+(LAD_H119[[#This Row],[3B]]*3)+(LAD_H119[[#This Row],[HR]]*4)</f>
        <v>61</v>
      </c>
      <c r="BS35" s="598">
        <f>IFERROR(LAD_H119[[#This Row],[OBP]]+LAD_H119[[#This Row],[SLG]],0)</f>
        <v>0.74208244869072892</v>
      </c>
      <c r="BT35" s="604">
        <v>2</v>
      </c>
      <c r="BU35" s="614">
        <v>1</v>
      </c>
    </row>
    <row r="36" spans="1:73">
      <c r="A36" s="720" t="s">
        <v>1171</v>
      </c>
      <c r="B36" s="71" t="s">
        <v>154</v>
      </c>
      <c r="C36" s="71" t="s">
        <v>1173</v>
      </c>
      <c r="D36" s="72">
        <f>IFERROR(LAD_H[[#This Row],[H]]/LAD_H[[#This Row],[AB]],0)</f>
        <v>0.30573248407643311</v>
      </c>
      <c r="E36" s="72">
        <f>IFERROR((LAD_H[[#This Row],[H]]+LAD_H[[#This Row],[BB]])/(LAD_H[[#This Row],[BB]]+LAD_H[[#This Row],[AB]]),0)</f>
        <v>0.36994219653179189</v>
      </c>
      <c r="F36" s="73">
        <f>IFERROR(((LAD_H[[#This Row],[H]]-LAD_H[[#This Row],[2B]]-LAD_H[[#This Row],[3B]]-LAD_H[[#This Row],[HR]])+(LAD_H[[#This Row],[2B]]*2)+(LAD_H[[#This Row],[3B]]*3)+(LAD_H[[#This Row],[HR]]*4))/LAD_H[[#This Row],[AB]],0)</f>
        <v>0.53503184713375795</v>
      </c>
      <c r="G36" s="28">
        <v>40</v>
      </c>
      <c r="H36" s="28">
        <v>157</v>
      </c>
      <c r="I36" s="28">
        <v>14</v>
      </c>
      <c r="J36" s="28">
        <v>48</v>
      </c>
      <c r="K36" s="28">
        <v>15</v>
      </c>
      <c r="L36" s="28">
        <v>0</v>
      </c>
      <c r="M36" s="28">
        <v>7</v>
      </c>
      <c r="N36" s="28">
        <v>23</v>
      </c>
      <c r="O36" s="28">
        <v>16</v>
      </c>
      <c r="P36" s="74">
        <v>30</v>
      </c>
      <c r="Q36" s="28">
        <v>0</v>
      </c>
      <c r="R36" s="28">
        <v>0</v>
      </c>
      <c r="S36" s="74">
        <v>7</v>
      </c>
      <c r="T36" s="28">
        <f>IFERROR((LAD_H[[#This Row],[H]]-LAD_H[[#This Row],[2B]]-LAD_H[[#This Row],[3B]]-LAD_H[[#This Row],[HR]])+(LAD_H[[#This Row],[2B]]*2)+(LAD_H[[#This Row],[3B]]*3)+(LAD_H[[#This Row],[HR]]*4),0)</f>
        <v>84</v>
      </c>
      <c r="U36" s="72">
        <f>LAD_H[[#This Row],[OBP]]+LAD_H[[#This Row],[SLG]]</f>
        <v>0.90497404366554979</v>
      </c>
      <c r="V36" s="74">
        <v>4</v>
      </c>
      <c r="W36" s="615">
        <v>2</v>
      </c>
      <c r="Z36" s="651" t="s">
        <v>1171</v>
      </c>
      <c r="AA36" s="71" t="s">
        <v>154</v>
      </c>
      <c r="AB36" s="71" t="s">
        <v>1173</v>
      </c>
      <c r="AC36" s="72">
        <f>IFERROR(LAD_H112[[#This Row],[H]]/LAD_H112[[#This Row],[AB]],0)</f>
        <v>0.21768707482993196</v>
      </c>
      <c r="AD36" s="72">
        <f>IFERROR((LAD_H112[[#This Row],[H]]+LAD_H112[[#This Row],[BB]])/(LAD_H112[[#This Row],[BB]]+LAD_H112[[#This Row],[AB]]),0)</f>
        <v>0.30303030303030304</v>
      </c>
      <c r="AE36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0.35374149659863946</v>
      </c>
      <c r="AF36" s="28">
        <v>39</v>
      </c>
      <c r="AG36" s="28">
        <v>147</v>
      </c>
      <c r="AH36" s="28">
        <v>13</v>
      </c>
      <c r="AI36" s="28">
        <v>32</v>
      </c>
      <c r="AJ36" s="28">
        <v>11</v>
      </c>
      <c r="AK36" s="28">
        <v>0</v>
      </c>
      <c r="AL36" s="28">
        <v>3</v>
      </c>
      <c r="AM36" s="28">
        <v>15</v>
      </c>
      <c r="AN36" s="28">
        <v>18</v>
      </c>
      <c r="AO36" s="74">
        <v>33</v>
      </c>
      <c r="AP36" s="28">
        <v>0</v>
      </c>
      <c r="AQ36" s="28">
        <v>4</v>
      </c>
      <c r="AR36" s="74">
        <v>4</v>
      </c>
      <c r="AS36" s="28">
        <f>IFERROR((LAD_H112[[#This Row],[H]]-LAD_H112[[#This Row],[2B]]-LAD_H112[[#This Row],[3B]]-LAD_H112[[#This Row],[HR]])+(LAD_H112[[#This Row],[2B]]*2)+(LAD_H112[[#This Row],[3B]]*3)+(LAD_H112[[#This Row],[HR]]*4),0)</f>
        <v>52</v>
      </c>
      <c r="AT36" s="72">
        <f>LAD_H112[[#This Row],[OBP]]+LAD_H112[[#This Row],[SLG]]</f>
        <v>0.6567717996289425</v>
      </c>
      <c r="AU36" s="74">
        <v>2</v>
      </c>
      <c r="AV36" s="615">
        <v>2</v>
      </c>
      <c r="AY36" s="651" t="s">
        <v>1171</v>
      </c>
      <c r="AZ36" s="74" t="s">
        <v>154</v>
      </c>
      <c r="BA36" s="71" t="s">
        <v>1173</v>
      </c>
      <c r="BB36" s="72">
        <f>IFERROR(LAD_H119[[#This Row],[H]]/LAD_H119[[#This Row],[AB]],0)</f>
        <v>0.26896551724137929</v>
      </c>
      <c r="BC36" s="72">
        <f>IFERROR((LAD_H119[[#This Row],[BB]]+LAD_H119[[#This Row],[H]])/(LAD_H119[[#This Row],[AB]]+LAD_H119[[#This Row],[BB]]),0)</f>
        <v>0.34969325153374231</v>
      </c>
      <c r="BD36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0.3724137931034483</v>
      </c>
      <c r="BE36" s="28">
        <v>39</v>
      </c>
      <c r="BF36" s="28">
        <v>145</v>
      </c>
      <c r="BG36" s="28">
        <v>9</v>
      </c>
      <c r="BH36" s="28">
        <v>39</v>
      </c>
      <c r="BI36" s="28">
        <v>9</v>
      </c>
      <c r="BJ36" s="28">
        <v>0</v>
      </c>
      <c r="BK36" s="28">
        <v>2</v>
      </c>
      <c r="BL36" s="28">
        <v>15</v>
      </c>
      <c r="BM36" s="28">
        <v>18</v>
      </c>
      <c r="BN36" s="74">
        <v>29</v>
      </c>
      <c r="BO36" s="28">
        <v>0</v>
      </c>
      <c r="BP36" s="28">
        <v>6</v>
      </c>
      <c r="BQ36" s="74">
        <v>6</v>
      </c>
      <c r="BR36" s="28">
        <f>(LAD_H119[[#This Row],[H]]-LAD_H119[[#This Row],[2B]]-LAD_H119[[#This Row],[3B]]-LAD_H119[[#This Row],[HR]])+(LAD_H119[[#This Row],[2B]]*2)+(LAD_H119[[#This Row],[3B]]*3)+(LAD_H119[[#This Row],[HR]]*4)</f>
        <v>54</v>
      </c>
      <c r="BS36" s="72">
        <f>IFERROR(LAD_H119[[#This Row],[OBP]]+LAD_H119[[#This Row],[SLG]],0)</f>
        <v>0.72210704463719066</v>
      </c>
      <c r="BT36" s="74">
        <v>2</v>
      </c>
      <c r="BU36" s="615">
        <v>2</v>
      </c>
    </row>
    <row r="37" spans="1:73">
      <c r="A37" s="720" t="s">
        <v>1171</v>
      </c>
      <c r="B37" s="71" t="s">
        <v>172</v>
      </c>
      <c r="C37" s="71" t="s">
        <v>872</v>
      </c>
      <c r="D37" s="72">
        <f>IFERROR(LAD_H[[#This Row],[H]]/LAD_H[[#This Row],[AB]],0)</f>
        <v>0.22012578616352202</v>
      </c>
      <c r="E37" s="72">
        <f>IFERROR((LAD_H[[#This Row],[H]]+LAD_H[[#This Row],[BB]])/(LAD_H[[#This Row],[BB]]+LAD_H[[#This Row],[AB]]),0)</f>
        <v>0.26627218934911245</v>
      </c>
      <c r="F37" s="73">
        <f>IFERROR(((LAD_H[[#This Row],[H]]-LAD_H[[#This Row],[2B]]-LAD_H[[#This Row],[3B]]-LAD_H[[#This Row],[HR]])+(LAD_H[[#This Row],[2B]]*2)+(LAD_H[[#This Row],[3B]]*3)+(LAD_H[[#This Row],[HR]]*4))/LAD_H[[#This Row],[AB]],0)</f>
        <v>0.33962264150943394</v>
      </c>
      <c r="G37" s="28">
        <v>37</v>
      </c>
      <c r="H37" s="28">
        <v>159</v>
      </c>
      <c r="I37" s="28">
        <v>20</v>
      </c>
      <c r="J37" s="28">
        <v>35</v>
      </c>
      <c r="K37" s="28">
        <v>5</v>
      </c>
      <c r="L37" s="28">
        <v>1</v>
      </c>
      <c r="M37" s="28">
        <v>4</v>
      </c>
      <c r="N37" s="28">
        <v>12</v>
      </c>
      <c r="O37" s="28">
        <v>10</v>
      </c>
      <c r="P37" s="74">
        <v>43</v>
      </c>
      <c r="Q37" s="28">
        <v>9</v>
      </c>
      <c r="R37" s="28">
        <v>2</v>
      </c>
      <c r="S37" s="74">
        <v>6</v>
      </c>
      <c r="T37" s="28">
        <f>IFERROR((LAD_H[[#This Row],[H]]-LAD_H[[#This Row],[2B]]-LAD_H[[#This Row],[3B]]-LAD_H[[#This Row],[HR]])+(LAD_H[[#This Row],[2B]]*2)+(LAD_H[[#This Row],[3B]]*3)+(LAD_H[[#This Row],[HR]]*4),0)</f>
        <v>54</v>
      </c>
      <c r="U37" s="72">
        <f>LAD_H[[#This Row],[OBP]]+LAD_H[[#This Row],[SLG]]</f>
        <v>0.60589483085854634</v>
      </c>
      <c r="V37" s="74">
        <v>2</v>
      </c>
      <c r="W37" s="615">
        <v>3</v>
      </c>
      <c r="Z37" s="651" t="s">
        <v>1171</v>
      </c>
      <c r="AA37" s="71" t="s">
        <v>172</v>
      </c>
      <c r="AB37" s="71" t="s">
        <v>872</v>
      </c>
      <c r="AC37" s="72">
        <f>IFERROR(LAD_H112[[#This Row],[H]]/LAD_H112[[#This Row],[AB]],0)</f>
        <v>0.23030303030303031</v>
      </c>
      <c r="AD37" s="72">
        <f>IFERROR((LAD_H112[[#This Row],[H]]+LAD_H112[[#This Row],[BB]])/(LAD_H112[[#This Row],[BB]]+LAD_H112[[#This Row],[AB]]),0)</f>
        <v>0.2824858757062147</v>
      </c>
      <c r="AE37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0.36363636363636365</v>
      </c>
      <c r="AF37" s="28">
        <v>39</v>
      </c>
      <c r="AG37" s="28">
        <v>165</v>
      </c>
      <c r="AH37" s="28">
        <v>20</v>
      </c>
      <c r="AI37" s="28">
        <v>38</v>
      </c>
      <c r="AJ37" s="28">
        <v>9</v>
      </c>
      <c r="AK37" s="28">
        <v>2</v>
      </c>
      <c r="AL37" s="28">
        <v>3</v>
      </c>
      <c r="AM37" s="28">
        <v>12</v>
      </c>
      <c r="AN37" s="28">
        <v>12</v>
      </c>
      <c r="AO37" s="74">
        <v>39</v>
      </c>
      <c r="AP37" s="28">
        <v>14</v>
      </c>
      <c r="AQ37" s="28">
        <v>5</v>
      </c>
      <c r="AR37" s="74">
        <v>6</v>
      </c>
      <c r="AS37" s="28">
        <f>IFERROR((LAD_H112[[#This Row],[H]]-LAD_H112[[#This Row],[2B]]-LAD_H112[[#This Row],[3B]]-LAD_H112[[#This Row],[HR]])+(LAD_H112[[#This Row],[2B]]*2)+(LAD_H112[[#This Row],[3B]]*3)+(LAD_H112[[#This Row],[HR]]*4),0)</f>
        <v>60</v>
      </c>
      <c r="AT37" s="72">
        <f>LAD_H112[[#This Row],[OBP]]+LAD_H112[[#This Row],[SLG]]</f>
        <v>0.64612223934257829</v>
      </c>
      <c r="AU37" s="74">
        <v>1</v>
      </c>
      <c r="AV37" s="615">
        <v>3</v>
      </c>
      <c r="AY37" s="651" t="s">
        <v>1171</v>
      </c>
      <c r="AZ37" s="74" t="s">
        <v>172</v>
      </c>
      <c r="BA37" s="71" t="s">
        <v>651</v>
      </c>
      <c r="BB37" s="72">
        <f>IFERROR(LAD_H119[[#This Row],[H]]/LAD_H119[[#This Row],[AB]],0)</f>
        <v>0.2360248447204969</v>
      </c>
      <c r="BC37" s="72">
        <f>IFERROR((LAD_H119[[#This Row],[BB]]+LAD_H119[[#This Row],[H]])/(LAD_H119[[#This Row],[AB]]+LAD_H119[[#This Row],[BB]]),0)</f>
        <v>0.29310344827586204</v>
      </c>
      <c r="BD37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0.453416149068323</v>
      </c>
      <c r="BE37" s="28">
        <v>39</v>
      </c>
      <c r="BF37" s="28">
        <v>161</v>
      </c>
      <c r="BG37" s="28">
        <v>20</v>
      </c>
      <c r="BH37" s="28">
        <v>38</v>
      </c>
      <c r="BI37" s="28">
        <v>7</v>
      </c>
      <c r="BJ37" s="28">
        <v>2</v>
      </c>
      <c r="BK37" s="28">
        <v>8</v>
      </c>
      <c r="BL37" s="28">
        <v>26</v>
      </c>
      <c r="BM37" s="28">
        <v>13</v>
      </c>
      <c r="BN37" s="74">
        <v>43</v>
      </c>
      <c r="BO37" s="28">
        <v>0</v>
      </c>
      <c r="BP37" s="28">
        <v>3</v>
      </c>
      <c r="BQ37" s="74">
        <v>5</v>
      </c>
      <c r="BR37" s="28">
        <f>(LAD_H119[[#This Row],[H]]-LAD_H119[[#This Row],[2B]]-LAD_H119[[#This Row],[3B]]-LAD_H119[[#This Row],[HR]])+(LAD_H119[[#This Row],[2B]]*2)+(LAD_H119[[#This Row],[3B]]*3)+(LAD_H119[[#This Row],[HR]]*4)</f>
        <v>73</v>
      </c>
      <c r="BS37" s="72">
        <f>IFERROR(LAD_H119[[#This Row],[OBP]]+LAD_H119[[#This Row],[SLG]],0)</f>
        <v>0.74651959734418505</v>
      </c>
      <c r="BT37" s="74">
        <v>6</v>
      </c>
      <c r="BU37" s="615">
        <v>3</v>
      </c>
    </row>
    <row r="38" spans="1:73">
      <c r="A38" s="720" t="s">
        <v>1171</v>
      </c>
      <c r="B38" s="71" t="s">
        <v>153</v>
      </c>
      <c r="C38" s="71" t="s">
        <v>1174</v>
      </c>
      <c r="D38" s="72">
        <f>IFERROR(LAD_H[[#This Row],[H]]/LAD_H[[#This Row],[AB]],0)</f>
        <v>0.25396825396825395</v>
      </c>
      <c r="E38" s="72">
        <f>IFERROR((LAD_H[[#This Row],[H]]+LAD_H[[#This Row],[BB]])/(LAD_H[[#This Row],[BB]]+LAD_H[[#This Row],[AB]]),0)</f>
        <v>0.38562091503267976</v>
      </c>
      <c r="F38" s="73">
        <f>IFERROR(((LAD_H[[#This Row],[H]]-LAD_H[[#This Row],[2B]]-LAD_H[[#This Row],[3B]]-LAD_H[[#This Row],[HR]])+(LAD_H[[#This Row],[2B]]*2)+(LAD_H[[#This Row],[3B]]*3)+(LAD_H[[#This Row],[HR]]*4))/LAD_H[[#This Row],[AB]],0)</f>
        <v>0.53174603174603174</v>
      </c>
      <c r="G38" s="28">
        <v>37</v>
      </c>
      <c r="H38" s="28">
        <v>126</v>
      </c>
      <c r="I38" s="28">
        <v>21</v>
      </c>
      <c r="J38" s="28">
        <v>32</v>
      </c>
      <c r="K38" s="28">
        <v>5</v>
      </c>
      <c r="L38" s="28">
        <v>0</v>
      </c>
      <c r="M38" s="28">
        <v>10</v>
      </c>
      <c r="N38" s="28">
        <v>18</v>
      </c>
      <c r="O38" s="28">
        <v>27</v>
      </c>
      <c r="P38" s="74">
        <v>30</v>
      </c>
      <c r="Q38" s="28">
        <v>0</v>
      </c>
      <c r="R38" s="28">
        <v>0</v>
      </c>
      <c r="S38" s="74">
        <v>5</v>
      </c>
      <c r="T38" s="28">
        <f>IFERROR((LAD_H[[#This Row],[H]]-LAD_H[[#This Row],[2B]]-LAD_H[[#This Row],[3B]]-LAD_H[[#This Row],[HR]])+(LAD_H[[#This Row],[2B]]*2)+(LAD_H[[#This Row],[3B]]*3)+(LAD_H[[#This Row],[HR]]*4),0)</f>
        <v>67</v>
      </c>
      <c r="U38" s="72">
        <f>LAD_H[[#This Row],[OBP]]+LAD_H[[#This Row],[SLG]]</f>
        <v>0.91736694677871156</v>
      </c>
      <c r="V38" s="74">
        <v>3</v>
      </c>
      <c r="W38" s="615">
        <v>4</v>
      </c>
      <c r="Z38" s="651" t="s">
        <v>1171</v>
      </c>
      <c r="AA38" s="71" t="s">
        <v>153</v>
      </c>
      <c r="AB38" s="71" t="s">
        <v>1174</v>
      </c>
      <c r="AC38" s="72">
        <f>IFERROR(LAD_H112[[#This Row],[H]]/LAD_H112[[#This Row],[AB]],0)</f>
        <v>0.23308270676691728</v>
      </c>
      <c r="AD38" s="72">
        <f>IFERROR((LAD_H112[[#This Row],[H]]+LAD_H112[[#This Row],[BB]])/(LAD_H112[[#This Row],[BB]]+LAD_H112[[#This Row],[AB]]),0)</f>
        <v>0.36249999999999999</v>
      </c>
      <c r="AE38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0.42857142857142855</v>
      </c>
      <c r="AF38" s="28">
        <v>39</v>
      </c>
      <c r="AG38" s="28">
        <v>133</v>
      </c>
      <c r="AH38" s="28">
        <v>18</v>
      </c>
      <c r="AI38" s="28">
        <v>31</v>
      </c>
      <c r="AJ38" s="28">
        <v>2</v>
      </c>
      <c r="AK38" s="28">
        <v>0</v>
      </c>
      <c r="AL38" s="28">
        <v>8</v>
      </c>
      <c r="AM38" s="28">
        <v>20</v>
      </c>
      <c r="AN38" s="28">
        <v>27</v>
      </c>
      <c r="AO38" s="74">
        <v>35</v>
      </c>
      <c r="AP38" s="28">
        <v>0</v>
      </c>
      <c r="AQ38" s="28">
        <v>0</v>
      </c>
      <c r="AR38" s="74">
        <v>4</v>
      </c>
      <c r="AS38" s="28">
        <f>IFERROR((LAD_H112[[#This Row],[H]]-LAD_H112[[#This Row],[2B]]-LAD_H112[[#This Row],[3B]]-LAD_H112[[#This Row],[HR]])+(LAD_H112[[#This Row],[2B]]*2)+(LAD_H112[[#This Row],[3B]]*3)+(LAD_H112[[#This Row],[HR]]*4),0)</f>
        <v>57</v>
      </c>
      <c r="AT38" s="72">
        <f>LAD_H112[[#This Row],[OBP]]+LAD_H112[[#This Row],[SLG]]</f>
        <v>0.79107142857142854</v>
      </c>
      <c r="AU38" s="74">
        <v>4</v>
      </c>
      <c r="AV38" s="615">
        <v>4</v>
      </c>
      <c r="AY38" s="651" t="s">
        <v>1171</v>
      </c>
      <c r="AZ38" s="74" t="s">
        <v>153</v>
      </c>
      <c r="BA38" s="71" t="s">
        <v>1178</v>
      </c>
      <c r="BB38" s="72">
        <f>IFERROR(LAD_H119[[#This Row],[H]]/LAD_H119[[#This Row],[AB]],0)</f>
        <v>0.1797752808988764</v>
      </c>
      <c r="BC38" s="72">
        <f>IFERROR((LAD_H119[[#This Row],[BB]]+LAD_H119[[#This Row],[H]])/(LAD_H119[[#This Row],[AB]]+LAD_H119[[#This Row],[BB]]),0)</f>
        <v>0.24742268041237114</v>
      </c>
      <c r="BD38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0.2696629213483146</v>
      </c>
      <c r="BE38" s="28">
        <v>30</v>
      </c>
      <c r="BF38" s="28">
        <v>89</v>
      </c>
      <c r="BG38" s="28">
        <v>6</v>
      </c>
      <c r="BH38" s="28">
        <v>16</v>
      </c>
      <c r="BI38" s="28">
        <v>2</v>
      </c>
      <c r="BJ38" s="28">
        <v>0</v>
      </c>
      <c r="BK38" s="28">
        <v>2</v>
      </c>
      <c r="BL38" s="28">
        <v>6</v>
      </c>
      <c r="BM38" s="28">
        <v>8</v>
      </c>
      <c r="BN38" s="74">
        <v>28</v>
      </c>
      <c r="BO38" s="28">
        <v>0</v>
      </c>
      <c r="BP38" s="28">
        <v>1</v>
      </c>
      <c r="BQ38" s="74">
        <v>4</v>
      </c>
      <c r="BR38" s="28">
        <f>(LAD_H119[[#This Row],[H]]-LAD_H119[[#This Row],[2B]]-LAD_H119[[#This Row],[3B]]-LAD_H119[[#This Row],[HR]])+(LAD_H119[[#This Row],[2B]]*2)+(LAD_H119[[#This Row],[3B]]*3)+(LAD_H119[[#This Row],[HR]]*4)</f>
        <v>24</v>
      </c>
      <c r="BS38" s="72">
        <f>IFERROR(LAD_H119[[#This Row],[OBP]]+LAD_H119[[#This Row],[SLG]],0)</f>
        <v>0.51708560176068574</v>
      </c>
      <c r="BT38" s="74">
        <v>0</v>
      </c>
      <c r="BU38" s="615">
        <v>4</v>
      </c>
    </row>
    <row r="39" spans="1:73">
      <c r="A39" s="720" t="s">
        <v>1171</v>
      </c>
      <c r="B39" s="345" t="s">
        <v>177</v>
      </c>
      <c r="C39" s="71" t="s">
        <v>838</v>
      </c>
      <c r="D39" s="72">
        <f>IFERROR(LAD_H[[#This Row],[H]]/LAD_H[[#This Row],[AB]],0)</f>
        <v>0.32919254658385094</v>
      </c>
      <c r="E39" s="72">
        <f>IFERROR((LAD_H[[#This Row],[H]]+LAD_H[[#This Row],[BB]])/(LAD_H[[#This Row],[BB]]+LAD_H[[#This Row],[AB]]),0)</f>
        <v>0.4</v>
      </c>
      <c r="F39" s="73">
        <f>IFERROR(((LAD_H[[#This Row],[H]]-LAD_H[[#This Row],[2B]]-LAD_H[[#This Row],[3B]]-LAD_H[[#This Row],[HR]])+(LAD_H[[#This Row],[2B]]*2)+(LAD_H[[#This Row],[3B]]*3)+(LAD_H[[#This Row],[HR]]*4))/LAD_H[[#This Row],[AB]],0)</f>
        <v>0.59627329192546585</v>
      </c>
      <c r="G39" s="28">
        <v>40</v>
      </c>
      <c r="H39" s="28">
        <v>161</v>
      </c>
      <c r="I39" s="28">
        <v>25</v>
      </c>
      <c r="J39" s="28">
        <v>53</v>
      </c>
      <c r="K39" s="28">
        <v>14</v>
      </c>
      <c r="L39" s="28">
        <v>1</v>
      </c>
      <c r="M39" s="28">
        <v>9</v>
      </c>
      <c r="N39" s="28">
        <v>31</v>
      </c>
      <c r="O39" s="28">
        <v>19</v>
      </c>
      <c r="P39" s="74">
        <v>31</v>
      </c>
      <c r="Q39" s="28">
        <v>0</v>
      </c>
      <c r="R39" s="28">
        <v>4</v>
      </c>
      <c r="S39" s="74">
        <v>12</v>
      </c>
      <c r="T39" s="28">
        <f>IFERROR((LAD_H[[#This Row],[H]]-LAD_H[[#This Row],[2B]]-LAD_H[[#This Row],[3B]]-LAD_H[[#This Row],[HR]])+(LAD_H[[#This Row],[2B]]*2)+(LAD_H[[#This Row],[3B]]*3)+(LAD_H[[#This Row],[HR]]*4),0)</f>
        <v>96</v>
      </c>
      <c r="U39" s="72">
        <f>LAD_H[[#This Row],[OBP]]+LAD_H[[#This Row],[SLG]]</f>
        <v>0.99627329192546588</v>
      </c>
      <c r="V39" s="74">
        <v>4</v>
      </c>
      <c r="W39" s="615">
        <v>5</v>
      </c>
      <c r="Z39" s="651" t="s">
        <v>1171</v>
      </c>
      <c r="AA39" s="71" t="s">
        <v>177</v>
      </c>
      <c r="AB39" s="71" t="s">
        <v>838</v>
      </c>
      <c r="AC39" s="72">
        <f>IFERROR(LAD_H112[[#This Row],[H]]/LAD_H112[[#This Row],[AB]],0)</f>
        <v>0.2839506172839506</v>
      </c>
      <c r="AD39" s="72">
        <f>IFERROR((LAD_H112[[#This Row],[H]]+LAD_H112[[#This Row],[BB]])/(LAD_H112[[#This Row],[BB]]+LAD_H112[[#This Row],[AB]]),0)</f>
        <v>0.32558139534883723</v>
      </c>
      <c r="AE39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0.47530864197530864</v>
      </c>
      <c r="AF39" s="28">
        <v>40</v>
      </c>
      <c r="AG39" s="28">
        <v>162</v>
      </c>
      <c r="AH39" s="28">
        <v>26</v>
      </c>
      <c r="AI39" s="28">
        <v>46</v>
      </c>
      <c r="AJ39" s="28">
        <v>5</v>
      </c>
      <c r="AK39" s="28">
        <v>1</v>
      </c>
      <c r="AL39" s="28">
        <v>8</v>
      </c>
      <c r="AM39" s="28">
        <v>24</v>
      </c>
      <c r="AN39" s="28">
        <v>10</v>
      </c>
      <c r="AO39" s="74">
        <v>41</v>
      </c>
      <c r="AP39" s="28">
        <v>0</v>
      </c>
      <c r="AQ39" s="28">
        <v>0</v>
      </c>
      <c r="AR39" s="74">
        <v>8</v>
      </c>
      <c r="AS39" s="28">
        <f>IFERROR((LAD_H112[[#This Row],[H]]-LAD_H112[[#This Row],[2B]]-LAD_H112[[#This Row],[3B]]-LAD_H112[[#This Row],[HR]])+(LAD_H112[[#This Row],[2B]]*2)+(LAD_H112[[#This Row],[3B]]*3)+(LAD_H112[[#This Row],[HR]]*4),0)</f>
        <v>77</v>
      </c>
      <c r="AT39" s="72">
        <f>LAD_H112[[#This Row],[OBP]]+LAD_H112[[#This Row],[SLG]]</f>
        <v>0.80089003732414588</v>
      </c>
      <c r="AU39" s="74">
        <v>2</v>
      </c>
      <c r="AV39" s="615">
        <v>5</v>
      </c>
      <c r="AY39" s="651" t="s">
        <v>1171</v>
      </c>
      <c r="AZ39" s="74" t="s">
        <v>177</v>
      </c>
      <c r="BA39" s="71" t="s">
        <v>1174</v>
      </c>
      <c r="BB39" s="72">
        <f>IFERROR(LAD_H119[[#This Row],[H]]/LAD_H119[[#This Row],[AB]],0)</f>
        <v>0.20512820512820512</v>
      </c>
      <c r="BC39" s="72">
        <f>IFERROR((LAD_H119[[#This Row],[BB]]+LAD_H119[[#This Row],[H]])/(LAD_H119[[#This Row],[AB]]+LAD_H119[[#This Row],[BB]]),0)</f>
        <v>0.31111111111111112</v>
      </c>
      <c r="BD39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0.35256410256410259</v>
      </c>
      <c r="BE39" s="28">
        <v>40</v>
      </c>
      <c r="BF39" s="28">
        <v>156</v>
      </c>
      <c r="BG39" s="28">
        <v>17</v>
      </c>
      <c r="BH39" s="28">
        <v>32</v>
      </c>
      <c r="BI39" s="28">
        <v>5</v>
      </c>
      <c r="BJ39" s="28">
        <v>0</v>
      </c>
      <c r="BK39" s="28">
        <v>6</v>
      </c>
      <c r="BL39" s="28">
        <v>13</v>
      </c>
      <c r="BM39" s="28">
        <v>24</v>
      </c>
      <c r="BN39" s="74">
        <v>46</v>
      </c>
      <c r="BO39" s="28">
        <v>0</v>
      </c>
      <c r="BP39" s="28">
        <v>2</v>
      </c>
      <c r="BQ39" s="74">
        <v>4</v>
      </c>
      <c r="BR39" s="28">
        <f>(LAD_H119[[#This Row],[H]]-LAD_H119[[#This Row],[2B]]-LAD_H119[[#This Row],[3B]]-LAD_H119[[#This Row],[HR]])+(LAD_H119[[#This Row],[2B]]*2)+(LAD_H119[[#This Row],[3B]]*3)+(LAD_H119[[#This Row],[HR]]*4)</f>
        <v>55</v>
      </c>
      <c r="BS39" s="72">
        <f>IFERROR(LAD_H119[[#This Row],[OBP]]+LAD_H119[[#This Row],[SLG]],0)</f>
        <v>0.66367521367521376</v>
      </c>
      <c r="BT39" s="74">
        <v>3</v>
      </c>
      <c r="BU39" s="615">
        <v>5</v>
      </c>
    </row>
    <row r="40" spans="1:73">
      <c r="A40" s="720" t="s">
        <v>1171</v>
      </c>
      <c r="B40" s="71" t="s">
        <v>174</v>
      </c>
      <c r="C40" s="71" t="s">
        <v>1175</v>
      </c>
      <c r="D40" s="72">
        <f>IFERROR(LAD_H[[#This Row],[H]]/LAD_H[[#This Row],[AB]],0)</f>
        <v>0.21897810218978103</v>
      </c>
      <c r="E40" s="72">
        <f>IFERROR((LAD_H[[#This Row],[H]]+LAD_H[[#This Row],[BB]])/(LAD_H[[#This Row],[BB]]+LAD_H[[#This Row],[AB]]),0)</f>
        <v>0.30967741935483872</v>
      </c>
      <c r="F40" s="73">
        <f>IFERROR(((LAD_H[[#This Row],[H]]-LAD_H[[#This Row],[2B]]-LAD_H[[#This Row],[3B]]-LAD_H[[#This Row],[HR]])+(LAD_H[[#This Row],[2B]]*2)+(LAD_H[[#This Row],[3B]]*3)+(LAD_H[[#This Row],[HR]]*4))/LAD_H[[#This Row],[AB]],0)</f>
        <v>0.35766423357664234</v>
      </c>
      <c r="G40" s="28">
        <v>38</v>
      </c>
      <c r="H40" s="28">
        <v>137</v>
      </c>
      <c r="I40" s="28">
        <v>16</v>
      </c>
      <c r="J40" s="28">
        <v>30</v>
      </c>
      <c r="K40" s="28">
        <v>6</v>
      </c>
      <c r="L40" s="28">
        <v>2</v>
      </c>
      <c r="M40" s="28">
        <v>3</v>
      </c>
      <c r="N40" s="28">
        <v>9</v>
      </c>
      <c r="O40" s="28">
        <v>18</v>
      </c>
      <c r="P40" s="74">
        <v>32</v>
      </c>
      <c r="Q40" s="28">
        <v>0</v>
      </c>
      <c r="R40" s="28">
        <v>0</v>
      </c>
      <c r="S40" s="74">
        <v>6</v>
      </c>
      <c r="T40" s="28">
        <f>IFERROR((LAD_H[[#This Row],[H]]-LAD_H[[#This Row],[2B]]-LAD_H[[#This Row],[3B]]-LAD_H[[#This Row],[HR]])+(LAD_H[[#This Row],[2B]]*2)+(LAD_H[[#This Row],[3B]]*3)+(LAD_H[[#This Row],[HR]]*4),0)</f>
        <v>49</v>
      </c>
      <c r="U40" s="72">
        <f>LAD_H[[#This Row],[OBP]]+LAD_H[[#This Row],[SLG]]</f>
        <v>0.66734165293148107</v>
      </c>
      <c r="V40" s="74">
        <v>3</v>
      </c>
      <c r="W40" s="615">
        <v>6</v>
      </c>
      <c r="Z40" s="651" t="s">
        <v>1171</v>
      </c>
      <c r="AA40" s="71" t="s">
        <v>174</v>
      </c>
      <c r="AB40" s="71" t="s">
        <v>1175</v>
      </c>
      <c r="AC40" s="72">
        <f>IFERROR(LAD_H112[[#This Row],[H]]/LAD_H112[[#This Row],[AB]],0)</f>
        <v>0.30701754385964913</v>
      </c>
      <c r="AD40" s="72">
        <f>IFERROR((LAD_H112[[#This Row],[H]]+LAD_H112[[#This Row],[BB]])/(LAD_H112[[#This Row],[BB]]+LAD_H112[[#This Row],[AB]]),0)</f>
        <v>0.39694656488549618</v>
      </c>
      <c r="AE40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0.52631578947368418</v>
      </c>
      <c r="AF40" s="28">
        <v>38</v>
      </c>
      <c r="AG40" s="28">
        <v>114</v>
      </c>
      <c r="AH40" s="28">
        <v>24</v>
      </c>
      <c r="AI40" s="28">
        <v>35</v>
      </c>
      <c r="AJ40" s="28">
        <v>3</v>
      </c>
      <c r="AK40" s="28">
        <v>2</v>
      </c>
      <c r="AL40" s="28">
        <v>6</v>
      </c>
      <c r="AM40" s="28">
        <v>21</v>
      </c>
      <c r="AN40" s="28">
        <v>17</v>
      </c>
      <c r="AO40" s="74">
        <v>29</v>
      </c>
      <c r="AP40" s="28">
        <v>0</v>
      </c>
      <c r="AQ40" s="28">
        <v>0</v>
      </c>
      <c r="AR40" s="74">
        <v>5</v>
      </c>
      <c r="AS40" s="28">
        <f>IFERROR((LAD_H112[[#This Row],[H]]-LAD_H112[[#This Row],[2B]]-LAD_H112[[#This Row],[3B]]-LAD_H112[[#This Row],[HR]])+(LAD_H112[[#This Row],[2B]]*2)+(LAD_H112[[#This Row],[3B]]*3)+(LAD_H112[[#This Row],[HR]]*4),0)</f>
        <v>60</v>
      </c>
      <c r="AT40" s="72">
        <f>LAD_H112[[#This Row],[OBP]]+LAD_H112[[#This Row],[SLG]]</f>
        <v>0.92326235435918036</v>
      </c>
      <c r="AU40" s="74">
        <v>4</v>
      </c>
      <c r="AV40" s="615">
        <v>6</v>
      </c>
      <c r="AY40" s="651" t="s">
        <v>1171</v>
      </c>
      <c r="AZ40" s="74" t="s">
        <v>174</v>
      </c>
      <c r="BA40" s="71" t="s">
        <v>1175</v>
      </c>
      <c r="BB40" s="72">
        <f>IFERROR(LAD_H119[[#This Row],[H]]/LAD_H119[[#This Row],[AB]],0)</f>
        <v>0.26666666666666666</v>
      </c>
      <c r="BC40" s="72">
        <f>IFERROR((LAD_H119[[#This Row],[BB]]+LAD_H119[[#This Row],[H]])/(LAD_H119[[#This Row],[AB]]+LAD_H119[[#This Row],[BB]]),0)</f>
        <v>0.31858407079646017</v>
      </c>
      <c r="BD40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0.41904761904761906</v>
      </c>
      <c r="BE40" s="28">
        <v>32</v>
      </c>
      <c r="BF40" s="28">
        <v>105</v>
      </c>
      <c r="BG40" s="28">
        <v>12</v>
      </c>
      <c r="BH40" s="28">
        <v>28</v>
      </c>
      <c r="BI40" s="28">
        <v>7</v>
      </c>
      <c r="BJ40" s="28">
        <v>0</v>
      </c>
      <c r="BK40" s="28">
        <v>3</v>
      </c>
      <c r="BL40" s="28">
        <v>9</v>
      </c>
      <c r="BM40" s="28">
        <v>8</v>
      </c>
      <c r="BN40" s="74">
        <v>26</v>
      </c>
      <c r="BO40" s="28">
        <v>0</v>
      </c>
      <c r="BP40" s="28">
        <v>9</v>
      </c>
      <c r="BQ40" s="74">
        <v>9</v>
      </c>
      <c r="BR40" s="28">
        <f>(LAD_H119[[#This Row],[H]]-LAD_H119[[#This Row],[2B]]-LAD_H119[[#This Row],[3B]]-LAD_H119[[#This Row],[HR]])+(LAD_H119[[#This Row],[2B]]*2)+(LAD_H119[[#This Row],[3B]]*3)+(LAD_H119[[#This Row],[HR]]*4)</f>
        <v>44</v>
      </c>
      <c r="BS40" s="72">
        <f>IFERROR(LAD_H119[[#This Row],[OBP]]+LAD_H119[[#This Row],[SLG]],0)</f>
        <v>0.73763168984407923</v>
      </c>
      <c r="BT40" s="74">
        <v>1</v>
      </c>
      <c r="BU40" s="615">
        <v>6</v>
      </c>
    </row>
    <row r="41" spans="1:73">
      <c r="A41" s="720" t="s">
        <v>1171</v>
      </c>
      <c r="B41" s="71" t="s">
        <v>181</v>
      </c>
      <c r="C41" s="71" t="s">
        <v>1177</v>
      </c>
      <c r="D41" s="72">
        <f>IFERROR(LAD_H[[#This Row],[H]]/LAD_H[[#This Row],[AB]],0)</f>
        <v>0.29032258064516131</v>
      </c>
      <c r="E41" s="72">
        <f>IFERROR((LAD_H[[#This Row],[H]]+LAD_H[[#This Row],[BB]])/(LAD_H[[#This Row],[BB]]+LAD_H[[#This Row],[AB]]),0)</f>
        <v>0.3282442748091603</v>
      </c>
      <c r="F41" s="73">
        <f>IFERROR(((LAD_H[[#This Row],[H]]-LAD_H[[#This Row],[2B]]-LAD_H[[#This Row],[3B]]-LAD_H[[#This Row],[HR]])+(LAD_H[[#This Row],[2B]]*2)+(LAD_H[[#This Row],[3B]]*3)+(LAD_H[[#This Row],[HR]]*4))/LAD_H[[#This Row],[AB]],0)</f>
        <v>0.41935483870967744</v>
      </c>
      <c r="G41" s="28">
        <v>36</v>
      </c>
      <c r="H41" s="28">
        <v>124</v>
      </c>
      <c r="I41" s="28">
        <v>14</v>
      </c>
      <c r="J41" s="28">
        <v>36</v>
      </c>
      <c r="K41" s="28">
        <v>10</v>
      </c>
      <c r="L41" s="28">
        <v>0</v>
      </c>
      <c r="M41" s="28">
        <v>2</v>
      </c>
      <c r="N41" s="28">
        <v>13</v>
      </c>
      <c r="O41" s="28">
        <v>7</v>
      </c>
      <c r="P41" s="74">
        <v>47</v>
      </c>
      <c r="Q41" s="28">
        <v>0</v>
      </c>
      <c r="R41" s="28">
        <v>7</v>
      </c>
      <c r="S41" s="74">
        <v>9</v>
      </c>
      <c r="T41" s="28">
        <f>IFERROR((LAD_H[[#This Row],[H]]-LAD_H[[#This Row],[2B]]-LAD_H[[#This Row],[3B]]-LAD_H[[#This Row],[HR]])+(LAD_H[[#This Row],[2B]]*2)+(LAD_H[[#This Row],[3B]]*3)+(LAD_H[[#This Row],[HR]]*4),0)</f>
        <v>52</v>
      </c>
      <c r="U41" s="72">
        <f>LAD_H[[#This Row],[OBP]]+LAD_H[[#This Row],[SLG]]</f>
        <v>0.74759911351883779</v>
      </c>
      <c r="V41" s="74">
        <v>1</v>
      </c>
      <c r="W41" s="615">
        <v>7</v>
      </c>
      <c r="Z41" s="651" t="s">
        <v>1171</v>
      </c>
      <c r="AA41" s="345" t="s">
        <v>181</v>
      </c>
      <c r="AB41" s="71" t="s">
        <v>998</v>
      </c>
      <c r="AC41" s="72">
        <f>IFERROR(LAD_H112[[#This Row],[H]]/LAD_H112[[#This Row],[AB]],0)</f>
        <v>0.29838709677419356</v>
      </c>
      <c r="AD41" s="72">
        <f>IFERROR((LAD_H112[[#This Row],[H]]+LAD_H112[[#This Row],[BB]])/(LAD_H112[[#This Row],[BB]]+LAD_H112[[#This Row],[AB]]),0)</f>
        <v>0.35074626865671643</v>
      </c>
      <c r="AE41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0.61290322580645162</v>
      </c>
      <c r="AF41" s="28">
        <v>37</v>
      </c>
      <c r="AG41" s="28">
        <v>124</v>
      </c>
      <c r="AH41" s="28">
        <v>21</v>
      </c>
      <c r="AI41" s="28">
        <v>37</v>
      </c>
      <c r="AJ41" s="28">
        <v>5</v>
      </c>
      <c r="AK41" s="28">
        <v>2</v>
      </c>
      <c r="AL41" s="28">
        <v>10</v>
      </c>
      <c r="AM41" s="28">
        <v>27</v>
      </c>
      <c r="AN41" s="28">
        <v>10</v>
      </c>
      <c r="AO41" s="74">
        <v>29</v>
      </c>
      <c r="AP41" s="28">
        <v>0</v>
      </c>
      <c r="AQ41" s="28">
        <v>11</v>
      </c>
      <c r="AR41" s="74">
        <v>11</v>
      </c>
      <c r="AS41" s="28">
        <f>IFERROR((LAD_H112[[#This Row],[H]]-LAD_H112[[#This Row],[2B]]-LAD_H112[[#This Row],[3B]]-LAD_H112[[#This Row],[HR]])+(LAD_H112[[#This Row],[2B]]*2)+(LAD_H112[[#This Row],[3B]]*3)+(LAD_H112[[#This Row],[HR]]*4),0)</f>
        <v>76</v>
      </c>
      <c r="AT41" s="72">
        <f>LAD_H112[[#This Row],[OBP]]+LAD_H112[[#This Row],[SLG]]</f>
        <v>0.96364949446316805</v>
      </c>
      <c r="AU41" s="74">
        <v>4</v>
      </c>
      <c r="AV41" s="615">
        <v>7</v>
      </c>
      <c r="AY41" s="651" t="s">
        <v>1171</v>
      </c>
      <c r="AZ41" s="74" t="s">
        <v>181</v>
      </c>
      <c r="BA41" s="71" t="s">
        <v>998</v>
      </c>
      <c r="BB41" s="72">
        <f>IFERROR(LAD_H119[[#This Row],[H]]/LAD_H119[[#This Row],[AB]],0)</f>
        <v>0.20754716981132076</v>
      </c>
      <c r="BC41" s="72">
        <f>IFERROR((LAD_H119[[#This Row],[BB]]+LAD_H119[[#This Row],[H]])/(LAD_H119[[#This Row],[AB]]+LAD_H119[[#This Row],[BB]]),0)</f>
        <v>0.29411764705882354</v>
      </c>
      <c r="BD41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0.46226415094339623</v>
      </c>
      <c r="BE41" s="28">
        <v>34</v>
      </c>
      <c r="BF41" s="28">
        <v>106</v>
      </c>
      <c r="BG41" s="28">
        <v>14</v>
      </c>
      <c r="BH41" s="28">
        <v>22</v>
      </c>
      <c r="BI41" s="28">
        <v>4</v>
      </c>
      <c r="BJ41" s="28">
        <v>1</v>
      </c>
      <c r="BK41" s="28">
        <v>7</v>
      </c>
      <c r="BL41" s="28">
        <v>16</v>
      </c>
      <c r="BM41" s="28">
        <v>13</v>
      </c>
      <c r="BN41" s="74">
        <v>29</v>
      </c>
      <c r="BO41" s="28">
        <v>0</v>
      </c>
      <c r="BP41" s="28">
        <v>0</v>
      </c>
      <c r="BQ41" s="74">
        <v>2</v>
      </c>
      <c r="BR41" s="28">
        <f>(LAD_H119[[#This Row],[H]]-LAD_H119[[#This Row],[2B]]-LAD_H119[[#This Row],[3B]]-LAD_H119[[#This Row],[HR]])+(LAD_H119[[#This Row],[2B]]*2)+(LAD_H119[[#This Row],[3B]]*3)+(LAD_H119[[#This Row],[HR]]*4)</f>
        <v>49</v>
      </c>
      <c r="BS41" s="72">
        <f>IFERROR(LAD_H119[[#This Row],[OBP]]+LAD_H119[[#This Row],[SLG]],0)</f>
        <v>0.75638179800221983</v>
      </c>
      <c r="BT41" s="74">
        <v>2</v>
      </c>
      <c r="BU41" s="615">
        <v>7</v>
      </c>
    </row>
    <row r="42" spans="1:73">
      <c r="A42" s="720" t="s">
        <v>1171</v>
      </c>
      <c r="B42" s="71" t="s">
        <v>166</v>
      </c>
      <c r="C42" s="71" t="s">
        <v>1172</v>
      </c>
      <c r="D42" s="72">
        <f>IFERROR(LAD_H[[#This Row],[H]]/LAD_H[[#This Row],[AB]],0)</f>
        <v>0.22012578616352202</v>
      </c>
      <c r="E42" s="72">
        <f>IFERROR((LAD_H[[#This Row],[H]]+LAD_H[[#This Row],[BB]])/(LAD_H[[#This Row],[BB]]+LAD_H[[#This Row],[AB]]),0)</f>
        <v>0.30337078651685395</v>
      </c>
      <c r="F42" s="73">
        <f>IFERROR(((LAD_H[[#This Row],[H]]-LAD_H[[#This Row],[2B]]-LAD_H[[#This Row],[3B]]-LAD_H[[#This Row],[HR]])+(LAD_H[[#This Row],[2B]]*2)+(LAD_H[[#This Row],[3B]]*3)+(LAD_H[[#This Row],[HR]]*4))/LAD_H[[#This Row],[AB]],0)</f>
        <v>0.42138364779874216</v>
      </c>
      <c r="G42" s="28">
        <v>38</v>
      </c>
      <c r="H42" s="28">
        <v>159</v>
      </c>
      <c r="I42" s="28">
        <v>21</v>
      </c>
      <c r="J42" s="28">
        <v>35</v>
      </c>
      <c r="K42" s="28">
        <v>9</v>
      </c>
      <c r="L42" s="28">
        <v>1</v>
      </c>
      <c r="M42" s="28">
        <v>7</v>
      </c>
      <c r="N42" s="28">
        <v>24</v>
      </c>
      <c r="O42" s="28">
        <v>19</v>
      </c>
      <c r="P42" s="74">
        <v>30</v>
      </c>
      <c r="Q42" s="28">
        <v>7</v>
      </c>
      <c r="R42" s="28">
        <v>2</v>
      </c>
      <c r="S42" s="74">
        <v>4</v>
      </c>
      <c r="T42" s="28">
        <f>IFERROR((LAD_H[[#This Row],[H]]-LAD_H[[#This Row],[2B]]-LAD_H[[#This Row],[3B]]-LAD_H[[#This Row],[HR]])+(LAD_H[[#This Row],[2B]]*2)+(LAD_H[[#This Row],[3B]]*3)+(LAD_H[[#This Row],[HR]]*4),0)</f>
        <v>67</v>
      </c>
      <c r="U42" s="72">
        <f>LAD_H[[#This Row],[OBP]]+LAD_H[[#This Row],[SLG]]</f>
        <v>0.72475443431559605</v>
      </c>
      <c r="V42" s="74">
        <v>3</v>
      </c>
      <c r="W42" s="615">
        <v>8</v>
      </c>
      <c r="Z42" s="651" t="s">
        <v>1171</v>
      </c>
      <c r="AA42" s="71" t="s">
        <v>166</v>
      </c>
      <c r="AB42" s="71" t="s">
        <v>1172</v>
      </c>
      <c r="AC42" s="72">
        <f>IFERROR(LAD_H112[[#This Row],[H]]/LAD_H112[[#This Row],[AB]],0)</f>
        <v>0.31874999999999998</v>
      </c>
      <c r="AD42" s="72">
        <f>IFERROR((LAD_H112[[#This Row],[H]]+LAD_H112[[#This Row],[BB]])/(LAD_H112[[#This Row],[BB]]+LAD_H112[[#This Row],[AB]]),0)</f>
        <v>0.37714285714285717</v>
      </c>
      <c r="AE42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0.53125</v>
      </c>
      <c r="AF42" s="28">
        <v>39</v>
      </c>
      <c r="AG42" s="28">
        <v>160</v>
      </c>
      <c r="AH42" s="28">
        <v>25</v>
      </c>
      <c r="AI42" s="28">
        <v>51</v>
      </c>
      <c r="AJ42" s="76">
        <v>17</v>
      </c>
      <c r="AK42" s="28">
        <v>1</v>
      </c>
      <c r="AL42" s="28">
        <v>5</v>
      </c>
      <c r="AM42" s="28">
        <v>22</v>
      </c>
      <c r="AN42" s="28">
        <v>15</v>
      </c>
      <c r="AO42" s="74">
        <v>23</v>
      </c>
      <c r="AP42" s="28">
        <v>6</v>
      </c>
      <c r="AQ42" s="28">
        <v>5</v>
      </c>
      <c r="AR42" s="74">
        <v>7</v>
      </c>
      <c r="AS42" s="28">
        <f>IFERROR((LAD_H112[[#This Row],[H]]-LAD_H112[[#This Row],[2B]]-LAD_H112[[#This Row],[3B]]-LAD_H112[[#This Row],[HR]])+(LAD_H112[[#This Row],[2B]]*2)+(LAD_H112[[#This Row],[3B]]*3)+(LAD_H112[[#This Row],[HR]]*4),0)</f>
        <v>85</v>
      </c>
      <c r="AT42" s="72">
        <f>LAD_H112[[#This Row],[OBP]]+LAD_H112[[#This Row],[SLG]]</f>
        <v>0.90839285714285722</v>
      </c>
      <c r="AU42" s="74">
        <v>3</v>
      </c>
      <c r="AV42" s="615">
        <v>8</v>
      </c>
      <c r="AY42" s="651" t="s">
        <v>1171</v>
      </c>
      <c r="AZ42" s="74" t="s">
        <v>166</v>
      </c>
      <c r="BA42" s="71" t="s">
        <v>1172</v>
      </c>
      <c r="BB42" s="72">
        <f>IFERROR(LAD_H119[[#This Row],[H]]/LAD_H119[[#This Row],[AB]],0)</f>
        <v>0.2392638036809816</v>
      </c>
      <c r="BC42" s="72">
        <f>IFERROR((LAD_H119[[#This Row],[BB]]+LAD_H119[[#This Row],[H]])/(LAD_H119[[#This Row],[AB]]+LAD_H119[[#This Row],[BB]]),0)</f>
        <v>0.30726256983240224</v>
      </c>
      <c r="BD42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0.39263803680981596</v>
      </c>
      <c r="BE42" s="28">
        <v>39</v>
      </c>
      <c r="BF42" s="28">
        <v>163</v>
      </c>
      <c r="BG42" s="28">
        <v>16</v>
      </c>
      <c r="BH42" s="28">
        <v>39</v>
      </c>
      <c r="BI42" s="28">
        <v>13</v>
      </c>
      <c r="BJ42" s="28">
        <v>0</v>
      </c>
      <c r="BK42" s="28">
        <v>4</v>
      </c>
      <c r="BL42" s="28">
        <v>10</v>
      </c>
      <c r="BM42" s="28">
        <v>16</v>
      </c>
      <c r="BN42" s="74">
        <v>33</v>
      </c>
      <c r="BO42" s="28">
        <v>12</v>
      </c>
      <c r="BP42" s="28">
        <v>0</v>
      </c>
      <c r="BQ42" s="74">
        <v>4</v>
      </c>
      <c r="BR42" s="28">
        <f>(LAD_H119[[#This Row],[H]]-LAD_H119[[#This Row],[2B]]-LAD_H119[[#This Row],[3B]]-LAD_H119[[#This Row],[HR]])+(LAD_H119[[#This Row],[2B]]*2)+(LAD_H119[[#This Row],[3B]]*3)+(LAD_H119[[#This Row],[HR]]*4)</f>
        <v>64</v>
      </c>
      <c r="BS42" s="72">
        <f>IFERROR(LAD_H119[[#This Row],[OBP]]+LAD_H119[[#This Row],[SLG]],0)</f>
        <v>0.6999006066422182</v>
      </c>
      <c r="BT42" s="74">
        <v>1</v>
      </c>
      <c r="BU42" s="615">
        <v>8</v>
      </c>
    </row>
    <row r="43" spans="1:73">
      <c r="A43" s="720" t="s">
        <v>1171</v>
      </c>
      <c r="B43" s="71" t="s">
        <v>168</v>
      </c>
      <c r="C43" s="71" t="s">
        <v>1176</v>
      </c>
      <c r="D43" s="72">
        <f>IFERROR(LAD_H[[#This Row],[H]]/LAD_H[[#This Row],[AB]],0)</f>
        <v>0.17857142857142858</v>
      </c>
      <c r="E43" s="72">
        <f>IFERROR((LAD_H[[#This Row],[H]]+LAD_H[[#This Row],[BB]])/(LAD_H[[#This Row],[BB]]+LAD_H[[#This Row],[AB]]),0)</f>
        <v>0.23333333333333334</v>
      </c>
      <c r="F43" s="73">
        <f>IFERROR(((LAD_H[[#This Row],[H]]-LAD_H[[#This Row],[2B]]-LAD_H[[#This Row],[3B]]-LAD_H[[#This Row],[HR]])+(LAD_H[[#This Row],[2B]]*2)+(LAD_H[[#This Row],[3B]]*3)+(LAD_H[[#This Row],[HR]]*4))/LAD_H[[#This Row],[AB]],0)</f>
        <v>0.25</v>
      </c>
      <c r="G43" s="28">
        <v>23</v>
      </c>
      <c r="H43" s="28">
        <v>84</v>
      </c>
      <c r="I43" s="28">
        <v>8</v>
      </c>
      <c r="J43" s="28">
        <v>15</v>
      </c>
      <c r="K43" s="28">
        <v>6</v>
      </c>
      <c r="L43" s="28">
        <v>0</v>
      </c>
      <c r="M43" s="28">
        <v>0</v>
      </c>
      <c r="N43" s="28">
        <v>8</v>
      </c>
      <c r="O43" s="28">
        <v>6</v>
      </c>
      <c r="P43" s="74">
        <v>21</v>
      </c>
      <c r="Q43" s="28">
        <v>0</v>
      </c>
      <c r="R43" s="28">
        <v>0</v>
      </c>
      <c r="S43" s="74">
        <v>5</v>
      </c>
      <c r="T43" s="28">
        <f>IFERROR((LAD_H[[#This Row],[H]]-LAD_H[[#This Row],[2B]]-LAD_H[[#This Row],[3B]]-LAD_H[[#This Row],[HR]])+(LAD_H[[#This Row],[2B]]*2)+(LAD_H[[#This Row],[3B]]*3)+(LAD_H[[#This Row],[HR]]*4),0)</f>
        <v>21</v>
      </c>
      <c r="U43" s="72">
        <f>LAD_H[[#This Row],[OBP]]+LAD_H[[#This Row],[SLG]]</f>
        <v>0.48333333333333334</v>
      </c>
      <c r="V43" s="74">
        <v>1</v>
      </c>
      <c r="W43" s="615">
        <v>9</v>
      </c>
      <c r="Z43" s="651" t="s">
        <v>1171</v>
      </c>
      <c r="AA43" s="71" t="s">
        <v>168</v>
      </c>
      <c r="AB43" s="71" t="s">
        <v>1176</v>
      </c>
      <c r="AC43" s="72">
        <f>IFERROR(LAD_H112[[#This Row],[H]]/LAD_H112[[#This Row],[AB]],0)</f>
        <v>0.17757009345794392</v>
      </c>
      <c r="AD43" s="72">
        <f>IFERROR((LAD_H112[[#This Row],[H]]+LAD_H112[[#This Row],[BB]])/(LAD_H112[[#This Row],[BB]]+LAD_H112[[#This Row],[AB]]),0)</f>
        <v>0.29032258064516131</v>
      </c>
      <c r="AE43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0.38317757009345793</v>
      </c>
      <c r="AF43" s="28">
        <v>30</v>
      </c>
      <c r="AG43" s="28">
        <v>107</v>
      </c>
      <c r="AH43" s="28">
        <v>12</v>
      </c>
      <c r="AI43" s="28">
        <v>19</v>
      </c>
      <c r="AJ43" s="28">
        <v>7</v>
      </c>
      <c r="AK43" s="28">
        <v>0</v>
      </c>
      <c r="AL43" s="28">
        <v>5</v>
      </c>
      <c r="AM43" s="28">
        <v>12</v>
      </c>
      <c r="AN43" s="28">
        <v>17</v>
      </c>
      <c r="AO43" s="74">
        <v>24</v>
      </c>
      <c r="AP43" s="28">
        <v>0</v>
      </c>
      <c r="AQ43" s="28">
        <v>2</v>
      </c>
      <c r="AR43" s="74">
        <v>3</v>
      </c>
      <c r="AS43" s="28">
        <f>IFERROR((LAD_H112[[#This Row],[H]]-LAD_H112[[#This Row],[2B]]-LAD_H112[[#This Row],[3B]]-LAD_H112[[#This Row],[HR]])+(LAD_H112[[#This Row],[2B]]*2)+(LAD_H112[[#This Row],[3B]]*3)+(LAD_H112[[#This Row],[HR]]*4),0)</f>
        <v>41</v>
      </c>
      <c r="AT43" s="72">
        <f>LAD_H112[[#This Row],[OBP]]+LAD_H112[[#This Row],[SLG]]</f>
        <v>0.67350015073861924</v>
      </c>
      <c r="AU43" s="74">
        <v>1</v>
      </c>
      <c r="AV43" s="615">
        <v>9</v>
      </c>
      <c r="AY43" s="651" t="s">
        <v>1171</v>
      </c>
      <c r="AZ43" s="74" t="s">
        <v>168</v>
      </c>
      <c r="BA43" s="71" t="s">
        <v>1176</v>
      </c>
      <c r="BB43" s="72">
        <f>IFERROR(LAD_H119[[#This Row],[H]]/LAD_H119[[#This Row],[AB]],0)</f>
        <v>0.27536231884057971</v>
      </c>
      <c r="BC43" s="72">
        <f>IFERROR((LAD_H119[[#This Row],[BB]]+LAD_H119[[#This Row],[H]])/(LAD_H119[[#This Row],[AB]]+LAD_H119[[#This Row],[BB]]),0)</f>
        <v>0.35483870967741937</v>
      </c>
      <c r="BD43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0.38405797101449274</v>
      </c>
      <c r="BE43" s="28">
        <v>39</v>
      </c>
      <c r="BF43" s="28">
        <v>138</v>
      </c>
      <c r="BG43" s="28">
        <v>15</v>
      </c>
      <c r="BH43" s="28">
        <v>38</v>
      </c>
      <c r="BI43" s="28">
        <v>6</v>
      </c>
      <c r="BJ43" s="28">
        <v>0</v>
      </c>
      <c r="BK43" s="28">
        <v>3</v>
      </c>
      <c r="BL43" s="28">
        <v>15</v>
      </c>
      <c r="BM43" s="28">
        <v>17</v>
      </c>
      <c r="BN43" s="74">
        <v>42</v>
      </c>
      <c r="BO43" s="28">
        <v>0</v>
      </c>
      <c r="BP43" s="28">
        <v>0</v>
      </c>
      <c r="BQ43" s="74">
        <v>9</v>
      </c>
      <c r="BR43" s="28">
        <f>(LAD_H119[[#This Row],[H]]-LAD_H119[[#This Row],[2B]]-LAD_H119[[#This Row],[3B]]-LAD_H119[[#This Row],[HR]])+(LAD_H119[[#This Row],[2B]]*2)+(LAD_H119[[#This Row],[3B]]*3)+(LAD_H119[[#This Row],[HR]]*4)</f>
        <v>53</v>
      </c>
      <c r="BS43" s="72">
        <f>IFERROR(LAD_H119[[#This Row],[OBP]]+LAD_H119[[#This Row],[SLG]],0)</f>
        <v>0.73889668069191217</v>
      </c>
      <c r="BT43" s="74">
        <v>1</v>
      </c>
      <c r="BU43" s="615">
        <v>9</v>
      </c>
    </row>
    <row r="44" spans="1:73">
      <c r="A44" s="720" t="s">
        <v>1171</v>
      </c>
      <c r="B44" s="71" t="s">
        <v>179</v>
      </c>
      <c r="C44" s="71" t="s">
        <v>1181</v>
      </c>
      <c r="D44" s="72">
        <f>IFERROR(LAD_H[[#This Row],[H]]/LAD_H[[#This Row],[AB]],0)</f>
        <v>0.2608695652173913</v>
      </c>
      <c r="E44" s="72">
        <f>IFERROR((LAD_H[[#This Row],[H]]+LAD_H[[#This Row],[BB]])/(LAD_H[[#This Row],[BB]]+LAD_H[[#This Row],[AB]]),0)</f>
        <v>0.32</v>
      </c>
      <c r="F44" s="73">
        <f>IFERROR(((LAD_H[[#This Row],[H]]-LAD_H[[#This Row],[2B]]-LAD_H[[#This Row],[3B]]-LAD_H[[#This Row],[HR]])+(LAD_H[[#This Row],[2B]]*2)+(LAD_H[[#This Row],[3B]]*3)+(LAD_H[[#This Row],[HR]]*4))/LAD_H[[#This Row],[AB]],0)</f>
        <v>0.39130434782608697</v>
      </c>
      <c r="G44" s="28">
        <v>8</v>
      </c>
      <c r="H44" s="28">
        <v>23</v>
      </c>
      <c r="I44" s="28">
        <v>4</v>
      </c>
      <c r="J44" s="28">
        <v>6</v>
      </c>
      <c r="K44" s="28">
        <v>0</v>
      </c>
      <c r="L44" s="28">
        <v>0</v>
      </c>
      <c r="M44" s="28">
        <v>1</v>
      </c>
      <c r="N44" s="28">
        <v>1</v>
      </c>
      <c r="O44" s="28">
        <v>2</v>
      </c>
      <c r="P44" s="74">
        <v>6</v>
      </c>
      <c r="Q44" s="28">
        <v>0</v>
      </c>
      <c r="R44" s="28">
        <v>3</v>
      </c>
      <c r="S44" s="74">
        <v>3</v>
      </c>
      <c r="T44" s="28">
        <f>IFERROR((LAD_H[[#This Row],[H]]-LAD_H[[#This Row],[2B]]-LAD_H[[#This Row],[3B]]-LAD_H[[#This Row],[HR]])+(LAD_H[[#This Row],[2B]]*2)+(LAD_H[[#This Row],[3B]]*3)+(LAD_H[[#This Row],[HR]]*4),0)</f>
        <v>9</v>
      </c>
      <c r="U44" s="72">
        <f>LAD_H[[#This Row],[OBP]]+LAD_H[[#This Row],[SLG]]</f>
        <v>0.71130434782608698</v>
      </c>
      <c r="V44" s="74">
        <v>0</v>
      </c>
      <c r="W44" s="615">
        <v>10</v>
      </c>
      <c r="Z44" s="651" t="s">
        <v>1171</v>
      </c>
      <c r="AA44" s="71" t="s">
        <v>179</v>
      </c>
      <c r="AB44" s="71" t="s">
        <v>1181</v>
      </c>
      <c r="AC44" s="72">
        <f>IFERROR(LAD_H112[[#This Row],[H]]/LAD_H112[[#This Row],[AB]],0)</f>
        <v>0</v>
      </c>
      <c r="AD44" s="72">
        <f>IFERROR((LAD_H112[[#This Row],[H]]+LAD_H112[[#This Row],[BB]])/(LAD_H112[[#This Row],[BB]]+LAD_H112[[#This Row],[AB]]),0)</f>
        <v>0.25</v>
      </c>
      <c r="AE44" s="73">
        <f>IFERROR(((LAD_H112[[#This Row],[H]]-LAD_H112[[#This Row],[2B]]-LAD_H112[[#This Row],[3B]]-LAD_H112[[#This Row],[HR]])+(LAD_H112[[#This Row],[2B]]*2)+(LAD_H112[[#This Row],[3B]]*3)+(LAD_H112[[#This Row],[HR]]*4))/LAD_H112[[#This Row],[AB]],0)</f>
        <v>0</v>
      </c>
      <c r="AF44" s="28">
        <v>4</v>
      </c>
      <c r="AG44" s="28">
        <v>6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1</v>
      </c>
      <c r="AN44" s="28">
        <v>2</v>
      </c>
      <c r="AO44" s="74">
        <v>2</v>
      </c>
      <c r="AP44" s="28">
        <v>0</v>
      </c>
      <c r="AQ44" s="28">
        <v>0</v>
      </c>
      <c r="AR44" s="74">
        <v>0</v>
      </c>
      <c r="AS44" s="28">
        <f>IFERROR((LAD_H112[[#This Row],[H]]-LAD_H112[[#This Row],[2B]]-LAD_H112[[#This Row],[3B]]-LAD_H112[[#This Row],[HR]])+(LAD_H112[[#This Row],[2B]]*2)+(LAD_H112[[#This Row],[3B]]*3)+(LAD_H112[[#This Row],[HR]]*4),0)</f>
        <v>0</v>
      </c>
      <c r="AT44" s="72">
        <f>LAD_H112[[#This Row],[OBP]]+LAD_H112[[#This Row],[SLG]]</f>
        <v>0.25</v>
      </c>
      <c r="AU44" s="74">
        <v>0</v>
      </c>
      <c r="AV44" s="615">
        <v>10</v>
      </c>
      <c r="AY44" s="651" t="s">
        <v>1171</v>
      </c>
      <c r="AZ44" s="74" t="s">
        <v>179</v>
      </c>
      <c r="BA44" s="71" t="s">
        <v>1181</v>
      </c>
      <c r="BB44" s="72">
        <f>IFERROR(LAD_H119[[#This Row],[H]]/LAD_H119[[#This Row],[AB]],0)</f>
        <v>0.375</v>
      </c>
      <c r="BC44" s="72">
        <f>IFERROR((LAD_H119[[#This Row],[BB]]+LAD_H119[[#This Row],[H]])/(LAD_H119[[#This Row],[AB]]+LAD_H119[[#This Row],[BB]]),0)</f>
        <v>0.44444444444444442</v>
      </c>
      <c r="BD44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0.75</v>
      </c>
      <c r="BE44" s="28">
        <v>4</v>
      </c>
      <c r="BF44" s="90">
        <v>8</v>
      </c>
      <c r="BG44" s="28">
        <v>1</v>
      </c>
      <c r="BH44" s="28">
        <v>3</v>
      </c>
      <c r="BI44" s="28">
        <v>0</v>
      </c>
      <c r="BJ44" s="28">
        <v>0</v>
      </c>
      <c r="BK44" s="28">
        <v>1</v>
      </c>
      <c r="BL44" s="28">
        <v>1</v>
      </c>
      <c r="BM44" s="28">
        <v>1</v>
      </c>
      <c r="BN44" s="74">
        <v>2</v>
      </c>
      <c r="BO44" s="28">
        <v>0</v>
      </c>
      <c r="BP44" s="28">
        <v>2</v>
      </c>
      <c r="BQ44" s="74">
        <v>2</v>
      </c>
      <c r="BR44" s="28">
        <f>(LAD_H119[[#This Row],[H]]-LAD_H119[[#This Row],[2B]]-LAD_H119[[#This Row],[3B]]-LAD_H119[[#This Row],[HR]])+(LAD_H119[[#This Row],[2B]]*2)+(LAD_H119[[#This Row],[3B]]*3)+(LAD_H119[[#This Row],[HR]]*4)</f>
        <v>6</v>
      </c>
      <c r="BS44" s="72">
        <f>IFERROR(LAD_H119[[#This Row],[OBP]]+LAD_H119[[#This Row],[SLG]],0)</f>
        <v>1.1944444444444444</v>
      </c>
      <c r="BT44" s="74">
        <v>0</v>
      </c>
      <c r="BU44" s="615">
        <v>10</v>
      </c>
    </row>
    <row r="45" spans="1:73">
      <c r="A45" s="720" t="s">
        <v>1171</v>
      </c>
      <c r="B45" s="71" t="s">
        <v>187</v>
      </c>
      <c r="C45" s="71" t="s">
        <v>1178</v>
      </c>
      <c r="D45" s="72">
        <f>IFERROR(LAD_H[[#This Row],[H]]/LAD_H[[#This Row],[AB]],0)</f>
        <v>0.30188679245283018</v>
      </c>
      <c r="E45" s="72">
        <f>IFERROR((LAD_H[[#This Row],[H]]+LAD_H[[#This Row],[BB]])/(LAD_H[[#This Row],[BB]]+LAD_H[[#This Row],[AB]]),0)</f>
        <v>0.3392857142857143</v>
      </c>
      <c r="F45" s="73">
        <f>IFERROR(((LAD_H[[#This Row],[H]]-LAD_H[[#This Row],[2B]]-LAD_H[[#This Row],[3B]]-LAD_H[[#This Row],[HR]])+(LAD_H[[#This Row],[2B]]*2)+(LAD_H[[#This Row],[3B]]*3)+(LAD_H[[#This Row],[HR]]*4))/LAD_H[[#This Row],[AB]],0)</f>
        <v>0.43396226415094341</v>
      </c>
      <c r="G45" s="28">
        <v>16</v>
      </c>
      <c r="H45" s="28">
        <v>53</v>
      </c>
      <c r="I45" s="28">
        <v>5</v>
      </c>
      <c r="J45" s="28">
        <v>16</v>
      </c>
      <c r="K45" s="28">
        <v>4</v>
      </c>
      <c r="L45" s="28">
        <v>0</v>
      </c>
      <c r="M45" s="28">
        <v>1</v>
      </c>
      <c r="N45" s="28">
        <v>6</v>
      </c>
      <c r="O45" s="28">
        <v>3</v>
      </c>
      <c r="P45" s="74">
        <v>10</v>
      </c>
      <c r="Q45" s="28">
        <v>0</v>
      </c>
      <c r="R45" s="28">
        <v>7</v>
      </c>
      <c r="S45" s="74">
        <v>7</v>
      </c>
      <c r="T45" s="28">
        <f>IFERROR((LAD_H[[#This Row],[H]]-LAD_H[[#This Row],[2B]]-LAD_H[[#This Row],[3B]]-LAD_H[[#This Row],[HR]])+(LAD_H[[#This Row],[2B]]*2)+(LAD_H[[#This Row],[3B]]*3)+(LAD_H[[#This Row],[HR]]*4),0)</f>
        <v>23</v>
      </c>
      <c r="U45" s="72">
        <f>LAD_H[[#This Row],[OBP]]+LAD_H[[#This Row],[SLG]]</f>
        <v>0.77324797843665771</v>
      </c>
      <c r="V45" s="74">
        <v>2</v>
      </c>
      <c r="W45" s="615">
        <v>11</v>
      </c>
      <c r="Z45" s="651" t="s">
        <v>1171</v>
      </c>
      <c r="AA45" s="71" t="s">
        <v>187</v>
      </c>
      <c r="AB45" s="71" t="s">
        <v>1178</v>
      </c>
      <c r="AC45" s="72">
        <f>IFERROR(LAD_H112[[#This Row],[H]]/LAD_H112[[#This Row],[AB]],0)</f>
        <v>0.1</v>
      </c>
      <c r="AD45" s="72">
        <f>IFERROR((LAD_H112[[#This Row],[H]]+LAD_H112[[#This Row],[BB]])/(LAD_H112[[#This Row],[BB]]+LAD_H112[[#This Row],[AB]]),0)</f>
        <v>0.18181818181818182</v>
      </c>
      <c r="AE45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0.1</v>
      </c>
      <c r="AF45" s="28">
        <v>4</v>
      </c>
      <c r="AG45" s="28">
        <v>10</v>
      </c>
      <c r="AH45" s="28">
        <v>0</v>
      </c>
      <c r="AI45" s="28">
        <v>1</v>
      </c>
      <c r="AJ45" s="28">
        <v>0</v>
      </c>
      <c r="AK45" s="28">
        <v>0</v>
      </c>
      <c r="AL45" s="28">
        <v>0</v>
      </c>
      <c r="AM45" s="28">
        <v>0</v>
      </c>
      <c r="AN45" s="28">
        <v>1</v>
      </c>
      <c r="AO45" s="74">
        <v>4</v>
      </c>
      <c r="AP45" s="28">
        <v>0</v>
      </c>
      <c r="AQ45" s="28">
        <v>0</v>
      </c>
      <c r="AR45" s="74">
        <v>1</v>
      </c>
      <c r="AS45" s="28">
        <f>IFERROR((LAD_H112[[#This Row],[H]]-LAD_H112[[#This Row],[2B]]-LAD_H112[[#This Row],[3B]]-LAD_H112[[#This Row],[HR]])+(LAD_H112[[#This Row],[2B]]*2)+(LAD_H112[[#This Row],[3B]]*3)+(LAD_H112[[#This Row],[HR]]*4),0)</f>
        <v>1</v>
      </c>
      <c r="AT45" s="72">
        <f>LAD_H112[[#This Row],[OBP]]+LAD_H112[[#This Row],[SLG]]</f>
        <v>0.28181818181818186</v>
      </c>
      <c r="AU45" s="74">
        <v>0</v>
      </c>
      <c r="AV45" s="615">
        <v>11</v>
      </c>
      <c r="AY45" s="651" t="s">
        <v>1171</v>
      </c>
      <c r="AZ45" s="74" t="s">
        <v>192</v>
      </c>
      <c r="BA45" s="71" t="s">
        <v>1183</v>
      </c>
      <c r="BB45" s="72">
        <f>IFERROR(LAD_H119[[#This Row],[H]]/LAD_H119[[#This Row],[AB]],0)</f>
        <v>0.33333333333333331</v>
      </c>
      <c r="BC45" s="72">
        <f>IFERROR((LAD_H119[[#This Row],[BB]]+LAD_H119[[#This Row],[H]])/(LAD_H119[[#This Row],[AB]]+LAD_H119[[#This Row],[BB]]),0)</f>
        <v>0.33333333333333331</v>
      </c>
      <c r="BD45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0.33333333333333331</v>
      </c>
      <c r="BE45" s="28">
        <v>2</v>
      </c>
      <c r="BF45" s="90">
        <v>6</v>
      </c>
      <c r="BG45" s="28">
        <v>0</v>
      </c>
      <c r="BH45" s="28">
        <v>2</v>
      </c>
      <c r="BI45" s="28">
        <v>0</v>
      </c>
      <c r="BJ45" s="28">
        <v>0</v>
      </c>
      <c r="BK45" s="28">
        <v>0</v>
      </c>
      <c r="BL45" s="28">
        <v>1</v>
      </c>
      <c r="BM45" s="28">
        <v>0</v>
      </c>
      <c r="BN45" s="74">
        <v>2</v>
      </c>
      <c r="BO45" s="28">
        <v>0</v>
      </c>
      <c r="BP45" s="28">
        <v>1</v>
      </c>
      <c r="BQ45" s="74">
        <v>1</v>
      </c>
      <c r="BR45" s="28">
        <f>(LAD_H119[[#This Row],[H]]-LAD_H119[[#This Row],[2B]]-LAD_H119[[#This Row],[3B]]-LAD_H119[[#This Row],[HR]])+(LAD_H119[[#This Row],[2B]]*2)+(LAD_H119[[#This Row],[3B]]*3)+(LAD_H119[[#This Row],[HR]]*4)</f>
        <v>2</v>
      </c>
      <c r="BS45" s="72">
        <f>IFERROR(LAD_H119[[#This Row],[OBP]]+LAD_H119[[#This Row],[SLG]],0)</f>
        <v>0.66666666666666663</v>
      </c>
      <c r="BT45" s="74">
        <v>0</v>
      </c>
      <c r="BU45" s="615">
        <v>11</v>
      </c>
    </row>
    <row r="46" spans="1:73">
      <c r="A46" s="720" t="s">
        <v>1171</v>
      </c>
      <c r="B46" s="71" t="s">
        <v>187</v>
      </c>
      <c r="C46" s="71" t="s">
        <v>930</v>
      </c>
      <c r="D46" s="72">
        <f>IFERROR(LAD_H[[#This Row],[H]]/LAD_H[[#This Row],[AB]],0)</f>
        <v>0.14285714285714285</v>
      </c>
      <c r="E46" s="72">
        <f>IFERROR((LAD_H[[#This Row],[H]]+LAD_H[[#This Row],[BB]])/(LAD_H[[#This Row],[BB]]+LAD_H[[#This Row],[AB]]),0)</f>
        <v>0.14285714285714285</v>
      </c>
      <c r="F46" s="73">
        <f>IFERROR(((LAD_H[[#This Row],[H]]-LAD_H[[#This Row],[2B]]-LAD_H[[#This Row],[3B]]-LAD_H[[#This Row],[HR]])+(LAD_H[[#This Row],[2B]]*2)+(LAD_H[[#This Row],[3B]]*3)+(LAD_H[[#This Row],[HR]]*4))/LAD_H[[#This Row],[AB]],0)</f>
        <v>0.2857142857142857</v>
      </c>
      <c r="G46" s="28">
        <v>8</v>
      </c>
      <c r="H46" s="28">
        <v>28</v>
      </c>
      <c r="I46" s="28">
        <v>2</v>
      </c>
      <c r="J46" s="28">
        <v>4</v>
      </c>
      <c r="K46" s="28">
        <v>1</v>
      </c>
      <c r="L46" s="28">
        <v>0</v>
      </c>
      <c r="M46" s="28">
        <v>1</v>
      </c>
      <c r="N46" s="28">
        <v>2</v>
      </c>
      <c r="O46" s="28">
        <v>0</v>
      </c>
      <c r="P46" s="74">
        <v>10</v>
      </c>
      <c r="Q46" s="28">
        <v>0</v>
      </c>
      <c r="R46" s="28">
        <v>1</v>
      </c>
      <c r="S46" s="74">
        <v>2</v>
      </c>
      <c r="T46" s="28">
        <f>IFERROR((LAD_H[[#This Row],[H]]-LAD_H[[#This Row],[2B]]-LAD_H[[#This Row],[3B]]-LAD_H[[#This Row],[HR]])+(LAD_H[[#This Row],[2B]]*2)+(LAD_H[[#This Row],[3B]]*3)+(LAD_H[[#This Row],[HR]]*4),0)</f>
        <v>8</v>
      </c>
      <c r="U46" s="72">
        <f>LAD_H[[#This Row],[OBP]]+LAD_H[[#This Row],[SLG]]</f>
        <v>0.42857142857142855</v>
      </c>
      <c r="V46" s="74">
        <v>0</v>
      </c>
      <c r="W46" s="615">
        <v>12</v>
      </c>
      <c r="Z46" s="651" t="s">
        <v>1171</v>
      </c>
      <c r="AA46" s="71" t="s">
        <v>187</v>
      </c>
      <c r="AB46" s="71" t="s">
        <v>930</v>
      </c>
      <c r="AC46" s="72">
        <f>IFERROR(LAD_H112[[#This Row],[H]]/LAD_H112[[#This Row],[AB]],0)</f>
        <v>0.28000000000000003</v>
      </c>
      <c r="AD46" s="72">
        <f>IFERROR((LAD_H112[[#This Row],[H]]+LAD_H112[[#This Row],[BB]])/(LAD_H112[[#This Row],[BB]]+LAD_H112[[#This Row],[AB]]),0)</f>
        <v>0.33333333333333331</v>
      </c>
      <c r="AE46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0.48</v>
      </c>
      <c r="AF46" s="28">
        <v>9</v>
      </c>
      <c r="AG46" s="28">
        <v>25</v>
      </c>
      <c r="AH46" s="28">
        <v>3</v>
      </c>
      <c r="AI46" s="28">
        <v>7</v>
      </c>
      <c r="AJ46" s="28">
        <v>5</v>
      </c>
      <c r="AK46" s="28">
        <v>0</v>
      </c>
      <c r="AL46" s="28">
        <v>0</v>
      </c>
      <c r="AM46" s="28">
        <v>3</v>
      </c>
      <c r="AN46" s="28">
        <v>2</v>
      </c>
      <c r="AO46" s="74">
        <v>6</v>
      </c>
      <c r="AP46" s="28">
        <v>0</v>
      </c>
      <c r="AQ46" s="28">
        <v>3</v>
      </c>
      <c r="AR46" s="74">
        <v>3</v>
      </c>
      <c r="AS46" s="28">
        <f>IFERROR((LAD_H112[[#This Row],[H]]-LAD_H112[[#This Row],[2B]]-LAD_H112[[#This Row],[3B]]-LAD_H112[[#This Row],[HR]])+(LAD_H112[[#This Row],[2B]]*2)+(LAD_H112[[#This Row],[3B]]*3)+(LAD_H112[[#This Row],[HR]]*4),0)</f>
        <v>12</v>
      </c>
      <c r="AT46" s="72">
        <f>LAD_H112[[#This Row],[OBP]]+LAD_H112[[#This Row],[SLG]]</f>
        <v>0.81333333333333324</v>
      </c>
      <c r="AU46" s="74">
        <v>0</v>
      </c>
      <c r="AV46" s="615">
        <v>12</v>
      </c>
      <c r="AY46" s="651" t="s">
        <v>1171</v>
      </c>
      <c r="AZ46" s="74" t="s">
        <v>2169</v>
      </c>
      <c r="BA46" s="71" t="s">
        <v>930</v>
      </c>
      <c r="BB46" s="72">
        <f>IFERROR(LAD_H119[[#This Row],[H]]/LAD_H119[[#This Row],[AB]],0)</f>
        <v>0.28205128205128205</v>
      </c>
      <c r="BC46" s="72">
        <f>IFERROR((LAD_H119[[#This Row],[BB]]+LAD_H119[[#This Row],[H]])/(LAD_H119[[#This Row],[AB]]+LAD_H119[[#This Row],[BB]]),0)</f>
        <v>0.34883720930232559</v>
      </c>
      <c r="BD46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0.30769230769230771</v>
      </c>
      <c r="BE46" s="28">
        <v>16</v>
      </c>
      <c r="BF46" s="28">
        <v>39</v>
      </c>
      <c r="BG46" s="28">
        <v>2</v>
      </c>
      <c r="BH46" s="28">
        <v>11</v>
      </c>
      <c r="BI46" s="28">
        <v>1</v>
      </c>
      <c r="BJ46" s="28">
        <v>0</v>
      </c>
      <c r="BK46" s="28">
        <v>0</v>
      </c>
      <c r="BL46" s="28">
        <v>1</v>
      </c>
      <c r="BM46" s="28">
        <v>4</v>
      </c>
      <c r="BN46" s="74">
        <v>5</v>
      </c>
      <c r="BO46" s="28">
        <v>0</v>
      </c>
      <c r="BP46" s="28">
        <v>4</v>
      </c>
      <c r="BQ46" s="74">
        <v>5</v>
      </c>
      <c r="BR46" s="28">
        <f>(LAD_H119[[#This Row],[H]]-LAD_H119[[#This Row],[2B]]-LAD_H119[[#This Row],[3B]]-LAD_H119[[#This Row],[HR]])+(LAD_H119[[#This Row],[2B]]*2)+(LAD_H119[[#This Row],[3B]]*3)+(LAD_H119[[#This Row],[HR]]*4)</f>
        <v>12</v>
      </c>
      <c r="BS46" s="72">
        <f>IFERROR(LAD_H119[[#This Row],[OBP]]+LAD_H119[[#This Row],[SLG]],0)</f>
        <v>0.65652951699463324</v>
      </c>
      <c r="BT46" s="74">
        <v>0</v>
      </c>
      <c r="BU46" s="615">
        <v>12</v>
      </c>
    </row>
    <row r="47" spans="1:73">
      <c r="A47" s="720" t="s">
        <v>1171</v>
      </c>
      <c r="B47" s="71" t="s">
        <v>184</v>
      </c>
      <c r="C47" s="71" t="s">
        <v>1180</v>
      </c>
      <c r="D47" s="72">
        <f>IFERROR(LAD_H[[#This Row],[H]]/LAD_H[[#This Row],[AB]],0)</f>
        <v>0.18333333333333332</v>
      </c>
      <c r="E47" s="72">
        <f>IFERROR((LAD_H[[#This Row],[H]]+LAD_H[[#This Row],[BB]])/(LAD_H[[#This Row],[BB]]+LAD_H[[#This Row],[AB]]),0)</f>
        <v>0.22222222222222221</v>
      </c>
      <c r="F47" s="73">
        <f>IFERROR(((LAD_H[[#This Row],[H]]-LAD_H[[#This Row],[2B]]-LAD_H[[#This Row],[3B]]-LAD_H[[#This Row],[HR]])+(LAD_H[[#This Row],[2B]]*2)+(LAD_H[[#This Row],[3B]]*3)+(LAD_H[[#This Row],[HR]]*4))/LAD_H[[#This Row],[AB]],0)</f>
        <v>0.25</v>
      </c>
      <c r="G47" s="28">
        <v>19</v>
      </c>
      <c r="H47" s="90">
        <v>60</v>
      </c>
      <c r="I47" s="28">
        <v>3</v>
      </c>
      <c r="J47" s="28">
        <v>11</v>
      </c>
      <c r="K47" s="28">
        <v>1</v>
      </c>
      <c r="L47" s="28">
        <v>0</v>
      </c>
      <c r="M47" s="28">
        <v>1</v>
      </c>
      <c r="N47" s="28">
        <v>2</v>
      </c>
      <c r="O47" s="28">
        <v>3</v>
      </c>
      <c r="P47" s="74">
        <v>19</v>
      </c>
      <c r="Q47" s="28">
        <v>0</v>
      </c>
      <c r="R47" s="28">
        <v>6</v>
      </c>
      <c r="S47" s="74">
        <v>6</v>
      </c>
      <c r="T47" s="28">
        <f>IFERROR((LAD_H[[#This Row],[H]]-LAD_H[[#This Row],[2B]]-LAD_H[[#This Row],[3B]]-LAD_H[[#This Row],[HR]])+(LAD_H[[#This Row],[2B]]*2)+(LAD_H[[#This Row],[3B]]*3)+(LAD_H[[#This Row],[HR]]*4),0)</f>
        <v>15</v>
      </c>
      <c r="U47" s="72">
        <f>LAD_H[[#This Row],[OBP]]+LAD_H[[#This Row],[SLG]]</f>
        <v>0.47222222222222221</v>
      </c>
      <c r="V47" s="74">
        <v>1</v>
      </c>
      <c r="W47" s="615">
        <v>13</v>
      </c>
      <c r="Z47" s="651" t="s">
        <v>1171</v>
      </c>
      <c r="AA47" s="71" t="s">
        <v>186</v>
      </c>
      <c r="AB47" s="71" t="s">
        <v>1177</v>
      </c>
      <c r="AC47" s="72">
        <f>IFERROR(LAD_H112[[#This Row],[H]]/LAD_H112[[#This Row],[AB]],0)</f>
        <v>0.18181818181818182</v>
      </c>
      <c r="AD47" s="72">
        <f>IFERROR((LAD_H112[[#This Row],[H]]+LAD_H112[[#This Row],[BB]])/(LAD_H112[[#This Row],[BB]]+LAD_H112[[#This Row],[AB]]),0)</f>
        <v>0.27027027027027029</v>
      </c>
      <c r="AE47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0.27272727272727271</v>
      </c>
      <c r="AF47" s="28">
        <v>11</v>
      </c>
      <c r="AG47" s="28">
        <v>33</v>
      </c>
      <c r="AH47" s="28">
        <v>4</v>
      </c>
      <c r="AI47" s="28">
        <v>6</v>
      </c>
      <c r="AJ47" s="28">
        <v>0</v>
      </c>
      <c r="AK47" s="28">
        <v>0</v>
      </c>
      <c r="AL47" s="28">
        <v>1</v>
      </c>
      <c r="AM47" s="28">
        <v>4</v>
      </c>
      <c r="AN47" s="28">
        <v>4</v>
      </c>
      <c r="AO47" s="74">
        <v>9</v>
      </c>
      <c r="AP47" s="28">
        <v>0</v>
      </c>
      <c r="AQ47" s="28">
        <v>1</v>
      </c>
      <c r="AR47" s="74">
        <v>2</v>
      </c>
      <c r="AS47" s="28">
        <f>IFERROR((LAD_H112[[#This Row],[H]]-LAD_H112[[#This Row],[2B]]-LAD_H112[[#This Row],[3B]]-LAD_H112[[#This Row],[HR]])+(LAD_H112[[#This Row],[2B]]*2)+(LAD_H112[[#This Row],[3B]]*3)+(LAD_H112[[#This Row],[HR]]*4),0)</f>
        <v>9</v>
      </c>
      <c r="AT47" s="72">
        <f>LAD_H112[[#This Row],[OBP]]+LAD_H112[[#This Row],[SLG]]</f>
        <v>0.54299754299754299</v>
      </c>
      <c r="AU47" s="74">
        <v>0</v>
      </c>
      <c r="AV47" s="615">
        <v>13</v>
      </c>
      <c r="AY47" s="651" t="s">
        <v>1171</v>
      </c>
      <c r="AZ47" s="74" t="s">
        <v>186</v>
      </c>
      <c r="BA47" s="71" t="s">
        <v>1177</v>
      </c>
      <c r="BB47" s="72">
        <f>IFERROR(LAD_H119[[#This Row],[H]]/LAD_H119[[#This Row],[AB]],0)</f>
        <v>0.27586206896551724</v>
      </c>
      <c r="BC47" s="72">
        <f>IFERROR((LAD_H119[[#This Row],[BB]]+LAD_H119[[#This Row],[H]])/(LAD_H119[[#This Row],[AB]]+LAD_H119[[#This Row],[BB]]),0)</f>
        <v>0.31147540983606559</v>
      </c>
      <c r="BD47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0.46551724137931033</v>
      </c>
      <c r="BE47" s="28">
        <v>19</v>
      </c>
      <c r="BF47" s="28">
        <v>58</v>
      </c>
      <c r="BG47" s="28">
        <v>6</v>
      </c>
      <c r="BH47" s="28">
        <v>16</v>
      </c>
      <c r="BI47" s="28">
        <v>2</v>
      </c>
      <c r="BJ47" s="28">
        <v>0</v>
      </c>
      <c r="BK47" s="28">
        <v>3</v>
      </c>
      <c r="BL47" s="28">
        <v>9</v>
      </c>
      <c r="BM47" s="28">
        <v>3</v>
      </c>
      <c r="BN47" s="74">
        <v>17</v>
      </c>
      <c r="BO47" s="28">
        <v>0</v>
      </c>
      <c r="BP47" s="28">
        <v>4</v>
      </c>
      <c r="BQ47" s="74">
        <v>4</v>
      </c>
      <c r="BR47" s="28">
        <f>(LAD_H119[[#This Row],[H]]-LAD_H119[[#This Row],[2B]]-LAD_H119[[#This Row],[3B]]-LAD_H119[[#This Row],[HR]])+(LAD_H119[[#This Row],[2B]]*2)+(LAD_H119[[#This Row],[3B]]*3)+(LAD_H119[[#This Row],[HR]]*4)</f>
        <v>27</v>
      </c>
      <c r="BS47" s="72">
        <f>IFERROR(LAD_H119[[#This Row],[OBP]]+LAD_H119[[#This Row],[SLG]],0)</f>
        <v>0.77699265121537597</v>
      </c>
      <c r="BT47" s="74">
        <v>2</v>
      </c>
      <c r="BU47" s="615">
        <v>13</v>
      </c>
    </row>
    <row r="48" spans="1:73" ht="17" thickBot="1">
      <c r="A48" s="720" t="s">
        <v>1171</v>
      </c>
      <c r="B48" s="71" t="s">
        <v>184</v>
      </c>
      <c r="C48" s="71" t="s">
        <v>1182</v>
      </c>
      <c r="D48" s="72">
        <f>IFERROR(LAD_H[[#This Row],[H]]/LAD_H[[#This Row],[AB]],0)</f>
        <v>0</v>
      </c>
      <c r="E48" s="72">
        <f>IFERROR((LAD_H[[#This Row],[H]]+LAD_H[[#This Row],[BB]])/(LAD_H[[#This Row],[BB]]+LAD_H[[#This Row],[AB]]),0)</f>
        <v>0</v>
      </c>
      <c r="F48" s="73">
        <f>IFERROR(((LAD_H[[#This Row],[H]]-LAD_H[[#This Row],[2B]]-LAD_H[[#This Row],[3B]]-LAD_H[[#This Row],[HR]])+(LAD_H[[#This Row],[2B]]*2)+(LAD_H[[#This Row],[3B]]*3)+(LAD_H[[#This Row],[HR]]*4))/LAD_H[[#This Row],[AB]],0)</f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74">
        <v>0</v>
      </c>
      <c r="Q48" s="28">
        <v>0</v>
      </c>
      <c r="R48" s="28">
        <v>0</v>
      </c>
      <c r="S48" s="74">
        <v>0</v>
      </c>
      <c r="T48" s="28">
        <f>IFERROR((LAD_H[[#This Row],[H]]-LAD_H[[#This Row],[2B]]-LAD_H[[#This Row],[3B]]-LAD_H[[#This Row],[HR]])+(LAD_H[[#This Row],[2B]]*2)+(LAD_H[[#This Row],[3B]]*3)+(LAD_H[[#This Row],[HR]]*4),0)</f>
        <v>0</v>
      </c>
      <c r="U48" s="72">
        <f>LAD_H[[#This Row],[OBP]]+LAD_H[[#This Row],[SLG]]</f>
        <v>0</v>
      </c>
      <c r="V48" s="74">
        <v>0</v>
      </c>
      <c r="W48" s="615">
        <v>14</v>
      </c>
      <c r="Z48" s="651" t="s">
        <v>1171</v>
      </c>
      <c r="AA48" s="71" t="s">
        <v>186</v>
      </c>
      <c r="AB48" s="71" t="s">
        <v>1179</v>
      </c>
      <c r="AC48" s="72">
        <f>IFERROR(LAD_H112[[#This Row],[H]]/LAD_H112[[#This Row],[AB]],0)</f>
        <v>0.34285714285714286</v>
      </c>
      <c r="AD48" s="72">
        <f>IFERROR((LAD_H112[[#This Row],[H]]+LAD_H112[[#This Row],[BB]])/(LAD_H112[[#This Row],[BB]]+LAD_H112[[#This Row],[AB]]),0)</f>
        <v>0.45238095238095238</v>
      </c>
      <c r="AE48" s="73">
        <f>IFERROR(((LAD_H112[[#This Row],[H]]-LAD_H112[[#This Row],[2B]]-LAD_H112[[#This Row],[3B]]-LAD_H112[[#This Row],[HR]])+(LAD_H112[[#This Row],[2B]]*2)+(LAD_H112[[#This Row],[3B]]*3)+(LAD_H112[[#This Row],[HR]]*4))/LAD_H112[[#This Row],[AB]],0)</f>
        <v>0.68571428571428572</v>
      </c>
      <c r="AF48" s="28">
        <v>12</v>
      </c>
      <c r="AG48" s="90">
        <v>35</v>
      </c>
      <c r="AH48" s="28">
        <v>8</v>
      </c>
      <c r="AI48" s="28">
        <v>12</v>
      </c>
      <c r="AJ48" s="28">
        <v>3</v>
      </c>
      <c r="AK48" s="28">
        <v>0</v>
      </c>
      <c r="AL48" s="28">
        <v>3</v>
      </c>
      <c r="AM48" s="28">
        <v>11</v>
      </c>
      <c r="AN48" s="28">
        <v>7</v>
      </c>
      <c r="AO48" s="74">
        <v>5</v>
      </c>
      <c r="AP48" s="28">
        <v>0</v>
      </c>
      <c r="AQ48" s="28">
        <v>2</v>
      </c>
      <c r="AR48" s="74">
        <v>4</v>
      </c>
      <c r="AS48" s="28">
        <f>IFERROR((LAD_H112[[#This Row],[H]]-LAD_H112[[#This Row],[2B]]-LAD_H112[[#This Row],[3B]]-LAD_H112[[#This Row],[HR]])+(LAD_H112[[#This Row],[2B]]*2)+(LAD_H112[[#This Row],[3B]]*3)+(LAD_H112[[#This Row],[HR]]*4),0)</f>
        <v>24</v>
      </c>
      <c r="AT48" s="72">
        <f>LAD_H112[[#This Row],[OBP]]+LAD_H112[[#This Row],[SLG]]</f>
        <v>1.138095238095238</v>
      </c>
      <c r="AU48" s="74">
        <v>1</v>
      </c>
      <c r="AV48" s="615">
        <v>14</v>
      </c>
      <c r="AY48" s="651" t="s">
        <v>1171</v>
      </c>
      <c r="AZ48" s="74" t="s">
        <v>186</v>
      </c>
      <c r="BA48" s="71" t="s">
        <v>1179</v>
      </c>
      <c r="BB48" s="72">
        <f>IFERROR(LAD_H119[[#This Row],[H]]/LAD_H119[[#This Row],[AB]],0)</f>
        <v>0.22413793103448276</v>
      </c>
      <c r="BC48" s="72">
        <f>IFERROR((LAD_H119[[#This Row],[BB]]+LAD_H119[[#This Row],[H]])/(LAD_H119[[#This Row],[AB]]+LAD_H119[[#This Row],[BB]]),0)</f>
        <v>0.25</v>
      </c>
      <c r="BD48" s="73">
        <f>IFERROR(((LAD_H119[[#This Row],[H]]-LAD_H119[[#This Row],[2B]]-LAD_H119[[#This Row],[3B]]-LAD_H119[[#This Row],[HR]])+(LAD_H119[[#This Row],[2B]]*2)+(LAD_H119[[#This Row],[3B]]*3)+(LAD_H119[[#This Row],[HR]]*4))/LAD_H119[[#This Row],[AB]],0)</f>
        <v>0.36206896551724138</v>
      </c>
      <c r="BE48" s="28">
        <v>21</v>
      </c>
      <c r="BF48" s="28">
        <v>58</v>
      </c>
      <c r="BG48" s="28">
        <v>9</v>
      </c>
      <c r="BH48" s="28">
        <v>13</v>
      </c>
      <c r="BI48" s="28">
        <v>2</v>
      </c>
      <c r="BJ48" s="28">
        <v>0</v>
      </c>
      <c r="BK48" s="28">
        <v>2</v>
      </c>
      <c r="BL48" s="28">
        <v>3</v>
      </c>
      <c r="BM48" s="28">
        <v>2</v>
      </c>
      <c r="BN48" s="74">
        <v>10</v>
      </c>
      <c r="BO48" s="28">
        <v>0</v>
      </c>
      <c r="BP48" s="28">
        <v>3</v>
      </c>
      <c r="BQ48" s="74">
        <v>3</v>
      </c>
      <c r="BR48" s="28">
        <f>(LAD_H119[[#This Row],[H]]-LAD_H119[[#This Row],[2B]]-LAD_H119[[#This Row],[3B]]-LAD_H119[[#This Row],[HR]])+(LAD_H119[[#This Row],[2B]]*2)+(LAD_H119[[#This Row],[3B]]*3)+(LAD_H119[[#This Row],[HR]]*4)</f>
        <v>21</v>
      </c>
      <c r="BS48" s="72">
        <f>IFERROR(LAD_H119[[#This Row],[OBP]]+LAD_H119[[#This Row],[SLG]],0)</f>
        <v>0.61206896551724133</v>
      </c>
      <c r="BT48" s="74">
        <v>1</v>
      </c>
      <c r="BU48" s="615">
        <v>14</v>
      </c>
    </row>
    <row r="49" spans="1:73" ht="17" thickBot="1">
      <c r="A49" s="858"/>
      <c r="B49" s="859"/>
      <c r="C49" s="693" t="s">
        <v>195</v>
      </c>
      <c r="D49" s="694">
        <f>J49/H49</f>
        <v>0.25089094796863864</v>
      </c>
      <c r="E49" s="694">
        <f>(J49+O49)/(O49+H49)</f>
        <v>0.31841763942931256</v>
      </c>
      <c r="F49" s="695">
        <f>((J49-K49-L49-M49)+(K49*2)+(L49*3)+(M49*4))/H49</f>
        <v>0.43406985032074125</v>
      </c>
      <c r="G49" s="696"/>
      <c r="H49" s="696">
        <f>SUBTOTAL(109,LAD_H[AB])</f>
        <v>1403</v>
      </c>
      <c r="I49" s="696">
        <f>SUBTOTAL(109,LAD_H[R])</f>
        <v>173</v>
      </c>
      <c r="J49" s="696">
        <f>SUBTOTAL(109,LAD_H[H])</f>
        <v>352</v>
      </c>
      <c r="K49" s="696">
        <f>SUBTOTAL(109,LAD_H[2B])</f>
        <v>82</v>
      </c>
      <c r="L49" s="696">
        <f>SUBTOTAL(109,LAD_H[3B])</f>
        <v>5</v>
      </c>
      <c r="M49" s="696">
        <f>SUBTOTAL(109,LAD_H[HR])</f>
        <v>55</v>
      </c>
      <c r="N49" s="696">
        <f>SUBTOTAL(109,LAD_H[RBI])</f>
        <v>173</v>
      </c>
      <c r="O49" s="696">
        <f>SUBTOTAL(109,LAD_H[BB])</f>
        <v>139</v>
      </c>
      <c r="P49" s="697">
        <f>SUBTOTAL(109,LAD_H[K])</f>
        <v>343</v>
      </c>
      <c r="Q49" s="696">
        <f>SUBTOTAL(109,LAD_H[SB])</f>
        <v>16</v>
      </c>
      <c r="R49" s="696"/>
      <c r="S49" s="697"/>
      <c r="T49" s="696">
        <f>SUBTOTAL(109,LAD_H[TB])</f>
        <v>609</v>
      </c>
      <c r="U49" s="694">
        <f>F49+E49</f>
        <v>0.75248748975005375</v>
      </c>
      <c r="V49" s="697">
        <f>SUBTOTAL(109,LAD_H[*])</f>
        <v>25</v>
      </c>
      <c r="W49" s="698"/>
      <c r="Z49" s="858"/>
      <c r="AA49" s="859"/>
      <c r="AB49" s="693" t="s">
        <v>195</v>
      </c>
      <c r="AC49" s="694">
        <f>AI49/AG49</f>
        <v>0.25349008082292435</v>
      </c>
      <c r="AD49" s="694">
        <f>(AI49+AN49)/(AN49+AG49)</f>
        <v>0.32981530343007914</v>
      </c>
      <c r="AE49" s="695">
        <f>((AI49-AJ49-AK49-AL49)+(AJ49*2)+(AK49*3)+(AL49*4))/AG49</f>
        <v>0.44893460690668624</v>
      </c>
      <c r="AF49" s="696"/>
      <c r="AG49" s="696">
        <f>SUBTOTAL(109,LAD_H112[AB])</f>
        <v>1361</v>
      </c>
      <c r="AH49" s="696">
        <f>SUBTOTAL(109,LAD_H112[R])</f>
        <v>190</v>
      </c>
      <c r="AI49" s="696">
        <f>SUBTOTAL(109,LAD_H112[H])</f>
        <v>345</v>
      </c>
      <c r="AJ49" s="696">
        <f>SUBTOTAL(109,LAD_H112[2B])</f>
        <v>71</v>
      </c>
      <c r="AK49" s="696">
        <f>SUBTOTAL(109,LAD_H112[3B])</f>
        <v>9</v>
      </c>
      <c r="AL49" s="696">
        <f>SUBTOTAL(109,LAD_H112[HR])</f>
        <v>59</v>
      </c>
      <c r="AM49" s="696">
        <f>SUBTOTAL(109,LAD_H112[RBI])</f>
        <v>190</v>
      </c>
      <c r="AN49" s="696">
        <f>SUBTOTAL(109,LAD_H112[BB])</f>
        <v>155</v>
      </c>
      <c r="AO49" s="697">
        <f>SUBTOTAL(109,LAD_H112[K])</f>
        <v>324</v>
      </c>
      <c r="AP49" s="696">
        <f>SUBTOTAL(109,LAD_H112[SB])</f>
        <v>20</v>
      </c>
      <c r="AQ49" s="696"/>
      <c r="AR49" s="697"/>
      <c r="AS49" s="696">
        <f>SUBTOTAL(109,LAD_H112[TB])</f>
        <v>611</v>
      </c>
      <c r="AT49" s="694">
        <f>AE49+AD49</f>
        <v>0.77874991033676544</v>
      </c>
      <c r="AU49" s="697">
        <f>SUBTOTAL(109,LAD_H112[*])</f>
        <v>24</v>
      </c>
      <c r="AV49" s="698"/>
      <c r="AY49" s="858"/>
      <c r="AZ49" s="859"/>
      <c r="BA49" s="693" t="s">
        <v>195</v>
      </c>
      <c r="BB49" s="694">
        <f>BH49/BF49</f>
        <v>0.24273255813953487</v>
      </c>
      <c r="BC49" s="694">
        <f>(BM49+BH49)/(BM49+BF49)</f>
        <v>0.31266490765171506</v>
      </c>
      <c r="BD49" s="695">
        <f>((BH49-BI49-BJ49-BK49)+(BI49*2)+(BJ49*3)+(BK49*4))/BF49</f>
        <v>0.39607558139534882</v>
      </c>
      <c r="BE49" s="696"/>
      <c r="BF49" s="696">
        <f>SUBTOTAL(109,LAD_H119[AB])</f>
        <v>1376</v>
      </c>
      <c r="BG49" s="696">
        <f>SUBTOTAL(109,LAD_H119[R])</f>
        <v>142</v>
      </c>
      <c r="BH49" s="696">
        <f>SUBTOTAL(109,LAD_H119[H])</f>
        <v>334</v>
      </c>
      <c r="BI49" s="696">
        <f>SUBTOTAL(109,LAD_H119[2B])</f>
        <v>64</v>
      </c>
      <c r="BJ49" s="696">
        <f>SUBTOTAL(109,LAD_H119[3B])</f>
        <v>3</v>
      </c>
      <c r="BK49" s="696">
        <f>SUBTOTAL(109,LAD_H119[HR])</f>
        <v>47</v>
      </c>
      <c r="BL49" s="696">
        <f>SUBTOTAL(109,LAD_H119[RBI])</f>
        <v>142</v>
      </c>
      <c r="BM49" s="696">
        <f>SUBTOTAL(109,LAD_H119[BB])</f>
        <v>140</v>
      </c>
      <c r="BN49" s="697">
        <f>SUBTOTAL(109,LAD_H119[K])</f>
        <v>355</v>
      </c>
      <c r="BO49" s="696">
        <f>SUBTOTAL(109,LAD_H119[SB])</f>
        <v>12</v>
      </c>
      <c r="BP49" s="696"/>
      <c r="BQ49" s="697"/>
      <c r="BR49" s="696">
        <f>SUBTOTAL(109,LAD_H119[TB])</f>
        <v>545</v>
      </c>
      <c r="BS49" s="694">
        <f>BC49+BD49</f>
        <v>0.70874048904706388</v>
      </c>
      <c r="BT49" s="697">
        <f>SUBTOTAL(109,LAD_H119[*])</f>
        <v>21</v>
      </c>
      <c r="BU49" s="698"/>
    </row>
    <row r="50" spans="1:73" ht="17" thickBot="1"/>
    <row r="51" spans="1:73" s="108" customFormat="1" ht="15" thickBot="1">
      <c r="A51" s="857" t="s">
        <v>143</v>
      </c>
      <c r="B51" s="606" t="s">
        <v>144</v>
      </c>
      <c r="C51" s="606" t="s">
        <v>145</v>
      </c>
      <c r="D51" s="606" t="s">
        <v>196</v>
      </c>
      <c r="E51" s="606" t="s">
        <v>197</v>
      </c>
      <c r="F51" s="606" t="s">
        <v>198</v>
      </c>
      <c r="G51" s="606" t="s">
        <v>149</v>
      </c>
      <c r="H51" s="606" t="s">
        <v>199</v>
      </c>
      <c r="I51" s="606" t="s">
        <v>152</v>
      </c>
      <c r="J51" s="606" t="s">
        <v>151</v>
      </c>
      <c r="K51" s="606" t="s">
        <v>157</v>
      </c>
      <c r="L51" s="606" t="s">
        <v>158</v>
      </c>
      <c r="M51" s="606" t="s">
        <v>200</v>
      </c>
      <c r="N51" s="606" t="s">
        <v>201</v>
      </c>
      <c r="O51" s="606" t="s">
        <v>202</v>
      </c>
      <c r="P51" s="606" t="s">
        <v>203</v>
      </c>
      <c r="Q51" s="606" t="s">
        <v>204</v>
      </c>
      <c r="R51" s="606" t="s">
        <v>205</v>
      </c>
      <c r="S51" s="607" t="s">
        <v>164</v>
      </c>
      <c r="Z51" s="605" t="s">
        <v>143</v>
      </c>
      <c r="AA51" s="606" t="s">
        <v>144</v>
      </c>
      <c r="AB51" s="606" t="s">
        <v>145</v>
      </c>
      <c r="AC51" s="606" t="s">
        <v>196</v>
      </c>
      <c r="AD51" s="606" t="s">
        <v>197</v>
      </c>
      <c r="AE51" s="606" t="s">
        <v>198</v>
      </c>
      <c r="AF51" s="606" t="s">
        <v>149</v>
      </c>
      <c r="AG51" s="606" t="s">
        <v>199</v>
      </c>
      <c r="AH51" s="606" t="s">
        <v>152</v>
      </c>
      <c r="AI51" s="606" t="s">
        <v>151</v>
      </c>
      <c r="AJ51" s="606" t="s">
        <v>157</v>
      </c>
      <c r="AK51" s="606" t="s">
        <v>158</v>
      </c>
      <c r="AL51" s="606" t="s">
        <v>200</v>
      </c>
      <c r="AM51" s="606" t="s">
        <v>201</v>
      </c>
      <c r="AN51" s="606" t="s">
        <v>202</v>
      </c>
      <c r="AO51" s="606" t="s">
        <v>203</v>
      </c>
      <c r="AP51" s="606" t="s">
        <v>204</v>
      </c>
      <c r="AQ51" s="606" t="s">
        <v>205</v>
      </c>
      <c r="AR51" s="607" t="s">
        <v>164</v>
      </c>
      <c r="AY51" s="605" t="s">
        <v>143</v>
      </c>
      <c r="AZ51" s="606" t="s">
        <v>144</v>
      </c>
      <c r="BA51" s="606" t="s">
        <v>145</v>
      </c>
      <c r="BB51" s="606" t="s">
        <v>196</v>
      </c>
      <c r="BC51" s="606" t="s">
        <v>197</v>
      </c>
      <c r="BD51" s="606" t="s">
        <v>198</v>
      </c>
      <c r="BE51" s="606" t="s">
        <v>149</v>
      </c>
      <c r="BF51" s="606" t="s">
        <v>199</v>
      </c>
      <c r="BG51" s="606" t="s">
        <v>152</v>
      </c>
      <c r="BH51" s="606" t="s">
        <v>151</v>
      </c>
      <c r="BI51" s="606" t="s">
        <v>157</v>
      </c>
      <c r="BJ51" s="606" t="s">
        <v>158</v>
      </c>
      <c r="BK51" s="606" t="s">
        <v>200</v>
      </c>
      <c r="BL51" s="606" t="s">
        <v>201</v>
      </c>
      <c r="BM51" s="606" t="s">
        <v>202</v>
      </c>
      <c r="BN51" s="606" t="s">
        <v>203</v>
      </c>
      <c r="BO51" s="606" t="s">
        <v>204</v>
      </c>
      <c r="BP51" s="606" t="s">
        <v>205</v>
      </c>
      <c r="BQ51" s="607" t="s">
        <v>164</v>
      </c>
    </row>
    <row r="52" spans="1:73">
      <c r="A52" s="719" t="s">
        <v>1171</v>
      </c>
      <c r="B52" s="604" t="s">
        <v>206</v>
      </c>
      <c r="C52" s="597" t="s">
        <v>1184</v>
      </c>
      <c r="D52" s="628">
        <f>IFERROR((LAD_P[[#This Row],[R]]*9)/LAD_P[[#This Row],[IP]],0)</f>
        <v>1.6027397260273972</v>
      </c>
      <c r="E52" s="600">
        <v>5</v>
      </c>
      <c r="F52" s="604">
        <v>1</v>
      </c>
      <c r="G52" s="600">
        <v>10</v>
      </c>
      <c r="H52" s="630">
        <v>73</v>
      </c>
      <c r="I52" s="600">
        <v>61</v>
      </c>
      <c r="J52" s="600">
        <v>13</v>
      </c>
      <c r="K52" s="600">
        <v>14</v>
      </c>
      <c r="L52" s="600">
        <v>80</v>
      </c>
      <c r="M52" s="600">
        <v>0</v>
      </c>
      <c r="N52" s="631">
        <f>IFERROR((LAD_P[[#This Row],[BB]]+LAD_P[[#This Row],[H]])/LAD_P[[#This Row],[IP]],0)</f>
        <v>1.0273972602739727</v>
      </c>
      <c r="O52" s="708">
        <v>10</v>
      </c>
      <c r="P52" s="602">
        <v>7</v>
      </c>
      <c r="Q52" s="627">
        <v>3</v>
      </c>
      <c r="R52" s="604">
        <v>2</v>
      </c>
      <c r="S52" s="614">
        <v>1</v>
      </c>
      <c r="Z52" s="650" t="s">
        <v>1171</v>
      </c>
      <c r="AA52" s="604" t="s">
        <v>206</v>
      </c>
      <c r="AB52" s="597" t="s">
        <v>1184</v>
      </c>
      <c r="AC52" s="663">
        <f>IFERROR((LAD_P111[[#This Row],[R]]*9)/LAD_P111[[#This Row],[IP]],0)</f>
        <v>2.3591087811271296</v>
      </c>
      <c r="AD52" s="600">
        <v>6</v>
      </c>
      <c r="AE52" s="604">
        <v>2</v>
      </c>
      <c r="AF52" s="600">
        <v>10</v>
      </c>
      <c r="AG52" s="630">
        <v>68.67</v>
      </c>
      <c r="AH52" s="600">
        <v>53</v>
      </c>
      <c r="AI52" s="600">
        <v>18</v>
      </c>
      <c r="AJ52" s="600">
        <v>12</v>
      </c>
      <c r="AK52" s="600">
        <v>53</v>
      </c>
      <c r="AL52" s="600">
        <v>0</v>
      </c>
      <c r="AM52" s="631">
        <f>IFERROR((LAD_P111[[#This Row],[BB]]+LAD_P111[[#This Row],[H]])/LAD_P111[[#This Row],[IP]],0)</f>
        <v>0.94655599242755206</v>
      </c>
      <c r="AN52" s="600">
        <v>8</v>
      </c>
      <c r="AO52" s="601">
        <v>6</v>
      </c>
      <c r="AP52" s="600">
        <v>2</v>
      </c>
      <c r="AQ52" s="604">
        <v>2</v>
      </c>
      <c r="AR52" s="614">
        <v>1</v>
      </c>
      <c r="AY52" s="650" t="s">
        <v>1171</v>
      </c>
      <c r="AZ52" s="604" t="s">
        <v>206</v>
      </c>
      <c r="BA52" s="597" t="s">
        <v>1184</v>
      </c>
      <c r="BB52" s="663">
        <f>IFERROR((LAD_P120[[#This Row],[R]]*9)/LAD_P120[[#This Row],[IP]],0)</f>
        <v>2.0583882685322212</v>
      </c>
      <c r="BC52" s="600">
        <v>5</v>
      </c>
      <c r="BD52" s="604">
        <v>4</v>
      </c>
      <c r="BE52" s="600">
        <v>10</v>
      </c>
      <c r="BF52" s="630">
        <v>74.33</v>
      </c>
      <c r="BG52" s="600">
        <v>58</v>
      </c>
      <c r="BH52" s="600">
        <v>17</v>
      </c>
      <c r="BI52" s="600">
        <v>16</v>
      </c>
      <c r="BJ52" s="600">
        <v>78</v>
      </c>
      <c r="BK52" s="600">
        <v>0</v>
      </c>
      <c r="BL52" s="631">
        <f>IFERROR((LAD_P120[[#This Row],[BB]]+LAD_P120[[#This Row],[H]])/LAD_P120[[#This Row],[IP]],0)</f>
        <v>0.99556033902865604</v>
      </c>
      <c r="BM52" s="600">
        <v>9</v>
      </c>
      <c r="BN52" s="601">
        <v>7</v>
      </c>
      <c r="BO52" s="600">
        <v>2</v>
      </c>
      <c r="BP52" s="604">
        <v>1</v>
      </c>
      <c r="BQ52" s="614">
        <v>1</v>
      </c>
    </row>
    <row r="53" spans="1:73">
      <c r="A53" s="720" t="s">
        <v>1171</v>
      </c>
      <c r="B53" s="74" t="s">
        <v>206</v>
      </c>
      <c r="C53" s="71" t="s">
        <v>1185</v>
      </c>
      <c r="D53" s="88">
        <f>IFERROR((LAD_P[[#This Row],[R]]*9)/LAD_P[[#This Row],[IP]],0)</f>
        <v>3.3062911373029236</v>
      </c>
      <c r="E53" s="28">
        <v>3</v>
      </c>
      <c r="F53" s="74">
        <v>4</v>
      </c>
      <c r="G53" s="28">
        <v>10</v>
      </c>
      <c r="H53" s="584">
        <v>65.33</v>
      </c>
      <c r="I53" s="28">
        <v>53</v>
      </c>
      <c r="J53" s="28">
        <v>24</v>
      </c>
      <c r="K53" s="28">
        <v>21</v>
      </c>
      <c r="L53" s="28">
        <v>66</v>
      </c>
      <c r="M53" s="28">
        <v>0</v>
      </c>
      <c r="N53" s="89">
        <f>IFERROR((LAD_P[[#This Row],[BB]]+LAD_P[[#This Row],[H]])/LAD_P[[#This Row],[IP]],0)</f>
        <v>1.1327108525945202</v>
      </c>
      <c r="O53" s="28">
        <v>5</v>
      </c>
      <c r="P53" s="90">
        <v>4</v>
      </c>
      <c r="Q53" s="28">
        <v>1</v>
      </c>
      <c r="R53" s="74">
        <v>1</v>
      </c>
      <c r="S53" s="615">
        <v>2</v>
      </c>
      <c r="Z53" s="651" t="s">
        <v>1171</v>
      </c>
      <c r="AA53" s="74" t="s">
        <v>206</v>
      </c>
      <c r="AB53" s="71" t="s">
        <v>1185</v>
      </c>
      <c r="AC53" s="88">
        <f>IFERROR((LAD_P111[[#This Row],[R]]*9)/LAD_P111[[#This Row],[IP]],0)</f>
        <v>2.2816901408450705</v>
      </c>
      <c r="AD53" s="28">
        <v>6</v>
      </c>
      <c r="AE53" s="74">
        <v>2</v>
      </c>
      <c r="AF53" s="28">
        <v>10</v>
      </c>
      <c r="AG53" s="584">
        <v>71</v>
      </c>
      <c r="AH53" s="28">
        <v>55</v>
      </c>
      <c r="AI53" s="28">
        <v>18</v>
      </c>
      <c r="AJ53" s="28">
        <v>26</v>
      </c>
      <c r="AK53" s="28">
        <v>73</v>
      </c>
      <c r="AL53" s="28">
        <v>0</v>
      </c>
      <c r="AM53" s="89">
        <f>IFERROR((LAD_P111[[#This Row],[BB]]+LAD_P111[[#This Row],[H]])/LAD_P111[[#This Row],[IP]],0)</f>
        <v>1.1408450704225352</v>
      </c>
      <c r="AN53" s="28">
        <v>9</v>
      </c>
      <c r="AO53" s="90">
        <v>6</v>
      </c>
      <c r="AP53" s="28">
        <v>1</v>
      </c>
      <c r="AQ53" s="74">
        <v>1</v>
      </c>
      <c r="AR53" s="615">
        <v>2</v>
      </c>
      <c r="AY53" s="651" t="s">
        <v>1171</v>
      </c>
      <c r="AZ53" s="74" t="s">
        <v>206</v>
      </c>
      <c r="BA53" s="71" t="s">
        <v>1185</v>
      </c>
      <c r="BB53" s="88">
        <f>IFERROR((LAD_P120[[#This Row],[R]]*9)/LAD_P120[[#This Row],[IP]],0)</f>
        <v>3.6347901341410647</v>
      </c>
      <c r="BC53" s="28">
        <v>7</v>
      </c>
      <c r="BD53" s="74">
        <v>3</v>
      </c>
      <c r="BE53" s="28">
        <v>10</v>
      </c>
      <c r="BF53" s="584">
        <v>69.33</v>
      </c>
      <c r="BG53" s="28">
        <v>52</v>
      </c>
      <c r="BH53" s="28">
        <v>28</v>
      </c>
      <c r="BI53" s="28">
        <v>27</v>
      </c>
      <c r="BJ53" s="28">
        <v>76</v>
      </c>
      <c r="BK53" s="28">
        <v>0</v>
      </c>
      <c r="BL53" s="89">
        <f>IFERROR((LAD_P120[[#This Row],[BB]]+LAD_P120[[#This Row],[H]])/LAD_P120[[#This Row],[IP]],0)</f>
        <v>1.1394778595124766</v>
      </c>
      <c r="BM53" s="28">
        <v>7</v>
      </c>
      <c r="BN53" s="90">
        <v>4</v>
      </c>
      <c r="BO53" s="28">
        <v>0</v>
      </c>
      <c r="BP53" s="74">
        <v>0</v>
      </c>
      <c r="BQ53" s="615">
        <v>2</v>
      </c>
    </row>
    <row r="54" spans="1:73">
      <c r="A54" s="720" t="s">
        <v>1171</v>
      </c>
      <c r="B54" s="74" t="s">
        <v>365</v>
      </c>
      <c r="C54" s="71" t="s">
        <v>1186</v>
      </c>
      <c r="D54" s="88">
        <f>IFERROR((LAD_P[[#This Row],[R]]*9)/LAD_P[[#This Row],[IP]],0)</f>
        <v>2.8930047451400585</v>
      </c>
      <c r="E54" s="28">
        <v>2</v>
      </c>
      <c r="F54" s="74">
        <v>2</v>
      </c>
      <c r="G54" s="28">
        <v>10</v>
      </c>
      <c r="H54" s="584">
        <v>65.33</v>
      </c>
      <c r="I54" s="28">
        <v>56</v>
      </c>
      <c r="J54" s="28">
        <v>21</v>
      </c>
      <c r="K54" s="28">
        <v>15</v>
      </c>
      <c r="L54" s="28">
        <v>79</v>
      </c>
      <c r="M54" s="28">
        <v>0</v>
      </c>
      <c r="N54" s="89">
        <f>IFERROR((LAD_P[[#This Row],[BB]]+LAD_P[[#This Row],[H]])/LAD_P[[#This Row],[IP]],0)</f>
        <v>1.0867901423542017</v>
      </c>
      <c r="O54" s="28">
        <v>7</v>
      </c>
      <c r="P54" s="90">
        <v>5</v>
      </c>
      <c r="Q54" s="28">
        <v>0</v>
      </c>
      <c r="R54" s="74">
        <v>0</v>
      </c>
      <c r="S54" s="615">
        <v>3</v>
      </c>
      <c r="Z54" s="651" t="s">
        <v>1171</v>
      </c>
      <c r="AA54" s="74" t="s">
        <v>206</v>
      </c>
      <c r="AB54" s="71" t="s">
        <v>1187</v>
      </c>
      <c r="AC54" s="88">
        <f>IFERROR((LAD_P111[[#This Row],[R]]*9)/LAD_P111[[#This Row],[IP]],0)</f>
        <v>2.6733996732511511</v>
      </c>
      <c r="AD54" s="28">
        <v>4</v>
      </c>
      <c r="AE54" s="74">
        <v>3</v>
      </c>
      <c r="AF54" s="28">
        <v>10</v>
      </c>
      <c r="AG54" s="584">
        <v>67.33</v>
      </c>
      <c r="AH54" s="28">
        <v>43</v>
      </c>
      <c r="AI54" s="28">
        <v>20</v>
      </c>
      <c r="AJ54" s="28">
        <v>23</v>
      </c>
      <c r="AK54" s="28">
        <v>69</v>
      </c>
      <c r="AL54" s="28">
        <v>0</v>
      </c>
      <c r="AM54" s="89">
        <f>IFERROR((LAD_P111[[#This Row],[BB]]+LAD_P111[[#This Row],[H]])/LAD_P111[[#This Row],[IP]],0)</f>
        <v>0.98024654685875545</v>
      </c>
      <c r="AN54" s="28">
        <v>9</v>
      </c>
      <c r="AO54" s="90">
        <v>7</v>
      </c>
      <c r="AP54" s="28">
        <v>1</v>
      </c>
      <c r="AQ54" s="74">
        <v>1</v>
      </c>
      <c r="AR54" s="615">
        <v>3</v>
      </c>
      <c r="AY54" s="651" t="s">
        <v>1171</v>
      </c>
      <c r="AZ54" s="74" t="s">
        <v>206</v>
      </c>
      <c r="BA54" s="71" t="s">
        <v>1187</v>
      </c>
      <c r="BB54" s="88">
        <f>IFERROR((LAD_P120[[#This Row],[R]]*9)/LAD_P120[[#This Row],[IP]],0)</f>
        <v>4.9894015979129298</v>
      </c>
      <c r="BC54" s="28">
        <v>3</v>
      </c>
      <c r="BD54" s="74">
        <v>4</v>
      </c>
      <c r="BE54" s="28">
        <v>10</v>
      </c>
      <c r="BF54" s="584">
        <v>61.33</v>
      </c>
      <c r="BG54" s="28">
        <v>60</v>
      </c>
      <c r="BH54" s="28">
        <v>34</v>
      </c>
      <c r="BI54" s="28">
        <v>25</v>
      </c>
      <c r="BJ54" s="28">
        <v>63</v>
      </c>
      <c r="BK54" s="28">
        <v>0</v>
      </c>
      <c r="BL54" s="89">
        <f>IFERROR((LAD_P120[[#This Row],[BB]]+LAD_P120[[#This Row],[H]])/LAD_P120[[#This Row],[IP]],0)</f>
        <v>1.3859448883091472</v>
      </c>
      <c r="BM54" s="28">
        <v>5</v>
      </c>
      <c r="BN54" s="90">
        <v>4</v>
      </c>
      <c r="BO54" s="28">
        <v>0</v>
      </c>
      <c r="BP54" s="74">
        <v>0</v>
      </c>
      <c r="BQ54" s="615">
        <v>3</v>
      </c>
    </row>
    <row r="55" spans="1:73">
      <c r="A55" s="720" t="s">
        <v>1171</v>
      </c>
      <c r="B55" s="74" t="s">
        <v>206</v>
      </c>
      <c r="C55" s="71" t="s">
        <v>1188</v>
      </c>
      <c r="D55" s="88">
        <f>IFERROR((LAD_P[[#This Row],[R]]*9)/LAD_P[[#This Row],[IP]],0)</f>
        <v>3.5528185693983896</v>
      </c>
      <c r="E55" s="28">
        <v>6</v>
      </c>
      <c r="F55" s="74">
        <v>2</v>
      </c>
      <c r="G55" s="28">
        <v>10</v>
      </c>
      <c r="H55" s="584">
        <v>63.33</v>
      </c>
      <c r="I55" s="28">
        <v>62</v>
      </c>
      <c r="J55" s="28">
        <v>25</v>
      </c>
      <c r="K55" s="28">
        <v>17</v>
      </c>
      <c r="L55" s="28">
        <v>60</v>
      </c>
      <c r="M55" s="28">
        <v>0</v>
      </c>
      <c r="N55" s="89">
        <f>IFERROR((LAD_P[[#This Row],[BB]]+LAD_P[[#This Row],[H]])/LAD_P[[#This Row],[IP]],0)</f>
        <v>1.2474340754776567</v>
      </c>
      <c r="O55" s="28">
        <v>7</v>
      </c>
      <c r="P55" s="90">
        <v>3</v>
      </c>
      <c r="Q55" s="28">
        <v>0</v>
      </c>
      <c r="R55" s="74">
        <v>0</v>
      </c>
      <c r="S55" s="615">
        <v>4</v>
      </c>
      <c r="Z55" s="651" t="s">
        <v>1171</v>
      </c>
      <c r="AA55" s="74" t="s">
        <v>206</v>
      </c>
      <c r="AB55" s="71" t="s">
        <v>1188</v>
      </c>
      <c r="AC55" s="88">
        <f>IFERROR((LAD_P111[[#This Row],[R]]*9)/LAD_P111[[#This Row],[IP]],0)</f>
        <v>4.359375</v>
      </c>
      <c r="AD55" s="28">
        <v>3</v>
      </c>
      <c r="AE55" s="74">
        <v>3</v>
      </c>
      <c r="AF55" s="28">
        <v>10</v>
      </c>
      <c r="AG55" s="584">
        <v>64</v>
      </c>
      <c r="AH55" s="28">
        <v>55</v>
      </c>
      <c r="AI55" s="28">
        <v>31</v>
      </c>
      <c r="AJ55" s="28">
        <v>21</v>
      </c>
      <c r="AK55" s="28">
        <v>54</v>
      </c>
      <c r="AL55" s="28">
        <v>0</v>
      </c>
      <c r="AM55" s="89">
        <f>IFERROR((LAD_P111[[#This Row],[BB]]+LAD_P111[[#This Row],[H]])/LAD_P111[[#This Row],[IP]],0)</f>
        <v>1.1875</v>
      </c>
      <c r="AN55" s="28">
        <v>6</v>
      </c>
      <c r="AO55" s="90">
        <v>5</v>
      </c>
      <c r="AP55" s="28">
        <v>0</v>
      </c>
      <c r="AQ55" s="74">
        <v>0</v>
      </c>
      <c r="AR55" s="615">
        <v>4</v>
      </c>
      <c r="AY55" s="651" t="s">
        <v>1171</v>
      </c>
      <c r="AZ55" s="74" t="s">
        <v>206</v>
      </c>
      <c r="BA55" s="71" t="s">
        <v>1188</v>
      </c>
      <c r="BB55" s="88">
        <f>IFERROR((LAD_P120[[#This Row],[R]]*9)/LAD_P120[[#This Row],[IP]],0)</f>
        <v>3.2511386838385423</v>
      </c>
      <c r="BC55" s="28">
        <v>4</v>
      </c>
      <c r="BD55" s="74">
        <v>5</v>
      </c>
      <c r="BE55" s="28">
        <v>10</v>
      </c>
      <c r="BF55" s="584">
        <v>63.67</v>
      </c>
      <c r="BG55" s="28">
        <v>57</v>
      </c>
      <c r="BH55" s="28">
        <v>23</v>
      </c>
      <c r="BI55" s="28">
        <v>21</v>
      </c>
      <c r="BJ55" s="28">
        <v>62</v>
      </c>
      <c r="BK55" s="28">
        <v>0</v>
      </c>
      <c r="BL55" s="89">
        <f>IFERROR((LAD_P120[[#This Row],[BB]]+LAD_P120[[#This Row],[H]])/LAD_P120[[#This Row],[IP]],0)</f>
        <v>1.2250667504319146</v>
      </c>
      <c r="BM55" s="28">
        <v>7</v>
      </c>
      <c r="BN55" s="90">
        <v>2</v>
      </c>
      <c r="BO55" s="28">
        <v>1</v>
      </c>
      <c r="BP55" s="74">
        <v>1</v>
      </c>
      <c r="BQ55" s="615">
        <v>4</v>
      </c>
    </row>
    <row r="56" spans="1:73">
      <c r="A56" s="720" t="s">
        <v>1171</v>
      </c>
      <c r="B56" s="74" t="s">
        <v>215</v>
      </c>
      <c r="C56" s="71" t="s">
        <v>1191</v>
      </c>
      <c r="D56" s="88">
        <f>IFERROR((LAD_P[[#This Row],[R]]*9)/LAD_P[[#This Row],[IP]],0)</f>
        <v>6.3</v>
      </c>
      <c r="E56" s="28">
        <v>1</v>
      </c>
      <c r="F56" s="74">
        <v>0</v>
      </c>
      <c r="G56" s="28">
        <v>8</v>
      </c>
      <c r="H56" s="584">
        <v>10</v>
      </c>
      <c r="I56" s="28">
        <v>17</v>
      </c>
      <c r="J56" s="28">
        <v>7</v>
      </c>
      <c r="K56" s="28">
        <v>2</v>
      </c>
      <c r="L56" s="28">
        <v>6</v>
      </c>
      <c r="M56" s="28">
        <v>0</v>
      </c>
      <c r="N56" s="89">
        <f>IFERROR((LAD_P[[#This Row],[BB]]+LAD_P[[#This Row],[H]])/LAD_P[[#This Row],[IP]],0)</f>
        <v>1.9</v>
      </c>
      <c r="O56" s="28">
        <v>0</v>
      </c>
      <c r="P56" s="90">
        <v>0</v>
      </c>
      <c r="Q56" s="28">
        <v>0</v>
      </c>
      <c r="R56" s="74">
        <v>0</v>
      </c>
      <c r="S56" s="615">
        <v>5</v>
      </c>
      <c r="Z56" s="651" t="s">
        <v>1171</v>
      </c>
      <c r="AA56" s="74" t="s">
        <v>212</v>
      </c>
      <c r="AB56" s="71" t="s">
        <v>1190</v>
      </c>
      <c r="AC56" s="88">
        <f>IFERROR((LAD_P111[[#This Row],[R]]*9)/LAD_P111[[#This Row],[IP]],0)</f>
        <v>3.4615384615384617</v>
      </c>
      <c r="AD56" s="28">
        <v>1</v>
      </c>
      <c r="AE56" s="74">
        <v>0</v>
      </c>
      <c r="AF56" s="28">
        <v>6</v>
      </c>
      <c r="AG56" s="584">
        <v>13</v>
      </c>
      <c r="AH56" s="28">
        <v>16</v>
      </c>
      <c r="AI56" s="28">
        <v>5</v>
      </c>
      <c r="AJ56" s="28">
        <v>2</v>
      </c>
      <c r="AK56" s="28">
        <v>13</v>
      </c>
      <c r="AL56" s="28">
        <v>0</v>
      </c>
      <c r="AM56" s="89">
        <f>IFERROR((LAD_P111[[#This Row],[BB]]+LAD_P111[[#This Row],[H]])/LAD_P111[[#This Row],[IP]],0)</f>
        <v>1.3846153846153846</v>
      </c>
      <c r="AN56" s="28">
        <v>0</v>
      </c>
      <c r="AO56" s="90">
        <v>0</v>
      </c>
      <c r="AP56" s="28">
        <v>0</v>
      </c>
      <c r="AQ56" s="74">
        <v>0</v>
      </c>
      <c r="AR56" s="615">
        <v>5</v>
      </c>
      <c r="AY56" s="651" t="s">
        <v>1171</v>
      </c>
      <c r="AZ56" s="74" t="s">
        <v>212</v>
      </c>
      <c r="BA56" s="71" t="s">
        <v>1190</v>
      </c>
      <c r="BB56" s="88">
        <f>IFERROR((LAD_P120[[#This Row],[R]]*9)/LAD_P120[[#This Row],[IP]],0)</f>
        <v>4.8590281943611275</v>
      </c>
      <c r="BC56" s="28">
        <v>0</v>
      </c>
      <c r="BD56" s="74">
        <v>3</v>
      </c>
      <c r="BE56" s="28">
        <v>13</v>
      </c>
      <c r="BF56" s="584">
        <v>16.670000000000002</v>
      </c>
      <c r="BG56" s="28">
        <v>18</v>
      </c>
      <c r="BH56" s="28">
        <v>9</v>
      </c>
      <c r="BI56" s="28">
        <v>11</v>
      </c>
      <c r="BJ56" s="28">
        <v>15</v>
      </c>
      <c r="BK56" s="28">
        <v>0</v>
      </c>
      <c r="BL56" s="89">
        <f>IFERROR((LAD_P120[[#This Row],[BB]]+LAD_P120[[#This Row],[H]])/LAD_P120[[#This Row],[IP]],0)</f>
        <v>1.7396520695860826</v>
      </c>
      <c r="BM56" s="28">
        <v>0</v>
      </c>
      <c r="BN56" s="90">
        <v>0</v>
      </c>
      <c r="BO56" s="28">
        <v>0</v>
      </c>
      <c r="BP56" s="74">
        <v>0</v>
      </c>
      <c r="BQ56" s="615">
        <v>5</v>
      </c>
    </row>
    <row r="57" spans="1:73">
      <c r="A57" s="720" t="s">
        <v>1171</v>
      </c>
      <c r="B57" s="74" t="s">
        <v>215</v>
      </c>
      <c r="C57" s="71" t="s">
        <v>1189</v>
      </c>
      <c r="D57" s="88">
        <f>IFERROR((LAD_P[[#This Row],[R]]*9)/LAD_P[[#This Row],[IP]],0)</f>
        <v>5.2274927395934174</v>
      </c>
      <c r="E57" s="28">
        <v>0</v>
      </c>
      <c r="F57" s="74">
        <v>0</v>
      </c>
      <c r="G57" s="28">
        <v>6</v>
      </c>
      <c r="H57" s="584">
        <v>10.33</v>
      </c>
      <c r="I57" s="28">
        <v>8</v>
      </c>
      <c r="J57" s="28">
        <v>6</v>
      </c>
      <c r="K57" s="28">
        <v>6</v>
      </c>
      <c r="L57" s="28">
        <v>8</v>
      </c>
      <c r="M57" s="28">
        <v>0</v>
      </c>
      <c r="N57" s="89">
        <f>IFERROR((LAD_P[[#This Row],[BB]]+LAD_P[[#This Row],[H]])/LAD_P[[#This Row],[IP]],0)</f>
        <v>1.3552758954501452</v>
      </c>
      <c r="O57" s="28">
        <v>0</v>
      </c>
      <c r="P57" s="90">
        <v>0</v>
      </c>
      <c r="Q57" s="28">
        <v>0</v>
      </c>
      <c r="R57" s="74">
        <v>0</v>
      </c>
      <c r="S57" s="615">
        <v>6</v>
      </c>
      <c r="Z57" s="651" t="s">
        <v>1171</v>
      </c>
      <c r="AA57" s="74" t="s">
        <v>212</v>
      </c>
      <c r="AB57" s="71" t="s">
        <v>1192</v>
      </c>
      <c r="AC57" s="88">
        <f>IFERROR((LAD_P111[[#This Row],[R]]*9)/LAD_P111[[#This Row],[IP]],0)</f>
        <v>2.25</v>
      </c>
      <c r="AD57" s="28">
        <v>0</v>
      </c>
      <c r="AE57" s="74">
        <v>0</v>
      </c>
      <c r="AF57" s="28">
        <v>2</v>
      </c>
      <c r="AG57" s="584">
        <v>4</v>
      </c>
      <c r="AH57" s="28">
        <v>2</v>
      </c>
      <c r="AI57" s="28">
        <v>1</v>
      </c>
      <c r="AJ57" s="28">
        <v>1</v>
      </c>
      <c r="AK57" s="28">
        <v>1</v>
      </c>
      <c r="AL57" s="28">
        <v>0</v>
      </c>
      <c r="AM57" s="89">
        <f>IFERROR((LAD_P111[[#This Row],[BB]]+LAD_P111[[#This Row],[H]])/LAD_P111[[#This Row],[IP]],0)</f>
        <v>0.75</v>
      </c>
      <c r="AN57" s="28">
        <v>0</v>
      </c>
      <c r="AO57" s="90">
        <v>0</v>
      </c>
      <c r="AP57" s="28">
        <v>0</v>
      </c>
      <c r="AQ57" s="74">
        <v>0</v>
      </c>
      <c r="AR57" s="615">
        <v>6</v>
      </c>
      <c r="AY57" s="651" t="s">
        <v>1171</v>
      </c>
      <c r="AZ57" s="74" t="s">
        <v>212</v>
      </c>
      <c r="BA57" s="71" t="s">
        <v>1192</v>
      </c>
      <c r="BB57" s="88">
        <f>IFERROR((LAD_P120[[#This Row],[R]]*9)/LAD_P120[[#This Row],[IP]],0)</f>
        <v>5</v>
      </c>
      <c r="BC57" s="28">
        <v>1</v>
      </c>
      <c r="BD57" s="74">
        <v>0</v>
      </c>
      <c r="BE57" s="28">
        <v>5</v>
      </c>
      <c r="BF57" s="584">
        <v>9</v>
      </c>
      <c r="BG57" s="28">
        <v>8</v>
      </c>
      <c r="BH57" s="28">
        <v>5</v>
      </c>
      <c r="BI57" s="28">
        <v>2</v>
      </c>
      <c r="BJ57" s="28">
        <v>4</v>
      </c>
      <c r="BK57" s="28">
        <v>0</v>
      </c>
      <c r="BL57" s="89">
        <f>IFERROR((LAD_P120[[#This Row],[BB]]+LAD_P120[[#This Row],[H]])/LAD_P120[[#This Row],[IP]],0)</f>
        <v>1.1111111111111112</v>
      </c>
      <c r="BM57" s="28">
        <v>0</v>
      </c>
      <c r="BN57" s="90">
        <v>0</v>
      </c>
      <c r="BO57" s="28">
        <v>0</v>
      </c>
      <c r="BP57" s="74">
        <v>0</v>
      </c>
      <c r="BQ57" s="615">
        <v>6</v>
      </c>
    </row>
    <row r="58" spans="1:73">
      <c r="A58" s="720" t="s">
        <v>1171</v>
      </c>
      <c r="B58" s="74" t="s">
        <v>212</v>
      </c>
      <c r="C58" s="116" t="s">
        <v>1195</v>
      </c>
      <c r="D58" s="88">
        <f>IFERROR((LAD_P[[#This Row],[R]]*9)/LAD_P[[#This Row],[IP]],0)</f>
        <v>5.7857142857142856</v>
      </c>
      <c r="E58" s="28">
        <v>1</v>
      </c>
      <c r="F58" s="74">
        <v>3</v>
      </c>
      <c r="G58" s="28">
        <v>13</v>
      </c>
      <c r="H58" s="584">
        <v>14</v>
      </c>
      <c r="I58" s="28">
        <v>18</v>
      </c>
      <c r="J58" s="28">
        <v>9</v>
      </c>
      <c r="K58" s="28">
        <v>8</v>
      </c>
      <c r="L58" s="28">
        <v>13</v>
      </c>
      <c r="M58" s="28">
        <v>0</v>
      </c>
      <c r="N58" s="89">
        <f>IFERROR((LAD_P[[#This Row],[BB]]+LAD_P[[#This Row],[H]])/LAD_P[[#This Row],[IP]],0)</f>
        <v>1.8571428571428572</v>
      </c>
      <c r="O58" s="28">
        <v>0</v>
      </c>
      <c r="P58" s="90">
        <v>0</v>
      </c>
      <c r="Q58" s="28">
        <v>0</v>
      </c>
      <c r="R58" s="74">
        <v>0</v>
      </c>
      <c r="S58" s="615">
        <v>7</v>
      </c>
      <c r="Z58" s="651" t="s">
        <v>1171</v>
      </c>
      <c r="AA58" s="74" t="s">
        <v>212</v>
      </c>
      <c r="AB58" s="116" t="s">
        <v>1195</v>
      </c>
      <c r="AC58" s="88">
        <f>IFERROR((LAD_P111[[#This Row],[R]]*9)/LAD_P111[[#This Row],[IP]],0)</f>
        <v>8.7591240875912408</v>
      </c>
      <c r="AD58" s="28">
        <v>2</v>
      </c>
      <c r="AE58" s="74">
        <v>1</v>
      </c>
      <c r="AF58" s="28">
        <v>12</v>
      </c>
      <c r="AG58" s="584">
        <v>12.33</v>
      </c>
      <c r="AH58" s="28">
        <v>18</v>
      </c>
      <c r="AI58" s="28">
        <v>12</v>
      </c>
      <c r="AJ58" s="28">
        <v>1</v>
      </c>
      <c r="AK58" s="28">
        <v>11</v>
      </c>
      <c r="AL58" s="28">
        <v>0</v>
      </c>
      <c r="AM58" s="89">
        <f>IFERROR((LAD_P111[[#This Row],[BB]]+LAD_P111[[#This Row],[H]])/LAD_P111[[#This Row],[IP]],0)</f>
        <v>1.5409570154095702</v>
      </c>
      <c r="AN58" s="28">
        <v>0</v>
      </c>
      <c r="AO58" s="90">
        <v>0</v>
      </c>
      <c r="AP58" s="28">
        <v>0</v>
      </c>
      <c r="AQ58" s="74">
        <v>0</v>
      </c>
      <c r="AR58" s="615">
        <v>7</v>
      </c>
      <c r="AY58" s="651" t="s">
        <v>1171</v>
      </c>
      <c r="AZ58" s="74" t="s">
        <v>212</v>
      </c>
      <c r="BA58" s="71" t="s">
        <v>1195</v>
      </c>
      <c r="BB58" s="88">
        <f>IFERROR((LAD_P120[[#This Row],[R]]*9)/LAD_P120[[#This Row],[IP]],0)</f>
        <v>3.79746835443038</v>
      </c>
      <c r="BC58" s="28">
        <v>1</v>
      </c>
      <c r="BD58" s="74">
        <v>0</v>
      </c>
      <c r="BE58" s="28">
        <v>23</v>
      </c>
      <c r="BF58" s="584">
        <v>21.33</v>
      </c>
      <c r="BG58" s="28">
        <v>19</v>
      </c>
      <c r="BH58" s="28">
        <v>9</v>
      </c>
      <c r="BI58" s="28">
        <v>7</v>
      </c>
      <c r="BJ58" s="28">
        <v>18</v>
      </c>
      <c r="BK58" s="28">
        <v>1</v>
      </c>
      <c r="BL58" s="89">
        <f>IFERROR((LAD_P120[[#This Row],[BB]]+LAD_P120[[#This Row],[H]])/LAD_P120[[#This Row],[IP]],0)</f>
        <v>1.2189404594467887</v>
      </c>
      <c r="BM58" s="28">
        <v>0</v>
      </c>
      <c r="BN58" s="90">
        <v>0</v>
      </c>
      <c r="BO58" s="28">
        <v>0</v>
      </c>
      <c r="BP58" s="74">
        <v>0</v>
      </c>
      <c r="BQ58" s="615">
        <v>7</v>
      </c>
    </row>
    <row r="59" spans="1:73">
      <c r="A59" s="720" t="s">
        <v>1171</v>
      </c>
      <c r="B59" s="74" t="s">
        <v>212</v>
      </c>
      <c r="C59" s="71" t="s">
        <v>1193</v>
      </c>
      <c r="D59" s="88">
        <f>IFERROR((LAD_P[[#This Row],[R]]*9)/LAD_P[[#This Row],[IP]],0)</f>
        <v>3.5653650254668925</v>
      </c>
      <c r="E59" s="28">
        <v>2</v>
      </c>
      <c r="F59" s="74">
        <v>0</v>
      </c>
      <c r="G59" s="28">
        <v>16</v>
      </c>
      <c r="H59" s="584">
        <v>17.670000000000002</v>
      </c>
      <c r="I59" s="28">
        <v>16</v>
      </c>
      <c r="J59" s="28">
        <v>7</v>
      </c>
      <c r="K59" s="28">
        <v>3</v>
      </c>
      <c r="L59" s="28">
        <v>22</v>
      </c>
      <c r="M59" s="28">
        <v>0</v>
      </c>
      <c r="N59" s="89">
        <f>IFERROR((LAD_P[[#This Row],[BB]]+LAD_P[[#This Row],[H]])/LAD_P[[#This Row],[IP]],0)</f>
        <v>1.075268817204301</v>
      </c>
      <c r="O59" s="28">
        <v>0</v>
      </c>
      <c r="P59" s="90">
        <v>0</v>
      </c>
      <c r="Q59" s="28">
        <v>0</v>
      </c>
      <c r="R59" s="74">
        <v>0</v>
      </c>
      <c r="S59" s="615">
        <v>8</v>
      </c>
      <c r="Z59" s="651" t="s">
        <v>1171</v>
      </c>
      <c r="AA59" s="74" t="s">
        <v>212</v>
      </c>
      <c r="AB59" s="71" t="s">
        <v>1193</v>
      </c>
      <c r="AC59" s="88">
        <f>IFERROR((LAD_P111[[#This Row],[R]]*9)/LAD_P111[[#This Row],[IP]],0)</f>
        <v>7.2</v>
      </c>
      <c r="AD59" s="28">
        <v>0</v>
      </c>
      <c r="AE59" s="74">
        <v>1</v>
      </c>
      <c r="AF59" s="28">
        <v>10</v>
      </c>
      <c r="AG59" s="584">
        <v>10</v>
      </c>
      <c r="AH59" s="28">
        <v>8</v>
      </c>
      <c r="AI59" s="28">
        <v>8</v>
      </c>
      <c r="AJ59" s="28">
        <v>7</v>
      </c>
      <c r="AK59" s="28">
        <v>12</v>
      </c>
      <c r="AL59" s="28">
        <v>0</v>
      </c>
      <c r="AM59" s="89">
        <f>IFERROR((LAD_P111[[#This Row],[BB]]+LAD_P111[[#This Row],[H]])/LAD_P111[[#This Row],[IP]],0)</f>
        <v>1.5</v>
      </c>
      <c r="AN59" s="28">
        <v>0</v>
      </c>
      <c r="AO59" s="90">
        <v>0</v>
      </c>
      <c r="AP59" s="28">
        <v>0</v>
      </c>
      <c r="AQ59" s="74">
        <v>0</v>
      </c>
      <c r="AR59" s="615">
        <v>8</v>
      </c>
      <c r="AY59" s="651" t="s">
        <v>1171</v>
      </c>
      <c r="AZ59" s="74" t="s">
        <v>215</v>
      </c>
      <c r="BA59" s="71" t="s">
        <v>1193</v>
      </c>
      <c r="BB59" s="88">
        <f>IFERROR((LAD_P120[[#This Row],[R]]*9)/LAD_P120[[#This Row],[IP]],0)</f>
        <v>3.3707865168539328</v>
      </c>
      <c r="BC59" s="28">
        <v>0</v>
      </c>
      <c r="BD59" s="74">
        <v>0</v>
      </c>
      <c r="BE59" s="28">
        <v>3</v>
      </c>
      <c r="BF59" s="584">
        <v>2.67</v>
      </c>
      <c r="BG59" s="28">
        <v>2</v>
      </c>
      <c r="BH59" s="28">
        <v>1</v>
      </c>
      <c r="BI59" s="28">
        <v>2</v>
      </c>
      <c r="BJ59" s="28">
        <v>2</v>
      </c>
      <c r="BK59" s="28">
        <v>0</v>
      </c>
      <c r="BL59" s="89">
        <f>IFERROR((LAD_P120[[#This Row],[BB]]+LAD_P120[[#This Row],[H]])/LAD_P120[[#This Row],[IP]],0)</f>
        <v>1.4981273408239701</v>
      </c>
      <c r="BM59" s="28">
        <v>0</v>
      </c>
      <c r="BN59" s="90">
        <v>0</v>
      </c>
      <c r="BO59" s="28">
        <v>0</v>
      </c>
      <c r="BP59" s="74">
        <v>0</v>
      </c>
      <c r="BQ59" s="615">
        <v>8</v>
      </c>
    </row>
    <row r="60" spans="1:73">
      <c r="A60" s="720" t="s">
        <v>1171</v>
      </c>
      <c r="B60" s="74" t="s">
        <v>212</v>
      </c>
      <c r="C60" s="71" t="s">
        <v>1194</v>
      </c>
      <c r="D60" s="88">
        <f>IFERROR((LAD_P[[#This Row],[R]]*9)/LAD_P[[#This Row],[IP]],0)</f>
        <v>3.6</v>
      </c>
      <c r="E60" s="28">
        <v>4</v>
      </c>
      <c r="F60" s="74">
        <v>2</v>
      </c>
      <c r="G60" s="28">
        <v>19</v>
      </c>
      <c r="H60" s="584">
        <v>20</v>
      </c>
      <c r="I60" s="28">
        <v>16</v>
      </c>
      <c r="J60" s="28">
        <v>8</v>
      </c>
      <c r="K60" s="28">
        <v>4</v>
      </c>
      <c r="L60" s="28">
        <v>14</v>
      </c>
      <c r="M60" s="28">
        <v>0</v>
      </c>
      <c r="N60" s="89">
        <f>IFERROR((LAD_P[[#This Row],[BB]]+LAD_P[[#This Row],[H]])/LAD_P[[#This Row],[IP]],0)</f>
        <v>1</v>
      </c>
      <c r="O60" s="28">
        <v>0</v>
      </c>
      <c r="P60" s="90">
        <v>0</v>
      </c>
      <c r="Q60" s="28">
        <v>0</v>
      </c>
      <c r="R60" s="74">
        <v>0</v>
      </c>
      <c r="S60" s="615">
        <v>9</v>
      </c>
      <c r="Z60" s="651" t="s">
        <v>1171</v>
      </c>
      <c r="AA60" s="74" t="s">
        <v>212</v>
      </c>
      <c r="AB60" s="71" t="s">
        <v>1194</v>
      </c>
      <c r="AC60" s="88">
        <f>IFERROR((LAD_P111[[#This Row],[R]]*9)/LAD_P111[[#This Row],[IP]],0)</f>
        <v>3.483309143686502</v>
      </c>
      <c r="AD60" s="28">
        <v>1</v>
      </c>
      <c r="AE60" s="74">
        <v>2</v>
      </c>
      <c r="AF60" s="28">
        <v>19</v>
      </c>
      <c r="AG60" s="584">
        <v>20.67</v>
      </c>
      <c r="AH60" s="28">
        <v>24</v>
      </c>
      <c r="AI60" s="28">
        <v>8</v>
      </c>
      <c r="AJ60" s="28">
        <v>6</v>
      </c>
      <c r="AK60" s="28">
        <v>11</v>
      </c>
      <c r="AL60" s="28">
        <v>0</v>
      </c>
      <c r="AM60" s="89">
        <f>IFERROR((LAD_P111[[#This Row],[BB]]+LAD_P111[[#This Row],[H]])/LAD_P111[[#This Row],[IP]],0)</f>
        <v>1.4513788098693758</v>
      </c>
      <c r="AN60" s="28">
        <v>0</v>
      </c>
      <c r="AO60" s="90">
        <v>0</v>
      </c>
      <c r="AP60" s="28">
        <v>0</v>
      </c>
      <c r="AQ60" s="74">
        <v>0</v>
      </c>
      <c r="AR60" s="615">
        <v>9</v>
      </c>
      <c r="AY60" s="651" t="s">
        <v>1171</v>
      </c>
      <c r="AZ60" s="74" t="s">
        <v>212</v>
      </c>
      <c r="BA60" s="71" t="s">
        <v>1194</v>
      </c>
      <c r="BB60" s="88">
        <f>IFERROR((LAD_P120[[#This Row],[R]]*9)/LAD_P120[[#This Row],[IP]],0)</f>
        <v>6.4579256360078281</v>
      </c>
      <c r="BC60" s="28">
        <v>0</v>
      </c>
      <c r="BD60" s="74">
        <v>0</v>
      </c>
      <c r="BE60" s="28">
        <v>14</v>
      </c>
      <c r="BF60" s="584">
        <v>15.33</v>
      </c>
      <c r="BG60" s="28">
        <v>14</v>
      </c>
      <c r="BH60" s="28">
        <v>11</v>
      </c>
      <c r="BI60" s="28">
        <v>10</v>
      </c>
      <c r="BJ60" s="28">
        <v>15</v>
      </c>
      <c r="BK60" s="28">
        <v>1</v>
      </c>
      <c r="BL60" s="89">
        <f>IFERROR((LAD_P120[[#This Row],[BB]]+LAD_P120[[#This Row],[H]])/LAD_P120[[#This Row],[IP]],0)</f>
        <v>1.5655577299412915</v>
      </c>
      <c r="BM60" s="28">
        <v>0</v>
      </c>
      <c r="BN60" s="90">
        <v>0</v>
      </c>
      <c r="BO60" s="28">
        <v>0</v>
      </c>
      <c r="BP60" s="74">
        <v>0</v>
      </c>
      <c r="BQ60" s="615">
        <v>9</v>
      </c>
    </row>
    <row r="61" spans="1:73" ht="17" thickBot="1">
      <c r="A61" s="720" t="s">
        <v>1171</v>
      </c>
      <c r="B61" s="74" t="s">
        <v>212</v>
      </c>
      <c r="C61" s="71" t="s">
        <v>1196</v>
      </c>
      <c r="D61" s="88">
        <f>IFERROR((LAD_P[[#This Row],[R]]*9)/LAD_P[[#This Row],[IP]],0)</f>
        <v>2.3333333333333335</v>
      </c>
      <c r="E61" s="28">
        <v>1</v>
      </c>
      <c r="F61" s="74">
        <v>1</v>
      </c>
      <c r="G61" s="76">
        <v>24</v>
      </c>
      <c r="H61" s="584">
        <v>27</v>
      </c>
      <c r="I61" s="28">
        <v>14</v>
      </c>
      <c r="J61" s="28">
        <v>7</v>
      </c>
      <c r="K61" s="28">
        <v>12</v>
      </c>
      <c r="L61" s="28">
        <v>31</v>
      </c>
      <c r="M61" s="28">
        <v>10</v>
      </c>
      <c r="N61" s="89">
        <f>IFERROR((LAD_P[[#This Row],[BB]]+LAD_P[[#This Row],[H]])/LAD_P[[#This Row],[IP]],0)</f>
        <v>0.96296296296296291</v>
      </c>
      <c r="O61" s="28">
        <v>0</v>
      </c>
      <c r="P61" s="90">
        <v>0</v>
      </c>
      <c r="Q61" s="28">
        <v>0</v>
      </c>
      <c r="R61" s="74">
        <v>0</v>
      </c>
      <c r="S61" s="615">
        <v>10</v>
      </c>
      <c r="Z61" s="651" t="s">
        <v>1171</v>
      </c>
      <c r="AA61" s="74" t="s">
        <v>212</v>
      </c>
      <c r="AB61" s="71" t="s">
        <v>1196</v>
      </c>
      <c r="AC61" s="88">
        <f>IFERROR((LAD_P111[[#This Row],[R]]*9)/LAD_P111[[#This Row],[IP]],0)</f>
        <v>3.9130434782608696</v>
      </c>
      <c r="AD61" s="28">
        <v>1</v>
      </c>
      <c r="AE61" s="74">
        <v>2</v>
      </c>
      <c r="AF61" s="28">
        <v>24</v>
      </c>
      <c r="AG61" s="584">
        <v>23</v>
      </c>
      <c r="AH61" s="28">
        <v>18</v>
      </c>
      <c r="AI61" s="28">
        <v>10</v>
      </c>
      <c r="AJ61" s="28">
        <v>7</v>
      </c>
      <c r="AK61" s="28">
        <v>32</v>
      </c>
      <c r="AL61" s="28">
        <v>11</v>
      </c>
      <c r="AM61" s="89">
        <f>IFERROR((LAD_P111[[#This Row],[BB]]+LAD_P111[[#This Row],[H]])/LAD_P111[[#This Row],[IP]],0)</f>
        <v>1.0869565217391304</v>
      </c>
      <c r="AN61" s="28">
        <v>0</v>
      </c>
      <c r="AO61" s="90">
        <v>0</v>
      </c>
      <c r="AP61" s="28">
        <v>0</v>
      </c>
      <c r="AQ61" s="74">
        <v>0</v>
      </c>
      <c r="AR61" s="615">
        <v>10</v>
      </c>
      <c r="AY61" s="651" t="s">
        <v>1171</v>
      </c>
      <c r="AZ61" s="74" t="s">
        <v>212</v>
      </c>
      <c r="BA61" s="71" t="s">
        <v>1196</v>
      </c>
      <c r="BB61" s="88">
        <f>IFERROR((LAD_P120[[#This Row],[R]]*9)/LAD_P120[[#This Row],[IP]],0)</f>
        <v>2.25</v>
      </c>
      <c r="BC61" s="28">
        <v>0</v>
      </c>
      <c r="BD61" s="74">
        <v>0</v>
      </c>
      <c r="BE61" s="28">
        <v>23</v>
      </c>
      <c r="BF61" s="584">
        <v>24</v>
      </c>
      <c r="BG61" s="28">
        <v>21</v>
      </c>
      <c r="BH61" s="28">
        <v>6</v>
      </c>
      <c r="BI61" s="28">
        <v>11</v>
      </c>
      <c r="BJ61" s="28">
        <v>31</v>
      </c>
      <c r="BK61" s="76">
        <v>13</v>
      </c>
      <c r="BL61" s="89">
        <f>IFERROR((LAD_P120[[#This Row],[BB]]+LAD_P120[[#This Row],[H]])/LAD_P120[[#This Row],[IP]],0)</f>
        <v>1.3333333333333333</v>
      </c>
      <c r="BM61" s="28">
        <v>0</v>
      </c>
      <c r="BN61" s="90">
        <v>0</v>
      </c>
      <c r="BO61" s="28">
        <v>0</v>
      </c>
      <c r="BP61" s="74">
        <v>0</v>
      </c>
      <c r="BQ61" s="615">
        <v>10</v>
      </c>
    </row>
    <row r="62" spans="1:73" ht="17" thickBot="1">
      <c r="A62" s="691"/>
      <c r="B62" s="692"/>
      <c r="C62" s="693" t="s">
        <v>195</v>
      </c>
      <c r="D62" s="860">
        <f>(J62*9)/H62</f>
        <v>3.1230361485286489</v>
      </c>
      <c r="E62" s="696">
        <f>SUBTOTAL(109,LAD_P[W])</f>
        <v>25</v>
      </c>
      <c r="F62" s="697">
        <f>SUBTOTAL(109,LAD_P[L])</f>
        <v>15</v>
      </c>
      <c r="G62" s="696"/>
      <c r="H62" s="855">
        <f>SUBTOTAL(109,LAD_P[IP])</f>
        <v>365.98999999999995</v>
      </c>
      <c r="I62" s="696">
        <f>SUBTOTAL(109,LAD_P[H])</f>
        <v>321</v>
      </c>
      <c r="J62" s="774">
        <f>SUBTOTAL(109,LAD_P[R])</f>
        <v>127</v>
      </c>
      <c r="K62" s="696">
        <f>SUBTOTAL(109,LAD_P[BB])</f>
        <v>102</v>
      </c>
      <c r="L62" s="696">
        <f>SUBTOTAL(109,LAD_P[K])</f>
        <v>379</v>
      </c>
      <c r="M62" s="696">
        <f>SUBTOTAL(109,LAD_P[SV])</f>
        <v>10</v>
      </c>
      <c r="N62" s="861">
        <f>(K62+I62)/H62</f>
        <v>1.1557692833137518</v>
      </c>
      <c r="O62" s="862">
        <f>SUBTOTAL(109,LAD_P[QS])</f>
        <v>29</v>
      </c>
      <c r="P62" s="725">
        <f>SUBTOTAL(109,LAD_P[UQ])</f>
        <v>19</v>
      </c>
      <c r="Q62" s="863">
        <f>SUBTOTAL(109,LAD_P[CG])</f>
        <v>4</v>
      </c>
      <c r="R62" s="704">
        <f>SUBTOTAL(109,LAD_P[SH])</f>
        <v>3</v>
      </c>
      <c r="S62" s="698"/>
      <c r="Z62" s="691"/>
      <c r="AA62" s="692"/>
      <c r="AB62" s="693" t="s">
        <v>195</v>
      </c>
      <c r="AC62" s="745">
        <f>(AI62*9)/AG62</f>
        <v>3.3305084745762712</v>
      </c>
      <c r="AD62" s="696">
        <f>SUBTOTAL(109,LAD_P111[W])</f>
        <v>24</v>
      </c>
      <c r="AE62" s="697">
        <f>SUBTOTAL(109,LAD_P111[L])</f>
        <v>16</v>
      </c>
      <c r="AF62" s="696"/>
      <c r="AG62" s="700">
        <f>SUBTOTAL(109,LAD_P111[IP])</f>
        <v>354</v>
      </c>
      <c r="AH62" s="774">
        <f>SUBTOTAL(109,LAD_P111[H])</f>
        <v>292</v>
      </c>
      <c r="AI62" s="696">
        <f>SUBTOTAL(109,LAD_P111[R])</f>
        <v>131</v>
      </c>
      <c r="AJ62" s="696">
        <f>SUBTOTAL(109,LAD_P111[BB])</f>
        <v>106</v>
      </c>
      <c r="AK62" s="696">
        <f>SUBTOTAL(109,LAD_P111[K])</f>
        <v>329</v>
      </c>
      <c r="AL62" s="696">
        <f>SUBTOTAL(109,LAD_P111[SV])</f>
        <v>11</v>
      </c>
      <c r="AM62" s="874">
        <f>(AJ62+AH62)/AG62</f>
        <v>1.1242937853107344</v>
      </c>
      <c r="AN62" s="875">
        <f>SUBTOTAL(109,LAD_P111[QS])</f>
        <v>32</v>
      </c>
      <c r="AO62" s="876">
        <f>SUBTOTAL(109,LAD_P111[UQ])</f>
        <v>24</v>
      </c>
      <c r="AP62" s="703">
        <f>SUBTOTAL(109,LAD_P111[CG])</f>
        <v>4</v>
      </c>
      <c r="AQ62" s="704">
        <f>SUBTOTAL(109,LAD_P111[SH])</f>
        <v>4</v>
      </c>
      <c r="AR62" s="698"/>
      <c r="AY62" s="691"/>
      <c r="AZ62" s="692"/>
      <c r="BA62" s="693" t="s">
        <v>195</v>
      </c>
      <c r="BB62" s="745">
        <f>(BH62*9)/BF62</f>
        <v>3.598389531957725</v>
      </c>
      <c r="BC62" s="696">
        <f>SUBTOTAL(109,LAD_P120[W])</f>
        <v>21</v>
      </c>
      <c r="BD62" s="697">
        <f>SUBTOTAL(109,LAD_P120[L])</f>
        <v>19</v>
      </c>
      <c r="BE62" s="696"/>
      <c r="BF62" s="700">
        <f>SUBTOTAL(109,LAD_P120[IP])</f>
        <v>357.66</v>
      </c>
      <c r="BG62" s="774">
        <f>SUBTOTAL(109,LAD_P120[H])</f>
        <v>309</v>
      </c>
      <c r="BH62" s="696">
        <f>SUBTOTAL(109,LAD_P120[R])</f>
        <v>143</v>
      </c>
      <c r="BI62" s="696">
        <f>SUBTOTAL(109,LAD_P120[BB])</f>
        <v>132</v>
      </c>
      <c r="BJ62" s="696">
        <f>SUBTOTAL(109,LAD_P120[K])</f>
        <v>364</v>
      </c>
      <c r="BK62" s="774">
        <f>SUBTOTAL(109,LAD_P120[SV])</f>
        <v>15</v>
      </c>
      <c r="BL62" s="746">
        <f>(BI62+BG62)/BF62</f>
        <v>1.2330145948666331</v>
      </c>
      <c r="BM62" s="701">
        <f>SUBTOTAL(109,LAD_P120[QS])</f>
        <v>28</v>
      </c>
      <c r="BN62" s="702">
        <f>SUBTOTAL(109,LAD_P120[UQ])</f>
        <v>17</v>
      </c>
      <c r="BO62" s="703">
        <f>SUM(BO52:BO61)</f>
        <v>3</v>
      </c>
      <c r="BP62" s="704">
        <f>SUM(BP52:BP61)</f>
        <v>2</v>
      </c>
      <c r="BQ62" s="698"/>
    </row>
    <row r="63" spans="1:73" ht="17" thickBot="1">
      <c r="E63" s="28"/>
      <c r="F63" s="28"/>
      <c r="G63" s="28"/>
      <c r="AD63" s="28"/>
      <c r="AE63" s="28"/>
      <c r="AF63" s="28"/>
    </row>
    <row r="64" spans="1:73" ht="24" thickBot="1">
      <c r="A64" s="1057" t="s">
        <v>1197</v>
      </c>
      <c r="B64" s="1058"/>
      <c r="C64" s="1058"/>
      <c r="D64" s="1058"/>
      <c r="E64" s="1058"/>
      <c r="F64" s="1058"/>
      <c r="G64" s="1058"/>
      <c r="H64" s="1058"/>
      <c r="I64" s="1058"/>
      <c r="J64" s="1058"/>
      <c r="K64" s="1058"/>
      <c r="L64" s="1058"/>
      <c r="M64" s="1058"/>
      <c r="N64" s="1058"/>
      <c r="O64" s="1058"/>
      <c r="P64" s="1058"/>
      <c r="Q64" s="1058"/>
      <c r="R64" s="1058"/>
      <c r="S64" s="1058"/>
      <c r="T64" s="1058"/>
      <c r="U64" s="1058"/>
      <c r="V64" s="1058"/>
      <c r="W64" s="1059"/>
      <c r="Z64" s="1057" t="s">
        <v>1198</v>
      </c>
      <c r="AA64" s="1058"/>
      <c r="AB64" s="1058"/>
      <c r="AC64" s="1058"/>
      <c r="AD64" s="1058"/>
      <c r="AE64" s="1058"/>
      <c r="AF64" s="1058"/>
      <c r="AG64" s="1058"/>
      <c r="AH64" s="1058"/>
      <c r="AI64" s="1058"/>
      <c r="AJ64" s="1058"/>
      <c r="AK64" s="1058"/>
      <c r="AL64" s="1058"/>
      <c r="AM64" s="1058"/>
      <c r="AN64" s="1058"/>
      <c r="AO64" s="1058"/>
      <c r="AP64" s="1058"/>
      <c r="AQ64" s="1058"/>
      <c r="AR64" s="1058"/>
      <c r="AS64" s="1058"/>
      <c r="AT64" s="1058"/>
      <c r="AU64" s="1058"/>
      <c r="AV64" s="1059"/>
      <c r="AY64" s="1057" t="s">
        <v>1199</v>
      </c>
      <c r="AZ64" s="1058"/>
      <c r="BA64" s="1058"/>
      <c r="BB64" s="1058"/>
      <c r="BC64" s="1058"/>
      <c r="BD64" s="1058"/>
      <c r="BE64" s="1058"/>
      <c r="BF64" s="1058"/>
      <c r="BG64" s="1058"/>
      <c r="BH64" s="1058"/>
      <c r="BI64" s="1058"/>
      <c r="BJ64" s="1058"/>
      <c r="BK64" s="1058"/>
      <c r="BL64" s="1058"/>
      <c r="BM64" s="1058"/>
      <c r="BN64" s="1058"/>
      <c r="BO64" s="1058"/>
      <c r="BP64" s="1058"/>
      <c r="BQ64" s="1058"/>
      <c r="BR64" s="1058"/>
      <c r="BS64" s="1058"/>
      <c r="BT64" s="1058"/>
      <c r="BU64" s="1059"/>
    </row>
    <row r="65" spans="1:73" s="108" customFormat="1" ht="15" thickBot="1">
      <c r="A65" s="605" t="s">
        <v>143</v>
      </c>
      <c r="B65" s="606" t="s">
        <v>144</v>
      </c>
      <c r="C65" s="606" t="s">
        <v>145</v>
      </c>
      <c r="D65" s="606" t="s">
        <v>146</v>
      </c>
      <c r="E65" s="606" t="s">
        <v>147</v>
      </c>
      <c r="F65" s="606" t="s">
        <v>148</v>
      </c>
      <c r="G65" s="606" t="s">
        <v>149</v>
      </c>
      <c r="H65" s="606" t="s">
        <v>150</v>
      </c>
      <c r="I65" s="606" t="s">
        <v>151</v>
      </c>
      <c r="J65" s="606" t="s">
        <v>152</v>
      </c>
      <c r="K65" s="606" t="s">
        <v>153</v>
      </c>
      <c r="L65" s="606" t="s">
        <v>154</v>
      </c>
      <c r="M65" s="606" t="s">
        <v>155</v>
      </c>
      <c r="N65" s="606" t="s">
        <v>156</v>
      </c>
      <c r="O65" s="606" t="s">
        <v>157</v>
      </c>
      <c r="P65" s="606" t="s">
        <v>158</v>
      </c>
      <c r="Q65" s="606" t="s">
        <v>159</v>
      </c>
      <c r="R65" s="606" t="s">
        <v>160</v>
      </c>
      <c r="S65" s="606" t="s">
        <v>16</v>
      </c>
      <c r="T65" s="606" t="s">
        <v>161</v>
      </c>
      <c r="U65" s="606" t="s">
        <v>162</v>
      </c>
      <c r="V65" s="606" t="s">
        <v>163</v>
      </c>
      <c r="W65" s="607" t="s">
        <v>164</v>
      </c>
      <c r="Z65" s="605" t="s">
        <v>143</v>
      </c>
      <c r="AA65" s="606" t="s">
        <v>144</v>
      </c>
      <c r="AB65" s="606" t="s">
        <v>145</v>
      </c>
      <c r="AC65" s="606" t="s">
        <v>146</v>
      </c>
      <c r="AD65" s="606" t="s">
        <v>147</v>
      </c>
      <c r="AE65" s="606" t="s">
        <v>148</v>
      </c>
      <c r="AF65" s="606" t="s">
        <v>149</v>
      </c>
      <c r="AG65" s="606" t="s">
        <v>150</v>
      </c>
      <c r="AH65" s="606" t="s">
        <v>151</v>
      </c>
      <c r="AI65" s="606" t="s">
        <v>152</v>
      </c>
      <c r="AJ65" s="606" t="s">
        <v>153</v>
      </c>
      <c r="AK65" s="606" t="s">
        <v>154</v>
      </c>
      <c r="AL65" s="606" t="s">
        <v>155</v>
      </c>
      <c r="AM65" s="606" t="s">
        <v>156</v>
      </c>
      <c r="AN65" s="606" t="s">
        <v>157</v>
      </c>
      <c r="AO65" s="606" t="s">
        <v>158</v>
      </c>
      <c r="AP65" s="606" t="s">
        <v>159</v>
      </c>
      <c r="AQ65" s="606" t="s">
        <v>160</v>
      </c>
      <c r="AR65" s="606" t="s">
        <v>16</v>
      </c>
      <c r="AS65" s="606" t="s">
        <v>161</v>
      </c>
      <c r="AT65" s="606" t="s">
        <v>162</v>
      </c>
      <c r="AU65" s="606" t="s">
        <v>163</v>
      </c>
      <c r="AV65" s="607" t="s">
        <v>164</v>
      </c>
      <c r="AY65" s="605" t="s">
        <v>143</v>
      </c>
      <c r="AZ65" s="606" t="s">
        <v>144</v>
      </c>
      <c r="BA65" s="606" t="s">
        <v>145</v>
      </c>
      <c r="BB65" s="606" t="s">
        <v>146</v>
      </c>
      <c r="BC65" s="606" t="s">
        <v>147</v>
      </c>
      <c r="BD65" s="606" t="s">
        <v>148</v>
      </c>
      <c r="BE65" s="606" t="s">
        <v>149</v>
      </c>
      <c r="BF65" s="606" t="s">
        <v>150</v>
      </c>
      <c r="BG65" s="606" t="s">
        <v>151</v>
      </c>
      <c r="BH65" s="606" t="s">
        <v>152</v>
      </c>
      <c r="BI65" s="606" t="s">
        <v>153</v>
      </c>
      <c r="BJ65" s="606" t="s">
        <v>154</v>
      </c>
      <c r="BK65" s="606" t="s">
        <v>155</v>
      </c>
      <c r="BL65" s="606" t="s">
        <v>156</v>
      </c>
      <c r="BM65" s="606" t="s">
        <v>157</v>
      </c>
      <c r="BN65" s="606" t="s">
        <v>158</v>
      </c>
      <c r="BO65" s="606" t="s">
        <v>159</v>
      </c>
      <c r="BP65" s="606" t="s">
        <v>160</v>
      </c>
      <c r="BQ65" s="606" t="s">
        <v>16</v>
      </c>
      <c r="BR65" s="606" t="s">
        <v>161</v>
      </c>
      <c r="BS65" s="606" t="s">
        <v>162</v>
      </c>
      <c r="BT65" s="606" t="s">
        <v>163</v>
      </c>
      <c r="BU65" s="607" t="s">
        <v>164</v>
      </c>
    </row>
    <row r="66" spans="1:73">
      <c r="A66" s="650" t="s">
        <v>1200</v>
      </c>
      <c r="B66" s="597" t="s">
        <v>179</v>
      </c>
      <c r="C66" s="597" t="s">
        <v>1210</v>
      </c>
      <c r="D66" s="598">
        <f>IFERROR(SDP_H[[#This Row],[H]]/SDP_H[[#This Row],[AB]],0)</f>
        <v>0.21739130434782608</v>
      </c>
      <c r="E66" s="598">
        <f>IFERROR((SDP_H[[#This Row],[H]]+SDP_H[[#This Row],[BB]])/(SDP_H[[#This Row],[BB]]+SDP_H[[#This Row],[AB]]),0)</f>
        <v>0.256198347107438</v>
      </c>
      <c r="F66" s="599">
        <f>IFERROR(((SDP_H[[#This Row],[H]]-SDP_H[[#This Row],[2B]]-SDP_H[[#This Row],[3B]]-SDP_H[[#This Row],[HR]])+(SDP_H[[#This Row],[2B]]*2)+(SDP_H[[#This Row],[3B]]*3)+(SDP_H[[#This Row],[HR]]*4))/SDP_H[[#This Row],[AB]],0)</f>
        <v>0.33913043478260868</v>
      </c>
      <c r="G66" s="600">
        <v>33</v>
      </c>
      <c r="H66" s="600">
        <v>115</v>
      </c>
      <c r="I66" s="600">
        <v>9</v>
      </c>
      <c r="J66" s="600">
        <v>25</v>
      </c>
      <c r="K66" s="600">
        <v>5</v>
      </c>
      <c r="L66" s="600">
        <v>0</v>
      </c>
      <c r="M66" s="600">
        <v>3</v>
      </c>
      <c r="N66" s="600">
        <v>12</v>
      </c>
      <c r="O66" s="600">
        <v>6</v>
      </c>
      <c r="P66" s="604">
        <v>24</v>
      </c>
      <c r="Q66" s="600">
        <v>0</v>
      </c>
      <c r="R66" s="600">
        <v>1</v>
      </c>
      <c r="S66" s="604">
        <v>11</v>
      </c>
      <c r="T66" s="600">
        <f>IFERROR((SDP_H[[#This Row],[H]]-SDP_H[[#This Row],[2B]]-SDP_H[[#This Row],[3B]]-SDP_H[[#This Row],[HR]])+(SDP_H[[#This Row],[2B]]*2)+(SDP_H[[#This Row],[3B]]*3)+(SDP_H[[#This Row],[HR]]*4),0)</f>
        <v>39</v>
      </c>
      <c r="U66" s="598">
        <f>SDP_H[[#This Row],[OBP]]+SDP_H[[#This Row],[SLG]]</f>
        <v>0.59532878189004668</v>
      </c>
      <c r="V66" s="604">
        <v>1</v>
      </c>
      <c r="W66" s="614">
        <v>1</v>
      </c>
      <c r="Z66" s="650" t="s">
        <v>1200</v>
      </c>
      <c r="AA66" s="597" t="s">
        <v>179</v>
      </c>
      <c r="AB66" s="597" t="s">
        <v>1208</v>
      </c>
      <c r="AC66" s="598">
        <f>IFERROR(SDP_H107[[#This Row],[H]]/SDP_H107[[#This Row],[AB]],0)</f>
        <v>0.22105263157894736</v>
      </c>
      <c r="AD66" s="598">
        <f>IFERROR((SDP_H107[[#This Row],[H]]+SDP_H107[[#This Row],[BB]])/(SDP_H107[[#This Row],[BB]]+SDP_H107[[#This Row],[AB]]),0)</f>
        <v>0.26</v>
      </c>
      <c r="AE66" s="599">
        <f>IFERROR(((SDP_H107[[#This Row],[H]]-SDP_H107[[#This Row],[2B]]-SDP_H107[[#This Row],[3B]]-SDP_H107[[#This Row],[HR]])+(SDP_H107[[#This Row],[2B]]*2)+(SDP_H107[[#This Row],[3B]]*3)+(SDP_H107[[#This Row],[HR]]*4))/SDP_H107[[#This Row],[AB]],0)</f>
        <v>0.4</v>
      </c>
      <c r="AF66" s="600">
        <v>27</v>
      </c>
      <c r="AG66" s="600">
        <v>95</v>
      </c>
      <c r="AH66" s="600">
        <v>14</v>
      </c>
      <c r="AI66" s="600">
        <v>21</v>
      </c>
      <c r="AJ66" s="600">
        <v>6</v>
      </c>
      <c r="AK66" s="600">
        <v>1</v>
      </c>
      <c r="AL66" s="600">
        <v>3</v>
      </c>
      <c r="AM66" s="600">
        <v>11</v>
      </c>
      <c r="AN66" s="600">
        <v>5</v>
      </c>
      <c r="AO66" s="604">
        <v>21</v>
      </c>
      <c r="AP66" s="600">
        <v>0</v>
      </c>
      <c r="AQ66" s="600">
        <v>1</v>
      </c>
      <c r="AR66" s="604">
        <v>4</v>
      </c>
      <c r="AS66" s="600">
        <f>IFERROR((SDP_H107[[#This Row],[H]]-SDP_H107[[#This Row],[2B]]-SDP_H107[[#This Row],[3B]]-SDP_H107[[#This Row],[HR]])+(SDP_H107[[#This Row],[2B]]*2)+(SDP_H107[[#This Row],[3B]]*3)+(SDP_H107[[#This Row],[HR]]*4),0)</f>
        <v>38</v>
      </c>
      <c r="AT66" s="598">
        <f>SDP_H107[[#This Row],[OBP]]+SDP_H107[[#This Row],[SLG]]</f>
        <v>0.66</v>
      </c>
      <c r="AU66" s="604">
        <v>2</v>
      </c>
      <c r="AV66" s="614">
        <v>1</v>
      </c>
      <c r="AY66" s="650" t="s">
        <v>1200</v>
      </c>
      <c r="AZ66" s="604" t="s">
        <v>179</v>
      </c>
      <c r="BA66" s="597" t="s">
        <v>1208</v>
      </c>
      <c r="BB66" s="598">
        <f>IFERROR(SDP_H121[[#This Row],[H]]/SDP_H121[[#This Row],[AB]],0)</f>
        <v>0.24409448818897639</v>
      </c>
      <c r="BC66" s="598">
        <f>IFERROR((SDP_H121[[#This Row],[BB]]+SDP_H121[[#This Row],[H]])/(SDP_H121[[#This Row],[BB]]+SDP_H121[[#This Row],[AB]]),0)</f>
        <v>0.29927007299270075</v>
      </c>
      <c r="BD66" s="599">
        <f>IFERROR(((SDP_H121[[#This Row],[H]]-SDP_H121[[#This Row],[2B]]-SDP_H121[[#This Row],[3B]]-SDP_H121[[#This Row],[HR]])+(SDP_H121[[#This Row],[2B]]*2)+(SDP_H121[[#This Row],[3B]]*3)+(SDP_H121[[#This Row],[HR]]*4))/SDP_H121[[#This Row],[AB]],0)</f>
        <v>0.45669291338582679</v>
      </c>
      <c r="BE66" s="600">
        <v>37</v>
      </c>
      <c r="BF66" s="600">
        <v>127</v>
      </c>
      <c r="BG66" s="600">
        <v>18</v>
      </c>
      <c r="BH66" s="600">
        <v>31</v>
      </c>
      <c r="BI66" s="600">
        <v>10</v>
      </c>
      <c r="BJ66" s="600">
        <v>1</v>
      </c>
      <c r="BK66" s="600">
        <v>5</v>
      </c>
      <c r="BL66" s="600">
        <v>17</v>
      </c>
      <c r="BM66" s="600">
        <v>10</v>
      </c>
      <c r="BN66" s="604">
        <v>34</v>
      </c>
      <c r="BO66" s="600">
        <v>0</v>
      </c>
      <c r="BP66" s="600">
        <v>0</v>
      </c>
      <c r="BQ66" s="604">
        <v>6</v>
      </c>
      <c r="BR66" s="600">
        <f>(SDP_H121[[#This Row],[H]]-SDP_H121[[#This Row],[2B]]-SDP_H121[[#This Row],[3B]]-SDP_H121[[#This Row],[HR]])+(SDP_H121[[#This Row],[2B]]*2)+(SDP_H121[[#This Row],[3B]]*3)+(SDP_H121[[#This Row],[HR]]*4)</f>
        <v>58</v>
      </c>
      <c r="BS66" s="598">
        <f>IFERROR(SDP_H121[[#This Row],[OBP]]+SDP_H121[[#This Row],[SLG]],0)</f>
        <v>0.75596298637852755</v>
      </c>
      <c r="BT66" s="604">
        <v>2</v>
      </c>
      <c r="BU66" s="614">
        <v>1</v>
      </c>
    </row>
    <row r="67" spans="1:73">
      <c r="A67" s="651" t="s">
        <v>1200</v>
      </c>
      <c r="B67" s="71" t="s">
        <v>154</v>
      </c>
      <c r="C67" s="71" t="s">
        <v>1202</v>
      </c>
      <c r="D67" s="72">
        <f>IFERROR(SDP_H[[#This Row],[H]]/SDP_H[[#This Row],[AB]],0)</f>
        <v>0.21935483870967742</v>
      </c>
      <c r="E67" s="72">
        <f>IFERROR((SDP_H[[#This Row],[H]]+SDP_H[[#This Row],[BB]])/(SDP_H[[#This Row],[BB]]+SDP_H[[#This Row],[AB]]),0)</f>
        <v>0.27976190476190477</v>
      </c>
      <c r="F67" s="73">
        <f>IFERROR(((SDP_H[[#This Row],[H]]-SDP_H[[#This Row],[2B]]-SDP_H[[#This Row],[3B]]-SDP_H[[#This Row],[HR]])+(SDP_H[[#This Row],[2B]]*2)+(SDP_H[[#This Row],[3B]]*3)+(SDP_H[[#This Row],[HR]]*4))/SDP_H[[#This Row],[AB]],0)</f>
        <v>0.38064516129032255</v>
      </c>
      <c r="G67" s="28">
        <v>40</v>
      </c>
      <c r="H67" s="28">
        <v>155</v>
      </c>
      <c r="I67" s="28">
        <v>17</v>
      </c>
      <c r="J67" s="28">
        <v>34</v>
      </c>
      <c r="K67" s="28">
        <v>4</v>
      </c>
      <c r="L67" s="28">
        <v>0</v>
      </c>
      <c r="M67" s="28">
        <v>7</v>
      </c>
      <c r="N67" s="28">
        <v>18</v>
      </c>
      <c r="O67" s="28">
        <v>13</v>
      </c>
      <c r="P67" s="74">
        <v>37</v>
      </c>
      <c r="Q67" s="28">
        <v>0</v>
      </c>
      <c r="R67" s="28">
        <v>0</v>
      </c>
      <c r="S67" s="74">
        <v>6</v>
      </c>
      <c r="T67" s="28">
        <f>IFERROR((SDP_H[[#This Row],[H]]-SDP_H[[#This Row],[2B]]-SDP_H[[#This Row],[3B]]-SDP_H[[#This Row],[HR]])+(SDP_H[[#This Row],[2B]]*2)+(SDP_H[[#This Row],[3B]]*3)+(SDP_H[[#This Row],[HR]]*4),0)</f>
        <v>59</v>
      </c>
      <c r="U67" s="72">
        <f>SDP_H[[#This Row],[OBP]]+SDP_H[[#This Row],[SLG]]</f>
        <v>0.66040706605222732</v>
      </c>
      <c r="V67" s="74">
        <v>1</v>
      </c>
      <c r="W67" s="615">
        <v>2</v>
      </c>
      <c r="Z67" s="651" t="s">
        <v>1200</v>
      </c>
      <c r="AA67" s="71" t="s">
        <v>154</v>
      </c>
      <c r="AB67" s="71" t="s">
        <v>1202</v>
      </c>
      <c r="AC67" s="72">
        <f>IFERROR(SDP_H107[[#This Row],[H]]/SDP_H107[[#This Row],[AB]],0)</f>
        <v>0.2484472049689441</v>
      </c>
      <c r="AD67" s="72">
        <f>IFERROR((SDP_H107[[#This Row],[H]]+SDP_H107[[#This Row],[BB]])/(SDP_H107[[#This Row],[BB]]+SDP_H107[[#This Row],[AB]]),0)</f>
        <v>0.30857142857142855</v>
      </c>
      <c r="AE67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0.42236024844720499</v>
      </c>
      <c r="AF67" s="28">
        <v>40</v>
      </c>
      <c r="AG67" s="28">
        <v>161</v>
      </c>
      <c r="AH67" s="28">
        <v>13</v>
      </c>
      <c r="AI67" s="28">
        <v>40</v>
      </c>
      <c r="AJ67" s="28">
        <v>7</v>
      </c>
      <c r="AK67" s="28">
        <v>0</v>
      </c>
      <c r="AL67" s="28">
        <v>7</v>
      </c>
      <c r="AM67" s="28">
        <v>23</v>
      </c>
      <c r="AN67" s="28">
        <v>14</v>
      </c>
      <c r="AO67" s="74">
        <v>39</v>
      </c>
      <c r="AP67" s="28">
        <v>0</v>
      </c>
      <c r="AQ67" s="28">
        <v>5</v>
      </c>
      <c r="AR67" s="74">
        <v>5</v>
      </c>
      <c r="AS67" s="28">
        <f>IFERROR((SDP_H107[[#This Row],[H]]-SDP_H107[[#This Row],[2B]]-SDP_H107[[#This Row],[3B]]-SDP_H107[[#This Row],[HR]])+(SDP_H107[[#This Row],[2B]]*2)+(SDP_H107[[#This Row],[3B]]*3)+(SDP_H107[[#This Row],[HR]]*4),0)</f>
        <v>68</v>
      </c>
      <c r="AT67" s="72">
        <f>SDP_H107[[#This Row],[OBP]]+SDP_H107[[#This Row],[SLG]]</f>
        <v>0.7309316770186336</v>
      </c>
      <c r="AU67" s="74">
        <v>4</v>
      </c>
      <c r="AV67" s="615">
        <v>2</v>
      </c>
      <c r="AY67" s="651" t="s">
        <v>1200</v>
      </c>
      <c r="AZ67" s="74" t="s">
        <v>154</v>
      </c>
      <c r="BA67" s="71" t="s">
        <v>1202</v>
      </c>
      <c r="BB67" s="72">
        <f>IFERROR(SDP_H121[[#This Row],[H]]/SDP_H121[[#This Row],[AB]],0)</f>
        <v>0.25974025974025972</v>
      </c>
      <c r="BC67" s="72">
        <f>IFERROR((SDP_H121[[#This Row],[BB]]+SDP_H121[[#This Row],[H]])/(SDP_H121[[#This Row],[BB]]+SDP_H121[[#This Row],[AB]]),0)</f>
        <v>0.32544378698224852</v>
      </c>
      <c r="BD67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0.51948051948051943</v>
      </c>
      <c r="BE67" s="28">
        <v>40</v>
      </c>
      <c r="BF67" s="28">
        <v>154</v>
      </c>
      <c r="BG67" s="28">
        <v>26</v>
      </c>
      <c r="BH67" s="28">
        <v>40</v>
      </c>
      <c r="BI67" s="28">
        <v>10</v>
      </c>
      <c r="BJ67" s="28">
        <v>0</v>
      </c>
      <c r="BK67" s="28">
        <v>10</v>
      </c>
      <c r="BL67" s="28">
        <v>30</v>
      </c>
      <c r="BM67" s="28">
        <v>15</v>
      </c>
      <c r="BN67" s="74">
        <v>35</v>
      </c>
      <c r="BO67" s="28">
        <v>0</v>
      </c>
      <c r="BP67" s="28">
        <v>0</v>
      </c>
      <c r="BQ67" s="74">
        <v>7</v>
      </c>
      <c r="BR67" s="28">
        <f>(SDP_H121[[#This Row],[H]]-SDP_H121[[#This Row],[2B]]-SDP_H121[[#This Row],[3B]]-SDP_H121[[#This Row],[HR]])+(SDP_H121[[#This Row],[2B]]*2)+(SDP_H121[[#This Row],[3B]]*3)+(SDP_H121[[#This Row],[HR]]*4)</f>
        <v>80</v>
      </c>
      <c r="BS67" s="72">
        <f>IFERROR(SDP_H121[[#This Row],[OBP]]+SDP_H121[[#This Row],[SLG]],0)</f>
        <v>0.84492430646276795</v>
      </c>
      <c r="BT67" s="74">
        <v>4</v>
      </c>
      <c r="BU67" s="615">
        <v>2</v>
      </c>
    </row>
    <row r="68" spans="1:73">
      <c r="A68" s="651" t="s">
        <v>1200</v>
      </c>
      <c r="B68" s="71" t="s">
        <v>172</v>
      </c>
      <c r="C68" s="71" t="s">
        <v>237</v>
      </c>
      <c r="D68" s="72">
        <f>IFERROR(SDP_H[[#This Row],[H]]/SDP_H[[#This Row],[AB]],0)</f>
        <v>0.29113924050632911</v>
      </c>
      <c r="E68" s="72">
        <f>IFERROR((SDP_H[[#This Row],[H]]+SDP_H[[#This Row],[BB]])/(SDP_H[[#This Row],[BB]]+SDP_H[[#This Row],[AB]]),0)</f>
        <v>0.3253012048192771</v>
      </c>
      <c r="F68" s="73">
        <f>IFERROR(((SDP_H[[#This Row],[H]]-SDP_H[[#This Row],[2B]]-SDP_H[[#This Row],[3B]]-SDP_H[[#This Row],[HR]])+(SDP_H[[#This Row],[2B]]*2)+(SDP_H[[#This Row],[3B]]*3)+(SDP_H[[#This Row],[HR]]*4))/SDP_H[[#This Row],[AB]],0)</f>
        <v>0.46835443037974683</v>
      </c>
      <c r="G68" s="28">
        <v>40</v>
      </c>
      <c r="H68" s="28">
        <v>158</v>
      </c>
      <c r="I68" s="28">
        <v>14</v>
      </c>
      <c r="J68" s="28">
        <v>46</v>
      </c>
      <c r="K68" s="28">
        <v>10</v>
      </c>
      <c r="L68" s="28">
        <v>0</v>
      </c>
      <c r="M68" s="28">
        <v>6</v>
      </c>
      <c r="N68" s="28">
        <v>22</v>
      </c>
      <c r="O68" s="28">
        <v>8</v>
      </c>
      <c r="P68" s="74">
        <v>33</v>
      </c>
      <c r="Q68" s="28">
        <v>0</v>
      </c>
      <c r="R68" s="28">
        <v>9</v>
      </c>
      <c r="S68" s="74">
        <v>10</v>
      </c>
      <c r="T68" s="28">
        <f>IFERROR((SDP_H[[#This Row],[H]]-SDP_H[[#This Row],[2B]]-SDP_H[[#This Row],[3B]]-SDP_H[[#This Row],[HR]])+(SDP_H[[#This Row],[2B]]*2)+(SDP_H[[#This Row],[3B]]*3)+(SDP_H[[#This Row],[HR]]*4),0)</f>
        <v>74</v>
      </c>
      <c r="U68" s="72">
        <f>SDP_H[[#This Row],[OBP]]+SDP_H[[#This Row],[SLG]]</f>
        <v>0.79365563519902393</v>
      </c>
      <c r="V68" s="104">
        <v>6</v>
      </c>
      <c r="W68" s="615">
        <v>3</v>
      </c>
      <c r="Z68" s="651" t="s">
        <v>1200</v>
      </c>
      <c r="AA68" s="71" t="s">
        <v>172</v>
      </c>
      <c r="AB68" s="71" t="s">
        <v>2185</v>
      </c>
      <c r="AC68" s="72">
        <f>IFERROR(SDP_H107[[#This Row],[H]]/SDP_H107[[#This Row],[AB]],0)</f>
        <v>0.26380368098159507</v>
      </c>
      <c r="AD68" s="72">
        <f>IFERROR((SDP_H107[[#This Row],[H]]+SDP_H107[[#This Row],[BB]])/(SDP_H107[[#This Row],[BB]]+SDP_H107[[#This Row],[AB]]),0)</f>
        <v>0.31428571428571428</v>
      </c>
      <c r="AE68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0.46012269938650308</v>
      </c>
      <c r="AF68" s="28">
        <v>40</v>
      </c>
      <c r="AG68" s="28">
        <v>163</v>
      </c>
      <c r="AH68" s="28">
        <v>22</v>
      </c>
      <c r="AI68" s="28">
        <v>43</v>
      </c>
      <c r="AJ68" s="28">
        <v>6</v>
      </c>
      <c r="AK68" s="28">
        <v>1</v>
      </c>
      <c r="AL68" s="28">
        <v>8</v>
      </c>
      <c r="AM68" s="28">
        <v>24</v>
      </c>
      <c r="AN68" s="28">
        <v>12</v>
      </c>
      <c r="AO68" s="104">
        <v>60</v>
      </c>
      <c r="AP68" s="28">
        <v>3</v>
      </c>
      <c r="AQ68" s="28">
        <v>1</v>
      </c>
      <c r="AR68" s="74">
        <v>9</v>
      </c>
      <c r="AS68" s="28">
        <f>IFERROR((SDP_H107[[#This Row],[H]]-SDP_H107[[#This Row],[2B]]-SDP_H107[[#This Row],[3B]]-SDP_H107[[#This Row],[HR]])+(SDP_H107[[#This Row],[2B]]*2)+(SDP_H107[[#This Row],[3B]]*3)+(SDP_H107[[#This Row],[HR]]*4),0)</f>
        <v>75</v>
      </c>
      <c r="AT68" s="72">
        <f>SDP_H107[[#This Row],[OBP]]+SDP_H107[[#This Row],[SLG]]</f>
        <v>0.77440841367221736</v>
      </c>
      <c r="AU68" s="74">
        <v>4</v>
      </c>
      <c r="AV68" s="615">
        <v>3</v>
      </c>
      <c r="AY68" s="651" t="s">
        <v>1200</v>
      </c>
      <c r="AZ68" s="104" t="s">
        <v>172</v>
      </c>
      <c r="BA68" s="71" t="s">
        <v>2185</v>
      </c>
      <c r="BB68" s="72">
        <f>IFERROR(SDP_H121[[#This Row],[H]]/SDP_H121[[#This Row],[AB]],0)</f>
        <v>0.28025477707006369</v>
      </c>
      <c r="BC68" s="72">
        <f>IFERROR((SDP_H121[[#This Row],[BB]]+SDP_H121[[#This Row],[H]])/(SDP_H121[[#This Row],[BB]]+SDP_H121[[#This Row],[AB]]),0)</f>
        <v>0.35057471264367818</v>
      </c>
      <c r="BD68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0.61146496815286622</v>
      </c>
      <c r="BE68" s="28">
        <v>40</v>
      </c>
      <c r="BF68" s="28">
        <v>157</v>
      </c>
      <c r="BG68" s="28">
        <v>30</v>
      </c>
      <c r="BH68" s="28">
        <v>44</v>
      </c>
      <c r="BI68" s="28">
        <v>10</v>
      </c>
      <c r="BJ68" s="28">
        <v>0</v>
      </c>
      <c r="BK68" s="28">
        <v>14</v>
      </c>
      <c r="BL68" s="28">
        <v>32</v>
      </c>
      <c r="BM68" s="28">
        <v>17</v>
      </c>
      <c r="BN68" s="74">
        <v>54</v>
      </c>
      <c r="BO68" s="28">
        <v>5</v>
      </c>
      <c r="BP68" s="28">
        <v>3</v>
      </c>
      <c r="BQ68" s="74">
        <v>12</v>
      </c>
      <c r="BR68" s="76">
        <f>(SDP_H121[[#This Row],[H]]-SDP_H121[[#This Row],[2B]]-SDP_H121[[#This Row],[3B]]-SDP_H121[[#This Row],[HR]])+(SDP_H121[[#This Row],[2B]]*2)+(SDP_H121[[#This Row],[3B]]*3)+(SDP_H121[[#This Row],[HR]]*4)</f>
        <v>96</v>
      </c>
      <c r="BS68" s="72">
        <f>IFERROR(SDP_H121[[#This Row],[OBP]]+SDP_H121[[#This Row],[SLG]],0)</f>
        <v>0.96203968079654434</v>
      </c>
      <c r="BT68" s="74">
        <v>6</v>
      </c>
      <c r="BU68" s="615">
        <v>3</v>
      </c>
    </row>
    <row r="69" spans="1:73">
      <c r="A69" s="651" t="s">
        <v>1200</v>
      </c>
      <c r="B69" s="71" t="s">
        <v>153</v>
      </c>
      <c r="C69" s="71" t="s">
        <v>1205</v>
      </c>
      <c r="D69" s="72">
        <f>IFERROR(SDP_H[[#This Row],[H]]/SDP_H[[#This Row],[AB]],0)</f>
        <v>0.24390243902439024</v>
      </c>
      <c r="E69" s="72">
        <f>IFERROR((SDP_H[[#This Row],[H]]+SDP_H[[#This Row],[BB]])/(SDP_H[[#This Row],[BB]]+SDP_H[[#This Row],[AB]]),0)</f>
        <v>0.34042553191489361</v>
      </c>
      <c r="F69" s="73">
        <f>IFERROR(((SDP_H[[#This Row],[H]]-SDP_H[[#This Row],[2B]]-SDP_H[[#This Row],[3B]]-SDP_H[[#This Row],[HR]])+(SDP_H[[#This Row],[2B]]*2)+(SDP_H[[#This Row],[3B]]*3)+(SDP_H[[#This Row],[HR]]*4))/SDP_H[[#This Row],[AB]],0)</f>
        <v>0.44715447154471544</v>
      </c>
      <c r="G69" s="28">
        <v>38</v>
      </c>
      <c r="H69" s="28">
        <v>123</v>
      </c>
      <c r="I69" s="28">
        <v>16</v>
      </c>
      <c r="J69" s="28">
        <v>30</v>
      </c>
      <c r="K69" s="28">
        <v>11</v>
      </c>
      <c r="L69" s="28">
        <v>1</v>
      </c>
      <c r="M69" s="28">
        <v>4</v>
      </c>
      <c r="N69" s="28">
        <v>15</v>
      </c>
      <c r="O69" s="28">
        <v>18</v>
      </c>
      <c r="P69" s="74">
        <v>32</v>
      </c>
      <c r="Q69" s="28">
        <v>0</v>
      </c>
      <c r="R69" s="28">
        <v>2</v>
      </c>
      <c r="S69" s="74">
        <v>5</v>
      </c>
      <c r="T69" s="28">
        <f>IFERROR((SDP_H[[#This Row],[H]]-SDP_H[[#This Row],[2B]]-SDP_H[[#This Row],[3B]]-SDP_H[[#This Row],[HR]])+(SDP_H[[#This Row],[2B]]*2)+(SDP_H[[#This Row],[3B]]*3)+(SDP_H[[#This Row],[HR]]*4),0)</f>
        <v>55</v>
      </c>
      <c r="U69" s="72">
        <f>SDP_H[[#This Row],[OBP]]+SDP_H[[#This Row],[SLG]]</f>
        <v>0.78758000345960899</v>
      </c>
      <c r="V69" s="74">
        <v>2</v>
      </c>
      <c r="W69" s="615">
        <v>4</v>
      </c>
      <c r="Z69" s="651" t="s">
        <v>1200</v>
      </c>
      <c r="AA69" s="71" t="s">
        <v>153</v>
      </c>
      <c r="AB69" s="71" t="s">
        <v>1205</v>
      </c>
      <c r="AC69" s="72">
        <f>IFERROR(SDP_H107[[#This Row],[H]]/SDP_H107[[#This Row],[AB]],0)</f>
        <v>0.22321428571428573</v>
      </c>
      <c r="AD69" s="72">
        <f>IFERROR((SDP_H107[[#This Row],[H]]+SDP_H107[[#This Row],[BB]])/(SDP_H107[[#This Row],[BB]]+SDP_H107[[#This Row],[AB]]),0)</f>
        <v>0.31496062992125984</v>
      </c>
      <c r="AE69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0.33035714285714285</v>
      </c>
      <c r="AF69" s="28">
        <v>30</v>
      </c>
      <c r="AG69" s="28">
        <v>112</v>
      </c>
      <c r="AH69" s="28">
        <v>11</v>
      </c>
      <c r="AI69" s="28">
        <v>25</v>
      </c>
      <c r="AJ69" s="28">
        <v>9</v>
      </c>
      <c r="AK69" s="28">
        <v>0</v>
      </c>
      <c r="AL69" s="28">
        <v>1</v>
      </c>
      <c r="AM69" s="28">
        <v>4</v>
      </c>
      <c r="AN69" s="28">
        <v>15</v>
      </c>
      <c r="AO69" s="74">
        <v>17</v>
      </c>
      <c r="AP69" s="28">
        <v>0</v>
      </c>
      <c r="AQ69" s="28">
        <v>1</v>
      </c>
      <c r="AR69" s="74">
        <v>4</v>
      </c>
      <c r="AS69" s="28">
        <f>IFERROR((SDP_H107[[#This Row],[H]]-SDP_H107[[#This Row],[2B]]-SDP_H107[[#This Row],[3B]]-SDP_H107[[#This Row],[HR]])+(SDP_H107[[#This Row],[2B]]*2)+(SDP_H107[[#This Row],[3B]]*3)+(SDP_H107[[#This Row],[HR]]*4),0)</f>
        <v>37</v>
      </c>
      <c r="AT69" s="72">
        <f>SDP_H107[[#This Row],[OBP]]+SDP_H107[[#This Row],[SLG]]</f>
        <v>0.64531777277840274</v>
      </c>
      <c r="AU69" s="74">
        <v>1</v>
      </c>
      <c r="AV69" s="615">
        <v>4</v>
      </c>
      <c r="AY69" s="651" t="s">
        <v>1200</v>
      </c>
      <c r="AZ69" s="74" t="s">
        <v>153</v>
      </c>
      <c r="BA69" s="71" t="s">
        <v>1205</v>
      </c>
      <c r="BB69" s="72">
        <f>IFERROR(SDP_H121[[#This Row],[H]]/SDP_H121[[#This Row],[AB]],0)</f>
        <v>0.24087591240875914</v>
      </c>
      <c r="BC69" s="72">
        <f>IFERROR((SDP_H121[[#This Row],[BB]]+SDP_H121[[#This Row],[H]])/(SDP_H121[[#This Row],[BB]]+SDP_H121[[#This Row],[AB]]),0)</f>
        <v>0.30201342281879195</v>
      </c>
      <c r="BD69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0.45985401459854014</v>
      </c>
      <c r="BE69" s="28">
        <v>36</v>
      </c>
      <c r="BF69" s="28">
        <v>137</v>
      </c>
      <c r="BG69" s="28">
        <v>16</v>
      </c>
      <c r="BH69" s="28">
        <v>33</v>
      </c>
      <c r="BI69" s="28">
        <v>9</v>
      </c>
      <c r="BJ69" s="28">
        <v>3</v>
      </c>
      <c r="BK69" s="28">
        <v>5</v>
      </c>
      <c r="BL69" s="28">
        <v>19</v>
      </c>
      <c r="BM69" s="28">
        <v>12</v>
      </c>
      <c r="BN69" s="74">
        <v>21</v>
      </c>
      <c r="BO69" s="28">
        <v>0</v>
      </c>
      <c r="BP69" s="28">
        <v>4</v>
      </c>
      <c r="BQ69" s="74">
        <v>6</v>
      </c>
      <c r="BR69" s="28">
        <f>(SDP_H121[[#This Row],[H]]-SDP_H121[[#This Row],[2B]]-SDP_H121[[#This Row],[3B]]-SDP_H121[[#This Row],[HR]])+(SDP_H121[[#This Row],[2B]]*2)+(SDP_H121[[#This Row],[3B]]*3)+(SDP_H121[[#This Row],[HR]]*4)</f>
        <v>63</v>
      </c>
      <c r="BS69" s="72">
        <f>IFERROR(SDP_H121[[#This Row],[OBP]]+SDP_H121[[#This Row],[SLG]],0)</f>
        <v>0.76186743741733209</v>
      </c>
      <c r="BT69" s="74">
        <v>4</v>
      </c>
      <c r="BU69" s="615">
        <v>4</v>
      </c>
    </row>
    <row r="70" spans="1:73">
      <c r="A70" s="651" t="s">
        <v>1200</v>
      </c>
      <c r="B70" s="71" t="s">
        <v>177</v>
      </c>
      <c r="C70" s="71" t="s">
        <v>1206</v>
      </c>
      <c r="D70" s="72">
        <f>IFERROR(SDP_H[[#This Row],[H]]/SDP_H[[#This Row],[AB]],0)</f>
        <v>0.33552631578947367</v>
      </c>
      <c r="E70" s="72">
        <f>IFERROR((SDP_H[[#This Row],[H]]+SDP_H[[#This Row],[BB]])/(SDP_H[[#This Row],[BB]]+SDP_H[[#This Row],[AB]]),0)</f>
        <v>0.36477987421383645</v>
      </c>
      <c r="F70" s="73">
        <f>IFERROR(((SDP_H[[#This Row],[H]]-SDP_H[[#This Row],[2B]]-SDP_H[[#This Row],[3B]]-SDP_H[[#This Row],[HR]])+(SDP_H[[#This Row],[2B]]*2)+(SDP_H[[#This Row],[3B]]*3)+(SDP_H[[#This Row],[HR]]*4))/SDP_H[[#This Row],[AB]],0)</f>
        <v>0.40789473684210525</v>
      </c>
      <c r="G70" s="28">
        <v>40</v>
      </c>
      <c r="H70" s="28">
        <v>152</v>
      </c>
      <c r="I70" s="28">
        <v>17</v>
      </c>
      <c r="J70" s="28">
        <v>51</v>
      </c>
      <c r="K70" s="28">
        <v>8</v>
      </c>
      <c r="L70" s="28">
        <v>0</v>
      </c>
      <c r="M70" s="28">
        <v>1</v>
      </c>
      <c r="N70" s="28">
        <v>8</v>
      </c>
      <c r="O70" s="28">
        <v>7</v>
      </c>
      <c r="P70" s="74">
        <v>25</v>
      </c>
      <c r="Q70" s="28">
        <v>0</v>
      </c>
      <c r="R70" s="28">
        <v>1</v>
      </c>
      <c r="S70" s="74">
        <v>9</v>
      </c>
      <c r="T70" s="28">
        <f>IFERROR((SDP_H[[#This Row],[H]]-SDP_H[[#This Row],[2B]]-SDP_H[[#This Row],[3B]]-SDP_H[[#This Row],[HR]])+(SDP_H[[#This Row],[2B]]*2)+(SDP_H[[#This Row],[3B]]*3)+(SDP_H[[#This Row],[HR]]*4),0)</f>
        <v>62</v>
      </c>
      <c r="U70" s="72">
        <f>SDP_H[[#This Row],[OBP]]+SDP_H[[#This Row],[SLG]]</f>
        <v>0.77267461105594171</v>
      </c>
      <c r="V70" s="74">
        <v>3</v>
      </c>
      <c r="W70" s="615">
        <v>5</v>
      </c>
      <c r="Z70" s="651" t="s">
        <v>1200</v>
      </c>
      <c r="AA70" s="71" t="s">
        <v>177</v>
      </c>
      <c r="AB70" s="71" t="s">
        <v>1206</v>
      </c>
      <c r="AC70" s="72">
        <f>IFERROR(SDP_H107[[#This Row],[H]]/SDP_H107[[#This Row],[AB]],0)</f>
        <v>0.25757575757575757</v>
      </c>
      <c r="AD70" s="72">
        <f>IFERROR((SDP_H107[[#This Row],[H]]+SDP_H107[[#This Row],[BB]])/(SDP_H107[[#This Row],[BB]]+SDP_H107[[#This Row],[AB]]),0)</f>
        <v>0.3</v>
      </c>
      <c r="AE70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0.35606060606060608</v>
      </c>
      <c r="AF70" s="28">
        <v>33</v>
      </c>
      <c r="AG70" s="28">
        <v>132</v>
      </c>
      <c r="AH70" s="28">
        <v>11</v>
      </c>
      <c r="AI70" s="28">
        <v>34</v>
      </c>
      <c r="AJ70" s="28">
        <v>4</v>
      </c>
      <c r="AK70" s="28">
        <v>0</v>
      </c>
      <c r="AL70" s="28">
        <v>3</v>
      </c>
      <c r="AM70" s="28">
        <v>13</v>
      </c>
      <c r="AN70" s="28">
        <v>8</v>
      </c>
      <c r="AO70" s="74">
        <v>38</v>
      </c>
      <c r="AP70" s="28">
        <v>0</v>
      </c>
      <c r="AQ70" s="28">
        <v>5</v>
      </c>
      <c r="AR70" s="74">
        <v>9</v>
      </c>
      <c r="AS70" s="28">
        <f>IFERROR((SDP_H107[[#This Row],[H]]-SDP_H107[[#This Row],[2B]]-SDP_H107[[#This Row],[3B]]-SDP_H107[[#This Row],[HR]])+(SDP_H107[[#This Row],[2B]]*2)+(SDP_H107[[#This Row],[3B]]*3)+(SDP_H107[[#This Row],[HR]]*4),0)</f>
        <v>47</v>
      </c>
      <c r="AT70" s="72">
        <f>SDP_H107[[#This Row],[OBP]]+SDP_H107[[#This Row],[SLG]]</f>
        <v>0.65606060606060601</v>
      </c>
      <c r="AU70" s="74">
        <v>0</v>
      </c>
      <c r="AV70" s="615">
        <v>5</v>
      </c>
      <c r="AY70" s="651" t="s">
        <v>1200</v>
      </c>
      <c r="AZ70" s="74" t="s">
        <v>177</v>
      </c>
      <c r="BA70" s="71" t="s">
        <v>1206</v>
      </c>
      <c r="BB70" s="72">
        <f>IFERROR(SDP_H121[[#This Row],[H]]/SDP_H121[[#This Row],[AB]],0)</f>
        <v>0.23275862068965517</v>
      </c>
      <c r="BC70" s="72">
        <f>IFERROR((SDP_H121[[#This Row],[BB]]+SDP_H121[[#This Row],[H]])/(SDP_H121[[#This Row],[BB]]+SDP_H121[[#This Row],[AB]]),0)</f>
        <v>0.3046875</v>
      </c>
      <c r="BD70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0.34482758620689657</v>
      </c>
      <c r="BE70" s="28">
        <v>34</v>
      </c>
      <c r="BF70" s="28">
        <v>116</v>
      </c>
      <c r="BG70" s="28">
        <v>21</v>
      </c>
      <c r="BH70" s="28">
        <v>27</v>
      </c>
      <c r="BI70" s="28">
        <v>4</v>
      </c>
      <c r="BJ70" s="28">
        <v>0</v>
      </c>
      <c r="BK70" s="28">
        <v>3</v>
      </c>
      <c r="BL70" s="28">
        <v>16</v>
      </c>
      <c r="BM70" s="28">
        <v>12</v>
      </c>
      <c r="BN70" s="74">
        <v>30</v>
      </c>
      <c r="BO70" s="28">
        <v>0</v>
      </c>
      <c r="BP70" s="28">
        <v>1</v>
      </c>
      <c r="BQ70" s="74">
        <v>6</v>
      </c>
      <c r="BR70" s="28">
        <f>(SDP_H121[[#This Row],[H]]-SDP_H121[[#This Row],[2B]]-SDP_H121[[#This Row],[3B]]-SDP_H121[[#This Row],[HR]])+(SDP_H121[[#This Row],[2B]]*2)+(SDP_H121[[#This Row],[3B]]*3)+(SDP_H121[[#This Row],[HR]]*4)</f>
        <v>40</v>
      </c>
      <c r="BS70" s="72">
        <f>IFERROR(SDP_H121[[#This Row],[OBP]]+SDP_H121[[#This Row],[SLG]],0)</f>
        <v>0.64951508620689657</v>
      </c>
      <c r="BT70" s="74">
        <v>1</v>
      </c>
      <c r="BU70" s="615">
        <v>5</v>
      </c>
    </row>
    <row r="71" spans="1:73">
      <c r="A71" s="651" t="s">
        <v>1200</v>
      </c>
      <c r="B71" s="71" t="s">
        <v>174</v>
      </c>
      <c r="C71" s="71" t="s">
        <v>1203</v>
      </c>
      <c r="D71" s="72">
        <f>IFERROR(SDP_H[[#This Row],[H]]/SDP_H[[#This Row],[AB]],0)</f>
        <v>0.3392857142857143</v>
      </c>
      <c r="E71" s="72">
        <f>IFERROR((SDP_H[[#This Row],[H]]+SDP_H[[#This Row],[BB]])/(SDP_H[[#This Row],[BB]]+SDP_H[[#This Row],[AB]]),0)</f>
        <v>0.36571428571428571</v>
      </c>
      <c r="F71" s="73">
        <f>IFERROR(((SDP_H[[#This Row],[H]]-SDP_H[[#This Row],[2B]]-SDP_H[[#This Row],[3B]]-SDP_H[[#This Row],[HR]])+(SDP_H[[#This Row],[2B]]*2)+(SDP_H[[#This Row],[3B]]*3)+(SDP_H[[#This Row],[HR]]*4))/SDP_H[[#This Row],[AB]],0)</f>
        <v>0.42857142857142855</v>
      </c>
      <c r="G71" s="28">
        <v>40</v>
      </c>
      <c r="H71" s="28">
        <v>168</v>
      </c>
      <c r="I71" s="28">
        <v>20</v>
      </c>
      <c r="J71" s="28">
        <v>57</v>
      </c>
      <c r="K71" s="28">
        <v>10</v>
      </c>
      <c r="L71" s="28">
        <v>1</v>
      </c>
      <c r="M71" s="28">
        <v>1</v>
      </c>
      <c r="N71" s="28">
        <v>11</v>
      </c>
      <c r="O71" s="28">
        <v>7</v>
      </c>
      <c r="P71" s="74">
        <v>16</v>
      </c>
      <c r="Q71" s="28">
        <v>0</v>
      </c>
      <c r="R71" s="28">
        <v>11</v>
      </c>
      <c r="S71" s="74">
        <v>11</v>
      </c>
      <c r="T71" s="28">
        <f>IFERROR((SDP_H[[#This Row],[H]]-SDP_H[[#This Row],[2B]]-SDP_H[[#This Row],[3B]]-SDP_H[[#This Row],[HR]])+(SDP_H[[#This Row],[2B]]*2)+(SDP_H[[#This Row],[3B]]*3)+(SDP_H[[#This Row],[HR]]*4),0)</f>
        <v>72</v>
      </c>
      <c r="U71" s="72">
        <f>SDP_H[[#This Row],[OBP]]+SDP_H[[#This Row],[SLG]]</f>
        <v>0.79428571428571426</v>
      </c>
      <c r="V71" s="74">
        <v>0</v>
      </c>
      <c r="W71" s="615">
        <v>6</v>
      </c>
      <c r="Z71" s="651" t="s">
        <v>1200</v>
      </c>
      <c r="AA71" s="71" t="s">
        <v>174</v>
      </c>
      <c r="AB71" s="71" t="s">
        <v>1209</v>
      </c>
      <c r="AC71" s="72">
        <f>IFERROR(SDP_H107[[#This Row],[H]]/SDP_H107[[#This Row],[AB]],0)</f>
        <v>0.19178082191780821</v>
      </c>
      <c r="AD71" s="72">
        <f>IFERROR((SDP_H107[[#This Row],[H]]+SDP_H107[[#This Row],[BB]])/(SDP_H107[[#This Row],[BB]]+SDP_H107[[#This Row],[AB]]),0)</f>
        <v>0.29761904761904762</v>
      </c>
      <c r="AE71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0.32876712328767121</v>
      </c>
      <c r="AF71" s="28">
        <v>22</v>
      </c>
      <c r="AG71" s="28">
        <v>73</v>
      </c>
      <c r="AH71" s="28">
        <v>7</v>
      </c>
      <c r="AI71" s="28">
        <v>14</v>
      </c>
      <c r="AJ71" s="28">
        <v>1</v>
      </c>
      <c r="AK71" s="28">
        <v>0</v>
      </c>
      <c r="AL71" s="28">
        <v>3</v>
      </c>
      <c r="AM71" s="28">
        <v>7</v>
      </c>
      <c r="AN71" s="28">
        <v>11</v>
      </c>
      <c r="AO71" s="74">
        <v>26</v>
      </c>
      <c r="AP71" s="28">
        <v>0</v>
      </c>
      <c r="AQ71" s="28">
        <v>1</v>
      </c>
      <c r="AR71" s="74">
        <v>2</v>
      </c>
      <c r="AS71" s="28">
        <f>IFERROR((SDP_H107[[#This Row],[H]]-SDP_H107[[#This Row],[2B]]-SDP_H107[[#This Row],[3B]]-SDP_H107[[#This Row],[HR]])+(SDP_H107[[#This Row],[2B]]*2)+(SDP_H107[[#This Row],[3B]]*3)+(SDP_H107[[#This Row],[HR]]*4),0)</f>
        <v>24</v>
      </c>
      <c r="AT71" s="72">
        <f>SDP_H107[[#This Row],[OBP]]+SDP_H107[[#This Row],[SLG]]</f>
        <v>0.62638617090671889</v>
      </c>
      <c r="AU71" s="74">
        <v>1</v>
      </c>
      <c r="AV71" s="615">
        <v>6</v>
      </c>
      <c r="AY71" s="651" t="s">
        <v>1200</v>
      </c>
      <c r="AZ71" s="74" t="s">
        <v>174</v>
      </c>
      <c r="BA71" s="71" t="s">
        <v>1209</v>
      </c>
      <c r="BB71" s="72">
        <f>IFERROR(SDP_H121[[#This Row],[H]]/SDP_H121[[#This Row],[AB]],0)</f>
        <v>0.2857142857142857</v>
      </c>
      <c r="BC71" s="72">
        <f>IFERROR((SDP_H121[[#This Row],[BB]]+SDP_H121[[#This Row],[H]])/(SDP_H121[[#This Row],[BB]]+SDP_H121[[#This Row],[AB]]),0)</f>
        <v>0.35606060606060608</v>
      </c>
      <c r="BD71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0.44537815126050423</v>
      </c>
      <c r="BE71" s="28">
        <v>35</v>
      </c>
      <c r="BF71" s="28">
        <v>119</v>
      </c>
      <c r="BG71" s="28">
        <v>8</v>
      </c>
      <c r="BH71" s="28">
        <v>34</v>
      </c>
      <c r="BI71" s="28">
        <v>10</v>
      </c>
      <c r="BJ71" s="28">
        <v>0</v>
      </c>
      <c r="BK71" s="28">
        <v>3</v>
      </c>
      <c r="BL71" s="28">
        <v>15</v>
      </c>
      <c r="BM71" s="28">
        <v>13</v>
      </c>
      <c r="BN71" s="74">
        <v>36</v>
      </c>
      <c r="BO71" s="28">
        <v>0</v>
      </c>
      <c r="BP71" s="28">
        <v>1</v>
      </c>
      <c r="BQ71" s="74">
        <v>4</v>
      </c>
      <c r="BR71" s="28">
        <f>(SDP_H121[[#This Row],[H]]-SDP_H121[[#This Row],[2B]]-SDP_H121[[#This Row],[3B]]-SDP_H121[[#This Row],[HR]])+(SDP_H121[[#This Row],[2B]]*2)+(SDP_H121[[#This Row],[3B]]*3)+(SDP_H121[[#This Row],[HR]]*4)</f>
        <v>53</v>
      </c>
      <c r="BS71" s="72">
        <f>IFERROR(SDP_H121[[#This Row],[OBP]]+SDP_H121[[#This Row],[SLG]],0)</f>
        <v>0.80143875732111036</v>
      </c>
      <c r="BT71" s="74">
        <v>1</v>
      </c>
      <c r="BU71" s="615">
        <v>6</v>
      </c>
    </row>
    <row r="72" spans="1:73">
      <c r="A72" s="651" t="s">
        <v>1200</v>
      </c>
      <c r="B72" s="71" t="s">
        <v>383</v>
      </c>
      <c r="C72" s="71" t="s">
        <v>1201</v>
      </c>
      <c r="D72" s="72">
        <f>IFERROR(SDP_H[[#This Row],[H]]/SDP_H[[#This Row],[AB]],0)</f>
        <v>0.27810650887573962</v>
      </c>
      <c r="E72" s="72">
        <f>IFERROR((SDP_H[[#This Row],[H]]+SDP_H[[#This Row],[BB]])/(SDP_H[[#This Row],[BB]]+SDP_H[[#This Row],[AB]]),0)</f>
        <v>0.3146067415730337</v>
      </c>
      <c r="F72" s="73">
        <f>IFERROR(((SDP_H[[#This Row],[H]]-SDP_H[[#This Row],[2B]]-SDP_H[[#This Row],[3B]]-SDP_H[[#This Row],[HR]])+(SDP_H[[#This Row],[2B]]*2)+(SDP_H[[#This Row],[3B]]*3)+(SDP_H[[#This Row],[HR]]*4))/SDP_H[[#This Row],[AB]],0)</f>
        <v>0.45562130177514792</v>
      </c>
      <c r="G72" s="28">
        <v>40</v>
      </c>
      <c r="H72" s="28">
        <v>169</v>
      </c>
      <c r="I72" s="28">
        <v>17</v>
      </c>
      <c r="J72" s="28">
        <v>47</v>
      </c>
      <c r="K72" s="28">
        <v>13</v>
      </c>
      <c r="L72" s="28">
        <v>1</v>
      </c>
      <c r="M72" s="28">
        <v>5</v>
      </c>
      <c r="N72" s="28">
        <v>13</v>
      </c>
      <c r="O72" s="28">
        <v>9</v>
      </c>
      <c r="P72" s="74">
        <v>34</v>
      </c>
      <c r="Q72" s="28">
        <v>1</v>
      </c>
      <c r="R72" s="28">
        <v>0</v>
      </c>
      <c r="S72" s="74">
        <v>8</v>
      </c>
      <c r="T72" s="28">
        <f>IFERROR((SDP_H[[#This Row],[H]]-SDP_H[[#This Row],[2B]]-SDP_H[[#This Row],[3B]]-SDP_H[[#This Row],[HR]])+(SDP_H[[#This Row],[2B]]*2)+(SDP_H[[#This Row],[3B]]*3)+(SDP_H[[#This Row],[HR]]*4),0)</f>
        <v>77</v>
      </c>
      <c r="U72" s="72">
        <f>SDP_H[[#This Row],[OBP]]+SDP_H[[#This Row],[SLG]]</f>
        <v>0.77022804334818162</v>
      </c>
      <c r="V72" s="74">
        <v>2</v>
      </c>
      <c r="W72" s="615">
        <v>7</v>
      </c>
      <c r="Z72" s="651" t="s">
        <v>1200</v>
      </c>
      <c r="AA72" s="71" t="s">
        <v>181</v>
      </c>
      <c r="AB72" s="71" t="s">
        <v>1204</v>
      </c>
      <c r="AC72" s="72">
        <f>IFERROR(SDP_H107[[#This Row],[H]]/SDP_H107[[#This Row],[AB]],0)</f>
        <v>0.256198347107438</v>
      </c>
      <c r="AD72" s="72">
        <f>IFERROR((SDP_H107[[#This Row],[H]]+SDP_H107[[#This Row],[BB]])/(SDP_H107[[#This Row],[BB]]+SDP_H107[[#This Row],[AB]]),0)</f>
        <v>0.35251798561151076</v>
      </c>
      <c r="AE72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0.4049586776859504</v>
      </c>
      <c r="AF72" s="28">
        <v>37</v>
      </c>
      <c r="AG72" s="28">
        <v>121</v>
      </c>
      <c r="AH72" s="28">
        <v>16</v>
      </c>
      <c r="AI72" s="28">
        <v>31</v>
      </c>
      <c r="AJ72" s="28">
        <v>8</v>
      </c>
      <c r="AK72" s="28">
        <v>2</v>
      </c>
      <c r="AL72" s="28">
        <v>2</v>
      </c>
      <c r="AM72" s="28">
        <v>14</v>
      </c>
      <c r="AN72" s="28">
        <v>18</v>
      </c>
      <c r="AO72" s="74">
        <v>37</v>
      </c>
      <c r="AP72" s="28">
        <v>1</v>
      </c>
      <c r="AQ72" s="28">
        <v>1</v>
      </c>
      <c r="AR72" s="74">
        <v>6</v>
      </c>
      <c r="AS72" s="28">
        <f>IFERROR((SDP_H107[[#This Row],[H]]-SDP_H107[[#This Row],[2B]]-SDP_H107[[#This Row],[3B]]-SDP_H107[[#This Row],[HR]])+(SDP_H107[[#This Row],[2B]]*2)+(SDP_H107[[#This Row],[3B]]*3)+(SDP_H107[[#This Row],[HR]]*4),0)</f>
        <v>49</v>
      </c>
      <c r="AT72" s="72">
        <f>SDP_H107[[#This Row],[OBP]]+SDP_H107[[#This Row],[SLG]]</f>
        <v>0.75747666329746122</v>
      </c>
      <c r="AU72" s="74">
        <v>1</v>
      </c>
      <c r="AV72" s="615">
        <v>7</v>
      </c>
      <c r="AY72" s="651" t="s">
        <v>1200</v>
      </c>
      <c r="AZ72" s="74" t="s">
        <v>181</v>
      </c>
      <c r="BA72" s="71" t="s">
        <v>1204</v>
      </c>
      <c r="BB72" s="72">
        <f>IFERROR(SDP_H121[[#This Row],[H]]/SDP_H121[[#This Row],[AB]],0)</f>
        <v>0.23076923076923078</v>
      </c>
      <c r="BC72" s="72">
        <f>IFERROR((SDP_H121[[#This Row],[BB]]+SDP_H121[[#This Row],[H]])/(SDP_H121[[#This Row],[BB]]+SDP_H121[[#This Row],[AB]]),0)</f>
        <v>0.30232558139534882</v>
      </c>
      <c r="BD72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0.36752136752136755</v>
      </c>
      <c r="BE72" s="28">
        <v>34</v>
      </c>
      <c r="BF72" s="879">
        <v>117</v>
      </c>
      <c r="BG72" s="28">
        <v>17</v>
      </c>
      <c r="BH72" s="28">
        <v>27</v>
      </c>
      <c r="BI72" s="28">
        <v>5</v>
      </c>
      <c r="BJ72" s="28">
        <v>1</v>
      </c>
      <c r="BK72" s="28">
        <v>3</v>
      </c>
      <c r="BL72" s="28">
        <v>12</v>
      </c>
      <c r="BM72" s="28">
        <v>12</v>
      </c>
      <c r="BN72" s="74">
        <v>26</v>
      </c>
      <c r="BO72" s="28">
        <v>6</v>
      </c>
      <c r="BP72" s="28">
        <v>0</v>
      </c>
      <c r="BQ72" s="74">
        <v>7</v>
      </c>
      <c r="BR72" s="28">
        <f>(SDP_H121[[#This Row],[H]]-SDP_H121[[#This Row],[2B]]-SDP_H121[[#This Row],[3B]]-SDP_H121[[#This Row],[HR]])+(SDP_H121[[#This Row],[2B]]*2)+(SDP_H121[[#This Row],[3B]]*3)+(SDP_H121[[#This Row],[HR]]*4)</f>
        <v>43</v>
      </c>
      <c r="BS72" s="72">
        <f>IFERROR(SDP_H121[[#This Row],[OBP]]+SDP_H121[[#This Row],[SLG]],0)</f>
        <v>0.66984694891671637</v>
      </c>
      <c r="BT72" s="74">
        <v>2</v>
      </c>
      <c r="BU72" s="615">
        <v>7</v>
      </c>
    </row>
    <row r="73" spans="1:73">
      <c r="A73" s="651" t="s">
        <v>1200</v>
      </c>
      <c r="B73" s="71" t="s">
        <v>166</v>
      </c>
      <c r="C73" s="71" t="s">
        <v>2185</v>
      </c>
      <c r="D73" s="72">
        <f>IFERROR(SDP_H[[#This Row],[H]]/SDP_H[[#This Row],[AB]],0)</f>
        <v>0.22972972972972974</v>
      </c>
      <c r="E73" s="72">
        <f>IFERROR((SDP_H[[#This Row],[H]]+SDP_H[[#This Row],[BB]])/(SDP_H[[#This Row],[BB]]+SDP_H[[#This Row],[AB]]),0)</f>
        <v>0.32941176470588235</v>
      </c>
      <c r="F73" s="73">
        <f>IFERROR(((SDP_H[[#This Row],[H]]-SDP_H[[#This Row],[2B]]-SDP_H[[#This Row],[3B]]-SDP_H[[#This Row],[HR]])+(SDP_H[[#This Row],[2B]]*2)+(SDP_H[[#This Row],[3B]]*3)+(SDP_H[[#This Row],[HR]]*4))/SDP_H[[#This Row],[AB]],0)</f>
        <v>0.54054054054054057</v>
      </c>
      <c r="G73" s="28">
        <v>40</v>
      </c>
      <c r="H73" s="28">
        <v>148</v>
      </c>
      <c r="I73" s="28">
        <v>22</v>
      </c>
      <c r="J73" s="28">
        <v>34</v>
      </c>
      <c r="K73" s="28">
        <v>8</v>
      </c>
      <c r="L73" s="28">
        <v>1</v>
      </c>
      <c r="M73" s="28">
        <v>12</v>
      </c>
      <c r="N73" s="28">
        <v>32</v>
      </c>
      <c r="O73" s="28">
        <v>22</v>
      </c>
      <c r="P73" s="74">
        <v>44</v>
      </c>
      <c r="Q73" s="28">
        <v>7</v>
      </c>
      <c r="R73" s="28">
        <v>1</v>
      </c>
      <c r="S73" s="74">
        <v>8</v>
      </c>
      <c r="T73" s="28">
        <f>IFERROR((SDP_H[[#This Row],[H]]-SDP_H[[#This Row],[2B]]-SDP_H[[#This Row],[3B]]-SDP_H[[#This Row],[HR]])+(SDP_H[[#This Row],[2B]]*2)+(SDP_H[[#This Row],[3B]]*3)+(SDP_H[[#This Row],[HR]]*4),0)</f>
        <v>80</v>
      </c>
      <c r="U73" s="72">
        <f>SDP_H[[#This Row],[OBP]]+SDP_H[[#This Row],[SLG]]</f>
        <v>0.86995230524642286</v>
      </c>
      <c r="V73" s="74">
        <v>5</v>
      </c>
      <c r="W73" s="615">
        <v>8</v>
      </c>
      <c r="Z73" s="651" t="s">
        <v>1200</v>
      </c>
      <c r="AA73" s="71" t="s">
        <v>166</v>
      </c>
      <c r="AB73" s="71" t="s">
        <v>1203</v>
      </c>
      <c r="AC73" s="72">
        <f>IFERROR(SDP_H107[[#This Row],[H]]/SDP_H107[[#This Row],[AB]],0)</f>
        <v>0.29268292682926828</v>
      </c>
      <c r="AD73" s="72">
        <f>IFERROR((SDP_H107[[#This Row],[H]]+SDP_H107[[#This Row],[BB]])/(SDP_H107[[#This Row],[BB]]+SDP_H107[[#This Row],[AB]]),0)</f>
        <v>0.33714285714285713</v>
      </c>
      <c r="AE73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0.37804878048780488</v>
      </c>
      <c r="AF73" s="28">
        <v>39</v>
      </c>
      <c r="AG73" s="28">
        <v>164</v>
      </c>
      <c r="AH73" s="28">
        <v>17</v>
      </c>
      <c r="AI73" s="28">
        <v>48</v>
      </c>
      <c r="AJ73" s="28">
        <v>6</v>
      </c>
      <c r="AK73" s="28">
        <v>1</v>
      </c>
      <c r="AL73" s="28">
        <v>2</v>
      </c>
      <c r="AM73" s="28">
        <v>16</v>
      </c>
      <c r="AN73" s="28">
        <v>11</v>
      </c>
      <c r="AO73" s="74">
        <v>25</v>
      </c>
      <c r="AP73" s="28">
        <v>0</v>
      </c>
      <c r="AQ73" s="28">
        <v>0</v>
      </c>
      <c r="AR73" s="74">
        <v>6</v>
      </c>
      <c r="AS73" s="28">
        <f>IFERROR((SDP_H107[[#This Row],[H]]-SDP_H107[[#This Row],[2B]]-SDP_H107[[#This Row],[3B]]-SDP_H107[[#This Row],[HR]])+(SDP_H107[[#This Row],[2B]]*2)+(SDP_H107[[#This Row],[3B]]*3)+(SDP_H107[[#This Row],[HR]]*4),0)</f>
        <v>62</v>
      </c>
      <c r="AT73" s="72">
        <f>SDP_H107[[#This Row],[OBP]]+SDP_H107[[#This Row],[SLG]]</f>
        <v>0.71519163763066196</v>
      </c>
      <c r="AU73" s="74">
        <v>4</v>
      </c>
      <c r="AV73" s="615">
        <v>8</v>
      </c>
      <c r="AY73" s="651" t="s">
        <v>1200</v>
      </c>
      <c r="AZ73" s="74" t="s">
        <v>166</v>
      </c>
      <c r="BA73" s="71" t="s">
        <v>1203</v>
      </c>
      <c r="BB73" s="72">
        <f>IFERROR(SDP_H121[[#This Row],[H]]/SDP_H121[[#This Row],[AB]],0)</f>
        <v>0.29268292682926828</v>
      </c>
      <c r="BC73" s="72">
        <f>IFERROR((SDP_H121[[#This Row],[BB]]+SDP_H121[[#This Row],[H]])/(SDP_H121[[#This Row],[BB]]+SDP_H121[[#This Row],[AB]]),0)</f>
        <v>0.33333333333333331</v>
      </c>
      <c r="BD73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0.3902439024390244</v>
      </c>
      <c r="BE73" s="28">
        <v>40</v>
      </c>
      <c r="BF73" s="28">
        <v>164</v>
      </c>
      <c r="BG73" s="28">
        <v>23</v>
      </c>
      <c r="BH73" s="28">
        <v>48</v>
      </c>
      <c r="BI73" s="28">
        <v>7</v>
      </c>
      <c r="BJ73" s="28">
        <v>0</v>
      </c>
      <c r="BK73" s="28">
        <v>3</v>
      </c>
      <c r="BL73" s="28">
        <v>17</v>
      </c>
      <c r="BM73" s="28">
        <v>10</v>
      </c>
      <c r="BN73" s="74">
        <v>26</v>
      </c>
      <c r="BO73" s="28">
        <v>0</v>
      </c>
      <c r="BP73" s="28">
        <v>1</v>
      </c>
      <c r="BQ73" s="74">
        <v>8</v>
      </c>
      <c r="BR73" s="28">
        <f>(SDP_H121[[#This Row],[H]]-SDP_H121[[#This Row],[2B]]-SDP_H121[[#This Row],[3B]]-SDP_H121[[#This Row],[HR]])+(SDP_H121[[#This Row],[2B]]*2)+(SDP_H121[[#This Row],[3B]]*3)+(SDP_H121[[#This Row],[HR]]*4)</f>
        <v>64</v>
      </c>
      <c r="BS73" s="72">
        <f>IFERROR(SDP_H121[[#This Row],[OBP]]+SDP_H121[[#This Row],[SLG]],0)</f>
        <v>0.72357723577235777</v>
      </c>
      <c r="BT73" s="74">
        <v>3</v>
      </c>
      <c r="BU73" s="615">
        <v>8</v>
      </c>
    </row>
    <row r="74" spans="1:73">
      <c r="A74" s="651" t="s">
        <v>1200</v>
      </c>
      <c r="B74" s="71" t="s">
        <v>168</v>
      </c>
      <c r="C74" s="71" t="s">
        <v>1204</v>
      </c>
      <c r="D74" s="72">
        <f>IFERROR(SDP_H[[#This Row],[H]]/SDP_H[[#This Row],[AB]],0)</f>
        <v>0.23214285714285715</v>
      </c>
      <c r="E74" s="72">
        <f>IFERROR((SDP_H[[#This Row],[H]]+SDP_H[[#This Row],[BB]])/(SDP_H[[#This Row],[BB]]+SDP_H[[#This Row],[AB]]),0)</f>
        <v>0.2711864406779661</v>
      </c>
      <c r="F74" s="73">
        <f>IFERROR(((SDP_H[[#This Row],[H]]-SDP_H[[#This Row],[2B]]-SDP_H[[#This Row],[3B]]-SDP_H[[#This Row],[HR]])+(SDP_H[[#This Row],[2B]]*2)+(SDP_H[[#This Row],[3B]]*3)+(SDP_H[[#This Row],[HR]]*4))/SDP_H[[#This Row],[AB]],0)</f>
        <v>0.30357142857142855</v>
      </c>
      <c r="G74" s="28">
        <v>16</v>
      </c>
      <c r="H74" s="28">
        <v>56</v>
      </c>
      <c r="I74" s="28">
        <v>4</v>
      </c>
      <c r="J74" s="28">
        <v>13</v>
      </c>
      <c r="K74" s="28">
        <v>4</v>
      </c>
      <c r="L74" s="28">
        <v>0</v>
      </c>
      <c r="M74" s="28">
        <v>0</v>
      </c>
      <c r="N74" s="28">
        <v>4</v>
      </c>
      <c r="O74" s="28">
        <v>3</v>
      </c>
      <c r="P74" s="74">
        <v>23</v>
      </c>
      <c r="Q74" s="28">
        <v>0</v>
      </c>
      <c r="R74" s="28">
        <v>3</v>
      </c>
      <c r="S74" s="74">
        <v>5</v>
      </c>
      <c r="T74" s="28">
        <f>IFERROR((SDP_H[[#This Row],[H]]-SDP_H[[#This Row],[2B]]-SDP_H[[#This Row],[3B]]-SDP_H[[#This Row],[HR]])+(SDP_H[[#This Row],[2B]]*2)+(SDP_H[[#This Row],[3B]]*3)+(SDP_H[[#This Row],[HR]]*4),0)</f>
        <v>17</v>
      </c>
      <c r="U74" s="72">
        <f>SDP_H[[#This Row],[OBP]]+SDP_H[[#This Row],[SLG]]</f>
        <v>0.57475786924939465</v>
      </c>
      <c r="V74" s="74">
        <v>1</v>
      </c>
      <c r="W74" s="615">
        <v>9</v>
      </c>
      <c r="Z74" s="651" t="s">
        <v>1200</v>
      </c>
      <c r="AA74" s="71" t="s">
        <v>168</v>
      </c>
      <c r="AB74" s="71" t="s">
        <v>1207</v>
      </c>
      <c r="AC74" s="72">
        <f>IFERROR(SDP_H107[[#This Row],[H]]/SDP_H107[[#This Row],[AB]],0)</f>
        <v>0.25324675324675322</v>
      </c>
      <c r="AD74" s="72">
        <f>IFERROR((SDP_H107[[#This Row],[H]]+SDP_H107[[#This Row],[BB]])/(SDP_H107[[#This Row],[BB]]+SDP_H107[[#This Row],[AB]]),0)</f>
        <v>0.31952662721893493</v>
      </c>
      <c r="AE74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0.31818181818181818</v>
      </c>
      <c r="AF74" s="28">
        <v>39</v>
      </c>
      <c r="AG74" s="28">
        <v>154</v>
      </c>
      <c r="AH74" s="28">
        <v>13</v>
      </c>
      <c r="AI74" s="28">
        <v>39</v>
      </c>
      <c r="AJ74" s="28">
        <v>8</v>
      </c>
      <c r="AK74" s="28">
        <v>1</v>
      </c>
      <c r="AL74" s="28">
        <v>0</v>
      </c>
      <c r="AM74" s="28">
        <v>12</v>
      </c>
      <c r="AN74" s="28">
        <v>15</v>
      </c>
      <c r="AO74" s="74">
        <v>29</v>
      </c>
      <c r="AP74" s="28">
        <v>0</v>
      </c>
      <c r="AQ74" s="28">
        <v>0</v>
      </c>
      <c r="AR74" s="74">
        <v>6</v>
      </c>
      <c r="AS74" s="28">
        <f>IFERROR((SDP_H107[[#This Row],[H]]-SDP_H107[[#This Row],[2B]]-SDP_H107[[#This Row],[3B]]-SDP_H107[[#This Row],[HR]])+(SDP_H107[[#This Row],[2B]]*2)+(SDP_H107[[#This Row],[3B]]*3)+(SDP_H107[[#This Row],[HR]]*4),0)</f>
        <v>49</v>
      </c>
      <c r="AT74" s="72">
        <f>SDP_H107[[#This Row],[OBP]]+SDP_H107[[#This Row],[SLG]]</f>
        <v>0.63770844540075311</v>
      </c>
      <c r="AU74" s="74">
        <v>1</v>
      </c>
      <c r="AV74" s="615">
        <v>9</v>
      </c>
      <c r="AY74" s="651" t="s">
        <v>1200</v>
      </c>
      <c r="AZ74" s="74" t="s">
        <v>168</v>
      </c>
      <c r="BA74" s="71" t="s">
        <v>1207</v>
      </c>
      <c r="BB74" s="72">
        <f>IFERROR(SDP_H121[[#This Row],[H]]/SDP_H121[[#This Row],[AB]],0)</f>
        <v>0.24647887323943662</v>
      </c>
      <c r="BC74" s="72">
        <f>IFERROR((SDP_H121[[#This Row],[BB]]+SDP_H121[[#This Row],[H]])/(SDP_H121[[#This Row],[BB]]+SDP_H121[[#This Row],[AB]]),0)</f>
        <v>0.32278481012658228</v>
      </c>
      <c r="BD74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0.40845070422535212</v>
      </c>
      <c r="BE74" s="28">
        <v>39</v>
      </c>
      <c r="BF74" s="28">
        <v>142</v>
      </c>
      <c r="BG74" s="28">
        <v>22</v>
      </c>
      <c r="BH74" s="28">
        <v>35</v>
      </c>
      <c r="BI74" s="28">
        <v>6</v>
      </c>
      <c r="BJ74" s="28">
        <v>1</v>
      </c>
      <c r="BK74" s="28">
        <v>5</v>
      </c>
      <c r="BL74" s="28">
        <v>23</v>
      </c>
      <c r="BM74" s="28">
        <v>16</v>
      </c>
      <c r="BN74" s="74">
        <v>26</v>
      </c>
      <c r="BO74" s="28">
        <v>2</v>
      </c>
      <c r="BP74" s="28">
        <v>1</v>
      </c>
      <c r="BQ74" s="74">
        <v>5</v>
      </c>
      <c r="BR74" s="28">
        <f>(SDP_H121[[#This Row],[H]]-SDP_H121[[#This Row],[2B]]-SDP_H121[[#This Row],[3B]]-SDP_H121[[#This Row],[HR]])+(SDP_H121[[#This Row],[2B]]*2)+(SDP_H121[[#This Row],[3B]]*3)+(SDP_H121[[#This Row],[HR]]*4)</f>
        <v>58</v>
      </c>
      <c r="BS74" s="72">
        <f>IFERROR(SDP_H121[[#This Row],[OBP]]+SDP_H121[[#This Row],[SLG]],0)</f>
        <v>0.73123551435193446</v>
      </c>
      <c r="BT74" s="74">
        <v>2</v>
      </c>
      <c r="BU74" s="615">
        <v>9</v>
      </c>
    </row>
    <row r="75" spans="1:73">
      <c r="A75" s="651" t="s">
        <v>1200</v>
      </c>
      <c r="B75" s="71" t="s">
        <v>179</v>
      </c>
      <c r="C75" s="71" t="s">
        <v>1208</v>
      </c>
      <c r="D75" s="72">
        <f>IFERROR(SDP_H[[#This Row],[H]]/SDP_H[[#This Row],[AB]],0)</f>
        <v>0.17391304347826086</v>
      </c>
      <c r="E75" s="72">
        <f>IFERROR((SDP_H[[#This Row],[H]]+SDP_H[[#This Row],[BB]])/(SDP_H[[#This Row],[BB]]+SDP_H[[#This Row],[AB]]),0)</f>
        <v>0.24</v>
      </c>
      <c r="F75" s="73">
        <f>IFERROR(((SDP_H[[#This Row],[H]]-SDP_H[[#This Row],[2B]]-SDP_H[[#This Row],[3B]]-SDP_H[[#This Row],[HR]])+(SDP_H[[#This Row],[2B]]*2)+(SDP_H[[#This Row],[3B]]*3)+(SDP_H[[#This Row],[HR]]*4))/SDP_H[[#This Row],[AB]],0)</f>
        <v>0.2608695652173913</v>
      </c>
      <c r="G75" s="28">
        <v>7</v>
      </c>
      <c r="H75" s="28">
        <v>23</v>
      </c>
      <c r="I75" s="28">
        <v>2</v>
      </c>
      <c r="J75" s="28">
        <v>4</v>
      </c>
      <c r="K75" s="28">
        <v>2</v>
      </c>
      <c r="L75" s="28">
        <v>0</v>
      </c>
      <c r="M75" s="28">
        <v>0</v>
      </c>
      <c r="N75" s="28">
        <v>3</v>
      </c>
      <c r="O75" s="28">
        <v>2</v>
      </c>
      <c r="P75" s="74">
        <v>7</v>
      </c>
      <c r="Q75" s="28">
        <v>0</v>
      </c>
      <c r="R75" s="28">
        <v>0</v>
      </c>
      <c r="S75" s="74">
        <v>3</v>
      </c>
      <c r="T75" s="28">
        <f>IFERROR((SDP_H[[#This Row],[H]]-SDP_H[[#This Row],[2B]]-SDP_H[[#This Row],[3B]]-SDP_H[[#This Row],[HR]])+(SDP_H[[#This Row],[2B]]*2)+(SDP_H[[#This Row],[3B]]*3)+(SDP_H[[#This Row],[HR]]*4),0)</f>
        <v>6</v>
      </c>
      <c r="U75" s="72">
        <f>SDP_H[[#This Row],[OBP]]+SDP_H[[#This Row],[SLG]]</f>
        <v>0.50086956521739134</v>
      </c>
      <c r="V75" s="74">
        <v>1</v>
      </c>
      <c r="W75" s="615">
        <v>10</v>
      </c>
      <c r="Z75" s="651" t="s">
        <v>1200</v>
      </c>
      <c r="AA75" s="71" t="s">
        <v>179</v>
      </c>
      <c r="AB75" s="71" t="s">
        <v>1210</v>
      </c>
      <c r="AC75" s="72">
        <f>IFERROR(SDP_H107[[#This Row],[H]]/SDP_H107[[#This Row],[AB]],0)</f>
        <v>0.19148936170212766</v>
      </c>
      <c r="AD75" s="72">
        <f>IFERROR((SDP_H107[[#This Row],[H]]+SDP_H107[[#This Row],[BB]])/(SDP_H107[[#This Row],[BB]]+SDP_H107[[#This Row],[AB]]),0)</f>
        <v>0.24</v>
      </c>
      <c r="AE75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0.40425531914893614</v>
      </c>
      <c r="AF75" s="28">
        <v>14</v>
      </c>
      <c r="AG75" s="28">
        <v>47</v>
      </c>
      <c r="AH75" s="28">
        <v>4</v>
      </c>
      <c r="AI75" s="28">
        <v>9</v>
      </c>
      <c r="AJ75" s="28">
        <v>4</v>
      </c>
      <c r="AK75" s="28">
        <v>0</v>
      </c>
      <c r="AL75" s="28">
        <v>2</v>
      </c>
      <c r="AM75" s="28">
        <v>6</v>
      </c>
      <c r="AN75" s="28">
        <v>3</v>
      </c>
      <c r="AO75" s="74">
        <v>17</v>
      </c>
      <c r="AP75" s="28">
        <v>0</v>
      </c>
      <c r="AQ75" s="28">
        <v>1</v>
      </c>
      <c r="AR75" s="74">
        <v>1</v>
      </c>
      <c r="AS75" s="28">
        <f>IFERROR((SDP_H107[[#This Row],[H]]-SDP_H107[[#This Row],[2B]]-SDP_H107[[#This Row],[3B]]-SDP_H107[[#This Row],[HR]])+(SDP_H107[[#This Row],[2B]]*2)+(SDP_H107[[#This Row],[3B]]*3)+(SDP_H107[[#This Row],[HR]]*4),0)</f>
        <v>19</v>
      </c>
      <c r="AT75" s="72">
        <f>SDP_H107[[#This Row],[OBP]]+SDP_H107[[#This Row],[SLG]]</f>
        <v>0.64425531914893619</v>
      </c>
      <c r="AU75" s="74">
        <v>1</v>
      </c>
      <c r="AV75" s="615">
        <v>10</v>
      </c>
      <c r="AY75" s="651" t="s">
        <v>1200</v>
      </c>
      <c r="AZ75" s="74" t="s">
        <v>308</v>
      </c>
      <c r="BA75" s="71" t="s">
        <v>1210</v>
      </c>
      <c r="BB75" s="72">
        <f>IFERROR(SDP_H121[[#This Row],[H]]/SDP_H121[[#This Row],[AB]],0)</f>
        <v>7.6923076923076927E-2</v>
      </c>
      <c r="BC75" s="72">
        <f>IFERROR((SDP_H121[[#This Row],[BB]]+SDP_H121[[#This Row],[H]])/(SDP_H121[[#This Row],[BB]]+SDP_H121[[#This Row],[AB]]),0)</f>
        <v>0.25</v>
      </c>
      <c r="BD75" s="73">
        <f>IFERROR(((SDP_H121[[#This Row],[H]]-SDP_H121[[#This Row],[2B]]-SDP_H121[[#This Row],[3B]]-SDP_H121[[#This Row],[HR]])+(SDP_H121[[#This Row],[2B]]*2)+(SDP_H121[[#This Row],[3B]]*3)+(SDP_H121[[#This Row],[HR]]*4))/SDP_H121[[#This Row],[AB]],0)</f>
        <v>7.6923076923076927E-2</v>
      </c>
      <c r="BE75" s="28">
        <v>5</v>
      </c>
      <c r="BF75" s="28">
        <v>13</v>
      </c>
      <c r="BG75" s="28">
        <v>0</v>
      </c>
      <c r="BH75" s="28">
        <v>1</v>
      </c>
      <c r="BI75" s="28">
        <v>0</v>
      </c>
      <c r="BJ75" s="28">
        <v>0</v>
      </c>
      <c r="BK75" s="28">
        <v>0</v>
      </c>
      <c r="BL75" s="28">
        <v>0</v>
      </c>
      <c r="BM75" s="28">
        <v>3</v>
      </c>
      <c r="BN75" s="74">
        <v>3</v>
      </c>
      <c r="BO75" s="28">
        <v>0</v>
      </c>
      <c r="BP75" s="28">
        <v>0</v>
      </c>
      <c r="BQ75" s="74">
        <v>1</v>
      </c>
      <c r="BR75" s="28">
        <f>(SDP_H121[[#This Row],[H]]-SDP_H121[[#This Row],[2B]]-SDP_H121[[#This Row],[3B]]-SDP_H121[[#This Row],[HR]])+(SDP_H121[[#This Row],[2B]]*2)+(SDP_H121[[#This Row],[3B]]*3)+(SDP_H121[[#This Row],[HR]]*4)</f>
        <v>1</v>
      </c>
      <c r="BS75" s="72">
        <f>IFERROR(SDP_H121[[#This Row],[OBP]]+SDP_H121[[#This Row],[SLG]],0)</f>
        <v>0.32692307692307693</v>
      </c>
      <c r="BT75" s="74">
        <v>0</v>
      </c>
      <c r="BU75" s="615">
        <v>10</v>
      </c>
    </row>
    <row r="76" spans="1:73">
      <c r="A76" s="651" t="s">
        <v>1200</v>
      </c>
      <c r="B76" s="71" t="s">
        <v>187</v>
      </c>
      <c r="C76" s="71" t="s">
        <v>1212</v>
      </c>
      <c r="D76" s="72">
        <f>IFERROR(SDP_H[[#This Row],[H]]/SDP_H[[#This Row],[AB]],0)</f>
        <v>0.27272727272727271</v>
      </c>
      <c r="E76" s="72">
        <f>IFERROR((SDP_H[[#This Row],[H]]+SDP_H[[#This Row],[BB]])/(SDP_H[[#This Row],[BB]]+SDP_H[[#This Row],[AB]]),0)</f>
        <v>0.33333333333333331</v>
      </c>
      <c r="F76" s="73">
        <f>IFERROR(((SDP_H[[#This Row],[H]]-SDP_H[[#This Row],[2B]]-SDP_H[[#This Row],[3B]]-SDP_H[[#This Row],[HR]])+(SDP_H[[#This Row],[2B]]*2)+(SDP_H[[#This Row],[3B]]*3)+(SDP_H[[#This Row],[HR]]*4))/SDP_H[[#This Row],[AB]],0)</f>
        <v>0.54545454545454541</v>
      </c>
      <c r="G76" s="28">
        <v>6</v>
      </c>
      <c r="H76" s="28">
        <v>22</v>
      </c>
      <c r="I76" s="28">
        <v>3</v>
      </c>
      <c r="J76" s="28">
        <v>6</v>
      </c>
      <c r="K76" s="28">
        <v>0</v>
      </c>
      <c r="L76" s="28">
        <v>0</v>
      </c>
      <c r="M76" s="28">
        <v>2</v>
      </c>
      <c r="N76" s="28">
        <v>4</v>
      </c>
      <c r="O76" s="28">
        <v>2</v>
      </c>
      <c r="P76" s="74">
        <v>5</v>
      </c>
      <c r="Q76" s="28">
        <v>0</v>
      </c>
      <c r="R76" s="28">
        <v>2</v>
      </c>
      <c r="S76" s="74">
        <v>2</v>
      </c>
      <c r="T76" s="28">
        <f>IFERROR((SDP_H[[#This Row],[H]]-SDP_H[[#This Row],[2B]]-SDP_H[[#This Row],[3B]]-SDP_H[[#This Row],[HR]])+(SDP_H[[#This Row],[2B]]*2)+(SDP_H[[#This Row],[3B]]*3)+(SDP_H[[#This Row],[HR]]*4),0)</f>
        <v>12</v>
      </c>
      <c r="U76" s="72">
        <f>SDP_H[[#This Row],[OBP]]+SDP_H[[#This Row],[SLG]]</f>
        <v>0.87878787878787867</v>
      </c>
      <c r="V76" s="74">
        <v>1</v>
      </c>
      <c r="W76" s="615">
        <v>11</v>
      </c>
      <c r="Z76" s="651" t="s">
        <v>1200</v>
      </c>
      <c r="AA76" s="71" t="s">
        <v>187</v>
      </c>
      <c r="AB76" s="71" t="s">
        <v>1212</v>
      </c>
      <c r="AC76" s="72">
        <f>IFERROR(SDP_H107[[#This Row],[H]]/SDP_H107[[#This Row],[AB]],0)</f>
        <v>9.0909090909090912E-2</v>
      </c>
      <c r="AD76" s="72">
        <f>IFERROR((SDP_H107[[#This Row],[H]]+SDP_H107[[#This Row],[BB]])/(SDP_H107[[#This Row],[BB]]+SDP_H107[[#This Row],[AB]]),0)</f>
        <v>0.1891891891891892</v>
      </c>
      <c r="AE76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0.18181818181818182</v>
      </c>
      <c r="AF76" s="28">
        <v>10</v>
      </c>
      <c r="AG76" s="28">
        <v>33</v>
      </c>
      <c r="AH76" s="28">
        <v>4</v>
      </c>
      <c r="AI76" s="28">
        <v>3</v>
      </c>
      <c r="AJ76" s="28">
        <v>0</v>
      </c>
      <c r="AK76" s="28">
        <v>0</v>
      </c>
      <c r="AL76" s="28">
        <v>1</v>
      </c>
      <c r="AM76" s="28">
        <v>2</v>
      </c>
      <c r="AN76" s="28">
        <v>4</v>
      </c>
      <c r="AO76" s="74">
        <v>8</v>
      </c>
      <c r="AP76" s="28">
        <v>0</v>
      </c>
      <c r="AQ76" s="28">
        <v>0</v>
      </c>
      <c r="AR76" s="74">
        <v>3</v>
      </c>
      <c r="AS76" s="28">
        <f>IFERROR((SDP_H107[[#This Row],[H]]-SDP_H107[[#This Row],[2B]]-SDP_H107[[#This Row],[3B]]-SDP_H107[[#This Row],[HR]])+(SDP_H107[[#This Row],[2B]]*2)+(SDP_H107[[#This Row],[3B]]*3)+(SDP_H107[[#This Row],[HR]]*4),0)</f>
        <v>6</v>
      </c>
      <c r="AT76" s="72">
        <f>SDP_H107[[#This Row],[OBP]]+SDP_H107[[#This Row],[SLG]]</f>
        <v>0.37100737100737102</v>
      </c>
      <c r="AU76" s="74">
        <v>0</v>
      </c>
      <c r="AV76" s="615">
        <v>11</v>
      </c>
      <c r="AY76" s="651" t="s">
        <v>1200</v>
      </c>
      <c r="AZ76" s="74" t="s">
        <v>187</v>
      </c>
      <c r="BA76" s="71" t="s">
        <v>1212</v>
      </c>
      <c r="BB76" s="72">
        <v>0.107</v>
      </c>
      <c r="BC76" s="72">
        <v>0.107</v>
      </c>
      <c r="BD76" s="73">
        <v>0.28599999999999998</v>
      </c>
      <c r="BE76" s="28">
        <v>11</v>
      </c>
      <c r="BF76" s="28">
        <v>28</v>
      </c>
      <c r="BG76" s="28">
        <v>2</v>
      </c>
      <c r="BH76" s="28">
        <v>3</v>
      </c>
      <c r="BI76" s="28">
        <v>0</v>
      </c>
      <c r="BJ76" s="28">
        <v>1</v>
      </c>
      <c r="BK76" s="28">
        <v>1</v>
      </c>
      <c r="BL76" s="28">
        <v>1</v>
      </c>
      <c r="BM76" s="28">
        <v>0</v>
      </c>
      <c r="BN76" s="74">
        <v>6</v>
      </c>
      <c r="BO76" s="28">
        <v>1</v>
      </c>
      <c r="BP76" s="28">
        <v>2</v>
      </c>
      <c r="BQ76" s="74">
        <v>2</v>
      </c>
      <c r="BR76" s="28">
        <f>(SDP_H121[[#This Row],[H]]-SDP_H121[[#This Row],[2B]]-SDP_H121[[#This Row],[3B]]-SDP_H121[[#This Row],[HR]])+(SDP_H121[[#This Row],[2B]]*2)+(SDP_H121[[#This Row],[3B]]*3)+(SDP_H121[[#This Row],[HR]]*4)</f>
        <v>8</v>
      </c>
      <c r="BS76" s="72">
        <f>IFERROR(SDP_H121[[#This Row],[OBP]]+SDP_H121[[#This Row],[SLG]],0)</f>
        <v>0.39299999999999996</v>
      </c>
      <c r="BT76" s="74">
        <v>0</v>
      </c>
      <c r="BU76" s="615">
        <v>11</v>
      </c>
    </row>
    <row r="77" spans="1:73">
      <c r="A77" s="651" t="s">
        <v>1200</v>
      </c>
      <c r="B77" s="71" t="s">
        <v>187</v>
      </c>
      <c r="C77" s="71" t="s">
        <v>1213</v>
      </c>
      <c r="D77" s="72">
        <f>IFERROR(SDP_H[[#This Row],[H]]/SDP_H[[#This Row],[AB]],0)</f>
        <v>0.14285714285714285</v>
      </c>
      <c r="E77" s="72">
        <f>IFERROR((SDP_H[[#This Row],[H]]+SDP_H[[#This Row],[BB]])/(SDP_H[[#This Row],[BB]]+SDP_H[[#This Row],[AB]]),0)</f>
        <v>0.29411764705882354</v>
      </c>
      <c r="F77" s="73">
        <f>IFERROR(((SDP_H[[#This Row],[H]]-SDP_H[[#This Row],[2B]]-SDP_H[[#This Row],[3B]]-SDP_H[[#This Row],[HR]])+(SDP_H[[#This Row],[2B]]*2)+(SDP_H[[#This Row],[3B]]*3)+(SDP_H[[#This Row],[HR]]*4))/SDP_H[[#This Row],[AB]],0)</f>
        <v>0.35714285714285715</v>
      </c>
      <c r="G77" s="28">
        <v>4</v>
      </c>
      <c r="H77" s="28">
        <v>14</v>
      </c>
      <c r="I77" s="28">
        <v>2</v>
      </c>
      <c r="J77" s="28">
        <v>2</v>
      </c>
      <c r="K77" s="28">
        <v>0</v>
      </c>
      <c r="L77" s="28">
        <v>0</v>
      </c>
      <c r="M77" s="28">
        <v>1</v>
      </c>
      <c r="N77" s="28">
        <v>2</v>
      </c>
      <c r="O77" s="28">
        <v>3</v>
      </c>
      <c r="P77" s="74">
        <v>2</v>
      </c>
      <c r="Q77" s="28">
        <v>0</v>
      </c>
      <c r="R77" s="28">
        <v>1</v>
      </c>
      <c r="S77" s="74">
        <v>1</v>
      </c>
      <c r="T77" s="28">
        <f>IFERROR((SDP_H[[#This Row],[H]]-SDP_H[[#This Row],[2B]]-SDP_H[[#This Row],[3B]]-SDP_H[[#This Row],[HR]])+(SDP_H[[#This Row],[2B]]*2)+(SDP_H[[#This Row],[3B]]*3)+(SDP_H[[#This Row],[HR]]*4),0)</f>
        <v>5</v>
      </c>
      <c r="U77" s="72">
        <f>SDP_H[[#This Row],[OBP]]+SDP_H[[#This Row],[SLG]]</f>
        <v>0.65126050420168069</v>
      </c>
      <c r="V77" s="74">
        <v>0</v>
      </c>
      <c r="W77" s="615">
        <v>12</v>
      </c>
      <c r="Z77" s="651" t="s">
        <v>1200</v>
      </c>
      <c r="AA77" s="71" t="s">
        <v>187</v>
      </c>
      <c r="AB77" s="71" t="s">
        <v>1213</v>
      </c>
      <c r="AC77" s="72">
        <f>IFERROR(SDP_H107[[#This Row],[H]]/SDP_H107[[#This Row],[AB]],0)</f>
        <v>0.12</v>
      </c>
      <c r="AD77" s="72">
        <f>IFERROR((SDP_H107[[#This Row],[H]]+SDP_H107[[#This Row],[BB]])/(SDP_H107[[#This Row],[BB]]+SDP_H107[[#This Row],[AB]]),0)</f>
        <v>0.15384615384615385</v>
      </c>
      <c r="AE77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0.2</v>
      </c>
      <c r="AF77" s="28">
        <v>7</v>
      </c>
      <c r="AG77" s="28">
        <v>25</v>
      </c>
      <c r="AH77" s="28">
        <v>1</v>
      </c>
      <c r="AI77" s="28">
        <v>3</v>
      </c>
      <c r="AJ77" s="28">
        <v>0</v>
      </c>
      <c r="AK77" s="28">
        <v>1</v>
      </c>
      <c r="AL77" s="28">
        <v>0</v>
      </c>
      <c r="AM77" s="28">
        <v>0</v>
      </c>
      <c r="AN77" s="28">
        <v>1</v>
      </c>
      <c r="AO77" s="74">
        <v>9</v>
      </c>
      <c r="AP77" s="28">
        <v>0</v>
      </c>
      <c r="AQ77" s="28">
        <v>0</v>
      </c>
      <c r="AR77" s="74">
        <v>1</v>
      </c>
      <c r="AS77" s="28">
        <f>IFERROR((SDP_H107[[#This Row],[H]]-SDP_H107[[#This Row],[2B]]-SDP_H107[[#This Row],[3B]]-SDP_H107[[#This Row],[HR]])+(SDP_H107[[#This Row],[2B]]*2)+(SDP_H107[[#This Row],[3B]]*3)+(SDP_H107[[#This Row],[HR]]*4),0)</f>
        <v>5</v>
      </c>
      <c r="AT77" s="72">
        <f>SDP_H107[[#This Row],[OBP]]+SDP_H107[[#This Row],[SLG]]</f>
        <v>0.35384615384615387</v>
      </c>
      <c r="AU77" s="74">
        <v>0</v>
      </c>
      <c r="AV77" s="615">
        <v>12</v>
      </c>
      <c r="AY77" s="651" t="s">
        <v>1200</v>
      </c>
      <c r="AZ77" s="74" t="s">
        <v>186</v>
      </c>
      <c r="BA77" s="71" t="s">
        <v>1213</v>
      </c>
      <c r="BB77" s="72">
        <f>IFERROR(SDP_H121[[#This Row],[H]]/SDP_H121[[#This Row],[AB]],0)</f>
        <v>0.2</v>
      </c>
      <c r="BC77" s="72">
        <f>IFERROR((SDP_H121[[#This Row],[BB]]+SDP_H121[[#This Row],[H]])/(SDP_H121[[#This Row],[BB]]+SDP_H121[[#This Row],[AB]]),0)</f>
        <v>0.33333333333333331</v>
      </c>
      <c r="BD77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0.34285714285714286</v>
      </c>
      <c r="BE77" s="28">
        <v>12</v>
      </c>
      <c r="BF77" s="28">
        <v>35</v>
      </c>
      <c r="BG77" s="28">
        <v>7</v>
      </c>
      <c r="BH77" s="28">
        <v>7</v>
      </c>
      <c r="BI77" s="28">
        <v>2</v>
      </c>
      <c r="BJ77" s="28">
        <v>0</v>
      </c>
      <c r="BK77" s="28">
        <v>1</v>
      </c>
      <c r="BL77" s="28">
        <v>2</v>
      </c>
      <c r="BM77" s="28">
        <v>7</v>
      </c>
      <c r="BN77" s="74">
        <v>10</v>
      </c>
      <c r="BO77" s="28">
        <v>0</v>
      </c>
      <c r="BP77" s="28">
        <v>0</v>
      </c>
      <c r="BQ77" s="74">
        <v>4</v>
      </c>
      <c r="BR77" s="28">
        <f>(SDP_H121[[#This Row],[H]]-SDP_H121[[#This Row],[2B]]-SDP_H121[[#This Row],[3B]]-SDP_H121[[#This Row],[HR]])+(SDP_H121[[#This Row],[2B]]*2)+(SDP_H121[[#This Row],[3B]]*3)+(SDP_H121[[#This Row],[HR]]*4)</f>
        <v>12</v>
      </c>
      <c r="BS77" s="72">
        <f>IFERROR(SDP_H121[[#This Row],[OBP]]+SDP_H121[[#This Row],[SLG]],0)</f>
        <v>0.67619047619047623</v>
      </c>
      <c r="BT77" s="74">
        <v>0</v>
      </c>
      <c r="BU77" s="615">
        <v>12</v>
      </c>
    </row>
    <row r="78" spans="1:73">
      <c r="A78" s="651" t="s">
        <v>1200</v>
      </c>
      <c r="B78" s="71" t="s">
        <v>186</v>
      </c>
      <c r="C78" s="71" t="s">
        <v>1211</v>
      </c>
      <c r="D78" s="72">
        <f>IFERROR(SDP_H[[#This Row],[H]]/SDP_H[[#This Row],[AB]],0)</f>
        <v>0.12307692307692308</v>
      </c>
      <c r="E78" s="72">
        <f>IFERROR((SDP_H[[#This Row],[H]]+SDP_H[[#This Row],[BB]])/(SDP_H[[#This Row],[BB]]+SDP_H[[#This Row],[AB]]),0)</f>
        <v>0.17391304347826086</v>
      </c>
      <c r="F78" s="73">
        <f>IFERROR(((SDP_H[[#This Row],[H]]-SDP_H[[#This Row],[2B]]-SDP_H[[#This Row],[3B]]-SDP_H[[#This Row],[HR]])+(SDP_H[[#This Row],[2B]]*2)+(SDP_H[[#This Row],[3B]]*3)+(SDP_H[[#This Row],[HR]]*4))/SDP_H[[#This Row],[AB]],0)</f>
        <v>0.18461538461538463</v>
      </c>
      <c r="G78" s="28">
        <v>18</v>
      </c>
      <c r="H78" s="28">
        <v>65</v>
      </c>
      <c r="I78" s="28">
        <v>5</v>
      </c>
      <c r="J78" s="28">
        <v>8</v>
      </c>
      <c r="K78" s="28">
        <v>4</v>
      </c>
      <c r="L78" s="28">
        <v>0</v>
      </c>
      <c r="M78" s="28">
        <v>0</v>
      </c>
      <c r="N78" s="28">
        <v>4</v>
      </c>
      <c r="O78" s="28">
        <v>4</v>
      </c>
      <c r="P78" s="74">
        <v>22</v>
      </c>
      <c r="Q78" s="28">
        <v>0</v>
      </c>
      <c r="R78" s="28">
        <v>1</v>
      </c>
      <c r="S78" s="74">
        <v>2</v>
      </c>
      <c r="T78" s="28">
        <f>IFERROR((SDP_H[[#This Row],[H]]-SDP_H[[#This Row],[2B]]-SDP_H[[#This Row],[3B]]-SDP_H[[#This Row],[HR]])+(SDP_H[[#This Row],[2B]]*2)+(SDP_H[[#This Row],[3B]]*3)+(SDP_H[[#This Row],[HR]]*4),0)</f>
        <v>12</v>
      </c>
      <c r="U78" s="72">
        <f>SDP_H[[#This Row],[OBP]]+SDP_H[[#This Row],[SLG]]</f>
        <v>0.35852842809364549</v>
      </c>
      <c r="V78" s="74">
        <v>0</v>
      </c>
      <c r="W78" s="615">
        <v>13</v>
      </c>
      <c r="Z78" s="651" t="s">
        <v>1200</v>
      </c>
      <c r="AA78" s="71" t="s">
        <v>186</v>
      </c>
      <c r="AB78" s="71" t="s">
        <v>1211</v>
      </c>
      <c r="AC78" s="72">
        <f>IFERROR(SDP_H107[[#This Row],[H]]/SDP_H107[[#This Row],[AB]],0)</f>
        <v>0.19540229885057472</v>
      </c>
      <c r="AD78" s="72">
        <f>IFERROR((SDP_H107[[#This Row],[H]]+SDP_H107[[#This Row],[BB]])/(SDP_H107[[#This Row],[BB]]+SDP_H107[[#This Row],[AB]]),0)</f>
        <v>0.2391304347826087</v>
      </c>
      <c r="AE78" s="73">
        <f>IFERROR(((SDP_H107[[#This Row],[H]]-SDP_H107[[#This Row],[2B]]-SDP_H107[[#This Row],[3B]]-SDP_H107[[#This Row],[HR]])+(SDP_H107[[#This Row],[2B]]*2)+(SDP_H107[[#This Row],[3B]]*3)+(SDP_H107[[#This Row],[HR]]*4))/SDP_H107[[#This Row],[AB]],0)</f>
        <v>0.32183908045977011</v>
      </c>
      <c r="AF78" s="28">
        <v>22</v>
      </c>
      <c r="AG78" s="28">
        <v>87</v>
      </c>
      <c r="AH78" s="28">
        <v>7</v>
      </c>
      <c r="AI78" s="28">
        <v>17</v>
      </c>
      <c r="AJ78" s="28">
        <v>1</v>
      </c>
      <c r="AK78" s="28">
        <v>2</v>
      </c>
      <c r="AL78" s="28">
        <v>2</v>
      </c>
      <c r="AM78" s="28">
        <v>8</v>
      </c>
      <c r="AN78" s="28">
        <v>5</v>
      </c>
      <c r="AO78" s="74">
        <v>33</v>
      </c>
      <c r="AP78" s="28">
        <v>0</v>
      </c>
      <c r="AQ78" s="28">
        <v>2</v>
      </c>
      <c r="AR78" s="74">
        <v>8</v>
      </c>
      <c r="AS78" s="28">
        <f>IFERROR((SDP_H107[[#This Row],[H]]-SDP_H107[[#This Row],[2B]]-SDP_H107[[#This Row],[3B]]-SDP_H107[[#This Row],[HR]])+(SDP_H107[[#This Row],[2B]]*2)+(SDP_H107[[#This Row],[3B]]*3)+(SDP_H107[[#This Row],[HR]]*4),0)</f>
        <v>28</v>
      </c>
      <c r="AT78" s="72">
        <f>SDP_H107[[#This Row],[OBP]]+SDP_H107[[#This Row],[SLG]]</f>
        <v>0.56096951524237881</v>
      </c>
      <c r="AU78" s="74">
        <v>2</v>
      </c>
      <c r="AV78" s="615">
        <v>13</v>
      </c>
      <c r="AY78" s="651" t="s">
        <v>1200</v>
      </c>
      <c r="AZ78" s="74" t="s">
        <v>186</v>
      </c>
      <c r="BA78" s="71" t="s">
        <v>1211</v>
      </c>
      <c r="BB78" s="72">
        <f>IFERROR(SDP_H121[[#This Row],[H]]/SDP_H121[[#This Row],[AB]],0)</f>
        <v>0.17499999999999999</v>
      </c>
      <c r="BC78" s="72">
        <f>IFERROR((SDP_H121[[#This Row],[BB]]+SDP_H121[[#This Row],[H]])/(SDP_H121[[#This Row],[BB]]+SDP_H121[[#This Row],[AB]]),0)</f>
        <v>0.25</v>
      </c>
      <c r="BD78" s="73">
        <f>IFERROR(((SDP_H121[[#This Row],[H]]-SDP_H121[[#This Row],[2B]]-SDP_H121[[#This Row],[3B]]-SDP_H121[[#This Row],[HR]])+(SDP_H121[[#This Row],[2B]]*2)+(SDP_H121[[#This Row],[3B]]*3)+(SDP_H121[[#This Row],[HR]]*4))/SDP_H121[[#This Row],[AB]],0)</f>
        <v>0.3</v>
      </c>
      <c r="BE78" s="28">
        <v>12</v>
      </c>
      <c r="BF78" s="28">
        <v>40</v>
      </c>
      <c r="BG78" s="28">
        <v>2</v>
      </c>
      <c r="BH78" s="28">
        <v>7</v>
      </c>
      <c r="BI78" s="28">
        <v>2</v>
      </c>
      <c r="BJ78" s="28">
        <v>0</v>
      </c>
      <c r="BK78" s="28">
        <v>1</v>
      </c>
      <c r="BL78" s="28">
        <v>5</v>
      </c>
      <c r="BM78" s="28">
        <v>4</v>
      </c>
      <c r="BN78" s="74">
        <v>12</v>
      </c>
      <c r="BO78" s="28">
        <v>0</v>
      </c>
      <c r="BP78" s="28">
        <v>0</v>
      </c>
      <c r="BQ78" s="74">
        <v>4</v>
      </c>
      <c r="BR78" s="28">
        <f>(SDP_H121[[#This Row],[H]]-SDP_H121[[#This Row],[2B]]-SDP_H121[[#This Row],[3B]]-SDP_H121[[#This Row],[HR]])+(SDP_H121[[#This Row],[2B]]*2)+(SDP_H121[[#This Row],[3B]]*3)+(SDP_H121[[#This Row],[HR]]*4)</f>
        <v>12</v>
      </c>
      <c r="BS78" s="72">
        <f>IFERROR(SDP_H121[[#This Row],[OBP]]+SDP_H121[[#This Row],[SLG]],0)</f>
        <v>0.55000000000000004</v>
      </c>
      <c r="BT78" s="74">
        <v>0</v>
      </c>
      <c r="BU78" s="615">
        <v>13</v>
      </c>
    </row>
    <row r="79" spans="1:73" ht="17" thickBot="1">
      <c r="A79" s="651" t="s">
        <v>1200</v>
      </c>
      <c r="B79" s="71" t="s">
        <v>186</v>
      </c>
      <c r="C79" s="71" t="s">
        <v>1214</v>
      </c>
      <c r="D79" s="72">
        <f>IFERROR(SDP_H[[#This Row],[H]]/SDP_H[[#This Row],[AB]],0)</f>
        <v>0</v>
      </c>
      <c r="E79" s="72">
        <f>IFERROR((SDP_H[[#This Row],[H]]+SDP_H[[#This Row],[BB]])/(SDP_H[[#This Row],[BB]]+SDP_H[[#This Row],[AB]]),0)</f>
        <v>0</v>
      </c>
      <c r="F79" s="73">
        <f>IFERROR(((SDP_H[[#This Row],[H]]-SDP_H[[#This Row],[2B]]-SDP_H[[#This Row],[3B]]-SDP_H[[#This Row],[HR]])+(SDP_H[[#This Row],[2B]]*2)+(SDP_H[[#This Row],[3B]]*3)+(SDP_H[[#This Row],[HR]]*4))/SDP_H[[#This Row],[AB]],0)</f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74">
        <v>0</v>
      </c>
      <c r="Q79" s="28">
        <v>0</v>
      </c>
      <c r="R79" s="28">
        <v>0</v>
      </c>
      <c r="S79" s="74">
        <v>0</v>
      </c>
      <c r="T79" s="28">
        <f>IFERROR((SDP_H[[#This Row],[H]]-SDP_H[[#This Row],[2B]]-SDP_H[[#This Row],[3B]]-SDP_H[[#This Row],[HR]])+(SDP_H[[#This Row],[2B]]*2)+(SDP_H[[#This Row],[3B]]*3)+(SDP_H[[#This Row],[HR]]*4),0)</f>
        <v>0</v>
      </c>
      <c r="U79" s="72">
        <f>SDP_H[[#This Row],[OBP]]+SDP_H[[#This Row],[SLG]]</f>
        <v>0</v>
      </c>
      <c r="V79" s="74">
        <v>0</v>
      </c>
      <c r="W79" s="615">
        <v>14</v>
      </c>
      <c r="Z79" s="651" t="s">
        <v>1200</v>
      </c>
      <c r="AA79" s="71" t="s">
        <v>186</v>
      </c>
      <c r="AB79" s="71" t="s">
        <v>1214</v>
      </c>
      <c r="AC79" s="72">
        <f>IFERROR(SDP_H107[[#This Row],[H]]/SDP_H107[[#This Row],[AB]],0)</f>
        <v>0</v>
      </c>
      <c r="AD79" s="72">
        <f>IFERROR((SDP_H107[[#This Row],[H]]+SDP_H107[[#This Row],[BB]])/(SDP_H107[[#This Row],[BB]]+SDP_H107[[#This Row],[AB]]),0)</f>
        <v>0</v>
      </c>
      <c r="AE79" s="73">
        <f>IFERROR(((SDP_H107[[#This Row],[H]]-SDP_H107[[#This Row],[2B]]-SDP_H107[[#This Row],[3B]]-SDP_H107[[#This Row],[HR]])+(SDP_H107[[#This Row],[2B]]*2)+(SDP_H107[[#This Row],[3B]]*3)+(SDP_H107[[#This Row],[HR]]*4))/SDP_H107[[#This Row],[AB]],0)</f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74">
        <v>0</v>
      </c>
      <c r="AP79" s="28">
        <v>0</v>
      </c>
      <c r="AQ79" s="28">
        <v>0</v>
      </c>
      <c r="AR79" s="74">
        <v>0</v>
      </c>
      <c r="AS79" s="28">
        <f>IFERROR((SDP_H107[[#This Row],[H]]-SDP_H107[[#This Row],[2B]]-SDP_H107[[#This Row],[3B]]-SDP_H107[[#This Row],[HR]])+(SDP_H107[[#This Row],[2B]]*2)+(SDP_H107[[#This Row],[3B]]*3)+(SDP_H107[[#This Row],[HR]]*4),0)</f>
        <v>0</v>
      </c>
      <c r="AT79" s="72">
        <f>SDP_H107[[#This Row],[OBP]]+SDP_H107[[#This Row],[SLG]]</f>
        <v>0</v>
      </c>
      <c r="AU79" s="74">
        <v>0</v>
      </c>
      <c r="AV79" s="615">
        <v>14</v>
      </c>
      <c r="AY79" s="651" t="s">
        <v>1200</v>
      </c>
      <c r="AZ79" s="74" t="s">
        <v>184</v>
      </c>
      <c r="BA79" s="71" t="s">
        <v>1214</v>
      </c>
      <c r="BB79" s="72">
        <v>0</v>
      </c>
      <c r="BC79" s="72">
        <v>0</v>
      </c>
      <c r="BD79" s="73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74">
        <v>0</v>
      </c>
      <c r="BO79" s="28">
        <v>0</v>
      </c>
      <c r="BP79" s="28">
        <v>0</v>
      </c>
      <c r="BQ79" s="74">
        <v>0</v>
      </c>
      <c r="BR79" s="28">
        <f>(SDP_H121[[#This Row],[H]]-SDP_H121[[#This Row],[2B]]-SDP_H121[[#This Row],[3B]]-SDP_H121[[#This Row],[HR]])+(SDP_H121[[#This Row],[2B]]*2)+(SDP_H121[[#This Row],[3B]]*3)+(SDP_H121[[#This Row],[HR]]*4)</f>
        <v>0</v>
      </c>
      <c r="BS79" s="72">
        <f>IFERROR(SDP_H121[[#This Row],[OBP]]+SDP_H121[[#This Row],[SLG]],0)</f>
        <v>0</v>
      </c>
      <c r="BT79" s="74">
        <v>0</v>
      </c>
      <c r="BU79" s="615">
        <v>14</v>
      </c>
    </row>
    <row r="80" spans="1:73" ht="17" thickBot="1">
      <c r="A80" s="809"/>
      <c r="B80" s="810"/>
      <c r="C80" s="654" t="s">
        <v>195</v>
      </c>
      <c r="D80" s="656">
        <f>J80/H80</f>
        <v>0.26096491228070173</v>
      </c>
      <c r="E80" s="656">
        <f>(J80+O80)/(O80+H80)</f>
        <v>0.31317934782608697</v>
      </c>
      <c r="F80" s="657">
        <f>((J80-K80-L80-M80)+(K80*2)+(L80*3)+(M80*4))/H80</f>
        <v>0.41666666666666669</v>
      </c>
      <c r="G80" s="658"/>
      <c r="H80" s="658">
        <f>SUBTOTAL(109,SDP_H[AB])</f>
        <v>1368</v>
      </c>
      <c r="I80" s="658">
        <f>SUBTOTAL(109,SDP_H[R])</f>
        <v>148</v>
      </c>
      <c r="J80" s="658">
        <f>SUBTOTAL(109,SDP_H[H])</f>
        <v>357</v>
      </c>
      <c r="K80" s="658">
        <f>SUBTOTAL(109,SDP_H[2B])</f>
        <v>79</v>
      </c>
      <c r="L80" s="658">
        <f>SUBTOTAL(109,SDP_H[3B])</f>
        <v>4</v>
      </c>
      <c r="M80" s="658">
        <f>SUBTOTAL(109,SDP_H[HR])</f>
        <v>42</v>
      </c>
      <c r="N80" s="658">
        <f>SUBTOTAL(109,SDP_H[RBI])</f>
        <v>148</v>
      </c>
      <c r="O80" s="658">
        <f>SUBTOTAL(109,SDP_H[BB])</f>
        <v>104</v>
      </c>
      <c r="P80" s="660">
        <f>SUBTOTAL(109,SDP_H[K])</f>
        <v>304</v>
      </c>
      <c r="Q80" s="658">
        <f>SUBTOTAL(109,SDP_H[SB])</f>
        <v>8</v>
      </c>
      <c r="R80" s="658"/>
      <c r="S80" s="660"/>
      <c r="T80" s="658">
        <f>SUBTOTAL(109,SDP_H[TB])</f>
        <v>570</v>
      </c>
      <c r="U80" s="656">
        <f>E80+F80</f>
        <v>0.72984601449275366</v>
      </c>
      <c r="V80" s="660">
        <f>SUBTOTAL(109,SDP_H[*])</f>
        <v>23</v>
      </c>
      <c r="W80" s="662"/>
      <c r="Z80" s="809"/>
      <c r="AA80" s="810"/>
      <c r="AB80" s="654" t="s">
        <v>195</v>
      </c>
      <c r="AC80" s="656">
        <f>AI80/AG80</f>
        <v>0.23920994879297733</v>
      </c>
      <c r="AD80" s="656">
        <f>(AI80+AN80)/(AN80+AG80)</f>
        <v>0.30154466084620551</v>
      </c>
      <c r="AE80" s="657">
        <f>((AI80-AJ80-AK80-AL80)+(AJ80*2)+(AK80*3)+(AL80*4))/AG80</f>
        <v>0.37088514996342353</v>
      </c>
      <c r="AF80" s="658"/>
      <c r="AG80" s="658">
        <f>SUBTOTAL(109,SDP_H107[AB])</f>
        <v>1367</v>
      </c>
      <c r="AH80" s="658">
        <f>SUBTOTAL(109,SDP_H107[R])</f>
        <v>140</v>
      </c>
      <c r="AI80" s="658">
        <f>SUBTOTAL(109,SDP_H107[H])</f>
        <v>327</v>
      </c>
      <c r="AJ80" s="658">
        <f>SUBTOTAL(109,SDP_H107[2B])</f>
        <v>60</v>
      </c>
      <c r="AK80" s="658">
        <f>SUBTOTAL(109,SDP_H107[3B])</f>
        <v>9</v>
      </c>
      <c r="AL80" s="658">
        <f>SUBTOTAL(109,SDP_H107[HR])</f>
        <v>34</v>
      </c>
      <c r="AM80" s="658">
        <f>SUBTOTAL(109,SDP_H107[RBI])</f>
        <v>140</v>
      </c>
      <c r="AN80" s="658">
        <f>SUBTOTAL(109,SDP_H107[BB])</f>
        <v>122</v>
      </c>
      <c r="AO80" s="660">
        <f>SUBTOTAL(109,SDP_H107[K])</f>
        <v>359</v>
      </c>
      <c r="AP80" s="658">
        <f>SUBTOTAL(109,SDP_H107[SB])</f>
        <v>4</v>
      </c>
      <c r="AQ80" s="658"/>
      <c r="AR80" s="660"/>
      <c r="AS80" s="658">
        <f>SUBTOTAL(109,SDP_H107[TB])</f>
        <v>507</v>
      </c>
      <c r="AT80" s="656">
        <f>AD80+AE80</f>
        <v>0.67242981080962905</v>
      </c>
      <c r="AU80" s="660">
        <f>SUBTOTAL(109,SDP_H107[*])</f>
        <v>21</v>
      </c>
      <c r="AV80" s="662"/>
      <c r="AY80" s="809"/>
      <c r="AZ80" s="810"/>
      <c r="BA80" s="654" t="s">
        <v>195</v>
      </c>
      <c r="BB80" s="656">
        <f>IFERROR(BH80/BF80,0)</f>
        <v>0.24981467753891773</v>
      </c>
      <c r="BC80" s="656">
        <f>IFERROR((BM80+BH80)/(BM80+BF80),0)</f>
        <v>0.31621621621621621</v>
      </c>
      <c r="BD80" s="657">
        <f>IFERROR(((BH80-BI80-BJ80-BK80)+(BI80*2)+(BJ80*3)+(BK80*4))/BF80,0)</f>
        <v>0.43587842846553004</v>
      </c>
      <c r="BE80" s="658"/>
      <c r="BF80" s="658">
        <f>SUBTOTAL(109,SDP_H121[AB])</f>
        <v>1349</v>
      </c>
      <c r="BG80" s="658">
        <f>SUBTOTAL(109,SDP_H121[R])</f>
        <v>192</v>
      </c>
      <c r="BH80" s="658">
        <f>SUBTOTAL(109,SDP_H121[H])</f>
        <v>337</v>
      </c>
      <c r="BI80" s="658">
        <f>SUBTOTAL(109,SDP_H121[2B])</f>
        <v>75</v>
      </c>
      <c r="BJ80" s="658">
        <f>SUBTOTAL(109,SDP_H121[3B])</f>
        <v>7</v>
      </c>
      <c r="BK80" s="658">
        <f>SUBTOTAL(109,SDP_H121[HR])</f>
        <v>54</v>
      </c>
      <c r="BL80" s="658">
        <f>SUBTOTAL(109,SDP_H121[RBI])</f>
        <v>189</v>
      </c>
      <c r="BM80" s="658">
        <f>SUBTOTAL(109,SDP_H121[BB])</f>
        <v>131</v>
      </c>
      <c r="BN80" s="660">
        <f>SUBTOTAL(109,SDP_H121[K])</f>
        <v>319</v>
      </c>
      <c r="BO80" s="658">
        <f>SUBTOTAL(109,SDP_H121[SB])</f>
        <v>14</v>
      </c>
      <c r="BP80" s="658"/>
      <c r="BQ80" s="660"/>
      <c r="BR80" s="658">
        <f>SUBTOTAL(109,SDP_H121[TB])</f>
        <v>588</v>
      </c>
      <c r="BS80" s="656">
        <f>IFERROR(BC80+BD80,0)</f>
        <v>0.75209464468174625</v>
      </c>
      <c r="BT80" s="660">
        <f>SUBTOTAL(109,SDP_H121[*])</f>
        <v>25</v>
      </c>
      <c r="BU80" s="662"/>
    </row>
    <row r="81" spans="1:73" ht="17" thickBot="1"/>
    <row r="82" spans="1:73" s="108" customFormat="1" ht="15" thickBot="1">
      <c r="A82" s="605" t="s">
        <v>143</v>
      </c>
      <c r="B82" s="606" t="s">
        <v>144</v>
      </c>
      <c r="C82" s="606" t="s">
        <v>145</v>
      </c>
      <c r="D82" s="606" t="s">
        <v>196</v>
      </c>
      <c r="E82" s="606" t="s">
        <v>197</v>
      </c>
      <c r="F82" s="606" t="s">
        <v>198</v>
      </c>
      <c r="G82" s="606" t="s">
        <v>149</v>
      </c>
      <c r="H82" s="606" t="s">
        <v>199</v>
      </c>
      <c r="I82" s="606" t="s">
        <v>152</v>
      </c>
      <c r="J82" s="606" t="s">
        <v>151</v>
      </c>
      <c r="K82" s="606" t="s">
        <v>157</v>
      </c>
      <c r="L82" s="606" t="s">
        <v>158</v>
      </c>
      <c r="M82" s="606" t="s">
        <v>200</v>
      </c>
      <c r="N82" s="606" t="s">
        <v>201</v>
      </c>
      <c r="O82" s="606" t="s">
        <v>202</v>
      </c>
      <c r="P82" s="606" t="s">
        <v>203</v>
      </c>
      <c r="Q82" s="606" t="s">
        <v>204</v>
      </c>
      <c r="R82" s="606" t="s">
        <v>205</v>
      </c>
      <c r="S82" s="607" t="s">
        <v>164</v>
      </c>
      <c r="Z82" s="605" t="s">
        <v>143</v>
      </c>
      <c r="AA82" s="606" t="s">
        <v>144</v>
      </c>
      <c r="AB82" s="606" t="s">
        <v>145</v>
      </c>
      <c r="AC82" s="606" t="s">
        <v>196</v>
      </c>
      <c r="AD82" s="606" t="s">
        <v>197</v>
      </c>
      <c r="AE82" s="606" t="s">
        <v>198</v>
      </c>
      <c r="AF82" s="606" t="s">
        <v>149</v>
      </c>
      <c r="AG82" s="606" t="s">
        <v>199</v>
      </c>
      <c r="AH82" s="606" t="s">
        <v>152</v>
      </c>
      <c r="AI82" s="606" t="s">
        <v>151</v>
      </c>
      <c r="AJ82" s="606" t="s">
        <v>157</v>
      </c>
      <c r="AK82" s="606" t="s">
        <v>158</v>
      </c>
      <c r="AL82" s="606" t="s">
        <v>200</v>
      </c>
      <c r="AM82" s="606" t="s">
        <v>201</v>
      </c>
      <c r="AN82" s="606" t="s">
        <v>202</v>
      </c>
      <c r="AO82" s="606" t="s">
        <v>203</v>
      </c>
      <c r="AP82" s="606" t="s">
        <v>204</v>
      </c>
      <c r="AQ82" s="606" t="s">
        <v>205</v>
      </c>
      <c r="AR82" s="607" t="s">
        <v>164</v>
      </c>
      <c r="AY82" s="605" t="s">
        <v>143</v>
      </c>
      <c r="AZ82" s="606" t="s">
        <v>144</v>
      </c>
      <c r="BA82" s="606" t="s">
        <v>145</v>
      </c>
      <c r="BB82" s="606" t="s">
        <v>196</v>
      </c>
      <c r="BC82" s="606" t="s">
        <v>197</v>
      </c>
      <c r="BD82" s="606" t="s">
        <v>198</v>
      </c>
      <c r="BE82" s="606" t="s">
        <v>149</v>
      </c>
      <c r="BF82" s="606" t="s">
        <v>199</v>
      </c>
      <c r="BG82" s="606" t="s">
        <v>152</v>
      </c>
      <c r="BH82" s="606" t="s">
        <v>151</v>
      </c>
      <c r="BI82" s="606" t="s">
        <v>157</v>
      </c>
      <c r="BJ82" s="606" t="s">
        <v>158</v>
      </c>
      <c r="BK82" s="606" t="s">
        <v>200</v>
      </c>
      <c r="BL82" s="606" t="s">
        <v>201</v>
      </c>
      <c r="BM82" s="606" t="s">
        <v>202</v>
      </c>
      <c r="BN82" s="606" t="s">
        <v>203</v>
      </c>
      <c r="BO82" s="606" t="s">
        <v>204</v>
      </c>
      <c r="BP82" s="606" t="s">
        <v>205</v>
      </c>
      <c r="BQ82" s="607" t="s">
        <v>164</v>
      </c>
    </row>
    <row r="83" spans="1:73">
      <c r="A83" s="827" t="s">
        <v>1200</v>
      </c>
      <c r="B83" s="825" t="s">
        <v>206</v>
      </c>
      <c r="C83" s="826" t="s">
        <v>1215</v>
      </c>
      <c r="D83" s="663">
        <f>IFERROR((SDP_P[[#This Row],[R]]*9)/SDP_P[[#This Row],[IP]],0)</f>
        <v>2.2711341651479042</v>
      </c>
      <c r="E83" s="600">
        <v>6</v>
      </c>
      <c r="F83" s="604">
        <v>2</v>
      </c>
      <c r="G83" s="600">
        <v>10</v>
      </c>
      <c r="H83" s="630">
        <v>71.33</v>
      </c>
      <c r="I83" s="600">
        <v>60</v>
      </c>
      <c r="J83" s="600">
        <v>18</v>
      </c>
      <c r="K83" s="600">
        <v>26</v>
      </c>
      <c r="L83" s="600">
        <v>76</v>
      </c>
      <c r="M83" s="600">
        <v>0</v>
      </c>
      <c r="N83" s="631">
        <f>IFERROR((SDP_P[[#This Row],[BB]]+SDP_P[[#This Row],[H]])/SDP_P[[#This Row],[IP]],0)</f>
        <v>1.2056638160661712</v>
      </c>
      <c r="O83" s="600">
        <v>8</v>
      </c>
      <c r="P83" s="601">
        <v>6</v>
      </c>
      <c r="Q83" s="600">
        <v>2</v>
      </c>
      <c r="R83" s="604">
        <v>2</v>
      </c>
      <c r="S83" s="614">
        <v>1</v>
      </c>
      <c r="Z83" s="827" t="s">
        <v>1200</v>
      </c>
      <c r="AA83" s="825" t="s">
        <v>206</v>
      </c>
      <c r="AB83" s="826" t="s">
        <v>1215</v>
      </c>
      <c r="AC83" s="663">
        <f>IFERROR((SDP_P106[[#This Row],[R]]*9)/SDP_P106[[#This Row],[IP]],0)</f>
        <v>1.5531660692951015</v>
      </c>
      <c r="AD83" s="600">
        <v>7</v>
      </c>
      <c r="AE83" s="604">
        <v>1</v>
      </c>
      <c r="AF83" s="600">
        <v>10</v>
      </c>
      <c r="AG83" s="630">
        <v>75.33</v>
      </c>
      <c r="AH83" s="600">
        <v>44</v>
      </c>
      <c r="AI83" s="600">
        <v>13</v>
      </c>
      <c r="AJ83" s="600">
        <v>26</v>
      </c>
      <c r="AK83" s="600">
        <v>97</v>
      </c>
      <c r="AL83" s="600">
        <v>0</v>
      </c>
      <c r="AM83" s="631">
        <f>IFERROR((SDP_P106[[#This Row],[BB]]+SDP_P106[[#This Row],[H]])/SDP_P106[[#This Row],[IP]],0)</f>
        <v>0.92924465684322322</v>
      </c>
      <c r="AN83" s="708">
        <v>10</v>
      </c>
      <c r="AO83" s="601">
        <v>7</v>
      </c>
      <c r="AP83" s="600">
        <v>3</v>
      </c>
      <c r="AQ83" s="604">
        <v>1</v>
      </c>
      <c r="AR83" s="614">
        <v>1</v>
      </c>
      <c r="AY83" s="827" t="s">
        <v>1200</v>
      </c>
      <c r="AZ83" s="825" t="s">
        <v>206</v>
      </c>
      <c r="BA83" s="826" t="s">
        <v>1215</v>
      </c>
      <c r="BB83" s="663">
        <f>IFERROR((SDP_P122[[#This Row],[R]]*9)/SDP_P122[[#This Row],[IP]],0)</f>
        <v>3.1764705882352939</v>
      </c>
      <c r="BC83" s="600">
        <v>4</v>
      </c>
      <c r="BD83" s="604">
        <v>3</v>
      </c>
      <c r="BE83" s="600">
        <v>10</v>
      </c>
      <c r="BF83" s="630">
        <v>68</v>
      </c>
      <c r="BG83" s="600">
        <v>56</v>
      </c>
      <c r="BH83" s="600">
        <v>24</v>
      </c>
      <c r="BI83" s="600">
        <v>24</v>
      </c>
      <c r="BJ83" s="600">
        <v>84</v>
      </c>
      <c r="BK83" s="600">
        <v>0</v>
      </c>
      <c r="BL83" s="631">
        <f>IFERROR((SDP_P122[[#This Row],[BB]]+SDP_P122[[#This Row],[H]])/SDP_P122[[#This Row],[IP]],0)</f>
        <v>1.1764705882352942</v>
      </c>
      <c r="BM83" s="600">
        <v>6</v>
      </c>
      <c r="BN83" s="601">
        <v>4</v>
      </c>
      <c r="BO83" s="600">
        <v>1</v>
      </c>
      <c r="BP83" s="604">
        <v>1</v>
      </c>
      <c r="BQ83" s="880">
        <v>1</v>
      </c>
    </row>
    <row r="84" spans="1:73">
      <c r="A84" s="828" t="s">
        <v>1200</v>
      </c>
      <c r="B84" s="114" t="s">
        <v>206</v>
      </c>
      <c r="C84" s="115" t="s">
        <v>1216</v>
      </c>
      <c r="D84" s="88">
        <f>IFERROR((SDP_P[[#This Row],[R]]*9)/SDP_P[[#This Row],[IP]],0)</f>
        <v>3.7923478847126244</v>
      </c>
      <c r="E84" s="28">
        <v>4</v>
      </c>
      <c r="F84" s="74">
        <v>5</v>
      </c>
      <c r="G84" s="28">
        <v>10</v>
      </c>
      <c r="H84" s="584">
        <v>59.33</v>
      </c>
      <c r="I84" s="28">
        <v>53</v>
      </c>
      <c r="J84" s="28">
        <v>25</v>
      </c>
      <c r="K84" s="28">
        <v>35</v>
      </c>
      <c r="L84" s="28">
        <v>69</v>
      </c>
      <c r="M84" s="28">
        <v>0</v>
      </c>
      <c r="N84" s="89">
        <f>IFERROR((SDP_P[[#This Row],[BB]]+SDP_P[[#This Row],[H]])/SDP_P[[#This Row],[IP]],0)</f>
        <v>1.4832293949098265</v>
      </c>
      <c r="O84" s="28">
        <v>5</v>
      </c>
      <c r="P84" s="90">
        <v>4</v>
      </c>
      <c r="Q84" s="28">
        <v>0</v>
      </c>
      <c r="R84" s="74">
        <v>0</v>
      </c>
      <c r="S84" s="615">
        <v>2</v>
      </c>
      <c r="Z84" s="828" t="s">
        <v>1200</v>
      </c>
      <c r="AA84" s="114" t="s">
        <v>206</v>
      </c>
      <c r="AB84" s="115" t="s">
        <v>1216</v>
      </c>
      <c r="AC84" s="88">
        <f>IFERROR((SDP_P106[[#This Row],[R]]*9)/SDP_P106[[#This Row],[IP]],0)</f>
        <v>3.2727272727272729</v>
      </c>
      <c r="AD84" s="28">
        <v>2</v>
      </c>
      <c r="AE84" s="74">
        <v>7</v>
      </c>
      <c r="AF84" s="28">
        <v>10</v>
      </c>
      <c r="AG84" s="584">
        <v>66</v>
      </c>
      <c r="AH84" s="28">
        <v>63</v>
      </c>
      <c r="AI84" s="28">
        <v>24</v>
      </c>
      <c r="AJ84" s="28">
        <v>34</v>
      </c>
      <c r="AK84" s="28">
        <v>66</v>
      </c>
      <c r="AL84" s="28">
        <v>0</v>
      </c>
      <c r="AM84" s="89">
        <f>IFERROR((SDP_P106[[#This Row],[BB]]+SDP_P106[[#This Row],[H]])/SDP_P106[[#This Row],[IP]],0)</f>
        <v>1.4696969696969697</v>
      </c>
      <c r="AN84" s="28">
        <v>6</v>
      </c>
      <c r="AO84" s="90">
        <v>3</v>
      </c>
      <c r="AP84" s="28">
        <v>2</v>
      </c>
      <c r="AQ84" s="74">
        <v>2</v>
      </c>
      <c r="AR84" s="615">
        <v>2</v>
      </c>
      <c r="AY84" s="828" t="s">
        <v>1200</v>
      </c>
      <c r="AZ84" s="114" t="s">
        <v>206</v>
      </c>
      <c r="BA84" s="115" t="s">
        <v>1216</v>
      </c>
      <c r="BB84" s="88">
        <f>IFERROR((SDP_P122[[#This Row],[R]]*9)/SDP_P122[[#This Row],[IP]],0)</f>
        <v>4.5476077688299386</v>
      </c>
      <c r="BC84" s="28">
        <v>4</v>
      </c>
      <c r="BD84" s="74">
        <v>3</v>
      </c>
      <c r="BE84" s="28">
        <v>10</v>
      </c>
      <c r="BF84" s="584">
        <v>63.33</v>
      </c>
      <c r="BG84" s="28">
        <v>62</v>
      </c>
      <c r="BH84" s="28">
        <v>32</v>
      </c>
      <c r="BI84" s="28">
        <v>33</v>
      </c>
      <c r="BJ84" s="28">
        <v>65</v>
      </c>
      <c r="BK84" s="28">
        <v>0</v>
      </c>
      <c r="BL84" s="89">
        <f>IFERROR((SDP_P122[[#This Row],[BB]]+SDP_P122[[#This Row],[H]])/SDP_P122[[#This Row],[IP]],0)</f>
        <v>1.5000789515237645</v>
      </c>
      <c r="BM84" s="28">
        <v>7</v>
      </c>
      <c r="BN84" s="90">
        <v>1</v>
      </c>
      <c r="BO84" s="28">
        <v>0</v>
      </c>
      <c r="BP84" s="74">
        <v>0</v>
      </c>
      <c r="BQ84" s="881">
        <v>2</v>
      </c>
    </row>
    <row r="85" spans="1:73">
      <c r="A85" s="828" t="s">
        <v>1200</v>
      </c>
      <c r="B85" s="114" t="s">
        <v>206</v>
      </c>
      <c r="C85" s="116" t="s">
        <v>218</v>
      </c>
      <c r="D85" s="88">
        <f>IFERROR((SDP_P[[#This Row],[R]]*9)/SDP_P[[#This Row],[IP]],0)</f>
        <v>2.8208955223880596</v>
      </c>
      <c r="E85" s="28">
        <v>5</v>
      </c>
      <c r="F85" s="74">
        <v>2</v>
      </c>
      <c r="G85" s="28">
        <v>10</v>
      </c>
      <c r="H85" s="584">
        <v>67</v>
      </c>
      <c r="I85" s="28">
        <v>53</v>
      </c>
      <c r="J85" s="28">
        <v>21</v>
      </c>
      <c r="K85" s="28">
        <v>22</v>
      </c>
      <c r="L85" s="28">
        <v>69</v>
      </c>
      <c r="M85" s="28">
        <v>0</v>
      </c>
      <c r="N85" s="89">
        <f>IFERROR((SDP_P[[#This Row],[BB]]+SDP_P[[#This Row],[H]])/SDP_P[[#This Row],[IP]],0)</f>
        <v>1.1194029850746268</v>
      </c>
      <c r="O85" s="28">
        <v>8</v>
      </c>
      <c r="P85" s="90">
        <v>4</v>
      </c>
      <c r="Q85" s="28">
        <v>1</v>
      </c>
      <c r="R85" s="74">
        <v>1</v>
      </c>
      <c r="S85" s="615">
        <v>3</v>
      </c>
      <c r="Z85" s="828" t="s">
        <v>1200</v>
      </c>
      <c r="AA85" s="114" t="s">
        <v>206</v>
      </c>
      <c r="AB85" s="115" t="s">
        <v>1217</v>
      </c>
      <c r="AC85" s="88">
        <f>IFERROR((SDP_P106[[#This Row],[R]]*9)/SDP_P106[[#This Row],[IP]],0)</f>
        <v>6.1433447098976108</v>
      </c>
      <c r="AD85" s="28">
        <v>3</v>
      </c>
      <c r="AE85" s="74">
        <v>3</v>
      </c>
      <c r="AF85" s="28">
        <v>10</v>
      </c>
      <c r="AG85" s="584">
        <v>55.67</v>
      </c>
      <c r="AH85" s="28">
        <v>57</v>
      </c>
      <c r="AI85" s="28">
        <v>38</v>
      </c>
      <c r="AJ85" s="28">
        <v>22</v>
      </c>
      <c r="AK85" s="28">
        <v>62</v>
      </c>
      <c r="AL85" s="28">
        <v>0</v>
      </c>
      <c r="AM85" s="89">
        <f>IFERROR((SDP_P106[[#This Row],[BB]]+SDP_P106[[#This Row],[H]])/SDP_P106[[#This Row],[IP]],0)</f>
        <v>1.4190767019938926</v>
      </c>
      <c r="AN85" s="28">
        <v>2</v>
      </c>
      <c r="AO85" s="90">
        <v>1</v>
      </c>
      <c r="AP85" s="28">
        <v>0</v>
      </c>
      <c r="AQ85" s="74">
        <v>0</v>
      </c>
      <c r="AR85" s="615">
        <v>3</v>
      </c>
      <c r="AY85" s="828" t="s">
        <v>1200</v>
      </c>
      <c r="AZ85" s="114" t="s">
        <v>206</v>
      </c>
      <c r="BA85" s="115" t="s">
        <v>1217</v>
      </c>
      <c r="BB85" s="88">
        <f>IFERROR((SDP_P122[[#This Row],[R]]*9)/SDP_P122[[#This Row],[IP]],0)</f>
        <v>4.2556660688080878</v>
      </c>
      <c r="BC85" s="28">
        <v>7</v>
      </c>
      <c r="BD85" s="74">
        <v>3</v>
      </c>
      <c r="BE85" s="28">
        <v>10</v>
      </c>
      <c r="BF85" s="584">
        <v>61.33</v>
      </c>
      <c r="BG85" s="28">
        <v>61</v>
      </c>
      <c r="BH85" s="28">
        <v>29</v>
      </c>
      <c r="BI85" s="28">
        <v>27</v>
      </c>
      <c r="BJ85" s="28">
        <v>67</v>
      </c>
      <c r="BK85" s="28">
        <v>0</v>
      </c>
      <c r="BL85" s="89">
        <f>IFERROR((SDP_P122[[#This Row],[BB]]+SDP_P122[[#This Row],[H]])/SDP_P122[[#This Row],[IP]],0)</f>
        <v>1.4348605902494702</v>
      </c>
      <c r="BM85" s="28">
        <v>5</v>
      </c>
      <c r="BN85" s="90">
        <v>2</v>
      </c>
      <c r="BO85" s="28">
        <v>1</v>
      </c>
      <c r="BP85" s="74">
        <v>1</v>
      </c>
      <c r="BQ85" s="881">
        <v>3</v>
      </c>
    </row>
    <row r="86" spans="1:73">
      <c r="A86" s="828" t="s">
        <v>1200</v>
      </c>
      <c r="B86" s="114" t="s">
        <v>206</v>
      </c>
      <c r="C86" s="115" t="s">
        <v>1217</v>
      </c>
      <c r="D86" s="88">
        <f>IFERROR((SDP_P[[#This Row],[R]]*9)/SDP_P[[#This Row],[IP]],0)</f>
        <v>4.0210627094303497</v>
      </c>
      <c r="E86" s="28">
        <v>3</v>
      </c>
      <c r="F86" s="74">
        <v>4</v>
      </c>
      <c r="G86" s="28">
        <v>10</v>
      </c>
      <c r="H86" s="584">
        <v>62.67</v>
      </c>
      <c r="I86" s="28">
        <v>60</v>
      </c>
      <c r="J86" s="28">
        <v>28</v>
      </c>
      <c r="K86" s="28">
        <v>17</v>
      </c>
      <c r="L86" s="28">
        <v>51</v>
      </c>
      <c r="M86" s="28">
        <v>0</v>
      </c>
      <c r="N86" s="89">
        <f>IFERROR((SDP_P[[#This Row],[BB]]+SDP_P[[#This Row],[H]])/SDP_P[[#This Row],[IP]],0)</f>
        <v>1.2286580501037179</v>
      </c>
      <c r="O86" s="28">
        <v>7</v>
      </c>
      <c r="P86" s="90">
        <v>2</v>
      </c>
      <c r="Q86" s="28">
        <v>0</v>
      </c>
      <c r="R86" s="74">
        <v>0</v>
      </c>
      <c r="S86" s="615">
        <v>4</v>
      </c>
      <c r="Z86" s="828" t="s">
        <v>1200</v>
      </c>
      <c r="AA86" s="114" t="s">
        <v>206</v>
      </c>
      <c r="AB86" s="116" t="s">
        <v>748</v>
      </c>
      <c r="AC86" s="88">
        <f>IFERROR((SDP_P106[[#This Row],[R]]*9)/SDP_P106[[#This Row],[IP]],0)</f>
        <v>6.5680113521183863</v>
      </c>
      <c r="AD86" s="28">
        <v>4</v>
      </c>
      <c r="AE86" s="74">
        <v>5</v>
      </c>
      <c r="AF86" s="28">
        <v>10</v>
      </c>
      <c r="AG86" s="584">
        <v>49.33</v>
      </c>
      <c r="AH86" s="28">
        <v>53</v>
      </c>
      <c r="AI86" s="28">
        <v>36</v>
      </c>
      <c r="AJ86" s="28">
        <v>22</v>
      </c>
      <c r="AK86" s="28">
        <v>48</v>
      </c>
      <c r="AL86" s="28">
        <v>0</v>
      </c>
      <c r="AM86" s="89">
        <f>IFERROR((SDP_P106[[#This Row],[BB]]+SDP_P106[[#This Row],[H]])/SDP_P106[[#This Row],[IP]],0)</f>
        <v>1.5203729981755525</v>
      </c>
      <c r="AN86" s="28">
        <v>3</v>
      </c>
      <c r="AO86" s="90">
        <v>1</v>
      </c>
      <c r="AP86" s="28">
        <v>0</v>
      </c>
      <c r="AQ86" s="74">
        <v>0</v>
      </c>
      <c r="AR86" s="615">
        <v>4</v>
      </c>
      <c r="AY86" s="828" t="s">
        <v>1200</v>
      </c>
      <c r="AZ86" s="114" t="s">
        <v>206</v>
      </c>
      <c r="BA86" s="115" t="s">
        <v>976</v>
      </c>
      <c r="BB86" s="88">
        <f>IFERROR((SDP_P122[[#This Row],[R]]*9)/SDP_P122[[#This Row],[IP]],0)</f>
        <v>4.6875</v>
      </c>
      <c r="BC86" s="28">
        <v>4</v>
      </c>
      <c r="BD86" s="74">
        <v>0</v>
      </c>
      <c r="BE86" s="28">
        <v>10</v>
      </c>
      <c r="BF86" s="584">
        <v>48</v>
      </c>
      <c r="BG86" s="28">
        <v>52</v>
      </c>
      <c r="BH86" s="28">
        <v>25</v>
      </c>
      <c r="BI86" s="28">
        <v>22</v>
      </c>
      <c r="BJ86" s="28">
        <v>44</v>
      </c>
      <c r="BK86" s="28">
        <v>0</v>
      </c>
      <c r="BL86" s="89">
        <f>IFERROR((SDP_P122[[#This Row],[BB]]+SDP_P122[[#This Row],[H]])/SDP_P122[[#This Row],[IP]],0)</f>
        <v>1.5416666666666667</v>
      </c>
      <c r="BM86" s="28">
        <v>5</v>
      </c>
      <c r="BN86" s="90">
        <v>1</v>
      </c>
      <c r="BO86" s="28">
        <v>0</v>
      </c>
      <c r="BP86" s="74">
        <v>0</v>
      </c>
      <c r="BQ86" s="881">
        <v>4</v>
      </c>
    </row>
    <row r="87" spans="1:73">
      <c r="A87" s="828" t="s">
        <v>1200</v>
      </c>
      <c r="B87" s="114" t="s">
        <v>212</v>
      </c>
      <c r="C87" s="116" t="s">
        <v>748</v>
      </c>
      <c r="D87" s="88">
        <f>IFERROR((SDP_P[[#This Row],[R]]*9)/SDP_P[[#This Row],[IP]],0)</f>
        <v>3.177405119152692</v>
      </c>
      <c r="E87" s="28">
        <v>0</v>
      </c>
      <c r="F87" s="74">
        <v>0</v>
      </c>
      <c r="G87" s="28">
        <v>5</v>
      </c>
      <c r="H87" s="584">
        <v>11.33</v>
      </c>
      <c r="I87" s="28">
        <v>10</v>
      </c>
      <c r="J87" s="28">
        <v>4</v>
      </c>
      <c r="K87" s="28">
        <v>2</v>
      </c>
      <c r="L87" s="28">
        <v>7</v>
      </c>
      <c r="M87" s="28">
        <v>0</v>
      </c>
      <c r="N87" s="89">
        <f>IFERROR((SDP_P[[#This Row],[BB]]+SDP_P[[#This Row],[H]])/SDP_P[[#This Row],[IP]],0)</f>
        <v>1.0591350397175641</v>
      </c>
      <c r="O87" s="28">
        <v>0</v>
      </c>
      <c r="P87" s="90">
        <v>0</v>
      </c>
      <c r="Q87" s="28">
        <v>0</v>
      </c>
      <c r="R87" s="74">
        <v>0</v>
      </c>
      <c r="S87" s="615">
        <v>5</v>
      </c>
      <c r="Z87" s="828" t="s">
        <v>1200</v>
      </c>
      <c r="AA87" s="114" t="s">
        <v>212</v>
      </c>
      <c r="AB87" s="116" t="s">
        <v>976</v>
      </c>
      <c r="AC87" s="88">
        <f>IFERROR((SDP_P106[[#This Row],[R]]*9)/SDP_P106[[#This Row],[IP]],0)</f>
        <v>5.1903114186851216</v>
      </c>
      <c r="AD87" s="28">
        <v>0</v>
      </c>
      <c r="AE87" s="74">
        <v>0</v>
      </c>
      <c r="AF87" s="28">
        <v>4</v>
      </c>
      <c r="AG87" s="584">
        <v>8.67</v>
      </c>
      <c r="AH87" s="28">
        <v>13</v>
      </c>
      <c r="AI87" s="28">
        <v>5</v>
      </c>
      <c r="AJ87" s="28">
        <v>3</v>
      </c>
      <c r="AK87" s="28">
        <v>8</v>
      </c>
      <c r="AL87" s="28">
        <v>0</v>
      </c>
      <c r="AM87" s="89">
        <f>IFERROR((SDP_P106[[#This Row],[BB]]+SDP_P106[[#This Row],[H]])/SDP_P106[[#This Row],[IP]],0)</f>
        <v>1.8454440599769319</v>
      </c>
      <c r="AN87" s="28">
        <v>0</v>
      </c>
      <c r="AO87" s="90">
        <v>0</v>
      </c>
      <c r="AP87" s="28">
        <v>0</v>
      </c>
      <c r="AQ87" s="74">
        <v>0</v>
      </c>
      <c r="AR87" s="615">
        <v>5</v>
      </c>
      <c r="AY87" s="828" t="s">
        <v>1200</v>
      </c>
      <c r="AZ87" s="114" t="s">
        <v>212</v>
      </c>
      <c r="BA87" s="115" t="s">
        <v>1218</v>
      </c>
      <c r="BB87" s="88">
        <f>IFERROR((SDP_P122[[#This Row],[R]]*9)/SDP_P122[[#This Row],[IP]],0)</f>
        <v>4.666666666666667</v>
      </c>
      <c r="BC87" s="28">
        <v>1</v>
      </c>
      <c r="BD87" s="74">
        <v>1</v>
      </c>
      <c r="BE87" s="28">
        <v>15</v>
      </c>
      <c r="BF87" s="584">
        <v>27</v>
      </c>
      <c r="BG87" s="28">
        <v>29</v>
      </c>
      <c r="BH87" s="28">
        <v>14</v>
      </c>
      <c r="BI87" s="28">
        <v>15</v>
      </c>
      <c r="BJ87" s="28">
        <v>30</v>
      </c>
      <c r="BK87" s="28">
        <v>0</v>
      </c>
      <c r="BL87" s="89">
        <f>IFERROR((SDP_P122[[#This Row],[BB]]+SDP_P122[[#This Row],[H]])/SDP_P122[[#This Row],[IP]],0)</f>
        <v>1.6296296296296295</v>
      </c>
      <c r="BM87" s="28">
        <v>1</v>
      </c>
      <c r="BN87" s="90">
        <v>0</v>
      </c>
      <c r="BO87" s="28">
        <v>0</v>
      </c>
      <c r="BP87" s="74">
        <v>0</v>
      </c>
      <c r="BQ87" s="881">
        <v>5</v>
      </c>
    </row>
    <row r="88" spans="1:73">
      <c r="A88" s="828" t="s">
        <v>1200</v>
      </c>
      <c r="B88" s="114" t="s">
        <v>212</v>
      </c>
      <c r="C88" s="116" t="s">
        <v>1219</v>
      </c>
      <c r="D88" s="88">
        <f>IFERROR((SDP_P[[#This Row],[R]]*9)/SDP_P[[#This Row],[IP]],0)</f>
        <v>4.8</v>
      </c>
      <c r="E88" s="28">
        <v>1</v>
      </c>
      <c r="F88" s="74">
        <v>0</v>
      </c>
      <c r="G88" s="28">
        <v>8</v>
      </c>
      <c r="H88" s="584">
        <v>15</v>
      </c>
      <c r="I88" s="28">
        <v>12</v>
      </c>
      <c r="J88" s="28">
        <v>8</v>
      </c>
      <c r="K88" s="28">
        <v>11</v>
      </c>
      <c r="L88" s="28">
        <v>14</v>
      </c>
      <c r="M88" s="28">
        <v>0</v>
      </c>
      <c r="N88" s="89">
        <f>IFERROR((SDP_P[[#This Row],[BB]]+SDP_P[[#This Row],[H]])/SDP_P[[#This Row],[IP]],0)</f>
        <v>1.5333333333333334</v>
      </c>
      <c r="O88" s="28">
        <v>0</v>
      </c>
      <c r="P88" s="90">
        <v>0</v>
      </c>
      <c r="Q88" s="28">
        <v>0</v>
      </c>
      <c r="R88" s="74">
        <v>0</v>
      </c>
      <c r="S88" s="615">
        <v>6</v>
      </c>
      <c r="Z88" s="828" t="s">
        <v>1200</v>
      </c>
      <c r="AA88" s="114" t="s">
        <v>215</v>
      </c>
      <c r="AB88" s="116" t="s">
        <v>1219</v>
      </c>
      <c r="AC88" s="88">
        <f>IFERROR((SDP_P106[[#This Row],[R]]*9)/SDP_P106[[#This Row],[IP]],0)</f>
        <v>3.375</v>
      </c>
      <c r="AD88" s="28">
        <v>0</v>
      </c>
      <c r="AE88" s="74">
        <v>0</v>
      </c>
      <c r="AF88" s="28">
        <v>12</v>
      </c>
      <c r="AG88" s="584">
        <v>24</v>
      </c>
      <c r="AH88" s="28">
        <v>21</v>
      </c>
      <c r="AI88" s="28">
        <v>9</v>
      </c>
      <c r="AJ88" s="28">
        <v>16</v>
      </c>
      <c r="AK88" s="28">
        <v>20</v>
      </c>
      <c r="AL88" s="28">
        <v>0</v>
      </c>
      <c r="AM88" s="89">
        <f>IFERROR((SDP_P106[[#This Row],[BB]]+SDP_P106[[#This Row],[H]])/SDP_P106[[#This Row],[IP]],0)</f>
        <v>1.5416666666666667</v>
      </c>
      <c r="AN88" s="28">
        <v>0</v>
      </c>
      <c r="AO88" s="90">
        <v>0</v>
      </c>
      <c r="AP88" s="28">
        <v>0</v>
      </c>
      <c r="AQ88" s="74">
        <v>0</v>
      </c>
      <c r="AR88" s="615">
        <v>6</v>
      </c>
      <c r="AY88" s="828" t="s">
        <v>1200</v>
      </c>
      <c r="AZ88" s="114" t="s">
        <v>215</v>
      </c>
      <c r="BA88" s="115" t="s">
        <v>1220</v>
      </c>
      <c r="BB88" s="88">
        <f>IFERROR((SDP_P122[[#This Row],[R]]*9)/SDP_P122[[#This Row],[IP]],0)</f>
        <v>16.885553470919323</v>
      </c>
      <c r="BC88" s="28">
        <v>1</v>
      </c>
      <c r="BD88" s="74">
        <v>1</v>
      </c>
      <c r="BE88" s="28">
        <v>5</v>
      </c>
      <c r="BF88" s="584">
        <v>5.33</v>
      </c>
      <c r="BG88" s="28">
        <v>12</v>
      </c>
      <c r="BH88" s="28">
        <v>10</v>
      </c>
      <c r="BI88" s="28">
        <v>5</v>
      </c>
      <c r="BJ88" s="28">
        <v>2</v>
      </c>
      <c r="BK88" s="28">
        <v>0</v>
      </c>
      <c r="BL88" s="89">
        <f>IFERROR((SDP_P122[[#This Row],[BB]]+SDP_P122[[#This Row],[H]])/SDP_P122[[#This Row],[IP]],0)</f>
        <v>3.1894934333958722</v>
      </c>
      <c r="BM88" s="28">
        <v>0</v>
      </c>
      <c r="BN88" s="90">
        <v>0</v>
      </c>
      <c r="BO88" s="28">
        <v>0</v>
      </c>
      <c r="BP88" s="74">
        <v>0</v>
      </c>
      <c r="BQ88" s="881">
        <v>6</v>
      </c>
    </row>
    <row r="89" spans="1:73">
      <c r="A89" s="828" t="s">
        <v>1200</v>
      </c>
      <c r="B89" s="114" t="s">
        <v>212</v>
      </c>
      <c r="C89" s="116" t="s">
        <v>1221</v>
      </c>
      <c r="D89" s="88">
        <f>IFERROR((SDP_P[[#This Row],[R]]*9)/SDP_P[[#This Row],[IP]],0)</f>
        <v>4.5</v>
      </c>
      <c r="E89" s="28">
        <v>0</v>
      </c>
      <c r="F89" s="74">
        <v>0</v>
      </c>
      <c r="G89" s="28">
        <v>5</v>
      </c>
      <c r="H89" s="584">
        <v>6</v>
      </c>
      <c r="I89" s="28">
        <v>9</v>
      </c>
      <c r="J89" s="28">
        <v>3</v>
      </c>
      <c r="K89" s="28">
        <v>1</v>
      </c>
      <c r="L89" s="28">
        <v>5</v>
      </c>
      <c r="M89" s="28">
        <v>0</v>
      </c>
      <c r="N89" s="89">
        <f>IFERROR((SDP_P[[#This Row],[BB]]+SDP_P[[#This Row],[H]])/SDP_P[[#This Row],[IP]],0)</f>
        <v>1.6666666666666667</v>
      </c>
      <c r="O89" s="28">
        <v>0</v>
      </c>
      <c r="P89" s="90">
        <v>0</v>
      </c>
      <c r="Q89" s="28">
        <v>0</v>
      </c>
      <c r="R89" s="74">
        <v>0</v>
      </c>
      <c r="S89" s="615">
        <v>7</v>
      </c>
      <c r="Z89" s="828" t="s">
        <v>1200</v>
      </c>
      <c r="AA89" s="114" t="s">
        <v>212</v>
      </c>
      <c r="AB89" s="116" t="s">
        <v>1221</v>
      </c>
      <c r="AC89" s="88">
        <f>IFERROR((SDP_P106[[#This Row],[R]]*9)/SDP_P106[[#This Row],[IP]],0)</f>
        <v>7.3125</v>
      </c>
      <c r="AD89" s="28">
        <v>0</v>
      </c>
      <c r="AE89" s="74">
        <v>1</v>
      </c>
      <c r="AF89" s="28">
        <v>12</v>
      </c>
      <c r="AG89" s="584">
        <v>16</v>
      </c>
      <c r="AH89" s="28">
        <v>20</v>
      </c>
      <c r="AI89" s="28">
        <v>13</v>
      </c>
      <c r="AJ89" s="28">
        <v>5</v>
      </c>
      <c r="AK89" s="28">
        <v>11</v>
      </c>
      <c r="AL89" s="28">
        <v>0</v>
      </c>
      <c r="AM89" s="89">
        <f>IFERROR((SDP_P106[[#This Row],[BB]]+SDP_P106[[#This Row],[H]])/SDP_P106[[#This Row],[IP]],0)</f>
        <v>1.5625</v>
      </c>
      <c r="AN89" s="28">
        <v>0</v>
      </c>
      <c r="AO89" s="90">
        <v>0</v>
      </c>
      <c r="AP89" s="28">
        <v>0</v>
      </c>
      <c r="AQ89" s="74">
        <v>0</v>
      </c>
      <c r="AR89" s="615">
        <v>7</v>
      </c>
      <c r="AY89" s="828" t="s">
        <v>1200</v>
      </c>
      <c r="AZ89" s="114" t="s">
        <v>212</v>
      </c>
      <c r="BA89" s="115" t="s">
        <v>1221</v>
      </c>
      <c r="BB89" s="88">
        <f>IFERROR((SDP_P122[[#This Row],[R]]*9)/SDP_P122[[#This Row],[IP]],0)</f>
        <v>0</v>
      </c>
      <c r="BC89" s="28">
        <v>0</v>
      </c>
      <c r="BD89" s="74">
        <v>0</v>
      </c>
      <c r="BE89" s="28">
        <v>3</v>
      </c>
      <c r="BF89" s="584">
        <v>3.33</v>
      </c>
      <c r="BG89" s="28">
        <v>2</v>
      </c>
      <c r="BH89" s="28">
        <v>0</v>
      </c>
      <c r="BI89" s="28">
        <v>0</v>
      </c>
      <c r="BJ89" s="28">
        <v>3</v>
      </c>
      <c r="BK89" s="28">
        <v>0</v>
      </c>
      <c r="BL89" s="89">
        <f>IFERROR((SDP_P122[[#This Row],[BB]]+SDP_P122[[#This Row],[H]])/SDP_P122[[#This Row],[IP]],0)</f>
        <v>0.60060060060060061</v>
      </c>
      <c r="BM89" s="28">
        <v>0</v>
      </c>
      <c r="BN89" s="90">
        <v>0</v>
      </c>
      <c r="BO89" s="28">
        <v>0</v>
      </c>
      <c r="BP89" s="74">
        <v>0</v>
      </c>
      <c r="BQ89" s="881">
        <v>7</v>
      </c>
    </row>
    <row r="90" spans="1:73">
      <c r="A90" s="828" t="s">
        <v>1200</v>
      </c>
      <c r="B90" s="114" t="s">
        <v>215</v>
      </c>
      <c r="C90" s="116" t="s">
        <v>1222</v>
      </c>
      <c r="D90" s="88">
        <f>IFERROR((SDP_P[[#This Row],[R]]*9)/SDP_P[[#This Row],[IP]],0)</f>
        <v>3.483309143686502</v>
      </c>
      <c r="E90" s="28">
        <v>2</v>
      </c>
      <c r="F90" s="74">
        <v>2</v>
      </c>
      <c r="G90" s="28">
        <v>17</v>
      </c>
      <c r="H90" s="584">
        <v>20.67</v>
      </c>
      <c r="I90" s="28">
        <v>16</v>
      </c>
      <c r="J90" s="28">
        <v>8</v>
      </c>
      <c r="K90" s="28">
        <v>12</v>
      </c>
      <c r="L90" s="28">
        <v>24</v>
      </c>
      <c r="M90" s="28">
        <v>0</v>
      </c>
      <c r="N90" s="89">
        <f>IFERROR((SDP_P[[#This Row],[BB]]+SDP_P[[#This Row],[H]])/SDP_P[[#This Row],[IP]],0)</f>
        <v>1.3546202225447508</v>
      </c>
      <c r="O90" s="28">
        <v>0</v>
      </c>
      <c r="P90" s="90">
        <v>0</v>
      </c>
      <c r="Q90" s="28">
        <v>0</v>
      </c>
      <c r="R90" s="74">
        <v>0</v>
      </c>
      <c r="S90" s="615">
        <v>8</v>
      </c>
      <c r="Z90" s="828" t="s">
        <v>1200</v>
      </c>
      <c r="AA90" s="114" t="s">
        <v>212</v>
      </c>
      <c r="AB90" s="116" t="s">
        <v>1223</v>
      </c>
      <c r="AC90" s="88">
        <f>IFERROR((SDP_P106[[#This Row],[R]]*9)/SDP_P106[[#This Row],[IP]],0)</f>
        <v>2.1608643457382954</v>
      </c>
      <c r="AD90" s="28">
        <v>0</v>
      </c>
      <c r="AE90" s="74">
        <v>1</v>
      </c>
      <c r="AF90" s="28">
        <v>6</v>
      </c>
      <c r="AG90" s="584">
        <v>8.33</v>
      </c>
      <c r="AH90" s="28">
        <v>5</v>
      </c>
      <c r="AI90" s="28">
        <v>2</v>
      </c>
      <c r="AJ90" s="28">
        <v>1</v>
      </c>
      <c r="AK90" s="28">
        <v>8</v>
      </c>
      <c r="AL90" s="28">
        <v>0</v>
      </c>
      <c r="AM90" s="89">
        <f>IFERROR((SDP_P106[[#This Row],[BB]]+SDP_P106[[#This Row],[H]])/SDP_P106[[#This Row],[IP]],0)</f>
        <v>0.72028811524609848</v>
      </c>
      <c r="AN90" s="28">
        <v>0</v>
      </c>
      <c r="AO90" s="90">
        <v>0</v>
      </c>
      <c r="AP90" s="28">
        <v>0</v>
      </c>
      <c r="AQ90" s="74">
        <v>0</v>
      </c>
      <c r="AR90" s="615">
        <v>8</v>
      </c>
      <c r="AY90" s="828" t="s">
        <v>1200</v>
      </c>
      <c r="AZ90" s="114" t="s">
        <v>212</v>
      </c>
      <c r="BA90" s="115" t="s">
        <v>1223</v>
      </c>
      <c r="BB90" s="88">
        <f>IFERROR((SDP_P122[[#This Row],[R]]*9)/SDP_P122[[#This Row],[IP]],0)</f>
        <v>1.3498312710911136</v>
      </c>
      <c r="BC90" s="28">
        <v>1</v>
      </c>
      <c r="BD90" s="74">
        <v>0</v>
      </c>
      <c r="BE90" s="28">
        <v>16</v>
      </c>
      <c r="BF90" s="584">
        <v>26.67</v>
      </c>
      <c r="BG90" s="28">
        <v>16</v>
      </c>
      <c r="BH90" s="28">
        <v>4</v>
      </c>
      <c r="BI90" s="28">
        <v>4</v>
      </c>
      <c r="BJ90" s="28">
        <v>24</v>
      </c>
      <c r="BK90" s="28">
        <v>0</v>
      </c>
      <c r="BL90" s="347">
        <f>IFERROR((SDP_P122[[#This Row],[BB]]+SDP_P122[[#This Row],[H]])/SDP_P122[[#This Row],[IP]],0)</f>
        <v>0.74990626171728525</v>
      </c>
      <c r="BM90" s="28">
        <v>0</v>
      </c>
      <c r="BN90" s="90">
        <v>0</v>
      </c>
      <c r="BO90" s="28">
        <v>0</v>
      </c>
      <c r="BP90" s="74">
        <v>0</v>
      </c>
      <c r="BQ90" s="881">
        <v>8</v>
      </c>
    </row>
    <row r="91" spans="1:73">
      <c r="A91" s="828" t="s">
        <v>1200</v>
      </c>
      <c r="B91" s="114" t="s">
        <v>212</v>
      </c>
      <c r="C91" s="116" t="s">
        <v>1224</v>
      </c>
      <c r="D91" s="88">
        <f>IFERROR((SDP_P[[#This Row],[R]]*9)/SDP_P[[#This Row],[IP]],0)</f>
        <v>5.6027164685908311</v>
      </c>
      <c r="E91" s="28">
        <v>1</v>
      </c>
      <c r="F91" s="74">
        <v>1</v>
      </c>
      <c r="G91" s="28">
        <v>17</v>
      </c>
      <c r="H91" s="584">
        <v>17.670000000000002</v>
      </c>
      <c r="I91" s="28">
        <v>20</v>
      </c>
      <c r="J91" s="28">
        <v>11</v>
      </c>
      <c r="K91" s="28">
        <v>3</v>
      </c>
      <c r="L91" s="28">
        <v>28</v>
      </c>
      <c r="M91" s="28">
        <v>1</v>
      </c>
      <c r="N91" s="89">
        <f>IFERROR((SDP_P[[#This Row],[BB]]+SDP_P[[#This Row],[H]])/SDP_P[[#This Row],[IP]],0)</f>
        <v>1.3016411997736275</v>
      </c>
      <c r="O91" s="28">
        <v>0</v>
      </c>
      <c r="P91" s="90">
        <v>0</v>
      </c>
      <c r="Q91" s="28">
        <v>0</v>
      </c>
      <c r="R91" s="74">
        <v>0</v>
      </c>
      <c r="S91" s="615">
        <v>9</v>
      </c>
      <c r="Z91" s="828" t="s">
        <v>1200</v>
      </c>
      <c r="AA91" s="114" t="s">
        <v>212</v>
      </c>
      <c r="AB91" s="116" t="s">
        <v>1224</v>
      </c>
      <c r="AC91" s="88">
        <f>IFERROR((SDP_P106[[#This Row],[R]]*9)/SDP_P106[[#This Row],[IP]],0)</f>
        <v>3.4220532319391634</v>
      </c>
      <c r="AD91" s="28">
        <v>3</v>
      </c>
      <c r="AE91" s="74">
        <v>1</v>
      </c>
      <c r="AF91" s="28">
        <v>20</v>
      </c>
      <c r="AG91" s="584">
        <v>23.67</v>
      </c>
      <c r="AH91" s="28">
        <v>21</v>
      </c>
      <c r="AI91" s="28">
        <v>9</v>
      </c>
      <c r="AJ91" s="28">
        <v>10</v>
      </c>
      <c r="AK91" s="28">
        <v>28</v>
      </c>
      <c r="AL91" s="28">
        <v>2</v>
      </c>
      <c r="AM91" s="89">
        <f>IFERROR((SDP_P106[[#This Row],[BB]]+SDP_P106[[#This Row],[H]])/SDP_P106[[#This Row],[IP]],0)</f>
        <v>1.3096746937051118</v>
      </c>
      <c r="AN91" s="28">
        <v>0</v>
      </c>
      <c r="AO91" s="90">
        <v>0</v>
      </c>
      <c r="AP91" s="28">
        <v>0</v>
      </c>
      <c r="AQ91" s="74">
        <v>0</v>
      </c>
      <c r="AR91" s="615">
        <v>9</v>
      </c>
      <c r="AY91" s="828" t="s">
        <v>1200</v>
      </c>
      <c r="AZ91" s="114" t="s">
        <v>212</v>
      </c>
      <c r="BA91" s="115" t="s">
        <v>1225</v>
      </c>
      <c r="BB91" s="88">
        <f>IFERROR((SDP_P122[[#This Row],[R]]*9)/SDP_P122[[#This Row],[IP]],0)</f>
        <v>6.7510548523206753</v>
      </c>
      <c r="BC91" s="28">
        <v>1</v>
      </c>
      <c r="BD91" s="74">
        <v>3</v>
      </c>
      <c r="BE91" s="28">
        <v>20</v>
      </c>
      <c r="BF91" s="584">
        <v>21.33</v>
      </c>
      <c r="BG91" s="28">
        <v>20</v>
      </c>
      <c r="BH91" s="28">
        <v>16</v>
      </c>
      <c r="BI91" s="28">
        <v>14</v>
      </c>
      <c r="BJ91" s="28">
        <v>22</v>
      </c>
      <c r="BK91" s="28">
        <v>0</v>
      </c>
      <c r="BL91" s="89">
        <f>IFERROR((SDP_P122[[#This Row],[BB]]+SDP_P122[[#This Row],[H]])/SDP_P122[[#This Row],[IP]],0)</f>
        <v>1.5939990623534928</v>
      </c>
      <c r="BM91" s="28">
        <v>0</v>
      </c>
      <c r="BN91" s="90">
        <v>0</v>
      </c>
      <c r="BO91" s="28">
        <v>0</v>
      </c>
      <c r="BP91" s="74">
        <v>0</v>
      </c>
      <c r="BQ91" s="881">
        <v>9</v>
      </c>
    </row>
    <row r="92" spans="1:73" ht="17" thickBot="1">
      <c r="A92" s="828" t="s">
        <v>1200</v>
      </c>
      <c r="B92" s="114" t="s">
        <v>212</v>
      </c>
      <c r="C92" s="116" t="s">
        <v>1225</v>
      </c>
      <c r="D92" s="88">
        <f>IFERROR((SDP_P[[#This Row],[R]]*9)/SDP_P[[#This Row],[IP]],0)</f>
        <v>4.8461538461538458</v>
      </c>
      <c r="E92" s="28">
        <v>1</v>
      </c>
      <c r="F92" s="74">
        <v>1</v>
      </c>
      <c r="G92" s="28">
        <v>23</v>
      </c>
      <c r="H92" s="584">
        <v>26</v>
      </c>
      <c r="I92" s="28">
        <v>25</v>
      </c>
      <c r="J92" s="28">
        <v>14</v>
      </c>
      <c r="K92" s="28">
        <v>17</v>
      </c>
      <c r="L92" s="28">
        <v>43</v>
      </c>
      <c r="M92" s="28">
        <v>9</v>
      </c>
      <c r="N92" s="89">
        <f>IFERROR((SDP_P[[#This Row],[BB]]+SDP_P[[#This Row],[H]])/SDP_P[[#This Row],[IP]],0)</f>
        <v>1.6153846153846154</v>
      </c>
      <c r="O92" s="28">
        <v>0</v>
      </c>
      <c r="P92" s="90">
        <v>0</v>
      </c>
      <c r="Q92" s="28">
        <v>0</v>
      </c>
      <c r="R92" s="74">
        <v>0</v>
      </c>
      <c r="S92" s="615">
        <v>10</v>
      </c>
      <c r="Z92" s="828" t="s">
        <v>1200</v>
      </c>
      <c r="AA92" s="114" t="s">
        <v>212</v>
      </c>
      <c r="AB92" s="116" t="s">
        <v>1225</v>
      </c>
      <c r="AC92" s="88">
        <f>IFERROR((SDP_P106[[#This Row],[R]]*9)/SDP_P106[[#This Row],[IP]],0)</f>
        <v>1.1612903225806452</v>
      </c>
      <c r="AD92" s="28">
        <v>2</v>
      </c>
      <c r="AE92" s="74">
        <v>0</v>
      </c>
      <c r="AF92" s="28">
        <v>24</v>
      </c>
      <c r="AG92" s="584">
        <v>31</v>
      </c>
      <c r="AH92" s="28">
        <v>16</v>
      </c>
      <c r="AI92" s="28">
        <v>4</v>
      </c>
      <c r="AJ92" s="28">
        <v>9</v>
      </c>
      <c r="AK92" s="28">
        <v>42</v>
      </c>
      <c r="AL92" s="28">
        <v>7</v>
      </c>
      <c r="AM92" s="89">
        <f>IFERROR((SDP_P106[[#This Row],[BB]]+SDP_P106[[#This Row],[H]])/SDP_P106[[#This Row],[IP]],0)</f>
        <v>0.80645161290322576</v>
      </c>
      <c r="AN92" s="28">
        <v>0</v>
      </c>
      <c r="AO92" s="90">
        <v>0</v>
      </c>
      <c r="AP92" s="28">
        <v>0</v>
      </c>
      <c r="AQ92" s="74">
        <v>0</v>
      </c>
      <c r="AR92" s="615">
        <v>10</v>
      </c>
      <c r="AY92" s="828" t="s">
        <v>1200</v>
      </c>
      <c r="AZ92" s="114" t="s">
        <v>212</v>
      </c>
      <c r="BA92" s="115" t="s">
        <v>1224</v>
      </c>
      <c r="BB92" s="88">
        <f>IFERROR((SDP_P122[[#This Row],[R]]*9)/SDP_P122[[#This Row],[IP]],0)</f>
        <v>3.4137931034482758</v>
      </c>
      <c r="BC92" s="28">
        <v>2</v>
      </c>
      <c r="BD92" s="74">
        <v>1</v>
      </c>
      <c r="BE92" s="76">
        <v>28</v>
      </c>
      <c r="BF92" s="584">
        <v>29</v>
      </c>
      <c r="BG92" s="28">
        <v>29</v>
      </c>
      <c r="BH92" s="28">
        <v>11</v>
      </c>
      <c r="BI92" s="28">
        <v>10</v>
      </c>
      <c r="BJ92" s="28">
        <v>42</v>
      </c>
      <c r="BK92" s="76">
        <v>13</v>
      </c>
      <c r="BL92" s="89">
        <f>IFERROR((SDP_P122[[#This Row],[BB]]+SDP_P122[[#This Row],[H]])/SDP_P122[[#This Row],[IP]],0)</f>
        <v>1.3448275862068966</v>
      </c>
      <c r="BM92" s="28">
        <v>0</v>
      </c>
      <c r="BN92" s="90">
        <v>0</v>
      </c>
      <c r="BO92" s="28">
        <v>0</v>
      </c>
      <c r="BP92" s="74">
        <v>0</v>
      </c>
      <c r="BQ92" s="881">
        <v>10</v>
      </c>
    </row>
    <row r="93" spans="1:73" ht="17" thickBot="1">
      <c r="A93" s="809"/>
      <c r="B93" s="810"/>
      <c r="C93" s="856" t="s">
        <v>195</v>
      </c>
      <c r="D93" s="665">
        <f>(J93*9)/H93</f>
        <v>3.5294117647058822</v>
      </c>
      <c r="E93" s="658">
        <f>SUBTOTAL(109,SDP_P[W])</f>
        <v>23</v>
      </c>
      <c r="F93" s="660">
        <f>SUBTOTAL(109,SDP_P[L])</f>
        <v>17</v>
      </c>
      <c r="G93" s="658"/>
      <c r="H93" s="666">
        <f>SUBTOTAL(109,SDP_P[IP])</f>
        <v>357</v>
      </c>
      <c r="I93" s="658">
        <f>SUBTOTAL(109,SDP_P[H])</f>
        <v>318</v>
      </c>
      <c r="J93" s="658">
        <f>SUBTOTAL(109,SDP_P[R])</f>
        <v>140</v>
      </c>
      <c r="K93" s="658">
        <f>SUBTOTAL(109,SDP_P[BB])</f>
        <v>146</v>
      </c>
      <c r="L93" s="658">
        <f>SUBTOTAL(109,SDP_P[K])</f>
        <v>386</v>
      </c>
      <c r="M93" s="658">
        <f>SUBTOTAL(109,SDP_P[SV])</f>
        <v>10</v>
      </c>
      <c r="N93" s="667">
        <f>(K93+I93)/(H93)</f>
        <v>1.2997198879551821</v>
      </c>
      <c r="O93" s="690">
        <f>SUBTOTAL(109,SDP_P[QS])</f>
        <v>28</v>
      </c>
      <c r="P93" s="669">
        <f>SUBTOTAL(109,SDP_P[UQ])</f>
        <v>16</v>
      </c>
      <c r="Q93" s="864">
        <f>SUBTOTAL(109,SDP_P[CG])</f>
        <v>3</v>
      </c>
      <c r="R93" s="865">
        <f>SUBTOTAL(109,SDP_P[SH])</f>
        <v>3</v>
      </c>
      <c r="S93" s="866"/>
      <c r="T93" s="28"/>
      <c r="U93" s="28"/>
      <c r="V93" s="28"/>
      <c r="W93" s="28"/>
      <c r="Z93" s="809"/>
      <c r="AA93" s="810"/>
      <c r="AB93" s="856" t="s">
        <v>195</v>
      </c>
      <c r="AC93" s="665">
        <f>(AI93*9)/AG93</f>
        <v>3.8463687150837989</v>
      </c>
      <c r="AD93" s="658">
        <f>SUBTOTAL(109,SDP_P106[W])</f>
        <v>21</v>
      </c>
      <c r="AE93" s="660">
        <f>SUBTOTAL(109,SDP_P106[L])</f>
        <v>19</v>
      </c>
      <c r="AF93" s="658"/>
      <c r="AG93" s="666">
        <f>SUBTOTAL(109,SDP_P106[IP])</f>
        <v>358</v>
      </c>
      <c r="AH93" s="658">
        <f>SUBTOTAL(109,SDP_P106[H])</f>
        <v>313</v>
      </c>
      <c r="AI93" s="658">
        <f>SUBTOTAL(109,SDP_P106[R])</f>
        <v>153</v>
      </c>
      <c r="AJ93" s="658">
        <f>SUBTOTAL(109,SDP_P106[BB])</f>
        <v>148</v>
      </c>
      <c r="AK93" s="658">
        <f>SUBTOTAL(109,SDP_P106[K])</f>
        <v>390</v>
      </c>
      <c r="AL93" s="658">
        <f>SUBTOTAL(109,SDP_P106[SV])</f>
        <v>9</v>
      </c>
      <c r="AM93" s="667">
        <f>(AJ93+AH93)/(AG93)</f>
        <v>1.2877094972067038</v>
      </c>
      <c r="AN93" s="690">
        <f>SUBTOTAL(109,SDP_P106[QS])</f>
        <v>21</v>
      </c>
      <c r="AO93" s="669">
        <f>SUBTOTAL(109,SDP_P106[UQ])</f>
        <v>12</v>
      </c>
      <c r="AP93" s="864">
        <f>SUBTOTAL(109,SDP_P106[CG])</f>
        <v>5</v>
      </c>
      <c r="AQ93" s="865">
        <f>SUBTOTAL(109,SDP_P106[SH])</f>
        <v>3</v>
      </c>
      <c r="AR93" s="866"/>
      <c r="AS93" s="28"/>
      <c r="AT93" s="28"/>
      <c r="AU93" s="28"/>
      <c r="AV93" s="28"/>
      <c r="AY93" s="809"/>
      <c r="AZ93" s="810"/>
      <c r="BA93" s="856" t="s">
        <v>195</v>
      </c>
      <c r="BB93" s="665">
        <f>IFERROR((BH93*9)/BF93,0)</f>
        <v>4.2029887920298883</v>
      </c>
      <c r="BC93" s="658">
        <f>SUBTOTAL(109,SDP_P122[W])</f>
        <v>25</v>
      </c>
      <c r="BD93" s="660">
        <f>SUBTOTAL(109,SDP_P122[L])</f>
        <v>15</v>
      </c>
      <c r="BE93" s="658"/>
      <c r="BF93" s="666">
        <f>SUBTOTAL(109,SDP_P122[IP])</f>
        <v>353.31999999999994</v>
      </c>
      <c r="BG93" s="658">
        <f>SUBTOTAL(109,SDP_P122[H])</f>
        <v>339</v>
      </c>
      <c r="BH93" s="658">
        <f>SUBTOTAL(109,SDP_P122[R])</f>
        <v>165</v>
      </c>
      <c r="BI93" s="658">
        <f>SUBTOTAL(109,SDP_P122[BB])</f>
        <v>154</v>
      </c>
      <c r="BJ93" s="658">
        <f>SUBTOTAL(109,SDP_P122[K])</f>
        <v>383</v>
      </c>
      <c r="BK93" s="658">
        <f>SUBTOTAL(109,SDP_P122[SV])</f>
        <v>13</v>
      </c>
      <c r="BL93" s="667">
        <f>(BI93+BG93)/BF93</f>
        <v>1.3953356730442661</v>
      </c>
      <c r="BM93" s="690">
        <f>SUBTOTAL(109,SDP_P122[QS])</f>
        <v>24</v>
      </c>
      <c r="BN93" s="669">
        <f>SUBTOTAL(109,SDP_P122[UQ])</f>
        <v>8</v>
      </c>
      <c r="BO93" s="864">
        <f>SUM(BO83:BO92)</f>
        <v>2</v>
      </c>
      <c r="BP93" s="865">
        <f>SUM(BP83:BP92)</f>
        <v>2</v>
      </c>
      <c r="BQ93" s="866"/>
    </row>
    <row r="94" spans="1:73" ht="17" thickBot="1"/>
    <row r="95" spans="1:73" ht="24" thickBot="1">
      <c r="A95" s="1066" t="s">
        <v>1226</v>
      </c>
      <c r="B95" s="1067"/>
      <c r="C95" s="1067"/>
      <c r="D95" s="1067"/>
      <c r="E95" s="1067"/>
      <c r="F95" s="1067"/>
      <c r="G95" s="1067"/>
      <c r="H95" s="1067"/>
      <c r="I95" s="1067"/>
      <c r="J95" s="1067"/>
      <c r="K95" s="1067"/>
      <c r="L95" s="1067"/>
      <c r="M95" s="1067"/>
      <c r="N95" s="1067"/>
      <c r="O95" s="1067"/>
      <c r="P95" s="1067"/>
      <c r="Q95" s="1067"/>
      <c r="R95" s="1067"/>
      <c r="S95" s="1067"/>
      <c r="T95" s="1067"/>
      <c r="U95" s="1067"/>
      <c r="V95" s="1067"/>
      <c r="W95" s="1068"/>
      <c r="Z95" s="1066" t="s">
        <v>1227</v>
      </c>
      <c r="AA95" s="1067"/>
      <c r="AB95" s="1067"/>
      <c r="AC95" s="1067"/>
      <c r="AD95" s="1067"/>
      <c r="AE95" s="1067"/>
      <c r="AF95" s="1067"/>
      <c r="AG95" s="1067"/>
      <c r="AH95" s="1067"/>
      <c r="AI95" s="1067"/>
      <c r="AJ95" s="1067"/>
      <c r="AK95" s="1067"/>
      <c r="AL95" s="1067"/>
      <c r="AM95" s="1067"/>
      <c r="AN95" s="1067"/>
      <c r="AO95" s="1067"/>
      <c r="AP95" s="1067"/>
      <c r="AQ95" s="1067"/>
      <c r="AR95" s="1067"/>
      <c r="AS95" s="1067"/>
      <c r="AT95" s="1067"/>
      <c r="AU95" s="1067"/>
      <c r="AV95" s="1068"/>
      <c r="AY95" s="1066" t="s">
        <v>1228</v>
      </c>
      <c r="AZ95" s="1067"/>
      <c r="BA95" s="1067"/>
      <c r="BB95" s="1067"/>
      <c r="BC95" s="1067"/>
      <c r="BD95" s="1067"/>
      <c r="BE95" s="1067"/>
      <c r="BF95" s="1067"/>
      <c r="BG95" s="1067"/>
      <c r="BH95" s="1067"/>
      <c r="BI95" s="1067"/>
      <c r="BJ95" s="1067"/>
      <c r="BK95" s="1067"/>
      <c r="BL95" s="1067"/>
      <c r="BM95" s="1067"/>
      <c r="BN95" s="1067"/>
      <c r="BO95" s="1067"/>
      <c r="BP95" s="1067"/>
      <c r="BQ95" s="1067"/>
      <c r="BR95" s="1067"/>
      <c r="BS95" s="1067"/>
      <c r="BT95" s="1067"/>
      <c r="BU95" s="1068"/>
    </row>
    <row r="96" spans="1:73" s="108" customFormat="1" ht="15" thickBot="1">
      <c r="A96" s="605" t="s">
        <v>143</v>
      </c>
      <c r="B96" s="606" t="s">
        <v>144</v>
      </c>
      <c r="C96" s="606" t="s">
        <v>145</v>
      </c>
      <c r="D96" s="606" t="s">
        <v>146</v>
      </c>
      <c r="E96" s="606" t="s">
        <v>147</v>
      </c>
      <c r="F96" s="606" t="s">
        <v>148</v>
      </c>
      <c r="G96" s="606" t="s">
        <v>149</v>
      </c>
      <c r="H96" s="606" t="s">
        <v>150</v>
      </c>
      <c r="I96" s="606" t="s">
        <v>151</v>
      </c>
      <c r="J96" s="606" t="s">
        <v>152</v>
      </c>
      <c r="K96" s="606" t="s">
        <v>153</v>
      </c>
      <c r="L96" s="606" t="s">
        <v>154</v>
      </c>
      <c r="M96" s="606" t="s">
        <v>155</v>
      </c>
      <c r="N96" s="606" t="s">
        <v>156</v>
      </c>
      <c r="O96" s="606" t="s">
        <v>157</v>
      </c>
      <c r="P96" s="606" t="s">
        <v>158</v>
      </c>
      <c r="Q96" s="606" t="s">
        <v>159</v>
      </c>
      <c r="R96" s="606" t="s">
        <v>160</v>
      </c>
      <c r="S96" s="606" t="s">
        <v>16</v>
      </c>
      <c r="T96" s="606" t="s">
        <v>161</v>
      </c>
      <c r="U96" s="606" t="s">
        <v>162</v>
      </c>
      <c r="V96" s="606" t="s">
        <v>163</v>
      </c>
      <c r="W96" s="607" t="s">
        <v>164</v>
      </c>
      <c r="Z96" s="605" t="s">
        <v>143</v>
      </c>
      <c r="AA96" s="606" t="s">
        <v>144</v>
      </c>
      <c r="AB96" s="606" t="s">
        <v>145</v>
      </c>
      <c r="AC96" s="606" t="s">
        <v>146</v>
      </c>
      <c r="AD96" s="606" t="s">
        <v>147</v>
      </c>
      <c r="AE96" s="606" t="s">
        <v>148</v>
      </c>
      <c r="AF96" s="606" t="s">
        <v>149</v>
      </c>
      <c r="AG96" s="606" t="s">
        <v>150</v>
      </c>
      <c r="AH96" s="606" t="s">
        <v>151</v>
      </c>
      <c r="AI96" s="606" t="s">
        <v>152</v>
      </c>
      <c r="AJ96" s="606" t="s">
        <v>153</v>
      </c>
      <c r="AK96" s="606" t="s">
        <v>154</v>
      </c>
      <c r="AL96" s="606" t="s">
        <v>155</v>
      </c>
      <c r="AM96" s="606" t="s">
        <v>156</v>
      </c>
      <c r="AN96" s="606" t="s">
        <v>157</v>
      </c>
      <c r="AO96" s="606" t="s">
        <v>158</v>
      </c>
      <c r="AP96" s="606" t="s">
        <v>159</v>
      </c>
      <c r="AQ96" s="606" t="s">
        <v>160</v>
      </c>
      <c r="AR96" s="606" t="s">
        <v>16</v>
      </c>
      <c r="AS96" s="606" t="s">
        <v>161</v>
      </c>
      <c r="AT96" s="606" t="s">
        <v>162</v>
      </c>
      <c r="AU96" s="606" t="s">
        <v>163</v>
      </c>
      <c r="AV96" s="607" t="s">
        <v>164</v>
      </c>
      <c r="AY96" s="605" t="s">
        <v>143</v>
      </c>
      <c r="AZ96" s="606" t="s">
        <v>144</v>
      </c>
      <c r="BA96" s="606" t="s">
        <v>145</v>
      </c>
      <c r="BB96" s="606" t="s">
        <v>146</v>
      </c>
      <c r="BC96" s="606" t="s">
        <v>147</v>
      </c>
      <c r="BD96" s="606" t="s">
        <v>148</v>
      </c>
      <c r="BE96" s="606" t="s">
        <v>149</v>
      </c>
      <c r="BF96" s="606" t="s">
        <v>150</v>
      </c>
      <c r="BG96" s="606" t="s">
        <v>151</v>
      </c>
      <c r="BH96" s="606" t="s">
        <v>152</v>
      </c>
      <c r="BI96" s="606" t="s">
        <v>153</v>
      </c>
      <c r="BJ96" s="606" t="s">
        <v>154</v>
      </c>
      <c r="BK96" s="606" t="s">
        <v>155</v>
      </c>
      <c r="BL96" s="606" t="s">
        <v>156</v>
      </c>
      <c r="BM96" s="606" t="s">
        <v>157</v>
      </c>
      <c r="BN96" s="606" t="s">
        <v>158</v>
      </c>
      <c r="BO96" s="606" t="s">
        <v>159</v>
      </c>
      <c r="BP96" s="606" t="s">
        <v>160</v>
      </c>
      <c r="BQ96" s="606" t="s">
        <v>16</v>
      </c>
      <c r="BR96" s="606" t="s">
        <v>161</v>
      </c>
      <c r="BS96" s="606" t="s">
        <v>162</v>
      </c>
      <c r="BT96" s="606" t="s">
        <v>163</v>
      </c>
      <c r="BU96" s="607" t="s">
        <v>164</v>
      </c>
    </row>
    <row r="97" spans="1:73">
      <c r="A97" s="650" t="s">
        <v>1229</v>
      </c>
      <c r="B97" s="597" t="s">
        <v>179</v>
      </c>
      <c r="C97" s="597" t="s">
        <v>1240</v>
      </c>
      <c r="D97" s="598">
        <f>IFERROR(COL_H[[#This Row],[H]]/COL_H[[#This Row],[AB]],0)</f>
        <v>0.23853211009174313</v>
      </c>
      <c r="E97" s="598">
        <f>IFERROR((COL_H[[#This Row],[H]]+COL_H[[#This Row],[BB]])/(COL_H[[#This Row],[BB]]+COL_H[[#This Row],[AB]]),0)</f>
        <v>0.25892857142857145</v>
      </c>
      <c r="F97" s="599">
        <f>IFERROR(((COL_H[[#This Row],[H]]-COL_H[[#This Row],[2B]]-COL_H[[#This Row],[3B]]-COL_H[[#This Row],[HR]])+(COL_H[[#This Row],[2B]]*2)+(COL_H[[#This Row],[3B]]*3)+(COL_H[[#This Row],[HR]]*4))/COL_H[[#This Row],[AB]],0)</f>
        <v>0.40366972477064222</v>
      </c>
      <c r="G97" s="600">
        <v>30</v>
      </c>
      <c r="H97" s="600">
        <v>109</v>
      </c>
      <c r="I97" s="600">
        <v>9</v>
      </c>
      <c r="J97" s="600">
        <v>26</v>
      </c>
      <c r="K97" s="600">
        <v>6</v>
      </c>
      <c r="L97" s="600">
        <v>0</v>
      </c>
      <c r="M97" s="600">
        <v>4</v>
      </c>
      <c r="N97" s="600">
        <v>11</v>
      </c>
      <c r="O97" s="600">
        <v>3</v>
      </c>
      <c r="P97" s="604">
        <v>21</v>
      </c>
      <c r="Q97" s="600">
        <v>0</v>
      </c>
      <c r="R97" s="600">
        <v>0</v>
      </c>
      <c r="S97" s="604">
        <v>6</v>
      </c>
      <c r="T97" s="600">
        <f>IFERROR((COL_H[[#This Row],[H]]-COL_H[[#This Row],[2B]]-COL_H[[#This Row],[3B]]-COL_H[[#This Row],[HR]])+(COL_H[[#This Row],[2B]]*2)+(COL_H[[#This Row],[3B]]*3)+(COL_H[[#This Row],[HR]]*4),0)</f>
        <v>44</v>
      </c>
      <c r="U97" s="598">
        <f>COL_H[[#This Row],[OBP]]+COL_H[[#This Row],[SLG]]</f>
        <v>0.66259829619921362</v>
      </c>
      <c r="V97" s="604">
        <v>2</v>
      </c>
      <c r="W97" s="614">
        <v>1</v>
      </c>
      <c r="Z97" s="650" t="s">
        <v>1229</v>
      </c>
      <c r="AA97" s="597" t="s">
        <v>179</v>
      </c>
      <c r="AB97" s="597" t="s">
        <v>1241</v>
      </c>
      <c r="AC97" s="598">
        <f>IFERROR(COL_H103[[#This Row],[H]]/COL_H103[[#This Row],[AB]],0)</f>
        <v>0.13636363636363635</v>
      </c>
      <c r="AD97" s="598">
        <f>IFERROR((COL_H103[[#This Row],[H]]+COL_H103[[#This Row],[BB]])/(COL_H103[[#This Row],[BB]]+COL_H103[[#This Row],[AB]]),0)</f>
        <v>0.19148936170212766</v>
      </c>
      <c r="AE97" s="599">
        <f>IFERROR(((COL_H103[[#This Row],[H]]-COL_H103[[#This Row],[2B]]-COL_H103[[#This Row],[3B]]-COL_H103[[#This Row],[HR]])+(COL_H103[[#This Row],[2B]]*2)+(COL_H103[[#This Row],[3B]]*3)+(COL_H103[[#This Row],[HR]]*4))/COL_H103[[#This Row],[AB]],0)</f>
        <v>0.32575757575757575</v>
      </c>
      <c r="AF97" s="600">
        <v>39</v>
      </c>
      <c r="AG97" s="600">
        <v>132</v>
      </c>
      <c r="AH97" s="600">
        <v>12</v>
      </c>
      <c r="AI97" s="600">
        <v>18</v>
      </c>
      <c r="AJ97" s="600">
        <v>1</v>
      </c>
      <c r="AK97" s="600">
        <v>0</v>
      </c>
      <c r="AL97" s="600">
        <v>8</v>
      </c>
      <c r="AM97" s="600">
        <v>16</v>
      </c>
      <c r="AN97" s="600">
        <v>9</v>
      </c>
      <c r="AO97" s="604">
        <v>51</v>
      </c>
      <c r="AP97" s="600">
        <v>0</v>
      </c>
      <c r="AQ97" s="600">
        <v>0</v>
      </c>
      <c r="AR97" s="604">
        <v>5</v>
      </c>
      <c r="AS97" s="600">
        <f>IFERROR((COL_H103[[#This Row],[H]]-COL_H103[[#This Row],[2B]]-COL_H103[[#This Row],[3B]]-COL_H103[[#This Row],[HR]])+(COL_H103[[#This Row],[2B]]*2)+(COL_H103[[#This Row],[3B]]*3)+(COL_H103[[#This Row],[HR]]*4),0)</f>
        <v>43</v>
      </c>
      <c r="AT97" s="598">
        <f>COL_H103[[#This Row],[OBP]]+COL_H103[[#This Row],[SLG]]</f>
        <v>0.5172469374597034</v>
      </c>
      <c r="AU97" s="604">
        <v>1</v>
      </c>
      <c r="AV97" s="614">
        <v>1</v>
      </c>
      <c r="AY97" s="650" t="s">
        <v>1229</v>
      </c>
      <c r="AZ97" s="604" t="s">
        <v>179</v>
      </c>
      <c r="BA97" s="597" t="s">
        <v>1241</v>
      </c>
      <c r="BB97" s="598">
        <f>IFERROR(COL_H126[[#This Row],[H]]/COL_H126[[#This Row],[AB]],0)</f>
        <v>0.2318840579710145</v>
      </c>
      <c r="BC97" s="598">
        <f>IFERROR((COL_H126[[#This Row],[BB]]+COL_H126[[#This Row],[H]])/(COL_H126[[#This Row],[BB]]+COL_H126[[#This Row],[AB]]),0)</f>
        <v>0.24285714285714285</v>
      </c>
      <c r="BD97" s="599">
        <f>IFERROR(((COL_H126[[#This Row],[H]]-COL_H126[[#This Row],[2B]]-COL_H126[[#This Row],[3B]]-COL_H126[[#This Row],[HR]])+(COL_H126[[#This Row],[2B]]*2)+(COL_H126[[#This Row],[3B]]*3)+(COL_H126[[#This Row],[HR]]*4))/COL_H126[[#This Row],[AB]],0)</f>
        <v>0.36231884057971014</v>
      </c>
      <c r="BE97" s="600">
        <v>25</v>
      </c>
      <c r="BF97" s="600">
        <v>69</v>
      </c>
      <c r="BG97" s="600">
        <v>8</v>
      </c>
      <c r="BH97" s="600">
        <v>16</v>
      </c>
      <c r="BI97" s="600">
        <v>3</v>
      </c>
      <c r="BJ97" s="600">
        <v>0</v>
      </c>
      <c r="BK97" s="600">
        <v>2</v>
      </c>
      <c r="BL97" s="600">
        <v>6</v>
      </c>
      <c r="BM97" s="600">
        <v>1</v>
      </c>
      <c r="BN97" s="604">
        <v>20</v>
      </c>
      <c r="BO97" s="600">
        <v>0</v>
      </c>
      <c r="BP97" s="600">
        <v>1</v>
      </c>
      <c r="BQ97" s="604">
        <v>3</v>
      </c>
      <c r="BR97" s="600">
        <f>(COL_H126[[#This Row],[H]]-COL_H126[[#This Row],[2B]]-COL_H126[[#This Row],[3B]]-COL_H126[[#This Row],[HR]])+(COL_H126[[#This Row],[2B]]*2)+(COL_H126[[#This Row],[3B]]*3)+(COL_H126[[#This Row],[HR]]*4)</f>
        <v>25</v>
      </c>
      <c r="BS97" s="598">
        <f>IFERROR(COL_H126[[#This Row],[OBP]]+COL_H126[[#This Row],[SLG]],0)</f>
        <v>0.60517598343685297</v>
      </c>
      <c r="BT97" s="604">
        <v>0</v>
      </c>
      <c r="BU97" s="614">
        <v>1</v>
      </c>
    </row>
    <row r="98" spans="1:73">
      <c r="A98" s="651" t="s">
        <v>1229</v>
      </c>
      <c r="B98" s="71" t="s">
        <v>154</v>
      </c>
      <c r="C98" s="71" t="s">
        <v>1239</v>
      </c>
      <c r="D98" s="72">
        <f>IFERROR(COL_H[[#This Row],[H]]/COL_H[[#This Row],[AB]],0)</f>
        <v>0.28888888888888886</v>
      </c>
      <c r="E98" s="72">
        <f>IFERROR((COL_H[[#This Row],[H]]+COL_H[[#This Row],[BB]])/(COL_H[[#This Row],[BB]]+COL_H[[#This Row],[AB]]),0)</f>
        <v>0.38064516129032255</v>
      </c>
      <c r="F98" s="73">
        <f>IFERROR(((COL_H[[#This Row],[H]]-COL_H[[#This Row],[2B]]-COL_H[[#This Row],[3B]]-COL_H[[#This Row],[HR]])+(COL_H[[#This Row],[2B]]*2)+(COL_H[[#This Row],[3B]]*3)+(COL_H[[#This Row],[HR]]*4))/COL_H[[#This Row],[AB]],0)</f>
        <v>0.47407407407407409</v>
      </c>
      <c r="G98" s="28">
        <v>38</v>
      </c>
      <c r="H98" s="28">
        <v>135</v>
      </c>
      <c r="I98" s="28">
        <v>17</v>
      </c>
      <c r="J98" s="28">
        <v>39</v>
      </c>
      <c r="K98" s="28">
        <v>10</v>
      </c>
      <c r="L98" s="28">
        <v>0</v>
      </c>
      <c r="M98" s="28">
        <v>5</v>
      </c>
      <c r="N98" s="28">
        <v>17</v>
      </c>
      <c r="O98" s="28">
        <v>20</v>
      </c>
      <c r="P98" s="74">
        <v>59</v>
      </c>
      <c r="Q98" s="28">
        <v>0</v>
      </c>
      <c r="R98" s="28">
        <v>4</v>
      </c>
      <c r="S98" s="74">
        <v>4</v>
      </c>
      <c r="T98" s="28">
        <f>IFERROR((COL_H[[#This Row],[H]]-COL_H[[#This Row],[2B]]-COL_H[[#This Row],[3B]]-COL_H[[#This Row],[HR]])+(COL_H[[#This Row],[2B]]*2)+(COL_H[[#This Row],[3B]]*3)+(COL_H[[#This Row],[HR]]*4),0)</f>
        <v>64</v>
      </c>
      <c r="U98" s="72">
        <f>COL_H[[#This Row],[OBP]]+COL_H[[#This Row],[SLG]]</f>
        <v>0.85471923536439665</v>
      </c>
      <c r="V98" s="74">
        <v>0</v>
      </c>
      <c r="W98" s="615">
        <v>2</v>
      </c>
      <c r="Z98" s="651" t="s">
        <v>1229</v>
      </c>
      <c r="AA98" s="71" t="s">
        <v>154</v>
      </c>
      <c r="AB98" s="71" t="s">
        <v>1239</v>
      </c>
      <c r="AC98" s="72">
        <f>IFERROR(COL_H103[[#This Row],[H]]/COL_H103[[#This Row],[AB]],0)</f>
        <v>0.25333333333333335</v>
      </c>
      <c r="AD98" s="72">
        <f>IFERROR((COL_H103[[#This Row],[H]]+COL_H103[[#This Row],[BB]])/(COL_H103[[#This Row],[BB]]+COL_H103[[#This Row],[AB]]),0)</f>
        <v>0.37777777777777777</v>
      </c>
      <c r="AE98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0.49333333333333335</v>
      </c>
      <c r="AF98" s="28">
        <v>23</v>
      </c>
      <c r="AG98" s="28">
        <v>75</v>
      </c>
      <c r="AH98" s="28">
        <v>13</v>
      </c>
      <c r="AI98" s="28">
        <v>19</v>
      </c>
      <c r="AJ98" s="28">
        <v>3</v>
      </c>
      <c r="AK98" s="28">
        <v>0</v>
      </c>
      <c r="AL98" s="28">
        <v>5</v>
      </c>
      <c r="AM98" s="28">
        <v>13</v>
      </c>
      <c r="AN98" s="28">
        <v>15</v>
      </c>
      <c r="AO98" s="74">
        <v>29</v>
      </c>
      <c r="AP98" s="28">
        <v>0</v>
      </c>
      <c r="AQ98" s="28">
        <v>0</v>
      </c>
      <c r="AR98" s="74">
        <v>3</v>
      </c>
      <c r="AS98" s="28">
        <f>IFERROR((COL_H103[[#This Row],[H]]-COL_H103[[#This Row],[2B]]-COL_H103[[#This Row],[3B]]-COL_H103[[#This Row],[HR]])+(COL_H103[[#This Row],[2B]]*2)+(COL_H103[[#This Row],[3B]]*3)+(COL_H103[[#This Row],[HR]]*4),0)</f>
        <v>37</v>
      </c>
      <c r="AT98" s="72">
        <f>COL_H103[[#This Row],[OBP]]+COL_H103[[#This Row],[SLG]]</f>
        <v>0.87111111111111117</v>
      </c>
      <c r="AU98" s="74">
        <v>0</v>
      </c>
      <c r="AV98" s="615">
        <v>2</v>
      </c>
      <c r="AY98" s="651" t="s">
        <v>1229</v>
      </c>
      <c r="AZ98" s="74" t="s">
        <v>154</v>
      </c>
      <c r="BA98" s="71" t="s">
        <v>1239</v>
      </c>
      <c r="BB98" s="72">
        <f>IFERROR(COL_H126[[#This Row],[H]]/COL_H126[[#This Row],[AB]],0)</f>
        <v>0.21481481481481482</v>
      </c>
      <c r="BC98" s="72">
        <f>IFERROR((COL_H126[[#This Row],[BB]]+COL_H126[[#This Row],[H]])/(COL_H126[[#This Row],[BB]]+COL_H126[[#This Row],[AB]]),0)</f>
        <v>0.27397260273972601</v>
      </c>
      <c r="BD98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0.38518518518518519</v>
      </c>
      <c r="BE98" s="28">
        <v>38</v>
      </c>
      <c r="BF98" s="28">
        <v>135</v>
      </c>
      <c r="BG98" s="28">
        <v>12</v>
      </c>
      <c r="BH98" s="28">
        <v>29</v>
      </c>
      <c r="BI98" s="28">
        <v>5</v>
      </c>
      <c r="BJ98" s="28">
        <v>0</v>
      </c>
      <c r="BK98" s="28">
        <v>6</v>
      </c>
      <c r="BL98" s="28">
        <v>19</v>
      </c>
      <c r="BM98" s="28">
        <v>11</v>
      </c>
      <c r="BN98" s="74">
        <v>42</v>
      </c>
      <c r="BO98" s="28">
        <v>0</v>
      </c>
      <c r="BP98" s="28">
        <v>0</v>
      </c>
      <c r="BQ98" s="74">
        <v>3</v>
      </c>
      <c r="BR98" s="28">
        <f>(COL_H126[[#This Row],[H]]-COL_H126[[#This Row],[2B]]-COL_H126[[#This Row],[3B]]-COL_H126[[#This Row],[HR]])+(COL_H126[[#This Row],[2B]]*2)+(COL_H126[[#This Row],[3B]]*3)+(COL_H126[[#This Row],[HR]]*4)</f>
        <v>52</v>
      </c>
      <c r="BS98" s="72">
        <f>IFERROR(COL_H126[[#This Row],[OBP]]+COL_H126[[#This Row],[SLG]],0)</f>
        <v>0.6591577879249112</v>
      </c>
      <c r="BT98" s="74">
        <v>3</v>
      </c>
      <c r="BU98" s="615">
        <v>2</v>
      </c>
    </row>
    <row r="99" spans="1:73">
      <c r="A99" s="651" t="s">
        <v>1229</v>
      </c>
      <c r="B99" s="71" t="s">
        <v>172</v>
      </c>
      <c r="C99" s="71" t="s">
        <v>1236</v>
      </c>
      <c r="D99" s="72">
        <f>IFERROR(COL_H[[#This Row],[H]]/COL_H[[#This Row],[AB]],0)</f>
        <v>0.2857142857142857</v>
      </c>
      <c r="E99" s="72">
        <f>IFERROR((COL_H[[#This Row],[H]]+COL_H[[#This Row],[BB]])/(COL_H[[#This Row],[BB]]+COL_H[[#This Row],[AB]]),0)</f>
        <v>0.37158469945355194</v>
      </c>
      <c r="F99" s="73">
        <f>IFERROR(((COL_H[[#This Row],[H]]-COL_H[[#This Row],[2B]]-COL_H[[#This Row],[3B]]-COL_H[[#This Row],[HR]])+(COL_H[[#This Row],[2B]]*2)+(COL_H[[#This Row],[3B]]*3)+(COL_H[[#This Row],[HR]]*4))/COL_H[[#This Row],[AB]],0)</f>
        <v>0.41614906832298137</v>
      </c>
      <c r="G99" s="28">
        <v>40</v>
      </c>
      <c r="H99" s="28">
        <v>161</v>
      </c>
      <c r="I99" s="28">
        <v>21</v>
      </c>
      <c r="J99" s="28">
        <v>46</v>
      </c>
      <c r="K99" s="28">
        <v>10</v>
      </c>
      <c r="L99" s="28">
        <v>1</v>
      </c>
      <c r="M99" s="28">
        <v>3</v>
      </c>
      <c r="N99" s="28">
        <v>19</v>
      </c>
      <c r="O99" s="28">
        <v>22</v>
      </c>
      <c r="P99" s="74">
        <v>37</v>
      </c>
      <c r="Q99" s="28">
        <v>0</v>
      </c>
      <c r="R99" s="28">
        <v>1</v>
      </c>
      <c r="S99" s="74">
        <v>11</v>
      </c>
      <c r="T99" s="28">
        <f>IFERROR((COL_H[[#This Row],[H]]-COL_H[[#This Row],[2B]]-COL_H[[#This Row],[3B]]-COL_H[[#This Row],[HR]])+(COL_H[[#This Row],[2B]]*2)+(COL_H[[#This Row],[3B]]*3)+(COL_H[[#This Row],[HR]]*4),0)</f>
        <v>67</v>
      </c>
      <c r="U99" s="72">
        <f>COL_H[[#This Row],[OBP]]+COL_H[[#This Row],[SLG]]</f>
        <v>0.78773376777653326</v>
      </c>
      <c r="V99" s="74">
        <v>1</v>
      </c>
      <c r="W99" s="615">
        <v>3</v>
      </c>
      <c r="Z99" s="651" t="s">
        <v>1229</v>
      </c>
      <c r="AA99" s="71" t="s">
        <v>172</v>
      </c>
      <c r="AB99" s="71" t="s">
        <v>1231</v>
      </c>
      <c r="AC99" s="72">
        <f>IFERROR(COL_H103[[#This Row],[H]]/COL_H103[[#This Row],[AB]],0)</f>
        <v>0.25882352941176473</v>
      </c>
      <c r="AD99" s="72">
        <f>IFERROR((COL_H103[[#This Row],[H]]+COL_H103[[#This Row],[BB]])/(COL_H103[[#This Row],[BB]]+COL_H103[[#This Row],[AB]]),0)</f>
        <v>0.31891891891891894</v>
      </c>
      <c r="AE99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0.4823529411764706</v>
      </c>
      <c r="AF99" s="28">
        <v>40</v>
      </c>
      <c r="AG99" s="28">
        <v>170</v>
      </c>
      <c r="AH99" s="28">
        <v>24</v>
      </c>
      <c r="AI99" s="28">
        <v>44</v>
      </c>
      <c r="AJ99" s="28">
        <v>11</v>
      </c>
      <c r="AK99" s="28">
        <v>0</v>
      </c>
      <c r="AL99" s="28">
        <v>9</v>
      </c>
      <c r="AM99" s="28">
        <v>15</v>
      </c>
      <c r="AN99" s="28">
        <v>15</v>
      </c>
      <c r="AO99" s="74">
        <v>53</v>
      </c>
      <c r="AP99" s="28">
        <v>5</v>
      </c>
      <c r="AQ99" s="28">
        <v>0</v>
      </c>
      <c r="AR99" s="74">
        <v>10</v>
      </c>
      <c r="AS99" s="28">
        <f>IFERROR((COL_H103[[#This Row],[H]]-COL_H103[[#This Row],[2B]]-COL_H103[[#This Row],[3B]]-COL_H103[[#This Row],[HR]])+(COL_H103[[#This Row],[2B]]*2)+(COL_H103[[#This Row],[3B]]*3)+(COL_H103[[#This Row],[HR]]*4),0)</f>
        <v>82</v>
      </c>
      <c r="AT99" s="72">
        <f>COL_H103[[#This Row],[OBP]]+COL_H103[[#This Row],[SLG]]</f>
        <v>0.80127186009538953</v>
      </c>
      <c r="AU99" s="74">
        <v>2</v>
      </c>
      <c r="AV99" s="615">
        <v>3</v>
      </c>
      <c r="AY99" s="651" t="s">
        <v>1229</v>
      </c>
      <c r="AZ99" s="74" t="s">
        <v>172</v>
      </c>
      <c r="BA99" s="71" t="s">
        <v>1231</v>
      </c>
      <c r="BB99" s="72">
        <f>IFERROR(COL_H126[[#This Row],[H]]/COL_H126[[#This Row],[AB]],0)</f>
        <v>0.29518072289156627</v>
      </c>
      <c r="BC99" s="72">
        <f>IFERROR((COL_H126[[#This Row],[BB]]+COL_H126[[#This Row],[H]])/(COL_H126[[#This Row],[BB]]+COL_H126[[#This Row],[AB]]),0)</f>
        <v>0.36756756756756759</v>
      </c>
      <c r="BD99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0.56024096385542166</v>
      </c>
      <c r="BE99" s="28">
        <v>40</v>
      </c>
      <c r="BF99" s="28">
        <v>166</v>
      </c>
      <c r="BG99" s="28">
        <v>28</v>
      </c>
      <c r="BH99" s="28">
        <v>49</v>
      </c>
      <c r="BI99" s="28">
        <v>13</v>
      </c>
      <c r="BJ99" s="28">
        <v>2</v>
      </c>
      <c r="BK99" s="28">
        <v>9</v>
      </c>
      <c r="BL99" s="28">
        <v>27</v>
      </c>
      <c r="BM99" s="28">
        <v>19</v>
      </c>
      <c r="BN99" s="74">
        <v>48</v>
      </c>
      <c r="BO99" s="28">
        <v>6</v>
      </c>
      <c r="BP99" s="28">
        <v>2</v>
      </c>
      <c r="BQ99" s="74">
        <v>13</v>
      </c>
      <c r="BR99" s="28">
        <f>(COL_H126[[#This Row],[H]]-COL_H126[[#This Row],[2B]]-COL_H126[[#This Row],[3B]]-COL_H126[[#This Row],[HR]])+(COL_H126[[#This Row],[2B]]*2)+(COL_H126[[#This Row],[3B]]*3)+(COL_H126[[#This Row],[HR]]*4)</f>
        <v>93</v>
      </c>
      <c r="BS99" s="72">
        <f>IFERROR(COL_H126[[#This Row],[OBP]]+COL_H126[[#This Row],[SLG]],0)</f>
        <v>0.92780853142298925</v>
      </c>
      <c r="BT99" s="74">
        <v>2</v>
      </c>
      <c r="BU99" s="615">
        <v>3</v>
      </c>
    </row>
    <row r="100" spans="1:73">
      <c r="A100" s="651" t="s">
        <v>1229</v>
      </c>
      <c r="B100" s="71" t="s">
        <v>153</v>
      </c>
      <c r="C100" s="71" t="s">
        <v>1231</v>
      </c>
      <c r="D100" s="72">
        <f>IFERROR(COL_H[[#This Row],[H]]/COL_H[[#This Row],[AB]],0)</f>
        <v>0.23493975903614459</v>
      </c>
      <c r="E100" s="72">
        <f>IFERROR((COL_H[[#This Row],[H]]+COL_H[[#This Row],[BB]])/(COL_H[[#This Row],[BB]]+COL_H[[#This Row],[AB]]),0)</f>
        <v>0.28651685393258425</v>
      </c>
      <c r="F100" s="73">
        <f>IFERROR(((COL_H[[#This Row],[H]]-COL_H[[#This Row],[2B]]-COL_H[[#This Row],[3B]]-COL_H[[#This Row],[HR]])+(COL_H[[#This Row],[2B]]*2)+(COL_H[[#This Row],[3B]]*3)+(COL_H[[#This Row],[HR]]*4))/COL_H[[#This Row],[AB]],0)</f>
        <v>0.43373493975903615</v>
      </c>
      <c r="G100" s="28">
        <v>38</v>
      </c>
      <c r="H100" s="28">
        <v>166</v>
      </c>
      <c r="I100" s="28">
        <v>25</v>
      </c>
      <c r="J100" s="28">
        <v>39</v>
      </c>
      <c r="K100" s="28">
        <v>13</v>
      </c>
      <c r="L100" s="28">
        <v>1</v>
      </c>
      <c r="M100" s="28">
        <v>6</v>
      </c>
      <c r="N100" s="28">
        <v>16</v>
      </c>
      <c r="O100" s="28">
        <v>12</v>
      </c>
      <c r="P100" s="74">
        <v>58</v>
      </c>
      <c r="Q100" s="28">
        <v>0</v>
      </c>
      <c r="R100" s="28">
        <v>1</v>
      </c>
      <c r="S100" s="74">
        <v>14</v>
      </c>
      <c r="T100" s="28">
        <f>IFERROR((COL_H[[#This Row],[H]]-COL_H[[#This Row],[2B]]-COL_H[[#This Row],[3B]]-COL_H[[#This Row],[HR]])+(COL_H[[#This Row],[2B]]*2)+(COL_H[[#This Row],[3B]]*3)+(COL_H[[#This Row],[HR]]*4),0)</f>
        <v>72</v>
      </c>
      <c r="U100" s="72">
        <f>COL_H[[#This Row],[OBP]]+COL_H[[#This Row],[SLG]]</f>
        <v>0.7202517936916204</v>
      </c>
      <c r="V100" s="74">
        <v>0</v>
      </c>
      <c r="W100" s="615">
        <v>4</v>
      </c>
      <c r="Z100" s="651" t="s">
        <v>1229</v>
      </c>
      <c r="AA100" s="71" t="s">
        <v>153</v>
      </c>
      <c r="AB100" s="71" t="s">
        <v>1235</v>
      </c>
      <c r="AC100" s="72">
        <f>IFERROR(COL_H103[[#This Row],[H]]/COL_H103[[#This Row],[AB]],0)</f>
        <v>0.25757575757575757</v>
      </c>
      <c r="AD100" s="72">
        <f>IFERROR((COL_H103[[#This Row],[H]]+COL_H103[[#This Row],[BB]])/(COL_H103[[#This Row],[BB]]+COL_H103[[#This Row],[AB]]),0)</f>
        <v>0.3</v>
      </c>
      <c r="AE100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0.43939393939393939</v>
      </c>
      <c r="AF100" s="28">
        <v>35</v>
      </c>
      <c r="AG100" s="28">
        <v>132</v>
      </c>
      <c r="AH100" s="28">
        <v>11</v>
      </c>
      <c r="AI100" s="28">
        <v>34</v>
      </c>
      <c r="AJ100" s="28">
        <v>11</v>
      </c>
      <c r="AK100" s="28">
        <v>2</v>
      </c>
      <c r="AL100" s="28">
        <v>3</v>
      </c>
      <c r="AM100" s="28">
        <v>14</v>
      </c>
      <c r="AN100" s="28">
        <v>8</v>
      </c>
      <c r="AO100" s="74">
        <v>32</v>
      </c>
      <c r="AP100" s="28">
        <v>0</v>
      </c>
      <c r="AQ100" s="28">
        <v>0</v>
      </c>
      <c r="AR100" s="74">
        <v>7</v>
      </c>
      <c r="AS100" s="28">
        <f>IFERROR((COL_H103[[#This Row],[H]]-COL_H103[[#This Row],[2B]]-COL_H103[[#This Row],[3B]]-COL_H103[[#This Row],[HR]])+(COL_H103[[#This Row],[2B]]*2)+(COL_H103[[#This Row],[3B]]*3)+(COL_H103[[#This Row],[HR]]*4),0)</f>
        <v>58</v>
      </c>
      <c r="AT100" s="72">
        <f>COL_H103[[#This Row],[OBP]]+COL_H103[[#This Row],[SLG]]</f>
        <v>0.73939393939393938</v>
      </c>
      <c r="AU100" s="74">
        <v>3</v>
      </c>
      <c r="AV100" s="615">
        <v>4</v>
      </c>
      <c r="AY100" s="651" t="s">
        <v>1229</v>
      </c>
      <c r="AZ100" s="74" t="s">
        <v>153</v>
      </c>
      <c r="BA100" s="71" t="s">
        <v>1235</v>
      </c>
      <c r="BB100" s="72">
        <f>IFERROR(COL_H126[[#This Row],[H]]/COL_H126[[#This Row],[AB]],0)</f>
        <v>0.23129251700680273</v>
      </c>
      <c r="BC100" s="72">
        <f>IFERROR((COL_H126[[#This Row],[BB]]+COL_H126[[#This Row],[H]])/(COL_H126[[#This Row],[BB]]+COL_H126[[#This Row],[AB]]),0)</f>
        <v>0.28025477707006369</v>
      </c>
      <c r="BD100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0.42176870748299322</v>
      </c>
      <c r="BE100" s="28">
        <v>40</v>
      </c>
      <c r="BF100" s="28">
        <v>147</v>
      </c>
      <c r="BG100" s="28">
        <v>15</v>
      </c>
      <c r="BH100" s="28">
        <v>34</v>
      </c>
      <c r="BI100" s="28">
        <v>10</v>
      </c>
      <c r="BJ100" s="28">
        <v>3</v>
      </c>
      <c r="BK100" s="28">
        <v>4</v>
      </c>
      <c r="BL100" s="28">
        <v>14</v>
      </c>
      <c r="BM100" s="28">
        <v>10</v>
      </c>
      <c r="BN100" s="74">
        <v>43</v>
      </c>
      <c r="BO100" s="28">
        <v>0</v>
      </c>
      <c r="BP100" s="28">
        <v>0</v>
      </c>
      <c r="BQ100" s="74">
        <v>9</v>
      </c>
      <c r="BR100" s="28">
        <f>(COL_H126[[#This Row],[H]]-COL_H126[[#This Row],[2B]]-COL_H126[[#This Row],[3B]]-COL_H126[[#This Row],[HR]])+(COL_H126[[#This Row],[2B]]*2)+(COL_H126[[#This Row],[3B]]*3)+(COL_H126[[#This Row],[HR]]*4)</f>
        <v>62</v>
      </c>
      <c r="BS100" s="72">
        <f>IFERROR(COL_H126[[#This Row],[OBP]]+COL_H126[[#This Row],[SLG]],0)</f>
        <v>0.70202348455305685</v>
      </c>
      <c r="BT100" s="74">
        <v>1</v>
      </c>
      <c r="BU100" s="615">
        <v>4</v>
      </c>
    </row>
    <row r="101" spans="1:73">
      <c r="A101" s="651" t="s">
        <v>1229</v>
      </c>
      <c r="B101" s="71" t="s">
        <v>177</v>
      </c>
      <c r="C101" s="71" t="s">
        <v>1233</v>
      </c>
      <c r="D101" s="72">
        <f>IFERROR(COL_H[[#This Row],[H]]/COL_H[[#This Row],[AB]],0)</f>
        <v>0.24848484848484848</v>
      </c>
      <c r="E101" s="72">
        <f>IFERROR((COL_H[[#This Row],[H]]+COL_H[[#This Row],[BB]])/(COL_H[[#This Row],[BB]]+COL_H[[#This Row],[AB]]),0)</f>
        <v>0.28735632183908044</v>
      </c>
      <c r="F101" s="73">
        <f>IFERROR(((COL_H[[#This Row],[H]]-COL_H[[#This Row],[2B]]-COL_H[[#This Row],[3B]]-COL_H[[#This Row],[HR]])+(COL_H[[#This Row],[2B]]*2)+(COL_H[[#This Row],[3B]]*3)+(COL_H[[#This Row],[HR]]*4))/COL_H[[#This Row],[AB]],0)</f>
        <v>0.41818181818181815</v>
      </c>
      <c r="G101" s="28">
        <v>40</v>
      </c>
      <c r="H101" s="28">
        <v>165</v>
      </c>
      <c r="I101" s="28">
        <v>17</v>
      </c>
      <c r="J101" s="28">
        <v>41</v>
      </c>
      <c r="K101" s="28">
        <v>7</v>
      </c>
      <c r="L101" s="28">
        <v>0</v>
      </c>
      <c r="M101" s="28">
        <v>7</v>
      </c>
      <c r="N101" s="28">
        <v>26</v>
      </c>
      <c r="O101" s="28">
        <v>9</v>
      </c>
      <c r="P101" s="74">
        <v>49</v>
      </c>
      <c r="Q101" s="28">
        <v>0</v>
      </c>
      <c r="R101" s="28">
        <v>1</v>
      </c>
      <c r="S101" s="74">
        <v>9</v>
      </c>
      <c r="T101" s="28">
        <f>IFERROR((COL_H[[#This Row],[H]]-COL_H[[#This Row],[2B]]-COL_H[[#This Row],[3B]]-COL_H[[#This Row],[HR]])+(COL_H[[#This Row],[2B]]*2)+(COL_H[[#This Row],[3B]]*3)+(COL_H[[#This Row],[HR]]*4),0)</f>
        <v>69</v>
      </c>
      <c r="U101" s="72">
        <f>COL_H[[#This Row],[OBP]]+COL_H[[#This Row],[SLG]]</f>
        <v>0.70553814002089865</v>
      </c>
      <c r="V101" s="74">
        <v>2</v>
      </c>
      <c r="W101" s="615">
        <v>5</v>
      </c>
      <c r="Z101" s="651" t="s">
        <v>1229</v>
      </c>
      <c r="AA101" s="71" t="s">
        <v>177</v>
      </c>
      <c r="AB101" s="71" t="s">
        <v>1232</v>
      </c>
      <c r="AC101" s="72">
        <f>IFERROR(COL_H103[[#This Row],[H]]/COL_H103[[#This Row],[AB]],0)</f>
        <v>0.32374100719424459</v>
      </c>
      <c r="AD101" s="72">
        <f>IFERROR((COL_H103[[#This Row],[H]]+COL_H103[[#This Row],[BB]])/(COL_H103[[#This Row],[BB]]+COL_H103[[#This Row],[AB]]),0)</f>
        <v>0.42331288343558282</v>
      </c>
      <c r="AE101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0.50359712230215825</v>
      </c>
      <c r="AF101" s="28">
        <v>37</v>
      </c>
      <c r="AG101" s="28">
        <v>139</v>
      </c>
      <c r="AH101" s="28">
        <v>20</v>
      </c>
      <c r="AI101" s="28">
        <v>45</v>
      </c>
      <c r="AJ101" s="28">
        <v>13</v>
      </c>
      <c r="AK101" s="28">
        <v>0</v>
      </c>
      <c r="AL101" s="28">
        <v>4</v>
      </c>
      <c r="AM101" s="28">
        <v>14</v>
      </c>
      <c r="AN101" s="28">
        <v>24</v>
      </c>
      <c r="AO101" s="74">
        <v>30</v>
      </c>
      <c r="AP101" s="28">
        <v>0</v>
      </c>
      <c r="AQ101" s="28">
        <v>0</v>
      </c>
      <c r="AR101" s="74">
        <v>10</v>
      </c>
      <c r="AS101" s="28">
        <f>IFERROR((COL_H103[[#This Row],[H]]-COL_H103[[#This Row],[2B]]-COL_H103[[#This Row],[3B]]-COL_H103[[#This Row],[HR]])+(COL_H103[[#This Row],[2B]]*2)+(COL_H103[[#This Row],[3B]]*3)+(COL_H103[[#This Row],[HR]]*4),0)</f>
        <v>70</v>
      </c>
      <c r="AT101" s="72">
        <f>COL_H103[[#This Row],[OBP]]+COL_H103[[#This Row],[SLG]]</f>
        <v>0.92691000573774107</v>
      </c>
      <c r="AU101" s="74">
        <v>2</v>
      </c>
      <c r="AV101" s="615">
        <v>5</v>
      </c>
      <c r="AY101" s="651" t="s">
        <v>1229</v>
      </c>
      <c r="AZ101" s="104" t="s">
        <v>177</v>
      </c>
      <c r="BA101" s="71" t="s">
        <v>1233</v>
      </c>
      <c r="BB101" s="72">
        <f>IFERROR(COL_H126[[#This Row],[H]]/COL_H126[[#This Row],[AB]],0)</f>
        <v>0.28767123287671231</v>
      </c>
      <c r="BC101" s="72">
        <f>IFERROR((COL_H126[[#This Row],[BB]]+COL_H126[[#This Row],[H]])/(COL_H126[[#This Row],[BB]]+COL_H126[[#This Row],[AB]]),0)</f>
        <v>0.33333333333333331</v>
      </c>
      <c r="BD101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0.54109589041095896</v>
      </c>
      <c r="BE101" s="28">
        <v>38</v>
      </c>
      <c r="BF101" s="28">
        <v>146</v>
      </c>
      <c r="BG101" s="28">
        <v>20</v>
      </c>
      <c r="BH101" s="28">
        <v>42</v>
      </c>
      <c r="BI101" s="28">
        <v>10</v>
      </c>
      <c r="BJ101" s="28">
        <v>0</v>
      </c>
      <c r="BK101" s="28">
        <v>9</v>
      </c>
      <c r="BL101" s="28">
        <v>27</v>
      </c>
      <c r="BM101" s="28">
        <v>10</v>
      </c>
      <c r="BN101" s="74">
        <v>44</v>
      </c>
      <c r="BO101" s="28">
        <v>0</v>
      </c>
      <c r="BP101" s="28">
        <v>0</v>
      </c>
      <c r="BQ101" s="74">
        <v>8</v>
      </c>
      <c r="BR101" s="28">
        <f>(COL_H126[[#This Row],[H]]-COL_H126[[#This Row],[2B]]-COL_H126[[#This Row],[3B]]-COL_H126[[#This Row],[HR]])+(COL_H126[[#This Row],[2B]]*2)+(COL_H126[[#This Row],[3B]]*3)+(COL_H126[[#This Row],[HR]]*4)</f>
        <v>79</v>
      </c>
      <c r="BS101" s="72">
        <f>IFERROR(COL_H126[[#This Row],[OBP]]+COL_H126[[#This Row],[SLG]],0)</f>
        <v>0.87442922374429233</v>
      </c>
      <c r="BT101" s="74">
        <v>2</v>
      </c>
      <c r="BU101" s="615">
        <v>5</v>
      </c>
    </row>
    <row r="102" spans="1:73">
      <c r="A102" s="651" t="s">
        <v>1229</v>
      </c>
      <c r="B102" s="345" t="s">
        <v>174</v>
      </c>
      <c r="C102" s="71" t="s">
        <v>997</v>
      </c>
      <c r="D102" s="72">
        <f>IFERROR(COL_H[[#This Row],[H]]/COL_H[[#This Row],[AB]],0)</f>
        <v>0.26219512195121952</v>
      </c>
      <c r="E102" s="72">
        <f>IFERROR((COL_H[[#This Row],[H]]+COL_H[[#This Row],[BB]])/(COL_H[[#This Row],[BB]]+COL_H[[#This Row],[AB]]),0)</f>
        <v>0.32402234636871508</v>
      </c>
      <c r="F102" s="73">
        <f>IFERROR(((COL_H[[#This Row],[H]]-COL_H[[#This Row],[2B]]-COL_H[[#This Row],[3B]]-COL_H[[#This Row],[HR]])+(COL_H[[#This Row],[2B]]*2)+(COL_H[[#This Row],[3B]]*3)+(COL_H[[#This Row],[HR]]*4))/COL_H[[#This Row],[AB]],0)</f>
        <v>0.5</v>
      </c>
      <c r="G102" s="28">
        <v>40</v>
      </c>
      <c r="H102" s="28">
        <v>164</v>
      </c>
      <c r="I102" s="28">
        <v>18</v>
      </c>
      <c r="J102" s="28">
        <v>43</v>
      </c>
      <c r="K102" s="28">
        <v>10</v>
      </c>
      <c r="L102" s="28">
        <v>1</v>
      </c>
      <c r="M102" s="28">
        <v>9</v>
      </c>
      <c r="N102" s="28">
        <v>25</v>
      </c>
      <c r="O102" s="28">
        <v>15</v>
      </c>
      <c r="P102" s="74">
        <v>35</v>
      </c>
      <c r="Q102" s="28">
        <v>0</v>
      </c>
      <c r="R102" s="28">
        <v>4</v>
      </c>
      <c r="S102" s="74">
        <v>12</v>
      </c>
      <c r="T102" s="28">
        <f>IFERROR((COL_H[[#This Row],[H]]-COL_H[[#This Row],[2B]]-COL_H[[#This Row],[3B]]-COL_H[[#This Row],[HR]])+(COL_H[[#This Row],[2B]]*2)+(COL_H[[#This Row],[3B]]*3)+(COL_H[[#This Row],[HR]]*4),0)</f>
        <v>82</v>
      </c>
      <c r="U102" s="72">
        <f>COL_H[[#This Row],[OBP]]+COL_H[[#This Row],[SLG]]</f>
        <v>0.82402234636871508</v>
      </c>
      <c r="V102" s="74">
        <v>4</v>
      </c>
      <c r="W102" s="615">
        <v>6</v>
      </c>
      <c r="Z102" s="651" t="s">
        <v>1229</v>
      </c>
      <c r="AA102" s="71" t="s">
        <v>174</v>
      </c>
      <c r="AB102" s="71" t="s">
        <v>997</v>
      </c>
      <c r="AC102" s="72">
        <f>IFERROR(COL_H103[[#This Row],[H]]/COL_H103[[#This Row],[AB]],0)</f>
        <v>0.25925925925925924</v>
      </c>
      <c r="AD102" s="72">
        <f>IFERROR((COL_H103[[#This Row],[H]]+COL_H103[[#This Row],[BB]])/(COL_H103[[#This Row],[BB]]+COL_H103[[#This Row],[AB]]),0)</f>
        <v>0.35483870967741937</v>
      </c>
      <c r="AE102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0.37037037037037035</v>
      </c>
      <c r="AF102" s="28">
        <v>38</v>
      </c>
      <c r="AG102" s="28">
        <v>135</v>
      </c>
      <c r="AH102" s="28">
        <v>15</v>
      </c>
      <c r="AI102" s="28">
        <v>35</v>
      </c>
      <c r="AJ102" s="28">
        <v>8</v>
      </c>
      <c r="AK102" s="28">
        <v>2</v>
      </c>
      <c r="AL102" s="28">
        <v>1</v>
      </c>
      <c r="AM102" s="28">
        <v>6</v>
      </c>
      <c r="AN102" s="28">
        <v>20</v>
      </c>
      <c r="AO102" s="74">
        <v>38</v>
      </c>
      <c r="AP102" s="28">
        <v>0</v>
      </c>
      <c r="AQ102" s="28">
        <v>1</v>
      </c>
      <c r="AR102" s="74">
        <v>10</v>
      </c>
      <c r="AS102" s="28">
        <f>IFERROR((COL_H103[[#This Row],[H]]-COL_H103[[#This Row],[2B]]-COL_H103[[#This Row],[3B]]-COL_H103[[#This Row],[HR]])+(COL_H103[[#This Row],[2B]]*2)+(COL_H103[[#This Row],[3B]]*3)+(COL_H103[[#This Row],[HR]]*4),0)</f>
        <v>50</v>
      </c>
      <c r="AT102" s="72">
        <f>COL_H103[[#This Row],[OBP]]+COL_H103[[#This Row],[SLG]]</f>
        <v>0.72520908004778972</v>
      </c>
      <c r="AU102" s="74">
        <v>1</v>
      </c>
      <c r="AV102" s="615">
        <v>6</v>
      </c>
      <c r="AY102" s="651" t="s">
        <v>1229</v>
      </c>
      <c r="AZ102" s="74" t="s">
        <v>174</v>
      </c>
      <c r="BA102" s="71" t="s">
        <v>1242</v>
      </c>
      <c r="BB102" s="72">
        <f>IFERROR(COL_H126[[#This Row],[H]]/COL_H126[[#This Row],[AB]],0)</f>
        <v>0.37755102040816324</v>
      </c>
      <c r="BC102" s="72">
        <f>IFERROR((COL_H126[[#This Row],[BB]]+COL_H126[[#This Row],[H]])/(COL_H126[[#This Row],[BB]]+COL_H126[[#This Row],[AB]]),0)</f>
        <v>0.43518518518518517</v>
      </c>
      <c r="BD102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0.47959183673469385</v>
      </c>
      <c r="BE102" s="28">
        <v>27</v>
      </c>
      <c r="BF102" s="28">
        <v>98</v>
      </c>
      <c r="BG102" s="28">
        <v>23</v>
      </c>
      <c r="BH102" s="28">
        <v>37</v>
      </c>
      <c r="BI102" s="28">
        <v>2</v>
      </c>
      <c r="BJ102" s="28">
        <v>1</v>
      </c>
      <c r="BK102" s="28">
        <v>2</v>
      </c>
      <c r="BL102" s="28">
        <v>11</v>
      </c>
      <c r="BM102" s="28">
        <v>10</v>
      </c>
      <c r="BN102" s="74">
        <v>24</v>
      </c>
      <c r="BO102" s="28">
        <v>9</v>
      </c>
      <c r="BP102" s="28">
        <v>3</v>
      </c>
      <c r="BQ102" s="74">
        <v>11</v>
      </c>
      <c r="BR102" s="28">
        <f>(COL_H126[[#This Row],[H]]-COL_H126[[#This Row],[2B]]-COL_H126[[#This Row],[3B]]-COL_H126[[#This Row],[HR]])+(COL_H126[[#This Row],[2B]]*2)+(COL_H126[[#This Row],[3B]]*3)+(COL_H126[[#This Row],[HR]]*4)</f>
        <v>47</v>
      </c>
      <c r="BS102" s="72">
        <f>IFERROR(COL_H126[[#This Row],[OBP]]+COL_H126[[#This Row],[SLG]],0)</f>
        <v>0.91477702191987897</v>
      </c>
      <c r="BT102" s="74">
        <v>1</v>
      </c>
      <c r="BU102" s="615">
        <v>6</v>
      </c>
    </row>
    <row r="103" spans="1:73">
      <c r="A103" s="651" t="s">
        <v>1229</v>
      </c>
      <c r="B103" s="345" t="s">
        <v>181</v>
      </c>
      <c r="C103" s="71" t="s">
        <v>1230</v>
      </c>
      <c r="D103" s="72">
        <f>IFERROR(COL_H[[#This Row],[H]]/COL_H[[#This Row],[AB]],0)</f>
        <v>0.32098765432098764</v>
      </c>
      <c r="E103" s="72">
        <f>IFERROR((COL_H[[#This Row],[H]]+COL_H[[#This Row],[BB]])/(COL_H[[#This Row],[BB]]+COL_H[[#This Row],[AB]]),0)</f>
        <v>0.38547486033519551</v>
      </c>
      <c r="F103" s="73">
        <f>IFERROR(((COL_H[[#This Row],[H]]-COL_H[[#This Row],[2B]]-COL_H[[#This Row],[3B]]-COL_H[[#This Row],[HR]])+(COL_H[[#This Row],[2B]]*2)+(COL_H[[#This Row],[3B]]*3)+(COL_H[[#This Row],[HR]]*4))/COL_H[[#This Row],[AB]],0)</f>
        <v>0.52469135802469136</v>
      </c>
      <c r="G103" s="28">
        <v>40</v>
      </c>
      <c r="H103" s="28">
        <v>162</v>
      </c>
      <c r="I103" s="28">
        <v>21</v>
      </c>
      <c r="J103" s="28">
        <v>52</v>
      </c>
      <c r="K103" s="28">
        <v>11</v>
      </c>
      <c r="L103" s="28">
        <v>2</v>
      </c>
      <c r="M103" s="28">
        <v>6</v>
      </c>
      <c r="N103" s="28">
        <v>22</v>
      </c>
      <c r="O103" s="28">
        <v>17</v>
      </c>
      <c r="P103" s="74">
        <v>43</v>
      </c>
      <c r="Q103" s="28">
        <v>0</v>
      </c>
      <c r="R103" s="28">
        <v>11</v>
      </c>
      <c r="S103" s="74">
        <v>11</v>
      </c>
      <c r="T103" s="28">
        <f>IFERROR((COL_H[[#This Row],[H]]-COL_H[[#This Row],[2B]]-COL_H[[#This Row],[3B]]-COL_H[[#This Row],[HR]])+(COL_H[[#This Row],[2B]]*2)+(COL_H[[#This Row],[3B]]*3)+(COL_H[[#This Row],[HR]]*4),0)</f>
        <v>85</v>
      </c>
      <c r="U103" s="72">
        <f>COL_H[[#This Row],[OBP]]+COL_H[[#This Row],[SLG]]</f>
        <v>0.91016621835988687</v>
      </c>
      <c r="V103" s="74">
        <v>1</v>
      </c>
      <c r="W103" s="615">
        <v>7</v>
      </c>
      <c r="Z103" s="651" t="s">
        <v>1229</v>
      </c>
      <c r="AA103" s="71" t="s">
        <v>181</v>
      </c>
      <c r="AB103" s="71" t="s">
        <v>1230</v>
      </c>
      <c r="AC103" s="72">
        <f>IFERROR(COL_H103[[#This Row],[H]]/COL_H103[[#This Row],[AB]],0)</f>
        <v>0.2413793103448276</v>
      </c>
      <c r="AD103" s="72">
        <f>IFERROR((COL_H103[[#This Row],[H]]+COL_H103[[#This Row],[BB]])/(COL_H103[[#This Row],[BB]]+COL_H103[[#This Row],[AB]]),0)</f>
        <v>0.32515337423312884</v>
      </c>
      <c r="AE103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0.44137931034482758</v>
      </c>
      <c r="AF103" s="28">
        <v>38</v>
      </c>
      <c r="AG103" s="28">
        <v>145</v>
      </c>
      <c r="AH103" s="28">
        <v>16</v>
      </c>
      <c r="AI103" s="28">
        <v>35</v>
      </c>
      <c r="AJ103" s="28">
        <v>8</v>
      </c>
      <c r="AK103" s="28">
        <v>3</v>
      </c>
      <c r="AL103" s="28">
        <v>5</v>
      </c>
      <c r="AM103" s="28">
        <v>22</v>
      </c>
      <c r="AN103" s="28">
        <v>18</v>
      </c>
      <c r="AO103" s="74">
        <v>44</v>
      </c>
      <c r="AP103" s="28">
        <v>0</v>
      </c>
      <c r="AQ103" s="28">
        <v>1</v>
      </c>
      <c r="AR103" s="74">
        <v>5</v>
      </c>
      <c r="AS103" s="28">
        <f>IFERROR((COL_H103[[#This Row],[H]]-COL_H103[[#This Row],[2B]]-COL_H103[[#This Row],[3B]]-COL_H103[[#This Row],[HR]])+(COL_H103[[#This Row],[2B]]*2)+(COL_H103[[#This Row],[3B]]*3)+(COL_H103[[#This Row],[HR]]*4),0)</f>
        <v>64</v>
      </c>
      <c r="AT103" s="72">
        <f>COL_H103[[#This Row],[OBP]]+COL_H103[[#This Row],[SLG]]</f>
        <v>0.76653268457795642</v>
      </c>
      <c r="AU103" s="74">
        <v>3</v>
      </c>
      <c r="AV103" s="615">
        <v>7</v>
      </c>
      <c r="AY103" s="651" t="s">
        <v>1229</v>
      </c>
      <c r="AZ103" s="74" t="s">
        <v>181</v>
      </c>
      <c r="BA103" s="71" t="s">
        <v>1230</v>
      </c>
      <c r="BB103" s="72">
        <f>IFERROR(COL_H126[[#This Row],[H]]/COL_H126[[#This Row],[AB]],0)</f>
        <v>0.28965517241379313</v>
      </c>
      <c r="BC103" s="72">
        <f>IFERROR((COL_H126[[#This Row],[BB]]+COL_H126[[#This Row],[H]])/(COL_H126[[#This Row],[BB]]+COL_H126[[#This Row],[AB]]),0)</f>
        <v>0.36024844720496896</v>
      </c>
      <c r="BD103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0.48965517241379308</v>
      </c>
      <c r="BE103" s="28">
        <v>40</v>
      </c>
      <c r="BF103" s="28">
        <v>145</v>
      </c>
      <c r="BG103" s="28">
        <v>19</v>
      </c>
      <c r="BH103" s="28">
        <v>42</v>
      </c>
      <c r="BI103" s="28">
        <v>6</v>
      </c>
      <c r="BJ103" s="28">
        <v>1</v>
      </c>
      <c r="BK103" s="28">
        <v>7</v>
      </c>
      <c r="BL103" s="28">
        <v>24</v>
      </c>
      <c r="BM103" s="28">
        <v>16</v>
      </c>
      <c r="BN103" s="74">
        <v>39</v>
      </c>
      <c r="BO103" s="28">
        <v>1</v>
      </c>
      <c r="BP103" s="28">
        <v>0</v>
      </c>
      <c r="BQ103" s="74">
        <v>11</v>
      </c>
      <c r="BR103" s="28">
        <f>(COL_H126[[#This Row],[H]]-COL_H126[[#This Row],[2B]]-COL_H126[[#This Row],[3B]]-COL_H126[[#This Row],[HR]])+(COL_H126[[#This Row],[2B]]*2)+(COL_H126[[#This Row],[3B]]*3)+(COL_H126[[#This Row],[HR]]*4)</f>
        <v>71</v>
      </c>
      <c r="BS103" s="72">
        <f>IFERROR(COL_H126[[#This Row],[OBP]]+COL_H126[[#This Row],[SLG]],0)</f>
        <v>0.84990361961876204</v>
      </c>
      <c r="BT103" s="74">
        <v>3</v>
      </c>
      <c r="BU103" s="615">
        <v>7</v>
      </c>
    </row>
    <row r="104" spans="1:73">
      <c r="A104" s="651" t="s">
        <v>1229</v>
      </c>
      <c r="B104" s="71" t="s">
        <v>166</v>
      </c>
      <c r="C104" s="71" t="s">
        <v>1237</v>
      </c>
      <c r="D104" s="72">
        <f>IFERROR(COL_H[[#This Row],[H]]/COL_H[[#This Row],[AB]],0)</f>
        <v>0.25925925925925924</v>
      </c>
      <c r="E104" s="72">
        <f>IFERROR((COL_H[[#This Row],[H]]+COL_H[[#This Row],[BB]])/(COL_H[[#This Row],[BB]]+COL_H[[#This Row],[AB]]),0)</f>
        <v>0.31818181818181818</v>
      </c>
      <c r="F104" s="73">
        <f>IFERROR(((COL_H[[#This Row],[H]]-COL_H[[#This Row],[2B]]-COL_H[[#This Row],[3B]]-COL_H[[#This Row],[HR]])+(COL_H[[#This Row],[2B]]*2)+(COL_H[[#This Row],[3B]]*3)+(COL_H[[#This Row],[HR]]*4))/COL_H[[#This Row],[AB]],0)</f>
        <v>0.40123456790123457</v>
      </c>
      <c r="G104" s="28">
        <v>40</v>
      </c>
      <c r="H104" s="28">
        <v>162</v>
      </c>
      <c r="I104" s="28">
        <v>21</v>
      </c>
      <c r="J104" s="28">
        <v>42</v>
      </c>
      <c r="K104" s="28">
        <v>8</v>
      </c>
      <c r="L104" s="28">
        <v>0</v>
      </c>
      <c r="M104" s="28">
        <v>5</v>
      </c>
      <c r="N104" s="28">
        <v>17</v>
      </c>
      <c r="O104" s="28">
        <v>14</v>
      </c>
      <c r="P104" s="74">
        <v>34</v>
      </c>
      <c r="Q104" s="28">
        <v>0</v>
      </c>
      <c r="R104" s="28">
        <v>3</v>
      </c>
      <c r="S104" s="74">
        <v>5</v>
      </c>
      <c r="T104" s="28">
        <f>IFERROR((COL_H[[#This Row],[H]]-COL_H[[#This Row],[2B]]-COL_H[[#This Row],[3B]]-COL_H[[#This Row],[HR]])+(COL_H[[#This Row],[2B]]*2)+(COL_H[[#This Row],[3B]]*3)+(COL_H[[#This Row],[HR]]*4),0)</f>
        <v>65</v>
      </c>
      <c r="U104" s="72">
        <f>COL_H[[#This Row],[OBP]]+COL_H[[#This Row],[SLG]]</f>
        <v>0.71941638608305269</v>
      </c>
      <c r="V104" s="74">
        <v>2</v>
      </c>
      <c r="W104" s="615">
        <v>8</v>
      </c>
      <c r="Z104" s="651" t="s">
        <v>1229</v>
      </c>
      <c r="AA104" s="71" t="s">
        <v>166</v>
      </c>
      <c r="AB104" s="71" t="s">
        <v>1234</v>
      </c>
      <c r="AC104" s="72">
        <f>IFERROR(COL_H103[[#This Row],[H]]/COL_H103[[#This Row],[AB]],0)</f>
        <v>0.22929936305732485</v>
      </c>
      <c r="AD104" s="72">
        <f>IFERROR((COL_H103[[#This Row],[H]]+COL_H103[[#This Row],[BB]])/(COL_H103[[#This Row],[BB]]+COL_H103[[#This Row],[AB]]),0)</f>
        <v>0.27976190476190477</v>
      </c>
      <c r="AE104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0.4140127388535032</v>
      </c>
      <c r="AF104" s="28">
        <v>39</v>
      </c>
      <c r="AG104" s="28">
        <v>157</v>
      </c>
      <c r="AH104" s="28">
        <v>14</v>
      </c>
      <c r="AI104" s="28">
        <v>36</v>
      </c>
      <c r="AJ104" s="28">
        <v>12</v>
      </c>
      <c r="AK104" s="28">
        <v>1</v>
      </c>
      <c r="AL104" s="28">
        <v>5</v>
      </c>
      <c r="AM104" s="28">
        <v>23</v>
      </c>
      <c r="AN104" s="28">
        <v>11</v>
      </c>
      <c r="AO104" s="74">
        <v>33</v>
      </c>
      <c r="AP104" s="28">
        <v>0</v>
      </c>
      <c r="AQ104" s="28">
        <v>1</v>
      </c>
      <c r="AR104" s="74">
        <v>7</v>
      </c>
      <c r="AS104" s="28">
        <f>IFERROR((COL_H103[[#This Row],[H]]-COL_H103[[#This Row],[2B]]-COL_H103[[#This Row],[3B]]-COL_H103[[#This Row],[HR]])+(COL_H103[[#This Row],[2B]]*2)+(COL_H103[[#This Row],[3B]]*3)+(COL_H103[[#This Row],[HR]]*4),0)</f>
        <v>65</v>
      </c>
      <c r="AT104" s="72">
        <f>COL_H103[[#This Row],[OBP]]+COL_H103[[#This Row],[SLG]]</f>
        <v>0.69377464361540797</v>
      </c>
      <c r="AU104" s="74">
        <v>1</v>
      </c>
      <c r="AV104" s="615">
        <v>8</v>
      </c>
      <c r="AY104" s="651" t="s">
        <v>1229</v>
      </c>
      <c r="AZ104" s="74" t="s">
        <v>166</v>
      </c>
      <c r="BA104" s="71" t="s">
        <v>1237</v>
      </c>
      <c r="BB104" s="72">
        <f>IFERROR(COL_H126[[#This Row],[H]]/COL_H126[[#This Row],[AB]],0)</f>
        <v>0.23841059602649006</v>
      </c>
      <c r="BC104" s="72">
        <f>IFERROR((COL_H126[[#This Row],[BB]]+COL_H126[[#This Row],[H]])/(COL_H126[[#This Row],[BB]]+COL_H126[[#This Row],[AB]]),0)</f>
        <v>0.27672955974842767</v>
      </c>
      <c r="BD104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0.37086092715231789</v>
      </c>
      <c r="BE104" s="28">
        <v>38</v>
      </c>
      <c r="BF104" s="28">
        <v>151</v>
      </c>
      <c r="BG104" s="28">
        <v>18</v>
      </c>
      <c r="BH104" s="28">
        <v>36</v>
      </c>
      <c r="BI104" s="28">
        <v>6</v>
      </c>
      <c r="BJ104" s="28">
        <v>1</v>
      </c>
      <c r="BK104" s="28">
        <v>4</v>
      </c>
      <c r="BL104" s="28">
        <v>18</v>
      </c>
      <c r="BM104" s="28">
        <v>8</v>
      </c>
      <c r="BN104" s="74">
        <v>37</v>
      </c>
      <c r="BO104" s="28">
        <v>0</v>
      </c>
      <c r="BP104" s="28">
        <v>2</v>
      </c>
      <c r="BQ104" s="74">
        <v>6</v>
      </c>
      <c r="BR104" s="28">
        <f>(COL_H126[[#This Row],[H]]-COL_H126[[#This Row],[2B]]-COL_H126[[#This Row],[3B]]-COL_H126[[#This Row],[HR]])+(COL_H126[[#This Row],[2B]]*2)+(COL_H126[[#This Row],[3B]]*3)+(COL_H126[[#This Row],[HR]]*4)</f>
        <v>56</v>
      </c>
      <c r="BS104" s="72">
        <f>IFERROR(COL_H126[[#This Row],[OBP]]+COL_H126[[#This Row],[SLG]],0)</f>
        <v>0.64759048690074561</v>
      </c>
      <c r="BT104" s="74">
        <v>1</v>
      </c>
      <c r="BU104" s="615">
        <v>8</v>
      </c>
    </row>
    <row r="105" spans="1:73">
      <c r="A105" s="651" t="s">
        <v>1229</v>
      </c>
      <c r="B105" s="77" t="s">
        <v>168</v>
      </c>
      <c r="C105" s="71" t="s">
        <v>1243</v>
      </c>
      <c r="D105" s="72">
        <f>IFERROR(COL_H[[#This Row],[H]]/COL_H[[#This Row],[AB]],0)</f>
        <v>0.18421052631578946</v>
      </c>
      <c r="E105" s="72">
        <f>IFERROR((COL_H[[#This Row],[H]]+COL_H[[#This Row],[BB]])/(COL_H[[#This Row],[BB]]+COL_H[[#This Row],[AB]]),0)</f>
        <v>0.24390243902439024</v>
      </c>
      <c r="F105" s="73">
        <f>IFERROR(((COL_H[[#This Row],[H]]-COL_H[[#This Row],[2B]]-COL_H[[#This Row],[3B]]-COL_H[[#This Row],[HR]])+(COL_H[[#This Row],[2B]]*2)+(COL_H[[#This Row],[3B]]*3)+(COL_H[[#This Row],[HR]]*4))/COL_H[[#This Row],[AB]],0)</f>
        <v>0.27631578947368424</v>
      </c>
      <c r="G105" s="28">
        <v>22</v>
      </c>
      <c r="H105" s="28">
        <v>76</v>
      </c>
      <c r="I105" s="28">
        <v>10</v>
      </c>
      <c r="J105" s="28">
        <v>14</v>
      </c>
      <c r="K105" s="28">
        <v>1</v>
      </c>
      <c r="L105" s="28">
        <v>0</v>
      </c>
      <c r="M105" s="28">
        <v>2</v>
      </c>
      <c r="N105" s="28">
        <v>8</v>
      </c>
      <c r="O105" s="28">
        <v>6</v>
      </c>
      <c r="P105" s="74">
        <v>24</v>
      </c>
      <c r="Q105" s="28">
        <v>0</v>
      </c>
      <c r="R105" s="28">
        <v>0</v>
      </c>
      <c r="S105" s="74">
        <v>3</v>
      </c>
      <c r="T105" s="28">
        <f>IFERROR((COL_H[[#This Row],[H]]-COL_H[[#This Row],[2B]]-COL_H[[#This Row],[3B]]-COL_H[[#This Row],[HR]])+(COL_H[[#This Row],[2B]]*2)+(COL_H[[#This Row],[3B]]*3)+(COL_H[[#This Row],[HR]]*4),0)</f>
        <v>21</v>
      </c>
      <c r="U105" s="72">
        <f>COL_H[[#This Row],[OBP]]+COL_H[[#This Row],[SLG]]</f>
        <v>0.52021822849807453</v>
      </c>
      <c r="V105" s="74">
        <v>0</v>
      </c>
      <c r="W105" s="615">
        <v>9</v>
      </c>
      <c r="Z105" s="651" t="s">
        <v>1229</v>
      </c>
      <c r="AA105" s="71" t="s">
        <v>168</v>
      </c>
      <c r="AB105" s="71" t="s">
        <v>1233</v>
      </c>
      <c r="AC105" s="72">
        <f>IFERROR(COL_H103[[#This Row],[H]]/COL_H103[[#This Row],[AB]],0)</f>
        <v>0.25563909774436089</v>
      </c>
      <c r="AD105" s="72">
        <f>IFERROR((COL_H103[[#This Row],[H]]+COL_H103[[#This Row],[BB]])/(COL_H103[[#This Row],[BB]]+COL_H103[[#This Row],[AB]]),0)</f>
        <v>0.34868421052631576</v>
      </c>
      <c r="AE105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0.45112781954887216</v>
      </c>
      <c r="AF105" s="28">
        <v>37</v>
      </c>
      <c r="AG105" s="28">
        <v>133</v>
      </c>
      <c r="AH105" s="28">
        <v>14</v>
      </c>
      <c r="AI105" s="28">
        <v>34</v>
      </c>
      <c r="AJ105" s="28">
        <v>5</v>
      </c>
      <c r="AK105" s="28">
        <v>0</v>
      </c>
      <c r="AL105" s="28">
        <v>7</v>
      </c>
      <c r="AM105" s="28">
        <v>17</v>
      </c>
      <c r="AN105" s="28">
        <v>19</v>
      </c>
      <c r="AO105" s="74">
        <v>39</v>
      </c>
      <c r="AP105" s="28">
        <v>0</v>
      </c>
      <c r="AQ105" s="28">
        <v>0</v>
      </c>
      <c r="AR105" s="74">
        <v>9</v>
      </c>
      <c r="AS105" s="28">
        <f>IFERROR((COL_H103[[#This Row],[H]]-COL_H103[[#This Row],[2B]]-COL_H103[[#This Row],[3B]]-COL_H103[[#This Row],[HR]])+(COL_H103[[#This Row],[2B]]*2)+(COL_H103[[#This Row],[3B]]*3)+(COL_H103[[#This Row],[HR]]*4),0)</f>
        <v>60</v>
      </c>
      <c r="AT105" s="72">
        <f>COL_H103[[#This Row],[OBP]]+COL_H103[[#This Row],[SLG]]</f>
        <v>0.79981203007518786</v>
      </c>
      <c r="AU105" s="74">
        <v>1</v>
      </c>
      <c r="AV105" s="615">
        <v>9</v>
      </c>
      <c r="AY105" s="651" t="s">
        <v>1229</v>
      </c>
      <c r="AZ105" s="74" t="s">
        <v>168</v>
      </c>
      <c r="BA105" s="71" t="s">
        <v>1238</v>
      </c>
      <c r="BB105" s="72">
        <f>IFERROR(COL_H126[[#This Row],[H]]/COL_H126[[#This Row],[AB]],0)</f>
        <v>0.24444444444444444</v>
      </c>
      <c r="BC105" s="72">
        <f>IFERROR((COL_H126[[#This Row],[BB]]+COL_H126[[#This Row],[H]])/(COL_H126[[#This Row],[BB]]+COL_H126[[#This Row],[AB]]),0)</f>
        <v>0.31543624161073824</v>
      </c>
      <c r="BD105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0.4</v>
      </c>
      <c r="BE105" s="28">
        <v>36</v>
      </c>
      <c r="BF105" s="28">
        <v>135</v>
      </c>
      <c r="BG105" s="28">
        <v>17</v>
      </c>
      <c r="BH105" s="28">
        <v>33</v>
      </c>
      <c r="BI105" s="28">
        <v>6</v>
      </c>
      <c r="BJ105" s="28">
        <v>0</v>
      </c>
      <c r="BK105" s="28">
        <v>5</v>
      </c>
      <c r="BL105" s="28">
        <v>12</v>
      </c>
      <c r="BM105" s="28">
        <v>14</v>
      </c>
      <c r="BN105" s="74">
        <v>25</v>
      </c>
      <c r="BO105" s="28">
        <v>0</v>
      </c>
      <c r="BP105" s="28">
        <v>0</v>
      </c>
      <c r="BQ105" s="74">
        <v>6</v>
      </c>
      <c r="BR105" s="28">
        <f>(COL_H126[[#This Row],[H]]-COL_H126[[#This Row],[2B]]-COL_H126[[#This Row],[3B]]-COL_H126[[#This Row],[HR]])+(COL_H126[[#This Row],[2B]]*2)+(COL_H126[[#This Row],[3B]]*3)+(COL_H126[[#This Row],[HR]]*4)</f>
        <v>54</v>
      </c>
      <c r="BS105" s="72">
        <f>IFERROR(COL_H126[[#This Row],[OBP]]+COL_H126[[#This Row],[SLG]],0)</f>
        <v>0.71543624161073827</v>
      </c>
      <c r="BT105" s="74">
        <v>3</v>
      </c>
      <c r="BU105" s="615">
        <v>9</v>
      </c>
    </row>
    <row r="106" spans="1:73">
      <c r="A106" s="651" t="s">
        <v>1229</v>
      </c>
      <c r="B106" s="71" t="s">
        <v>179</v>
      </c>
      <c r="C106" s="71" t="s">
        <v>1241</v>
      </c>
      <c r="D106" s="72">
        <f>IFERROR(COL_H[[#This Row],[H]]/COL_H[[#This Row],[AB]],0)</f>
        <v>0.21621621621621623</v>
      </c>
      <c r="E106" s="72">
        <f>IFERROR((COL_H[[#This Row],[H]]+COL_H[[#This Row],[BB]])/(COL_H[[#This Row],[BB]]+COL_H[[#This Row],[AB]]),0)</f>
        <v>0.30952380952380953</v>
      </c>
      <c r="F106" s="73">
        <f>IFERROR(((COL_H[[#This Row],[H]]-COL_H[[#This Row],[2B]]-COL_H[[#This Row],[3B]]-COL_H[[#This Row],[HR]])+(COL_H[[#This Row],[2B]]*2)+(COL_H[[#This Row],[3B]]*3)+(COL_H[[#This Row],[HR]]*4))/COL_H[[#This Row],[AB]],0)</f>
        <v>0.35135135135135137</v>
      </c>
      <c r="G106" s="28">
        <v>10</v>
      </c>
      <c r="H106" s="28">
        <v>37</v>
      </c>
      <c r="I106" s="28">
        <v>1</v>
      </c>
      <c r="J106" s="28">
        <v>8</v>
      </c>
      <c r="K106" s="28">
        <v>2</v>
      </c>
      <c r="L106" s="28">
        <v>0</v>
      </c>
      <c r="M106" s="28">
        <v>1</v>
      </c>
      <c r="N106" s="28">
        <v>2</v>
      </c>
      <c r="O106" s="28">
        <v>5</v>
      </c>
      <c r="P106" s="74">
        <v>19</v>
      </c>
      <c r="Q106" s="28">
        <v>0</v>
      </c>
      <c r="R106" s="28">
        <v>0</v>
      </c>
      <c r="S106" s="74">
        <v>2</v>
      </c>
      <c r="T106" s="28">
        <f>IFERROR((COL_H[[#This Row],[H]]-COL_H[[#This Row],[2B]]-COL_H[[#This Row],[3B]]-COL_H[[#This Row],[HR]])+(COL_H[[#This Row],[2B]]*2)+(COL_H[[#This Row],[3B]]*3)+(COL_H[[#This Row],[HR]]*4),0)</f>
        <v>13</v>
      </c>
      <c r="U106" s="72">
        <f>COL_H[[#This Row],[OBP]]+COL_H[[#This Row],[SLG]]</f>
        <v>0.66087516087516085</v>
      </c>
      <c r="V106" s="74">
        <v>1</v>
      </c>
      <c r="W106" s="615">
        <v>10</v>
      </c>
      <c r="Z106" s="651" t="s">
        <v>1229</v>
      </c>
      <c r="AA106" s="71" t="s">
        <v>179</v>
      </c>
      <c r="AB106" s="71" t="s">
        <v>1248</v>
      </c>
      <c r="AC106" s="72">
        <f>IFERROR(COL_H103[[#This Row],[H]]/COL_H103[[#This Row],[AB]],0)</f>
        <v>0</v>
      </c>
      <c r="AD106" s="72">
        <f>IFERROR((COL_H103[[#This Row],[H]]+COL_H103[[#This Row],[BB]])/(COL_H103[[#This Row],[BB]]+COL_H103[[#This Row],[AB]]),0)</f>
        <v>0</v>
      </c>
      <c r="AE106" s="73">
        <f>IFERROR(((COL_H103[[#This Row],[H]]-COL_H103[[#This Row],[2B]]-COL_H103[[#This Row],[3B]]-COL_H103[[#This Row],[HR]])+(COL_H103[[#This Row],[2B]]*2)+(COL_H103[[#This Row],[3B]]*3)+(COL_H103[[#This Row],[HR]]*4))/COL_H103[[#This Row],[AB]],0)</f>
        <v>0</v>
      </c>
      <c r="AF106" s="28">
        <v>2</v>
      </c>
      <c r="AG106" s="28">
        <v>6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74">
        <v>2</v>
      </c>
      <c r="AP106" s="28">
        <v>0</v>
      </c>
      <c r="AQ106" s="28">
        <v>0</v>
      </c>
      <c r="AR106" s="74">
        <v>0</v>
      </c>
      <c r="AS106" s="28">
        <f>IFERROR((COL_H103[[#This Row],[H]]-COL_H103[[#This Row],[2B]]-COL_H103[[#This Row],[3B]]-COL_H103[[#This Row],[HR]])+(COL_H103[[#This Row],[2B]]*2)+(COL_H103[[#This Row],[3B]]*3)+(COL_H103[[#This Row],[HR]]*4),0)</f>
        <v>0</v>
      </c>
      <c r="AT106" s="72">
        <f>COL_H103[[#This Row],[OBP]]+COL_H103[[#This Row],[SLG]]</f>
        <v>0</v>
      </c>
      <c r="AU106" s="74">
        <v>0</v>
      </c>
      <c r="AV106" s="615">
        <v>10</v>
      </c>
      <c r="AY106" s="651" t="s">
        <v>1229</v>
      </c>
      <c r="AZ106" s="74" t="s">
        <v>179</v>
      </c>
      <c r="BA106" s="71" t="s">
        <v>1248</v>
      </c>
      <c r="BB106" s="72">
        <f>IFERROR(COL_H126[[#This Row],[H]]/COL_H126[[#This Row],[AB]],0)</f>
        <v>0.14492753623188406</v>
      </c>
      <c r="BC106" s="72">
        <f>IFERROR((COL_H126[[#This Row],[BB]]+COL_H126[[#This Row],[H]])/(COL_H126[[#This Row],[BB]]+COL_H126[[#This Row],[AB]]),0)</f>
        <v>0.23376623376623376</v>
      </c>
      <c r="BD106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0.20289855072463769</v>
      </c>
      <c r="BE106" s="28">
        <v>26</v>
      </c>
      <c r="BF106" s="28">
        <v>69</v>
      </c>
      <c r="BG106" s="28">
        <v>8</v>
      </c>
      <c r="BH106" s="28">
        <v>10</v>
      </c>
      <c r="BI106" s="28">
        <v>1</v>
      </c>
      <c r="BJ106" s="28">
        <v>0</v>
      </c>
      <c r="BK106" s="28">
        <v>1</v>
      </c>
      <c r="BL106" s="28">
        <v>1</v>
      </c>
      <c r="BM106" s="28">
        <v>8</v>
      </c>
      <c r="BN106" s="74">
        <v>30</v>
      </c>
      <c r="BO106" s="28">
        <v>0</v>
      </c>
      <c r="BP106" s="28">
        <v>1</v>
      </c>
      <c r="BQ106" s="74">
        <v>3</v>
      </c>
      <c r="BR106" s="28">
        <f>(COL_H126[[#This Row],[H]]-COL_H126[[#This Row],[2B]]-COL_H126[[#This Row],[3B]]-COL_H126[[#This Row],[HR]])+(COL_H126[[#This Row],[2B]]*2)+(COL_H126[[#This Row],[3B]]*3)+(COL_H126[[#This Row],[HR]]*4)</f>
        <v>14</v>
      </c>
      <c r="BS106" s="72">
        <f>IFERROR(COL_H126[[#This Row],[OBP]]+COL_H126[[#This Row],[SLG]],0)</f>
        <v>0.43666478449087143</v>
      </c>
      <c r="BT106" s="74">
        <v>0</v>
      </c>
      <c r="BU106" s="615">
        <v>10</v>
      </c>
    </row>
    <row r="107" spans="1:73">
      <c r="A107" s="651" t="s">
        <v>1229</v>
      </c>
      <c r="B107" s="71" t="s">
        <v>187</v>
      </c>
      <c r="C107" s="71" t="s">
        <v>1235</v>
      </c>
      <c r="D107" s="72">
        <f>IFERROR(COL_H[[#This Row],[H]]/COL_H[[#This Row],[AB]],0)</f>
        <v>0.28888888888888886</v>
      </c>
      <c r="E107" s="72">
        <f>IFERROR((COL_H[[#This Row],[H]]+COL_H[[#This Row],[BB]])/(COL_H[[#This Row],[BB]]+COL_H[[#This Row],[AB]]),0)</f>
        <v>0.33333333333333331</v>
      </c>
      <c r="F107" s="73">
        <f>IFERROR(((COL_H[[#This Row],[H]]-COL_H[[#This Row],[2B]]-COL_H[[#This Row],[3B]]-COL_H[[#This Row],[HR]])+(COL_H[[#This Row],[2B]]*2)+(COL_H[[#This Row],[3B]]*3)+(COL_H[[#This Row],[HR]]*4))/COL_H[[#This Row],[AB]],0)</f>
        <v>0.37777777777777777</v>
      </c>
      <c r="G107" s="28">
        <v>12</v>
      </c>
      <c r="H107" s="28">
        <v>45</v>
      </c>
      <c r="I107" s="28">
        <v>4</v>
      </c>
      <c r="J107" s="28">
        <v>13</v>
      </c>
      <c r="K107" s="28">
        <v>4</v>
      </c>
      <c r="L107" s="28">
        <v>0</v>
      </c>
      <c r="M107" s="28">
        <v>0</v>
      </c>
      <c r="N107" s="28">
        <v>4</v>
      </c>
      <c r="O107" s="28">
        <v>3</v>
      </c>
      <c r="P107" s="74">
        <v>9</v>
      </c>
      <c r="Q107" s="28">
        <v>0</v>
      </c>
      <c r="R107" s="28">
        <v>0</v>
      </c>
      <c r="S107" s="74">
        <v>4</v>
      </c>
      <c r="T107" s="28">
        <f>IFERROR((COL_H[[#This Row],[H]]-COL_H[[#This Row],[2B]]-COL_H[[#This Row],[3B]]-COL_H[[#This Row],[HR]])+(COL_H[[#This Row],[2B]]*2)+(COL_H[[#This Row],[3B]]*3)+(COL_H[[#This Row],[HR]]*4),0)</f>
        <v>17</v>
      </c>
      <c r="U107" s="72">
        <f>COL_H[[#This Row],[OBP]]+COL_H[[#This Row],[SLG]]</f>
        <v>0.71111111111111103</v>
      </c>
      <c r="V107" s="74">
        <v>0</v>
      </c>
      <c r="W107" s="615">
        <v>11</v>
      </c>
      <c r="Z107" s="651" t="s">
        <v>1229</v>
      </c>
      <c r="AA107" s="71" t="s">
        <v>192</v>
      </c>
      <c r="AB107" s="71" t="s">
        <v>1246</v>
      </c>
      <c r="AC107" s="72">
        <f>IFERROR(COL_H103[[#This Row],[H]]/COL_H103[[#This Row],[AB]],0)</f>
        <v>0.375</v>
      </c>
      <c r="AD107" s="72">
        <f>IFERROR((COL_H103[[#This Row],[H]]+COL_H103[[#This Row],[BB]])/(COL_H103[[#This Row],[BB]]+COL_H103[[#This Row],[AB]]),0)</f>
        <v>0.375</v>
      </c>
      <c r="AE107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0.5</v>
      </c>
      <c r="AF107" s="28">
        <v>2</v>
      </c>
      <c r="AG107" s="28">
        <v>8</v>
      </c>
      <c r="AH107" s="28">
        <v>0</v>
      </c>
      <c r="AI107" s="28">
        <v>3</v>
      </c>
      <c r="AJ107" s="28">
        <v>1</v>
      </c>
      <c r="AK107" s="28">
        <v>0</v>
      </c>
      <c r="AL107" s="28">
        <v>0</v>
      </c>
      <c r="AM107" s="28">
        <v>2</v>
      </c>
      <c r="AN107" s="28">
        <v>0</v>
      </c>
      <c r="AO107" s="74">
        <v>1</v>
      </c>
      <c r="AP107" s="28">
        <v>0</v>
      </c>
      <c r="AQ107" s="28">
        <v>2</v>
      </c>
      <c r="AR107" s="74">
        <v>2</v>
      </c>
      <c r="AS107" s="28">
        <f>IFERROR((COL_H103[[#This Row],[H]]-COL_H103[[#This Row],[2B]]-COL_H103[[#This Row],[3B]]-COL_H103[[#This Row],[HR]])+(COL_H103[[#This Row],[2B]]*2)+(COL_H103[[#This Row],[3B]]*3)+(COL_H103[[#This Row],[HR]]*4),0)</f>
        <v>4</v>
      </c>
      <c r="AT107" s="72">
        <f>COL_H103[[#This Row],[OBP]]+COL_H103[[#This Row],[SLG]]</f>
        <v>0.875</v>
      </c>
      <c r="AU107" s="74">
        <v>0</v>
      </c>
      <c r="AV107" s="615">
        <v>11</v>
      </c>
      <c r="AY107" s="651" t="s">
        <v>1229</v>
      </c>
      <c r="AZ107" s="74" t="s">
        <v>187</v>
      </c>
      <c r="BA107" s="71" t="s">
        <v>1247</v>
      </c>
      <c r="BB107" s="72">
        <f>IFERROR(COL_H126[[#This Row],[H]]/COL_H126[[#This Row],[AB]],0)</f>
        <v>0.19607843137254902</v>
      </c>
      <c r="BC107" s="72">
        <f>IFERROR((COL_H126[[#This Row],[BB]]+COL_H126[[#This Row],[H]])/(COL_H126[[#This Row],[BB]]+COL_H126[[#This Row],[AB]]),0)</f>
        <v>0.22641509433962265</v>
      </c>
      <c r="BD107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0.33333333333333331</v>
      </c>
      <c r="BE107" s="28">
        <v>19</v>
      </c>
      <c r="BF107" s="28">
        <v>51</v>
      </c>
      <c r="BG107" s="28">
        <v>4</v>
      </c>
      <c r="BH107" s="28">
        <v>10</v>
      </c>
      <c r="BI107" s="28">
        <v>1</v>
      </c>
      <c r="BJ107" s="28">
        <v>0</v>
      </c>
      <c r="BK107" s="28">
        <v>2</v>
      </c>
      <c r="BL107" s="28">
        <v>6</v>
      </c>
      <c r="BM107" s="28">
        <v>2</v>
      </c>
      <c r="BN107" s="74">
        <v>8</v>
      </c>
      <c r="BO107" s="28">
        <v>0</v>
      </c>
      <c r="BP107" s="28">
        <v>0</v>
      </c>
      <c r="BQ107" s="74">
        <v>2</v>
      </c>
      <c r="BR107" s="28">
        <f>(COL_H126[[#This Row],[H]]-COL_H126[[#This Row],[2B]]-COL_H126[[#This Row],[3B]]-COL_H126[[#This Row],[HR]])+(COL_H126[[#This Row],[2B]]*2)+(COL_H126[[#This Row],[3B]]*3)+(COL_H126[[#This Row],[HR]]*4)</f>
        <v>17</v>
      </c>
      <c r="BS107" s="72">
        <f>IFERROR(COL_H126[[#This Row],[OBP]]+COL_H126[[#This Row],[SLG]],0)</f>
        <v>0.55974842767295596</v>
      </c>
      <c r="BT107" s="74">
        <v>0</v>
      </c>
      <c r="BU107" s="615">
        <v>11</v>
      </c>
    </row>
    <row r="108" spans="1:73">
      <c r="A108" s="651" t="s">
        <v>1229</v>
      </c>
      <c r="B108" s="71" t="s">
        <v>187</v>
      </c>
      <c r="C108" s="71" t="s">
        <v>1238</v>
      </c>
      <c r="D108" s="72">
        <f>IFERROR(COL_H[[#This Row],[H]]/COL_H[[#This Row],[AB]],0)</f>
        <v>0.21428571428571427</v>
      </c>
      <c r="E108" s="72">
        <f>IFERROR((COL_H[[#This Row],[H]]+COL_H[[#This Row],[BB]])/(COL_H[[#This Row],[BB]]+COL_H[[#This Row],[AB]]),0)</f>
        <v>0.3125</v>
      </c>
      <c r="F108" s="73">
        <f>IFERROR(((COL_H[[#This Row],[H]]-COL_H[[#This Row],[2B]]-COL_H[[#This Row],[3B]]-COL_H[[#This Row],[HR]])+(COL_H[[#This Row],[2B]]*2)+(COL_H[[#This Row],[3B]]*3)+(COL_H[[#This Row],[HR]]*4))/COL_H[[#This Row],[AB]],0)</f>
        <v>0.33333333333333331</v>
      </c>
      <c r="G108" s="28">
        <v>12</v>
      </c>
      <c r="H108" s="28">
        <v>42</v>
      </c>
      <c r="I108" s="28">
        <v>6</v>
      </c>
      <c r="J108" s="28">
        <v>9</v>
      </c>
      <c r="K108" s="28">
        <v>2</v>
      </c>
      <c r="L108" s="28">
        <v>0</v>
      </c>
      <c r="M108" s="28">
        <v>1</v>
      </c>
      <c r="N108" s="28">
        <v>3</v>
      </c>
      <c r="O108" s="28">
        <v>6</v>
      </c>
      <c r="P108" s="74">
        <v>9</v>
      </c>
      <c r="Q108" s="28">
        <v>0</v>
      </c>
      <c r="R108" s="28">
        <v>0</v>
      </c>
      <c r="S108" s="74">
        <v>5</v>
      </c>
      <c r="T108" s="28">
        <f>IFERROR((COL_H[[#This Row],[H]]-COL_H[[#This Row],[2B]]-COL_H[[#This Row],[3B]]-COL_H[[#This Row],[HR]])+(COL_H[[#This Row],[2B]]*2)+(COL_H[[#This Row],[3B]]*3)+(COL_H[[#This Row],[HR]]*4),0)</f>
        <v>14</v>
      </c>
      <c r="U108" s="72">
        <f>COL_H[[#This Row],[OBP]]+COL_H[[#This Row],[SLG]]</f>
        <v>0.64583333333333326</v>
      </c>
      <c r="V108" s="74">
        <v>0</v>
      </c>
      <c r="W108" s="615">
        <v>12</v>
      </c>
      <c r="Z108" s="651" t="s">
        <v>1229</v>
      </c>
      <c r="AA108" s="71" t="s">
        <v>186</v>
      </c>
      <c r="AB108" s="71" t="s">
        <v>1237</v>
      </c>
      <c r="AC108" s="72">
        <f>IFERROR(COL_H103[[#This Row],[H]]/COL_H103[[#This Row],[AB]],0)</f>
        <v>0.20161290322580644</v>
      </c>
      <c r="AD108" s="72">
        <f>IFERROR((COL_H103[[#This Row],[H]]+COL_H103[[#This Row],[BB]])/(COL_H103[[#This Row],[BB]]+COL_H103[[#This Row],[AB]]),0)</f>
        <v>0.24427480916030533</v>
      </c>
      <c r="AE108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0.32258064516129031</v>
      </c>
      <c r="AF108" s="28">
        <v>29</v>
      </c>
      <c r="AG108" s="28">
        <v>124</v>
      </c>
      <c r="AH108" s="28">
        <v>13</v>
      </c>
      <c r="AI108" s="28">
        <v>25</v>
      </c>
      <c r="AJ108" s="28">
        <v>6</v>
      </c>
      <c r="AK108" s="28">
        <v>3</v>
      </c>
      <c r="AL108" s="28">
        <v>1</v>
      </c>
      <c r="AM108" s="28">
        <v>12</v>
      </c>
      <c r="AN108" s="28">
        <v>7</v>
      </c>
      <c r="AO108" s="74">
        <v>32</v>
      </c>
      <c r="AP108" s="28">
        <v>0</v>
      </c>
      <c r="AQ108" s="28">
        <v>0</v>
      </c>
      <c r="AR108" s="74">
        <v>4</v>
      </c>
      <c r="AS108" s="28">
        <f>IFERROR((COL_H103[[#This Row],[H]]-COL_H103[[#This Row],[2B]]-COL_H103[[#This Row],[3B]]-COL_H103[[#This Row],[HR]])+(COL_H103[[#This Row],[2B]]*2)+(COL_H103[[#This Row],[3B]]*3)+(COL_H103[[#This Row],[HR]]*4),0)</f>
        <v>40</v>
      </c>
      <c r="AT108" s="72">
        <f>COL_H103[[#This Row],[OBP]]+COL_H103[[#This Row],[SLG]]</f>
        <v>0.56685545432159568</v>
      </c>
      <c r="AU108" s="74">
        <v>2</v>
      </c>
      <c r="AV108" s="615">
        <v>12</v>
      </c>
      <c r="AY108" s="651" t="s">
        <v>1229</v>
      </c>
      <c r="AZ108" s="74" t="s">
        <v>186</v>
      </c>
      <c r="BA108" s="71" t="s">
        <v>1245</v>
      </c>
      <c r="BB108" s="72">
        <f>IFERROR(COL_H126[[#This Row],[H]]/COL_H126[[#This Row],[AB]],0)</f>
        <v>0.26415094339622641</v>
      </c>
      <c r="BC108" s="72">
        <f>IFERROR((COL_H126[[#This Row],[BB]]+COL_H126[[#This Row],[H]])/(COL_H126[[#This Row],[BB]]+COL_H126[[#This Row],[AB]]),0)</f>
        <v>0.32758620689655171</v>
      </c>
      <c r="BD108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0.45283018867924529</v>
      </c>
      <c r="BE108" s="28">
        <v>18</v>
      </c>
      <c r="BF108" s="28">
        <v>53</v>
      </c>
      <c r="BG108" s="28">
        <v>6</v>
      </c>
      <c r="BH108" s="28">
        <v>14</v>
      </c>
      <c r="BI108" s="28">
        <v>4</v>
      </c>
      <c r="BJ108" s="28">
        <v>0</v>
      </c>
      <c r="BK108" s="28">
        <v>2</v>
      </c>
      <c r="BL108" s="28">
        <v>9</v>
      </c>
      <c r="BM108" s="28">
        <v>5</v>
      </c>
      <c r="BN108" s="74">
        <v>18</v>
      </c>
      <c r="BO108" s="28">
        <v>0</v>
      </c>
      <c r="BP108" s="28">
        <v>3</v>
      </c>
      <c r="BQ108" s="74">
        <v>3</v>
      </c>
      <c r="BR108" s="28">
        <f>(COL_H126[[#This Row],[H]]-COL_H126[[#This Row],[2B]]-COL_H126[[#This Row],[3B]]-COL_H126[[#This Row],[HR]])+(COL_H126[[#This Row],[2B]]*2)+(COL_H126[[#This Row],[3B]]*3)+(COL_H126[[#This Row],[HR]]*4)</f>
        <v>24</v>
      </c>
      <c r="BS108" s="72">
        <f>IFERROR(COL_H126[[#This Row],[OBP]]+COL_H126[[#This Row],[SLG]],0)</f>
        <v>0.78041639557579701</v>
      </c>
      <c r="BT108" s="74">
        <v>1</v>
      </c>
      <c r="BU108" s="615">
        <v>12</v>
      </c>
    </row>
    <row r="109" spans="1:73">
      <c r="A109" s="651" t="s">
        <v>1229</v>
      </c>
      <c r="B109" s="71" t="s">
        <v>187</v>
      </c>
      <c r="C109" s="71" t="s">
        <v>1246</v>
      </c>
      <c r="D109" s="72">
        <f>IFERROR(COL_H[[#This Row],[H]]/COL_H[[#This Row],[AB]],0)</f>
        <v>0</v>
      </c>
      <c r="E109" s="72">
        <f>IFERROR((COL_H[[#This Row],[H]]+COL_H[[#This Row],[BB]])/(COL_H[[#This Row],[BB]]+COL_H[[#This Row],[AB]]),0)</f>
        <v>0</v>
      </c>
      <c r="F109" s="73">
        <f>IFERROR(((COL_H[[#This Row],[H]]-COL_H[[#This Row],[2B]]-COL_H[[#This Row],[3B]]-COL_H[[#This Row],[HR]])+(COL_H[[#This Row],[2B]]*2)+(COL_H[[#This Row],[3B]]*3)+(COL_H[[#This Row],[HR]]*4))/COL_H[[#This Row],[AB]],0)</f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74">
        <v>0</v>
      </c>
      <c r="Q109" s="28">
        <v>0</v>
      </c>
      <c r="R109" s="28">
        <v>0</v>
      </c>
      <c r="S109" s="74">
        <v>0</v>
      </c>
      <c r="T109" s="28">
        <f>IFERROR((COL_H[[#This Row],[H]]-COL_H[[#This Row],[2B]]-COL_H[[#This Row],[3B]]-COL_H[[#This Row],[HR]])+(COL_H[[#This Row],[2B]]*2)+(COL_H[[#This Row],[3B]]*3)+(COL_H[[#This Row],[HR]]*4),0)</f>
        <v>0</v>
      </c>
      <c r="U109" s="72">
        <f>COL_H[[#This Row],[OBP]]+COL_H[[#This Row],[SLG]]</f>
        <v>0</v>
      </c>
      <c r="V109" s="74">
        <v>0</v>
      </c>
      <c r="W109" s="615">
        <v>13</v>
      </c>
      <c r="Z109" s="651" t="s">
        <v>1229</v>
      </c>
      <c r="AA109" s="71" t="s">
        <v>186</v>
      </c>
      <c r="AB109" s="71" t="s">
        <v>1242</v>
      </c>
      <c r="AC109" s="72">
        <f>IFERROR(COL_H103[[#This Row],[H]]/COL_H103[[#This Row],[AB]],0)</f>
        <v>0</v>
      </c>
      <c r="AD109" s="72">
        <f>IFERROR((COL_H103[[#This Row],[H]]+COL_H103[[#This Row],[BB]])/(COL_H103[[#This Row],[BB]]+COL_H103[[#This Row],[AB]]),0)</f>
        <v>7.6923076923076927E-2</v>
      </c>
      <c r="AE109" s="73">
        <f>IFERROR(((COL_H103[[#This Row],[H]]-COL_H103[[#This Row],[2B]]-COL_H103[[#This Row],[3B]]-COL_H103[[#This Row],[HR]])+(COL_H103[[#This Row],[2B]]*2)+(COL_H103[[#This Row],[3B]]*3)+(COL_H103[[#This Row],[HR]]*4))/COL_H103[[#This Row],[AB]],0)</f>
        <v>0</v>
      </c>
      <c r="AF109" s="28">
        <v>6</v>
      </c>
      <c r="AG109" s="28">
        <v>12</v>
      </c>
      <c r="AH109" s="28">
        <v>1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1</v>
      </c>
      <c r="AO109" s="74">
        <v>4</v>
      </c>
      <c r="AP109" s="28">
        <v>2</v>
      </c>
      <c r="AQ109" s="28">
        <v>0</v>
      </c>
      <c r="AR109" s="74">
        <v>1</v>
      </c>
      <c r="AS109" s="28">
        <f>IFERROR((COL_H103[[#This Row],[H]]-COL_H103[[#This Row],[2B]]-COL_H103[[#This Row],[3B]]-COL_H103[[#This Row],[HR]])+(COL_H103[[#This Row],[2B]]*2)+(COL_H103[[#This Row],[3B]]*3)+(COL_H103[[#This Row],[HR]]*4),0)</f>
        <v>0</v>
      </c>
      <c r="AT109" s="72">
        <f>COL_H103[[#This Row],[OBP]]+COL_H103[[#This Row],[SLG]]</f>
        <v>7.6923076923076927E-2</v>
      </c>
      <c r="AU109" s="74">
        <v>0</v>
      </c>
      <c r="AV109" s="615">
        <v>13</v>
      </c>
      <c r="AY109" s="651" t="s">
        <v>1229</v>
      </c>
      <c r="AZ109" s="74" t="s">
        <v>186</v>
      </c>
      <c r="BA109" s="71" t="s">
        <v>1244</v>
      </c>
      <c r="BB109" s="72">
        <f>IFERROR(COL_H126[[#This Row],[H]]/COL_H126[[#This Row],[AB]],0)</f>
        <v>0.38461538461538464</v>
      </c>
      <c r="BC109" s="72">
        <f>IFERROR((COL_H126[[#This Row],[BB]]+COL_H126[[#This Row],[H]])/(COL_H126[[#This Row],[BB]]+COL_H126[[#This Row],[AB]]),0)</f>
        <v>0.4</v>
      </c>
      <c r="BD109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0.71794871794871795</v>
      </c>
      <c r="BE109" s="28">
        <v>10</v>
      </c>
      <c r="BF109" s="28">
        <v>39</v>
      </c>
      <c r="BG109" s="28">
        <v>9</v>
      </c>
      <c r="BH109" s="28">
        <v>15</v>
      </c>
      <c r="BI109" s="28">
        <v>2</v>
      </c>
      <c r="BJ109" s="28">
        <v>1</v>
      </c>
      <c r="BK109" s="28">
        <v>3</v>
      </c>
      <c r="BL109" s="28">
        <v>11</v>
      </c>
      <c r="BM109" s="28">
        <v>1</v>
      </c>
      <c r="BN109" s="74">
        <v>7</v>
      </c>
      <c r="BO109" s="28">
        <v>0</v>
      </c>
      <c r="BP109" s="28">
        <v>5</v>
      </c>
      <c r="BQ109" s="74">
        <v>5</v>
      </c>
      <c r="BR109" s="28">
        <f>(COL_H126[[#This Row],[H]]-COL_H126[[#This Row],[2B]]-COL_H126[[#This Row],[3B]]-COL_H126[[#This Row],[HR]])+(COL_H126[[#This Row],[2B]]*2)+(COL_H126[[#This Row],[3B]]*3)+(COL_H126[[#This Row],[HR]]*4)</f>
        <v>28</v>
      </c>
      <c r="BS109" s="72">
        <f>IFERROR(COL_H126[[#This Row],[OBP]]+COL_H126[[#This Row],[SLG]],0)</f>
        <v>1.117948717948718</v>
      </c>
      <c r="BT109" s="74">
        <v>1</v>
      </c>
      <c r="BU109" s="615">
        <v>13</v>
      </c>
    </row>
    <row r="110" spans="1:73" ht="17" thickBot="1">
      <c r="A110" s="651" t="s">
        <v>1229</v>
      </c>
      <c r="B110" s="71" t="s">
        <v>184</v>
      </c>
      <c r="C110" s="71" t="s">
        <v>1249</v>
      </c>
      <c r="D110" s="72">
        <f>IFERROR(COL_H[[#This Row],[H]]/COL_H[[#This Row],[AB]],0)</f>
        <v>0</v>
      </c>
      <c r="E110" s="72">
        <f>IFERROR((COL_H[[#This Row],[H]]+COL_H[[#This Row],[BB]])/(COL_H[[#This Row],[BB]]+COL_H[[#This Row],[AB]]),0)</f>
        <v>0</v>
      </c>
      <c r="F110" s="73">
        <f>IFERROR(((COL_H[[#This Row],[H]]-COL_H[[#This Row],[2B]]-COL_H[[#This Row],[3B]]-COL_H[[#This Row],[HR]])+(COL_H[[#This Row],[2B]]*2)+(COL_H[[#This Row],[3B]]*3)+(COL_H[[#This Row],[HR]]*4))/COL_H[[#This Row],[AB]],0)</f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74">
        <v>0</v>
      </c>
      <c r="Q110" s="28">
        <v>0</v>
      </c>
      <c r="R110" s="28">
        <v>0</v>
      </c>
      <c r="S110" s="74">
        <v>0</v>
      </c>
      <c r="T110" s="28">
        <f>IFERROR((COL_H[[#This Row],[H]]-COL_H[[#This Row],[2B]]-COL_H[[#This Row],[3B]]-COL_H[[#This Row],[HR]])+(COL_H[[#This Row],[2B]]*2)+(COL_H[[#This Row],[3B]]*3)+(COL_H[[#This Row],[HR]]*4),0)</f>
        <v>0</v>
      </c>
      <c r="U110" s="72">
        <f>COL_H[[#This Row],[OBP]]+COL_H[[#This Row],[SLG]]</f>
        <v>0</v>
      </c>
      <c r="V110" s="74">
        <v>0</v>
      </c>
      <c r="W110" s="615">
        <v>14</v>
      </c>
      <c r="Z110" s="651" t="s">
        <v>1229</v>
      </c>
      <c r="AA110" s="71" t="s">
        <v>186</v>
      </c>
      <c r="AB110" s="71" t="s">
        <v>1245</v>
      </c>
      <c r="AC110" s="72">
        <f>IFERROR(COL_H103[[#This Row],[H]]/COL_H103[[#This Row],[AB]],0)</f>
        <v>0.5</v>
      </c>
      <c r="AD110" s="72">
        <f>IFERROR((COL_H103[[#This Row],[H]]+COL_H103[[#This Row],[BB]])/(COL_H103[[#This Row],[BB]]+COL_H103[[#This Row],[AB]]),0)</f>
        <v>0.5</v>
      </c>
      <c r="AE110" s="73">
        <f>IFERROR(((COL_H103[[#This Row],[H]]-COL_H103[[#This Row],[2B]]-COL_H103[[#This Row],[3B]]-COL_H103[[#This Row],[HR]])+(COL_H103[[#This Row],[2B]]*2)+(COL_H103[[#This Row],[3B]]*3)+(COL_H103[[#This Row],[HR]]*4))/COL_H103[[#This Row],[AB]],0)</f>
        <v>0.875</v>
      </c>
      <c r="AF110" s="28">
        <v>2</v>
      </c>
      <c r="AG110" s="28">
        <v>8</v>
      </c>
      <c r="AH110" s="28">
        <v>2</v>
      </c>
      <c r="AI110" s="28">
        <v>4</v>
      </c>
      <c r="AJ110" s="28">
        <v>0</v>
      </c>
      <c r="AK110" s="28">
        <v>0</v>
      </c>
      <c r="AL110" s="28">
        <v>1</v>
      </c>
      <c r="AM110" s="28">
        <v>1</v>
      </c>
      <c r="AN110" s="28">
        <v>0</v>
      </c>
      <c r="AO110" s="74">
        <v>1</v>
      </c>
      <c r="AP110" s="28">
        <v>0</v>
      </c>
      <c r="AQ110" s="28">
        <v>2</v>
      </c>
      <c r="AR110" s="74">
        <v>2</v>
      </c>
      <c r="AS110" s="28">
        <f>IFERROR((COL_H103[[#This Row],[H]]-COL_H103[[#This Row],[2B]]-COL_H103[[#This Row],[3B]]-COL_H103[[#This Row],[HR]])+(COL_H103[[#This Row],[2B]]*2)+(COL_H103[[#This Row],[3B]]*3)+(COL_H103[[#This Row],[HR]]*4),0)</f>
        <v>7</v>
      </c>
      <c r="AT110" s="72">
        <f>COL_H103[[#This Row],[OBP]]+COL_H103[[#This Row],[SLG]]</f>
        <v>1.375</v>
      </c>
      <c r="AU110" s="74">
        <v>0</v>
      </c>
      <c r="AV110" s="615">
        <v>14</v>
      </c>
      <c r="AY110" s="651" t="s">
        <v>1229</v>
      </c>
      <c r="AZ110" s="74" t="s">
        <v>184</v>
      </c>
      <c r="BA110" s="71" t="s">
        <v>1250</v>
      </c>
      <c r="BB110" s="72">
        <f>IFERROR(COL_H126[[#This Row],[H]]/COL_H126[[#This Row],[AB]],0)</f>
        <v>0.13333333333333333</v>
      </c>
      <c r="BC110" s="72">
        <f>IFERROR((COL_H126[[#This Row],[BB]]+COL_H126[[#This Row],[H]])/(COL_H126[[#This Row],[BB]]+COL_H126[[#This Row],[AB]]),0)</f>
        <v>0.35</v>
      </c>
      <c r="BD110" s="73">
        <f>IFERROR(((COL_H126[[#This Row],[H]]-COL_H126[[#This Row],[2B]]-COL_H126[[#This Row],[3B]]-COL_H126[[#This Row],[HR]])+(COL_H126[[#This Row],[2B]]*2)+(COL_H126[[#This Row],[3B]]*3)+(COL_H126[[#This Row],[HR]]*4))/COL_H126[[#This Row],[AB]],0)</f>
        <v>0.33333333333333331</v>
      </c>
      <c r="BE110" s="28">
        <v>5</v>
      </c>
      <c r="BF110" s="28">
        <v>15</v>
      </c>
      <c r="BG110" s="28">
        <v>2</v>
      </c>
      <c r="BH110" s="28">
        <v>2</v>
      </c>
      <c r="BI110" s="28">
        <v>0</v>
      </c>
      <c r="BJ110" s="28">
        <v>0</v>
      </c>
      <c r="BK110" s="28">
        <v>1</v>
      </c>
      <c r="BL110" s="28">
        <v>3</v>
      </c>
      <c r="BM110" s="28">
        <v>5</v>
      </c>
      <c r="BN110" s="74">
        <v>9</v>
      </c>
      <c r="BO110" s="28">
        <v>0</v>
      </c>
      <c r="BP110" s="28">
        <v>1</v>
      </c>
      <c r="BQ110" s="74">
        <v>1</v>
      </c>
      <c r="BR110" s="28">
        <f>(COL_H126[[#This Row],[H]]-COL_H126[[#This Row],[2B]]-COL_H126[[#This Row],[3B]]-COL_H126[[#This Row],[HR]])+(COL_H126[[#This Row],[2B]]*2)+(COL_H126[[#This Row],[3B]]*3)+(COL_H126[[#This Row],[HR]]*4)</f>
        <v>5</v>
      </c>
      <c r="BS110" s="72">
        <f>IFERROR(COL_H126[[#This Row],[OBP]]+COL_H126[[#This Row],[SLG]],0)</f>
        <v>0.68333333333333335</v>
      </c>
      <c r="BT110" s="74">
        <v>0</v>
      </c>
      <c r="BU110" s="615">
        <v>14</v>
      </c>
    </row>
    <row r="111" spans="1:73" ht="17" thickBot="1">
      <c r="A111" s="867"/>
      <c r="B111" s="868"/>
      <c r="C111" s="619" t="s">
        <v>195</v>
      </c>
      <c r="D111" s="620">
        <f>J111/H111</f>
        <v>0.2612359550561798</v>
      </c>
      <c r="E111" s="620">
        <f>(J111+O111)/(O111+H111)</f>
        <v>0.32390745501285345</v>
      </c>
      <c r="F111" s="621">
        <f>((J111-K111-L111-M111)+(K111*2)+(L111*3)+(M111*4))/H111</f>
        <v>0.43047752808988765</v>
      </c>
      <c r="G111" s="622"/>
      <c r="H111" s="622">
        <f>SUBTOTAL(109,COL_H[AB])</f>
        <v>1424</v>
      </c>
      <c r="I111" s="622">
        <f>SUBTOTAL(109,COL_H[R])</f>
        <v>170</v>
      </c>
      <c r="J111" s="622">
        <f>SUBTOTAL(109,COL_H[H])</f>
        <v>372</v>
      </c>
      <c r="K111" s="776">
        <f>SUBTOTAL(109,COL_H[2B])</f>
        <v>84</v>
      </c>
      <c r="L111" s="622">
        <f>SUBTOTAL(109,COL_H[3B])</f>
        <v>5</v>
      </c>
      <c r="M111" s="622">
        <f>SUBTOTAL(109,COL_H[HR])</f>
        <v>49</v>
      </c>
      <c r="N111" s="622">
        <f>SUBTOTAL(109,COL_H[RBI])</f>
        <v>170</v>
      </c>
      <c r="O111" s="622">
        <f>SUBTOTAL(109,COL_H[BB])</f>
        <v>132</v>
      </c>
      <c r="P111" s="625">
        <f>SUBTOTAL(109,COL_H[K])</f>
        <v>397</v>
      </c>
      <c r="Q111" s="622">
        <f>SUBTOTAL(109,COL_H[SB])</f>
        <v>0</v>
      </c>
      <c r="R111" s="622"/>
      <c r="S111" s="625"/>
      <c r="T111" s="622">
        <f>SUBTOTAL(109,COL_H[TB])</f>
        <v>613</v>
      </c>
      <c r="U111" s="620">
        <f>F111+E111</f>
        <v>0.75438498310274116</v>
      </c>
      <c r="V111" s="625">
        <f>SUBTOTAL(109,COL_H[*])</f>
        <v>13</v>
      </c>
      <c r="W111" s="649"/>
      <c r="Z111" s="867"/>
      <c r="AA111" s="868"/>
      <c r="AB111" s="619" t="s">
        <v>195</v>
      </c>
      <c r="AC111" s="620">
        <f>AI111/AG111</f>
        <v>0.24127906976744187</v>
      </c>
      <c r="AD111" s="620">
        <f>(AI111+AN111)/(AN111+AG111)</f>
        <v>0.314510833880499</v>
      </c>
      <c r="AE111" s="621">
        <f>((AI111-AJ111-AK111-AL111)+(AJ111*2)+(AK111*3)+(AL111*4))/AG111</f>
        <v>0.42151162790697677</v>
      </c>
      <c r="AF111" s="622"/>
      <c r="AG111" s="622">
        <f>SUBTOTAL(109,COL_H103[AB])</f>
        <v>1376</v>
      </c>
      <c r="AH111" s="622">
        <f>SUBTOTAL(109,COL_H103[R])</f>
        <v>155</v>
      </c>
      <c r="AI111" s="622">
        <f>SUBTOTAL(109,COL_H103[H])</f>
        <v>332</v>
      </c>
      <c r="AJ111" s="776">
        <f>SUBTOTAL(109,COL_H103[2B])</f>
        <v>79</v>
      </c>
      <c r="AK111" s="776">
        <f>SUBTOTAL(109,COL_H103[3B])</f>
        <v>11</v>
      </c>
      <c r="AL111" s="622">
        <f>SUBTOTAL(109,COL_H103[HR])</f>
        <v>49</v>
      </c>
      <c r="AM111" s="622">
        <f>SUBTOTAL(109,COL_H103[RBI])</f>
        <v>155</v>
      </c>
      <c r="AN111" s="622">
        <f>SUBTOTAL(109,COL_H103[BB])</f>
        <v>147</v>
      </c>
      <c r="AO111" s="877">
        <f>SUBTOTAL(109,COL_H103[K])</f>
        <v>389</v>
      </c>
      <c r="AP111" s="622">
        <f>SUBTOTAL(109,COL_H103[SB])</f>
        <v>7</v>
      </c>
      <c r="AQ111" s="622"/>
      <c r="AR111" s="625"/>
      <c r="AS111" s="622">
        <f>SUBTOTAL(109,COL_H103[TB])</f>
        <v>580</v>
      </c>
      <c r="AT111" s="620">
        <f>AE111+AD111</f>
        <v>0.73602246178747577</v>
      </c>
      <c r="AU111" s="625">
        <f>SUBTOTAL(109,COL_H103[*])</f>
        <v>16</v>
      </c>
      <c r="AV111" s="649"/>
      <c r="AY111" s="867"/>
      <c r="AZ111" s="868"/>
      <c r="BA111" s="619" t="s">
        <v>195</v>
      </c>
      <c r="BB111" s="620">
        <f>IFERROR(BH111/BF111,0)</f>
        <v>0.26004228329809725</v>
      </c>
      <c r="BC111" s="620">
        <f>IFERROR((BM111+BH111)/(BM111+BF111),0)</f>
        <v>0.31773879142300193</v>
      </c>
      <c r="BD111" s="621">
        <f>IFERROR(((BH111-BI111-BJ111-BK111)+(BI111*2)+(BJ111*3)+(BK111*4))/BF111,0)</f>
        <v>0.44186046511627908</v>
      </c>
      <c r="BE111" s="622"/>
      <c r="BF111" s="622">
        <f>SUBTOTAL(109,COL_H126[AB])</f>
        <v>1419</v>
      </c>
      <c r="BG111" s="622">
        <f>SUBTOTAL(109,COL_H126[R])</f>
        <v>189</v>
      </c>
      <c r="BH111" s="622">
        <f>SUBTOTAL(109,COL_H126[H])</f>
        <v>369</v>
      </c>
      <c r="BI111" s="622">
        <f>SUBTOTAL(109,COL_H126[2B])</f>
        <v>69</v>
      </c>
      <c r="BJ111" s="622">
        <f>SUBTOTAL(109,COL_H126[3B])</f>
        <v>9</v>
      </c>
      <c r="BK111" s="622">
        <f>SUBTOTAL(109,COL_H126[HR])</f>
        <v>57</v>
      </c>
      <c r="BL111" s="622">
        <f>SUBTOTAL(109,COL_H126[RBI])</f>
        <v>188</v>
      </c>
      <c r="BM111" s="622">
        <f>SUBTOTAL(109,COL_H126[BB])</f>
        <v>120</v>
      </c>
      <c r="BN111" s="877">
        <f>SUBTOTAL(109,COL_H126[K])</f>
        <v>394</v>
      </c>
      <c r="BO111" s="622">
        <f>SUBTOTAL(109,COL_H126[SB])</f>
        <v>16</v>
      </c>
      <c r="BP111" s="622"/>
      <c r="BQ111" s="625"/>
      <c r="BR111" s="622">
        <f>SUBTOTAL(109,COL_H126[TB])</f>
        <v>627</v>
      </c>
      <c r="BS111" s="620">
        <f>IFERROR(BC111+BD111,0)</f>
        <v>0.75959925653928106</v>
      </c>
      <c r="BT111" s="625">
        <f>SUBTOTAL(109,COL_H126[*])</f>
        <v>18</v>
      </c>
      <c r="BU111" s="649"/>
    </row>
    <row r="112" spans="1:73" ht="17" thickBot="1"/>
    <row r="113" spans="1:73" s="108" customFormat="1" ht="15" thickBot="1">
      <c r="A113" s="605" t="s">
        <v>143</v>
      </c>
      <c r="B113" s="606" t="s">
        <v>144</v>
      </c>
      <c r="C113" s="606" t="s">
        <v>145</v>
      </c>
      <c r="D113" s="606" t="s">
        <v>196</v>
      </c>
      <c r="E113" s="606" t="s">
        <v>197</v>
      </c>
      <c r="F113" s="606" t="s">
        <v>198</v>
      </c>
      <c r="G113" s="606" t="s">
        <v>149</v>
      </c>
      <c r="H113" s="606" t="s">
        <v>199</v>
      </c>
      <c r="I113" s="606" t="s">
        <v>152</v>
      </c>
      <c r="J113" s="606" t="s">
        <v>151</v>
      </c>
      <c r="K113" s="606" t="s">
        <v>157</v>
      </c>
      <c r="L113" s="606" t="s">
        <v>158</v>
      </c>
      <c r="M113" s="606" t="s">
        <v>200</v>
      </c>
      <c r="N113" s="606" t="s">
        <v>201</v>
      </c>
      <c r="O113" s="606" t="s">
        <v>202</v>
      </c>
      <c r="P113" s="606" t="s">
        <v>203</v>
      </c>
      <c r="Q113" s="606" t="s">
        <v>204</v>
      </c>
      <c r="R113" s="606" t="s">
        <v>205</v>
      </c>
      <c r="S113" s="607" t="s">
        <v>164</v>
      </c>
      <c r="Z113" s="605" t="s">
        <v>143</v>
      </c>
      <c r="AA113" s="606" t="s">
        <v>144</v>
      </c>
      <c r="AB113" s="606" t="s">
        <v>145</v>
      </c>
      <c r="AC113" s="606" t="s">
        <v>196</v>
      </c>
      <c r="AD113" s="606" t="s">
        <v>197</v>
      </c>
      <c r="AE113" s="606" t="s">
        <v>198</v>
      </c>
      <c r="AF113" s="606" t="s">
        <v>149</v>
      </c>
      <c r="AG113" s="606" t="s">
        <v>199</v>
      </c>
      <c r="AH113" s="606" t="s">
        <v>152</v>
      </c>
      <c r="AI113" s="606" t="s">
        <v>151</v>
      </c>
      <c r="AJ113" s="606" t="s">
        <v>157</v>
      </c>
      <c r="AK113" s="606" t="s">
        <v>158</v>
      </c>
      <c r="AL113" s="606" t="s">
        <v>200</v>
      </c>
      <c r="AM113" s="606" t="s">
        <v>201</v>
      </c>
      <c r="AN113" s="606" t="s">
        <v>202</v>
      </c>
      <c r="AO113" s="606" t="s">
        <v>203</v>
      </c>
      <c r="AP113" s="606" t="s">
        <v>204</v>
      </c>
      <c r="AQ113" s="606" t="s">
        <v>205</v>
      </c>
      <c r="AR113" s="607" t="s">
        <v>164</v>
      </c>
      <c r="AY113" s="605" t="s">
        <v>143</v>
      </c>
      <c r="AZ113" s="606" t="s">
        <v>144</v>
      </c>
      <c r="BA113" s="606" t="s">
        <v>145</v>
      </c>
      <c r="BB113" s="606" t="s">
        <v>196</v>
      </c>
      <c r="BC113" s="606" t="s">
        <v>197</v>
      </c>
      <c r="BD113" s="606" t="s">
        <v>198</v>
      </c>
      <c r="BE113" s="606" t="s">
        <v>149</v>
      </c>
      <c r="BF113" s="606" t="s">
        <v>199</v>
      </c>
      <c r="BG113" s="606" t="s">
        <v>152</v>
      </c>
      <c r="BH113" s="606" t="s">
        <v>151</v>
      </c>
      <c r="BI113" s="606" t="s">
        <v>157</v>
      </c>
      <c r="BJ113" s="606" t="s">
        <v>158</v>
      </c>
      <c r="BK113" s="606" t="s">
        <v>200</v>
      </c>
      <c r="BL113" s="606" t="s">
        <v>201</v>
      </c>
      <c r="BM113" s="606" t="s">
        <v>202</v>
      </c>
      <c r="BN113" s="606" t="s">
        <v>203</v>
      </c>
      <c r="BO113" s="606" t="s">
        <v>204</v>
      </c>
      <c r="BP113" s="606" t="s">
        <v>205</v>
      </c>
      <c r="BQ113" s="607" t="s">
        <v>164</v>
      </c>
    </row>
    <row r="114" spans="1:73">
      <c r="A114" s="650" t="s">
        <v>1229</v>
      </c>
      <c r="B114" s="604" t="s">
        <v>206</v>
      </c>
      <c r="C114" s="597" t="s">
        <v>1251</v>
      </c>
      <c r="D114" s="663">
        <f>IFERROR((COL_P[[#This Row],[R]]*9)/COL_P[[#This Row],[IP]],0)</f>
        <v>6.387096774193548</v>
      </c>
      <c r="E114" s="600">
        <v>2</v>
      </c>
      <c r="F114" s="604">
        <v>7</v>
      </c>
      <c r="G114" s="600">
        <v>10</v>
      </c>
      <c r="H114" s="630">
        <v>62</v>
      </c>
      <c r="I114" s="600">
        <v>80</v>
      </c>
      <c r="J114" s="600">
        <v>44</v>
      </c>
      <c r="K114" s="600">
        <v>20</v>
      </c>
      <c r="L114" s="600">
        <v>69</v>
      </c>
      <c r="M114" s="600">
        <v>0</v>
      </c>
      <c r="N114" s="631">
        <f>IFERROR((COL_P[[#This Row],[BB]]+COL_P[[#This Row],[H]])/COL_P[[#This Row],[IP]],0)</f>
        <v>1.6129032258064515</v>
      </c>
      <c r="O114" s="600">
        <v>3</v>
      </c>
      <c r="P114" s="601">
        <v>2</v>
      </c>
      <c r="Q114" s="600">
        <v>1</v>
      </c>
      <c r="R114" s="604">
        <v>0</v>
      </c>
      <c r="S114" s="614">
        <v>1</v>
      </c>
      <c r="Z114" s="650" t="s">
        <v>1229</v>
      </c>
      <c r="AA114" s="604" t="s">
        <v>206</v>
      </c>
      <c r="AB114" s="597" t="s">
        <v>1251</v>
      </c>
      <c r="AC114" s="663">
        <f>IFERROR((COL_P104[[#This Row],[R]]*9)/COL_P104[[#This Row],[IP]],0)</f>
        <v>5.0625</v>
      </c>
      <c r="AD114" s="600">
        <v>2</v>
      </c>
      <c r="AE114" s="604">
        <v>3</v>
      </c>
      <c r="AF114" s="600">
        <v>10</v>
      </c>
      <c r="AG114" s="630">
        <v>64</v>
      </c>
      <c r="AH114" s="600">
        <v>74</v>
      </c>
      <c r="AI114" s="600">
        <v>36</v>
      </c>
      <c r="AJ114" s="600">
        <v>22</v>
      </c>
      <c r="AK114" s="600">
        <v>51</v>
      </c>
      <c r="AL114" s="600">
        <v>0</v>
      </c>
      <c r="AM114" s="631">
        <f>IFERROR((COL_P104[[#This Row],[BB]]+COL_P104[[#This Row],[H]])/COL_P104[[#This Row],[IP]],0)</f>
        <v>1.5</v>
      </c>
      <c r="AN114" s="600">
        <v>5</v>
      </c>
      <c r="AO114" s="601">
        <v>4</v>
      </c>
      <c r="AP114" s="600">
        <v>1</v>
      </c>
      <c r="AQ114" s="604">
        <v>0</v>
      </c>
      <c r="AR114" s="614">
        <v>1</v>
      </c>
      <c r="AY114" s="650" t="s">
        <v>1229</v>
      </c>
      <c r="AZ114" s="604" t="s">
        <v>206</v>
      </c>
      <c r="BA114" s="597" t="s">
        <v>1251</v>
      </c>
      <c r="BB114" s="663">
        <f>IFERROR((COL_P125[[#This Row],[R]]*9)/COL_P125[[#This Row],[IP]],0)</f>
        <v>5.6915842386898001</v>
      </c>
      <c r="BC114" s="600">
        <v>3</v>
      </c>
      <c r="BD114" s="604">
        <v>4</v>
      </c>
      <c r="BE114" s="600">
        <v>10</v>
      </c>
      <c r="BF114" s="630">
        <v>61.67</v>
      </c>
      <c r="BG114" s="627">
        <v>85</v>
      </c>
      <c r="BH114" s="600">
        <v>39</v>
      </c>
      <c r="BI114" s="600">
        <v>20</v>
      </c>
      <c r="BJ114" s="600">
        <v>53</v>
      </c>
      <c r="BK114" s="600">
        <v>0</v>
      </c>
      <c r="BL114" s="631">
        <f>IFERROR((COL_P125[[#This Row],[BB]]+COL_P125[[#This Row],[H]])/COL_P125[[#This Row],[IP]],0)</f>
        <v>1.7026106696935301</v>
      </c>
      <c r="BM114" s="600">
        <v>4</v>
      </c>
      <c r="BN114" s="601">
        <v>2</v>
      </c>
      <c r="BO114" s="600">
        <v>0</v>
      </c>
      <c r="BP114" s="604">
        <v>0</v>
      </c>
      <c r="BQ114" s="880">
        <v>1</v>
      </c>
    </row>
    <row r="115" spans="1:73">
      <c r="A115" s="828" t="s">
        <v>1229</v>
      </c>
      <c r="B115" s="114" t="s">
        <v>206</v>
      </c>
      <c r="C115" s="115" t="s">
        <v>1252</v>
      </c>
      <c r="D115" s="88">
        <f>IFERROR((COL_P[[#This Row],[R]]*9)/COL_P[[#This Row],[IP]],0)</f>
        <v>8.8954395699670545</v>
      </c>
      <c r="E115" s="28">
        <v>0</v>
      </c>
      <c r="F115" s="536">
        <v>9</v>
      </c>
      <c r="G115" s="28">
        <v>10</v>
      </c>
      <c r="H115" s="584">
        <v>57.67</v>
      </c>
      <c r="I115" s="586">
        <v>95</v>
      </c>
      <c r="J115" s="586">
        <v>57</v>
      </c>
      <c r="K115" s="28">
        <v>28</v>
      </c>
      <c r="L115" s="28">
        <v>37</v>
      </c>
      <c r="M115" s="28">
        <v>0</v>
      </c>
      <c r="N115" s="89">
        <f>IFERROR((COL_P[[#This Row],[BB]]+COL_P[[#This Row],[H]])/COL_P[[#This Row],[IP]],0)</f>
        <v>2.132824692214323</v>
      </c>
      <c r="O115" s="28">
        <v>2</v>
      </c>
      <c r="P115" s="90">
        <v>0</v>
      </c>
      <c r="Q115" s="28">
        <v>0</v>
      </c>
      <c r="R115" s="74">
        <v>0</v>
      </c>
      <c r="S115" s="615">
        <v>2</v>
      </c>
      <c r="Z115" s="828" t="s">
        <v>1229</v>
      </c>
      <c r="AA115" s="114" t="s">
        <v>206</v>
      </c>
      <c r="AB115" s="115" t="s">
        <v>1252</v>
      </c>
      <c r="AC115" s="88">
        <f>IFERROR((COL_P104[[#This Row],[R]]*9)/COL_P104[[#This Row],[IP]],0)</f>
        <v>4.8216745752334305</v>
      </c>
      <c r="AD115" s="28">
        <v>5</v>
      </c>
      <c r="AE115" s="74">
        <v>4</v>
      </c>
      <c r="AF115" s="28">
        <v>10</v>
      </c>
      <c r="AG115" s="584">
        <v>65.33</v>
      </c>
      <c r="AH115" s="28">
        <v>74</v>
      </c>
      <c r="AI115" s="28">
        <v>35</v>
      </c>
      <c r="AJ115" s="28">
        <v>23</v>
      </c>
      <c r="AK115" s="28">
        <v>50</v>
      </c>
      <c r="AL115" s="28">
        <v>0</v>
      </c>
      <c r="AM115" s="89">
        <f>IFERROR((COL_P104[[#This Row],[BB]]+COL_P104[[#This Row],[H]])/COL_P104[[#This Row],[IP]],0)</f>
        <v>1.4847696311036278</v>
      </c>
      <c r="AN115" s="28">
        <v>6</v>
      </c>
      <c r="AO115" s="90">
        <v>3</v>
      </c>
      <c r="AP115" s="28">
        <v>0</v>
      </c>
      <c r="AQ115" s="74">
        <v>0</v>
      </c>
      <c r="AR115" s="615">
        <v>2</v>
      </c>
      <c r="AY115" s="828" t="s">
        <v>1229</v>
      </c>
      <c r="AZ115" s="114" t="s">
        <v>206</v>
      </c>
      <c r="BA115" s="115" t="s">
        <v>1252</v>
      </c>
      <c r="BB115" s="88">
        <f>IFERROR((COL_P125[[#This Row],[R]]*9)/COL_P125[[#This Row],[IP]],0)</f>
        <v>5.6758138742116921</v>
      </c>
      <c r="BC115" s="28">
        <v>1</v>
      </c>
      <c r="BD115" s="74">
        <v>4</v>
      </c>
      <c r="BE115" s="28">
        <v>10</v>
      </c>
      <c r="BF115" s="584">
        <v>58.67</v>
      </c>
      <c r="BG115" s="28">
        <v>78</v>
      </c>
      <c r="BH115" s="28">
        <v>37</v>
      </c>
      <c r="BI115" s="28">
        <v>26</v>
      </c>
      <c r="BJ115" s="28">
        <v>48</v>
      </c>
      <c r="BK115" s="28">
        <v>0</v>
      </c>
      <c r="BL115" s="89">
        <f>IFERROR((COL_P125[[#This Row],[BB]]+COL_P125[[#This Row],[H]])/COL_P125[[#This Row],[IP]],0)</f>
        <v>1.7726265553093574</v>
      </c>
      <c r="BM115" s="28">
        <v>6</v>
      </c>
      <c r="BN115" s="90">
        <v>1</v>
      </c>
      <c r="BO115" s="28">
        <v>0</v>
      </c>
      <c r="BP115" s="74">
        <v>0</v>
      </c>
      <c r="BQ115" s="881">
        <v>2</v>
      </c>
    </row>
    <row r="116" spans="1:73">
      <c r="A116" s="828" t="s">
        <v>1229</v>
      </c>
      <c r="B116" s="114" t="s">
        <v>206</v>
      </c>
      <c r="C116" s="115" t="s">
        <v>1253</v>
      </c>
      <c r="D116" s="88">
        <f>IFERROR((COL_P[[#This Row],[R]]*9)/COL_P[[#This Row],[IP]],0)</f>
        <v>5.0794593791771874</v>
      </c>
      <c r="E116" s="28">
        <v>3</v>
      </c>
      <c r="F116" s="74">
        <v>4</v>
      </c>
      <c r="G116" s="28">
        <v>10</v>
      </c>
      <c r="H116" s="584">
        <v>67.33</v>
      </c>
      <c r="I116" s="28">
        <v>68</v>
      </c>
      <c r="J116" s="28">
        <v>38</v>
      </c>
      <c r="K116" s="28">
        <v>29</v>
      </c>
      <c r="L116" s="28">
        <v>60</v>
      </c>
      <c r="M116" s="28">
        <v>0</v>
      </c>
      <c r="N116" s="89">
        <f>IFERROR((COL_P[[#This Row],[BB]]+COL_P[[#This Row],[H]])/COL_P[[#This Row],[IP]],0)</f>
        <v>1.4406653794742315</v>
      </c>
      <c r="O116" s="28">
        <v>5</v>
      </c>
      <c r="P116" s="90">
        <v>4</v>
      </c>
      <c r="Q116" s="28">
        <v>0</v>
      </c>
      <c r="R116" s="74">
        <v>0</v>
      </c>
      <c r="S116" s="615">
        <v>3</v>
      </c>
      <c r="Z116" s="828" t="s">
        <v>1229</v>
      </c>
      <c r="AA116" s="114" t="s">
        <v>206</v>
      </c>
      <c r="AB116" s="115" t="s">
        <v>1253</v>
      </c>
      <c r="AC116" s="88">
        <f>IFERROR((COL_P104[[#This Row],[R]]*9)/COL_P104[[#This Row],[IP]],0)</f>
        <v>4.9594367059543858</v>
      </c>
      <c r="AD116" s="28">
        <v>2</v>
      </c>
      <c r="AE116" s="74">
        <v>4</v>
      </c>
      <c r="AF116" s="28">
        <v>10</v>
      </c>
      <c r="AG116" s="584">
        <v>65.33</v>
      </c>
      <c r="AH116" s="28">
        <v>61</v>
      </c>
      <c r="AI116" s="28">
        <v>36</v>
      </c>
      <c r="AJ116" s="28">
        <v>29</v>
      </c>
      <c r="AK116" s="28">
        <v>53</v>
      </c>
      <c r="AL116" s="28">
        <v>0</v>
      </c>
      <c r="AM116" s="89">
        <f>IFERROR((COL_P104[[#This Row],[BB]]+COL_P104[[#This Row],[H]])/COL_P104[[#This Row],[IP]],0)</f>
        <v>1.3776213072095516</v>
      </c>
      <c r="AN116" s="28">
        <v>4</v>
      </c>
      <c r="AO116" s="90">
        <v>3</v>
      </c>
      <c r="AP116" s="28">
        <v>1</v>
      </c>
      <c r="AQ116" s="74">
        <v>1</v>
      </c>
      <c r="AR116" s="615">
        <v>3</v>
      </c>
      <c r="AY116" s="828" t="s">
        <v>1229</v>
      </c>
      <c r="AZ116" s="114" t="s">
        <v>206</v>
      </c>
      <c r="BA116" s="115" t="s">
        <v>1253</v>
      </c>
      <c r="BB116" s="88">
        <f>IFERROR((COL_P125[[#This Row],[R]]*9)/COL_P125[[#This Row],[IP]],0)</f>
        <v>5.3163376340743049</v>
      </c>
      <c r="BC116" s="28">
        <v>3</v>
      </c>
      <c r="BD116" s="74">
        <v>2</v>
      </c>
      <c r="BE116" s="28">
        <v>10</v>
      </c>
      <c r="BF116" s="584">
        <v>64.33</v>
      </c>
      <c r="BG116" s="28">
        <v>68</v>
      </c>
      <c r="BH116" s="28">
        <v>38</v>
      </c>
      <c r="BI116" s="28">
        <v>27</v>
      </c>
      <c r="BJ116" s="28">
        <v>61</v>
      </c>
      <c r="BK116" s="28">
        <v>0</v>
      </c>
      <c r="BL116" s="89">
        <f>IFERROR((COL_P125[[#This Row],[BB]]+COL_P125[[#This Row],[H]])/COL_P125[[#This Row],[IP]],0)</f>
        <v>1.4767604539095289</v>
      </c>
      <c r="BM116" s="28">
        <v>6</v>
      </c>
      <c r="BN116" s="90">
        <v>3</v>
      </c>
      <c r="BO116" s="28">
        <v>1</v>
      </c>
      <c r="BP116" s="74">
        <v>1</v>
      </c>
      <c r="BQ116" s="881">
        <v>3</v>
      </c>
    </row>
    <row r="117" spans="1:73">
      <c r="A117" s="828" t="s">
        <v>1229</v>
      </c>
      <c r="B117" s="114" t="s">
        <v>206</v>
      </c>
      <c r="C117" s="115" t="s">
        <v>1254</v>
      </c>
      <c r="D117" s="88">
        <f>IFERROR((COL_P[[#This Row],[R]]*9)/COL_P[[#This Row],[IP]],0)</f>
        <v>5.5806938159879333</v>
      </c>
      <c r="E117" s="28">
        <v>4</v>
      </c>
      <c r="F117" s="74">
        <v>3</v>
      </c>
      <c r="G117" s="28">
        <v>10</v>
      </c>
      <c r="H117" s="584">
        <v>59.67</v>
      </c>
      <c r="I117" s="28">
        <v>84</v>
      </c>
      <c r="J117" s="28">
        <v>37</v>
      </c>
      <c r="K117" s="28">
        <v>24</v>
      </c>
      <c r="L117" s="28">
        <v>31</v>
      </c>
      <c r="M117" s="28">
        <v>0</v>
      </c>
      <c r="N117" s="89">
        <f>IFERROR((COL_P[[#This Row],[BB]]+COL_P[[#This Row],[H]])/COL_P[[#This Row],[IP]],0)</f>
        <v>1.8099547511312217</v>
      </c>
      <c r="O117" s="28">
        <v>3</v>
      </c>
      <c r="P117" s="90">
        <v>2</v>
      </c>
      <c r="Q117" s="28">
        <v>0</v>
      </c>
      <c r="R117" s="74">
        <v>0</v>
      </c>
      <c r="S117" s="615">
        <v>4</v>
      </c>
      <c r="Z117" s="828" t="s">
        <v>1229</v>
      </c>
      <c r="AA117" s="114" t="s">
        <v>206</v>
      </c>
      <c r="AB117" s="115" t="s">
        <v>1254</v>
      </c>
      <c r="AC117" s="88">
        <f>IFERROR((COL_P104[[#This Row],[R]]*9)/COL_P104[[#This Row],[IP]],0)</f>
        <v>6.713078070611636</v>
      </c>
      <c r="AD117" s="28">
        <v>2</v>
      </c>
      <c r="AE117" s="74">
        <v>5</v>
      </c>
      <c r="AF117" s="28">
        <v>10</v>
      </c>
      <c r="AG117" s="584">
        <v>60.33</v>
      </c>
      <c r="AH117" s="76">
        <v>81</v>
      </c>
      <c r="AI117" s="28">
        <v>45</v>
      </c>
      <c r="AJ117" s="28">
        <v>19</v>
      </c>
      <c r="AK117" s="28">
        <v>40</v>
      </c>
      <c r="AL117" s="28">
        <v>0</v>
      </c>
      <c r="AM117" s="89">
        <f>IFERROR((COL_P104[[#This Row],[BB]]+COL_P104[[#This Row],[H]])/COL_P104[[#This Row],[IP]],0)</f>
        <v>1.6575501408917621</v>
      </c>
      <c r="AN117" s="28">
        <v>1</v>
      </c>
      <c r="AO117" s="90">
        <v>1</v>
      </c>
      <c r="AP117" s="28">
        <v>1</v>
      </c>
      <c r="AQ117" s="74">
        <v>1</v>
      </c>
      <c r="AR117" s="615">
        <v>4</v>
      </c>
      <c r="AY117" s="828" t="s">
        <v>1229</v>
      </c>
      <c r="AZ117" s="114" t="s">
        <v>206</v>
      </c>
      <c r="BA117" s="115" t="s">
        <v>1254</v>
      </c>
      <c r="BB117" s="88">
        <f>IFERROR((COL_P125[[#This Row],[R]]*9)/COL_P125[[#This Row],[IP]],0)</f>
        <v>4.9473849536673473</v>
      </c>
      <c r="BC117" s="28">
        <v>4</v>
      </c>
      <c r="BD117" s="74">
        <v>3</v>
      </c>
      <c r="BE117" s="28">
        <v>10</v>
      </c>
      <c r="BF117" s="584">
        <v>63.67</v>
      </c>
      <c r="BG117" s="28">
        <v>69</v>
      </c>
      <c r="BH117" s="28">
        <v>35</v>
      </c>
      <c r="BI117" s="28">
        <v>25</v>
      </c>
      <c r="BJ117" s="28">
        <v>34</v>
      </c>
      <c r="BK117" s="28">
        <v>0</v>
      </c>
      <c r="BL117" s="89">
        <f>IFERROR((COL_P125[[#This Row],[BB]]+COL_P125[[#This Row],[H]])/COL_P125[[#This Row],[IP]],0)</f>
        <v>1.476362494110256</v>
      </c>
      <c r="BM117" s="28">
        <v>5</v>
      </c>
      <c r="BN117" s="90">
        <v>1</v>
      </c>
      <c r="BO117" s="28">
        <v>1</v>
      </c>
      <c r="BP117" s="74">
        <v>0</v>
      </c>
      <c r="BQ117" s="881">
        <v>4</v>
      </c>
    </row>
    <row r="118" spans="1:73">
      <c r="A118" s="828" t="s">
        <v>1229</v>
      </c>
      <c r="B118" s="114" t="s">
        <v>212</v>
      </c>
      <c r="C118" s="116" t="s">
        <v>1255</v>
      </c>
      <c r="D118" s="88">
        <f>IFERROR((COL_P[[#This Row],[R]]*9)/COL_P[[#This Row],[IP]],0)</f>
        <v>4.808877928483354</v>
      </c>
      <c r="E118" s="28">
        <v>0</v>
      </c>
      <c r="F118" s="74">
        <v>0</v>
      </c>
      <c r="G118" s="28">
        <v>14</v>
      </c>
      <c r="H118" s="584">
        <v>24.33</v>
      </c>
      <c r="I118" s="28">
        <v>27</v>
      </c>
      <c r="J118" s="28">
        <v>13</v>
      </c>
      <c r="K118" s="28">
        <v>12</v>
      </c>
      <c r="L118" s="28">
        <v>14</v>
      </c>
      <c r="M118" s="28">
        <v>1</v>
      </c>
      <c r="N118" s="89">
        <f>IFERROR((COL_P[[#This Row],[BB]]+COL_P[[#This Row],[H]])/COL_P[[#This Row],[IP]],0)</f>
        <v>1.6029593094944514</v>
      </c>
      <c r="O118" s="28">
        <v>0</v>
      </c>
      <c r="P118" s="90">
        <v>0</v>
      </c>
      <c r="Q118" s="28">
        <v>0</v>
      </c>
      <c r="R118" s="74">
        <v>0</v>
      </c>
      <c r="S118" s="615">
        <v>5</v>
      </c>
      <c r="Z118" s="828" t="s">
        <v>1229</v>
      </c>
      <c r="AA118" s="114" t="s">
        <v>212</v>
      </c>
      <c r="AB118" s="116" t="s">
        <v>1255</v>
      </c>
      <c r="AC118" s="88">
        <f>IFERROR((COL_P104[[#This Row],[R]]*9)/COL_P104[[#This Row],[IP]],0)</f>
        <v>4.7368421052631575</v>
      </c>
      <c r="AD118" s="28">
        <v>1</v>
      </c>
      <c r="AE118" s="74">
        <v>0</v>
      </c>
      <c r="AF118" s="28">
        <v>8</v>
      </c>
      <c r="AG118" s="584">
        <v>19</v>
      </c>
      <c r="AH118" s="28">
        <v>20</v>
      </c>
      <c r="AI118" s="28">
        <v>10</v>
      </c>
      <c r="AJ118" s="28">
        <v>7</v>
      </c>
      <c r="AK118" s="28">
        <v>6</v>
      </c>
      <c r="AL118" s="28">
        <v>0</v>
      </c>
      <c r="AM118" s="89">
        <f>IFERROR((COL_P104[[#This Row],[BB]]+COL_P104[[#This Row],[H]])/COL_P104[[#This Row],[IP]],0)</f>
        <v>1.4210526315789473</v>
      </c>
      <c r="AN118" s="28">
        <v>0</v>
      </c>
      <c r="AO118" s="90">
        <v>0</v>
      </c>
      <c r="AP118" s="28">
        <v>0</v>
      </c>
      <c r="AQ118" s="74">
        <v>0</v>
      </c>
      <c r="AR118" s="615">
        <v>5</v>
      </c>
      <c r="AY118" s="828" t="s">
        <v>1229</v>
      </c>
      <c r="AZ118" s="114" t="s">
        <v>215</v>
      </c>
      <c r="BA118" s="115" t="s">
        <v>1255</v>
      </c>
      <c r="BB118" s="88">
        <f>IFERROR((COL_P125[[#This Row],[R]]*9)/COL_P125[[#This Row],[IP]],0)</f>
        <v>6.5281899109792292</v>
      </c>
      <c r="BC118" s="28">
        <v>3</v>
      </c>
      <c r="BD118" s="74">
        <v>4</v>
      </c>
      <c r="BE118" s="28">
        <v>18</v>
      </c>
      <c r="BF118" s="584">
        <v>30.33</v>
      </c>
      <c r="BG118" s="28">
        <v>37</v>
      </c>
      <c r="BH118" s="28">
        <v>22</v>
      </c>
      <c r="BI118" s="28">
        <v>13</v>
      </c>
      <c r="BJ118" s="28">
        <v>28</v>
      </c>
      <c r="BK118" s="28">
        <v>0</v>
      </c>
      <c r="BL118" s="89">
        <f>IFERROR((COL_P125[[#This Row],[BB]]+COL_P125[[#This Row],[H]])/COL_P125[[#This Row],[IP]],0)</f>
        <v>1.6485328058028357</v>
      </c>
      <c r="BM118" s="28">
        <v>0</v>
      </c>
      <c r="BN118" s="90">
        <v>0</v>
      </c>
      <c r="BO118" s="28">
        <v>0</v>
      </c>
      <c r="BP118" s="74">
        <v>0</v>
      </c>
      <c r="BQ118" s="881">
        <v>5</v>
      </c>
    </row>
    <row r="119" spans="1:73">
      <c r="A119" s="828" t="s">
        <v>1229</v>
      </c>
      <c r="B119" s="114" t="s">
        <v>212</v>
      </c>
      <c r="C119" s="116" t="s">
        <v>1256</v>
      </c>
      <c r="D119" s="88">
        <f>IFERROR((COL_P[[#This Row],[R]]*9)/COL_P[[#This Row],[IP]],0)</f>
        <v>5.3026245313336897</v>
      </c>
      <c r="E119" s="28">
        <v>0</v>
      </c>
      <c r="F119" s="74">
        <v>0</v>
      </c>
      <c r="G119" s="28">
        <v>10</v>
      </c>
      <c r="H119" s="584">
        <v>18.670000000000002</v>
      </c>
      <c r="I119" s="28">
        <v>23</v>
      </c>
      <c r="J119" s="28">
        <v>11</v>
      </c>
      <c r="K119" s="28">
        <v>4</v>
      </c>
      <c r="L119" s="28">
        <v>10</v>
      </c>
      <c r="M119" s="28">
        <v>2</v>
      </c>
      <c r="N119" s="89">
        <f>IFERROR((COL_P[[#This Row],[BB]]+COL_P[[#This Row],[H]])/COL_P[[#This Row],[IP]],0)</f>
        <v>1.44617032672737</v>
      </c>
      <c r="O119" s="28">
        <v>0</v>
      </c>
      <c r="P119" s="90">
        <v>0</v>
      </c>
      <c r="Q119" s="28">
        <v>0</v>
      </c>
      <c r="R119" s="74">
        <v>0</v>
      </c>
      <c r="S119" s="615">
        <v>6</v>
      </c>
      <c r="Z119" s="828" t="s">
        <v>1229</v>
      </c>
      <c r="AA119" s="114" t="s">
        <v>212</v>
      </c>
      <c r="AB119" s="116" t="s">
        <v>1256</v>
      </c>
      <c r="AC119" s="88">
        <f>IFERROR((COL_P104[[#This Row],[R]]*9)/COL_P104[[#This Row],[IP]],0)</f>
        <v>7.7142857142857144</v>
      </c>
      <c r="AD119" s="28">
        <v>0</v>
      </c>
      <c r="AE119" s="74">
        <v>0</v>
      </c>
      <c r="AF119" s="28">
        <v>4</v>
      </c>
      <c r="AG119" s="584">
        <v>7</v>
      </c>
      <c r="AH119" s="28">
        <v>12</v>
      </c>
      <c r="AI119" s="28">
        <v>6</v>
      </c>
      <c r="AJ119" s="28">
        <v>3</v>
      </c>
      <c r="AK119" s="28">
        <v>6</v>
      </c>
      <c r="AL119" s="28">
        <v>0</v>
      </c>
      <c r="AM119" s="89">
        <f>IFERROR((COL_P104[[#This Row],[BB]]+COL_P104[[#This Row],[H]])/COL_P104[[#This Row],[IP]],0)</f>
        <v>2.1428571428571428</v>
      </c>
      <c r="AN119" s="28">
        <v>0</v>
      </c>
      <c r="AO119" s="90">
        <v>0</v>
      </c>
      <c r="AP119" s="28">
        <v>0</v>
      </c>
      <c r="AQ119" s="74">
        <v>0</v>
      </c>
      <c r="AR119" s="615">
        <v>6</v>
      </c>
      <c r="AY119" s="828" t="s">
        <v>1229</v>
      </c>
      <c r="AZ119" s="114" t="s">
        <v>215</v>
      </c>
      <c r="BA119" s="115" t="s">
        <v>1256</v>
      </c>
      <c r="BB119" s="88">
        <f>IFERROR((COL_P125[[#This Row],[R]]*9)/COL_P125[[#This Row],[IP]],0)</f>
        <v>4.294478527607362</v>
      </c>
      <c r="BC119" s="28">
        <v>0</v>
      </c>
      <c r="BD119" s="74">
        <v>0</v>
      </c>
      <c r="BE119" s="28">
        <v>10</v>
      </c>
      <c r="BF119" s="584">
        <v>14.67</v>
      </c>
      <c r="BG119" s="28">
        <v>16</v>
      </c>
      <c r="BH119" s="28">
        <v>7</v>
      </c>
      <c r="BI119" s="28">
        <v>10</v>
      </c>
      <c r="BJ119" s="28">
        <v>12</v>
      </c>
      <c r="BK119" s="28">
        <v>1</v>
      </c>
      <c r="BL119" s="89">
        <f>IFERROR((COL_P125[[#This Row],[BB]]+COL_P125[[#This Row],[H]])/COL_P125[[#This Row],[IP]],0)</f>
        <v>1.7723244717109747</v>
      </c>
      <c r="BM119" s="28">
        <v>0</v>
      </c>
      <c r="BN119" s="90">
        <v>0</v>
      </c>
      <c r="BO119" s="28">
        <v>0</v>
      </c>
      <c r="BP119" s="74">
        <v>0</v>
      </c>
      <c r="BQ119" s="881">
        <v>6</v>
      </c>
    </row>
    <row r="120" spans="1:73">
      <c r="A120" s="828" t="s">
        <v>1229</v>
      </c>
      <c r="B120" s="114" t="s">
        <v>212</v>
      </c>
      <c r="C120" s="116" t="s">
        <v>1257</v>
      </c>
      <c r="D120" s="88">
        <f>IFERROR((COL_P[[#This Row],[R]]*9)/COL_P[[#This Row],[IP]],0)</f>
        <v>0</v>
      </c>
      <c r="E120" s="28">
        <v>0</v>
      </c>
      <c r="F120" s="74">
        <v>0</v>
      </c>
      <c r="G120" s="28">
        <v>0</v>
      </c>
      <c r="H120" s="584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89">
        <f>IFERROR((COL_P[[#This Row],[BB]]+COL_P[[#This Row],[H]])/COL_P[[#This Row],[IP]],0)</f>
        <v>0</v>
      </c>
      <c r="O120" s="28">
        <v>0</v>
      </c>
      <c r="P120" s="90">
        <v>0</v>
      </c>
      <c r="Q120" s="28">
        <v>0</v>
      </c>
      <c r="R120" s="74">
        <v>0</v>
      </c>
      <c r="S120" s="615">
        <v>7</v>
      </c>
      <c r="Z120" s="828" t="s">
        <v>1229</v>
      </c>
      <c r="AA120" s="114" t="s">
        <v>212</v>
      </c>
      <c r="AB120" s="116" t="s">
        <v>1257</v>
      </c>
      <c r="AC120" s="88">
        <f>IFERROR((COL_P104[[#This Row],[R]]*9)/COL_P104[[#This Row],[IP]],0)</f>
        <v>5.5384615384615383</v>
      </c>
      <c r="AD120" s="28">
        <v>0</v>
      </c>
      <c r="AE120" s="74">
        <v>2</v>
      </c>
      <c r="AF120" s="28">
        <v>5</v>
      </c>
      <c r="AG120" s="584">
        <v>13</v>
      </c>
      <c r="AH120" s="28">
        <v>16</v>
      </c>
      <c r="AI120" s="28">
        <v>8</v>
      </c>
      <c r="AJ120" s="28">
        <v>9</v>
      </c>
      <c r="AK120" s="28">
        <v>11</v>
      </c>
      <c r="AL120" s="28">
        <v>0</v>
      </c>
      <c r="AM120" s="89">
        <f>IFERROR((COL_P104[[#This Row],[BB]]+COL_P104[[#This Row],[H]])/COL_P104[[#This Row],[IP]],0)</f>
        <v>1.9230769230769231</v>
      </c>
      <c r="AN120" s="28">
        <v>0</v>
      </c>
      <c r="AO120" s="90">
        <v>0</v>
      </c>
      <c r="AP120" s="28">
        <v>0</v>
      </c>
      <c r="AQ120" s="74">
        <v>0</v>
      </c>
      <c r="AR120" s="615">
        <v>7</v>
      </c>
      <c r="AY120" s="828" t="s">
        <v>1229</v>
      </c>
      <c r="AZ120" s="114" t="s">
        <v>215</v>
      </c>
      <c r="BA120" s="115" t="s">
        <v>1257</v>
      </c>
      <c r="BB120" s="88">
        <f>IFERROR((COL_P125[[#This Row],[R]]*9)/COL_P125[[#This Row],[IP]],0)</f>
        <v>3.1153846153846154</v>
      </c>
      <c r="BC120" s="28">
        <v>2</v>
      </c>
      <c r="BD120" s="74">
        <v>2</v>
      </c>
      <c r="BE120" s="28">
        <v>18</v>
      </c>
      <c r="BF120" s="584">
        <v>26</v>
      </c>
      <c r="BG120" s="28">
        <v>18</v>
      </c>
      <c r="BH120" s="28">
        <v>9</v>
      </c>
      <c r="BI120" s="28">
        <v>18</v>
      </c>
      <c r="BJ120" s="28">
        <v>30</v>
      </c>
      <c r="BK120" s="28">
        <v>0</v>
      </c>
      <c r="BL120" s="89">
        <f>IFERROR((COL_P125[[#This Row],[BB]]+COL_P125[[#This Row],[H]])/COL_P125[[#This Row],[IP]],0)</f>
        <v>1.3846153846153846</v>
      </c>
      <c r="BM120" s="28">
        <v>0</v>
      </c>
      <c r="BN120" s="90">
        <v>0</v>
      </c>
      <c r="BO120" s="28">
        <v>0</v>
      </c>
      <c r="BP120" s="74">
        <v>0</v>
      </c>
      <c r="BQ120" s="881">
        <v>7</v>
      </c>
    </row>
    <row r="121" spans="1:73">
      <c r="A121" s="828" t="s">
        <v>1229</v>
      </c>
      <c r="B121" s="114" t="s">
        <v>212</v>
      </c>
      <c r="C121" s="116" t="s">
        <v>1259</v>
      </c>
      <c r="D121" s="88">
        <f>IFERROR((COL_P[[#This Row],[R]]*9)/COL_P[[#This Row],[IP]],0)</f>
        <v>8.7124878993223618</v>
      </c>
      <c r="E121" s="28">
        <v>0</v>
      </c>
      <c r="F121" s="74">
        <v>1</v>
      </c>
      <c r="G121" s="28">
        <v>6</v>
      </c>
      <c r="H121" s="584">
        <v>10.33</v>
      </c>
      <c r="I121" s="28">
        <v>15</v>
      </c>
      <c r="J121" s="28">
        <v>10</v>
      </c>
      <c r="K121" s="28">
        <v>5</v>
      </c>
      <c r="L121" s="28">
        <v>8</v>
      </c>
      <c r="M121" s="28">
        <v>0</v>
      </c>
      <c r="N121" s="89">
        <f>IFERROR((COL_P[[#This Row],[BB]]+COL_P[[#This Row],[H]])/COL_P[[#This Row],[IP]],0)</f>
        <v>1.936108422071636</v>
      </c>
      <c r="O121" s="28">
        <v>0</v>
      </c>
      <c r="P121" s="90">
        <v>0</v>
      </c>
      <c r="Q121" s="28">
        <v>0</v>
      </c>
      <c r="R121" s="74">
        <v>0</v>
      </c>
      <c r="S121" s="615">
        <v>8</v>
      </c>
      <c r="Z121" s="828" t="s">
        <v>1229</v>
      </c>
      <c r="AA121" s="114" t="s">
        <v>212</v>
      </c>
      <c r="AB121" s="116" t="s">
        <v>1259</v>
      </c>
      <c r="AC121" s="88">
        <f>IFERROR((COL_P104[[#This Row],[R]]*9)/COL_P104[[#This Row],[IP]],0)</f>
        <v>4.2631578947368425</v>
      </c>
      <c r="AD121" s="28">
        <v>2</v>
      </c>
      <c r="AE121" s="74">
        <v>2</v>
      </c>
      <c r="AF121" s="28">
        <v>14</v>
      </c>
      <c r="AG121" s="584">
        <v>19</v>
      </c>
      <c r="AH121" s="28">
        <v>19</v>
      </c>
      <c r="AI121" s="28">
        <v>9</v>
      </c>
      <c r="AJ121" s="28">
        <v>4</v>
      </c>
      <c r="AK121" s="28">
        <v>14</v>
      </c>
      <c r="AL121" s="28">
        <v>1</v>
      </c>
      <c r="AM121" s="89">
        <f>IFERROR((COL_P104[[#This Row],[BB]]+COL_P104[[#This Row],[H]])/COL_P104[[#This Row],[IP]],0)</f>
        <v>1.2105263157894737</v>
      </c>
      <c r="AN121" s="28">
        <v>0</v>
      </c>
      <c r="AO121" s="90">
        <v>0</v>
      </c>
      <c r="AP121" s="28">
        <v>0</v>
      </c>
      <c r="AQ121" s="74">
        <v>0</v>
      </c>
      <c r="AR121" s="615">
        <v>8</v>
      </c>
      <c r="AY121" s="828" t="s">
        <v>1229</v>
      </c>
      <c r="AZ121" s="114" t="s">
        <v>215</v>
      </c>
      <c r="BA121" s="115" t="s">
        <v>1258</v>
      </c>
      <c r="BB121" s="88">
        <f>IFERROR((COL_P125[[#This Row],[R]]*9)/COL_P125[[#This Row],[IP]],0)</f>
        <v>9.6463022508038581</v>
      </c>
      <c r="BC121" s="28">
        <v>0</v>
      </c>
      <c r="BD121" s="74">
        <v>0</v>
      </c>
      <c r="BE121" s="28">
        <v>9</v>
      </c>
      <c r="BF121" s="584">
        <v>9.33</v>
      </c>
      <c r="BG121" s="28">
        <v>14</v>
      </c>
      <c r="BH121" s="28">
        <v>10</v>
      </c>
      <c r="BI121" s="28">
        <v>13</v>
      </c>
      <c r="BJ121" s="28">
        <v>8</v>
      </c>
      <c r="BK121" s="28">
        <v>0</v>
      </c>
      <c r="BL121" s="89">
        <f>IFERROR((COL_P125[[#This Row],[BB]]+COL_P125[[#This Row],[H]])/COL_P125[[#This Row],[IP]],0)</f>
        <v>2.8938906752411575</v>
      </c>
      <c r="BM121" s="28">
        <v>0</v>
      </c>
      <c r="BN121" s="90">
        <v>0</v>
      </c>
      <c r="BO121" s="28">
        <v>0</v>
      </c>
      <c r="BP121" s="74">
        <v>0</v>
      </c>
      <c r="BQ121" s="881">
        <v>8</v>
      </c>
    </row>
    <row r="122" spans="1:73">
      <c r="A122" s="828" t="s">
        <v>1229</v>
      </c>
      <c r="B122" s="114" t="s">
        <v>212</v>
      </c>
      <c r="C122" s="116" t="s">
        <v>1260</v>
      </c>
      <c r="D122" s="88">
        <f>IFERROR((COL_P[[#This Row],[R]]*9)/COL_P[[#This Row],[IP]],0)</f>
        <v>8.8827477299644695</v>
      </c>
      <c r="E122" s="28">
        <v>1</v>
      </c>
      <c r="F122" s="74">
        <v>1</v>
      </c>
      <c r="G122" s="28">
        <v>19</v>
      </c>
      <c r="H122" s="584">
        <v>25.33</v>
      </c>
      <c r="I122" s="28">
        <v>37</v>
      </c>
      <c r="J122" s="28">
        <v>25</v>
      </c>
      <c r="K122" s="28">
        <v>13</v>
      </c>
      <c r="L122" s="28">
        <v>26</v>
      </c>
      <c r="M122" s="28">
        <v>1</v>
      </c>
      <c r="N122" s="89">
        <f>IFERROR((COL_P[[#This Row],[BB]]+COL_P[[#This Row],[H]])/COL_P[[#This Row],[IP]],0)</f>
        <v>1.9739439399921044</v>
      </c>
      <c r="O122" s="28">
        <v>0</v>
      </c>
      <c r="P122" s="90">
        <v>0</v>
      </c>
      <c r="Q122" s="28">
        <v>0</v>
      </c>
      <c r="R122" s="74">
        <v>0</v>
      </c>
      <c r="S122" s="615">
        <v>9</v>
      </c>
      <c r="Z122" s="828" t="s">
        <v>1229</v>
      </c>
      <c r="AA122" s="114" t="s">
        <v>212</v>
      </c>
      <c r="AB122" s="116" t="s">
        <v>1260</v>
      </c>
      <c r="AC122" s="88">
        <f>IFERROR((COL_P104[[#This Row],[R]]*9)/COL_P104[[#This Row],[IP]],0)</f>
        <v>2.3483365949119372</v>
      </c>
      <c r="AD122" s="28">
        <v>1</v>
      </c>
      <c r="AE122" s="74">
        <v>1</v>
      </c>
      <c r="AF122" s="28">
        <v>11</v>
      </c>
      <c r="AG122" s="584">
        <v>15.33</v>
      </c>
      <c r="AH122" s="28">
        <v>10</v>
      </c>
      <c r="AI122" s="28">
        <v>4</v>
      </c>
      <c r="AJ122" s="28">
        <v>4</v>
      </c>
      <c r="AK122" s="28">
        <v>17</v>
      </c>
      <c r="AL122" s="28">
        <v>0</v>
      </c>
      <c r="AM122" s="89">
        <f>IFERROR((COL_P104[[#This Row],[BB]]+COL_P104[[#This Row],[H]])/COL_P104[[#This Row],[IP]],0)</f>
        <v>0.91324200913242004</v>
      </c>
      <c r="AN122" s="28">
        <v>0</v>
      </c>
      <c r="AO122" s="90">
        <v>0</v>
      </c>
      <c r="AP122" s="28">
        <v>0</v>
      </c>
      <c r="AQ122" s="74">
        <v>0</v>
      </c>
      <c r="AR122" s="615">
        <v>9</v>
      </c>
      <c r="AY122" s="828" t="s">
        <v>1229</v>
      </c>
      <c r="AZ122" s="114" t="s">
        <v>212</v>
      </c>
      <c r="BA122" s="115" t="s">
        <v>1260</v>
      </c>
      <c r="BB122" s="88">
        <f>IFERROR((COL_P125[[#This Row],[R]]*9)/COL_P125[[#This Row],[IP]],0)</f>
        <v>3.1159838430467399</v>
      </c>
      <c r="BC122" s="28">
        <v>0</v>
      </c>
      <c r="BD122" s="74">
        <v>0</v>
      </c>
      <c r="BE122" s="28">
        <v>18</v>
      </c>
      <c r="BF122" s="584">
        <v>17.329999999999998</v>
      </c>
      <c r="BG122" s="28">
        <v>13</v>
      </c>
      <c r="BH122" s="28">
        <v>6</v>
      </c>
      <c r="BI122" s="28">
        <v>15</v>
      </c>
      <c r="BJ122" s="28">
        <v>17</v>
      </c>
      <c r="BK122" s="28">
        <v>2</v>
      </c>
      <c r="BL122" s="89">
        <f>IFERROR((COL_P125[[#This Row],[BB]]+COL_P125[[#This Row],[H]])/COL_P125[[#This Row],[IP]],0)</f>
        <v>1.6156953260242355</v>
      </c>
      <c r="BM122" s="28">
        <v>0</v>
      </c>
      <c r="BN122" s="90">
        <v>0</v>
      </c>
      <c r="BO122" s="28">
        <v>0</v>
      </c>
      <c r="BP122" s="74">
        <v>0</v>
      </c>
      <c r="BQ122" s="881">
        <v>9</v>
      </c>
    </row>
    <row r="123" spans="1:73" ht="17" thickBot="1">
      <c r="A123" s="828" t="s">
        <v>1229</v>
      </c>
      <c r="B123" s="114" t="s">
        <v>212</v>
      </c>
      <c r="C123" s="116" t="s">
        <v>1261</v>
      </c>
      <c r="D123" s="88">
        <f>IFERROR((COL_P[[#This Row],[R]]*9)/COL_P[[#This Row],[IP]],0)</f>
        <v>6.5769230769230766</v>
      </c>
      <c r="E123" s="28">
        <v>3</v>
      </c>
      <c r="F123" s="74">
        <v>2</v>
      </c>
      <c r="G123" s="28">
        <v>20</v>
      </c>
      <c r="H123" s="584">
        <v>26</v>
      </c>
      <c r="I123" s="28">
        <v>31</v>
      </c>
      <c r="J123" s="28">
        <v>19</v>
      </c>
      <c r="K123" s="28">
        <v>10</v>
      </c>
      <c r="L123" s="28">
        <v>21</v>
      </c>
      <c r="M123" s="28">
        <v>5</v>
      </c>
      <c r="N123" s="89">
        <f>IFERROR((COL_P[[#This Row],[BB]]+COL_P[[#This Row],[H]])/COL_P[[#This Row],[IP]],0)</f>
        <v>1.5769230769230769</v>
      </c>
      <c r="O123" s="28">
        <v>0</v>
      </c>
      <c r="P123" s="90">
        <v>0</v>
      </c>
      <c r="Q123" s="28">
        <v>0</v>
      </c>
      <c r="R123" s="74">
        <v>0</v>
      </c>
      <c r="S123" s="615">
        <v>10</v>
      </c>
      <c r="Z123" s="828" t="s">
        <v>1229</v>
      </c>
      <c r="AA123" s="114" t="s">
        <v>212</v>
      </c>
      <c r="AB123" s="116" t="s">
        <v>1261</v>
      </c>
      <c r="AC123" s="88">
        <f>IFERROR((COL_P104[[#This Row],[R]]*9)/COL_P104[[#This Row],[IP]],0)</f>
        <v>6.4116985376827893</v>
      </c>
      <c r="AD123" s="28">
        <v>1</v>
      </c>
      <c r="AE123" s="74">
        <v>3</v>
      </c>
      <c r="AF123" s="28">
        <v>19</v>
      </c>
      <c r="AG123" s="584">
        <v>26.67</v>
      </c>
      <c r="AH123" s="28">
        <v>33</v>
      </c>
      <c r="AI123" s="28">
        <v>19</v>
      </c>
      <c r="AJ123" s="28">
        <v>14</v>
      </c>
      <c r="AK123" s="28">
        <v>22</v>
      </c>
      <c r="AL123" s="28">
        <v>4</v>
      </c>
      <c r="AM123" s="89">
        <f>IFERROR((COL_P104[[#This Row],[BB]]+COL_P104[[#This Row],[H]])/COL_P104[[#This Row],[IP]],0)</f>
        <v>1.7622797150356204</v>
      </c>
      <c r="AN123" s="28">
        <v>0</v>
      </c>
      <c r="AO123" s="90">
        <v>0</v>
      </c>
      <c r="AP123" s="28">
        <v>0</v>
      </c>
      <c r="AQ123" s="74">
        <v>0</v>
      </c>
      <c r="AR123" s="615">
        <v>10</v>
      </c>
      <c r="AY123" s="828" t="s">
        <v>1229</v>
      </c>
      <c r="AZ123" s="114" t="s">
        <v>212</v>
      </c>
      <c r="BA123" s="115" t="s">
        <v>1261</v>
      </c>
      <c r="BB123" s="88">
        <f>IFERROR((COL_P125[[#This Row],[R]]*9)/COL_P125[[#This Row],[IP]],0)</f>
        <v>9.5294117647058822</v>
      </c>
      <c r="BC123" s="28">
        <v>2</v>
      </c>
      <c r="BD123" s="74">
        <v>3</v>
      </c>
      <c r="BE123" s="28">
        <v>17</v>
      </c>
      <c r="BF123" s="584">
        <v>17</v>
      </c>
      <c r="BG123" s="28">
        <v>20</v>
      </c>
      <c r="BH123" s="28">
        <v>18</v>
      </c>
      <c r="BI123" s="28">
        <v>11</v>
      </c>
      <c r="BJ123" s="28">
        <v>20</v>
      </c>
      <c r="BK123" s="28">
        <v>4</v>
      </c>
      <c r="BL123" s="89">
        <f>IFERROR((COL_P125[[#This Row],[BB]]+COL_P125[[#This Row],[H]])/COL_P125[[#This Row],[IP]],0)</f>
        <v>1.8235294117647058</v>
      </c>
      <c r="BM123" s="28">
        <v>0</v>
      </c>
      <c r="BN123" s="90">
        <v>0</v>
      </c>
      <c r="BO123" s="28">
        <v>0</v>
      </c>
      <c r="BP123" s="74">
        <v>0</v>
      </c>
      <c r="BQ123" s="881">
        <v>10</v>
      </c>
    </row>
    <row r="124" spans="1:73" ht="17" thickBot="1">
      <c r="A124" s="867"/>
      <c r="B124" s="868"/>
      <c r="C124" s="869" t="s">
        <v>195</v>
      </c>
      <c r="D124" s="709">
        <f>(J124*9)/H124</f>
        <v>6.5067030996499025</v>
      </c>
      <c r="E124" s="622">
        <f>SUBTOTAL(109,COL_P[W])</f>
        <v>13</v>
      </c>
      <c r="F124" s="625">
        <f>SUBTOTAL(109,COL_P[L])</f>
        <v>27</v>
      </c>
      <c r="G124" s="622"/>
      <c r="H124" s="642">
        <f>SUBTOTAL(109,COL_P[IP])</f>
        <v>351.33</v>
      </c>
      <c r="I124" s="622">
        <f>SUBTOTAL(109,COL_P[H])</f>
        <v>460</v>
      </c>
      <c r="J124" s="622">
        <f>SUBTOTAL(109,COL_P[R])</f>
        <v>254</v>
      </c>
      <c r="K124" s="622">
        <f>SUBTOTAL(109,COL_P[BB])</f>
        <v>145</v>
      </c>
      <c r="L124" s="622">
        <f>SUBTOTAL(109,COL_P[K])</f>
        <v>276</v>
      </c>
      <c r="M124" s="622">
        <f>SUBTOTAL(109,COL_P[SV])</f>
        <v>9</v>
      </c>
      <c r="N124" s="749">
        <f>(K124+I124)/H124</f>
        <v>1.7220277232231807</v>
      </c>
      <c r="O124" s="645">
        <f>SUBTOTAL(109,COL_P[QS])</f>
        <v>13</v>
      </c>
      <c r="P124" s="646">
        <f>SUBTOTAL(109,COL_P[UQ])</f>
        <v>8</v>
      </c>
      <c r="Q124" s="647">
        <f>SUBTOTAL(109,COL_P[CG])</f>
        <v>1</v>
      </c>
      <c r="R124" s="648">
        <f>SUBTOTAL(109,COL_P[SH])</f>
        <v>0</v>
      </c>
      <c r="S124" s="649"/>
      <c r="Z124" s="867"/>
      <c r="AA124" s="868"/>
      <c r="AB124" s="869" t="s">
        <v>195</v>
      </c>
      <c r="AC124" s="709">
        <f>(AI124*9)/AG124</f>
        <v>5.2733879827600783</v>
      </c>
      <c r="AD124" s="622">
        <f>SUBTOTAL(109,COL_P104[W])</f>
        <v>16</v>
      </c>
      <c r="AE124" s="625">
        <f>SUBTOTAL(109,COL_P104[L])</f>
        <v>24</v>
      </c>
      <c r="AF124" s="622"/>
      <c r="AG124" s="642">
        <f>SUBTOTAL(109,COL_P104[IP])</f>
        <v>354.98999999999995</v>
      </c>
      <c r="AH124" s="622">
        <f>SUBTOTAL(109,COL_P104[H])</f>
        <v>400</v>
      </c>
      <c r="AI124" s="622">
        <f>SUBTOTAL(109,COL_P104[R])</f>
        <v>208</v>
      </c>
      <c r="AJ124" s="622">
        <f>SUBTOTAL(109,COL_P104[BB])</f>
        <v>134</v>
      </c>
      <c r="AK124" s="622">
        <f>SUBTOTAL(109,COL_P104[K])</f>
        <v>270</v>
      </c>
      <c r="AL124" s="622">
        <f>SUBTOTAL(109,COL_P104[SV])</f>
        <v>5</v>
      </c>
      <c r="AM124" s="749">
        <f>(AJ124+AH124)/AG124</f>
        <v>1.5042677258514325</v>
      </c>
      <c r="AN124" s="645">
        <f>SUBTOTAL(109,COL_P104[QS])</f>
        <v>16</v>
      </c>
      <c r="AO124" s="646">
        <f>SUBTOTAL(109,COL_P104[UQ])</f>
        <v>11</v>
      </c>
      <c r="AP124" s="647">
        <f>SUBTOTAL(109,COL_P104[CG])</f>
        <v>3</v>
      </c>
      <c r="AQ124" s="648">
        <f>SUBTOTAL(109,COL_P104[SH])</f>
        <v>2</v>
      </c>
      <c r="AR124" s="649"/>
      <c r="AY124" s="867"/>
      <c r="AZ124" s="868"/>
      <c r="BA124" s="869" t="s">
        <v>195</v>
      </c>
      <c r="BB124" s="709">
        <f>IFERROR((BH124*9)/BF124,0)</f>
        <v>5.4793388429752063</v>
      </c>
      <c r="BC124" s="622">
        <f>SUBTOTAL(109,COL_P125[W])</f>
        <v>18</v>
      </c>
      <c r="BD124" s="625">
        <f>SUBTOTAL(109,COL_P125[L])</f>
        <v>22</v>
      </c>
      <c r="BE124" s="622"/>
      <c r="BF124" s="642">
        <f>SUBTOTAL(109,COL_P125[IP])</f>
        <v>363</v>
      </c>
      <c r="BG124" s="622">
        <f>SUBTOTAL(109,COL_P125[H])</f>
        <v>418</v>
      </c>
      <c r="BH124" s="622">
        <f>SUBTOTAL(109,COL_P125[R])</f>
        <v>221</v>
      </c>
      <c r="BI124" s="622">
        <f>SUBTOTAL(109,COL_P125[BB])</f>
        <v>178</v>
      </c>
      <c r="BJ124" s="622">
        <f>SUBTOTAL(109,COL_P125[K])</f>
        <v>311</v>
      </c>
      <c r="BK124" s="622">
        <f>SUBTOTAL(109,COL_P125[SV])</f>
        <v>7</v>
      </c>
      <c r="BL124" s="749">
        <f>(BI124+BG124)/BF124</f>
        <v>1.6418732782369145</v>
      </c>
      <c r="BM124" s="645">
        <f>SUBTOTAL(109,COL_P125[QS])</f>
        <v>21</v>
      </c>
      <c r="BN124" s="646">
        <f>SUBTOTAL(109,COL_P125[UQ])</f>
        <v>7</v>
      </c>
      <c r="BO124" s="647">
        <f>SUM(BO114:BO123)</f>
        <v>2</v>
      </c>
      <c r="BP124" s="648">
        <f>SUM(BP114:BP123)</f>
        <v>1</v>
      </c>
      <c r="BQ124" s="649"/>
    </row>
    <row r="125" spans="1:73" ht="17" thickBot="1"/>
    <row r="126" spans="1:73" ht="24" thickBot="1">
      <c r="A126" s="1057" t="s">
        <v>1262</v>
      </c>
      <c r="B126" s="1058"/>
      <c r="C126" s="1058"/>
      <c r="D126" s="1058"/>
      <c r="E126" s="1058"/>
      <c r="F126" s="1058"/>
      <c r="G126" s="1058"/>
      <c r="H126" s="1058"/>
      <c r="I126" s="1058"/>
      <c r="J126" s="1058"/>
      <c r="K126" s="1058"/>
      <c r="L126" s="1058"/>
      <c r="M126" s="1058"/>
      <c r="N126" s="1058"/>
      <c r="O126" s="1058"/>
      <c r="P126" s="1058"/>
      <c r="Q126" s="1058"/>
      <c r="R126" s="1058"/>
      <c r="S126" s="1058"/>
      <c r="T126" s="1058"/>
      <c r="U126" s="1058"/>
      <c r="V126" s="1058"/>
      <c r="W126" s="1059"/>
      <c r="Z126" s="1057" t="s">
        <v>1263</v>
      </c>
      <c r="AA126" s="1058"/>
      <c r="AB126" s="1058"/>
      <c r="AC126" s="1058"/>
      <c r="AD126" s="1058"/>
      <c r="AE126" s="1058"/>
      <c r="AF126" s="1058"/>
      <c r="AG126" s="1058"/>
      <c r="AH126" s="1058"/>
      <c r="AI126" s="1058"/>
      <c r="AJ126" s="1058"/>
      <c r="AK126" s="1058"/>
      <c r="AL126" s="1058"/>
      <c r="AM126" s="1058"/>
      <c r="AN126" s="1058"/>
      <c r="AO126" s="1058"/>
      <c r="AP126" s="1058"/>
      <c r="AQ126" s="1058"/>
      <c r="AR126" s="1058"/>
      <c r="AS126" s="1058"/>
      <c r="AT126" s="1058"/>
      <c r="AU126" s="1058"/>
      <c r="AV126" s="1059"/>
      <c r="AY126" s="1057" t="s">
        <v>1264</v>
      </c>
      <c r="AZ126" s="1058"/>
      <c r="BA126" s="1058"/>
      <c r="BB126" s="1058"/>
      <c r="BC126" s="1058"/>
      <c r="BD126" s="1058"/>
      <c r="BE126" s="1058"/>
      <c r="BF126" s="1058"/>
      <c r="BG126" s="1058"/>
      <c r="BH126" s="1058"/>
      <c r="BI126" s="1058"/>
      <c r="BJ126" s="1058"/>
      <c r="BK126" s="1058"/>
      <c r="BL126" s="1058"/>
      <c r="BM126" s="1058"/>
      <c r="BN126" s="1058"/>
      <c r="BO126" s="1058"/>
      <c r="BP126" s="1058"/>
      <c r="BQ126" s="1058"/>
      <c r="BR126" s="1058"/>
      <c r="BS126" s="1058"/>
      <c r="BT126" s="1058"/>
      <c r="BU126" s="1059"/>
    </row>
    <row r="127" spans="1:73" s="108" customFormat="1" ht="15" thickBot="1">
      <c r="A127" s="605" t="s">
        <v>143</v>
      </c>
      <c r="B127" s="606" t="s">
        <v>144</v>
      </c>
      <c r="C127" s="606" t="s">
        <v>145</v>
      </c>
      <c r="D127" s="606" t="s">
        <v>146</v>
      </c>
      <c r="E127" s="606" t="s">
        <v>147</v>
      </c>
      <c r="F127" s="606" t="s">
        <v>148</v>
      </c>
      <c r="G127" s="606" t="s">
        <v>149</v>
      </c>
      <c r="H127" s="606" t="s">
        <v>150</v>
      </c>
      <c r="I127" s="606" t="s">
        <v>151</v>
      </c>
      <c r="J127" s="606" t="s">
        <v>152</v>
      </c>
      <c r="K127" s="606" t="s">
        <v>153</v>
      </c>
      <c r="L127" s="606" t="s">
        <v>154</v>
      </c>
      <c r="M127" s="606" t="s">
        <v>155</v>
      </c>
      <c r="N127" s="606" t="s">
        <v>156</v>
      </c>
      <c r="O127" s="606" t="s">
        <v>157</v>
      </c>
      <c r="P127" s="606" t="s">
        <v>158</v>
      </c>
      <c r="Q127" s="606" t="s">
        <v>159</v>
      </c>
      <c r="R127" s="606" t="s">
        <v>160</v>
      </c>
      <c r="S127" s="606" t="s">
        <v>16</v>
      </c>
      <c r="T127" s="606" t="s">
        <v>161</v>
      </c>
      <c r="U127" s="606" t="s">
        <v>162</v>
      </c>
      <c r="V127" s="606" t="s">
        <v>163</v>
      </c>
      <c r="W127" s="607" t="s">
        <v>164</v>
      </c>
      <c r="Z127" s="605" t="s">
        <v>143</v>
      </c>
      <c r="AA127" s="606" t="s">
        <v>144</v>
      </c>
      <c r="AB127" s="606" t="s">
        <v>145</v>
      </c>
      <c r="AC127" s="606" t="s">
        <v>146</v>
      </c>
      <c r="AD127" s="606" t="s">
        <v>147</v>
      </c>
      <c r="AE127" s="606" t="s">
        <v>148</v>
      </c>
      <c r="AF127" s="606" t="s">
        <v>149</v>
      </c>
      <c r="AG127" s="606" t="s">
        <v>150</v>
      </c>
      <c r="AH127" s="606" t="s">
        <v>151</v>
      </c>
      <c r="AI127" s="606" t="s">
        <v>152</v>
      </c>
      <c r="AJ127" s="606" t="s">
        <v>153</v>
      </c>
      <c r="AK127" s="606" t="s">
        <v>154</v>
      </c>
      <c r="AL127" s="606" t="s">
        <v>155</v>
      </c>
      <c r="AM127" s="606" t="s">
        <v>156</v>
      </c>
      <c r="AN127" s="606" t="s">
        <v>157</v>
      </c>
      <c r="AO127" s="606" t="s">
        <v>158</v>
      </c>
      <c r="AP127" s="606" t="s">
        <v>159</v>
      </c>
      <c r="AQ127" s="606" t="s">
        <v>160</v>
      </c>
      <c r="AR127" s="606" t="s">
        <v>16</v>
      </c>
      <c r="AS127" s="606" t="s">
        <v>161</v>
      </c>
      <c r="AT127" s="606" t="s">
        <v>162</v>
      </c>
      <c r="AU127" s="606" t="s">
        <v>163</v>
      </c>
      <c r="AV127" s="607" t="s">
        <v>164</v>
      </c>
      <c r="AY127" s="605" t="s">
        <v>143</v>
      </c>
      <c r="AZ127" s="606" t="s">
        <v>144</v>
      </c>
      <c r="BA127" s="606" t="s">
        <v>145</v>
      </c>
      <c r="BB127" s="606" t="s">
        <v>146</v>
      </c>
      <c r="BC127" s="606" t="s">
        <v>147</v>
      </c>
      <c r="BD127" s="606" t="s">
        <v>148</v>
      </c>
      <c r="BE127" s="606" t="s">
        <v>149</v>
      </c>
      <c r="BF127" s="606" t="s">
        <v>150</v>
      </c>
      <c r="BG127" s="606" t="s">
        <v>151</v>
      </c>
      <c r="BH127" s="606" t="s">
        <v>152</v>
      </c>
      <c r="BI127" s="606" t="s">
        <v>153</v>
      </c>
      <c r="BJ127" s="606" t="s">
        <v>154</v>
      </c>
      <c r="BK127" s="606" t="s">
        <v>155</v>
      </c>
      <c r="BL127" s="606" t="s">
        <v>156</v>
      </c>
      <c r="BM127" s="606" t="s">
        <v>157</v>
      </c>
      <c r="BN127" s="606" t="s">
        <v>158</v>
      </c>
      <c r="BO127" s="606" t="s">
        <v>159</v>
      </c>
      <c r="BP127" s="606" t="s">
        <v>160</v>
      </c>
      <c r="BQ127" s="606" t="s">
        <v>16</v>
      </c>
      <c r="BR127" s="606" t="s">
        <v>161</v>
      </c>
      <c r="BS127" s="606" t="s">
        <v>162</v>
      </c>
      <c r="BT127" s="606" t="s">
        <v>163</v>
      </c>
      <c r="BU127" s="607" t="s">
        <v>164</v>
      </c>
    </row>
    <row r="128" spans="1:73">
      <c r="A128" s="650" t="s">
        <v>1265</v>
      </c>
      <c r="B128" s="597" t="s">
        <v>179</v>
      </c>
      <c r="C128" s="597" t="s">
        <v>1277</v>
      </c>
      <c r="D128" s="598">
        <f>IFERROR(ARI_H[[#This Row],[H]]/ARI_H[[#This Row],[AB]],0)</f>
        <v>0.25</v>
      </c>
      <c r="E128" s="598">
        <f>IFERROR((ARI_H[[#This Row],[H]]+ARI_H[[#This Row],[BB]])/(ARI_H[[#This Row],[BB]]+ARI_H[[#This Row],[AB]]),0)</f>
        <v>0.32450331125827814</v>
      </c>
      <c r="F128" s="599">
        <f>IFERROR(((ARI_H[[#This Row],[H]]-ARI_H[[#This Row],[2B]]-ARI_H[[#This Row],[3B]]-ARI_H[[#This Row],[HR]])+(ARI_H[[#This Row],[2B]]*2)+(ARI_H[[#This Row],[3B]]*3)+(ARI_H[[#This Row],[HR]]*4))/ARI_H[[#This Row],[AB]],0)</f>
        <v>0.3014705882352941</v>
      </c>
      <c r="G128" s="600">
        <v>38</v>
      </c>
      <c r="H128" s="600">
        <v>136</v>
      </c>
      <c r="I128" s="600">
        <v>22</v>
      </c>
      <c r="J128" s="600">
        <v>34</v>
      </c>
      <c r="K128" s="600">
        <v>7</v>
      </c>
      <c r="L128" s="600">
        <v>0</v>
      </c>
      <c r="M128" s="600">
        <v>0</v>
      </c>
      <c r="N128" s="600">
        <v>10</v>
      </c>
      <c r="O128" s="600">
        <v>15</v>
      </c>
      <c r="P128" s="604">
        <v>34</v>
      </c>
      <c r="Q128" s="600">
        <v>0</v>
      </c>
      <c r="R128" s="600">
        <v>2</v>
      </c>
      <c r="S128" s="604">
        <v>4</v>
      </c>
      <c r="T128" s="600">
        <f>IFERROR((ARI_H[[#This Row],[H]]-ARI_H[[#This Row],[2B]]-ARI_H[[#This Row],[3B]]-ARI_H[[#This Row],[HR]])+(ARI_H[[#This Row],[2B]]*2)+(ARI_H[[#This Row],[3B]]*3)+(ARI_H[[#This Row],[HR]]*4),0)</f>
        <v>41</v>
      </c>
      <c r="U128" s="598">
        <f>ARI_H[[#This Row],[OBP]]+ARI_H[[#This Row],[SLG]]</f>
        <v>0.62597389949357218</v>
      </c>
      <c r="V128" s="604">
        <v>0</v>
      </c>
      <c r="W128" s="614">
        <v>1</v>
      </c>
      <c r="Z128" s="650" t="s">
        <v>1265</v>
      </c>
      <c r="AA128" s="597" t="s">
        <v>179</v>
      </c>
      <c r="AB128" s="597" t="s">
        <v>1271</v>
      </c>
      <c r="AC128" s="598">
        <f>IFERROR(ARI_H113[[#This Row],[H]]/ARI_H113[[#This Row],[AB]],0)</f>
        <v>0.23469387755102042</v>
      </c>
      <c r="AD128" s="598">
        <f>IFERROR((ARI_H113[[#This Row],[H]]+ARI_H113[[#This Row],[BB]])/(ARI_H113[[#This Row],[BB]]+ARI_H113[[#This Row],[AB]]),0)</f>
        <v>0.29906542056074764</v>
      </c>
      <c r="AE128" s="599">
        <f>IFERROR(((ARI_H113[[#This Row],[H]]-ARI_H113[[#This Row],[2B]]-ARI_H113[[#This Row],[3B]]-ARI_H113[[#This Row],[HR]])+(ARI_H113[[#This Row],[2B]]*2)+(ARI_H113[[#This Row],[3B]]*3)+(ARI_H113[[#This Row],[HR]]*4))/ARI_H113[[#This Row],[AB]],0)</f>
        <v>0.40816326530612246</v>
      </c>
      <c r="AF128" s="600">
        <v>28</v>
      </c>
      <c r="AG128" s="600">
        <v>98</v>
      </c>
      <c r="AH128" s="600">
        <v>6</v>
      </c>
      <c r="AI128" s="600">
        <v>23</v>
      </c>
      <c r="AJ128" s="600">
        <v>5</v>
      </c>
      <c r="AK128" s="600">
        <v>0</v>
      </c>
      <c r="AL128" s="600">
        <v>4</v>
      </c>
      <c r="AM128" s="600">
        <v>11</v>
      </c>
      <c r="AN128" s="600">
        <v>9</v>
      </c>
      <c r="AO128" s="604">
        <v>27</v>
      </c>
      <c r="AP128" s="600">
        <v>0</v>
      </c>
      <c r="AQ128" s="600">
        <v>0</v>
      </c>
      <c r="AR128" s="604">
        <v>5</v>
      </c>
      <c r="AS128" s="600">
        <f>IFERROR((ARI_H113[[#This Row],[H]]-ARI_H113[[#This Row],[2B]]-ARI_H113[[#This Row],[3B]]-ARI_H113[[#This Row],[HR]])+(ARI_H113[[#This Row],[2B]]*2)+(ARI_H113[[#This Row],[3B]]*3)+(ARI_H113[[#This Row],[HR]]*4),0)</f>
        <v>40</v>
      </c>
      <c r="AT128" s="598">
        <f>ARI_H113[[#This Row],[OBP]]+ARI_H113[[#This Row],[SLG]]</f>
        <v>0.70722868586687015</v>
      </c>
      <c r="AU128" s="604">
        <v>2</v>
      </c>
      <c r="AV128" s="614">
        <v>1</v>
      </c>
      <c r="AY128" s="650" t="s">
        <v>1265</v>
      </c>
      <c r="AZ128" s="604" t="s">
        <v>179</v>
      </c>
      <c r="BA128" s="597" t="s">
        <v>1271</v>
      </c>
      <c r="BB128" s="598">
        <f>IFERROR(ARI_H124[[#This Row],[H]]/ARI_H124[[#This Row],[AB]],0)</f>
        <v>0.27692307692307694</v>
      </c>
      <c r="BC128" s="598">
        <f>IFERROR((ARI_H124[[#This Row],[BB]]+ARI_H124[[#This Row],[H]])/(ARI_H124[[#This Row],[BB]]+ARI_H124[[#This Row],[AB]]),0)</f>
        <v>0.34722222222222221</v>
      </c>
      <c r="BD128" s="599">
        <f>IFERROR(((ARI_H124[[#This Row],[H]]-ARI_H124[[#This Row],[2B]]-ARI_H124[[#This Row],[3B]]-ARI_H124[[#This Row],[HR]])+(ARI_H124[[#This Row],[2B]]*2)+(ARI_H124[[#This Row],[3B]]*3)+(ARI_H124[[#This Row],[HR]]*4))/ARI_H124[[#This Row],[AB]],0)</f>
        <v>0.48461538461538461</v>
      </c>
      <c r="BE128" s="600">
        <v>37</v>
      </c>
      <c r="BF128" s="600">
        <v>130</v>
      </c>
      <c r="BG128" s="600">
        <v>18</v>
      </c>
      <c r="BH128" s="600">
        <v>36</v>
      </c>
      <c r="BI128" s="600">
        <v>6</v>
      </c>
      <c r="BJ128" s="600">
        <v>0</v>
      </c>
      <c r="BK128" s="600">
        <v>7</v>
      </c>
      <c r="BL128" s="600">
        <v>19</v>
      </c>
      <c r="BM128" s="600">
        <v>14</v>
      </c>
      <c r="BN128" s="604">
        <v>22</v>
      </c>
      <c r="BO128" s="600">
        <v>0</v>
      </c>
      <c r="BP128" s="600">
        <v>3</v>
      </c>
      <c r="BQ128" s="604">
        <v>5</v>
      </c>
      <c r="BR128" s="600">
        <f>(ARI_H124[[#This Row],[H]]-ARI_H124[[#This Row],[2B]]-ARI_H124[[#This Row],[3B]]-ARI_H124[[#This Row],[HR]])+(ARI_H124[[#This Row],[2B]]*2)+(ARI_H124[[#This Row],[3B]]*3)+(ARI_H124[[#This Row],[HR]]*4)</f>
        <v>63</v>
      </c>
      <c r="BS128" s="598">
        <f>IFERROR(ARI_H124[[#This Row],[OBP]]+ARI_H124[[#This Row],[SLG]],0)</f>
        <v>0.83183760683760677</v>
      </c>
      <c r="BT128" s="604">
        <v>2</v>
      </c>
      <c r="BU128" s="614">
        <v>1</v>
      </c>
    </row>
    <row r="129" spans="1:73">
      <c r="A129" s="651" t="s">
        <v>1265</v>
      </c>
      <c r="B129" s="345" t="s">
        <v>154</v>
      </c>
      <c r="C129" s="71" t="s">
        <v>719</v>
      </c>
      <c r="D129" s="72">
        <f>IFERROR(ARI_H[[#This Row],[H]]/ARI_H[[#This Row],[AB]],0)</f>
        <v>0.33540372670807456</v>
      </c>
      <c r="E129" s="72">
        <f>IFERROR((ARI_H[[#This Row],[H]]+ARI_H[[#This Row],[BB]])/(ARI_H[[#This Row],[BB]]+ARI_H[[#This Row],[AB]]),0)</f>
        <v>0.41530054644808745</v>
      </c>
      <c r="F129" s="73">
        <f>IFERROR(((ARI_H[[#This Row],[H]]-ARI_H[[#This Row],[2B]]-ARI_H[[#This Row],[3B]]-ARI_H[[#This Row],[HR]])+(ARI_H[[#This Row],[2B]]*2)+(ARI_H[[#This Row],[3B]]*3)+(ARI_H[[#This Row],[HR]]*4))/ARI_H[[#This Row],[AB]],0)</f>
        <v>0.6149068322981367</v>
      </c>
      <c r="G129" s="28">
        <v>40</v>
      </c>
      <c r="H129" s="28">
        <v>161</v>
      </c>
      <c r="I129" s="76">
        <v>35</v>
      </c>
      <c r="J129" s="28">
        <v>54</v>
      </c>
      <c r="K129" s="28">
        <v>15</v>
      </c>
      <c r="L129" s="28">
        <v>0</v>
      </c>
      <c r="M129" s="28">
        <v>10</v>
      </c>
      <c r="N129" s="28">
        <v>33</v>
      </c>
      <c r="O129" s="28">
        <v>22</v>
      </c>
      <c r="P129" s="74">
        <v>39</v>
      </c>
      <c r="Q129" s="28">
        <v>0</v>
      </c>
      <c r="R129" s="28">
        <v>9</v>
      </c>
      <c r="S129" s="74">
        <v>9</v>
      </c>
      <c r="T129" s="28">
        <f>IFERROR((ARI_H[[#This Row],[H]]-ARI_H[[#This Row],[2B]]-ARI_H[[#This Row],[3B]]-ARI_H[[#This Row],[HR]])+(ARI_H[[#This Row],[2B]]*2)+(ARI_H[[#This Row],[3B]]*3)+(ARI_H[[#This Row],[HR]]*4),0)</f>
        <v>99</v>
      </c>
      <c r="U129" s="72">
        <f>ARI_H[[#This Row],[OBP]]+ARI_H[[#This Row],[SLG]]</f>
        <v>1.030207378746224</v>
      </c>
      <c r="V129" s="74">
        <v>3</v>
      </c>
      <c r="W129" s="615">
        <v>2</v>
      </c>
      <c r="Z129" s="651" t="s">
        <v>1265</v>
      </c>
      <c r="AA129" s="71" t="s">
        <v>154</v>
      </c>
      <c r="AB129" s="71" t="s">
        <v>1268</v>
      </c>
      <c r="AC129" s="72">
        <f>IFERROR(ARI_H113[[#This Row],[H]]/ARI_H113[[#This Row],[AB]],0)</f>
        <v>0.22147651006711411</v>
      </c>
      <c r="AD129" s="72">
        <f>IFERROR((ARI_H113[[#This Row],[H]]+ARI_H113[[#This Row],[BB]])/(ARI_H113[[#This Row],[BB]]+ARI_H113[[#This Row],[AB]]),0)</f>
        <v>0.27950310559006208</v>
      </c>
      <c r="AE129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0.42953020134228187</v>
      </c>
      <c r="AF129" s="28">
        <v>38</v>
      </c>
      <c r="AG129" s="28">
        <v>149</v>
      </c>
      <c r="AH129" s="28">
        <v>15</v>
      </c>
      <c r="AI129" s="28">
        <v>33</v>
      </c>
      <c r="AJ129" s="28">
        <v>7</v>
      </c>
      <c r="AK129" s="28">
        <v>0</v>
      </c>
      <c r="AL129" s="28">
        <v>8</v>
      </c>
      <c r="AM129" s="28">
        <v>18</v>
      </c>
      <c r="AN129" s="28">
        <v>12</v>
      </c>
      <c r="AO129" s="74">
        <v>30</v>
      </c>
      <c r="AP129" s="28">
        <v>0</v>
      </c>
      <c r="AQ129" s="28">
        <v>2</v>
      </c>
      <c r="AR129" s="74">
        <v>6</v>
      </c>
      <c r="AS129" s="28">
        <f>IFERROR((ARI_H113[[#This Row],[H]]-ARI_H113[[#This Row],[2B]]-ARI_H113[[#This Row],[3B]]-ARI_H113[[#This Row],[HR]])+(ARI_H113[[#This Row],[2B]]*2)+(ARI_H113[[#This Row],[3B]]*3)+(ARI_H113[[#This Row],[HR]]*4),0)</f>
        <v>64</v>
      </c>
      <c r="AT129" s="72">
        <f>ARI_H113[[#This Row],[OBP]]+ARI_H113[[#This Row],[SLG]]</f>
        <v>0.70903330693234401</v>
      </c>
      <c r="AU129" s="74">
        <v>2</v>
      </c>
      <c r="AV129" s="615">
        <v>2</v>
      </c>
      <c r="AY129" s="651" t="s">
        <v>1265</v>
      </c>
      <c r="AZ129" s="74" t="s">
        <v>154</v>
      </c>
      <c r="BA129" s="71" t="s">
        <v>1282</v>
      </c>
      <c r="BB129" s="72">
        <f>IFERROR(ARI_H124[[#This Row],[H]]/ARI_H124[[#This Row],[AB]],0)</f>
        <v>0.24285714285714285</v>
      </c>
      <c r="BC129" s="72">
        <f>IFERROR((ARI_H124[[#This Row],[BB]]+ARI_H124[[#This Row],[H]])/(ARI_H124[[#This Row],[BB]]+ARI_H124[[#This Row],[AB]]),0)</f>
        <v>0.29333333333333333</v>
      </c>
      <c r="BD129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0.32857142857142857</v>
      </c>
      <c r="BE129" s="28">
        <v>18</v>
      </c>
      <c r="BF129" s="28">
        <v>70</v>
      </c>
      <c r="BG129" s="28">
        <v>6</v>
      </c>
      <c r="BH129" s="28">
        <v>17</v>
      </c>
      <c r="BI129" s="28">
        <v>3</v>
      </c>
      <c r="BJ129" s="28">
        <v>0</v>
      </c>
      <c r="BK129" s="28">
        <v>1</v>
      </c>
      <c r="BL129" s="28">
        <v>7</v>
      </c>
      <c r="BM129" s="28">
        <v>5</v>
      </c>
      <c r="BN129" s="74">
        <v>21</v>
      </c>
      <c r="BO129" s="28">
        <v>0</v>
      </c>
      <c r="BP129" s="28">
        <v>2</v>
      </c>
      <c r="BQ129" s="74">
        <v>4</v>
      </c>
      <c r="BR129" s="28">
        <f>(ARI_H124[[#This Row],[H]]-ARI_H124[[#This Row],[2B]]-ARI_H124[[#This Row],[3B]]-ARI_H124[[#This Row],[HR]])+(ARI_H124[[#This Row],[2B]]*2)+(ARI_H124[[#This Row],[3B]]*3)+(ARI_H124[[#This Row],[HR]]*4)</f>
        <v>23</v>
      </c>
      <c r="BS129" s="72">
        <f>IFERROR(ARI_H124[[#This Row],[OBP]]+ARI_H124[[#This Row],[SLG]],0)</f>
        <v>0.62190476190476196</v>
      </c>
      <c r="BT129" s="74">
        <v>0</v>
      </c>
      <c r="BU129" s="615">
        <v>2</v>
      </c>
    </row>
    <row r="130" spans="1:73">
      <c r="A130" s="651" t="s">
        <v>1265</v>
      </c>
      <c r="B130" s="71" t="s">
        <v>172</v>
      </c>
      <c r="C130" s="71" t="s">
        <v>1267</v>
      </c>
      <c r="D130" s="72">
        <f>IFERROR(ARI_H[[#This Row],[H]]/ARI_H[[#This Row],[AB]],0)</f>
        <v>0.26717557251908397</v>
      </c>
      <c r="E130" s="72">
        <f>IFERROR((ARI_H[[#This Row],[H]]+ARI_H[[#This Row],[BB]])/(ARI_H[[#This Row],[BB]]+ARI_H[[#This Row],[AB]]),0)</f>
        <v>0.32867132867132864</v>
      </c>
      <c r="F130" s="73">
        <f>IFERROR(((ARI_H[[#This Row],[H]]-ARI_H[[#This Row],[2B]]-ARI_H[[#This Row],[3B]]-ARI_H[[#This Row],[HR]])+(ARI_H[[#This Row],[2B]]*2)+(ARI_H[[#This Row],[3B]]*3)+(ARI_H[[#This Row],[HR]]*4))/ARI_H[[#This Row],[AB]],0)</f>
        <v>0.36641221374045801</v>
      </c>
      <c r="G130" s="28">
        <v>36</v>
      </c>
      <c r="H130" s="28">
        <v>131</v>
      </c>
      <c r="I130" s="28">
        <v>17</v>
      </c>
      <c r="J130" s="28">
        <v>35</v>
      </c>
      <c r="K130" s="28">
        <v>4</v>
      </c>
      <c r="L130" s="28">
        <v>3</v>
      </c>
      <c r="M130" s="28">
        <v>1</v>
      </c>
      <c r="N130" s="28">
        <v>14</v>
      </c>
      <c r="O130" s="28">
        <v>12</v>
      </c>
      <c r="P130" s="74">
        <v>26</v>
      </c>
      <c r="Q130" s="28">
        <v>0</v>
      </c>
      <c r="R130" s="28">
        <v>0</v>
      </c>
      <c r="S130" s="74">
        <v>11</v>
      </c>
      <c r="T130" s="28">
        <f>IFERROR((ARI_H[[#This Row],[H]]-ARI_H[[#This Row],[2B]]-ARI_H[[#This Row],[3B]]-ARI_H[[#This Row],[HR]])+(ARI_H[[#This Row],[2B]]*2)+(ARI_H[[#This Row],[3B]]*3)+(ARI_H[[#This Row],[HR]]*4),0)</f>
        <v>48</v>
      </c>
      <c r="U130" s="72">
        <f>ARI_H[[#This Row],[OBP]]+ARI_H[[#This Row],[SLG]]</f>
        <v>0.69508354241178671</v>
      </c>
      <c r="V130" s="74">
        <v>3</v>
      </c>
      <c r="W130" s="615">
        <v>3</v>
      </c>
      <c r="Z130" s="651" t="s">
        <v>1265</v>
      </c>
      <c r="AA130" s="71" t="s">
        <v>172</v>
      </c>
      <c r="AB130" s="71" t="s">
        <v>1267</v>
      </c>
      <c r="AC130" s="72">
        <f>IFERROR(ARI_H113[[#This Row],[H]]/ARI_H113[[#This Row],[AB]],0)</f>
        <v>0.24444444444444444</v>
      </c>
      <c r="AD130" s="72">
        <f>IFERROR((ARI_H113[[#This Row],[H]]+ARI_H113[[#This Row],[BB]])/(ARI_H113[[#This Row],[BB]]+ARI_H113[[#This Row],[AB]]),0)</f>
        <v>0.33333333333333331</v>
      </c>
      <c r="AE130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0.36666666666666664</v>
      </c>
      <c r="AF130" s="28">
        <v>24</v>
      </c>
      <c r="AG130" s="28">
        <v>90</v>
      </c>
      <c r="AH130" s="28">
        <v>7</v>
      </c>
      <c r="AI130" s="28">
        <v>22</v>
      </c>
      <c r="AJ130" s="28">
        <v>2</v>
      </c>
      <c r="AK130" s="28">
        <v>0</v>
      </c>
      <c r="AL130" s="28">
        <v>3</v>
      </c>
      <c r="AM130" s="28">
        <v>7</v>
      </c>
      <c r="AN130" s="28">
        <v>12</v>
      </c>
      <c r="AO130" s="74">
        <v>24</v>
      </c>
      <c r="AP130" s="28">
        <v>0</v>
      </c>
      <c r="AQ130" s="28">
        <v>5</v>
      </c>
      <c r="AR130" s="74">
        <v>6</v>
      </c>
      <c r="AS130" s="28">
        <f>IFERROR((ARI_H113[[#This Row],[H]]-ARI_H113[[#This Row],[2B]]-ARI_H113[[#This Row],[3B]]-ARI_H113[[#This Row],[HR]])+(ARI_H113[[#This Row],[2B]]*2)+(ARI_H113[[#This Row],[3B]]*3)+(ARI_H113[[#This Row],[HR]]*4),0)</f>
        <v>33</v>
      </c>
      <c r="AT130" s="72">
        <f>ARI_H113[[#This Row],[OBP]]+ARI_H113[[#This Row],[SLG]]</f>
        <v>0.7</v>
      </c>
      <c r="AU130" s="74">
        <v>2</v>
      </c>
      <c r="AV130" s="615">
        <v>3</v>
      </c>
      <c r="AY130" s="651" t="s">
        <v>1265</v>
      </c>
      <c r="AZ130" s="74" t="s">
        <v>235</v>
      </c>
      <c r="BA130" s="71" t="s">
        <v>1267</v>
      </c>
      <c r="BB130" s="72">
        <f>IFERROR(ARI_H124[[#This Row],[H]]/ARI_H124[[#This Row],[AB]],0)</f>
        <v>0.23448275862068965</v>
      </c>
      <c r="BC130" s="72">
        <f>IFERROR((ARI_H124[[#This Row],[BB]]+ARI_H124[[#This Row],[H]])/(ARI_H124[[#This Row],[BB]]+ARI_H124[[#This Row],[AB]]),0)</f>
        <v>0.2929936305732484</v>
      </c>
      <c r="BD130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0.48965517241379308</v>
      </c>
      <c r="BE130" s="28">
        <v>34</v>
      </c>
      <c r="BF130" s="28">
        <v>145</v>
      </c>
      <c r="BG130" s="28">
        <v>16</v>
      </c>
      <c r="BH130" s="28">
        <v>34</v>
      </c>
      <c r="BI130" s="28">
        <v>8</v>
      </c>
      <c r="BJ130" s="28">
        <v>1</v>
      </c>
      <c r="BK130" s="28">
        <v>9</v>
      </c>
      <c r="BL130" s="28">
        <v>20</v>
      </c>
      <c r="BM130" s="28">
        <v>12</v>
      </c>
      <c r="BN130" s="74">
        <v>30</v>
      </c>
      <c r="BO130" s="28">
        <v>1</v>
      </c>
      <c r="BP130" s="28">
        <v>2</v>
      </c>
      <c r="BQ130" s="74">
        <v>14</v>
      </c>
      <c r="BR130" s="28">
        <f>(ARI_H124[[#This Row],[H]]-ARI_H124[[#This Row],[2B]]-ARI_H124[[#This Row],[3B]]-ARI_H124[[#This Row],[HR]])+(ARI_H124[[#This Row],[2B]]*2)+(ARI_H124[[#This Row],[3B]]*3)+(ARI_H124[[#This Row],[HR]]*4)</f>
        <v>71</v>
      </c>
      <c r="BS130" s="72">
        <f>IFERROR(ARI_H124[[#This Row],[OBP]]+ARI_H124[[#This Row],[SLG]],0)</f>
        <v>0.78264880298704154</v>
      </c>
      <c r="BT130" s="74">
        <v>3</v>
      </c>
      <c r="BU130" s="615">
        <v>3</v>
      </c>
    </row>
    <row r="131" spans="1:73">
      <c r="A131" s="651" t="s">
        <v>1265</v>
      </c>
      <c r="B131" s="345" t="s">
        <v>153</v>
      </c>
      <c r="C131" s="71" t="s">
        <v>1266</v>
      </c>
      <c r="D131" s="594">
        <f>IFERROR(ARI_H[[#This Row],[H]]/ARI_H[[#This Row],[AB]],0)</f>
        <v>0.35714285714285715</v>
      </c>
      <c r="E131" s="72">
        <f>IFERROR((ARI_H[[#This Row],[H]]+ARI_H[[#This Row],[BB]])/(ARI_H[[#This Row],[BB]]+ARI_H[[#This Row],[AB]]),0)</f>
        <v>0.41935483870967744</v>
      </c>
      <c r="F131" s="73">
        <f>IFERROR(((ARI_H[[#This Row],[H]]-ARI_H[[#This Row],[2B]]-ARI_H[[#This Row],[3B]]-ARI_H[[#This Row],[HR]])+(ARI_H[[#This Row],[2B]]*2)+(ARI_H[[#This Row],[3B]]*3)+(ARI_H[[#This Row],[HR]]*4))/ARI_H[[#This Row],[AB]],0)</f>
        <v>0.56547619047619047</v>
      </c>
      <c r="G131" s="28">
        <v>40</v>
      </c>
      <c r="H131" s="28">
        <v>168</v>
      </c>
      <c r="I131" s="28">
        <v>29</v>
      </c>
      <c r="J131" s="76">
        <v>60</v>
      </c>
      <c r="K131" s="28">
        <v>12</v>
      </c>
      <c r="L131" s="28">
        <v>1</v>
      </c>
      <c r="M131" s="28">
        <v>7</v>
      </c>
      <c r="N131" s="28">
        <v>33</v>
      </c>
      <c r="O131" s="28">
        <v>18</v>
      </c>
      <c r="P131" s="74">
        <v>31</v>
      </c>
      <c r="Q131" s="28">
        <v>0</v>
      </c>
      <c r="R131" s="28">
        <v>1</v>
      </c>
      <c r="S131" s="74">
        <v>12</v>
      </c>
      <c r="T131" s="28">
        <f>IFERROR((ARI_H[[#This Row],[H]]-ARI_H[[#This Row],[2B]]-ARI_H[[#This Row],[3B]]-ARI_H[[#This Row],[HR]])+(ARI_H[[#This Row],[2B]]*2)+(ARI_H[[#This Row],[3B]]*3)+(ARI_H[[#This Row],[HR]]*4),0)</f>
        <v>95</v>
      </c>
      <c r="U131" s="72">
        <f>ARI_H[[#This Row],[OBP]]+ARI_H[[#This Row],[SLG]]</f>
        <v>0.98483102918586796</v>
      </c>
      <c r="V131" s="74">
        <v>4</v>
      </c>
      <c r="W131" s="615">
        <v>4</v>
      </c>
      <c r="Z131" s="651" t="s">
        <v>1265</v>
      </c>
      <c r="AA131" s="71" t="s">
        <v>153</v>
      </c>
      <c r="AB131" s="71" t="s">
        <v>1266</v>
      </c>
      <c r="AC131" s="72">
        <f>IFERROR(ARI_H113[[#This Row],[H]]/ARI_H113[[#This Row],[AB]],0)</f>
        <v>0.26829268292682928</v>
      </c>
      <c r="AD131" s="72">
        <f>IFERROR((ARI_H113[[#This Row],[H]]+ARI_H113[[#This Row],[BB]])/(ARI_H113[[#This Row],[BB]]+ARI_H113[[#This Row],[AB]]),0)</f>
        <v>0.31818181818181818</v>
      </c>
      <c r="AE131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0.40243902439024393</v>
      </c>
      <c r="AF131" s="28">
        <v>40</v>
      </c>
      <c r="AG131" s="28">
        <v>164</v>
      </c>
      <c r="AH131" s="28">
        <v>13</v>
      </c>
      <c r="AI131" s="28">
        <v>44</v>
      </c>
      <c r="AJ131" s="28">
        <v>13</v>
      </c>
      <c r="AK131" s="28">
        <v>3</v>
      </c>
      <c r="AL131" s="28">
        <v>1</v>
      </c>
      <c r="AM131" s="28">
        <v>14</v>
      </c>
      <c r="AN131" s="28">
        <v>12</v>
      </c>
      <c r="AO131" s="74">
        <v>38</v>
      </c>
      <c r="AP131" s="28">
        <v>0</v>
      </c>
      <c r="AQ131" s="28">
        <v>2</v>
      </c>
      <c r="AR131" s="74">
        <v>7</v>
      </c>
      <c r="AS131" s="28">
        <f>IFERROR((ARI_H113[[#This Row],[H]]-ARI_H113[[#This Row],[2B]]-ARI_H113[[#This Row],[3B]]-ARI_H113[[#This Row],[HR]])+(ARI_H113[[#This Row],[2B]]*2)+(ARI_H113[[#This Row],[3B]]*3)+(ARI_H113[[#This Row],[HR]]*4),0)</f>
        <v>66</v>
      </c>
      <c r="AT131" s="72">
        <f>ARI_H113[[#This Row],[OBP]]+ARI_H113[[#This Row],[SLG]]</f>
        <v>0.72062084257206216</v>
      </c>
      <c r="AU131" s="74">
        <v>1</v>
      </c>
      <c r="AV131" s="615">
        <v>4</v>
      </c>
      <c r="AY131" s="651" t="s">
        <v>1265</v>
      </c>
      <c r="AZ131" s="74" t="s">
        <v>153</v>
      </c>
      <c r="BA131" s="71" t="s">
        <v>1275</v>
      </c>
      <c r="BB131" s="72">
        <f>IFERROR(ARI_H124[[#This Row],[H]]/ARI_H124[[#This Row],[AB]],0)</f>
        <v>0.23529411764705882</v>
      </c>
      <c r="BC131" s="72">
        <f>IFERROR((ARI_H124[[#This Row],[BB]]+ARI_H124[[#This Row],[H]])/(ARI_H124[[#This Row],[BB]]+ARI_H124[[#This Row],[AB]]),0)</f>
        <v>0.31578947368421051</v>
      </c>
      <c r="BD131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0.36134453781512604</v>
      </c>
      <c r="BE131" s="28">
        <v>32</v>
      </c>
      <c r="BF131" s="28">
        <v>119</v>
      </c>
      <c r="BG131" s="28">
        <v>20</v>
      </c>
      <c r="BH131" s="28">
        <v>28</v>
      </c>
      <c r="BI131" s="28">
        <v>6</v>
      </c>
      <c r="BJ131" s="28">
        <v>0</v>
      </c>
      <c r="BK131" s="28">
        <v>3</v>
      </c>
      <c r="BL131" s="28">
        <v>11</v>
      </c>
      <c r="BM131" s="28">
        <v>14</v>
      </c>
      <c r="BN131" s="74">
        <v>37</v>
      </c>
      <c r="BO131" s="28">
        <v>0</v>
      </c>
      <c r="BP131" s="28">
        <v>0</v>
      </c>
      <c r="BQ131" s="74">
        <v>6</v>
      </c>
      <c r="BR131" s="28">
        <f>(ARI_H124[[#This Row],[H]]-ARI_H124[[#This Row],[2B]]-ARI_H124[[#This Row],[3B]]-ARI_H124[[#This Row],[HR]])+(ARI_H124[[#This Row],[2B]]*2)+(ARI_H124[[#This Row],[3B]]*3)+(ARI_H124[[#This Row],[HR]]*4)</f>
        <v>43</v>
      </c>
      <c r="BS131" s="72">
        <f>IFERROR(ARI_H124[[#This Row],[OBP]]+ARI_H124[[#This Row],[SLG]],0)</f>
        <v>0.6771340114993365</v>
      </c>
      <c r="BT131" s="74">
        <v>0</v>
      </c>
      <c r="BU131" s="615">
        <v>4</v>
      </c>
    </row>
    <row r="132" spans="1:73">
      <c r="A132" s="651" t="s">
        <v>1265</v>
      </c>
      <c r="B132" s="71" t="s">
        <v>177</v>
      </c>
      <c r="C132" s="71" t="s">
        <v>1270</v>
      </c>
      <c r="D132" s="72">
        <f>IFERROR(ARI_H[[#This Row],[H]]/ARI_H[[#This Row],[AB]],0)</f>
        <v>0.28915662650602408</v>
      </c>
      <c r="E132" s="72">
        <f>IFERROR((ARI_H[[#This Row],[H]]+ARI_H[[#This Row],[BB]])/(ARI_H[[#This Row],[BB]]+ARI_H[[#This Row],[AB]]),0)</f>
        <v>0.34806629834254144</v>
      </c>
      <c r="F132" s="73">
        <f>IFERROR(((ARI_H[[#This Row],[H]]-ARI_H[[#This Row],[2B]]-ARI_H[[#This Row],[3B]]-ARI_H[[#This Row],[HR]])+(ARI_H[[#This Row],[2B]]*2)+(ARI_H[[#This Row],[3B]]*3)+(ARI_H[[#This Row],[HR]]*4))/ARI_H[[#This Row],[AB]],0)</f>
        <v>0.45783132530120479</v>
      </c>
      <c r="G132" s="28">
        <v>40</v>
      </c>
      <c r="H132" s="28">
        <v>166</v>
      </c>
      <c r="I132" s="28">
        <v>20</v>
      </c>
      <c r="J132" s="28">
        <v>48</v>
      </c>
      <c r="K132" s="28">
        <v>8</v>
      </c>
      <c r="L132" s="28">
        <v>1</v>
      </c>
      <c r="M132" s="28">
        <v>6</v>
      </c>
      <c r="N132" s="28">
        <v>25</v>
      </c>
      <c r="O132" s="28">
        <v>15</v>
      </c>
      <c r="P132" s="74">
        <v>33</v>
      </c>
      <c r="Q132" s="28">
        <v>0</v>
      </c>
      <c r="R132" s="28">
        <v>1</v>
      </c>
      <c r="S132" s="74">
        <v>5</v>
      </c>
      <c r="T132" s="28">
        <f>IFERROR((ARI_H[[#This Row],[H]]-ARI_H[[#This Row],[2B]]-ARI_H[[#This Row],[3B]]-ARI_H[[#This Row],[HR]])+(ARI_H[[#This Row],[2B]]*2)+(ARI_H[[#This Row],[3B]]*3)+(ARI_H[[#This Row],[HR]]*4),0)</f>
        <v>76</v>
      </c>
      <c r="U132" s="72">
        <f>ARI_H[[#This Row],[OBP]]+ARI_H[[#This Row],[SLG]]</f>
        <v>0.80589762364374629</v>
      </c>
      <c r="V132" s="74">
        <v>2</v>
      </c>
      <c r="W132" s="615">
        <v>5</v>
      </c>
      <c r="Z132" s="651" t="s">
        <v>1265</v>
      </c>
      <c r="AA132" s="71" t="s">
        <v>177</v>
      </c>
      <c r="AB132" s="71" t="s">
        <v>1270</v>
      </c>
      <c r="AC132" s="72">
        <f>IFERROR(ARI_H113[[#This Row],[H]]/ARI_H113[[#This Row],[AB]],0)</f>
        <v>0.20779220779220781</v>
      </c>
      <c r="AD132" s="72">
        <f>IFERROR((ARI_H113[[#This Row],[H]]+ARI_H113[[#This Row],[BB]])/(ARI_H113[[#This Row],[BB]]+ARI_H113[[#This Row],[AB]]),0)</f>
        <v>0.26946107784431139</v>
      </c>
      <c r="AE132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0.37662337662337664</v>
      </c>
      <c r="AF132" s="28">
        <v>40</v>
      </c>
      <c r="AG132" s="28">
        <v>154</v>
      </c>
      <c r="AH132" s="28">
        <v>16</v>
      </c>
      <c r="AI132" s="28">
        <v>32</v>
      </c>
      <c r="AJ132" s="28">
        <v>5</v>
      </c>
      <c r="AK132" s="28">
        <v>0</v>
      </c>
      <c r="AL132" s="28">
        <v>7</v>
      </c>
      <c r="AM132" s="28">
        <v>15</v>
      </c>
      <c r="AN132" s="28">
        <v>13</v>
      </c>
      <c r="AO132" s="74">
        <v>37</v>
      </c>
      <c r="AP132" s="28">
        <v>0</v>
      </c>
      <c r="AQ132" s="28">
        <v>1</v>
      </c>
      <c r="AR132" s="74">
        <v>6</v>
      </c>
      <c r="AS132" s="28">
        <f>IFERROR((ARI_H113[[#This Row],[H]]-ARI_H113[[#This Row],[2B]]-ARI_H113[[#This Row],[3B]]-ARI_H113[[#This Row],[HR]])+(ARI_H113[[#This Row],[2B]]*2)+(ARI_H113[[#This Row],[3B]]*3)+(ARI_H113[[#This Row],[HR]]*4),0)</f>
        <v>58</v>
      </c>
      <c r="AT132" s="72">
        <f>ARI_H113[[#This Row],[OBP]]+ARI_H113[[#This Row],[SLG]]</f>
        <v>0.64608445446768803</v>
      </c>
      <c r="AU132" s="74">
        <v>1</v>
      </c>
      <c r="AV132" s="615">
        <v>5</v>
      </c>
      <c r="AY132" s="651" t="s">
        <v>1265</v>
      </c>
      <c r="AZ132" s="74" t="s">
        <v>177</v>
      </c>
      <c r="BA132" s="71" t="s">
        <v>1270</v>
      </c>
      <c r="BB132" s="72">
        <f>IFERROR(ARI_H124[[#This Row],[H]]/ARI_H124[[#This Row],[AB]],0)</f>
        <v>0.23741007194244604</v>
      </c>
      <c r="BC132" s="72">
        <f>IFERROR((ARI_H124[[#This Row],[BB]]+ARI_H124[[#This Row],[H]])/(ARI_H124[[#This Row],[BB]]+ARI_H124[[#This Row],[AB]]),0)</f>
        <v>0.32051282051282054</v>
      </c>
      <c r="BD132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0.36690647482014388</v>
      </c>
      <c r="BE132" s="28">
        <v>38</v>
      </c>
      <c r="BF132" s="28">
        <v>139</v>
      </c>
      <c r="BG132" s="28">
        <v>13</v>
      </c>
      <c r="BH132" s="28">
        <v>33</v>
      </c>
      <c r="BI132" s="28">
        <v>6</v>
      </c>
      <c r="BJ132" s="28">
        <v>0</v>
      </c>
      <c r="BK132" s="28">
        <v>4</v>
      </c>
      <c r="BL132" s="28">
        <v>17</v>
      </c>
      <c r="BM132" s="28">
        <v>17</v>
      </c>
      <c r="BN132" s="74">
        <v>37</v>
      </c>
      <c r="BO132" s="28">
        <v>0</v>
      </c>
      <c r="BP132" s="28">
        <v>0</v>
      </c>
      <c r="BQ132" s="74">
        <v>6</v>
      </c>
      <c r="BR132" s="28">
        <f>(ARI_H124[[#This Row],[H]]-ARI_H124[[#This Row],[2B]]-ARI_H124[[#This Row],[3B]]-ARI_H124[[#This Row],[HR]])+(ARI_H124[[#This Row],[2B]]*2)+(ARI_H124[[#This Row],[3B]]*3)+(ARI_H124[[#This Row],[HR]]*4)</f>
        <v>51</v>
      </c>
      <c r="BS132" s="72">
        <f>IFERROR(ARI_H124[[#This Row],[OBP]]+ARI_H124[[#This Row],[SLG]],0)</f>
        <v>0.68741929533296442</v>
      </c>
      <c r="BT132" s="74">
        <v>1</v>
      </c>
      <c r="BU132" s="615">
        <v>5</v>
      </c>
    </row>
    <row r="133" spans="1:73">
      <c r="A133" s="651" t="s">
        <v>1265</v>
      </c>
      <c r="B133" s="71" t="s">
        <v>174</v>
      </c>
      <c r="C133" s="71" t="s">
        <v>1179</v>
      </c>
      <c r="D133" s="72">
        <f>IFERROR(ARI_H[[#This Row],[H]]/ARI_H[[#This Row],[AB]],0)</f>
        <v>0.25641025641025639</v>
      </c>
      <c r="E133" s="72">
        <f>IFERROR((ARI_H[[#This Row],[H]]+ARI_H[[#This Row],[BB]])/(ARI_H[[#This Row],[BB]]+ARI_H[[#This Row],[AB]]),0)</f>
        <v>0.33714285714285713</v>
      </c>
      <c r="F133" s="73">
        <f>IFERROR(((ARI_H[[#This Row],[H]]-ARI_H[[#This Row],[2B]]-ARI_H[[#This Row],[3B]]-ARI_H[[#This Row],[HR]])+(ARI_H[[#This Row],[2B]]*2)+(ARI_H[[#This Row],[3B]]*3)+(ARI_H[[#This Row],[HR]]*4))/ARI_H[[#This Row],[AB]],0)</f>
        <v>0.36538461538461536</v>
      </c>
      <c r="G133" s="28">
        <v>40</v>
      </c>
      <c r="H133" s="28">
        <v>156</v>
      </c>
      <c r="I133" s="28">
        <v>20</v>
      </c>
      <c r="J133" s="28">
        <v>40</v>
      </c>
      <c r="K133" s="28">
        <v>6</v>
      </c>
      <c r="L133" s="28">
        <v>1</v>
      </c>
      <c r="M133" s="28">
        <v>3</v>
      </c>
      <c r="N133" s="28">
        <v>24</v>
      </c>
      <c r="O133" s="28">
        <v>19</v>
      </c>
      <c r="P133" s="74">
        <v>39</v>
      </c>
      <c r="Q133" s="28">
        <v>0</v>
      </c>
      <c r="R133" s="28">
        <v>1</v>
      </c>
      <c r="S133" s="74">
        <v>6</v>
      </c>
      <c r="T133" s="28">
        <f>IFERROR((ARI_H[[#This Row],[H]]-ARI_H[[#This Row],[2B]]-ARI_H[[#This Row],[3B]]-ARI_H[[#This Row],[HR]])+(ARI_H[[#This Row],[2B]]*2)+(ARI_H[[#This Row],[3B]]*3)+(ARI_H[[#This Row],[HR]]*4),0)</f>
        <v>57</v>
      </c>
      <c r="U133" s="72">
        <f>ARI_H[[#This Row],[OBP]]+ARI_H[[#This Row],[SLG]]</f>
        <v>0.7025274725274725</v>
      </c>
      <c r="V133" s="74">
        <v>2</v>
      </c>
      <c r="W133" s="615">
        <v>6</v>
      </c>
      <c r="Z133" s="651" t="s">
        <v>1265</v>
      </c>
      <c r="AA133" s="71" t="s">
        <v>174</v>
      </c>
      <c r="AB133" s="71" t="s">
        <v>271</v>
      </c>
      <c r="AC133" s="72">
        <f>IFERROR(ARI_H113[[#This Row],[H]]/ARI_H113[[#This Row],[AB]],0)</f>
        <v>0.24324324324324326</v>
      </c>
      <c r="AD133" s="72">
        <f>IFERROR((ARI_H113[[#This Row],[H]]+ARI_H113[[#This Row],[BB]])/(ARI_H113[[#This Row],[BB]]+ARI_H113[[#This Row],[AB]]),0)</f>
        <v>0.25663716814159293</v>
      </c>
      <c r="AE133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0.36036036036036034</v>
      </c>
      <c r="AF133" s="28">
        <v>29</v>
      </c>
      <c r="AG133" s="28">
        <v>111</v>
      </c>
      <c r="AH133" s="28">
        <v>7</v>
      </c>
      <c r="AI133" s="28">
        <v>27</v>
      </c>
      <c r="AJ133" s="28">
        <v>4</v>
      </c>
      <c r="AK133" s="28">
        <v>0</v>
      </c>
      <c r="AL133" s="28">
        <v>3</v>
      </c>
      <c r="AM133" s="28">
        <v>7</v>
      </c>
      <c r="AN133" s="28">
        <v>2</v>
      </c>
      <c r="AO133" s="74">
        <v>20</v>
      </c>
      <c r="AP133" s="28">
        <v>0</v>
      </c>
      <c r="AQ133" s="28">
        <v>0</v>
      </c>
      <c r="AR133" s="74">
        <v>6</v>
      </c>
      <c r="AS133" s="28">
        <f>IFERROR((ARI_H113[[#This Row],[H]]-ARI_H113[[#This Row],[2B]]-ARI_H113[[#This Row],[3B]]-ARI_H113[[#This Row],[HR]])+(ARI_H113[[#This Row],[2B]]*2)+(ARI_H113[[#This Row],[3B]]*3)+(ARI_H113[[#This Row],[HR]]*4),0)</f>
        <v>40</v>
      </c>
      <c r="AT133" s="72">
        <f>ARI_H113[[#This Row],[OBP]]+ARI_H113[[#This Row],[SLG]]</f>
        <v>0.61699752850195333</v>
      </c>
      <c r="AU133" s="74">
        <v>1</v>
      </c>
      <c r="AV133" s="615">
        <v>6</v>
      </c>
      <c r="AY133" s="651" t="s">
        <v>1265</v>
      </c>
      <c r="AZ133" s="74" t="s">
        <v>174</v>
      </c>
      <c r="BA133" s="71" t="s">
        <v>1273</v>
      </c>
      <c r="BB133" s="72">
        <f>IFERROR(ARI_H124[[#This Row],[H]]/ARI_H124[[#This Row],[AB]],0)</f>
        <v>0.26428571428571429</v>
      </c>
      <c r="BC133" s="72">
        <f>IFERROR((ARI_H124[[#This Row],[BB]]+ARI_H124[[#This Row],[H]])/(ARI_H124[[#This Row],[BB]]+ARI_H124[[#This Row],[AB]]),0)</f>
        <v>0.3087248322147651</v>
      </c>
      <c r="BD133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0.43571428571428572</v>
      </c>
      <c r="BE133" s="28">
        <v>36</v>
      </c>
      <c r="BF133" s="28">
        <v>140</v>
      </c>
      <c r="BG133" s="28">
        <v>15</v>
      </c>
      <c r="BH133" s="28">
        <v>37</v>
      </c>
      <c r="BI133" s="28">
        <v>7</v>
      </c>
      <c r="BJ133" s="28">
        <v>4</v>
      </c>
      <c r="BK133" s="28">
        <v>3</v>
      </c>
      <c r="BL133" s="28">
        <v>18</v>
      </c>
      <c r="BM133" s="28">
        <v>9</v>
      </c>
      <c r="BN133" s="74">
        <v>44</v>
      </c>
      <c r="BO133" s="28">
        <v>0</v>
      </c>
      <c r="BP133" s="28">
        <v>0</v>
      </c>
      <c r="BQ133" s="74">
        <v>9</v>
      </c>
      <c r="BR133" s="28">
        <f>(ARI_H124[[#This Row],[H]]-ARI_H124[[#This Row],[2B]]-ARI_H124[[#This Row],[3B]]-ARI_H124[[#This Row],[HR]])+(ARI_H124[[#This Row],[2B]]*2)+(ARI_H124[[#This Row],[3B]]*3)+(ARI_H124[[#This Row],[HR]]*4)</f>
        <v>61</v>
      </c>
      <c r="BS133" s="72">
        <f>IFERROR(ARI_H124[[#This Row],[OBP]]+ARI_H124[[#This Row],[SLG]],0)</f>
        <v>0.74443911792905082</v>
      </c>
      <c r="BT133" s="74">
        <v>1</v>
      </c>
      <c r="BU133" s="615">
        <v>6</v>
      </c>
    </row>
    <row r="134" spans="1:73">
      <c r="A134" s="651" t="s">
        <v>1265</v>
      </c>
      <c r="B134" s="71" t="s">
        <v>181</v>
      </c>
      <c r="C134" s="71" t="s">
        <v>1274</v>
      </c>
      <c r="D134" s="72">
        <f>IFERROR(ARI_H[[#This Row],[H]]/ARI_H[[#This Row],[AB]],0)</f>
        <v>0.26</v>
      </c>
      <c r="E134" s="72">
        <f>IFERROR((ARI_H[[#This Row],[H]]+ARI_H[[#This Row],[BB]])/(ARI_H[[#This Row],[BB]]+ARI_H[[#This Row],[AB]]),0)</f>
        <v>0.3105590062111801</v>
      </c>
      <c r="F134" s="73">
        <f>IFERROR(((ARI_H[[#This Row],[H]]-ARI_H[[#This Row],[2B]]-ARI_H[[#This Row],[3B]]-ARI_H[[#This Row],[HR]])+(ARI_H[[#This Row],[2B]]*2)+(ARI_H[[#This Row],[3B]]*3)+(ARI_H[[#This Row],[HR]]*4))/ARI_H[[#This Row],[AB]],0)</f>
        <v>0.35333333333333333</v>
      </c>
      <c r="G134" s="28">
        <v>39</v>
      </c>
      <c r="H134" s="28">
        <v>150</v>
      </c>
      <c r="I134" s="28">
        <v>21</v>
      </c>
      <c r="J134" s="28">
        <v>39</v>
      </c>
      <c r="K134" s="28">
        <v>2</v>
      </c>
      <c r="L134" s="28">
        <v>3</v>
      </c>
      <c r="M134" s="28">
        <v>2</v>
      </c>
      <c r="N134" s="28">
        <v>17</v>
      </c>
      <c r="O134" s="28">
        <v>11</v>
      </c>
      <c r="P134" s="74">
        <v>38</v>
      </c>
      <c r="Q134" s="28">
        <v>5</v>
      </c>
      <c r="R134" s="28">
        <v>1</v>
      </c>
      <c r="S134" s="74">
        <v>9</v>
      </c>
      <c r="T134" s="28">
        <f>IFERROR((ARI_H[[#This Row],[H]]-ARI_H[[#This Row],[2B]]-ARI_H[[#This Row],[3B]]-ARI_H[[#This Row],[HR]])+(ARI_H[[#This Row],[2B]]*2)+(ARI_H[[#This Row],[3B]]*3)+(ARI_H[[#This Row],[HR]]*4),0)</f>
        <v>53</v>
      </c>
      <c r="U134" s="72">
        <f>ARI_H[[#This Row],[OBP]]+ARI_H[[#This Row],[SLG]]</f>
        <v>0.66389233954451343</v>
      </c>
      <c r="V134" s="74">
        <v>2</v>
      </c>
      <c r="W134" s="615">
        <v>7</v>
      </c>
      <c r="Z134" s="651" t="s">
        <v>1265</v>
      </c>
      <c r="AA134" s="71" t="s">
        <v>383</v>
      </c>
      <c r="AB134" s="71" t="s">
        <v>1269</v>
      </c>
      <c r="AC134" s="72">
        <f>IFERROR(ARI_H113[[#This Row],[H]]/ARI_H113[[#This Row],[AB]],0)</f>
        <v>0.19858156028368795</v>
      </c>
      <c r="AD134" s="72">
        <f>IFERROR((ARI_H113[[#This Row],[H]]+ARI_H113[[#This Row],[BB]])/(ARI_H113[[#This Row],[BB]]+ARI_H113[[#This Row],[AB]]),0)</f>
        <v>0.2709677419354839</v>
      </c>
      <c r="AE134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0.31914893617021278</v>
      </c>
      <c r="AF134" s="28">
        <v>34</v>
      </c>
      <c r="AG134" s="28">
        <v>141</v>
      </c>
      <c r="AH134" s="28">
        <v>12</v>
      </c>
      <c r="AI134" s="28">
        <v>28</v>
      </c>
      <c r="AJ134" s="28">
        <v>6</v>
      </c>
      <c r="AK134" s="28">
        <v>1</v>
      </c>
      <c r="AL134" s="28">
        <v>3</v>
      </c>
      <c r="AM134" s="28">
        <v>9</v>
      </c>
      <c r="AN134" s="28">
        <v>14</v>
      </c>
      <c r="AO134" s="74">
        <v>51</v>
      </c>
      <c r="AP134" s="28">
        <v>13</v>
      </c>
      <c r="AQ134" s="28">
        <v>1</v>
      </c>
      <c r="AR134" s="74">
        <v>4</v>
      </c>
      <c r="AS134" s="28">
        <f>IFERROR((ARI_H113[[#This Row],[H]]-ARI_H113[[#This Row],[2B]]-ARI_H113[[#This Row],[3B]]-ARI_H113[[#This Row],[HR]])+(ARI_H113[[#This Row],[2B]]*2)+(ARI_H113[[#This Row],[3B]]*3)+(ARI_H113[[#This Row],[HR]]*4),0)</f>
        <v>45</v>
      </c>
      <c r="AT134" s="72">
        <f>ARI_H113[[#This Row],[OBP]]+ARI_H113[[#This Row],[SLG]]</f>
        <v>0.59011667810569668</v>
      </c>
      <c r="AU134" s="74">
        <v>1</v>
      </c>
      <c r="AV134" s="615">
        <v>7</v>
      </c>
      <c r="AY134" s="651" t="s">
        <v>1265</v>
      </c>
      <c r="AZ134" s="74" t="s">
        <v>181</v>
      </c>
      <c r="BA134" s="71" t="s">
        <v>1266</v>
      </c>
      <c r="BB134" s="72">
        <f>IFERROR(ARI_H124[[#This Row],[H]]/ARI_H124[[#This Row],[AB]],0)</f>
        <v>0.30303030303030304</v>
      </c>
      <c r="BC134" s="72">
        <f>IFERROR((ARI_H124[[#This Row],[BB]]+ARI_H124[[#This Row],[H]])/(ARI_H124[[#This Row],[BB]]+ARI_H124[[#This Row],[AB]]),0)</f>
        <v>0.36813186813186816</v>
      </c>
      <c r="BD134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0.4303030303030303</v>
      </c>
      <c r="BE134" s="28">
        <v>40</v>
      </c>
      <c r="BF134" s="28">
        <v>165</v>
      </c>
      <c r="BG134" s="28">
        <v>20</v>
      </c>
      <c r="BH134" s="28">
        <v>50</v>
      </c>
      <c r="BI134" s="28">
        <v>8</v>
      </c>
      <c r="BJ134" s="28">
        <v>2</v>
      </c>
      <c r="BK134" s="28">
        <v>3</v>
      </c>
      <c r="BL134" s="28">
        <v>18</v>
      </c>
      <c r="BM134" s="28">
        <v>17</v>
      </c>
      <c r="BN134" s="74">
        <v>27</v>
      </c>
      <c r="BO134" s="28">
        <v>2</v>
      </c>
      <c r="BP134" s="28">
        <v>0</v>
      </c>
      <c r="BQ134" s="74">
        <v>9</v>
      </c>
      <c r="BR134" s="28">
        <f>(ARI_H124[[#This Row],[H]]-ARI_H124[[#This Row],[2B]]-ARI_H124[[#This Row],[3B]]-ARI_H124[[#This Row],[HR]])+(ARI_H124[[#This Row],[2B]]*2)+(ARI_H124[[#This Row],[3B]]*3)+(ARI_H124[[#This Row],[HR]]*4)</f>
        <v>71</v>
      </c>
      <c r="BS134" s="72">
        <f>IFERROR(ARI_H124[[#This Row],[OBP]]+ARI_H124[[#This Row],[SLG]],0)</f>
        <v>0.79843489843489845</v>
      </c>
      <c r="BT134" s="74">
        <v>3</v>
      </c>
      <c r="BU134" s="615">
        <v>7</v>
      </c>
    </row>
    <row r="135" spans="1:73">
      <c r="A135" s="651" t="s">
        <v>1265</v>
      </c>
      <c r="B135" s="345" t="s">
        <v>166</v>
      </c>
      <c r="C135" s="71" t="s">
        <v>1269</v>
      </c>
      <c r="D135" s="72">
        <f>IFERROR(ARI_H[[#This Row],[H]]/ARI_H[[#This Row],[AB]],0)</f>
        <v>0.29069767441860467</v>
      </c>
      <c r="E135" s="72">
        <f>IFERROR((ARI_H[[#This Row],[H]]+ARI_H[[#This Row],[BB]])/(ARI_H[[#This Row],[BB]]+ARI_H[[#This Row],[AB]]),0)</f>
        <v>0.35106382978723405</v>
      </c>
      <c r="F135" s="73">
        <f>IFERROR(((ARI_H[[#This Row],[H]]-ARI_H[[#This Row],[2B]]-ARI_H[[#This Row],[3B]]-ARI_H[[#This Row],[HR]])+(ARI_H[[#This Row],[2B]]*2)+(ARI_H[[#This Row],[3B]]*3)+(ARI_H[[#This Row],[HR]]*4))/ARI_H[[#This Row],[AB]],0)</f>
        <v>0.51744186046511631</v>
      </c>
      <c r="G135" s="28">
        <v>40</v>
      </c>
      <c r="H135" s="28">
        <v>172</v>
      </c>
      <c r="I135" s="28">
        <v>34</v>
      </c>
      <c r="J135" s="28">
        <v>50</v>
      </c>
      <c r="K135" s="28">
        <v>6</v>
      </c>
      <c r="L135" s="28">
        <v>3</v>
      </c>
      <c r="M135" s="28">
        <v>9</v>
      </c>
      <c r="N135" s="28">
        <v>31</v>
      </c>
      <c r="O135" s="28">
        <v>16</v>
      </c>
      <c r="P135" s="74">
        <v>44</v>
      </c>
      <c r="Q135" s="76">
        <v>25</v>
      </c>
      <c r="R135" s="28">
        <v>2</v>
      </c>
      <c r="S135" s="74">
        <v>9</v>
      </c>
      <c r="T135" s="28">
        <f>IFERROR((ARI_H[[#This Row],[H]]-ARI_H[[#This Row],[2B]]-ARI_H[[#This Row],[3B]]-ARI_H[[#This Row],[HR]])+(ARI_H[[#This Row],[2B]]*2)+(ARI_H[[#This Row],[3B]]*3)+(ARI_H[[#This Row],[HR]]*4),0)</f>
        <v>89</v>
      </c>
      <c r="U135" s="72">
        <f>ARI_H[[#This Row],[OBP]]+ARI_H[[#This Row],[SLG]]</f>
        <v>0.86850569025235036</v>
      </c>
      <c r="V135" s="74">
        <v>3</v>
      </c>
      <c r="W135" s="615">
        <v>8</v>
      </c>
      <c r="Z135" s="651" t="s">
        <v>1265</v>
      </c>
      <c r="AA135" s="71" t="s">
        <v>240</v>
      </c>
      <c r="AB135" s="71" t="s">
        <v>1274</v>
      </c>
      <c r="AC135" s="72">
        <f>IFERROR(ARI_H113[[#This Row],[H]]/ARI_H113[[#This Row],[AB]],0)</f>
        <v>0.25806451612903225</v>
      </c>
      <c r="AD135" s="72">
        <f>IFERROR((ARI_H113[[#This Row],[H]]+ARI_H113[[#This Row],[BB]])/(ARI_H113[[#This Row],[BB]]+ARI_H113[[#This Row],[AB]]),0)</f>
        <v>0.3235294117647059</v>
      </c>
      <c r="AE135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0.33870967741935482</v>
      </c>
      <c r="AF135" s="28">
        <v>33</v>
      </c>
      <c r="AG135" s="28">
        <v>124</v>
      </c>
      <c r="AH135" s="28">
        <v>12</v>
      </c>
      <c r="AI135" s="28">
        <v>32</v>
      </c>
      <c r="AJ135" s="28">
        <v>7</v>
      </c>
      <c r="AK135" s="28">
        <v>0</v>
      </c>
      <c r="AL135" s="28">
        <v>1</v>
      </c>
      <c r="AM135" s="28">
        <v>9</v>
      </c>
      <c r="AN135" s="28">
        <v>12</v>
      </c>
      <c r="AO135" s="74">
        <v>43</v>
      </c>
      <c r="AP135" s="28">
        <v>0</v>
      </c>
      <c r="AQ135" s="28">
        <v>0</v>
      </c>
      <c r="AR135" s="74">
        <v>14</v>
      </c>
      <c r="AS135" s="28">
        <f>IFERROR((ARI_H113[[#This Row],[H]]-ARI_H113[[#This Row],[2B]]-ARI_H113[[#This Row],[3B]]-ARI_H113[[#This Row],[HR]])+(ARI_H113[[#This Row],[2B]]*2)+(ARI_H113[[#This Row],[3B]]*3)+(ARI_H113[[#This Row],[HR]]*4),0)</f>
        <v>42</v>
      </c>
      <c r="AT135" s="72">
        <f>ARI_H113[[#This Row],[OBP]]+ARI_H113[[#This Row],[SLG]]</f>
        <v>0.66223908918406071</v>
      </c>
      <c r="AU135" s="74">
        <v>1</v>
      </c>
      <c r="AV135" s="615">
        <v>8</v>
      </c>
      <c r="AY135" s="651" t="s">
        <v>1265</v>
      </c>
      <c r="AZ135" s="74" t="s">
        <v>166</v>
      </c>
      <c r="BA135" s="71" t="s">
        <v>1279</v>
      </c>
      <c r="BB135" s="72">
        <f>IFERROR(ARI_H124[[#This Row],[H]]/ARI_H124[[#This Row],[AB]],0)</f>
        <v>0.22619047619047619</v>
      </c>
      <c r="BC135" s="72">
        <f>IFERROR((ARI_H124[[#This Row],[BB]]+ARI_H124[[#This Row],[H]])/(ARI_H124[[#This Row],[BB]]+ARI_H124[[#This Row],[AB]]),0)</f>
        <v>0.34343434343434343</v>
      </c>
      <c r="BD135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0.40476190476190477</v>
      </c>
      <c r="BE135" s="28">
        <v>27</v>
      </c>
      <c r="BF135" s="28">
        <v>84</v>
      </c>
      <c r="BG135" s="28">
        <v>10</v>
      </c>
      <c r="BH135" s="28">
        <v>19</v>
      </c>
      <c r="BI135" s="28">
        <v>3</v>
      </c>
      <c r="BJ135" s="28">
        <v>0</v>
      </c>
      <c r="BK135" s="28">
        <v>4</v>
      </c>
      <c r="BL135" s="28">
        <v>10</v>
      </c>
      <c r="BM135" s="28">
        <v>15</v>
      </c>
      <c r="BN135" s="74">
        <v>25</v>
      </c>
      <c r="BO135" s="28">
        <v>0</v>
      </c>
      <c r="BP135" s="28">
        <v>0</v>
      </c>
      <c r="BQ135" s="74">
        <v>6</v>
      </c>
      <c r="BR135" s="28">
        <f>(ARI_H124[[#This Row],[H]]-ARI_H124[[#This Row],[2B]]-ARI_H124[[#This Row],[3B]]-ARI_H124[[#This Row],[HR]])+(ARI_H124[[#This Row],[2B]]*2)+(ARI_H124[[#This Row],[3B]]*3)+(ARI_H124[[#This Row],[HR]]*4)</f>
        <v>34</v>
      </c>
      <c r="BS135" s="72">
        <f>IFERROR(ARI_H124[[#This Row],[OBP]]+ARI_H124[[#This Row],[SLG]],0)</f>
        <v>0.74819624819624819</v>
      </c>
      <c r="BT135" s="74">
        <v>0</v>
      </c>
      <c r="BU135" s="615">
        <v>8</v>
      </c>
    </row>
    <row r="136" spans="1:73">
      <c r="A136" s="651" t="s">
        <v>1265</v>
      </c>
      <c r="B136" s="71" t="s">
        <v>168</v>
      </c>
      <c r="C136" s="71" t="s">
        <v>1276</v>
      </c>
      <c r="D136" s="72">
        <f>IFERROR(ARI_H[[#This Row],[H]]/ARI_H[[#This Row],[AB]],0)</f>
        <v>0.23300970873786409</v>
      </c>
      <c r="E136" s="72">
        <f>IFERROR((ARI_H[[#This Row],[H]]+ARI_H[[#This Row],[BB]])/(ARI_H[[#This Row],[BB]]+ARI_H[[#This Row],[AB]]),0)</f>
        <v>0.31304347826086959</v>
      </c>
      <c r="F136" s="73">
        <f>IFERROR(((ARI_H[[#This Row],[H]]-ARI_H[[#This Row],[2B]]-ARI_H[[#This Row],[3B]]-ARI_H[[#This Row],[HR]])+(ARI_H[[#This Row],[2B]]*2)+(ARI_H[[#This Row],[3B]]*3)+(ARI_H[[#This Row],[HR]]*4))/ARI_H[[#This Row],[AB]],0)</f>
        <v>0.44660194174757284</v>
      </c>
      <c r="G136" s="28">
        <v>28</v>
      </c>
      <c r="H136" s="28">
        <v>103</v>
      </c>
      <c r="I136" s="28">
        <v>12</v>
      </c>
      <c r="J136" s="28">
        <v>24</v>
      </c>
      <c r="K136" s="28">
        <v>4</v>
      </c>
      <c r="L136" s="28">
        <v>0</v>
      </c>
      <c r="M136" s="28">
        <v>6</v>
      </c>
      <c r="N136" s="28">
        <v>21</v>
      </c>
      <c r="O136" s="28">
        <v>12</v>
      </c>
      <c r="P136" s="74">
        <v>31</v>
      </c>
      <c r="Q136" s="28">
        <v>0</v>
      </c>
      <c r="R136" s="28">
        <v>0</v>
      </c>
      <c r="S136" s="74">
        <v>3</v>
      </c>
      <c r="T136" s="28">
        <f>IFERROR((ARI_H[[#This Row],[H]]-ARI_H[[#This Row],[2B]]-ARI_H[[#This Row],[3B]]-ARI_H[[#This Row],[HR]])+(ARI_H[[#This Row],[2B]]*2)+(ARI_H[[#This Row],[3B]]*3)+(ARI_H[[#This Row],[HR]]*4),0)</f>
        <v>46</v>
      </c>
      <c r="U136" s="72">
        <f>ARI_H[[#This Row],[OBP]]+ARI_H[[#This Row],[SLG]]</f>
        <v>0.75964542000844237</v>
      </c>
      <c r="V136" s="74">
        <v>2</v>
      </c>
      <c r="W136" s="615">
        <v>9</v>
      </c>
      <c r="Z136" s="651" t="s">
        <v>1265</v>
      </c>
      <c r="AA136" s="71" t="s">
        <v>168</v>
      </c>
      <c r="AB136" s="71" t="s">
        <v>1272</v>
      </c>
      <c r="AC136" s="72">
        <f>IFERROR(ARI_H113[[#This Row],[H]]/ARI_H113[[#This Row],[AB]],0)</f>
        <v>0.2361111111111111</v>
      </c>
      <c r="AD136" s="72">
        <f>IFERROR((ARI_H113[[#This Row],[H]]+ARI_H113[[#This Row],[BB]])/(ARI_H113[[#This Row],[BB]]+ARI_H113[[#This Row],[AB]]),0)</f>
        <v>0.32098765432098764</v>
      </c>
      <c r="AE136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0.39583333333333331</v>
      </c>
      <c r="AF136" s="28">
        <v>38</v>
      </c>
      <c r="AG136" s="28">
        <v>144</v>
      </c>
      <c r="AH136" s="28">
        <v>15</v>
      </c>
      <c r="AI136" s="28">
        <v>34</v>
      </c>
      <c r="AJ136" s="28">
        <v>9</v>
      </c>
      <c r="AK136" s="28">
        <v>1</v>
      </c>
      <c r="AL136" s="28">
        <v>4</v>
      </c>
      <c r="AM136" s="28">
        <v>13</v>
      </c>
      <c r="AN136" s="28">
        <v>18</v>
      </c>
      <c r="AO136" s="74">
        <v>29</v>
      </c>
      <c r="AP136" s="28">
        <v>1</v>
      </c>
      <c r="AQ136" s="28">
        <v>2</v>
      </c>
      <c r="AR136" s="74">
        <v>4</v>
      </c>
      <c r="AS136" s="28">
        <f>IFERROR((ARI_H113[[#This Row],[H]]-ARI_H113[[#This Row],[2B]]-ARI_H113[[#This Row],[3B]]-ARI_H113[[#This Row],[HR]])+(ARI_H113[[#This Row],[2B]]*2)+(ARI_H113[[#This Row],[3B]]*3)+(ARI_H113[[#This Row],[HR]]*4),0)</f>
        <v>57</v>
      </c>
      <c r="AT136" s="72">
        <f>ARI_H113[[#This Row],[OBP]]+ARI_H113[[#This Row],[SLG]]</f>
        <v>0.71682098765432101</v>
      </c>
      <c r="AU136" s="74">
        <v>1</v>
      </c>
      <c r="AV136" s="615">
        <v>9</v>
      </c>
      <c r="AY136" s="651" t="s">
        <v>1265</v>
      </c>
      <c r="AZ136" s="74" t="s">
        <v>168</v>
      </c>
      <c r="BA136" s="71" t="s">
        <v>719</v>
      </c>
      <c r="BB136" s="72">
        <f>IFERROR(ARI_H124[[#This Row],[H]]/ARI_H124[[#This Row],[AB]],0)</f>
        <v>0.29007633587786258</v>
      </c>
      <c r="BC136" s="72">
        <f>IFERROR((ARI_H124[[#This Row],[BB]]+ARI_H124[[#This Row],[H]])/(ARI_H124[[#This Row],[BB]]+ARI_H124[[#This Row],[AB]]),0)</f>
        <v>0.42236024844720499</v>
      </c>
      <c r="BD136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0.48091603053435117</v>
      </c>
      <c r="BE136" s="28">
        <v>39</v>
      </c>
      <c r="BF136" s="28">
        <v>131</v>
      </c>
      <c r="BG136" s="28">
        <v>20</v>
      </c>
      <c r="BH136" s="28">
        <v>38</v>
      </c>
      <c r="BI136" s="28">
        <v>10</v>
      </c>
      <c r="BJ136" s="28">
        <v>0</v>
      </c>
      <c r="BK136" s="28">
        <v>5</v>
      </c>
      <c r="BL136" s="28">
        <v>19</v>
      </c>
      <c r="BM136" s="28">
        <v>30</v>
      </c>
      <c r="BN136" s="74">
        <v>23</v>
      </c>
      <c r="BO136" s="28">
        <v>0</v>
      </c>
      <c r="BP136" s="28">
        <v>0</v>
      </c>
      <c r="BQ136" s="74">
        <v>9</v>
      </c>
      <c r="BR136" s="28">
        <f>(ARI_H124[[#This Row],[H]]-ARI_H124[[#This Row],[2B]]-ARI_H124[[#This Row],[3B]]-ARI_H124[[#This Row],[HR]])+(ARI_H124[[#This Row],[2B]]*2)+(ARI_H124[[#This Row],[3B]]*3)+(ARI_H124[[#This Row],[HR]]*4)</f>
        <v>63</v>
      </c>
      <c r="BS136" s="72">
        <f>IFERROR(ARI_H124[[#This Row],[OBP]]+ARI_H124[[#This Row],[SLG]],0)</f>
        <v>0.90327627898155616</v>
      </c>
      <c r="BT136" s="74">
        <v>1</v>
      </c>
      <c r="BU136" s="615">
        <v>9</v>
      </c>
    </row>
    <row r="137" spans="1:73">
      <c r="A137" s="651" t="s">
        <v>1265</v>
      </c>
      <c r="B137" s="71" t="s">
        <v>179</v>
      </c>
      <c r="C137" s="71" t="s">
        <v>1271</v>
      </c>
      <c r="D137" s="72">
        <f>IFERROR(ARI_H[[#This Row],[H]]/ARI_H[[#This Row],[AB]],0)</f>
        <v>0.33333333333333331</v>
      </c>
      <c r="E137" s="72">
        <f>IFERROR((ARI_H[[#This Row],[H]]+ARI_H[[#This Row],[BB]])/(ARI_H[[#This Row],[BB]]+ARI_H[[#This Row],[AB]]),0)</f>
        <v>0.33333333333333331</v>
      </c>
      <c r="F137" s="73">
        <f>IFERROR(((ARI_H[[#This Row],[H]]-ARI_H[[#This Row],[2B]]-ARI_H[[#This Row],[3B]]-ARI_H[[#This Row],[HR]])+(ARI_H[[#This Row],[2B]]*2)+(ARI_H[[#This Row],[3B]]*3)+(ARI_H[[#This Row],[HR]]*4))/ARI_H[[#This Row],[AB]],0)</f>
        <v>0.44444444444444442</v>
      </c>
      <c r="G137" s="28">
        <v>3</v>
      </c>
      <c r="H137" s="28">
        <v>9</v>
      </c>
      <c r="I137" s="28">
        <v>1</v>
      </c>
      <c r="J137" s="28">
        <v>3</v>
      </c>
      <c r="K137" s="28">
        <v>1</v>
      </c>
      <c r="L137" s="28">
        <v>0</v>
      </c>
      <c r="M137" s="28">
        <v>0</v>
      </c>
      <c r="N137" s="28">
        <v>1</v>
      </c>
      <c r="O137" s="28">
        <v>0</v>
      </c>
      <c r="P137" s="74">
        <v>3</v>
      </c>
      <c r="Q137" s="28">
        <v>0</v>
      </c>
      <c r="R137" s="28">
        <v>3</v>
      </c>
      <c r="S137" s="74">
        <v>3</v>
      </c>
      <c r="T137" s="28">
        <f>IFERROR((ARI_H[[#This Row],[H]]-ARI_H[[#This Row],[2B]]-ARI_H[[#This Row],[3B]]-ARI_H[[#This Row],[HR]])+(ARI_H[[#This Row],[2B]]*2)+(ARI_H[[#This Row],[3B]]*3)+(ARI_H[[#This Row],[HR]]*4),0)</f>
        <v>4</v>
      </c>
      <c r="U137" s="72">
        <f>ARI_H[[#This Row],[OBP]]+ARI_H[[#This Row],[SLG]]</f>
        <v>0.77777777777777768</v>
      </c>
      <c r="V137" s="74">
        <v>0</v>
      </c>
      <c r="W137" s="615">
        <v>10</v>
      </c>
      <c r="Z137" s="651" t="s">
        <v>1265</v>
      </c>
      <c r="AA137" s="71" t="s">
        <v>308</v>
      </c>
      <c r="AB137" s="71" t="s">
        <v>1277</v>
      </c>
      <c r="AC137" s="72">
        <f>IFERROR(ARI_H113[[#This Row],[H]]/ARI_H113[[#This Row],[AB]],0)</f>
        <v>0.18367346938775511</v>
      </c>
      <c r="AD137" s="72">
        <f>IFERROR((ARI_H113[[#This Row],[H]]+ARI_H113[[#This Row],[BB]])/(ARI_H113[[#This Row],[BB]]+ARI_H113[[#This Row],[AB]]),0)</f>
        <v>0.2857142857142857</v>
      </c>
      <c r="AE137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0.24489795918367346</v>
      </c>
      <c r="AF137" s="28">
        <v>15</v>
      </c>
      <c r="AG137" s="28">
        <v>49</v>
      </c>
      <c r="AH137" s="28">
        <v>3</v>
      </c>
      <c r="AI137" s="28">
        <v>9</v>
      </c>
      <c r="AJ137" s="28">
        <v>1</v>
      </c>
      <c r="AK137" s="28">
        <v>1</v>
      </c>
      <c r="AL137" s="28">
        <v>0</v>
      </c>
      <c r="AM137" s="28">
        <v>2</v>
      </c>
      <c r="AN137" s="28">
        <v>7</v>
      </c>
      <c r="AO137" s="74">
        <v>11</v>
      </c>
      <c r="AP137" s="28">
        <v>0</v>
      </c>
      <c r="AQ137" s="28">
        <v>1</v>
      </c>
      <c r="AR137" s="74">
        <v>2</v>
      </c>
      <c r="AS137" s="28">
        <f>IFERROR((ARI_H113[[#This Row],[H]]-ARI_H113[[#This Row],[2B]]-ARI_H113[[#This Row],[3B]]-ARI_H113[[#This Row],[HR]])+(ARI_H113[[#This Row],[2B]]*2)+(ARI_H113[[#This Row],[3B]]*3)+(ARI_H113[[#This Row],[HR]]*4),0)</f>
        <v>12</v>
      </c>
      <c r="AT137" s="72">
        <f>ARI_H113[[#This Row],[OBP]]+ARI_H113[[#This Row],[SLG]]</f>
        <v>0.53061224489795911</v>
      </c>
      <c r="AU137" s="74">
        <v>0</v>
      </c>
      <c r="AV137" s="615">
        <v>10</v>
      </c>
      <c r="AY137" s="651" t="s">
        <v>1265</v>
      </c>
      <c r="AZ137" s="74" t="s">
        <v>308</v>
      </c>
      <c r="BA137" s="71" t="s">
        <v>276</v>
      </c>
      <c r="BB137" s="72">
        <f>IFERROR(ARI_H124[[#This Row],[H]]/ARI_H124[[#This Row],[AB]],0)</f>
        <v>0.25</v>
      </c>
      <c r="BC137" s="72">
        <f>IFERROR((ARI_H124[[#This Row],[BB]]+ARI_H124[[#This Row],[H]])/(ARI_H124[[#This Row],[BB]]+ARI_H124[[#This Row],[AB]]),0)</f>
        <v>0.34</v>
      </c>
      <c r="BD137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0.44318181818181818</v>
      </c>
      <c r="BE137" s="28">
        <v>27</v>
      </c>
      <c r="BF137" s="28">
        <v>88</v>
      </c>
      <c r="BG137" s="28">
        <v>11</v>
      </c>
      <c r="BH137" s="28">
        <v>22</v>
      </c>
      <c r="BI137" s="28">
        <v>6</v>
      </c>
      <c r="BJ137" s="28">
        <v>1</v>
      </c>
      <c r="BK137" s="28">
        <v>3</v>
      </c>
      <c r="BL137" s="28">
        <v>11</v>
      </c>
      <c r="BM137" s="28">
        <v>12</v>
      </c>
      <c r="BN137" s="74">
        <v>19</v>
      </c>
      <c r="BO137" s="28">
        <v>1</v>
      </c>
      <c r="BP137" s="28">
        <v>0</v>
      </c>
      <c r="BQ137" s="74">
        <v>5</v>
      </c>
      <c r="BR137" s="28">
        <f>(ARI_H124[[#This Row],[H]]-ARI_H124[[#This Row],[2B]]-ARI_H124[[#This Row],[3B]]-ARI_H124[[#This Row],[HR]])+(ARI_H124[[#This Row],[2B]]*2)+(ARI_H124[[#This Row],[3B]]*3)+(ARI_H124[[#This Row],[HR]]*4)</f>
        <v>39</v>
      </c>
      <c r="BS137" s="72">
        <f>IFERROR(ARI_H124[[#This Row],[OBP]]+ARI_H124[[#This Row],[SLG]],0)</f>
        <v>0.7831818181818182</v>
      </c>
      <c r="BT137" s="74">
        <v>0</v>
      </c>
      <c r="BU137" s="615">
        <v>10</v>
      </c>
    </row>
    <row r="138" spans="1:73">
      <c r="A138" s="651" t="s">
        <v>1265</v>
      </c>
      <c r="B138" s="71" t="s">
        <v>192</v>
      </c>
      <c r="C138" s="71" t="s">
        <v>1280</v>
      </c>
      <c r="D138" s="72">
        <f>IFERROR(ARI_H[[#This Row],[H]]/ARI_H[[#This Row],[AB]],0)</f>
        <v>0.26315789473684209</v>
      </c>
      <c r="E138" s="72">
        <f>IFERROR((ARI_H[[#This Row],[H]]+ARI_H[[#This Row],[BB]])/(ARI_H[[#This Row],[BB]]+ARI_H[[#This Row],[AB]]),0)</f>
        <v>0.26315789473684209</v>
      </c>
      <c r="F138" s="73">
        <f>IFERROR(((ARI_H[[#This Row],[H]]-ARI_H[[#This Row],[2B]]-ARI_H[[#This Row],[3B]]-ARI_H[[#This Row],[HR]])+(ARI_H[[#This Row],[2B]]*2)+(ARI_H[[#This Row],[3B]]*3)+(ARI_H[[#This Row],[HR]]*4))/ARI_H[[#This Row],[AB]],0)</f>
        <v>0.47368421052631576</v>
      </c>
      <c r="G138" s="28">
        <v>5</v>
      </c>
      <c r="H138" s="28">
        <v>19</v>
      </c>
      <c r="I138" s="28">
        <v>3</v>
      </c>
      <c r="J138" s="28">
        <v>5</v>
      </c>
      <c r="K138" s="28">
        <v>2</v>
      </c>
      <c r="L138" s="28">
        <v>1</v>
      </c>
      <c r="M138" s="28">
        <v>0</v>
      </c>
      <c r="N138" s="28">
        <v>2</v>
      </c>
      <c r="O138" s="28">
        <v>0</v>
      </c>
      <c r="P138" s="74">
        <v>3</v>
      </c>
      <c r="Q138" s="28">
        <v>0</v>
      </c>
      <c r="R138" s="28">
        <v>1</v>
      </c>
      <c r="S138" s="74">
        <v>1</v>
      </c>
      <c r="T138" s="28">
        <f>IFERROR((ARI_H[[#This Row],[H]]-ARI_H[[#This Row],[2B]]-ARI_H[[#This Row],[3B]]-ARI_H[[#This Row],[HR]])+(ARI_H[[#This Row],[2B]]*2)+(ARI_H[[#This Row],[3B]]*3)+(ARI_H[[#This Row],[HR]]*4),0)</f>
        <v>9</v>
      </c>
      <c r="U138" s="72">
        <f>ARI_H[[#This Row],[OBP]]+ARI_H[[#This Row],[SLG]]</f>
        <v>0.73684210526315785</v>
      </c>
      <c r="V138" s="74">
        <v>0</v>
      </c>
      <c r="W138" s="615">
        <v>11</v>
      </c>
      <c r="Z138" s="651" t="s">
        <v>1265</v>
      </c>
      <c r="AA138" s="71" t="s">
        <v>187</v>
      </c>
      <c r="AB138" s="71" t="s">
        <v>1275</v>
      </c>
      <c r="AC138" s="72">
        <f>IFERROR(ARI_H113[[#This Row],[H]]/ARI_H113[[#This Row],[AB]],0)</f>
        <v>0.26530612244897961</v>
      </c>
      <c r="AD138" s="72">
        <f>IFERROR((ARI_H113[[#This Row],[H]]+ARI_H113[[#This Row],[BB]])/(ARI_H113[[#This Row],[BB]]+ARI_H113[[#This Row],[AB]]),0)</f>
        <v>0.29411764705882354</v>
      </c>
      <c r="AE138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0.38775510204081631</v>
      </c>
      <c r="AF138" s="28">
        <v>14</v>
      </c>
      <c r="AG138" s="28">
        <v>49</v>
      </c>
      <c r="AH138" s="28">
        <v>6</v>
      </c>
      <c r="AI138" s="28">
        <v>13</v>
      </c>
      <c r="AJ138" s="28">
        <v>6</v>
      </c>
      <c r="AK138" s="28">
        <v>0</v>
      </c>
      <c r="AL138" s="28">
        <v>0</v>
      </c>
      <c r="AM138" s="28">
        <v>6</v>
      </c>
      <c r="AN138" s="28">
        <v>2</v>
      </c>
      <c r="AO138" s="74">
        <v>9</v>
      </c>
      <c r="AP138" s="28">
        <v>0</v>
      </c>
      <c r="AQ138" s="28">
        <v>1</v>
      </c>
      <c r="AR138" s="74">
        <v>5</v>
      </c>
      <c r="AS138" s="28">
        <f>IFERROR((ARI_H113[[#This Row],[H]]-ARI_H113[[#This Row],[2B]]-ARI_H113[[#This Row],[3B]]-ARI_H113[[#This Row],[HR]])+(ARI_H113[[#This Row],[2B]]*2)+(ARI_H113[[#This Row],[3B]]*3)+(ARI_H113[[#This Row],[HR]]*4),0)</f>
        <v>19</v>
      </c>
      <c r="AT138" s="72">
        <f>ARI_H113[[#This Row],[OBP]]+ARI_H113[[#This Row],[SLG]]</f>
        <v>0.68187274909963991</v>
      </c>
      <c r="AU138" s="74">
        <v>0</v>
      </c>
      <c r="AV138" s="615">
        <v>11</v>
      </c>
      <c r="AY138" s="651" t="s">
        <v>1265</v>
      </c>
      <c r="AZ138" s="74" t="s">
        <v>187</v>
      </c>
      <c r="BA138" s="71" t="s">
        <v>1283</v>
      </c>
      <c r="BB138" s="72">
        <f>IFERROR(ARI_H124[[#This Row],[H]]/ARI_H124[[#This Row],[AB]],0)</f>
        <v>0.19047619047619047</v>
      </c>
      <c r="BC138" s="72">
        <f>IFERROR((ARI_H124[[#This Row],[BB]]+ARI_H124[[#This Row],[H]])/(ARI_H124[[#This Row],[BB]]+ARI_H124[[#This Row],[AB]]),0)</f>
        <v>0.29166666666666669</v>
      </c>
      <c r="BD138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0.38095238095238093</v>
      </c>
      <c r="BE138" s="28">
        <v>14</v>
      </c>
      <c r="BF138" s="28">
        <v>42</v>
      </c>
      <c r="BG138" s="28">
        <v>9</v>
      </c>
      <c r="BH138" s="28">
        <v>8</v>
      </c>
      <c r="BI138" s="28">
        <v>2</v>
      </c>
      <c r="BJ138" s="28">
        <v>0</v>
      </c>
      <c r="BK138" s="28">
        <v>2</v>
      </c>
      <c r="BL138" s="28">
        <v>6</v>
      </c>
      <c r="BM138" s="28">
        <v>6</v>
      </c>
      <c r="BN138" s="74">
        <v>9</v>
      </c>
      <c r="BO138" s="28">
        <v>0</v>
      </c>
      <c r="BP138" s="28">
        <v>0</v>
      </c>
      <c r="BQ138" s="74">
        <v>3</v>
      </c>
      <c r="BR138" s="28">
        <f>(ARI_H124[[#This Row],[H]]-ARI_H124[[#This Row],[2B]]-ARI_H124[[#This Row],[3B]]-ARI_H124[[#This Row],[HR]])+(ARI_H124[[#This Row],[2B]]*2)+(ARI_H124[[#This Row],[3B]]*3)+(ARI_H124[[#This Row],[HR]]*4)</f>
        <v>16</v>
      </c>
      <c r="BS138" s="72">
        <f>IFERROR(ARI_H124[[#This Row],[OBP]]+ARI_H124[[#This Row],[SLG]],0)</f>
        <v>0.67261904761904767</v>
      </c>
      <c r="BT138" s="74">
        <v>1</v>
      </c>
      <c r="BU138" s="615">
        <v>11</v>
      </c>
    </row>
    <row r="139" spans="1:73">
      <c r="A139" s="651" t="s">
        <v>1265</v>
      </c>
      <c r="B139" s="71" t="s">
        <v>186</v>
      </c>
      <c r="C139" s="71" t="s">
        <v>271</v>
      </c>
      <c r="D139" s="72">
        <f>IFERROR(ARI_H[[#This Row],[H]]/ARI_H[[#This Row],[AB]],0)</f>
        <v>0</v>
      </c>
      <c r="E139" s="72">
        <f>IFERROR((ARI_H[[#This Row],[H]]+ARI_H[[#This Row],[BB]])/(ARI_H[[#This Row],[BB]]+ARI_H[[#This Row],[AB]]),0)</f>
        <v>0</v>
      </c>
      <c r="F139" s="73">
        <f>IFERROR(((ARI_H[[#This Row],[H]]-ARI_H[[#This Row],[2B]]-ARI_H[[#This Row],[3B]]-ARI_H[[#This Row],[HR]])+(ARI_H[[#This Row],[2B]]*2)+(ARI_H[[#This Row],[3B]]*3)+(ARI_H[[#This Row],[HR]]*4))/ARI_H[[#This Row],[AB]],0)</f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74">
        <v>0</v>
      </c>
      <c r="Q139" s="28">
        <v>0</v>
      </c>
      <c r="R139" s="28">
        <v>0</v>
      </c>
      <c r="S139" s="74">
        <v>0</v>
      </c>
      <c r="T139" s="28">
        <f>IFERROR((ARI_H[[#This Row],[H]]-ARI_H[[#This Row],[2B]]-ARI_H[[#This Row],[3B]]-ARI_H[[#This Row],[HR]])+(ARI_H[[#This Row],[2B]]*2)+(ARI_H[[#This Row],[3B]]*3)+(ARI_H[[#This Row],[HR]]*4),0)</f>
        <v>0</v>
      </c>
      <c r="U139" s="72">
        <f>ARI_H[[#This Row],[OBP]]+ARI_H[[#This Row],[SLG]]</f>
        <v>0</v>
      </c>
      <c r="V139" s="74">
        <v>0</v>
      </c>
      <c r="W139" s="615">
        <v>12</v>
      </c>
      <c r="Z139" s="651" t="s">
        <v>1265</v>
      </c>
      <c r="AA139" s="71" t="s">
        <v>187</v>
      </c>
      <c r="AB139" s="71" t="s">
        <v>1281</v>
      </c>
      <c r="AC139" s="72">
        <f>IFERROR(ARI_H113[[#This Row],[H]]/ARI_H113[[#This Row],[AB]],0)</f>
        <v>0.17777777777777778</v>
      </c>
      <c r="AD139" s="72">
        <f>IFERROR((ARI_H113[[#This Row],[H]]+ARI_H113[[#This Row],[BB]])/(ARI_H113[[#This Row],[BB]]+ARI_H113[[#This Row],[AB]]),0)</f>
        <v>0.27450980392156865</v>
      </c>
      <c r="AE139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0.37777777777777777</v>
      </c>
      <c r="AF139" s="28">
        <v>12</v>
      </c>
      <c r="AG139" s="28">
        <v>45</v>
      </c>
      <c r="AH139" s="28">
        <v>3</v>
      </c>
      <c r="AI139" s="28">
        <v>8</v>
      </c>
      <c r="AJ139" s="28">
        <v>3</v>
      </c>
      <c r="AK139" s="28">
        <v>0</v>
      </c>
      <c r="AL139" s="28">
        <v>2</v>
      </c>
      <c r="AM139" s="28">
        <v>5</v>
      </c>
      <c r="AN139" s="28">
        <v>6</v>
      </c>
      <c r="AO139" s="74">
        <v>17</v>
      </c>
      <c r="AP139" s="28">
        <v>0</v>
      </c>
      <c r="AQ139" s="28">
        <v>0</v>
      </c>
      <c r="AR139" s="74">
        <v>4</v>
      </c>
      <c r="AS139" s="28">
        <f>IFERROR((ARI_H113[[#This Row],[H]]-ARI_H113[[#This Row],[2B]]-ARI_H113[[#This Row],[3B]]-ARI_H113[[#This Row],[HR]])+(ARI_H113[[#This Row],[2B]]*2)+(ARI_H113[[#This Row],[3B]]*3)+(ARI_H113[[#This Row],[HR]]*4),0)</f>
        <v>17</v>
      </c>
      <c r="AT139" s="72">
        <f>ARI_H113[[#This Row],[OBP]]+ARI_H113[[#This Row],[SLG]]</f>
        <v>0.65228758169934642</v>
      </c>
      <c r="AU139" s="74">
        <v>0</v>
      </c>
      <c r="AV139" s="615">
        <v>12</v>
      </c>
      <c r="AY139" s="651" t="s">
        <v>1265</v>
      </c>
      <c r="AZ139" s="74" t="s">
        <v>187</v>
      </c>
      <c r="BA139" s="71" t="s">
        <v>1281</v>
      </c>
      <c r="BB139" s="72">
        <f>IFERROR(ARI_H124[[#This Row],[H]]/ARI_H124[[#This Row],[AB]],0)</f>
        <v>0.23076923076923078</v>
      </c>
      <c r="BC139" s="72">
        <f>IFERROR((ARI_H124[[#This Row],[BB]]+ARI_H124[[#This Row],[H]])/(ARI_H124[[#This Row],[BB]]+ARI_H124[[#This Row],[AB]]),0)</f>
        <v>0.23076923076923078</v>
      </c>
      <c r="BD139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0.23076923076923078</v>
      </c>
      <c r="BE139" s="28">
        <v>4</v>
      </c>
      <c r="BF139" s="28">
        <v>13</v>
      </c>
      <c r="BG139" s="28">
        <v>1</v>
      </c>
      <c r="BH139" s="28">
        <v>3</v>
      </c>
      <c r="BI139" s="28">
        <v>0</v>
      </c>
      <c r="BJ139" s="28">
        <v>0</v>
      </c>
      <c r="BK139" s="28">
        <v>0</v>
      </c>
      <c r="BL139" s="28">
        <v>2</v>
      </c>
      <c r="BM139" s="28">
        <v>0</v>
      </c>
      <c r="BN139" s="74">
        <v>3</v>
      </c>
      <c r="BO139" s="28">
        <v>0</v>
      </c>
      <c r="BP139" s="28">
        <v>2</v>
      </c>
      <c r="BQ139" s="74">
        <v>2</v>
      </c>
      <c r="BR139" s="28">
        <f>(ARI_H124[[#This Row],[H]]-ARI_H124[[#This Row],[2B]]-ARI_H124[[#This Row],[3B]]-ARI_H124[[#This Row],[HR]])+(ARI_H124[[#This Row],[2B]]*2)+(ARI_H124[[#This Row],[3B]]*3)+(ARI_H124[[#This Row],[HR]]*4)</f>
        <v>3</v>
      </c>
      <c r="BS139" s="72">
        <f>IFERROR(ARI_H124[[#This Row],[OBP]]+ARI_H124[[#This Row],[SLG]],0)</f>
        <v>0.46153846153846156</v>
      </c>
      <c r="BT139" s="74">
        <v>0</v>
      </c>
      <c r="BU139" s="615">
        <v>12</v>
      </c>
    </row>
    <row r="140" spans="1:73">
      <c r="A140" s="651" t="s">
        <v>1265</v>
      </c>
      <c r="B140" s="71" t="s">
        <v>186</v>
      </c>
      <c r="C140" s="71" t="s">
        <v>1278</v>
      </c>
      <c r="D140" s="72">
        <f>IFERROR(ARI_H[[#This Row],[H]]/ARI_H[[#This Row],[AB]],0)</f>
        <v>0.26666666666666666</v>
      </c>
      <c r="E140" s="72">
        <f>IFERROR((ARI_H[[#This Row],[H]]+ARI_H[[#This Row],[BB]])/(ARI_H[[#This Row],[BB]]+ARI_H[[#This Row],[AB]]),0)</f>
        <v>0.36538461538461536</v>
      </c>
      <c r="F140" s="73">
        <f>IFERROR(((ARI_H[[#This Row],[H]]-ARI_H[[#This Row],[2B]]-ARI_H[[#This Row],[3B]]-ARI_H[[#This Row],[HR]])+(ARI_H[[#This Row],[2B]]*2)+(ARI_H[[#This Row],[3B]]*3)+(ARI_H[[#This Row],[HR]]*4))/ARI_H[[#This Row],[AB]],0)</f>
        <v>0.44444444444444442</v>
      </c>
      <c r="G140" s="28">
        <v>13</v>
      </c>
      <c r="H140" s="28">
        <v>45</v>
      </c>
      <c r="I140" s="28">
        <v>6</v>
      </c>
      <c r="J140" s="28">
        <v>12</v>
      </c>
      <c r="K140" s="28">
        <v>2</v>
      </c>
      <c r="L140" s="28">
        <v>0</v>
      </c>
      <c r="M140" s="28">
        <v>2</v>
      </c>
      <c r="N140" s="28">
        <v>7</v>
      </c>
      <c r="O140" s="28">
        <v>7</v>
      </c>
      <c r="P140" s="74">
        <v>11</v>
      </c>
      <c r="Q140" s="28">
        <v>0</v>
      </c>
      <c r="R140" s="28">
        <v>4</v>
      </c>
      <c r="S140" s="74">
        <v>4</v>
      </c>
      <c r="T140" s="28">
        <f>IFERROR((ARI_H[[#This Row],[H]]-ARI_H[[#This Row],[2B]]-ARI_H[[#This Row],[3B]]-ARI_H[[#This Row],[HR]])+(ARI_H[[#This Row],[2B]]*2)+(ARI_H[[#This Row],[3B]]*3)+(ARI_H[[#This Row],[HR]]*4),0)</f>
        <v>20</v>
      </c>
      <c r="U140" s="72">
        <f>ARI_H[[#This Row],[OBP]]+ARI_H[[#This Row],[SLG]]</f>
        <v>0.80982905982905984</v>
      </c>
      <c r="V140" s="74">
        <v>0</v>
      </c>
      <c r="W140" s="615">
        <v>13</v>
      </c>
      <c r="Z140" s="651" t="s">
        <v>1265</v>
      </c>
      <c r="AA140" s="71" t="s">
        <v>186</v>
      </c>
      <c r="AB140" s="71" t="s">
        <v>1278</v>
      </c>
      <c r="AC140" s="72">
        <f>IFERROR(ARI_H113[[#This Row],[H]]/ARI_H113[[#This Row],[AB]],0)</f>
        <v>9.5238095238095233E-2</v>
      </c>
      <c r="AD140" s="72">
        <f>IFERROR((ARI_H113[[#This Row],[H]]+ARI_H113[[#This Row],[BB]])/(ARI_H113[[#This Row],[BB]]+ARI_H113[[#This Row],[AB]]),0)</f>
        <v>0.13636363636363635</v>
      </c>
      <c r="AE140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0.23809523809523808</v>
      </c>
      <c r="AF140" s="28">
        <v>5</v>
      </c>
      <c r="AG140" s="28">
        <v>21</v>
      </c>
      <c r="AH140" s="28">
        <v>1</v>
      </c>
      <c r="AI140" s="28">
        <v>2</v>
      </c>
      <c r="AJ140" s="28">
        <v>0</v>
      </c>
      <c r="AK140" s="28">
        <v>0</v>
      </c>
      <c r="AL140" s="28">
        <v>1</v>
      </c>
      <c r="AM140" s="28">
        <v>1</v>
      </c>
      <c r="AN140" s="28">
        <v>1</v>
      </c>
      <c r="AO140" s="74">
        <v>8</v>
      </c>
      <c r="AP140" s="28">
        <v>0</v>
      </c>
      <c r="AQ140" s="28">
        <v>0</v>
      </c>
      <c r="AR140" s="74">
        <v>2</v>
      </c>
      <c r="AS140" s="28">
        <f>IFERROR((ARI_H113[[#This Row],[H]]-ARI_H113[[#This Row],[2B]]-ARI_H113[[#This Row],[3B]]-ARI_H113[[#This Row],[HR]])+(ARI_H113[[#This Row],[2B]]*2)+(ARI_H113[[#This Row],[3B]]*3)+(ARI_H113[[#This Row],[HR]]*4),0)</f>
        <v>5</v>
      </c>
      <c r="AT140" s="72">
        <f>ARI_H113[[#This Row],[OBP]]+ARI_H113[[#This Row],[SLG]]</f>
        <v>0.37445887445887444</v>
      </c>
      <c r="AU140" s="74">
        <v>0</v>
      </c>
      <c r="AV140" s="615">
        <v>13</v>
      </c>
      <c r="AY140" s="651" t="s">
        <v>1265</v>
      </c>
      <c r="AZ140" s="74" t="s">
        <v>186</v>
      </c>
      <c r="BA140" s="71" t="s">
        <v>1278</v>
      </c>
      <c r="BB140" s="72">
        <f>IFERROR(ARI_H124[[#This Row],[H]]/ARI_H124[[#This Row],[AB]],0)</f>
        <v>0.22916666666666666</v>
      </c>
      <c r="BC140" s="72">
        <f>IFERROR((ARI_H124[[#This Row],[BB]]+ARI_H124[[#This Row],[H]])/(ARI_H124[[#This Row],[BB]]+ARI_H124[[#This Row],[AB]]),0)</f>
        <v>0.31481481481481483</v>
      </c>
      <c r="BD140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0.375</v>
      </c>
      <c r="BE140" s="28">
        <v>27</v>
      </c>
      <c r="BF140" s="28">
        <v>96</v>
      </c>
      <c r="BG140" s="28">
        <v>13</v>
      </c>
      <c r="BH140" s="28">
        <v>22</v>
      </c>
      <c r="BI140" s="28">
        <v>5</v>
      </c>
      <c r="BJ140" s="28">
        <v>0</v>
      </c>
      <c r="BK140" s="28">
        <v>3</v>
      </c>
      <c r="BL140" s="28">
        <v>13</v>
      </c>
      <c r="BM140" s="28">
        <v>12</v>
      </c>
      <c r="BN140" s="74">
        <v>23</v>
      </c>
      <c r="BO140" s="28">
        <v>0</v>
      </c>
      <c r="BP140" s="28">
        <v>0</v>
      </c>
      <c r="BQ140" s="74">
        <v>3</v>
      </c>
      <c r="BR140" s="28">
        <f>(ARI_H124[[#This Row],[H]]-ARI_H124[[#This Row],[2B]]-ARI_H124[[#This Row],[3B]]-ARI_H124[[#This Row],[HR]])+(ARI_H124[[#This Row],[2B]]*2)+(ARI_H124[[#This Row],[3B]]*3)+(ARI_H124[[#This Row],[HR]]*4)</f>
        <v>36</v>
      </c>
      <c r="BS140" s="72">
        <f>IFERROR(ARI_H124[[#This Row],[OBP]]+ARI_H124[[#This Row],[SLG]],0)</f>
        <v>0.68981481481481488</v>
      </c>
      <c r="BT140" s="74">
        <v>3</v>
      </c>
      <c r="BU140" s="615">
        <v>13</v>
      </c>
    </row>
    <row r="141" spans="1:73" ht="17" thickBot="1">
      <c r="A141" s="651" t="s">
        <v>1265</v>
      </c>
      <c r="B141" s="71" t="s">
        <v>186</v>
      </c>
      <c r="C141" s="71" t="s">
        <v>1284</v>
      </c>
      <c r="D141" s="72">
        <f>IFERROR(ARI_H[[#This Row],[H]]/ARI_H[[#This Row],[AB]],0)</f>
        <v>0.14285714285714285</v>
      </c>
      <c r="E141" s="72">
        <f>IFERROR((ARI_H[[#This Row],[H]]+ARI_H[[#This Row],[BB]])/(ARI_H[[#This Row],[BB]]+ARI_H[[#This Row],[AB]]),0)</f>
        <v>0.14285714285714285</v>
      </c>
      <c r="F141" s="73">
        <f>IFERROR(((ARI_H[[#This Row],[H]]-ARI_H[[#This Row],[2B]]-ARI_H[[#This Row],[3B]]-ARI_H[[#This Row],[HR]])+(ARI_H[[#This Row],[2B]]*2)+(ARI_H[[#This Row],[3B]]*3)+(ARI_H[[#This Row],[HR]]*4))/ARI_H[[#This Row],[AB]],0)</f>
        <v>0.14285714285714285</v>
      </c>
      <c r="G141" s="28">
        <v>2</v>
      </c>
      <c r="H141" s="28">
        <v>7</v>
      </c>
      <c r="I141" s="28">
        <v>0</v>
      </c>
      <c r="J141" s="28">
        <v>1</v>
      </c>
      <c r="K141" s="28">
        <v>0</v>
      </c>
      <c r="L141" s="28">
        <v>0</v>
      </c>
      <c r="M141" s="28">
        <v>0</v>
      </c>
      <c r="N141" s="28">
        <v>1</v>
      </c>
      <c r="O141" s="28">
        <v>0</v>
      </c>
      <c r="P141" s="74">
        <v>2</v>
      </c>
      <c r="Q141" s="28">
        <v>0</v>
      </c>
      <c r="R141" s="28">
        <v>1</v>
      </c>
      <c r="S141" s="74">
        <v>1</v>
      </c>
      <c r="T141" s="28">
        <f>IFERROR((ARI_H[[#This Row],[H]]-ARI_H[[#This Row],[2B]]-ARI_H[[#This Row],[3B]]-ARI_H[[#This Row],[HR]])+(ARI_H[[#This Row],[2B]]*2)+(ARI_H[[#This Row],[3B]]*3)+(ARI_H[[#This Row],[HR]]*4),0)</f>
        <v>1</v>
      </c>
      <c r="U141" s="72">
        <f>ARI_H[[#This Row],[OBP]]+ARI_H[[#This Row],[SLG]]</f>
        <v>0.2857142857142857</v>
      </c>
      <c r="V141" s="74">
        <v>0</v>
      </c>
      <c r="W141" s="615">
        <v>14</v>
      </c>
      <c r="Z141" s="651" t="s">
        <v>1265</v>
      </c>
      <c r="AA141" s="71" t="s">
        <v>186</v>
      </c>
      <c r="AB141" s="71" t="s">
        <v>1284</v>
      </c>
      <c r="AC141" s="72">
        <f>IFERROR(ARI_H113[[#This Row],[H]]/ARI_H113[[#This Row],[AB]],0)</f>
        <v>0.13157894736842105</v>
      </c>
      <c r="AD141" s="72">
        <f>IFERROR((ARI_H113[[#This Row],[H]]+ARI_H113[[#This Row],[BB]])/(ARI_H113[[#This Row],[BB]]+ARI_H113[[#This Row],[AB]]),0)</f>
        <v>0.1951219512195122</v>
      </c>
      <c r="AE141" s="73">
        <f>IFERROR(((ARI_H113[[#This Row],[H]]-ARI_H113[[#This Row],[2B]]-ARI_H113[[#This Row],[3B]]-ARI_H113[[#This Row],[HR]])+(ARI_H113[[#This Row],[2B]]*2)+(ARI_H113[[#This Row],[3B]]*3)+(ARI_H113[[#This Row],[HR]]*4))/ARI_H113[[#This Row],[AB]],0)</f>
        <v>0.13157894736842105</v>
      </c>
      <c r="AF141" s="28">
        <v>11</v>
      </c>
      <c r="AG141" s="28">
        <v>38</v>
      </c>
      <c r="AH141" s="28">
        <v>2</v>
      </c>
      <c r="AI141" s="28">
        <v>5</v>
      </c>
      <c r="AJ141" s="28">
        <v>0</v>
      </c>
      <c r="AK141" s="28">
        <v>0</v>
      </c>
      <c r="AL141" s="28">
        <v>0</v>
      </c>
      <c r="AM141" s="28">
        <v>1</v>
      </c>
      <c r="AN141" s="28">
        <v>3</v>
      </c>
      <c r="AO141" s="74">
        <v>7</v>
      </c>
      <c r="AP141" s="28">
        <v>0</v>
      </c>
      <c r="AQ141" s="28">
        <v>1</v>
      </c>
      <c r="AR141" s="74">
        <v>1</v>
      </c>
      <c r="AS141" s="28">
        <f>IFERROR((ARI_H113[[#This Row],[H]]-ARI_H113[[#This Row],[2B]]-ARI_H113[[#This Row],[3B]]-ARI_H113[[#This Row],[HR]])+(ARI_H113[[#This Row],[2B]]*2)+(ARI_H113[[#This Row],[3B]]*3)+(ARI_H113[[#This Row],[HR]]*4),0)</f>
        <v>5</v>
      </c>
      <c r="AT141" s="72">
        <f>ARI_H113[[#This Row],[OBP]]+ARI_H113[[#This Row],[SLG]]</f>
        <v>0.32670089858793327</v>
      </c>
      <c r="AU141" s="74">
        <v>0</v>
      </c>
      <c r="AV141" s="615">
        <v>14</v>
      </c>
      <c r="AY141" s="651" t="s">
        <v>1265</v>
      </c>
      <c r="AZ141" s="74" t="s">
        <v>184</v>
      </c>
      <c r="BA141" s="71" t="s">
        <v>1284</v>
      </c>
      <c r="BB141" s="72">
        <f>IFERROR(ARI_H124[[#This Row],[H]]/ARI_H124[[#This Row],[AB]],0)</f>
        <v>0.21428571428571427</v>
      </c>
      <c r="BC141" s="72">
        <f>IFERROR((ARI_H124[[#This Row],[BB]]+ARI_H124[[#This Row],[H]])/(ARI_H124[[#This Row],[BB]]+ARI_H124[[#This Row],[AB]]),0)</f>
        <v>0.21428571428571427</v>
      </c>
      <c r="BD141" s="73">
        <f>IFERROR(((ARI_H124[[#This Row],[H]]-ARI_H124[[#This Row],[2B]]-ARI_H124[[#This Row],[3B]]-ARI_H124[[#This Row],[HR]])+(ARI_H124[[#This Row],[2B]]*2)+(ARI_H124[[#This Row],[3B]]*3)+(ARI_H124[[#This Row],[HR]]*4))/ARI_H124[[#This Row],[AB]],0)</f>
        <v>0.2857142857142857</v>
      </c>
      <c r="BE141" s="28">
        <v>5</v>
      </c>
      <c r="BF141" s="28">
        <v>14</v>
      </c>
      <c r="BG141" s="28">
        <v>1</v>
      </c>
      <c r="BH141" s="28">
        <v>3</v>
      </c>
      <c r="BI141" s="28">
        <v>1</v>
      </c>
      <c r="BJ141" s="28">
        <v>0</v>
      </c>
      <c r="BK141" s="28">
        <v>0</v>
      </c>
      <c r="BL141" s="28">
        <v>1</v>
      </c>
      <c r="BM141" s="28">
        <v>0</v>
      </c>
      <c r="BN141" s="74">
        <v>6</v>
      </c>
      <c r="BO141" s="28">
        <v>0</v>
      </c>
      <c r="BP141" s="28">
        <v>3</v>
      </c>
      <c r="BQ141" s="74">
        <v>3</v>
      </c>
      <c r="BR141" s="28">
        <f>(ARI_H124[[#This Row],[H]]-ARI_H124[[#This Row],[2B]]-ARI_H124[[#This Row],[3B]]-ARI_H124[[#This Row],[HR]])+(ARI_H124[[#This Row],[2B]]*2)+(ARI_H124[[#This Row],[3B]]*3)+(ARI_H124[[#This Row],[HR]]*4)</f>
        <v>4</v>
      </c>
      <c r="BS141" s="72">
        <f>IFERROR(ARI_H124[[#This Row],[OBP]]+ARI_H124[[#This Row],[SLG]],0)</f>
        <v>0.5</v>
      </c>
      <c r="BT141" s="74">
        <v>0</v>
      </c>
      <c r="BU141" s="615">
        <v>14</v>
      </c>
    </row>
    <row r="142" spans="1:73" ht="17" thickBot="1">
      <c r="A142" s="809"/>
      <c r="B142" s="810"/>
      <c r="C142" s="654" t="s">
        <v>195</v>
      </c>
      <c r="D142" s="716">
        <f>J142/H142</f>
        <v>0.28460997891777934</v>
      </c>
      <c r="E142" s="656">
        <f>(O142+J142)/(O142+H142)</f>
        <v>0.35159235668789807</v>
      </c>
      <c r="F142" s="657">
        <f>((J142-K142-L142-M142)+(K142*2)+(L142*3)+(M142*4))/H142</f>
        <v>0.44834855938158819</v>
      </c>
      <c r="G142" s="658"/>
      <c r="H142" s="658">
        <f>SUBTOTAL(109,ARI_H[AB])</f>
        <v>1423</v>
      </c>
      <c r="I142" s="659">
        <f>SUBTOTAL(109,ARI_H[R])</f>
        <v>220</v>
      </c>
      <c r="J142" s="659">
        <f>SUBTOTAL(109,ARI_H[H])</f>
        <v>405</v>
      </c>
      <c r="K142" s="658">
        <f>SUBTOTAL(109,ARI_H[2B])</f>
        <v>69</v>
      </c>
      <c r="L142" s="658">
        <f>SUBTOTAL(109,ARI_H[3B])</f>
        <v>13</v>
      </c>
      <c r="M142" s="658">
        <f>SUBTOTAL(109,ARI_H[HR])</f>
        <v>46</v>
      </c>
      <c r="N142" s="658">
        <f>SUBTOTAL(109,ARI_H[RBI])</f>
        <v>219</v>
      </c>
      <c r="O142" s="658">
        <f>SUBTOTAL(109,ARI_H[BB])</f>
        <v>147</v>
      </c>
      <c r="P142" s="660">
        <f>SUBTOTAL(109,ARI_H[K])</f>
        <v>334</v>
      </c>
      <c r="Q142" s="658">
        <f>SUBTOTAL(109,ARI_H[SB])</f>
        <v>30</v>
      </c>
      <c r="R142" s="658"/>
      <c r="S142" s="660"/>
      <c r="T142" s="659">
        <f>SUBTOTAL(109,ARI_H[TB])</f>
        <v>638</v>
      </c>
      <c r="U142" s="656">
        <f>F142+E142</f>
        <v>0.79994091606948625</v>
      </c>
      <c r="V142" s="660">
        <f>SUBTOTAL(109,ARI_H[*])</f>
        <v>21</v>
      </c>
      <c r="W142" s="662"/>
      <c r="Z142" s="809"/>
      <c r="AA142" s="810"/>
      <c r="AB142" s="654" t="s">
        <v>195</v>
      </c>
      <c r="AC142" s="656">
        <f>AI142/AG142</f>
        <v>0.22657952069716775</v>
      </c>
      <c r="AD142" s="656">
        <f>(AN142+AI142)/(AN142+AG142)</f>
        <v>0.28999999999999998</v>
      </c>
      <c r="AE142" s="657">
        <f>((AI142-AJ142-AK142-AL142)+(AJ142*2)+(AK142*3)+(AL142*4))/AG142</f>
        <v>0.36528685548293394</v>
      </c>
      <c r="AF142" s="658"/>
      <c r="AG142" s="658">
        <f>SUBTOTAL(109,ARI_H113[AB])</f>
        <v>1377</v>
      </c>
      <c r="AH142" s="658">
        <f>SUBTOTAL(109,ARI_H113[R])</f>
        <v>118</v>
      </c>
      <c r="AI142" s="658">
        <f>SUBTOTAL(109,ARI_H113[H])</f>
        <v>312</v>
      </c>
      <c r="AJ142" s="658">
        <f>SUBTOTAL(109,ARI_H113[2B])</f>
        <v>68</v>
      </c>
      <c r="AK142" s="658">
        <f>SUBTOTAL(109,ARI_H113[3B])</f>
        <v>6</v>
      </c>
      <c r="AL142" s="658">
        <f>SUBTOTAL(109,ARI_H113[HR])</f>
        <v>37</v>
      </c>
      <c r="AM142" s="658">
        <f>SUBTOTAL(109,ARI_H113[RBI])</f>
        <v>118</v>
      </c>
      <c r="AN142" s="658">
        <f>SUBTOTAL(109,ARI_H113[BB])</f>
        <v>123</v>
      </c>
      <c r="AO142" s="660">
        <f>SUBTOTAL(109,ARI_H113[K])</f>
        <v>351</v>
      </c>
      <c r="AP142" s="658">
        <f>SUBTOTAL(109,ARI_H113[SB])</f>
        <v>14</v>
      </c>
      <c r="AQ142" s="658"/>
      <c r="AR142" s="660"/>
      <c r="AS142" s="658">
        <f>SUBTOTAL(109,ARI_H113[TB])</f>
        <v>503</v>
      </c>
      <c r="AT142" s="656">
        <f>AE142+AD142</f>
        <v>0.65528685548293386</v>
      </c>
      <c r="AU142" s="660">
        <f>SUBTOTAL(109,ARI_H113[*])</f>
        <v>12</v>
      </c>
      <c r="AV142" s="662"/>
      <c r="AY142" s="809"/>
      <c r="AZ142" s="810"/>
      <c r="BA142" s="654" t="s">
        <v>195</v>
      </c>
      <c r="BB142" s="656">
        <f>IFERROR(BH142/BF142,0)</f>
        <v>0.25436046511627908</v>
      </c>
      <c r="BC142" s="656">
        <f>IFERROR((BM142+BH142)/(BM142+BF142),0)</f>
        <v>0.33333333333333331</v>
      </c>
      <c r="BD142" s="657">
        <f>IFERROR(((BH142-BI142-BJ142-BK142)+(BI142*2)+(BJ142*3)+(BK142*4))/BF142,0)</f>
        <v>0.42005813953488375</v>
      </c>
      <c r="BE142" s="658"/>
      <c r="BF142" s="658">
        <f>SUBTOTAL(109,ARI_H124[AB])</f>
        <v>1376</v>
      </c>
      <c r="BG142" s="658">
        <f>SUBTOTAL(109,ARI_H124[R])</f>
        <v>173</v>
      </c>
      <c r="BH142" s="658">
        <f>SUBTOTAL(109,ARI_H124[H])</f>
        <v>350</v>
      </c>
      <c r="BI142" s="658">
        <f>SUBTOTAL(109,ARI_H124[2B])</f>
        <v>71</v>
      </c>
      <c r="BJ142" s="658">
        <f>SUBTOTAL(109,ARI_H124[3B])</f>
        <v>8</v>
      </c>
      <c r="BK142" s="658">
        <f>SUBTOTAL(109,ARI_H124[HR])</f>
        <v>47</v>
      </c>
      <c r="BL142" s="658">
        <f>SUBTOTAL(109,ARI_H124[RBI])</f>
        <v>172</v>
      </c>
      <c r="BM142" s="659">
        <f>SUBTOTAL(109,ARI_H124[BB])</f>
        <v>163</v>
      </c>
      <c r="BN142" s="660">
        <f>SUBTOTAL(109,ARI_H124[K])</f>
        <v>326</v>
      </c>
      <c r="BO142" s="658">
        <f>SUBTOTAL(109,ARI_H124[SB])</f>
        <v>4</v>
      </c>
      <c r="BP142" s="658"/>
      <c r="BQ142" s="660"/>
      <c r="BR142" s="658">
        <f>SUBTOTAL(109,ARI_H124[TB])</f>
        <v>578</v>
      </c>
      <c r="BS142" s="656">
        <f>IFERROR(BC142+BD142,0)</f>
        <v>0.75339147286821706</v>
      </c>
      <c r="BT142" s="660">
        <f>SUBTOTAL(109,ARI_H124[*])</f>
        <v>15</v>
      </c>
      <c r="BU142" s="662"/>
    </row>
    <row r="143" spans="1:73" ht="17" thickBot="1"/>
    <row r="144" spans="1:73" s="108" customFormat="1" ht="15" thickBot="1">
      <c r="A144" s="605" t="s">
        <v>143</v>
      </c>
      <c r="B144" s="606" t="s">
        <v>144</v>
      </c>
      <c r="C144" s="606" t="s">
        <v>145</v>
      </c>
      <c r="D144" s="606" t="s">
        <v>196</v>
      </c>
      <c r="E144" s="606" t="s">
        <v>197</v>
      </c>
      <c r="F144" s="606" t="s">
        <v>198</v>
      </c>
      <c r="G144" s="606" t="s">
        <v>149</v>
      </c>
      <c r="H144" s="606" t="s">
        <v>199</v>
      </c>
      <c r="I144" s="606" t="s">
        <v>152</v>
      </c>
      <c r="J144" s="606" t="s">
        <v>151</v>
      </c>
      <c r="K144" s="606" t="s">
        <v>157</v>
      </c>
      <c r="L144" s="606" t="s">
        <v>158</v>
      </c>
      <c r="M144" s="606" t="s">
        <v>200</v>
      </c>
      <c r="N144" s="606" t="s">
        <v>201</v>
      </c>
      <c r="O144" s="606" t="s">
        <v>202</v>
      </c>
      <c r="P144" s="606" t="s">
        <v>203</v>
      </c>
      <c r="Q144" s="606" t="s">
        <v>204</v>
      </c>
      <c r="R144" s="606" t="s">
        <v>205</v>
      </c>
      <c r="S144" s="607" t="s">
        <v>164</v>
      </c>
      <c r="Z144" s="605" t="s">
        <v>143</v>
      </c>
      <c r="AA144" s="606" t="s">
        <v>144</v>
      </c>
      <c r="AB144" s="606" t="s">
        <v>145</v>
      </c>
      <c r="AC144" s="606" t="s">
        <v>196</v>
      </c>
      <c r="AD144" s="606" t="s">
        <v>197</v>
      </c>
      <c r="AE144" s="606" t="s">
        <v>198</v>
      </c>
      <c r="AF144" s="606" t="s">
        <v>149</v>
      </c>
      <c r="AG144" s="606" t="s">
        <v>199</v>
      </c>
      <c r="AH144" s="606" t="s">
        <v>152</v>
      </c>
      <c r="AI144" s="606" t="s">
        <v>151</v>
      </c>
      <c r="AJ144" s="606" t="s">
        <v>157</v>
      </c>
      <c r="AK144" s="606" t="s">
        <v>158</v>
      </c>
      <c r="AL144" s="606" t="s">
        <v>200</v>
      </c>
      <c r="AM144" s="606" t="s">
        <v>201</v>
      </c>
      <c r="AN144" s="606" t="s">
        <v>202</v>
      </c>
      <c r="AO144" s="606" t="s">
        <v>203</v>
      </c>
      <c r="AP144" s="606" t="s">
        <v>204</v>
      </c>
      <c r="AQ144" s="606" t="s">
        <v>205</v>
      </c>
      <c r="AR144" s="607" t="s">
        <v>164</v>
      </c>
      <c r="AY144" s="605" t="s">
        <v>143</v>
      </c>
      <c r="AZ144" s="606" t="s">
        <v>144</v>
      </c>
      <c r="BA144" s="606" t="s">
        <v>145</v>
      </c>
      <c r="BB144" s="606" t="s">
        <v>196</v>
      </c>
      <c r="BC144" s="606" t="s">
        <v>197</v>
      </c>
      <c r="BD144" s="606" t="s">
        <v>198</v>
      </c>
      <c r="BE144" s="606" t="s">
        <v>149</v>
      </c>
      <c r="BF144" s="606" t="s">
        <v>199</v>
      </c>
      <c r="BG144" s="606" t="s">
        <v>152</v>
      </c>
      <c r="BH144" s="606" t="s">
        <v>151</v>
      </c>
      <c r="BI144" s="606" t="s">
        <v>157</v>
      </c>
      <c r="BJ144" s="606" t="s">
        <v>158</v>
      </c>
      <c r="BK144" s="606" t="s">
        <v>200</v>
      </c>
      <c r="BL144" s="606" t="s">
        <v>201</v>
      </c>
      <c r="BM144" s="606" t="s">
        <v>202</v>
      </c>
      <c r="BN144" s="606" t="s">
        <v>203</v>
      </c>
      <c r="BO144" s="606" t="s">
        <v>204</v>
      </c>
      <c r="BP144" s="606" t="s">
        <v>205</v>
      </c>
      <c r="BQ144" s="607" t="s">
        <v>164</v>
      </c>
    </row>
    <row r="145" spans="1:73">
      <c r="A145" s="827" t="s">
        <v>1265</v>
      </c>
      <c r="B145" s="825" t="s">
        <v>206</v>
      </c>
      <c r="C145" s="752" t="s">
        <v>1285</v>
      </c>
      <c r="D145" s="663">
        <f>IFERROR((ARI_P[[#This Row],[R]]*9)/ARI_P[[#This Row],[IP]],0)</f>
        <v>3.4262220191868433</v>
      </c>
      <c r="E145" s="600">
        <v>5</v>
      </c>
      <c r="F145" s="604">
        <v>3</v>
      </c>
      <c r="G145" s="600">
        <v>10</v>
      </c>
      <c r="H145" s="630">
        <v>65.67</v>
      </c>
      <c r="I145" s="600">
        <v>65</v>
      </c>
      <c r="J145" s="600">
        <v>25</v>
      </c>
      <c r="K145" s="600">
        <v>18</v>
      </c>
      <c r="L145" s="600">
        <v>64</v>
      </c>
      <c r="M145" s="600">
        <v>0</v>
      </c>
      <c r="N145" s="631">
        <f>IFERROR((ARI_P[[#This Row],[BB]]+ARI_P[[#This Row],[H]])/ARI_P[[#This Row],[IP]],0)</f>
        <v>1.26389523374448</v>
      </c>
      <c r="O145" s="600">
        <v>6</v>
      </c>
      <c r="P145" s="601">
        <v>2</v>
      </c>
      <c r="Q145" s="600">
        <v>2</v>
      </c>
      <c r="R145" s="604">
        <v>2</v>
      </c>
      <c r="S145" s="614">
        <v>1</v>
      </c>
      <c r="Z145" s="827" t="s">
        <v>1265</v>
      </c>
      <c r="AA145" s="825" t="s">
        <v>206</v>
      </c>
      <c r="AB145" s="752" t="s">
        <v>1285</v>
      </c>
      <c r="AC145" s="663">
        <f>IFERROR((ARI_P105[[#This Row],[R]]*9)/ARI_P105[[#This Row],[IP]],0)</f>
        <v>3.9173014145810665</v>
      </c>
      <c r="AD145" s="600">
        <v>3</v>
      </c>
      <c r="AE145" s="604">
        <v>5</v>
      </c>
      <c r="AF145" s="600">
        <v>10</v>
      </c>
      <c r="AG145" s="630">
        <v>64.33</v>
      </c>
      <c r="AH145" s="600">
        <v>51</v>
      </c>
      <c r="AI145" s="600">
        <v>28</v>
      </c>
      <c r="AJ145" s="600">
        <v>36</v>
      </c>
      <c r="AK145" s="600">
        <v>67</v>
      </c>
      <c r="AL145" s="600">
        <v>0</v>
      </c>
      <c r="AM145" s="631">
        <f>IFERROR((ARI_P105[[#This Row],[BB]]+ARI_P105[[#This Row],[H]])/ARI_P105[[#This Row],[IP]],0)</f>
        <v>1.3524016788434634</v>
      </c>
      <c r="AN145" s="600">
        <v>8</v>
      </c>
      <c r="AO145" s="601">
        <v>2</v>
      </c>
      <c r="AP145" s="600">
        <v>0</v>
      </c>
      <c r="AQ145" s="604">
        <v>0</v>
      </c>
      <c r="AR145" s="614">
        <v>1</v>
      </c>
      <c r="AY145" s="827" t="s">
        <v>1265</v>
      </c>
      <c r="AZ145" s="825" t="s">
        <v>206</v>
      </c>
      <c r="BA145" s="826" t="s">
        <v>632</v>
      </c>
      <c r="BB145" s="663">
        <f>IFERROR((ARI_P123[[#This Row],[R]]*9)/ARI_P123[[#This Row],[IP]],0)</f>
        <v>3.8382352941176472</v>
      </c>
      <c r="BC145" s="600">
        <v>3</v>
      </c>
      <c r="BD145" s="604">
        <v>6</v>
      </c>
      <c r="BE145" s="600">
        <v>10</v>
      </c>
      <c r="BF145" s="630">
        <v>68</v>
      </c>
      <c r="BG145" s="600">
        <v>54</v>
      </c>
      <c r="BH145" s="600">
        <v>29</v>
      </c>
      <c r="BI145" s="600">
        <v>35</v>
      </c>
      <c r="BJ145" s="600">
        <v>81</v>
      </c>
      <c r="BK145" s="600">
        <v>0</v>
      </c>
      <c r="BL145" s="631">
        <f>IFERROR((ARI_P123[[#This Row],[BB]]+ARI_P123[[#This Row],[H]])/ARI_P123[[#This Row],[IP]],0)</f>
        <v>1.3088235294117647</v>
      </c>
      <c r="BM145" s="600">
        <v>4</v>
      </c>
      <c r="BN145" s="601">
        <v>4</v>
      </c>
      <c r="BO145" s="600">
        <v>2</v>
      </c>
      <c r="BP145" s="604">
        <v>1</v>
      </c>
      <c r="BQ145" s="880">
        <v>1</v>
      </c>
    </row>
    <row r="146" spans="1:73">
      <c r="A146" s="828" t="s">
        <v>1265</v>
      </c>
      <c r="B146" s="114" t="s">
        <v>206</v>
      </c>
      <c r="C146" s="116" t="s">
        <v>1286</v>
      </c>
      <c r="D146" s="88">
        <f>IFERROR((ARI_P[[#This Row],[R]]*9)/ARI_P[[#This Row],[IP]],0)</f>
        <v>3.0744096242388239</v>
      </c>
      <c r="E146" s="28">
        <v>5</v>
      </c>
      <c r="F146" s="74">
        <v>2</v>
      </c>
      <c r="G146" s="28">
        <v>10</v>
      </c>
      <c r="H146" s="584">
        <v>67.33</v>
      </c>
      <c r="I146" s="28">
        <v>58</v>
      </c>
      <c r="J146" s="28">
        <v>23</v>
      </c>
      <c r="K146" s="28">
        <v>17</v>
      </c>
      <c r="L146" s="28">
        <v>58</v>
      </c>
      <c r="M146" s="28">
        <v>0</v>
      </c>
      <c r="N146" s="89">
        <f>IFERROR((ARI_P[[#This Row],[BB]]+ARI_P[[#This Row],[H]])/ARI_P[[#This Row],[IP]],0)</f>
        <v>1.113916530521313</v>
      </c>
      <c r="O146" s="28">
        <v>8</v>
      </c>
      <c r="P146" s="90">
        <v>5</v>
      </c>
      <c r="Q146" s="28">
        <v>2</v>
      </c>
      <c r="R146" s="74">
        <v>2</v>
      </c>
      <c r="S146" s="615">
        <v>2</v>
      </c>
      <c r="Z146" s="828" t="s">
        <v>1265</v>
      </c>
      <c r="AA146" s="114" t="s">
        <v>206</v>
      </c>
      <c r="AB146" s="116" t="s">
        <v>1286</v>
      </c>
      <c r="AC146" s="88">
        <f>IFERROR((ARI_P105[[#This Row],[R]]*9)/ARI_P105[[#This Row],[IP]],0)</f>
        <v>6.0820834020108787</v>
      </c>
      <c r="AD146" s="28">
        <v>2</v>
      </c>
      <c r="AE146" s="74">
        <v>5</v>
      </c>
      <c r="AF146" s="28">
        <v>10</v>
      </c>
      <c r="AG146" s="584">
        <v>60.67</v>
      </c>
      <c r="AH146" s="28">
        <v>78</v>
      </c>
      <c r="AI146" s="28">
        <v>41</v>
      </c>
      <c r="AJ146" s="28">
        <v>11</v>
      </c>
      <c r="AK146" s="28">
        <v>36</v>
      </c>
      <c r="AL146" s="28">
        <v>0</v>
      </c>
      <c r="AM146" s="89">
        <f>IFERROR((ARI_P105[[#This Row],[BB]]+ARI_P105[[#This Row],[H]])/ARI_P105[[#This Row],[IP]],0)</f>
        <v>1.4669523652546563</v>
      </c>
      <c r="AN146" s="28">
        <v>4</v>
      </c>
      <c r="AO146" s="90">
        <v>2</v>
      </c>
      <c r="AP146" s="28">
        <v>0</v>
      </c>
      <c r="AQ146" s="74">
        <v>0</v>
      </c>
      <c r="AR146" s="615">
        <v>2</v>
      </c>
      <c r="AY146" s="828" t="s">
        <v>1265</v>
      </c>
      <c r="AZ146" s="114" t="s">
        <v>206</v>
      </c>
      <c r="BA146" s="115" t="s">
        <v>521</v>
      </c>
      <c r="BB146" s="88">
        <f>IFERROR((ARI_P123[[#This Row],[R]]*9)/ARI_P123[[#This Row],[IP]],0)</f>
        <v>4.5</v>
      </c>
      <c r="BC146" s="28">
        <v>3</v>
      </c>
      <c r="BD146" s="74">
        <v>5</v>
      </c>
      <c r="BE146" s="28">
        <v>10</v>
      </c>
      <c r="BF146" s="584">
        <v>64</v>
      </c>
      <c r="BG146" s="28">
        <v>66</v>
      </c>
      <c r="BH146" s="28">
        <v>32</v>
      </c>
      <c r="BI146" s="28">
        <v>20</v>
      </c>
      <c r="BJ146" s="28">
        <v>71</v>
      </c>
      <c r="BK146" s="28">
        <v>0</v>
      </c>
      <c r="BL146" s="89">
        <f>IFERROR((ARI_P123[[#This Row],[BB]]+ARI_P123[[#This Row],[H]])/ARI_P123[[#This Row],[IP]],0)</f>
        <v>1.34375</v>
      </c>
      <c r="BM146" s="28">
        <v>3</v>
      </c>
      <c r="BN146" s="90">
        <v>2</v>
      </c>
      <c r="BO146" s="28">
        <v>1</v>
      </c>
      <c r="BP146" s="74">
        <v>1</v>
      </c>
      <c r="BQ146" s="881">
        <v>2</v>
      </c>
    </row>
    <row r="147" spans="1:73">
      <c r="A147" s="828" t="s">
        <v>1265</v>
      </c>
      <c r="B147" s="114" t="s">
        <v>206</v>
      </c>
      <c r="C147" s="116" t="s">
        <v>1287</v>
      </c>
      <c r="D147" s="88">
        <f>IFERROR((ARI_P[[#This Row],[R]]*9)/ARI_P[[#This Row],[IP]],0)</f>
        <v>3.3576869267837712</v>
      </c>
      <c r="E147" s="28">
        <v>4</v>
      </c>
      <c r="F147" s="74">
        <v>4</v>
      </c>
      <c r="G147" s="28">
        <v>10</v>
      </c>
      <c r="H147" s="584">
        <v>64.33</v>
      </c>
      <c r="I147" s="28">
        <v>59</v>
      </c>
      <c r="J147" s="28">
        <v>24</v>
      </c>
      <c r="K147" s="28">
        <v>12</v>
      </c>
      <c r="L147" s="28">
        <v>61</v>
      </c>
      <c r="M147" s="28">
        <v>0</v>
      </c>
      <c r="N147" s="89">
        <f>IFERROR((ARI_P[[#This Row],[BB]]+ARI_P[[#This Row],[H]])/ARI_P[[#This Row],[IP]],0)</f>
        <v>1.1036841287113321</v>
      </c>
      <c r="O147" s="28">
        <v>7</v>
      </c>
      <c r="P147" s="90">
        <v>2</v>
      </c>
      <c r="Q147" s="28">
        <v>0</v>
      </c>
      <c r="R147" s="74">
        <v>0</v>
      </c>
      <c r="S147" s="615">
        <v>3</v>
      </c>
      <c r="Z147" s="828" t="s">
        <v>1265</v>
      </c>
      <c r="AA147" s="114" t="s">
        <v>365</v>
      </c>
      <c r="AB147" s="116" t="s">
        <v>1287</v>
      </c>
      <c r="AC147" s="88">
        <f>IFERROR((ARI_P105[[#This Row],[R]]*9)/ARI_P105[[#This Row],[IP]],0)</f>
        <v>4.3487014294342661</v>
      </c>
      <c r="AD147" s="28">
        <v>2</v>
      </c>
      <c r="AE147" s="74">
        <v>4</v>
      </c>
      <c r="AF147" s="28">
        <v>10</v>
      </c>
      <c r="AG147" s="584">
        <v>49.67</v>
      </c>
      <c r="AH147" s="28">
        <v>54</v>
      </c>
      <c r="AI147" s="28">
        <v>24</v>
      </c>
      <c r="AJ147" s="28">
        <v>17</v>
      </c>
      <c r="AK147" s="28">
        <v>49</v>
      </c>
      <c r="AL147" s="28">
        <v>0</v>
      </c>
      <c r="AM147" s="89">
        <f>IFERROR((ARI_P105[[#This Row],[BB]]+ARI_P105[[#This Row],[H]])/ARI_P105[[#This Row],[IP]],0)</f>
        <v>1.4294342661566337</v>
      </c>
      <c r="AN147" s="28">
        <v>3</v>
      </c>
      <c r="AO147" s="90">
        <v>2</v>
      </c>
      <c r="AP147" s="28">
        <v>0</v>
      </c>
      <c r="AQ147" s="74">
        <v>0</v>
      </c>
      <c r="AR147" s="615">
        <v>3</v>
      </c>
      <c r="AY147" s="828" t="s">
        <v>1265</v>
      </c>
      <c r="AZ147" s="114" t="s">
        <v>206</v>
      </c>
      <c r="BA147" s="115" t="s">
        <v>1285</v>
      </c>
      <c r="BB147" s="88">
        <f>IFERROR((ARI_P123[[#This Row],[R]]*9)/ARI_P123[[#This Row],[IP]],0)</f>
        <v>4.6596619460941069</v>
      </c>
      <c r="BC147" s="28">
        <v>4</v>
      </c>
      <c r="BD147" s="74">
        <v>3</v>
      </c>
      <c r="BE147" s="28">
        <v>10</v>
      </c>
      <c r="BF147" s="584">
        <v>65.67</v>
      </c>
      <c r="BG147" s="28">
        <v>66</v>
      </c>
      <c r="BH147" s="28">
        <v>34</v>
      </c>
      <c r="BI147" s="28">
        <v>31</v>
      </c>
      <c r="BJ147" s="28">
        <v>80</v>
      </c>
      <c r="BK147" s="28">
        <v>0</v>
      </c>
      <c r="BL147" s="89">
        <f>IFERROR((ARI_P123[[#This Row],[BB]]+ARI_P123[[#This Row],[H]])/ARI_P123[[#This Row],[IP]],0)</f>
        <v>1.4770823816049947</v>
      </c>
      <c r="BM147" s="28">
        <v>5</v>
      </c>
      <c r="BN147" s="90">
        <v>3</v>
      </c>
      <c r="BO147" s="28">
        <v>0</v>
      </c>
      <c r="BP147" s="74">
        <v>0</v>
      </c>
      <c r="BQ147" s="881">
        <v>3</v>
      </c>
    </row>
    <row r="148" spans="1:73">
      <c r="A148" s="828" t="s">
        <v>1265</v>
      </c>
      <c r="B148" s="114" t="s">
        <v>206</v>
      </c>
      <c r="C148" s="116" t="s">
        <v>1288</v>
      </c>
      <c r="D148" s="88">
        <f>IFERROR((ARI_P[[#This Row],[R]]*9)/ARI_P[[#This Row],[IP]],0)</f>
        <v>6.0963808786529903</v>
      </c>
      <c r="E148" s="28">
        <v>3</v>
      </c>
      <c r="F148" s="74">
        <v>5</v>
      </c>
      <c r="G148" s="28">
        <v>10</v>
      </c>
      <c r="H148" s="584">
        <v>51.67</v>
      </c>
      <c r="I148" s="28">
        <v>63</v>
      </c>
      <c r="J148" s="28">
        <v>35</v>
      </c>
      <c r="K148" s="28">
        <v>8</v>
      </c>
      <c r="L148" s="28">
        <v>31</v>
      </c>
      <c r="M148" s="28">
        <v>0</v>
      </c>
      <c r="N148" s="89">
        <f>IFERROR((ARI_P[[#This Row],[BB]]+ARI_P[[#This Row],[H]])/ARI_P[[#This Row],[IP]],0)</f>
        <v>1.3741048964582929</v>
      </c>
      <c r="O148" s="28">
        <v>2</v>
      </c>
      <c r="P148" s="90">
        <v>1</v>
      </c>
      <c r="Q148" s="28">
        <v>0</v>
      </c>
      <c r="R148" s="74">
        <v>0</v>
      </c>
      <c r="S148" s="615">
        <v>4</v>
      </c>
      <c r="Z148" s="828" t="s">
        <v>1265</v>
      </c>
      <c r="AA148" s="114" t="s">
        <v>365</v>
      </c>
      <c r="AB148" s="116" t="s">
        <v>1288</v>
      </c>
      <c r="AC148" s="88">
        <f>IFERROR((ARI_P105[[#This Row],[R]]*9)/ARI_P105[[#This Row],[IP]],0)</f>
        <v>3.6406539693241196</v>
      </c>
      <c r="AD148" s="28">
        <v>2</v>
      </c>
      <c r="AE148" s="74">
        <v>4</v>
      </c>
      <c r="AF148" s="28">
        <v>10</v>
      </c>
      <c r="AG148" s="584">
        <v>59.33</v>
      </c>
      <c r="AH148" s="28">
        <v>55</v>
      </c>
      <c r="AI148" s="28">
        <v>24</v>
      </c>
      <c r="AJ148" s="28">
        <v>29</v>
      </c>
      <c r="AK148" s="28">
        <v>54</v>
      </c>
      <c r="AL148" s="28">
        <v>0</v>
      </c>
      <c r="AM148" s="89">
        <f>IFERROR((ARI_P105[[#This Row],[BB]]+ARI_P105[[#This Row],[H]])/ARI_P105[[#This Row],[IP]],0)</f>
        <v>1.4158098769593799</v>
      </c>
      <c r="AN148" s="28">
        <v>7</v>
      </c>
      <c r="AO148" s="90">
        <v>1</v>
      </c>
      <c r="AP148" s="28">
        <v>0</v>
      </c>
      <c r="AQ148" s="74">
        <v>0</v>
      </c>
      <c r="AR148" s="615">
        <v>4</v>
      </c>
      <c r="AY148" s="828" t="s">
        <v>1265</v>
      </c>
      <c r="AZ148" s="114" t="s">
        <v>206</v>
      </c>
      <c r="BA148" s="115" t="s">
        <v>1286</v>
      </c>
      <c r="BB148" s="88">
        <f>IFERROR((ARI_P123[[#This Row],[R]]*9)/ARI_P123[[#This Row],[IP]],0)</f>
        <v>5.0721034311287916</v>
      </c>
      <c r="BC148" s="28">
        <v>4</v>
      </c>
      <c r="BD148" s="74">
        <v>3</v>
      </c>
      <c r="BE148" s="28">
        <v>10</v>
      </c>
      <c r="BF148" s="584">
        <v>60.33</v>
      </c>
      <c r="BG148" s="28">
        <v>73</v>
      </c>
      <c r="BH148" s="28">
        <v>34</v>
      </c>
      <c r="BI148" s="28">
        <v>23</v>
      </c>
      <c r="BJ148" s="28">
        <v>43</v>
      </c>
      <c r="BK148" s="28">
        <v>0</v>
      </c>
      <c r="BL148" s="89">
        <f>IFERROR((ARI_P123[[#This Row],[BB]]+ARI_P123[[#This Row],[H]])/ARI_P123[[#This Row],[IP]],0)</f>
        <v>1.5912481352560914</v>
      </c>
      <c r="BM148" s="28">
        <v>6</v>
      </c>
      <c r="BN148" s="90">
        <v>4</v>
      </c>
      <c r="BO148" s="28">
        <v>0</v>
      </c>
      <c r="BP148" s="74">
        <v>0</v>
      </c>
      <c r="BQ148" s="881">
        <v>4</v>
      </c>
    </row>
    <row r="149" spans="1:73">
      <c r="A149" s="828" t="s">
        <v>1265</v>
      </c>
      <c r="B149" s="114" t="s">
        <v>212</v>
      </c>
      <c r="C149" s="116" t="s">
        <v>894</v>
      </c>
      <c r="D149" s="88">
        <f>IFERROR((ARI_P[[#This Row],[R]]*9)/ARI_P[[#This Row],[IP]],0)</f>
        <v>3.0848329048843186</v>
      </c>
      <c r="E149" s="28">
        <v>0</v>
      </c>
      <c r="F149" s="74">
        <v>0</v>
      </c>
      <c r="G149" s="28">
        <v>5</v>
      </c>
      <c r="H149" s="584">
        <v>11.67</v>
      </c>
      <c r="I149" s="28">
        <v>7</v>
      </c>
      <c r="J149" s="28">
        <v>4</v>
      </c>
      <c r="K149" s="28">
        <v>2</v>
      </c>
      <c r="L149" s="28">
        <v>10</v>
      </c>
      <c r="M149" s="28">
        <v>0</v>
      </c>
      <c r="N149" s="89">
        <f>IFERROR((ARI_P[[#This Row],[BB]]+ARI_P[[#This Row],[H]])/ARI_P[[#This Row],[IP]],0)</f>
        <v>0.77120822622107965</v>
      </c>
      <c r="O149" s="28">
        <v>0</v>
      </c>
      <c r="P149" s="90">
        <v>0</v>
      </c>
      <c r="Q149" s="28">
        <v>0</v>
      </c>
      <c r="R149" s="74">
        <v>0</v>
      </c>
      <c r="S149" s="615">
        <v>5</v>
      </c>
      <c r="Z149" s="828" t="s">
        <v>1265</v>
      </c>
      <c r="AA149" s="114" t="s">
        <v>215</v>
      </c>
      <c r="AB149" s="116" t="s">
        <v>1289</v>
      </c>
      <c r="AC149" s="88">
        <f>IFERROR((ARI_P105[[#This Row],[R]]*9)/ARI_P105[[#This Row],[IP]],0)</f>
        <v>6.3291139240506338</v>
      </c>
      <c r="AD149" s="28">
        <v>0</v>
      </c>
      <c r="AE149" s="74">
        <v>2</v>
      </c>
      <c r="AF149" s="28">
        <v>6</v>
      </c>
      <c r="AG149" s="584">
        <v>21.33</v>
      </c>
      <c r="AH149" s="28">
        <v>25</v>
      </c>
      <c r="AI149" s="28">
        <v>15</v>
      </c>
      <c r="AJ149" s="28">
        <v>13</v>
      </c>
      <c r="AK149" s="28">
        <v>17</v>
      </c>
      <c r="AL149" s="28">
        <v>0</v>
      </c>
      <c r="AM149" s="89">
        <f>IFERROR((ARI_P105[[#This Row],[BB]]+ARI_P105[[#This Row],[H]])/ARI_P105[[#This Row],[IP]],0)</f>
        <v>1.7815283638068449</v>
      </c>
      <c r="AN149" s="28">
        <v>0</v>
      </c>
      <c r="AO149" s="90">
        <v>0</v>
      </c>
      <c r="AP149" s="28">
        <v>0</v>
      </c>
      <c r="AQ149" s="74">
        <v>0</v>
      </c>
      <c r="AR149" s="615">
        <v>5</v>
      </c>
      <c r="AY149" s="828" t="s">
        <v>1265</v>
      </c>
      <c r="AZ149" s="114" t="s">
        <v>212</v>
      </c>
      <c r="BA149" s="115" t="s">
        <v>1292</v>
      </c>
      <c r="BB149" s="88">
        <f>IFERROR((ARI_P123[[#This Row],[R]]*9)/ARI_P123[[#This Row],[IP]],0)</f>
        <v>8.6934417895271974</v>
      </c>
      <c r="BC149" s="28">
        <v>1</v>
      </c>
      <c r="BD149" s="74">
        <v>3</v>
      </c>
      <c r="BE149" s="28">
        <v>15</v>
      </c>
      <c r="BF149" s="584">
        <v>19.670000000000002</v>
      </c>
      <c r="BG149" s="28">
        <v>32</v>
      </c>
      <c r="BH149" s="28">
        <v>19</v>
      </c>
      <c r="BI149" s="28">
        <v>5</v>
      </c>
      <c r="BJ149" s="28">
        <v>17</v>
      </c>
      <c r="BK149" s="28">
        <v>0</v>
      </c>
      <c r="BL149" s="89">
        <f>IFERROR((ARI_P123[[#This Row],[BB]]+ARI_P123[[#This Row],[H]])/ARI_P123[[#This Row],[IP]],0)</f>
        <v>1.8810371123538381</v>
      </c>
      <c r="BM149" s="28">
        <v>0</v>
      </c>
      <c r="BN149" s="90">
        <v>0</v>
      </c>
      <c r="BO149" s="28">
        <v>0</v>
      </c>
      <c r="BP149" s="74">
        <v>0</v>
      </c>
      <c r="BQ149" s="881">
        <v>5</v>
      </c>
    </row>
    <row r="150" spans="1:73">
      <c r="A150" s="828" t="s">
        <v>1265</v>
      </c>
      <c r="B150" s="114" t="s">
        <v>212</v>
      </c>
      <c r="C150" s="116" t="s">
        <v>1290</v>
      </c>
      <c r="D150" s="88">
        <f>IFERROR((ARI_P[[#This Row],[R]]*9)/ARI_P[[#This Row],[IP]],0)</f>
        <v>7.875</v>
      </c>
      <c r="E150" s="28">
        <v>2</v>
      </c>
      <c r="F150" s="74">
        <v>3</v>
      </c>
      <c r="G150" s="28">
        <v>16</v>
      </c>
      <c r="H150" s="584">
        <v>16</v>
      </c>
      <c r="I150" s="28">
        <v>21</v>
      </c>
      <c r="J150" s="28">
        <v>14</v>
      </c>
      <c r="K150" s="28">
        <v>8</v>
      </c>
      <c r="L150" s="28">
        <v>13</v>
      </c>
      <c r="M150" s="28">
        <v>0</v>
      </c>
      <c r="N150" s="89">
        <f>IFERROR((ARI_P[[#This Row],[BB]]+ARI_P[[#This Row],[H]])/ARI_P[[#This Row],[IP]],0)</f>
        <v>1.8125</v>
      </c>
      <c r="O150" s="28">
        <v>0</v>
      </c>
      <c r="P150" s="90">
        <v>0</v>
      </c>
      <c r="Q150" s="28">
        <v>0</v>
      </c>
      <c r="R150" s="74">
        <v>0</v>
      </c>
      <c r="S150" s="615">
        <v>6</v>
      </c>
      <c r="Z150" s="828" t="s">
        <v>1265</v>
      </c>
      <c r="AA150" s="114" t="s">
        <v>212</v>
      </c>
      <c r="AB150" s="116" t="s">
        <v>1290</v>
      </c>
      <c r="AC150" s="88">
        <f>IFERROR((ARI_P105[[#This Row],[R]]*9)/ARI_P105[[#This Row],[IP]],0)</f>
        <v>9</v>
      </c>
      <c r="AD150" s="28">
        <v>2</v>
      </c>
      <c r="AE150" s="74">
        <v>1</v>
      </c>
      <c r="AF150" s="28">
        <v>15</v>
      </c>
      <c r="AG150" s="584">
        <v>17</v>
      </c>
      <c r="AH150" s="28">
        <v>19</v>
      </c>
      <c r="AI150" s="28">
        <v>17</v>
      </c>
      <c r="AJ150" s="28">
        <v>24</v>
      </c>
      <c r="AK150" s="28">
        <v>18</v>
      </c>
      <c r="AL150" s="28">
        <v>0</v>
      </c>
      <c r="AM150" s="89">
        <f>IFERROR((ARI_P105[[#This Row],[BB]]+ARI_P105[[#This Row],[H]])/ARI_P105[[#This Row],[IP]],0)</f>
        <v>2.5294117647058822</v>
      </c>
      <c r="AN150" s="28">
        <v>0</v>
      </c>
      <c r="AO150" s="90">
        <v>0</v>
      </c>
      <c r="AP150" s="28">
        <v>0</v>
      </c>
      <c r="AQ150" s="74">
        <v>0</v>
      </c>
      <c r="AR150" s="615">
        <v>6</v>
      </c>
      <c r="AY150" s="828" t="s">
        <v>1265</v>
      </c>
      <c r="AZ150" s="114" t="s">
        <v>212</v>
      </c>
      <c r="BA150" s="115" t="s">
        <v>1290</v>
      </c>
      <c r="BB150" s="88">
        <f>IFERROR((ARI_P123[[#This Row],[R]]*9)/ARI_P123[[#This Row],[IP]],0)</f>
        <v>12</v>
      </c>
      <c r="BC150" s="28">
        <v>0</v>
      </c>
      <c r="BD150" s="74">
        <v>0</v>
      </c>
      <c r="BE150" s="28">
        <v>1</v>
      </c>
      <c r="BF150" s="584">
        <v>3</v>
      </c>
      <c r="BG150" s="28">
        <v>8</v>
      </c>
      <c r="BH150" s="28">
        <v>4</v>
      </c>
      <c r="BI150" s="28">
        <v>1</v>
      </c>
      <c r="BJ150" s="28">
        <v>2</v>
      </c>
      <c r="BK150" s="28">
        <v>0</v>
      </c>
      <c r="BL150" s="89">
        <f>IFERROR((ARI_P123[[#This Row],[BB]]+ARI_P123[[#This Row],[H]])/ARI_P123[[#This Row],[IP]],0)</f>
        <v>3</v>
      </c>
      <c r="BM150" s="28">
        <v>0</v>
      </c>
      <c r="BN150" s="90">
        <v>0</v>
      </c>
      <c r="BO150" s="28">
        <v>0</v>
      </c>
      <c r="BP150" s="74">
        <v>0</v>
      </c>
      <c r="BQ150" s="881">
        <v>6</v>
      </c>
    </row>
    <row r="151" spans="1:73">
      <c r="A151" s="828" t="s">
        <v>1265</v>
      </c>
      <c r="B151" s="114" t="s">
        <v>212</v>
      </c>
      <c r="C151" s="116" t="s">
        <v>1291</v>
      </c>
      <c r="D151" s="88">
        <f>IFERROR((ARI_P[[#This Row],[R]]*9)/ARI_P[[#This Row],[IP]],0)</f>
        <v>3.8560411311053984</v>
      </c>
      <c r="E151" s="28">
        <v>1</v>
      </c>
      <c r="F151" s="74">
        <v>0</v>
      </c>
      <c r="G151" s="28">
        <v>9</v>
      </c>
      <c r="H151" s="584">
        <v>11.67</v>
      </c>
      <c r="I151" s="28">
        <v>8</v>
      </c>
      <c r="J151" s="28">
        <v>5</v>
      </c>
      <c r="K151" s="28">
        <v>11</v>
      </c>
      <c r="L151" s="28">
        <v>13</v>
      </c>
      <c r="M151" s="28">
        <v>0</v>
      </c>
      <c r="N151" s="89">
        <f>IFERROR((ARI_P[[#This Row],[BB]]+ARI_P[[#This Row],[H]])/ARI_P[[#This Row],[IP]],0)</f>
        <v>1.6281062553556127</v>
      </c>
      <c r="O151" s="28">
        <v>0</v>
      </c>
      <c r="P151" s="90">
        <v>0</v>
      </c>
      <c r="Q151" s="28">
        <v>0</v>
      </c>
      <c r="R151" s="74">
        <v>0</v>
      </c>
      <c r="S151" s="615">
        <v>7</v>
      </c>
      <c r="Z151" s="828" t="s">
        <v>1265</v>
      </c>
      <c r="AA151" s="114" t="s">
        <v>212</v>
      </c>
      <c r="AB151" s="116" t="s">
        <v>1291</v>
      </c>
      <c r="AC151" s="88">
        <f>IFERROR((ARI_P105[[#This Row],[R]]*9)/ARI_P105[[#This Row],[IP]],0)</f>
        <v>3.8571428571428572</v>
      </c>
      <c r="AD151" s="28">
        <v>0</v>
      </c>
      <c r="AE151" s="74">
        <v>1</v>
      </c>
      <c r="AF151" s="28">
        <v>12</v>
      </c>
      <c r="AG151" s="584">
        <v>14</v>
      </c>
      <c r="AH151" s="28">
        <v>14</v>
      </c>
      <c r="AI151" s="28">
        <v>6</v>
      </c>
      <c r="AJ151" s="28">
        <v>4</v>
      </c>
      <c r="AK151" s="28">
        <v>11</v>
      </c>
      <c r="AL151" s="28">
        <v>0</v>
      </c>
      <c r="AM151" s="89">
        <f>IFERROR((ARI_P105[[#This Row],[BB]]+ARI_P105[[#This Row],[H]])/ARI_P105[[#This Row],[IP]],0)</f>
        <v>1.2857142857142858</v>
      </c>
      <c r="AN151" s="28">
        <v>0</v>
      </c>
      <c r="AO151" s="90">
        <v>0</v>
      </c>
      <c r="AP151" s="28">
        <v>0</v>
      </c>
      <c r="AQ151" s="74">
        <v>0</v>
      </c>
      <c r="AR151" s="615">
        <v>7</v>
      </c>
      <c r="AY151" s="828" t="s">
        <v>1265</v>
      </c>
      <c r="AZ151" s="114" t="s">
        <v>212</v>
      </c>
      <c r="BA151" s="115" t="s">
        <v>1291</v>
      </c>
      <c r="BB151" s="88">
        <f>IFERROR((ARI_P123[[#This Row],[R]]*9)/ARI_P123[[#This Row],[IP]],0)</f>
        <v>10.8</v>
      </c>
      <c r="BC151" s="28">
        <v>0</v>
      </c>
      <c r="BD151" s="74">
        <v>1</v>
      </c>
      <c r="BE151" s="28">
        <v>12</v>
      </c>
      <c r="BF151" s="584">
        <v>15</v>
      </c>
      <c r="BG151" s="28">
        <v>22</v>
      </c>
      <c r="BH151" s="28">
        <v>18</v>
      </c>
      <c r="BI151" s="28">
        <v>10</v>
      </c>
      <c r="BJ151" s="28">
        <v>12</v>
      </c>
      <c r="BK151" s="28">
        <v>0</v>
      </c>
      <c r="BL151" s="89">
        <f>IFERROR((ARI_P123[[#This Row],[BB]]+ARI_P123[[#This Row],[H]])/ARI_P123[[#This Row],[IP]],0)</f>
        <v>2.1333333333333333</v>
      </c>
      <c r="BM151" s="28">
        <v>0</v>
      </c>
      <c r="BN151" s="90">
        <v>0</v>
      </c>
      <c r="BO151" s="28">
        <v>0</v>
      </c>
      <c r="BP151" s="74">
        <v>0</v>
      </c>
      <c r="BQ151" s="881">
        <v>7</v>
      </c>
    </row>
    <row r="152" spans="1:73">
      <c r="A152" s="828" t="s">
        <v>1265</v>
      </c>
      <c r="B152" s="114" t="s">
        <v>212</v>
      </c>
      <c r="C152" s="116" t="s">
        <v>1293</v>
      </c>
      <c r="D152" s="88">
        <f>IFERROR((ARI_P[[#This Row],[R]]*9)/ARI_P[[#This Row],[IP]],0)</f>
        <v>11</v>
      </c>
      <c r="E152" s="28">
        <v>1</v>
      </c>
      <c r="F152" s="74">
        <v>1</v>
      </c>
      <c r="G152" s="28">
        <v>16</v>
      </c>
      <c r="H152" s="584">
        <v>18</v>
      </c>
      <c r="I152" s="28">
        <v>22</v>
      </c>
      <c r="J152" s="28">
        <v>22</v>
      </c>
      <c r="K152" s="28">
        <v>9</v>
      </c>
      <c r="L152" s="28">
        <v>18</v>
      </c>
      <c r="M152" s="28">
        <v>0</v>
      </c>
      <c r="N152" s="89">
        <f>IFERROR((ARI_P[[#This Row],[BB]]+ARI_P[[#This Row],[H]])/ARI_P[[#This Row],[IP]],0)</f>
        <v>1.7222222222222223</v>
      </c>
      <c r="O152" s="28">
        <v>0</v>
      </c>
      <c r="P152" s="90">
        <v>0</v>
      </c>
      <c r="Q152" s="28">
        <v>0</v>
      </c>
      <c r="R152" s="74">
        <v>0</v>
      </c>
      <c r="S152" s="615">
        <v>8</v>
      </c>
      <c r="Z152" s="828" t="s">
        <v>1265</v>
      </c>
      <c r="AA152" s="114" t="s">
        <v>212</v>
      </c>
      <c r="AB152" s="116" t="s">
        <v>1293</v>
      </c>
      <c r="AC152" s="88">
        <f>IFERROR((ARI_P105[[#This Row],[R]]*9)/ARI_P105[[#This Row],[IP]],0)</f>
        <v>6.5666801783542761</v>
      </c>
      <c r="AD152" s="28">
        <v>1</v>
      </c>
      <c r="AE152" s="74">
        <v>3</v>
      </c>
      <c r="AF152" s="28">
        <v>19</v>
      </c>
      <c r="AG152" s="584">
        <v>24.67</v>
      </c>
      <c r="AH152" s="28">
        <v>26</v>
      </c>
      <c r="AI152" s="28">
        <v>18</v>
      </c>
      <c r="AJ152" s="28">
        <v>21</v>
      </c>
      <c r="AK152" s="28">
        <v>26</v>
      </c>
      <c r="AL152" s="28">
        <v>0</v>
      </c>
      <c r="AM152" s="89">
        <f>IFERROR((ARI_P105[[#This Row],[BB]]+ARI_P105[[#This Row],[H]])/ARI_P105[[#This Row],[IP]],0)</f>
        <v>1.9051479529793269</v>
      </c>
      <c r="AN152" s="28">
        <v>0</v>
      </c>
      <c r="AO152" s="90">
        <v>0</v>
      </c>
      <c r="AP152" s="28">
        <v>0</v>
      </c>
      <c r="AQ152" s="74">
        <v>0</v>
      </c>
      <c r="AR152" s="615">
        <v>8</v>
      </c>
      <c r="AY152" s="828" t="s">
        <v>1265</v>
      </c>
      <c r="AZ152" s="114" t="s">
        <v>212</v>
      </c>
      <c r="BA152" s="115" t="s">
        <v>1293</v>
      </c>
      <c r="BB152" s="88">
        <f>IFERROR((ARI_P123[[#This Row],[R]]*9)/ARI_P123[[#This Row],[IP]],0)</f>
        <v>8.1818181818181817</v>
      </c>
      <c r="BC152" s="28">
        <v>0</v>
      </c>
      <c r="BD152" s="74">
        <v>0</v>
      </c>
      <c r="BE152" s="28">
        <v>8</v>
      </c>
      <c r="BF152" s="584">
        <v>11</v>
      </c>
      <c r="BG152" s="28">
        <v>13</v>
      </c>
      <c r="BH152" s="28">
        <v>10</v>
      </c>
      <c r="BI152" s="28">
        <v>8</v>
      </c>
      <c r="BJ152" s="28">
        <v>7</v>
      </c>
      <c r="BK152" s="28">
        <v>0</v>
      </c>
      <c r="BL152" s="89">
        <f>IFERROR((ARI_P123[[#This Row],[BB]]+ARI_P123[[#This Row],[H]])/ARI_P123[[#This Row],[IP]],0)</f>
        <v>1.9090909090909092</v>
      </c>
      <c r="BM152" s="28">
        <v>0</v>
      </c>
      <c r="BN152" s="90">
        <v>0</v>
      </c>
      <c r="BO152" s="28">
        <v>0</v>
      </c>
      <c r="BP152" s="74">
        <v>0</v>
      </c>
      <c r="BQ152" s="881">
        <v>8</v>
      </c>
    </row>
    <row r="153" spans="1:73">
      <c r="A153" s="828" t="s">
        <v>1265</v>
      </c>
      <c r="B153" s="114" t="s">
        <v>212</v>
      </c>
      <c r="C153" s="115" t="s">
        <v>1294</v>
      </c>
      <c r="D153" s="349">
        <f>IFERROR((ARI_P[[#This Row],[R]]*9)/ARI_P[[#This Row],[IP]],0)</f>
        <v>1.2459621596677433</v>
      </c>
      <c r="E153" s="28">
        <v>0</v>
      </c>
      <c r="F153" s="74">
        <v>1</v>
      </c>
      <c r="G153" s="28">
        <v>21</v>
      </c>
      <c r="H153" s="584">
        <v>21.67</v>
      </c>
      <c r="I153" s="28">
        <v>12</v>
      </c>
      <c r="J153" s="28">
        <v>3</v>
      </c>
      <c r="K153" s="28">
        <v>7</v>
      </c>
      <c r="L153" s="28">
        <v>11</v>
      </c>
      <c r="M153" s="28">
        <v>0</v>
      </c>
      <c r="N153" s="89">
        <f>IFERROR((ARI_P[[#This Row],[BB]]+ARI_P[[#This Row],[H]])/ARI_P[[#This Row],[IP]],0)</f>
        <v>0.87678818643285639</v>
      </c>
      <c r="O153" s="28">
        <v>0</v>
      </c>
      <c r="P153" s="90">
        <v>0</v>
      </c>
      <c r="Q153" s="28">
        <v>0</v>
      </c>
      <c r="R153" s="74">
        <v>0</v>
      </c>
      <c r="S153" s="615">
        <v>9</v>
      </c>
      <c r="Z153" s="828" t="s">
        <v>1265</v>
      </c>
      <c r="AA153" s="114" t="s">
        <v>212</v>
      </c>
      <c r="AB153" s="115" t="s">
        <v>1294</v>
      </c>
      <c r="AC153" s="88">
        <f>IFERROR((ARI_P105[[#This Row],[R]]*9)/ARI_P105[[#This Row],[IP]],0)</f>
        <v>2.4545454545454546</v>
      </c>
      <c r="AD153" s="28">
        <v>0</v>
      </c>
      <c r="AE153" s="74">
        <v>0</v>
      </c>
      <c r="AF153" s="28">
        <v>20</v>
      </c>
      <c r="AG153" s="584">
        <v>22</v>
      </c>
      <c r="AH153" s="28">
        <v>18</v>
      </c>
      <c r="AI153" s="28">
        <v>6</v>
      </c>
      <c r="AJ153" s="28">
        <v>6</v>
      </c>
      <c r="AK153" s="28">
        <v>10</v>
      </c>
      <c r="AL153" s="28">
        <v>1</v>
      </c>
      <c r="AM153" s="89">
        <f>IFERROR((ARI_P105[[#This Row],[BB]]+ARI_P105[[#This Row],[H]])/ARI_P105[[#This Row],[IP]],0)</f>
        <v>1.0909090909090908</v>
      </c>
      <c r="AN153" s="28">
        <v>0</v>
      </c>
      <c r="AO153" s="90">
        <v>0</v>
      </c>
      <c r="AP153" s="28">
        <v>0</v>
      </c>
      <c r="AQ153" s="74">
        <v>0</v>
      </c>
      <c r="AR153" s="615">
        <v>9</v>
      </c>
      <c r="AY153" s="828" t="s">
        <v>1265</v>
      </c>
      <c r="AZ153" s="114" t="s">
        <v>212</v>
      </c>
      <c r="BA153" s="115" t="s">
        <v>1294</v>
      </c>
      <c r="BB153" s="88">
        <f>IFERROR((ARI_P123[[#This Row],[R]]*9)/ARI_P123[[#This Row],[IP]],0)</f>
        <v>1.4592622618565059</v>
      </c>
      <c r="BC153" s="28">
        <v>0</v>
      </c>
      <c r="BD153" s="74">
        <v>1</v>
      </c>
      <c r="BE153" s="28">
        <v>24</v>
      </c>
      <c r="BF153" s="584">
        <v>24.67</v>
      </c>
      <c r="BG153" s="28">
        <v>21</v>
      </c>
      <c r="BH153" s="28">
        <v>4</v>
      </c>
      <c r="BI153" s="28">
        <v>8</v>
      </c>
      <c r="BJ153" s="28">
        <v>20</v>
      </c>
      <c r="BK153" s="28">
        <v>2</v>
      </c>
      <c r="BL153" s="89">
        <f>IFERROR((ARI_P123[[#This Row],[BB]]+ARI_P123[[#This Row],[H]])/ARI_P123[[#This Row],[IP]],0)</f>
        <v>1.1755168220510741</v>
      </c>
      <c r="BM153" s="28">
        <v>0</v>
      </c>
      <c r="BN153" s="90">
        <v>0</v>
      </c>
      <c r="BO153" s="28">
        <v>0</v>
      </c>
      <c r="BP153" s="74">
        <v>0</v>
      </c>
      <c r="BQ153" s="881">
        <v>9</v>
      </c>
    </row>
    <row r="154" spans="1:73" ht="17" thickBot="1">
      <c r="A154" s="828" t="s">
        <v>1265</v>
      </c>
      <c r="B154" s="114" t="s">
        <v>212</v>
      </c>
      <c r="C154" s="115" t="s">
        <v>1295</v>
      </c>
      <c r="D154" s="88">
        <f>IFERROR((ARI_P[[#This Row],[R]]*9)/ARI_P[[#This Row],[IP]],0)</f>
        <v>4.0690505548705307</v>
      </c>
      <c r="E154" s="28">
        <v>0</v>
      </c>
      <c r="F154" s="74">
        <v>0</v>
      </c>
      <c r="G154" s="28">
        <v>23</v>
      </c>
      <c r="H154" s="584">
        <v>24.33</v>
      </c>
      <c r="I154" s="28">
        <v>24</v>
      </c>
      <c r="J154" s="28">
        <v>11</v>
      </c>
      <c r="K154" s="28">
        <v>8</v>
      </c>
      <c r="L154" s="28">
        <v>24</v>
      </c>
      <c r="M154" s="28">
        <v>7</v>
      </c>
      <c r="N154" s="89">
        <f>IFERROR((ARI_P[[#This Row],[BB]]+ARI_P[[#This Row],[H]])/ARI_P[[#This Row],[IP]],0)</f>
        <v>1.3152486642005756</v>
      </c>
      <c r="O154" s="28">
        <v>0</v>
      </c>
      <c r="P154" s="90">
        <v>0</v>
      </c>
      <c r="Q154" s="28">
        <v>0</v>
      </c>
      <c r="R154" s="74">
        <v>0</v>
      </c>
      <c r="S154" s="615">
        <v>10</v>
      </c>
      <c r="Z154" s="828" t="s">
        <v>1265</v>
      </c>
      <c r="AA154" s="114" t="s">
        <v>212</v>
      </c>
      <c r="AB154" s="115" t="s">
        <v>1295</v>
      </c>
      <c r="AC154" s="88">
        <f>IFERROR((ARI_P105[[#This Row],[R]]*9)/ARI_P105[[#This Row],[IP]],0)</f>
        <v>4.6956521739130439</v>
      </c>
      <c r="AD154" s="28">
        <v>0</v>
      </c>
      <c r="AE154" s="74">
        <v>3</v>
      </c>
      <c r="AF154" s="28">
        <v>22</v>
      </c>
      <c r="AG154" s="584">
        <v>23</v>
      </c>
      <c r="AH154" s="28">
        <v>31</v>
      </c>
      <c r="AI154" s="28">
        <v>12</v>
      </c>
      <c r="AJ154" s="28">
        <v>5</v>
      </c>
      <c r="AK154" s="28">
        <v>22</v>
      </c>
      <c r="AL154" s="28">
        <v>8</v>
      </c>
      <c r="AM154" s="89">
        <f>IFERROR((ARI_P105[[#This Row],[BB]]+ARI_P105[[#This Row],[H]])/ARI_P105[[#This Row],[IP]],0)</f>
        <v>1.5652173913043479</v>
      </c>
      <c r="AN154" s="28">
        <v>0</v>
      </c>
      <c r="AO154" s="90">
        <v>0</v>
      </c>
      <c r="AP154" s="28">
        <v>0</v>
      </c>
      <c r="AQ154" s="74">
        <v>0</v>
      </c>
      <c r="AR154" s="615">
        <v>10</v>
      </c>
      <c r="AY154" s="828" t="s">
        <v>1265</v>
      </c>
      <c r="AZ154" s="114" t="s">
        <v>212</v>
      </c>
      <c r="BA154" s="115" t="s">
        <v>1295</v>
      </c>
      <c r="BB154" s="88">
        <f>IFERROR((ARI_P123[[#This Row],[R]]*9)/ARI_P123[[#This Row],[IP]],0)</f>
        <v>6</v>
      </c>
      <c r="BC154" s="28">
        <v>0</v>
      </c>
      <c r="BD154" s="74">
        <v>3</v>
      </c>
      <c r="BE154" s="28">
        <v>22</v>
      </c>
      <c r="BF154" s="584">
        <v>21</v>
      </c>
      <c r="BG154" s="28">
        <v>22</v>
      </c>
      <c r="BH154" s="28">
        <v>14</v>
      </c>
      <c r="BI154" s="28">
        <v>10</v>
      </c>
      <c r="BJ154" s="28">
        <v>15</v>
      </c>
      <c r="BK154" s="28">
        <v>4</v>
      </c>
      <c r="BL154" s="89">
        <f>IFERROR((ARI_P123[[#This Row],[BB]]+ARI_P123[[#This Row],[H]])/ARI_P123[[#This Row],[IP]],0)</f>
        <v>1.5238095238095237</v>
      </c>
      <c r="BM154" s="28">
        <v>0</v>
      </c>
      <c r="BN154" s="90">
        <v>0</v>
      </c>
      <c r="BO154" s="28">
        <v>0</v>
      </c>
      <c r="BP154" s="74">
        <v>0</v>
      </c>
      <c r="BQ154" s="881">
        <v>10</v>
      </c>
    </row>
    <row r="155" spans="1:73" ht="17" thickBot="1">
      <c r="A155" s="809"/>
      <c r="B155" s="810"/>
      <c r="C155" s="856" t="s">
        <v>195</v>
      </c>
      <c r="D155" s="665">
        <f>(J155*9)/H155</f>
        <v>4.2402225123460289</v>
      </c>
      <c r="E155" s="658">
        <f>SUBTOTAL(109,ARI_P[W])</f>
        <v>21</v>
      </c>
      <c r="F155" s="660">
        <f>SUBTOTAL(109,ARI_P[L])</f>
        <v>19</v>
      </c>
      <c r="G155" s="658"/>
      <c r="H155" s="666">
        <f>SUBTOTAL(109,ARI_P[IP])</f>
        <v>352.34000000000003</v>
      </c>
      <c r="I155" s="658">
        <f>SUBTOTAL(109,ARI_P[H])</f>
        <v>339</v>
      </c>
      <c r="J155" s="658">
        <f>SUBTOTAL(109,ARI_P[R])</f>
        <v>166</v>
      </c>
      <c r="K155" s="659">
        <f>SUBTOTAL(109,ARI_P[BB])</f>
        <v>100</v>
      </c>
      <c r="L155" s="658">
        <f>SUBTOTAL(109,ARI_P[K])</f>
        <v>303</v>
      </c>
      <c r="M155" s="658">
        <f>SUBTOTAL(109,ARI_P[SV])</f>
        <v>7</v>
      </c>
      <c r="N155" s="667">
        <f>(K155+I155)/H155</f>
        <v>1.2459556110575012</v>
      </c>
      <c r="O155" s="690">
        <f>SUBTOTAL(109,ARI_P[QS])</f>
        <v>23</v>
      </c>
      <c r="P155" s="669">
        <f>SUBTOTAL(109,ARI_P[UQ])</f>
        <v>10</v>
      </c>
      <c r="Q155" s="850">
        <f>SUBTOTAL(109,ARI_P[CG])</f>
        <v>4</v>
      </c>
      <c r="R155" s="851">
        <f>SUBTOTAL(109,ARI_P[SH])</f>
        <v>4</v>
      </c>
      <c r="S155" s="662"/>
      <c r="Z155" s="809"/>
      <c r="AA155" s="810"/>
      <c r="AB155" s="856" t="s">
        <v>195</v>
      </c>
      <c r="AC155" s="665">
        <f>(AI155*9)/AG155</f>
        <v>4.8286516853932584</v>
      </c>
      <c r="AD155" s="658">
        <f>SUBTOTAL(109,ARI_P105[W])</f>
        <v>12</v>
      </c>
      <c r="AE155" s="660">
        <f>SUBTOTAL(109,ARI_P105[L])</f>
        <v>28</v>
      </c>
      <c r="AF155" s="658"/>
      <c r="AG155" s="666">
        <f>SUBTOTAL(109,ARI_P105[IP])</f>
        <v>356</v>
      </c>
      <c r="AH155" s="658">
        <f>SUBTOTAL(109,ARI_P105[H])</f>
        <v>371</v>
      </c>
      <c r="AI155" s="658">
        <f>SUBTOTAL(109,ARI_P105[R])</f>
        <v>191</v>
      </c>
      <c r="AJ155" s="658">
        <f>SUBTOTAL(109,ARI_P105[BB])</f>
        <v>166</v>
      </c>
      <c r="AK155" s="658">
        <f>SUBTOTAL(109,ARI_P105[K])</f>
        <v>310</v>
      </c>
      <c r="AL155" s="658">
        <f>SUBTOTAL(109,ARI_P105[SV])</f>
        <v>9</v>
      </c>
      <c r="AM155" s="667">
        <f>(AJ155+AH155)/AG155</f>
        <v>1.5084269662921348</v>
      </c>
      <c r="AN155" s="690">
        <f>SUBTOTAL(109,ARI_P105[QS])</f>
        <v>22</v>
      </c>
      <c r="AO155" s="669">
        <f>SUBTOTAL(109,ARI_P105[UQ])</f>
        <v>7</v>
      </c>
      <c r="AP155" s="670">
        <f>SUBTOTAL(109,ARI_P105[CG])</f>
        <v>0</v>
      </c>
      <c r="AQ155" s="671">
        <f>SUBTOTAL(109,ARI_P105[SH])</f>
        <v>0</v>
      </c>
      <c r="AR155" s="662"/>
      <c r="AY155" s="809"/>
      <c r="AZ155" s="810"/>
      <c r="BA155" s="856" t="s">
        <v>195</v>
      </c>
      <c r="BB155" s="665">
        <f>IFERROR((BH155*9)/BF155,0)</f>
        <v>5.057614803882613</v>
      </c>
      <c r="BC155" s="658">
        <f>SUBTOTAL(109,ARI_P123[W])</f>
        <v>15</v>
      </c>
      <c r="BD155" s="660">
        <f>SUBTOTAL(109,ARI_P123[L])</f>
        <v>25</v>
      </c>
      <c r="BE155" s="658"/>
      <c r="BF155" s="666">
        <f>SUBTOTAL(109,ARI_P123[IP])</f>
        <v>352.34000000000003</v>
      </c>
      <c r="BG155" s="658">
        <f>SUBTOTAL(109,ARI_P123[H])</f>
        <v>377</v>
      </c>
      <c r="BH155" s="658">
        <f>SUBTOTAL(109,ARI_P123[R])</f>
        <v>198</v>
      </c>
      <c r="BI155" s="658">
        <f>SUBTOTAL(109,ARI_P123[BB])</f>
        <v>151</v>
      </c>
      <c r="BJ155" s="658">
        <f>SUBTOTAL(109,ARI_P123[K])</f>
        <v>348</v>
      </c>
      <c r="BK155" s="658">
        <f>SUBTOTAL(109,ARI_P123[SV])</f>
        <v>6</v>
      </c>
      <c r="BL155" s="667">
        <f>(BI155+BG155)/BF155</f>
        <v>1.4985525344837372</v>
      </c>
      <c r="BM155" s="690">
        <f>SUBTOTAL(109,ARI_P123[QS])</f>
        <v>18</v>
      </c>
      <c r="BN155" s="669">
        <f>SUBTOTAL(109,ARI_P123[UQ])</f>
        <v>13</v>
      </c>
      <c r="BO155" s="670">
        <f>SUM(BO145:BO154)</f>
        <v>3</v>
      </c>
      <c r="BP155" s="671">
        <f>SUM(BP145:BP154)</f>
        <v>2</v>
      </c>
      <c r="BQ155" s="662"/>
    </row>
    <row r="156" spans="1:73" ht="17" thickBot="1"/>
    <row r="157" spans="1:73" ht="29" thickBot="1">
      <c r="A157" s="1018" t="s">
        <v>1296</v>
      </c>
      <c r="B157" s="1019"/>
      <c r="C157" s="1019"/>
      <c r="D157" s="1019"/>
      <c r="E157" s="1019"/>
      <c r="F157" s="1019"/>
      <c r="G157" s="1019"/>
      <c r="H157" s="1019"/>
      <c r="I157" s="1019"/>
      <c r="J157" s="1019"/>
      <c r="K157" s="1019"/>
      <c r="L157" s="1019"/>
      <c r="M157" s="1019"/>
      <c r="N157" s="1019"/>
      <c r="O157" s="1019"/>
      <c r="P157" s="1019"/>
      <c r="Q157" s="1019"/>
      <c r="R157" s="1019"/>
      <c r="S157" s="1019"/>
      <c r="T157" s="1019"/>
      <c r="U157" s="1019"/>
      <c r="V157" s="1019"/>
      <c r="W157" s="1020"/>
      <c r="Z157" s="1018" t="s">
        <v>1297</v>
      </c>
      <c r="AA157" s="1019"/>
      <c r="AB157" s="1019"/>
      <c r="AC157" s="1019"/>
      <c r="AD157" s="1019"/>
      <c r="AE157" s="1019"/>
      <c r="AF157" s="1019"/>
      <c r="AG157" s="1019"/>
      <c r="AH157" s="1019"/>
      <c r="AI157" s="1019"/>
      <c r="AJ157" s="1019"/>
      <c r="AK157" s="1019"/>
      <c r="AL157" s="1019"/>
      <c r="AM157" s="1019"/>
      <c r="AN157" s="1019"/>
      <c r="AO157" s="1019"/>
      <c r="AP157" s="1019"/>
      <c r="AQ157" s="1019"/>
      <c r="AR157" s="1019"/>
      <c r="AS157" s="1019"/>
      <c r="AT157" s="1019"/>
      <c r="AU157" s="1019"/>
      <c r="AV157" s="1020"/>
      <c r="AY157" s="1018" t="s">
        <v>1298</v>
      </c>
      <c r="AZ157" s="1019"/>
      <c r="BA157" s="1019"/>
      <c r="BB157" s="1019"/>
      <c r="BC157" s="1019"/>
      <c r="BD157" s="1019"/>
      <c r="BE157" s="1019"/>
      <c r="BF157" s="1019"/>
      <c r="BG157" s="1019"/>
      <c r="BH157" s="1019"/>
      <c r="BI157" s="1019"/>
      <c r="BJ157" s="1019"/>
      <c r="BK157" s="1019"/>
      <c r="BL157" s="1019"/>
      <c r="BM157" s="1019"/>
      <c r="BN157" s="1019"/>
      <c r="BO157" s="1019"/>
      <c r="BP157" s="1019"/>
      <c r="BQ157" s="1019"/>
      <c r="BR157" s="1019"/>
      <c r="BS157" s="1019"/>
      <c r="BT157" s="1019"/>
      <c r="BU157" s="1020"/>
    </row>
    <row r="158" spans="1:73" ht="24" thickBot="1">
      <c r="A158" s="1063" t="s">
        <v>1299</v>
      </c>
      <c r="B158" s="1064"/>
      <c r="C158" s="1064"/>
      <c r="D158" s="1064"/>
      <c r="E158" s="1064"/>
      <c r="F158" s="1064"/>
      <c r="G158" s="1064"/>
      <c r="H158" s="1064"/>
      <c r="I158" s="1064"/>
      <c r="J158" s="1064"/>
      <c r="K158" s="1064"/>
      <c r="L158" s="1064"/>
      <c r="M158" s="1064"/>
      <c r="N158" s="1064"/>
      <c r="O158" s="1064"/>
      <c r="P158" s="1064"/>
      <c r="Q158" s="1064"/>
      <c r="R158" s="1064"/>
      <c r="S158" s="1064"/>
      <c r="T158" s="1064"/>
      <c r="U158" s="1064"/>
      <c r="V158" s="1064"/>
      <c r="W158" s="1065"/>
      <c r="Z158" s="1027" t="s">
        <v>1300</v>
      </c>
      <c r="AA158" s="1028"/>
      <c r="AB158" s="1028"/>
      <c r="AC158" s="1028"/>
      <c r="AD158" s="1028"/>
      <c r="AE158" s="1028"/>
      <c r="AF158" s="1028"/>
      <c r="AG158" s="1028"/>
      <c r="AH158" s="1028"/>
      <c r="AI158" s="1028"/>
      <c r="AJ158" s="1028"/>
      <c r="AK158" s="1028"/>
      <c r="AL158" s="1028"/>
      <c r="AM158" s="1028"/>
      <c r="AN158" s="1028"/>
      <c r="AO158" s="1028"/>
      <c r="AP158" s="1028"/>
      <c r="AQ158" s="1028"/>
      <c r="AR158" s="1028"/>
      <c r="AS158" s="1028"/>
      <c r="AT158" s="1028"/>
      <c r="AU158" s="1028"/>
      <c r="AV158" s="1029"/>
      <c r="AY158" s="1012" t="s">
        <v>1301</v>
      </c>
      <c r="AZ158" s="1013"/>
      <c r="BA158" s="1013"/>
      <c r="BB158" s="1013"/>
      <c r="BC158" s="1013"/>
      <c r="BD158" s="1013"/>
      <c r="BE158" s="1013"/>
      <c r="BF158" s="1013"/>
      <c r="BG158" s="1013"/>
      <c r="BH158" s="1013"/>
      <c r="BI158" s="1013"/>
      <c r="BJ158" s="1013"/>
      <c r="BK158" s="1013"/>
      <c r="BL158" s="1013"/>
      <c r="BM158" s="1013"/>
      <c r="BN158" s="1013"/>
      <c r="BO158" s="1013"/>
      <c r="BP158" s="1013"/>
      <c r="BQ158" s="1013"/>
      <c r="BR158" s="1013"/>
      <c r="BS158" s="1013"/>
      <c r="BT158" s="1013"/>
      <c r="BU158" s="1014"/>
    </row>
    <row r="159" spans="1:73" s="108" customFormat="1" ht="15" thickBot="1">
      <c r="A159" s="605" t="s">
        <v>143</v>
      </c>
      <c r="B159" s="606" t="s">
        <v>144</v>
      </c>
      <c r="C159" s="606" t="s">
        <v>145</v>
      </c>
      <c r="D159" s="606" t="s">
        <v>146</v>
      </c>
      <c r="E159" s="606" t="s">
        <v>147</v>
      </c>
      <c r="F159" s="606" t="s">
        <v>148</v>
      </c>
      <c r="G159" s="606" t="s">
        <v>149</v>
      </c>
      <c r="H159" s="606" t="s">
        <v>150</v>
      </c>
      <c r="I159" s="606" t="s">
        <v>151</v>
      </c>
      <c r="J159" s="606" t="s">
        <v>152</v>
      </c>
      <c r="K159" s="606" t="s">
        <v>153</v>
      </c>
      <c r="L159" s="606" t="s">
        <v>154</v>
      </c>
      <c r="M159" s="606" t="s">
        <v>155</v>
      </c>
      <c r="N159" s="606" t="s">
        <v>156</v>
      </c>
      <c r="O159" s="606" t="s">
        <v>157</v>
      </c>
      <c r="P159" s="606" t="s">
        <v>158</v>
      </c>
      <c r="Q159" s="606" t="s">
        <v>159</v>
      </c>
      <c r="R159" s="606" t="s">
        <v>160</v>
      </c>
      <c r="S159" s="606" t="s">
        <v>16</v>
      </c>
      <c r="T159" s="606" t="s">
        <v>161</v>
      </c>
      <c r="U159" s="606" t="s">
        <v>162</v>
      </c>
      <c r="V159" s="606" t="s">
        <v>163</v>
      </c>
      <c r="W159" s="607" t="s">
        <v>164</v>
      </c>
      <c r="Z159" s="605" t="s">
        <v>143</v>
      </c>
      <c r="AA159" s="606" t="s">
        <v>144</v>
      </c>
      <c r="AB159" s="606" t="s">
        <v>145</v>
      </c>
      <c r="AC159" s="606" t="s">
        <v>146</v>
      </c>
      <c r="AD159" s="606" t="s">
        <v>147</v>
      </c>
      <c r="AE159" s="606" t="s">
        <v>148</v>
      </c>
      <c r="AF159" s="606" t="s">
        <v>149</v>
      </c>
      <c r="AG159" s="606" t="s">
        <v>150</v>
      </c>
      <c r="AH159" s="606" t="s">
        <v>151</v>
      </c>
      <c r="AI159" s="606" t="s">
        <v>152</v>
      </c>
      <c r="AJ159" s="606" t="s">
        <v>153</v>
      </c>
      <c r="AK159" s="606" t="s">
        <v>154</v>
      </c>
      <c r="AL159" s="606" t="s">
        <v>155</v>
      </c>
      <c r="AM159" s="606" t="s">
        <v>156</v>
      </c>
      <c r="AN159" s="606" t="s">
        <v>157</v>
      </c>
      <c r="AO159" s="606" t="s">
        <v>158</v>
      </c>
      <c r="AP159" s="606" t="s">
        <v>159</v>
      </c>
      <c r="AQ159" s="606" t="s">
        <v>160</v>
      </c>
      <c r="AR159" s="606" t="s">
        <v>16</v>
      </c>
      <c r="AS159" s="606" t="s">
        <v>161</v>
      </c>
      <c r="AT159" s="606" t="s">
        <v>162</v>
      </c>
      <c r="AU159" s="606" t="s">
        <v>163</v>
      </c>
      <c r="AV159" s="607" t="s">
        <v>164</v>
      </c>
      <c r="AY159" s="605" t="s">
        <v>143</v>
      </c>
      <c r="AZ159" s="606" t="s">
        <v>144</v>
      </c>
      <c r="BA159" s="606" t="s">
        <v>145</v>
      </c>
      <c r="BB159" s="606" t="s">
        <v>146</v>
      </c>
      <c r="BC159" s="606" t="s">
        <v>147</v>
      </c>
      <c r="BD159" s="606" t="s">
        <v>148</v>
      </c>
      <c r="BE159" s="606" t="s">
        <v>149</v>
      </c>
      <c r="BF159" s="606" t="s">
        <v>150</v>
      </c>
      <c r="BG159" s="606" t="s">
        <v>151</v>
      </c>
      <c r="BH159" s="606" t="s">
        <v>152</v>
      </c>
      <c r="BI159" s="606" t="s">
        <v>153</v>
      </c>
      <c r="BJ159" s="606" t="s">
        <v>154</v>
      </c>
      <c r="BK159" s="606" t="s">
        <v>155</v>
      </c>
      <c r="BL159" s="606" t="s">
        <v>156</v>
      </c>
      <c r="BM159" s="606" t="s">
        <v>157</v>
      </c>
      <c r="BN159" s="606" t="s">
        <v>158</v>
      </c>
      <c r="BO159" s="606" t="s">
        <v>159</v>
      </c>
      <c r="BP159" s="606" t="s">
        <v>160</v>
      </c>
      <c r="BQ159" s="606" t="s">
        <v>16</v>
      </c>
      <c r="BR159" s="606" t="s">
        <v>161</v>
      </c>
      <c r="BS159" s="606" t="s">
        <v>162</v>
      </c>
      <c r="BT159" s="606" t="s">
        <v>163</v>
      </c>
      <c r="BU159" s="607" t="s">
        <v>164</v>
      </c>
    </row>
    <row r="160" spans="1:73">
      <c r="A160" s="719" t="s">
        <v>1171</v>
      </c>
      <c r="B160" s="597" t="s">
        <v>179</v>
      </c>
      <c r="C160" s="597" t="s">
        <v>864</v>
      </c>
      <c r="D160" s="598">
        <f>IFERROR(LAD_H276[[#This Row],[H]]/LAD_H276[[#This Row],[AB]],0)</f>
        <v>0.20895522388059701</v>
      </c>
      <c r="E160" s="598">
        <f>IFERROR((LAD_H276[[#This Row],[H]]+LAD_H276[[#This Row],[BB]])/(LAD_H276[[#This Row],[BB]]+LAD_H276[[#This Row],[AB]]),0)</f>
        <v>0.2638888888888889</v>
      </c>
      <c r="F160" s="599">
        <f>IFERROR(((LAD_H276[[#This Row],[H]]-LAD_H276[[#This Row],[2B]]-LAD_H276[[#This Row],[3B]]-LAD_H276[[#This Row],[HR]])+(LAD_H276[[#This Row],[2B]]*2)+(LAD_H276[[#This Row],[3B]]*3)+(LAD_H276[[#This Row],[HR]]*4))/LAD_H276[[#This Row],[AB]],0)</f>
        <v>0.35820895522388058</v>
      </c>
      <c r="G160" s="600">
        <v>17</v>
      </c>
      <c r="H160" s="600">
        <v>67</v>
      </c>
      <c r="I160" s="600">
        <v>8</v>
      </c>
      <c r="J160" s="600">
        <v>14</v>
      </c>
      <c r="K160" s="600">
        <v>1</v>
      </c>
      <c r="L160" s="600">
        <v>0</v>
      </c>
      <c r="M160" s="600">
        <v>3</v>
      </c>
      <c r="N160" s="600">
        <v>8</v>
      </c>
      <c r="O160" s="600">
        <v>5</v>
      </c>
      <c r="P160" s="604">
        <v>17</v>
      </c>
      <c r="Q160" s="600">
        <v>0</v>
      </c>
      <c r="R160" s="600">
        <v>0</v>
      </c>
      <c r="S160" s="604">
        <v>4</v>
      </c>
      <c r="T160" s="600">
        <f>IFERROR((LAD_H276[[#This Row],[H]]-LAD_H276[[#This Row],[2B]]-LAD_H276[[#This Row],[3B]]-LAD_H276[[#This Row],[HR]])+(LAD_H276[[#This Row],[2B]]*2)+(LAD_H276[[#This Row],[3B]]*3)+(LAD_H276[[#This Row],[HR]]*4),0)</f>
        <v>24</v>
      </c>
      <c r="U160" s="598">
        <f>LAD_H276[[#This Row],[OBP]]+LAD_H276[[#This Row],[SLG]]</f>
        <v>0.62209784411276947</v>
      </c>
      <c r="V160" s="604">
        <v>2</v>
      </c>
      <c r="W160" s="614">
        <v>1</v>
      </c>
      <c r="Z160" s="608" t="s">
        <v>1139</v>
      </c>
      <c r="AA160" s="597" t="s">
        <v>179</v>
      </c>
      <c r="AB160" s="597" t="s">
        <v>1147</v>
      </c>
      <c r="AC160" s="598">
        <f>IFERROR(SFG_H53[[#This Row],[H]]/SFG_H53[[#This Row],[AB]],0)</f>
        <v>0.2711864406779661</v>
      </c>
      <c r="AD160" s="598">
        <f>IFERROR((SFG_H53[[#This Row],[H]]+SFG_H53[[#This Row],[BB]])/(SFG_H53[[#This Row],[BB]]+SFG_H53[[#This Row],[AB]]),0)</f>
        <v>0.33846153846153848</v>
      </c>
      <c r="AE160" s="599">
        <f>IFERROR(((SFG_H53[[#This Row],[H]]-SFG_H53[[#This Row],[2B]]-SFG_H53[[#This Row],[3B]]-SFG_H53[[#This Row],[HR]])+(SFG_H53[[#This Row],[2B]]*2)+(SFG_H53[[#This Row],[3B]]*3)+(SFG_H53[[#This Row],[HR]]*4))/SFG_H53[[#This Row],[AB]],0)</f>
        <v>0.3559322033898305</v>
      </c>
      <c r="AF160" s="600">
        <v>15</v>
      </c>
      <c r="AG160" s="600">
        <v>59</v>
      </c>
      <c r="AH160" s="600">
        <v>5</v>
      </c>
      <c r="AI160" s="600">
        <v>16</v>
      </c>
      <c r="AJ160" s="600">
        <v>2</v>
      </c>
      <c r="AK160" s="600">
        <v>0</v>
      </c>
      <c r="AL160" s="600">
        <v>1</v>
      </c>
      <c r="AM160" s="600">
        <v>8</v>
      </c>
      <c r="AN160" s="600">
        <v>6</v>
      </c>
      <c r="AO160" s="604">
        <v>14</v>
      </c>
      <c r="AP160" s="600">
        <v>0</v>
      </c>
      <c r="AQ160" s="600">
        <v>1</v>
      </c>
      <c r="AR160" s="604">
        <v>7</v>
      </c>
      <c r="AS160" s="600">
        <f>IFERROR((SFG_H53[[#This Row],[H]]-SFG_H53[[#This Row],[2B]]-SFG_H53[[#This Row],[3B]]-SFG_H53[[#This Row],[HR]])+(SFG_H53[[#This Row],[2B]]*2)+(SFG_H53[[#This Row],[3B]]*3)+(SFG_H53[[#This Row],[HR]]*4),0)</f>
        <v>21</v>
      </c>
      <c r="AT160" s="598">
        <f>SFG_H53[[#This Row],[OBP]]+SFG_H53[[#This Row],[SLG]]</f>
        <v>0.69439374185136904</v>
      </c>
      <c r="AU160" s="604">
        <v>1</v>
      </c>
      <c r="AV160" s="614">
        <v>1</v>
      </c>
      <c r="AY160" s="650" t="s">
        <v>1139</v>
      </c>
      <c r="AZ160" s="597" t="s">
        <v>179</v>
      </c>
      <c r="BA160" s="597" t="s">
        <v>1147</v>
      </c>
      <c r="BB160" s="598">
        <f>IFERROR(SFG_H74[[#This Row],[H]]/SFG_H74[[#This Row],[AB]],0)</f>
        <v>0.36585365853658536</v>
      </c>
      <c r="BC160" s="598">
        <f>IFERROR((SFG_H74[[#This Row],[BB]]+SFG_H74[[#This Row],[H]])/(SFG_H74[[#This Row],[BB]]+SFG_H74[[#This Row],[AB]]),0)</f>
        <v>0.40909090909090912</v>
      </c>
      <c r="BD160" s="599">
        <f>IFERROR(((SFG_H74[[#This Row],[H]]-SFG_H74[[#This Row],[2B]]-SFG_H74[[#This Row],[3B]]-SFG_H74[[#This Row],[HR]])+(SFG_H74[[#This Row],[2B]]*2)+(SFG_H74[[#This Row],[3B]]*3)+(SFG_H74[[#This Row],[HR]]*4))/SFG_H74[[#This Row],[AB]],0)</f>
        <v>0.56097560975609762</v>
      </c>
      <c r="BE160" s="600">
        <v>10</v>
      </c>
      <c r="BF160" s="600">
        <v>41</v>
      </c>
      <c r="BG160" s="600">
        <v>8</v>
      </c>
      <c r="BH160" s="600">
        <v>15</v>
      </c>
      <c r="BI160" s="600">
        <v>2</v>
      </c>
      <c r="BJ160" s="600">
        <v>0</v>
      </c>
      <c r="BK160" s="600">
        <v>2</v>
      </c>
      <c r="BL160" s="600">
        <v>6</v>
      </c>
      <c r="BM160" s="600">
        <v>3</v>
      </c>
      <c r="BN160" s="604">
        <v>10</v>
      </c>
      <c r="BO160" s="600">
        <v>0</v>
      </c>
      <c r="BP160" s="600">
        <v>2</v>
      </c>
      <c r="BQ160" s="604">
        <v>5</v>
      </c>
      <c r="BR160" s="600">
        <f>(SFG_H74[[#This Row],[H]]-SFG_H74[[#This Row],[2B]]-SFG_H74[[#This Row],[3B]]-SFG_H74[[#This Row],[HR]])+(SFG_H74[[#This Row],[2B]]*2)+(SFG_H74[[#This Row],[3B]]*3)+(SFG_H74[[#This Row],[HR]]*4)</f>
        <v>23</v>
      </c>
      <c r="BS160" s="598">
        <f>IFERROR(SFG_H74[[#This Row],[OBP]]+SFG_H74[[#This Row],[SLG]],0)</f>
        <v>0.97006651884700679</v>
      </c>
      <c r="BT160" s="604">
        <v>1</v>
      </c>
      <c r="BU160" s="614">
        <v>1</v>
      </c>
    </row>
    <row r="161" spans="1:73">
      <c r="A161" s="720" t="s">
        <v>1171</v>
      </c>
      <c r="B161" s="71" t="s">
        <v>154</v>
      </c>
      <c r="C161" s="71" t="s">
        <v>1173</v>
      </c>
      <c r="D161" s="72">
        <f>IFERROR(LAD_H276[[#This Row],[H]]/LAD_H276[[#This Row],[AB]],0)</f>
        <v>0.25</v>
      </c>
      <c r="E161" s="72">
        <f>IFERROR((LAD_H276[[#This Row],[H]]+LAD_H276[[#This Row],[BB]])/(LAD_H276[[#This Row],[BB]]+LAD_H276[[#This Row],[AB]]),0)</f>
        <v>0.32</v>
      </c>
      <c r="F161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0.29411764705882354</v>
      </c>
      <c r="G161" s="28">
        <v>17</v>
      </c>
      <c r="H161" s="28">
        <v>68</v>
      </c>
      <c r="I161" s="28">
        <v>6</v>
      </c>
      <c r="J161" s="28">
        <v>17</v>
      </c>
      <c r="K161" s="28">
        <v>3</v>
      </c>
      <c r="L161" s="28">
        <v>0</v>
      </c>
      <c r="M161" s="28">
        <v>0</v>
      </c>
      <c r="N161" s="28">
        <v>10</v>
      </c>
      <c r="O161" s="28">
        <v>7</v>
      </c>
      <c r="P161" s="74">
        <v>19</v>
      </c>
      <c r="Q161" s="28">
        <v>0</v>
      </c>
      <c r="R161" s="28">
        <v>5</v>
      </c>
      <c r="S161" s="74">
        <v>6</v>
      </c>
      <c r="T161" s="28">
        <f>IFERROR((LAD_H276[[#This Row],[H]]-LAD_H276[[#This Row],[2B]]-LAD_H276[[#This Row],[3B]]-LAD_H276[[#This Row],[HR]])+(LAD_H276[[#This Row],[2B]]*2)+(LAD_H276[[#This Row],[3B]]*3)+(LAD_H276[[#This Row],[HR]]*4),0)</f>
        <v>20</v>
      </c>
      <c r="U161" s="72">
        <f>LAD_H276[[#This Row],[OBP]]+LAD_H276[[#This Row],[SLG]]</f>
        <v>0.61411764705882355</v>
      </c>
      <c r="V161" s="74">
        <v>1</v>
      </c>
      <c r="W161" s="615">
        <v>2</v>
      </c>
      <c r="Z161" s="609" t="s">
        <v>1139</v>
      </c>
      <c r="AA161" s="71" t="s">
        <v>154</v>
      </c>
      <c r="AB161" s="71" t="s">
        <v>1141</v>
      </c>
      <c r="AC161" s="72">
        <f>IFERROR(SFG_H53[[#This Row],[H]]/SFG_H53[[#This Row],[AB]],0)</f>
        <v>0.15789473684210525</v>
      </c>
      <c r="AD161" s="72">
        <f>IFERROR((SFG_H53[[#This Row],[H]]+SFG_H53[[#This Row],[BB]])/(SFG_H53[[#This Row],[BB]]+SFG_H53[[#This Row],[AB]]),0)</f>
        <v>0.25</v>
      </c>
      <c r="AE161" s="73">
        <f>IFERROR(((SFG_H53[[#This Row],[H]]-SFG_H53[[#This Row],[2B]]-SFG_H53[[#This Row],[3B]]-SFG_H53[[#This Row],[HR]])+(SFG_H53[[#This Row],[2B]]*2)+(SFG_H53[[#This Row],[3B]]*3)+(SFG_H53[[#This Row],[HR]]*4))/SFG_H53[[#This Row],[AB]],0)</f>
        <v>0.2982456140350877</v>
      </c>
      <c r="AF161" s="28">
        <v>15</v>
      </c>
      <c r="AG161" s="28">
        <v>57</v>
      </c>
      <c r="AH161" s="28">
        <v>3</v>
      </c>
      <c r="AI161" s="28">
        <v>9</v>
      </c>
      <c r="AJ161" s="28">
        <v>2</v>
      </c>
      <c r="AK161" s="28">
        <v>0</v>
      </c>
      <c r="AL161" s="28">
        <v>2</v>
      </c>
      <c r="AM161" s="28">
        <v>6</v>
      </c>
      <c r="AN161" s="28">
        <v>7</v>
      </c>
      <c r="AO161" s="74">
        <v>18</v>
      </c>
      <c r="AP161" s="28">
        <v>0</v>
      </c>
      <c r="AQ161" s="28">
        <v>0</v>
      </c>
      <c r="AR161" s="74">
        <v>3</v>
      </c>
      <c r="AS161" s="28">
        <f>IFERROR((SFG_H53[[#This Row],[H]]-SFG_H53[[#This Row],[2B]]-SFG_H53[[#This Row],[3B]]-SFG_H53[[#This Row],[HR]])+(SFG_H53[[#This Row],[2B]]*2)+(SFG_H53[[#This Row],[3B]]*3)+(SFG_H53[[#This Row],[HR]]*4),0)</f>
        <v>17</v>
      </c>
      <c r="AT161" s="72">
        <f>SFG_H53[[#This Row],[OBP]]+SFG_H53[[#This Row],[SLG]]</f>
        <v>0.54824561403508776</v>
      </c>
      <c r="AU161" s="74">
        <v>0</v>
      </c>
      <c r="AV161" s="615">
        <v>2</v>
      </c>
      <c r="AY161" s="651" t="s">
        <v>1139</v>
      </c>
      <c r="AZ161" s="71" t="s">
        <v>154</v>
      </c>
      <c r="BA161" s="71" t="s">
        <v>1141</v>
      </c>
      <c r="BB161" s="72">
        <f>IFERROR(SFG_H74[[#This Row],[H]]/SFG_H74[[#This Row],[AB]],0)</f>
        <v>0.28205128205128205</v>
      </c>
      <c r="BC161" s="72">
        <f>IFERROR((SFG_H74[[#This Row],[BB]]+SFG_H74[[#This Row],[H]])/(SFG_H74[[#This Row],[BB]]+SFG_H74[[#This Row],[AB]]),0)</f>
        <v>0.33333333333333331</v>
      </c>
      <c r="BD161" s="73">
        <f>IFERROR(((SFG_H74[[#This Row],[H]]-SFG_H74[[#This Row],[2B]]-SFG_H74[[#This Row],[3B]]-SFG_H74[[#This Row],[HR]])+(SFG_H74[[#This Row],[2B]]*2)+(SFG_H74[[#This Row],[3B]]*3)+(SFG_H74[[#This Row],[HR]]*4))/SFG_H74[[#This Row],[AB]],0)</f>
        <v>0.38461538461538464</v>
      </c>
      <c r="BE161" s="28">
        <v>10</v>
      </c>
      <c r="BF161" s="28">
        <v>39</v>
      </c>
      <c r="BG161" s="28">
        <v>0</v>
      </c>
      <c r="BH161" s="28">
        <v>11</v>
      </c>
      <c r="BI161" s="28">
        <v>4</v>
      </c>
      <c r="BJ161" s="28">
        <v>0</v>
      </c>
      <c r="BK161" s="28">
        <v>0</v>
      </c>
      <c r="BL161" s="28">
        <v>5</v>
      </c>
      <c r="BM161" s="28">
        <v>3</v>
      </c>
      <c r="BN161" s="74">
        <v>7</v>
      </c>
      <c r="BO161" s="28">
        <v>0</v>
      </c>
      <c r="BP161" s="28">
        <v>3</v>
      </c>
      <c r="BQ161" s="74">
        <v>5</v>
      </c>
      <c r="BR161" s="28">
        <f>(SFG_H74[[#This Row],[H]]-SFG_H74[[#This Row],[2B]]-SFG_H74[[#This Row],[3B]]-SFG_H74[[#This Row],[HR]])+(SFG_H74[[#This Row],[2B]]*2)+(SFG_H74[[#This Row],[3B]]*3)+(SFG_H74[[#This Row],[HR]]*4)</f>
        <v>15</v>
      </c>
      <c r="BS161" s="72">
        <f>IFERROR(SFG_H74[[#This Row],[OBP]]+SFG_H74[[#This Row],[SLG]],0)</f>
        <v>0.71794871794871795</v>
      </c>
      <c r="BT161" s="74">
        <v>1</v>
      </c>
      <c r="BU161" s="615">
        <v>2</v>
      </c>
    </row>
    <row r="162" spans="1:73">
      <c r="A162" s="720" t="s">
        <v>1171</v>
      </c>
      <c r="B162" s="71" t="s">
        <v>172</v>
      </c>
      <c r="C162" s="71" t="s">
        <v>872</v>
      </c>
      <c r="D162" s="72">
        <f>IFERROR(LAD_H276[[#This Row],[H]]/LAD_H276[[#This Row],[AB]],0)</f>
        <v>0.27777777777777779</v>
      </c>
      <c r="E162" s="72">
        <f>IFERROR((LAD_H276[[#This Row],[H]]+LAD_H276[[#This Row],[BB]])/(LAD_H276[[#This Row],[BB]]+LAD_H276[[#This Row],[AB]]),0)</f>
        <v>0.34177215189873417</v>
      </c>
      <c r="F162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0.47222222222222221</v>
      </c>
      <c r="G162" s="28">
        <v>17</v>
      </c>
      <c r="H162" s="28">
        <v>72</v>
      </c>
      <c r="I162" s="586">
        <v>13</v>
      </c>
      <c r="J162" s="28">
        <v>20</v>
      </c>
      <c r="K162" s="28">
        <v>5</v>
      </c>
      <c r="L162" s="28">
        <v>0</v>
      </c>
      <c r="M162" s="28">
        <v>3</v>
      </c>
      <c r="N162" s="28">
        <v>8</v>
      </c>
      <c r="O162" s="28">
        <v>7</v>
      </c>
      <c r="P162" s="74">
        <v>14</v>
      </c>
      <c r="Q162" s="586">
        <v>11</v>
      </c>
      <c r="R162" s="28">
        <v>3</v>
      </c>
      <c r="S162" s="74">
        <v>3</v>
      </c>
      <c r="T162" s="28">
        <f>IFERROR((LAD_H276[[#This Row],[H]]-LAD_H276[[#This Row],[2B]]-LAD_H276[[#This Row],[3B]]-LAD_H276[[#This Row],[HR]])+(LAD_H276[[#This Row],[2B]]*2)+(LAD_H276[[#This Row],[3B]]*3)+(LAD_H276[[#This Row],[HR]]*4),0)</f>
        <v>34</v>
      </c>
      <c r="U162" s="72">
        <f>LAD_H276[[#This Row],[OBP]]+LAD_H276[[#This Row],[SLG]]</f>
        <v>0.81399437412095632</v>
      </c>
      <c r="V162" s="74">
        <v>2</v>
      </c>
      <c r="W162" s="615">
        <v>3</v>
      </c>
      <c r="Z162" s="609" t="s">
        <v>1139</v>
      </c>
      <c r="AA162" s="71" t="s">
        <v>172</v>
      </c>
      <c r="AB162" s="71" t="s">
        <v>1140</v>
      </c>
      <c r="AC162" s="72">
        <f>IFERROR(SFG_H53[[#This Row],[H]]/SFG_H53[[#This Row],[AB]],0)</f>
        <v>0.2</v>
      </c>
      <c r="AD162" s="72">
        <f>IFERROR((SFG_H53[[#This Row],[H]]+SFG_H53[[#This Row],[BB]])/(SFG_H53[[#This Row],[BB]]+SFG_H53[[#This Row],[AB]]),0)</f>
        <v>0.27868852459016391</v>
      </c>
      <c r="AE162" s="73">
        <f>IFERROR(((SFG_H53[[#This Row],[H]]-SFG_H53[[#This Row],[2B]]-SFG_H53[[#This Row],[3B]]-SFG_H53[[#This Row],[HR]])+(SFG_H53[[#This Row],[2B]]*2)+(SFG_H53[[#This Row],[3B]]*3)+(SFG_H53[[#This Row],[HR]]*4))/SFG_H53[[#This Row],[AB]],0)</f>
        <v>0.27272727272727271</v>
      </c>
      <c r="AF162" s="28">
        <v>15</v>
      </c>
      <c r="AG162" s="28">
        <v>55</v>
      </c>
      <c r="AH162" s="28">
        <v>3</v>
      </c>
      <c r="AI162" s="28">
        <v>11</v>
      </c>
      <c r="AJ162" s="28">
        <v>1</v>
      </c>
      <c r="AK162" s="28">
        <v>0</v>
      </c>
      <c r="AL162" s="28">
        <v>1</v>
      </c>
      <c r="AM162" s="28">
        <v>1</v>
      </c>
      <c r="AN162" s="28">
        <v>6</v>
      </c>
      <c r="AO162" s="74">
        <v>15</v>
      </c>
      <c r="AP162" s="28">
        <v>0</v>
      </c>
      <c r="AQ162" s="28">
        <v>0</v>
      </c>
      <c r="AR162" s="74">
        <v>2</v>
      </c>
      <c r="AS162" s="28">
        <f>IFERROR((SFG_H53[[#This Row],[H]]-SFG_H53[[#This Row],[2B]]-SFG_H53[[#This Row],[3B]]-SFG_H53[[#This Row],[HR]])+(SFG_H53[[#This Row],[2B]]*2)+(SFG_H53[[#This Row],[3B]]*3)+(SFG_H53[[#This Row],[HR]]*4),0)</f>
        <v>15</v>
      </c>
      <c r="AT162" s="72">
        <f>SFG_H53[[#This Row],[OBP]]+SFG_H53[[#This Row],[SLG]]</f>
        <v>0.55141579731743662</v>
      </c>
      <c r="AU162" s="74">
        <v>0</v>
      </c>
      <c r="AV162" s="615">
        <v>3</v>
      </c>
      <c r="AY162" s="651" t="s">
        <v>1139</v>
      </c>
      <c r="AZ162" s="71" t="s">
        <v>172</v>
      </c>
      <c r="BA162" s="71" t="s">
        <v>1140</v>
      </c>
      <c r="BB162" s="72">
        <f>IFERROR(SFG_H74[[#This Row],[H]]/SFG_H74[[#This Row],[AB]],0)</f>
        <v>0.19444444444444445</v>
      </c>
      <c r="BC162" s="72">
        <f>IFERROR((SFG_H74[[#This Row],[BB]]+SFG_H74[[#This Row],[H]])/(SFG_H74[[#This Row],[BB]]+SFG_H74[[#This Row],[AB]]),0)</f>
        <v>0.27500000000000002</v>
      </c>
      <c r="BD162" s="73">
        <f>IFERROR(((SFG_H74[[#This Row],[H]]-SFG_H74[[#This Row],[2B]]-SFG_H74[[#This Row],[3B]]-SFG_H74[[#This Row],[HR]])+(SFG_H74[[#This Row],[2B]]*2)+(SFG_H74[[#This Row],[3B]]*3)+(SFG_H74[[#This Row],[HR]]*4))/SFG_H74[[#This Row],[AB]],0)</f>
        <v>0.27777777777777779</v>
      </c>
      <c r="BE162" s="28">
        <v>10</v>
      </c>
      <c r="BF162" s="28">
        <v>36</v>
      </c>
      <c r="BG162" s="28">
        <v>0</v>
      </c>
      <c r="BH162" s="28">
        <v>7</v>
      </c>
      <c r="BI162" s="28">
        <v>1</v>
      </c>
      <c r="BJ162" s="28">
        <v>1</v>
      </c>
      <c r="BK162" s="28">
        <v>0</v>
      </c>
      <c r="BL162" s="28">
        <v>4</v>
      </c>
      <c r="BM162" s="28">
        <v>4</v>
      </c>
      <c r="BN162" s="74">
        <v>7</v>
      </c>
      <c r="BO162" s="28">
        <v>0</v>
      </c>
      <c r="BP162" s="28">
        <v>5</v>
      </c>
      <c r="BQ162" s="74">
        <v>5</v>
      </c>
      <c r="BR162" s="28">
        <f>(SFG_H74[[#This Row],[H]]-SFG_H74[[#This Row],[2B]]-SFG_H74[[#This Row],[3B]]-SFG_H74[[#This Row],[HR]])+(SFG_H74[[#This Row],[2B]]*2)+(SFG_H74[[#This Row],[3B]]*3)+(SFG_H74[[#This Row],[HR]]*4)</f>
        <v>10</v>
      </c>
      <c r="BS162" s="72">
        <f>IFERROR(SFG_H74[[#This Row],[OBP]]+SFG_H74[[#This Row],[SLG]],0)</f>
        <v>0.55277777777777781</v>
      </c>
      <c r="BT162" s="74">
        <v>0</v>
      </c>
      <c r="BU162" s="615">
        <v>3</v>
      </c>
    </row>
    <row r="163" spans="1:73">
      <c r="A163" s="720" t="s">
        <v>1171</v>
      </c>
      <c r="B163" s="71" t="s">
        <v>153</v>
      </c>
      <c r="C163" s="71" t="s">
        <v>1174</v>
      </c>
      <c r="D163" s="72">
        <f>IFERROR(LAD_H276[[#This Row],[H]]/LAD_H276[[#This Row],[AB]],0)</f>
        <v>0.14285714285714285</v>
      </c>
      <c r="E163" s="72">
        <f>IFERROR((LAD_H276[[#This Row],[H]]+LAD_H276[[#This Row],[BB]])/(LAD_H276[[#This Row],[BB]]+LAD_H276[[#This Row],[AB]]),0)</f>
        <v>0.28000000000000003</v>
      </c>
      <c r="F163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0.33333333333333331</v>
      </c>
      <c r="G163" s="28">
        <v>17</v>
      </c>
      <c r="H163" s="28">
        <v>63</v>
      </c>
      <c r="I163" s="28">
        <v>7</v>
      </c>
      <c r="J163" s="28">
        <v>9</v>
      </c>
      <c r="K163" s="28">
        <v>0</v>
      </c>
      <c r="L163" s="28">
        <v>0</v>
      </c>
      <c r="M163" s="28">
        <v>4</v>
      </c>
      <c r="N163" s="28">
        <v>7</v>
      </c>
      <c r="O163" s="76">
        <v>12</v>
      </c>
      <c r="P163" s="74">
        <v>25</v>
      </c>
      <c r="Q163" s="28">
        <v>0</v>
      </c>
      <c r="R163" s="28">
        <v>1</v>
      </c>
      <c r="S163" s="74">
        <v>1</v>
      </c>
      <c r="T163" s="28">
        <f>IFERROR((LAD_H276[[#This Row],[H]]-LAD_H276[[#This Row],[2B]]-LAD_H276[[#This Row],[3B]]-LAD_H276[[#This Row],[HR]])+(LAD_H276[[#This Row],[2B]]*2)+(LAD_H276[[#This Row],[3B]]*3)+(LAD_H276[[#This Row],[HR]]*4),0)</f>
        <v>21</v>
      </c>
      <c r="U163" s="72">
        <f>LAD_H276[[#This Row],[OBP]]+LAD_H276[[#This Row],[SLG]]</f>
        <v>0.61333333333333329</v>
      </c>
      <c r="V163" s="74">
        <v>0</v>
      </c>
      <c r="W163" s="615">
        <v>4</v>
      </c>
      <c r="Z163" s="609" t="s">
        <v>1139</v>
      </c>
      <c r="AA163" s="71" t="s">
        <v>153</v>
      </c>
      <c r="AB163" s="71" t="s">
        <v>1150</v>
      </c>
      <c r="AC163" s="72">
        <f>IFERROR(SFG_H53[[#This Row],[H]]/SFG_H53[[#This Row],[AB]],0)</f>
        <v>0.32432432432432434</v>
      </c>
      <c r="AD163" s="72">
        <f>IFERROR((SFG_H53[[#This Row],[H]]+SFG_H53[[#This Row],[BB]])/(SFG_H53[[#This Row],[BB]]+SFG_H53[[#This Row],[AB]]),0)</f>
        <v>0.375</v>
      </c>
      <c r="AE163" s="73">
        <f>IFERROR(((SFG_H53[[#This Row],[H]]-SFG_H53[[#This Row],[2B]]-SFG_H53[[#This Row],[3B]]-SFG_H53[[#This Row],[HR]])+(SFG_H53[[#This Row],[2B]]*2)+(SFG_H53[[#This Row],[3B]]*3)+(SFG_H53[[#This Row],[HR]]*4))/SFG_H53[[#This Row],[AB]],0)</f>
        <v>0.43243243243243246</v>
      </c>
      <c r="AF163" s="28">
        <v>11</v>
      </c>
      <c r="AG163" s="28">
        <v>37</v>
      </c>
      <c r="AH163" s="28">
        <v>4</v>
      </c>
      <c r="AI163" s="28">
        <v>12</v>
      </c>
      <c r="AJ163" s="28">
        <v>1</v>
      </c>
      <c r="AK163" s="28">
        <v>0</v>
      </c>
      <c r="AL163" s="28">
        <v>1</v>
      </c>
      <c r="AM163" s="28">
        <v>3</v>
      </c>
      <c r="AN163" s="28">
        <v>3</v>
      </c>
      <c r="AO163" s="74">
        <v>9</v>
      </c>
      <c r="AP163" s="28">
        <v>0</v>
      </c>
      <c r="AQ163" s="28">
        <v>0</v>
      </c>
      <c r="AR163" s="74">
        <v>8</v>
      </c>
      <c r="AS163" s="28">
        <f>IFERROR((SFG_H53[[#This Row],[H]]-SFG_H53[[#This Row],[2B]]-SFG_H53[[#This Row],[3B]]-SFG_H53[[#This Row],[HR]])+(SFG_H53[[#This Row],[2B]]*2)+(SFG_H53[[#This Row],[3B]]*3)+(SFG_H53[[#This Row],[HR]]*4),0)</f>
        <v>16</v>
      </c>
      <c r="AT163" s="72">
        <f>SFG_H53[[#This Row],[OBP]]+SFG_H53[[#This Row],[SLG]]</f>
        <v>0.80743243243243246</v>
      </c>
      <c r="AU163" s="74">
        <v>1</v>
      </c>
      <c r="AV163" s="615">
        <v>4</v>
      </c>
      <c r="AY163" s="651" t="s">
        <v>1139</v>
      </c>
      <c r="AZ163" s="71" t="s">
        <v>153</v>
      </c>
      <c r="BA163" s="71" t="s">
        <v>1150</v>
      </c>
      <c r="BB163" s="72">
        <f>IFERROR(SFG_H74[[#This Row],[H]]/SFG_H74[[#This Row],[AB]],0)</f>
        <v>0.12</v>
      </c>
      <c r="BC163" s="72">
        <f>IFERROR((SFG_H74[[#This Row],[BB]]+SFG_H74[[#This Row],[H]])/(SFG_H74[[#This Row],[BB]]+SFG_H74[[#This Row],[AB]]),0)</f>
        <v>0.21428571428571427</v>
      </c>
      <c r="BD163" s="73">
        <f>IFERROR(((SFG_H74[[#This Row],[H]]-SFG_H74[[#This Row],[2B]]-SFG_H74[[#This Row],[3B]]-SFG_H74[[#This Row],[HR]])+(SFG_H74[[#This Row],[2B]]*2)+(SFG_H74[[#This Row],[3B]]*3)+(SFG_H74[[#This Row],[HR]]*4))/SFG_H74[[#This Row],[AB]],0)</f>
        <v>0.12</v>
      </c>
      <c r="BE163" s="28">
        <v>8</v>
      </c>
      <c r="BF163" s="28">
        <v>25</v>
      </c>
      <c r="BG163" s="28">
        <v>2</v>
      </c>
      <c r="BH163" s="28">
        <v>3</v>
      </c>
      <c r="BI163" s="28">
        <v>0</v>
      </c>
      <c r="BJ163" s="28">
        <v>0</v>
      </c>
      <c r="BK163" s="28">
        <v>0</v>
      </c>
      <c r="BL163" s="28">
        <v>0</v>
      </c>
      <c r="BM163" s="28">
        <v>3</v>
      </c>
      <c r="BN163" s="74">
        <v>4</v>
      </c>
      <c r="BO163" s="28">
        <v>0</v>
      </c>
      <c r="BP163" s="28">
        <v>0</v>
      </c>
      <c r="BQ163" s="74">
        <v>3</v>
      </c>
      <c r="BR163" s="28">
        <f>(SFG_H74[[#This Row],[H]]-SFG_H74[[#This Row],[2B]]-SFG_H74[[#This Row],[3B]]-SFG_H74[[#This Row],[HR]])+(SFG_H74[[#This Row],[2B]]*2)+(SFG_H74[[#This Row],[3B]]*3)+(SFG_H74[[#This Row],[HR]]*4)</f>
        <v>3</v>
      </c>
      <c r="BS163" s="72">
        <f>IFERROR(SFG_H74[[#This Row],[OBP]]+SFG_H74[[#This Row],[SLG]],0)</f>
        <v>0.3342857142857143</v>
      </c>
      <c r="BT163" s="74">
        <v>0</v>
      </c>
      <c r="BU163" s="615">
        <v>4</v>
      </c>
    </row>
    <row r="164" spans="1:73">
      <c r="A164" s="720" t="s">
        <v>1171</v>
      </c>
      <c r="B164" s="71" t="s">
        <v>177</v>
      </c>
      <c r="C164" s="71" t="s">
        <v>838</v>
      </c>
      <c r="D164" s="72">
        <f>IFERROR(LAD_H276[[#This Row],[H]]/LAD_H276[[#This Row],[AB]],0)</f>
        <v>0.24242424242424243</v>
      </c>
      <c r="E164" s="72">
        <f>IFERROR((LAD_H276[[#This Row],[H]]+LAD_H276[[#This Row],[BB]])/(LAD_H276[[#This Row],[BB]]+LAD_H276[[#This Row],[AB]]),0)</f>
        <v>0.33333333333333331</v>
      </c>
      <c r="F164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0.36363636363636365</v>
      </c>
      <c r="G164" s="28">
        <v>17</v>
      </c>
      <c r="H164" s="28">
        <v>66</v>
      </c>
      <c r="I164" s="28">
        <v>4</v>
      </c>
      <c r="J164" s="28">
        <v>16</v>
      </c>
      <c r="K164" s="28">
        <v>3</v>
      </c>
      <c r="L164" s="28">
        <v>1</v>
      </c>
      <c r="M164" s="28">
        <v>1</v>
      </c>
      <c r="N164" s="28">
        <v>10</v>
      </c>
      <c r="O164" s="28">
        <v>9</v>
      </c>
      <c r="P164" s="74">
        <v>18</v>
      </c>
      <c r="Q164" s="28">
        <v>0</v>
      </c>
      <c r="R164" s="28">
        <v>2</v>
      </c>
      <c r="S164" s="74">
        <v>3</v>
      </c>
      <c r="T164" s="28">
        <f>IFERROR((LAD_H276[[#This Row],[H]]-LAD_H276[[#This Row],[2B]]-LAD_H276[[#This Row],[3B]]-LAD_H276[[#This Row],[HR]])+(LAD_H276[[#This Row],[2B]]*2)+(LAD_H276[[#This Row],[3B]]*3)+(LAD_H276[[#This Row],[HR]]*4),0)</f>
        <v>24</v>
      </c>
      <c r="U164" s="72">
        <f>LAD_H276[[#This Row],[OBP]]+LAD_H276[[#This Row],[SLG]]</f>
        <v>0.69696969696969702</v>
      </c>
      <c r="V164" s="74">
        <v>1</v>
      </c>
      <c r="W164" s="615">
        <v>5</v>
      </c>
      <c r="Z164" s="609" t="s">
        <v>1139</v>
      </c>
      <c r="AA164" s="71" t="s">
        <v>177</v>
      </c>
      <c r="AB164" s="71" t="s">
        <v>1146</v>
      </c>
      <c r="AC164" s="72">
        <f>IFERROR(SFG_H53[[#This Row],[H]]/SFG_H53[[#This Row],[AB]],0)</f>
        <v>0.2807017543859649</v>
      </c>
      <c r="AD164" s="72">
        <f>IFERROR((SFG_H53[[#This Row],[H]]+SFG_H53[[#This Row],[BB]])/(SFG_H53[[#This Row],[BB]]+SFG_H53[[#This Row],[AB]]),0)</f>
        <v>0.33870967741935482</v>
      </c>
      <c r="AE164" s="73">
        <f>IFERROR(((SFG_H53[[#This Row],[H]]-SFG_H53[[#This Row],[2B]]-SFG_H53[[#This Row],[3B]]-SFG_H53[[#This Row],[HR]])+(SFG_H53[[#This Row],[2B]]*2)+(SFG_H53[[#This Row],[3B]]*3)+(SFG_H53[[#This Row],[HR]]*4))/SFG_H53[[#This Row],[AB]],0)</f>
        <v>0.47368421052631576</v>
      </c>
      <c r="AF164" s="28">
        <v>15</v>
      </c>
      <c r="AG164" s="28">
        <v>57</v>
      </c>
      <c r="AH164" s="28">
        <v>6</v>
      </c>
      <c r="AI164" s="28">
        <v>16</v>
      </c>
      <c r="AJ164" s="28">
        <v>2</v>
      </c>
      <c r="AK164" s="28">
        <v>0</v>
      </c>
      <c r="AL164" s="28">
        <v>3</v>
      </c>
      <c r="AM164" s="28">
        <v>7</v>
      </c>
      <c r="AN164" s="28">
        <v>5</v>
      </c>
      <c r="AO164" s="74">
        <v>17</v>
      </c>
      <c r="AP164" s="28">
        <v>0</v>
      </c>
      <c r="AQ164" s="28">
        <v>2</v>
      </c>
      <c r="AR164" s="74">
        <v>4</v>
      </c>
      <c r="AS164" s="28">
        <f>IFERROR((SFG_H53[[#This Row],[H]]-SFG_H53[[#This Row],[2B]]-SFG_H53[[#This Row],[3B]]-SFG_H53[[#This Row],[HR]])+(SFG_H53[[#This Row],[2B]]*2)+(SFG_H53[[#This Row],[3B]]*3)+(SFG_H53[[#This Row],[HR]]*4),0)</f>
        <v>27</v>
      </c>
      <c r="AT164" s="72">
        <f>SFG_H53[[#This Row],[OBP]]+SFG_H53[[#This Row],[SLG]]</f>
        <v>0.81239388794567058</v>
      </c>
      <c r="AU164" s="74">
        <v>1</v>
      </c>
      <c r="AV164" s="615">
        <v>5</v>
      </c>
      <c r="AY164" s="651" t="s">
        <v>1139</v>
      </c>
      <c r="AZ164" s="71" t="s">
        <v>177</v>
      </c>
      <c r="BA164" s="71" t="s">
        <v>1146</v>
      </c>
      <c r="BB164" s="72">
        <f>IFERROR(SFG_H74[[#This Row],[H]]/SFG_H74[[#This Row],[AB]],0)</f>
        <v>0.23076923076923078</v>
      </c>
      <c r="BC164" s="72">
        <f>IFERROR((SFG_H74[[#This Row],[BB]]+SFG_H74[[#This Row],[H]])/(SFG_H74[[#This Row],[BB]]+SFG_H74[[#This Row],[AB]]),0)</f>
        <v>0.41176470588235292</v>
      </c>
      <c r="BD164" s="73">
        <f>IFERROR(((SFG_H74[[#This Row],[H]]-SFG_H74[[#This Row],[2B]]-SFG_H74[[#This Row],[3B]]-SFG_H74[[#This Row],[HR]])+(SFG_H74[[#This Row],[2B]]*2)+(SFG_H74[[#This Row],[3B]]*3)+(SFG_H74[[#This Row],[HR]]*4))/SFG_H74[[#This Row],[AB]],0)</f>
        <v>0.5</v>
      </c>
      <c r="BE164" s="28">
        <v>10</v>
      </c>
      <c r="BF164" s="28">
        <v>26</v>
      </c>
      <c r="BG164" s="28">
        <v>4</v>
      </c>
      <c r="BH164" s="28">
        <v>6</v>
      </c>
      <c r="BI164" s="28">
        <v>1</v>
      </c>
      <c r="BJ164" s="28">
        <v>0</v>
      </c>
      <c r="BK164" s="28">
        <v>2</v>
      </c>
      <c r="BL164" s="28">
        <v>3</v>
      </c>
      <c r="BM164" s="28">
        <v>8</v>
      </c>
      <c r="BN164" s="74">
        <v>12</v>
      </c>
      <c r="BO164" s="28">
        <v>0</v>
      </c>
      <c r="BP164" s="28">
        <v>0</v>
      </c>
      <c r="BQ164" s="74">
        <v>1</v>
      </c>
      <c r="BR164" s="28">
        <f>(SFG_H74[[#This Row],[H]]-SFG_H74[[#This Row],[2B]]-SFG_H74[[#This Row],[3B]]-SFG_H74[[#This Row],[HR]])+(SFG_H74[[#This Row],[2B]]*2)+(SFG_H74[[#This Row],[3B]]*3)+(SFG_H74[[#This Row],[HR]]*4)</f>
        <v>13</v>
      </c>
      <c r="BS164" s="72">
        <f>IFERROR(SFG_H74[[#This Row],[OBP]]+SFG_H74[[#This Row],[SLG]],0)</f>
        <v>0.91176470588235292</v>
      </c>
      <c r="BT164" s="74">
        <v>1</v>
      </c>
      <c r="BU164" s="615">
        <v>5</v>
      </c>
    </row>
    <row r="165" spans="1:73">
      <c r="A165" s="720" t="s">
        <v>1171</v>
      </c>
      <c r="B165" s="71" t="s">
        <v>174</v>
      </c>
      <c r="C165" s="71" t="s">
        <v>1175</v>
      </c>
      <c r="D165" s="72">
        <f>IFERROR(LAD_H276[[#This Row],[H]]/LAD_H276[[#This Row],[AB]],0)</f>
        <v>0.15151515151515152</v>
      </c>
      <c r="E165" s="72">
        <f>IFERROR((LAD_H276[[#This Row],[H]]+LAD_H276[[#This Row],[BB]])/(LAD_H276[[#This Row],[BB]]+LAD_H276[[#This Row],[AB]]),0)</f>
        <v>0.2</v>
      </c>
      <c r="F165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0.30303030303030304</v>
      </c>
      <c r="G165" s="28">
        <v>17</v>
      </c>
      <c r="H165" s="28">
        <v>66</v>
      </c>
      <c r="I165" s="28">
        <v>6</v>
      </c>
      <c r="J165" s="28">
        <v>10</v>
      </c>
      <c r="K165" s="28">
        <v>3</v>
      </c>
      <c r="L165" s="586">
        <v>2</v>
      </c>
      <c r="M165" s="28">
        <v>1</v>
      </c>
      <c r="N165" s="28">
        <v>5</v>
      </c>
      <c r="O165" s="28">
        <v>4</v>
      </c>
      <c r="P165" s="74">
        <v>26</v>
      </c>
      <c r="Q165" s="28">
        <v>0</v>
      </c>
      <c r="R165" s="28">
        <v>3</v>
      </c>
      <c r="S165" s="74">
        <v>3</v>
      </c>
      <c r="T165" s="28">
        <f>IFERROR((LAD_H276[[#This Row],[H]]-LAD_H276[[#This Row],[2B]]-LAD_H276[[#This Row],[3B]]-LAD_H276[[#This Row],[HR]])+(LAD_H276[[#This Row],[2B]]*2)+(LAD_H276[[#This Row],[3B]]*3)+(LAD_H276[[#This Row],[HR]]*4),0)</f>
        <v>20</v>
      </c>
      <c r="U165" s="72">
        <f>LAD_H276[[#This Row],[OBP]]+LAD_H276[[#This Row],[SLG]]</f>
        <v>0.50303030303030305</v>
      </c>
      <c r="V165" s="74">
        <v>1</v>
      </c>
      <c r="W165" s="615">
        <v>6</v>
      </c>
      <c r="Z165" s="609" t="s">
        <v>1139</v>
      </c>
      <c r="AA165" s="345" t="s">
        <v>174</v>
      </c>
      <c r="AB165" s="71" t="s">
        <v>1142</v>
      </c>
      <c r="AC165" s="72">
        <f>IFERROR(SFG_H53[[#This Row],[H]]/SFG_H53[[#This Row],[AB]],0)</f>
        <v>0.26666666666666666</v>
      </c>
      <c r="AD165" s="72">
        <f>IFERROR((SFG_H53[[#This Row],[H]]+SFG_H53[[#This Row],[BB]])/(SFG_H53[[#This Row],[BB]]+SFG_H53[[#This Row],[AB]]),0)</f>
        <v>0.34328358208955223</v>
      </c>
      <c r="AE165" s="73">
        <f>IFERROR(((SFG_H53[[#This Row],[H]]-SFG_H53[[#This Row],[2B]]-SFG_H53[[#This Row],[3B]]-SFG_H53[[#This Row],[HR]])+(SFG_H53[[#This Row],[2B]]*2)+(SFG_H53[[#This Row],[3B]]*3)+(SFG_H53[[#This Row],[HR]]*4))/SFG_H53[[#This Row],[AB]],0)</f>
        <v>0.5</v>
      </c>
      <c r="AF165" s="28">
        <v>15</v>
      </c>
      <c r="AG165" s="28">
        <v>60</v>
      </c>
      <c r="AH165" s="28">
        <v>9</v>
      </c>
      <c r="AI165" s="28">
        <v>16</v>
      </c>
      <c r="AJ165" s="28">
        <v>3</v>
      </c>
      <c r="AK165" s="28">
        <v>1</v>
      </c>
      <c r="AL165" s="28">
        <v>3</v>
      </c>
      <c r="AM165" s="586">
        <v>15</v>
      </c>
      <c r="AN165" s="28">
        <v>7</v>
      </c>
      <c r="AO165" s="74">
        <v>9</v>
      </c>
      <c r="AP165" s="28">
        <v>0</v>
      </c>
      <c r="AQ165" s="28">
        <v>0</v>
      </c>
      <c r="AR165" s="74">
        <v>5</v>
      </c>
      <c r="AS165" s="28">
        <f>IFERROR((SFG_H53[[#This Row],[H]]-SFG_H53[[#This Row],[2B]]-SFG_H53[[#This Row],[3B]]-SFG_H53[[#This Row],[HR]])+(SFG_H53[[#This Row],[2B]]*2)+(SFG_H53[[#This Row],[3B]]*3)+(SFG_H53[[#This Row],[HR]]*4),0)</f>
        <v>30</v>
      </c>
      <c r="AT165" s="72">
        <f>SFG_H53[[#This Row],[OBP]]+SFG_H53[[#This Row],[SLG]]</f>
        <v>0.84328358208955223</v>
      </c>
      <c r="AU165" s="74">
        <v>2</v>
      </c>
      <c r="AV165" s="615">
        <v>6</v>
      </c>
      <c r="AY165" s="651" t="s">
        <v>1139</v>
      </c>
      <c r="AZ165" s="71" t="s">
        <v>174</v>
      </c>
      <c r="BA165" s="71" t="s">
        <v>1142</v>
      </c>
      <c r="BB165" s="72">
        <f>IFERROR(SFG_H74[[#This Row],[H]]/SFG_H74[[#This Row],[AB]],0)</f>
        <v>0.22500000000000001</v>
      </c>
      <c r="BC165" s="72">
        <f>IFERROR((SFG_H74[[#This Row],[BB]]+SFG_H74[[#This Row],[H]])/(SFG_H74[[#This Row],[BB]]+SFG_H74[[#This Row],[AB]]),0)</f>
        <v>0.31111111111111112</v>
      </c>
      <c r="BD165" s="73">
        <f>IFERROR(((SFG_H74[[#This Row],[H]]-SFG_H74[[#This Row],[2B]]-SFG_H74[[#This Row],[3B]]-SFG_H74[[#This Row],[HR]])+(SFG_H74[[#This Row],[2B]]*2)+(SFG_H74[[#This Row],[3B]]*3)+(SFG_H74[[#This Row],[HR]]*4))/SFG_H74[[#This Row],[AB]],0)</f>
        <v>0.65</v>
      </c>
      <c r="BE165" s="28">
        <v>10</v>
      </c>
      <c r="BF165" s="28">
        <v>40</v>
      </c>
      <c r="BG165" s="28">
        <v>8</v>
      </c>
      <c r="BH165" s="28">
        <v>9</v>
      </c>
      <c r="BI165" s="28">
        <v>2</v>
      </c>
      <c r="BJ165" s="28">
        <v>0</v>
      </c>
      <c r="BK165" s="28">
        <v>5</v>
      </c>
      <c r="BL165" s="28">
        <v>9</v>
      </c>
      <c r="BM165" s="28">
        <v>5</v>
      </c>
      <c r="BN165" s="74">
        <v>9</v>
      </c>
      <c r="BO165" s="28">
        <v>0</v>
      </c>
      <c r="BP165" s="28">
        <v>1</v>
      </c>
      <c r="BQ165" s="74">
        <v>7</v>
      </c>
      <c r="BR165" s="28">
        <f>(SFG_H74[[#This Row],[H]]-SFG_H74[[#This Row],[2B]]-SFG_H74[[#This Row],[3B]]-SFG_H74[[#This Row],[HR]])+(SFG_H74[[#This Row],[2B]]*2)+(SFG_H74[[#This Row],[3B]]*3)+(SFG_H74[[#This Row],[HR]]*4)</f>
        <v>26</v>
      </c>
      <c r="BS165" s="72">
        <f>IFERROR(SFG_H74[[#This Row],[OBP]]+SFG_H74[[#This Row],[SLG]],0)</f>
        <v>0.96111111111111114</v>
      </c>
      <c r="BT165" s="74">
        <v>1</v>
      </c>
      <c r="BU165" s="615">
        <v>6</v>
      </c>
    </row>
    <row r="166" spans="1:73">
      <c r="A166" s="720" t="s">
        <v>1171</v>
      </c>
      <c r="B166" s="71" t="s">
        <v>181</v>
      </c>
      <c r="C166" s="71" t="s">
        <v>1177</v>
      </c>
      <c r="D166" s="72">
        <f>IFERROR(LAD_H276[[#This Row],[H]]/LAD_H276[[#This Row],[AB]],0)</f>
        <v>0.16949152542372881</v>
      </c>
      <c r="E166" s="72">
        <f>IFERROR((LAD_H276[[#This Row],[H]]+LAD_H276[[#This Row],[BB]])/(LAD_H276[[#This Row],[BB]]+LAD_H276[[#This Row],[AB]]),0)</f>
        <v>0.24615384615384617</v>
      </c>
      <c r="F166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0.28813559322033899</v>
      </c>
      <c r="G166" s="28">
        <v>17</v>
      </c>
      <c r="H166" s="28">
        <v>59</v>
      </c>
      <c r="I166" s="28">
        <v>6</v>
      </c>
      <c r="J166" s="28">
        <v>10</v>
      </c>
      <c r="K166" s="28">
        <v>2</v>
      </c>
      <c r="L166" s="28">
        <v>1</v>
      </c>
      <c r="M166" s="28">
        <v>1</v>
      </c>
      <c r="N166" s="28">
        <v>3</v>
      </c>
      <c r="O166" s="28">
        <v>6</v>
      </c>
      <c r="P166" s="74">
        <v>27</v>
      </c>
      <c r="Q166" s="28">
        <v>0</v>
      </c>
      <c r="R166" s="28">
        <v>2</v>
      </c>
      <c r="S166" s="74">
        <v>2</v>
      </c>
      <c r="T166" s="28">
        <f>IFERROR((LAD_H276[[#This Row],[H]]-LAD_H276[[#This Row],[2B]]-LAD_H276[[#This Row],[3B]]-LAD_H276[[#This Row],[HR]])+(LAD_H276[[#This Row],[2B]]*2)+(LAD_H276[[#This Row],[3B]]*3)+(LAD_H276[[#This Row],[HR]]*4),0)</f>
        <v>17</v>
      </c>
      <c r="U166" s="72">
        <f>LAD_H276[[#This Row],[OBP]]+LAD_H276[[#This Row],[SLG]]</f>
        <v>0.53428943937418516</v>
      </c>
      <c r="V166" s="74">
        <v>1</v>
      </c>
      <c r="W166" s="615">
        <v>7</v>
      </c>
      <c r="Z166" s="609" t="s">
        <v>1139</v>
      </c>
      <c r="AA166" s="71" t="s">
        <v>181</v>
      </c>
      <c r="AB166" s="71" t="s">
        <v>1143</v>
      </c>
      <c r="AC166" s="72">
        <f>IFERROR(SFG_H53[[#This Row],[H]]/SFG_H53[[#This Row],[AB]],0)</f>
        <v>0.2153846153846154</v>
      </c>
      <c r="AD166" s="72">
        <f>IFERROR((SFG_H53[[#This Row],[H]]+SFG_H53[[#This Row],[BB]])/(SFG_H53[[#This Row],[BB]]+SFG_H53[[#This Row],[AB]]),0)</f>
        <v>0.29166666666666669</v>
      </c>
      <c r="AE166" s="73">
        <f>IFERROR(((SFG_H53[[#This Row],[H]]-SFG_H53[[#This Row],[2B]]-SFG_H53[[#This Row],[3B]]-SFG_H53[[#This Row],[HR]])+(SFG_H53[[#This Row],[2B]]*2)+(SFG_H53[[#This Row],[3B]]*3)+(SFG_H53[[#This Row],[HR]]*4))/SFG_H53[[#This Row],[AB]],0)</f>
        <v>0.32307692307692309</v>
      </c>
      <c r="AF166" s="28">
        <v>15</v>
      </c>
      <c r="AG166" s="76">
        <v>65</v>
      </c>
      <c r="AH166" s="28">
        <v>10</v>
      </c>
      <c r="AI166" s="28">
        <v>14</v>
      </c>
      <c r="AJ166" s="28">
        <v>4</v>
      </c>
      <c r="AK166" s="28">
        <v>0</v>
      </c>
      <c r="AL166" s="28">
        <v>1</v>
      </c>
      <c r="AM166" s="28">
        <v>3</v>
      </c>
      <c r="AN166" s="28">
        <v>7</v>
      </c>
      <c r="AO166" s="74">
        <v>23</v>
      </c>
      <c r="AP166" s="28">
        <v>0</v>
      </c>
      <c r="AQ166" s="28">
        <v>2</v>
      </c>
      <c r="AR166" s="74">
        <v>4</v>
      </c>
      <c r="AS166" s="28">
        <f>IFERROR((SFG_H53[[#This Row],[H]]-SFG_H53[[#This Row],[2B]]-SFG_H53[[#This Row],[3B]]-SFG_H53[[#This Row],[HR]])+(SFG_H53[[#This Row],[2B]]*2)+(SFG_H53[[#This Row],[3B]]*3)+(SFG_H53[[#This Row],[HR]]*4),0)</f>
        <v>21</v>
      </c>
      <c r="AT166" s="72">
        <f>SFG_H53[[#This Row],[OBP]]+SFG_H53[[#This Row],[SLG]]</f>
        <v>0.61474358974358978</v>
      </c>
      <c r="AU166" s="74">
        <v>1</v>
      </c>
      <c r="AV166" s="615">
        <v>7</v>
      </c>
      <c r="AY166" s="651" t="s">
        <v>1139</v>
      </c>
      <c r="AZ166" s="71" t="s">
        <v>181</v>
      </c>
      <c r="BA166" s="71" t="s">
        <v>1143</v>
      </c>
      <c r="BB166" s="72">
        <f>IFERROR(SFG_H74[[#This Row],[H]]/SFG_H74[[#This Row],[AB]],0)</f>
        <v>0.24242424242424243</v>
      </c>
      <c r="BC166" s="72">
        <f>IFERROR((SFG_H74[[#This Row],[BB]]+SFG_H74[[#This Row],[H]])/(SFG_H74[[#This Row],[BB]]+SFG_H74[[#This Row],[AB]]),0)</f>
        <v>0.32432432432432434</v>
      </c>
      <c r="BD166" s="73">
        <f>IFERROR(((SFG_H74[[#This Row],[H]]-SFG_H74[[#This Row],[2B]]-SFG_H74[[#This Row],[3B]]-SFG_H74[[#This Row],[HR]])+(SFG_H74[[#This Row],[2B]]*2)+(SFG_H74[[#This Row],[3B]]*3)+(SFG_H74[[#This Row],[HR]]*4))/SFG_H74[[#This Row],[AB]],0)</f>
        <v>0.39393939393939392</v>
      </c>
      <c r="BE166" s="28">
        <v>10</v>
      </c>
      <c r="BF166" s="28">
        <v>33</v>
      </c>
      <c r="BG166" s="28">
        <v>2</v>
      </c>
      <c r="BH166" s="28">
        <v>8</v>
      </c>
      <c r="BI166" s="28">
        <v>0</v>
      </c>
      <c r="BJ166" s="28">
        <v>1</v>
      </c>
      <c r="BK166" s="28">
        <v>1</v>
      </c>
      <c r="BL166" s="28">
        <v>3</v>
      </c>
      <c r="BM166" s="28">
        <v>4</v>
      </c>
      <c r="BN166" s="74">
        <v>9</v>
      </c>
      <c r="BO166" s="28">
        <v>0</v>
      </c>
      <c r="BP166" s="28">
        <v>0</v>
      </c>
      <c r="BQ166" s="74">
        <v>4</v>
      </c>
      <c r="BR166" s="28">
        <f>(SFG_H74[[#This Row],[H]]-SFG_H74[[#This Row],[2B]]-SFG_H74[[#This Row],[3B]]-SFG_H74[[#This Row],[HR]])+(SFG_H74[[#This Row],[2B]]*2)+(SFG_H74[[#This Row],[3B]]*3)+(SFG_H74[[#This Row],[HR]]*4)</f>
        <v>13</v>
      </c>
      <c r="BS166" s="72">
        <f>IFERROR(SFG_H74[[#This Row],[OBP]]+SFG_H74[[#This Row],[SLG]],0)</f>
        <v>0.71826371826371826</v>
      </c>
      <c r="BT166" s="74">
        <v>0</v>
      </c>
      <c r="BU166" s="615">
        <v>7</v>
      </c>
    </row>
    <row r="167" spans="1:73">
      <c r="A167" s="720" t="s">
        <v>1171</v>
      </c>
      <c r="B167" s="71" t="s">
        <v>166</v>
      </c>
      <c r="C167" s="71" t="s">
        <v>1172</v>
      </c>
      <c r="D167" s="72">
        <f>IFERROR(LAD_H276[[#This Row],[H]]/LAD_H276[[#This Row],[AB]],0)</f>
        <v>0.352112676056338</v>
      </c>
      <c r="E167" s="72">
        <f>IFERROR((LAD_H276[[#This Row],[H]]+LAD_H276[[#This Row],[BB]])/(LAD_H276[[#This Row],[BB]]+LAD_H276[[#This Row],[AB]]),0)</f>
        <v>0.40259740259740262</v>
      </c>
      <c r="F167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0.49295774647887325</v>
      </c>
      <c r="G167" s="28">
        <v>17</v>
      </c>
      <c r="H167" s="28">
        <v>71</v>
      </c>
      <c r="I167" s="28">
        <v>11</v>
      </c>
      <c r="J167" s="586">
        <v>25</v>
      </c>
      <c r="K167" s="586">
        <v>7</v>
      </c>
      <c r="L167" s="28">
        <v>0</v>
      </c>
      <c r="M167" s="28">
        <v>1</v>
      </c>
      <c r="N167" s="28">
        <v>10</v>
      </c>
      <c r="O167" s="28">
        <v>6</v>
      </c>
      <c r="P167" s="74">
        <v>16</v>
      </c>
      <c r="Q167" s="28">
        <v>4</v>
      </c>
      <c r="R167" s="28">
        <v>5</v>
      </c>
      <c r="S167" s="74">
        <v>7</v>
      </c>
      <c r="T167" s="28">
        <f>IFERROR((LAD_H276[[#This Row],[H]]-LAD_H276[[#This Row],[2B]]-LAD_H276[[#This Row],[3B]]-LAD_H276[[#This Row],[HR]])+(LAD_H276[[#This Row],[2B]]*2)+(LAD_H276[[#This Row],[3B]]*3)+(LAD_H276[[#This Row],[HR]]*4),0)</f>
        <v>35</v>
      </c>
      <c r="U167" s="72">
        <f>LAD_H276[[#This Row],[OBP]]+LAD_H276[[#This Row],[SLG]]</f>
        <v>0.89555514907627587</v>
      </c>
      <c r="V167" s="74">
        <v>3</v>
      </c>
      <c r="W167" s="615">
        <v>8</v>
      </c>
      <c r="Z167" s="609" t="s">
        <v>1139</v>
      </c>
      <c r="AA167" s="71" t="s">
        <v>166</v>
      </c>
      <c r="AB167" s="71" t="s">
        <v>1149</v>
      </c>
      <c r="AC167" s="72">
        <f>IFERROR(SFG_H53[[#This Row],[H]]/SFG_H53[[#This Row],[AB]],0)</f>
        <v>0.15384615384615385</v>
      </c>
      <c r="AD167" s="72">
        <f>IFERROR((SFG_H53[[#This Row],[H]]+SFG_H53[[#This Row],[BB]])/(SFG_H53[[#This Row],[BB]]+SFG_H53[[#This Row],[AB]]),0)</f>
        <v>0.2413793103448276</v>
      </c>
      <c r="AE167" s="73">
        <f>IFERROR(((SFG_H53[[#This Row],[H]]-SFG_H53[[#This Row],[2B]]-SFG_H53[[#This Row],[3B]]-SFG_H53[[#This Row],[HR]])+(SFG_H53[[#This Row],[2B]]*2)+(SFG_H53[[#This Row],[3B]]*3)+(SFG_H53[[#This Row],[HR]]*4))/SFG_H53[[#This Row],[AB]],0)</f>
        <v>0.28846153846153844</v>
      </c>
      <c r="AF167" s="28">
        <v>15</v>
      </c>
      <c r="AG167" s="28">
        <v>52</v>
      </c>
      <c r="AH167" s="28">
        <v>6</v>
      </c>
      <c r="AI167" s="28">
        <v>8</v>
      </c>
      <c r="AJ167" s="28">
        <v>1</v>
      </c>
      <c r="AK167" s="28">
        <v>0</v>
      </c>
      <c r="AL167" s="28">
        <v>2</v>
      </c>
      <c r="AM167" s="28">
        <v>5</v>
      </c>
      <c r="AN167" s="28">
        <v>6</v>
      </c>
      <c r="AO167" s="74">
        <v>13</v>
      </c>
      <c r="AP167" s="28">
        <v>0</v>
      </c>
      <c r="AQ167" s="28">
        <v>0</v>
      </c>
      <c r="AR167" s="74">
        <v>5</v>
      </c>
      <c r="AS167" s="28">
        <f>IFERROR((SFG_H53[[#This Row],[H]]-SFG_H53[[#This Row],[2B]]-SFG_H53[[#This Row],[3B]]-SFG_H53[[#This Row],[HR]])+(SFG_H53[[#This Row],[2B]]*2)+(SFG_H53[[#This Row],[3B]]*3)+(SFG_H53[[#This Row],[HR]]*4),0)</f>
        <v>15</v>
      </c>
      <c r="AT167" s="72">
        <f>SFG_H53[[#This Row],[OBP]]+SFG_H53[[#This Row],[SLG]]</f>
        <v>0.52984084880636606</v>
      </c>
      <c r="AU167" s="74">
        <v>1</v>
      </c>
      <c r="AV167" s="615">
        <v>8</v>
      </c>
      <c r="AY167" s="651" t="s">
        <v>1139</v>
      </c>
      <c r="AZ167" s="71" t="s">
        <v>166</v>
      </c>
      <c r="BA167" s="71" t="s">
        <v>1149</v>
      </c>
      <c r="BB167" s="72">
        <f>IFERROR(SFG_H74[[#This Row],[H]]/SFG_H74[[#This Row],[AB]],0)</f>
        <v>0.14814814814814814</v>
      </c>
      <c r="BC167" s="72">
        <f>IFERROR((SFG_H74[[#This Row],[BB]]+SFG_H74[[#This Row],[H]])/(SFG_H74[[#This Row],[BB]]+SFG_H74[[#This Row],[AB]]),0)</f>
        <v>0.28125</v>
      </c>
      <c r="BD167" s="73">
        <f>IFERROR(((SFG_H74[[#This Row],[H]]-SFG_H74[[#This Row],[2B]]-SFG_H74[[#This Row],[3B]]-SFG_H74[[#This Row],[HR]])+(SFG_H74[[#This Row],[2B]]*2)+(SFG_H74[[#This Row],[3B]]*3)+(SFG_H74[[#This Row],[HR]]*4))/SFG_H74[[#This Row],[AB]],0)</f>
        <v>0.18518518518518517</v>
      </c>
      <c r="BE167" s="28">
        <v>7</v>
      </c>
      <c r="BF167" s="28">
        <v>27</v>
      </c>
      <c r="BG167" s="28">
        <v>4</v>
      </c>
      <c r="BH167" s="28">
        <v>4</v>
      </c>
      <c r="BI167" s="28">
        <v>1</v>
      </c>
      <c r="BJ167" s="28">
        <v>0</v>
      </c>
      <c r="BK167" s="28">
        <v>0</v>
      </c>
      <c r="BL167" s="28">
        <v>1</v>
      </c>
      <c r="BM167" s="28">
        <v>5</v>
      </c>
      <c r="BN167" s="74">
        <v>11</v>
      </c>
      <c r="BO167" s="28">
        <v>0</v>
      </c>
      <c r="BP167" s="28">
        <v>0</v>
      </c>
      <c r="BQ167" s="74">
        <v>3</v>
      </c>
      <c r="BR167" s="28">
        <f>(SFG_H74[[#This Row],[H]]-SFG_H74[[#This Row],[2B]]-SFG_H74[[#This Row],[3B]]-SFG_H74[[#This Row],[HR]])+(SFG_H74[[#This Row],[2B]]*2)+(SFG_H74[[#This Row],[3B]]*3)+(SFG_H74[[#This Row],[HR]]*4)</f>
        <v>5</v>
      </c>
      <c r="BS167" s="72">
        <f>IFERROR(SFG_H74[[#This Row],[OBP]]+SFG_H74[[#This Row],[SLG]],0)</f>
        <v>0.46643518518518517</v>
      </c>
      <c r="BT167" s="74">
        <v>0</v>
      </c>
      <c r="BU167" s="615">
        <v>8</v>
      </c>
    </row>
    <row r="168" spans="1:73">
      <c r="A168" s="720" t="s">
        <v>1171</v>
      </c>
      <c r="B168" s="71" t="s">
        <v>168</v>
      </c>
      <c r="C168" s="71" t="s">
        <v>1178</v>
      </c>
      <c r="D168" s="72">
        <f>IFERROR(LAD_H276[[#This Row],[H]]/LAD_H276[[#This Row],[AB]],0)</f>
        <v>0.171875</v>
      </c>
      <c r="E168" s="72">
        <f>IFERROR((LAD_H276[[#This Row],[H]]+LAD_H276[[#This Row],[BB]])/(LAD_H276[[#This Row],[BB]]+LAD_H276[[#This Row],[AB]]),0)</f>
        <v>0.2638888888888889</v>
      </c>
      <c r="F168" s="73">
        <f>IFERROR(((LAD_H276[[#This Row],[H]]-LAD_H276[[#This Row],[2B]]-LAD_H276[[#This Row],[3B]]-LAD_H276[[#This Row],[HR]])+(LAD_H276[[#This Row],[2B]]*2)+(LAD_H276[[#This Row],[3B]]*3)+(LAD_H276[[#This Row],[HR]]*4))/LAD_H276[[#This Row],[AB]],0)</f>
        <v>0.234375</v>
      </c>
      <c r="G168" s="28">
        <v>17</v>
      </c>
      <c r="H168" s="28">
        <v>64</v>
      </c>
      <c r="I168" s="28">
        <v>5</v>
      </c>
      <c r="J168" s="28">
        <v>11</v>
      </c>
      <c r="K168" s="28">
        <v>4</v>
      </c>
      <c r="L168" s="28">
        <v>0</v>
      </c>
      <c r="M168" s="28">
        <v>0</v>
      </c>
      <c r="N168" s="28">
        <v>3</v>
      </c>
      <c r="O168" s="28">
        <v>8</v>
      </c>
      <c r="P168" s="74">
        <v>25</v>
      </c>
      <c r="Q168" s="28">
        <v>0</v>
      </c>
      <c r="R168" s="28">
        <v>0</v>
      </c>
      <c r="S168" s="74">
        <v>5</v>
      </c>
      <c r="T168" s="28">
        <f>IFERROR((LAD_H276[[#This Row],[H]]-LAD_H276[[#This Row],[2B]]-LAD_H276[[#This Row],[3B]]-LAD_H276[[#This Row],[HR]])+(LAD_H276[[#This Row],[2B]]*2)+(LAD_H276[[#This Row],[3B]]*3)+(LAD_H276[[#This Row],[HR]]*4),0)</f>
        <v>15</v>
      </c>
      <c r="U168" s="72">
        <f>LAD_H276[[#This Row],[OBP]]+LAD_H276[[#This Row],[SLG]]</f>
        <v>0.4982638888888889</v>
      </c>
      <c r="V168" s="74">
        <v>0</v>
      </c>
      <c r="W168" s="615">
        <v>9</v>
      </c>
      <c r="Z168" s="609" t="s">
        <v>1139</v>
      </c>
      <c r="AA168" s="71" t="s">
        <v>168</v>
      </c>
      <c r="AB168" s="71" t="s">
        <v>1145</v>
      </c>
      <c r="AC168" s="72">
        <f>IFERROR(SFG_H53[[#This Row],[H]]/SFG_H53[[#This Row],[AB]],0)</f>
        <v>0.234375</v>
      </c>
      <c r="AD168" s="72">
        <f>IFERROR((SFG_H53[[#This Row],[H]]+SFG_H53[[#This Row],[BB]])/(SFG_H53[[#This Row],[BB]]+SFG_H53[[#This Row],[AB]]),0)</f>
        <v>0.27941176470588236</v>
      </c>
      <c r="AE168" s="73">
        <f>IFERROR(((SFG_H53[[#This Row],[H]]-SFG_H53[[#This Row],[2B]]-SFG_H53[[#This Row],[3B]]-SFG_H53[[#This Row],[HR]])+(SFG_H53[[#This Row],[2B]]*2)+(SFG_H53[[#This Row],[3B]]*3)+(SFG_H53[[#This Row],[HR]]*4))/SFG_H53[[#This Row],[AB]],0)</f>
        <v>0.34375</v>
      </c>
      <c r="AF168" s="28">
        <v>15</v>
      </c>
      <c r="AG168" s="28">
        <v>64</v>
      </c>
      <c r="AH168" s="28">
        <v>6</v>
      </c>
      <c r="AI168" s="28">
        <v>15</v>
      </c>
      <c r="AJ168" s="28">
        <v>3</v>
      </c>
      <c r="AK168" s="586">
        <v>2</v>
      </c>
      <c r="AL168" s="28">
        <v>0</v>
      </c>
      <c r="AM168" s="28">
        <v>1</v>
      </c>
      <c r="AN168" s="28">
        <v>4</v>
      </c>
      <c r="AO168" s="74">
        <v>19</v>
      </c>
      <c r="AP168" s="28">
        <v>0</v>
      </c>
      <c r="AQ168" s="28">
        <v>4</v>
      </c>
      <c r="AR168" s="74">
        <v>4</v>
      </c>
      <c r="AS168" s="28">
        <f>IFERROR((SFG_H53[[#This Row],[H]]-SFG_H53[[#This Row],[2B]]-SFG_H53[[#This Row],[3B]]-SFG_H53[[#This Row],[HR]])+(SFG_H53[[#This Row],[2B]]*2)+(SFG_H53[[#This Row],[3B]]*3)+(SFG_H53[[#This Row],[HR]]*4),0)</f>
        <v>22</v>
      </c>
      <c r="AT168" s="72">
        <f>SFG_H53[[#This Row],[OBP]]+SFG_H53[[#This Row],[SLG]]</f>
        <v>0.62316176470588236</v>
      </c>
      <c r="AU168" s="74">
        <v>0</v>
      </c>
      <c r="AV168" s="615">
        <v>9</v>
      </c>
      <c r="AY168" s="651" t="s">
        <v>1139</v>
      </c>
      <c r="AZ168" s="71" t="s">
        <v>168</v>
      </c>
      <c r="BA168" s="71" t="s">
        <v>1145</v>
      </c>
      <c r="BB168" s="72">
        <f>IFERROR(SFG_H74[[#This Row],[H]]/SFG_H74[[#This Row],[AB]],0)</f>
        <v>0.25</v>
      </c>
      <c r="BC168" s="72">
        <f>IFERROR((SFG_H74[[#This Row],[BB]]+SFG_H74[[#This Row],[H]])/(SFG_H74[[#This Row],[BB]]+SFG_H74[[#This Row],[AB]]),0)</f>
        <v>0.2978723404255319</v>
      </c>
      <c r="BD168" s="73">
        <f>IFERROR(((SFG_H74[[#This Row],[H]]-SFG_H74[[#This Row],[2B]]-SFG_H74[[#This Row],[3B]]-SFG_H74[[#This Row],[HR]])+(SFG_H74[[#This Row],[2B]]*2)+(SFG_H74[[#This Row],[3B]]*3)+(SFG_H74[[#This Row],[HR]]*4))/SFG_H74[[#This Row],[AB]],0)</f>
        <v>0.38636363636363635</v>
      </c>
      <c r="BE168" s="28">
        <v>10</v>
      </c>
      <c r="BF168" s="28">
        <v>44</v>
      </c>
      <c r="BG168" s="28">
        <v>5</v>
      </c>
      <c r="BH168" s="28">
        <v>11</v>
      </c>
      <c r="BI168" s="28">
        <v>3</v>
      </c>
      <c r="BJ168" s="28">
        <v>0</v>
      </c>
      <c r="BK168" s="28">
        <v>1</v>
      </c>
      <c r="BL168" s="28">
        <v>3</v>
      </c>
      <c r="BM168" s="28">
        <v>3</v>
      </c>
      <c r="BN168" s="74">
        <v>8</v>
      </c>
      <c r="BO168" s="28">
        <v>0</v>
      </c>
      <c r="BP168" s="28">
        <v>1</v>
      </c>
      <c r="BQ168" s="74">
        <v>3</v>
      </c>
      <c r="BR168" s="28">
        <f>(SFG_H74[[#This Row],[H]]-SFG_H74[[#This Row],[2B]]-SFG_H74[[#This Row],[3B]]-SFG_H74[[#This Row],[HR]])+(SFG_H74[[#This Row],[2B]]*2)+(SFG_H74[[#This Row],[3B]]*3)+(SFG_H74[[#This Row],[HR]]*4)</f>
        <v>17</v>
      </c>
      <c r="BS168" s="72">
        <f>IFERROR(SFG_H74[[#This Row],[OBP]]+SFG_H74[[#This Row],[SLG]],0)</f>
        <v>0.68423597678916825</v>
      </c>
      <c r="BT168" s="74">
        <v>1</v>
      </c>
      <c r="BU168" s="615">
        <v>9</v>
      </c>
    </row>
    <row r="169" spans="1:73">
      <c r="A169" s="720" t="s">
        <v>1171</v>
      </c>
      <c r="B169" s="71" t="s">
        <v>179</v>
      </c>
      <c r="C169" s="71" t="s">
        <v>1181</v>
      </c>
      <c r="D169" s="72">
        <f>IFERROR(LAD_H276[[#This Row],[H]]/LAD_H276[[#This Row],[AB]],0)</f>
        <v>0</v>
      </c>
      <c r="E169" s="72">
        <f>IFERROR((LAD_H276[[#This Row],[H]]+LAD_H276[[#This Row],[BB]])/(LAD_H276[[#This Row],[BB]]+LAD_H276[[#This Row],[AB]]),0)</f>
        <v>0</v>
      </c>
      <c r="F169" s="73">
        <f>IFERROR(((LAD_H276[[#This Row],[H]]-LAD_H276[[#This Row],[2B]]-LAD_H276[[#This Row],[3B]]-LAD_H276[[#This Row],[HR]])+(LAD_H276[[#This Row],[2B]]*2)+(LAD_H276[[#This Row],[3B]]*3)+(LAD_H276[[#This Row],[HR]]*4))/LAD_H276[[#This Row],[AB]],0)</f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74">
        <v>0</v>
      </c>
      <c r="Q169" s="28">
        <v>0</v>
      </c>
      <c r="R169" s="28">
        <v>0</v>
      </c>
      <c r="S169" s="74">
        <v>0</v>
      </c>
      <c r="T169" s="28">
        <f>IFERROR((LAD_H276[[#This Row],[H]]-LAD_H276[[#This Row],[2B]]-LAD_H276[[#This Row],[3B]]-LAD_H276[[#This Row],[HR]])+(LAD_H276[[#This Row],[2B]]*2)+(LAD_H276[[#This Row],[3B]]*3)+(LAD_H276[[#This Row],[HR]]*4),0)</f>
        <v>0</v>
      </c>
      <c r="U169" s="72">
        <f>LAD_H276[[#This Row],[OBP]]+LAD_H276[[#This Row],[SLG]]</f>
        <v>0</v>
      </c>
      <c r="V169" s="74">
        <v>0</v>
      </c>
      <c r="W169" s="615">
        <v>10</v>
      </c>
      <c r="Z169" s="609" t="s">
        <v>1139</v>
      </c>
      <c r="AA169" s="71" t="s">
        <v>179</v>
      </c>
      <c r="AB169" s="71" t="s">
        <v>1152</v>
      </c>
      <c r="AC169" s="72">
        <f>IFERROR(SFG_H53[[#This Row],[H]]/SFG_H53[[#This Row],[AB]],0)</f>
        <v>0</v>
      </c>
      <c r="AD169" s="72">
        <f>IFERROR((SFG_H53[[#This Row],[H]]+SFG_H53[[#This Row],[BB]])/(SFG_H53[[#This Row],[BB]]+SFG_H53[[#This Row],[AB]]),0)</f>
        <v>0</v>
      </c>
      <c r="AE169" s="73">
        <f>IFERROR(((SFG_H53[[#This Row],[H]]-SFG_H53[[#This Row],[2B]]-SFG_H53[[#This Row],[3B]]-SFG_H53[[#This Row],[HR]])+(SFG_H53[[#This Row],[2B]]*2)+(SFG_H53[[#This Row],[3B]]*3)+(SFG_H53[[#This Row],[HR]]*4))/SFG_H53[[#This Row],[AB]],0)</f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0</v>
      </c>
      <c r="AP169" s="28">
        <v>0</v>
      </c>
      <c r="AQ169" s="28">
        <v>0</v>
      </c>
      <c r="AR169" s="74">
        <v>0</v>
      </c>
      <c r="AS169" s="28">
        <f>IFERROR((SFG_H53[[#This Row],[H]]-SFG_H53[[#This Row],[2B]]-SFG_H53[[#This Row],[3B]]-SFG_H53[[#This Row],[HR]])+(SFG_H53[[#This Row],[2B]]*2)+(SFG_H53[[#This Row],[3B]]*3)+(SFG_H53[[#This Row],[HR]]*4),0)</f>
        <v>0</v>
      </c>
      <c r="AT169" s="72">
        <f>SFG_H53[[#This Row],[OBP]]+SFG_H53[[#This Row],[SLG]]</f>
        <v>0</v>
      </c>
      <c r="AU169" s="74">
        <v>0</v>
      </c>
      <c r="AV169" s="615">
        <v>10</v>
      </c>
      <c r="AY169" s="651" t="s">
        <v>1139</v>
      </c>
      <c r="AZ169" s="71" t="s">
        <v>179</v>
      </c>
      <c r="BA169" s="71" t="s">
        <v>1152</v>
      </c>
      <c r="BB169" s="72">
        <f>IFERROR(SFG_H74[[#This Row],[H]]/SFG_H74[[#This Row],[AB]],0)</f>
        <v>0</v>
      </c>
      <c r="BC169" s="72">
        <f>IFERROR((SFG_H74[[#This Row],[BB]]+SFG_H74[[#This Row],[H]])/(SFG_H74[[#This Row],[BB]]+SFG_H74[[#This Row],[AB]]),0)</f>
        <v>0</v>
      </c>
      <c r="BD169" s="73">
        <f>IFERROR(((SFG_H74[[#This Row],[H]]-SFG_H74[[#This Row],[2B]]-SFG_H74[[#This Row],[3B]]-SFG_H74[[#This Row],[HR]])+(SFG_H74[[#This Row],[2B]]*2)+(SFG_H74[[#This Row],[3B]]*3)+(SFG_H74[[#This Row],[HR]]*4))/SFG_H74[[#This Row],[AB]],0)</f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28">
        <v>0</v>
      </c>
      <c r="BP169" s="28">
        <v>0</v>
      </c>
      <c r="BQ169" s="74">
        <v>0</v>
      </c>
      <c r="BR169" s="28">
        <f>(SFG_H74[[#This Row],[H]]-SFG_H74[[#This Row],[2B]]-SFG_H74[[#This Row],[3B]]-SFG_H74[[#This Row],[HR]])+(SFG_H74[[#This Row],[2B]]*2)+(SFG_H74[[#This Row],[3B]]*3)+(SFG_H74[[#This Row],[HR]]*4)</f>
        <v>0</v>
      </c>
      <c r="BS169" s="72">
        <f>IFERROR(SFG_H74[[#This Row],[OBP]]+SFG_H74[[#This Row],[SLG]],0)</f>
        <v>0</v>
      </c>
      <c r="BT169" s="74">
        <v>0</v>
      </c>
      <c r="BU169" s="615">
        <v>10</v>
      </c>
    </row>
    <row r="170" spans="1:73">
      <c r="A170" s="720" t="s">
        <v>1171</v>
      </c>
      <c r="B170" s="71" t="s">
        <v>187</v>
      </c>
      <c r="C170" s="71" t="s">
        <v>1176</v>
      </c>
      <c r="D170" s="72">
        <f>IFERROR(LAD_H276[[#This Row],[H]]/LAD_H276[[#This Row],[AB]],0)</f>
        <v>0</v>
      </c>
      <c r="E170" s="72">
        <f>IFERROR((LAD_H276[[#This Row],[H]]+LAD_H276[[#This Row],[BB]])/(LAD_H276[[#This Row],[BB]]+LAD_H276[[#This Row],[AB]]),0)</f>
        <v>0</v>
      </c>
      <c r="F170" s="73">
        <f>IFERROR(((LAD_H276[[#This Row],[H]]-LAD_H276[[#This Row],[2B]]-LAD_H276[[#This Row],[3B]]-LAD_H276[[#This Row],[HR]])+(LAD_H276[[#This Row],[2B]]*2)+(LAD_H276[[#This Row],[3B]]*3)+(LAD_H276[[#This Row],[HR]]*4))/LAD_H276[[#This Row],[AB]],0)</f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74">
        <v>0</v>
      </c>
      <c r="Q170" s="28">
        <v>0</v>
      </c>
      <c r="R170" s="28">
        <v>0</v>
      </c>
      <c r="S170" s="74">
        <v>0</v>
      </c>
      <c r="T170" s="28">
        <f>IFERROR((LAD_H276[[#This Row],[H]]-LAD_H276[[#This Row],[2B]]-LAD_H276[[#This Row],[3B]]-LAD_H276[[#This Row],[HR]])+(LAD_H276[[#This Row],[2B]]*2)+(LAD_H276[[#This Row],[3B]]*3)+(LAD_H276[[#This Row],[HR]]*4),0)</f>
        <v>0</v>
      </c>
      <c r="U170" s="72">
        <f>LAD_H276[[#This Row],[OBP]]+LAD_H276[[#This Row],[SLG]]</f>
        <v>0</v>
      </c>
      <c r="V170" s="74">
        <v>0</v>
      </c>
      <c r="W170" s="615">
        <v>11</v>
      </c>
      <c r="Z170" s="609" t="s">
        <v>1139</v>
      </c>
      <c r="AA170" s="71" t="s">
        <v>187</v>
      </c>
      <c r="AB170" s="71" t="s">
        <v>1148</v>
      </c>
      <c r="AC170" s="72">
        <f>IFERROR(SFG_H53[[#This Row],[H]]/SFG_H53[[#This Row],[AB]],0)</f>
        <v>1</v>
      </c>
      <c r="AD170" s="72">
        <f>IFERROR((SFG_H53[[#This Row],[H]]+SFG_H53[[#This Row],[BB]])/(SFG_H53[[#This Row],[BB]]+SFG_H53[[#This Row],[AB]]),0)</f>
        <v>1</v>
      </c>
      <c r="AE170" s="73">
        <f>IFERROR(((SFG_H53[[#This Row],[H]]-SFG_H53[[#This Row],[2B]]-SFG_H53[[#This Row],[3B]]-SFG_H53[[#This Row],[HR]])+(SFG_H53[[#This Row],[2B]]*2)+(SFG_H53[[#This Row],[3B]]*3)+(SFG_H53[[#This Row],[HR]]*4))/SFG_H53[[#This Row],[AB]],0)</f>
        <v>4</v>
      </c>
      <c r="AF170" s="28">
        <v>1</v>
      </c>
      <c r="AG170" s="28">
        <v>1</v>
      </c>
      <c r="AH170" s="28">
        <v>1</v>
      </c>
      <c r="AI170" s="28">
        <v>1</v>
      </c>
      <c r="AJ170" s="28">
        <v>0</v>
      </c>
      <c r="AK170" s="28">
        <v>0</v>
      </c>
      <c r="AL170" s="28">
        <v>1</v>
      </c>
      <c r="AM170" s="28">
        <v>4</v>
      </c>
      <c r="AN170" s="28">
        <v>0</v>
      </c>
      <c r="AO170" s="74">
        <v>0</v>
      </c>
      <c r="AP170" s="28">
        <v>0</v>
      </c>
      <c r="AQ170" s="28">
        <v>0</v>
      </c>
      <c r="AR170" s="74">
        <v>0</v>
      </c>
      <c r="AS170" s="28">
        <f>IFERROR((SFG_H53[[#This Row],[H]]-SFG_H53[[#This Row],[2B]]-SFG_H53[[#This Row],[3B]]-SFG_H53[[#This Row],[HR]])+(SFG_H53[[#This Row],[2B]]*2)+(SFG_H53[[#This Row],[3B]]*3)+(SFG_H53[[#This Row],[HR]]*4),0)</f>
        <v>4</v>
      </c>
      <c r="AT170" s="72">
        <f>SFG_H53[[#This Row],[OBP]]+SFG_H53[[#This Row],[SLG]]</f>
        <v>5</v>
      </c>
      <c r="AU170" s="74">
        <v>1</v>
      </c>
      <c r="AV170" s="615">
        <v>11</v>
      </c>
      <c r="AY170" s="651" t="s">
        <v>1139</v>
      </c>
      <c r="AZ170" s="71" t="s">
        <v>187</v>
      </c>
      <c r="BA170" s="71" t="s">
        <v>1148</v>
      </c>
      <c r="BB170" s="72">
        <f>IFERROR(SFG_H74[[#This Row],[H]]/SFG_H74[[#This Row],[AB]],0)</f>
        <v>0</v>
      </c>
      <c r="BC170" s="72">
        <f>IFERROR((SFG_H74[[#This Row],[BB]]+SFG_H74[[#This Row],[H]])/(SFG_H74[[#This Row],[BB]]+SFG_H74[[#This Row],[AB]]),0)</f>
        <v>0</v>
      </c>
      <c r="BD170" s="73">
        <f>IFERROR(((SFG_H74[[#This Row],[H]]-SFG_H74[[#This Row],[2B]]-SFG_H74[[#This Row],[3B]]-SFG_H74[[#This Row],[HR]])+(SFG_H74[[#This Row],[2B]]*2)+(SFG_H74[[#This Row],[3B]]*3)+(SFG_H74[[#This Row],[HR]]*4))/SFG_H74[[#This Row],[AB]],0)</f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74">
        <v>0</v>
      </c>
      <c r="BO170" s="28">
        <v>0</v>
      </c>
      <c r="BP170" s="28">
        <v>0</v>
      </c>
      <c r="BQ170" s="74">
        <v>0</v>
      </c>
      <c r="BR170" s="28">
        <f>(SFG_H74[[#This Row],[H]]-SFG_H74[[#This Row],[2B]]-SFG_H74[[#This Row],[3B]]-SFG_H74[[#This Row],[HR]])+(SFG_H74[[#This Row],[2B]]*2)+(SFG_H74[[#This Row],[3B]]*3)+(SFG_H74[[#This Row],[HR]]*4)</f>
        <v>0</v>
      </c>
      <c r="BS170" s="72">
        <f>IFERROR(SFG_H74[[#This Row],[OBP]]+SFG_H74[[#This Row],[SLG]],0)</f>
        <v>0</v>
      </c>
      <c r="BT170" s="74">
        <v>0</v>
      </c>
      <c r="BU170" s="615">
        <v>11</v>
      </c>
    </row>
    <row r="171" spans="1:73">
      <c r="A171" s="720" t="s">
        <v>1171</v>
      </c>
      <c r="B171" s="71" t="s">
        <v>187</v>
      </c>
      <c r="C171" s="71" t="s">
        <v>930</v>
      </c>
      <c r="D171" s="72">
        <f>IFERROR(LAD_H276[[#This Row],[H]]/LAD_H276[[#This Row],[AB]],0)</f>
        <v>0</v>
      </c>
      <c r="E171" s="72">
        <f>IFERROR((LAD_H276[[#This Row],[H]]+LAD_H276[[#This Row],[BB]])/(LAD_H276[[#This Row],[BB]]+LAD_H276[[#This Row],[AB]]),0)</f>
        <v>0</v>
      </c>
      <c r="F171" s="73">
        <f>IFERROR(((LAD_H276[[#This Row],[H]]-LAD_H276[[#This Row],[2B]]-LAD_H276[[#This Row],[3B]]-LAD_H276[[#This Row],[HR]])+(LAD_H276[[#This Row],[2B]]*2)+(LAD_H276[[#This Row],[3B]]*3)+(LAD_H276[[#This Row],[HR]]*4))/LAD_H276[[#This Row],[AB]],0)</f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74">
        <v>0</v>
      </c>
      <c r="Q171" s="28">
        <v>0</v>
      </c>
      <c r="R171" s="28">
        <v>0</v>
      </c>
      <c r="S171" s="74">
        <v>0</v>
      </c>
      <c r="T171" s="28">
        <f>IFERROR((LAD_H276[[#This Row],[H]]-LAD_H276[[#This Row],[2B]]-LAD_H276[[#This Row],[3B]]-LAD_H276[[#This Row],[HR]])+(LAD_H276[[#This Row],[2B]]*2)+(LAD_H276[[#This Row],[3B]]*3)+(LAD_H276[[#This Row],[HR]]*4),0)</f>
        <v>0</v>
      </c>
      <c r="U171" s="72">
        <f>LAD_H276[[#This Row],[OBP]]+LAD_H276[[#This Row],[SLG]]</f>
        <v>0</v>
      </c>
      <c r="V171" s="74">
        <v>0</v>
      </c>
      <c r="W171" s="615">
        <v>12</v>
      </c>
      <c r="Z171" s="609" t="s">
        <v>1139</v>
      </c>
      <c r="AA171" s="71" t="s">
        <v>187</v>
      </c>
      <c r="AB171" s="71" t="s">
        <v>1153</v>
      </c>
      <c r="AC171" s="72">
        <f>IFERROR(SFG_H53[[#This Row],[H]]/SFG_H53[[#This Row],[AB]],0)</f>
        <v>0.2857142857142857</v>
      </c>
      <c r="AD171" s="72">
        <f>IFERROR((SFG_H53[[#This Row],[H]]+SFG_H53[[#This Row],[BB]])/(SFG_H53[[#This Row],[BB]]+SFG_H53[[#This Row],[AB]]),0)</f>
        <v>0.2857142857142857</v>
      </c>
      <c r="AE171" s="73">
        <f>IFERROR(((SFG_H53[[#This Row],[H]]-SFG_H53[[#This Row],[2B]]-SFG_H53[[#This Row],[3B]]-SFG_H53[[#This Row],[HR]])+(SFG_H53[[#This Row],[2B]]*2)+(SFG_H53[[#This Row],[3B]]*3)+(SFG_H53[[#This Row],[HR]]*4))/SFG_H53[[#This Row],[AB]],0)</f>
        <v>0.2857142857142857</v>
      </c>
      <c r="AF171" s="28">
        <v>3</v>
      </c>
      <c r="AG171" s="28">
        <v>7</v>
      </c>
      <c r="AH171" s="28">
        <v>0</v>
      </c>
      <c r="AI171" s="28">
        <v>2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74">
        <v>2</v>
      </c>
      <c r="AP171" s="28">
        <v>0</v>
      </c>
      <c r="AQ171" s="28">
        <v>1</v>
      </c>
      <c r="AR171" s="74">
        <v>1</v>
      </c>
      <c r="AS171" s="28">
        <f>IFERROR((SFG_H53[[#This Row],[H]]-SFG_H53[[#This Row],[2B]]-SFG_H53[[#This Row],[3B]]-SFG_H53[[#This Row],[HR]])+(SFG_H53[[#This Row],[2B]]*2)+(SFG_H53[[#This Row],[3B]]*3)+(SFG_H53[[#This Row],[HR]]*4),0)</f>
        <v>2</v>
      </c>
      <c r="AT171" s="72">
        <f>SFG_H53[[#This Row],[OBP]]+SFG_H53[[#This Row],[SLG]]</f>
        <v>0.5714285714285714</v>
      </c>
      <c r="AU171" s="74">
        <v>0</v>
      </c>
      <c r="AV171" s="615">
        <v>12</v>
      </c>
      <c r="AY171" s="651" t="s">
        <v>1139</v>
      </c>
      <c r="AZ171" s="71" t="s">
        <v>187</v>
      </c>
      <c r="BA171" s="71" t="s">
        <v>1153</v>
      </c>
      <c r="BB171" s="72">
        <f>IFERROR(SFG_H74[[#This Row],[H]]/SFG_H74[[#This Row],[AB]],0)</f>
        <v>0</v>
      </c>
      <c r="BC171" s="72">
        <f>IFERROR((SFG_H74[[#This Row],[BB]]+SFG_H74[[#This Row],[H]])/(SFG_H74[[#This Row],[BB]]+SFG_H74[[#This Row],[AB]]),0)</f>
        <v>8.3333333333333329E-2</v>
      </c>
      <c r="BD171" s="73">
        <f>IFERROR(((SFG_H74[[#This Row],[H]]-SFG_H74[[#This Row],[2B]]-SFG_H74[[#This Row],[3B]]-SFG_H74[[#This Row],[HR]])+(SFG_H74[[#This Row],[2B]]*2)+(SFG_H74[[#This Row],[3B]]*3)+(SFG_H74[[#This Row],[HR]]*4))/SFG_H74[[#This Row],[AB]],0)</f>
        <v>0</v>
      </c>
      <c r="BE171" s="28">
        <v>3</v>
      </c>
      <c r="BF171" s="28">
        <v>11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1</v>
      </c>
      <c r="BN171" s="74">
        <v>3</v>
      </c>
      <c r="BO171" s="28">
        <v>0</v>
      </c>
      <c r="BP171" s="28">
        <v>0</v>
      </c>
      <c r="BQ171" s="74">
        <v>0</v>
      </c>
      <c r="BR171" s="28">
        <f>(SFG_H74[[#This Row],[H]]-SFG_H74[[#This Row],[2B]]-SFG_H74[[#This Row],[3B]]-SFG_H74[[#This Row],[HR]])+(SFG_H74[[#This Row],[2B]]*2)+(SFG_H74[[#This Row],[3B]]*3)+(SFG_H74[[#This Row],[HR]]*4)</f>
        <v>0</v>
      </c>
      <c r="BS171" s="72">
        <f>IFERROR(SFG_H74[[#This Row],[OBP]]+SFG_H74[[#This Row],[SLG]],0)</f>
        <v>8.3333333333333329E-2</v>
      </c>
      <c r="BT171" s="74">
        <v>0</v>
      </c>
      <c r="BU171" s="615">
        <v>12</v>
      </c>
    </row>
    <row r="172" spans="1:73">
      <c r="A172" s="720" t="s">
        <v>1171</v>
      </c>
      <c r="B172" s="71" t="s">
        <v>184</v>
      </c>
      <c r="C172" s="71" t="s">
        <v>1180</v>
      </c>
      <c r="D172" s="72">
        <f>IFERROR(LAD_H276[[#This Row],[H]]/LAD_H276[[#This Row],[AB]],0)</f>
        <v>0</v>
      </c>
      <c r="E172" s="72">
        <f>IFERROR((LAD_H276[[#This Row],[H]]+LAD_H276[[#This Row],[BB]])/(LAD_H276[[#This Row],[BB]]+LAD_H276[[#This Row],[AB]]),0)</f>
        <v>0</v>
      </c>
      <c r="F172" s="73">
        <f>IFERROR(((LAD_H276[[#This Row],[H]]-LAD_H276[[#This Row],[2B]]-LAD_H276[[#This Row],[3B]]-LAD_H276[[#This Row],[HR]])+(LAD_H276[[#This Row],[2B]]*2)+(LAD_H276[[#This Row],[3B]]*3)+(LAD_H276[[#This Row],[HR]]*4))/LAD_H276[[#This Row],[AB]],0)</f>
        <v>0</v>
      </c>
      <c r="G172" s="28">
        <v>0</v>
      </c>
      <c r="H172" s="90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74">
        <v>0</v>
      </c>
      <c r="Q172" s="28">
        <v>0</v>
      </c>
      <c r="R172" s="28">
        <v>0</v>
      </c>
      <c r="S172" s="74">
        <v>0</v>
      </c>
      <c r="T172" s="28">
        <f>IFERROR((LAD_H276[[#This Row],[H]]-LAD_H276[[#This Row],[2B]]-LAD_H276[[#This Row],[3B]]-LAD_H276[[#This Row],[HR]])+(LAD_H276[[#This Row],[2B]]*2)+(LAD_H276[[#This Row],[3B]]*3)+(LAD_H276[[#This Row],[HR]]*4),0)</f>
        <v>0</v>
      </c>
      <c r="U172" s="72">
        <f>LAD_H276[[#This Row],[OBP]]+LAD_H276[[#This Row],[SLG]]</f>
        <v>0</v>
      </c>
      <c r="V172" s="74">
        <v>0</v>
      </c>
      <c r="W172" s="615">
        <v>13</v>
      </c>
      <c r="Z172" s="609" t="s">
        <v>1139</v>
      </c>
      <c r="AA172" s="71" t="s">
        <v>192</v>
      </c>
      <c r="AB172" s="71" t="s">
        <v>1151</v>
      </c>
      <c r="AC172" s="72">
        <f>IFERROR(SFG_H53[[#This Row],[H]]/SFG_H53[[#This Row],[AB]],0)</f>
        <v>0.1111111111111111</v>
      </c>
      <c r="AD172" s="72">
        <f>IFERROR((SFG_H53[[#This Row],[H]]+SFG_H53[[#This Row],[BB]])/(SFG_H53[[#This Row],[BB]]+SFG_H53[[#This Row],[AB]]),0)</f>
        <v>0.2</v>
      </c>
      <c r="AE172" s="73">
        <f>IFERROR(((SFG_H53[[#This Row],[H]]-SFG_H53[[#This Row],[2B]]-SFG_H53[[#This Row],[3B]]-SFG_H53[[#This Row],[HR]])+(SFG_H53[[#This Row],[2B]]*2)+(SFG_H53[[#This Row],[3B]]*3)+(SFG_H53[[#This Row],[HR]]*4))/SFG_H53[[#This Row],[AB]],0)</f>
        <v>0.1111111111111111</v>
      </c>
      <c r="AF172" s="28">
        <v>3</v>
      </c>
      <c r="AG172" s="28">
        <v>9</v>
      </c>
      <c r="AH172" s="28">
        <v>1</v>
      </c>
      <c r="AI172" s="28">
        <v>1</v>
      </c>
      <c r="AJ172" s="28">
        <v>0</v>
      </c>
      <c r="AK172" s="28">
        <v>0</v>
      </c>
      <c r="AL172" s="28">
        <v>0</v>
      </c>
      <c r="AM172" s="28">
        <v>0</v>
      </c>
      <c r="AN172" s="28">
        <v>1</v>
      </c>
      <c r="AO172" s="74">
        <v>1</v>
      </c>
      <c r="AP172" s="28">
        <v>0</v>
      </c>
      <c r="AQ172" s="28">
        <v>0</v>
      </c>
      <c r="AR172" s="74">
        <v>1</v>
      </c>
      <c r="AS172" s="28">
        <f>IFERROR((SFG_H53[[#This Row],[H]]-SFG_H53[[#This Row],[2B]]-SFG_H53[[#This Row],[3B]]-SFG_H53[[#This Row],[HR]])+(SFG_H53[[#This Row],[2B]]*2)+(SFG_H53[[#This Row],[3B]]*3)+(SFG_H53[[#This Row],[HR]]*4),0)</f>
        <v>1</v>
      </c>
      <c r="AT172" s="72">
        <f>SFG_H53[[#This Row],[OBP]]+SFG_H53[[#This Row],[SLG]]</f>
        <v>0.31111111111111112</v>
      </c>
      <c r="AU172" s="74">
        <v>0</v>
      </c>
      <c r="AV172" s="615">
        <v>13</v>
      </c>
      <c r="AY172" s="651" t="s">
        <v>1139</v>
      </c>
      <c r="AZ172" s="71" t="s">
        <v>186</v>
      </c>
      <c r="BA172" s="71" t="s">
        <v>1154</v>
      </c>
      <c r="BB172" s="72">
        <f>IFERROR(SFG_H74[[#This Row],[H]]/SFG_H74[[#This Row],[AB]],0)</f>
        <v>0.44444444444444442</v>
      </c>
      <c r="BC172" s="72">
        <f>IFERROR((SFG_H74[[#This Row],[BB]]+SFG_H74[[#This Row],[H]])/(SFG_H74[[#This Row],[BB]]+SFG_H74[[#This Row],[AB]]),0)</f>
        <v>0.5</v>
      </c>
      <c r="BD172" s="73">
        <f>IFERROR(((SFG_H74[[#This Row],[H]]-SFG_H74[[#This Row],[2B]]-SFG_H74[[#This Row],[3B]]-SFG_H74[[#This Row],[HR]])+(SFG_H74[[#This Row],[2B]]*2)+(SFG_H74[[#This Row],[3B]]*3)+(SFG_H74[[#This Row],[HR]]*4))/SFG_H74[[#This Row],[AB]],0)</f>
        <v>0.88888888888888884</v>
      </c>
      <c r="BE172" s="28">
        <v>3</v>
      </c>
      <c r="BF172" s="28">
        <v>9</v>
      </c>
      <c r="BG172" s="28">
        <v>1</v>
      </c>
      <c r="BH172" s="28">
        <v>4</v>
      </c>
      <c r="BI172" s="28">
        <v>1</v>
      </c>
      <c r="BJ172" s="28">
        <v>0</v>
      </c>
      <c r="BK172" s="28">
        <v>1</v>
      </c>
      <c r="BL172" s="28">
        <v>2</v>
      </c>
      <c r="BM172" s="28">
        <v>1</v>
      </c>
      <c r="BN172" s="74">
        <v>3</v>
      </c>
      <c r="BO172" s="28">
        <v>0</v>
      </c>
      <c r="BP172" s="28">
        <v>0</v>
      </c>
      <c r="BQ172" s="74">
        <v>2</v>
      </c>
      <c r="BR172" s="28">
        <f>(SFG_H74[[#This Row],[H]]-SFG_H74[[#This Row],[2B]]-SFG_H74[[#This Row],[3B]]-SFG_H74[[#This Row],[HR]])+(SFG_H74[[#This Row],[2B]]*2)+(SFG_H74[[#This Row],[3B]]*3)+(SFG_H74[[#This Row],[HR]]*4)</f>
        <v>8</v>
      </c>
      <c r="BS172" s="72">
        <f>IFERROR(SFG_H74[[#This Row],[OBP]]+SFG_H74[[#This Row],[SLG]],0)</f>
        <v>1.3888888888888888</v>
      </c>
      <c r="BT172" s="74">
        <v>0</v>
      </c>
      <c r="BU172" s="615">
        <v>13</v>
      </c>
    </row>
    <row r="173" spans="1:73" ht="17" thickBot="1">
      <c r="A173" s="720" t="s">
        <v>1171</v>
      </c>
      <c r="B173" s="71" t="s">
        <v>184</v>
      </c>
      <c r="C173" s="71" t="s">
        <v>1182</v>
      </c>
      <c r="D173" s="72">
        <f>IFERROR(LAD_H276[[#This Row],[H]]/LAD_H276[[#This Row],[AB]],0)</f>
        <v>0</v>
      </c>
      <c r="E173" s="72">
        <f>IFERROR((LAD_H276[[#This Row],[H]]+LAD_H276[[#This Row],[BB]])/(LAD_H276[[#This Row],[BB]]+LAD_H276[[#This Row],[AB]]),0)</f>
        <v>0</v>
      </c>
      <c r="F173" s="73">
        <f>IFERROR(((LAD_H276[[#This Row],[H]]-LAD_H276[[#This Row],[2B]]-LAD_H276[[#This Row],[3B]]-LAD_H276[[#This Row],[HR]])+(LAD_H276[[#This Row],[2B]]*2)+(LAD_H276[[#This Row],[3B]]*3)+(LAD_H276[[#This Row],[HR]]*4))/LAD_H276[[#This Row],[AB]],0)</f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74">
        <v>0</v>
      </c>
      <c r="Q173" s="28">
        <v>0</v>
      </c>
      <c r="R173" s="28">
        <v>0</v>
      </c>
      <c r="S173" s="74">
        <v>0</v>
      </c>
      <c r="T173" s="28">
        <f>IFERROR((LAD_H276[[#This Row],[H]]-LAD_H276[[#This Row],[2B]]-LAD_H276[[#This Row],[3B]]-LAD_H276[[#This Row],[HR]])+(LAD_H276[[#This Row],[2B]]*2)+(LAD_H276[[#This Row],[3B]]*3)+(LAD_H276[[#This Row],[HR]]*4),0)</f>
        <v>0</v>
      </c>
      <c r="U173" s="72">
        <f>LAD_H276[[#This Row],[OBP]]+LAD_H276[[#This Row],[SLG]]</f>
        <v>0</v>
      </c>
      <c r="V173" s="74">
        <v>0</v>
      </c>
      <c r="W173" s="615">
        <v>14</v>
      </c>
      <c r="Z173" s="609" t="s">
        <v>1139</v>
      </c>
      <c r="AA173" s="71" t="s">
        <v>186</v>
      </c>
      <c r="AB173" s="71" t="s">
        <v>1155</v>
      </c>
      <c r="AC173" s="72">
        <f>IFERROR(SFG_H53[[#This Row],[H]]/SFG_H53[[#This Row],[AB]],0)</f>
        <v>0</v>
      </c>
      <c r="AD173" s="72">
        <f>IFERROR((SFG_H53[[#This Row],[H]]+SFG_H53[[#This Row],[BB]])/(SFG_H53[[#This Row],[BB]]+SFG_H53[[#This Row],[AB]]),0)</f>
        <v>0</v>
      </c>
      <c r="AE173" s="73">
        <f>IFERROR(((SFG_H53[[#This Row],[H]]-SFG_H53[[#This Row],[2B]]-SFG_H53[[#This Row],[3B]]-SFG_H53[[#This Row],[HR]])+(SFG_H53[[#This Row],[2B]]*2)+(SFG_H53[[#This Row],[3B]]*3)+(SFG_H53[[#This Row],[HR]]*4))/SFG_H53[[#This Row],[AB]],0)</f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74">
        <v>0</v>
      </c>
      <c r="AP173" s="28">
        <v>0</v>
      </c>
      <c r="AQ173" s="28">
        <v>0</v>
      </c>
      <c r="AR173" s="74">
        <v>0</v>
      </c>
      <c r="AS173" s="28">
        <f>IFERROR((SFG_H53[[#This Row],[H]]-SFG_H53[[#This Row],[2B]]-SFG_H53[[#This Row],[3B]]-SFG_H53[[#This Row],[HR]])+(SFG_H53[[#This Row],[2B]]*2)+(SFG_H53[[#This Row],[3B]]*3)+(SFG_H53[[#This Row],[HR]]*4),0)</f>
        <v>0</v>
      </c>
      <c r="AT173" s="72">
        <f>SFG_H53[[#This Row],[OBP]]+SFG_H53[[#This Row],[SLG]]</f>
        <v>0</v>
      </c>
      <c r="AU173" s="74">
        <v>0</v>
      </c>
      <c r="AV173" s="615">
        <v>14</v>
      </c>
      <c r="AY173" s="651" t="s">
        <v>1139</v>
      </c>
      <c r="AZ173" s="71" t="s">
        <v>186</v>
      </c>
      <c r="BA173" s="71" t="s">
        <v>1155</v>
      </c>
      <c r="BB173" s="72">
        <f>IFERROR(SFG_H74[[#This Row],[H]]/SFG_H74[[#This Row],[AB]],0)</f>
        <v>0.16666666666666666</v>
      </c>
      <c r="BC173" s="72">
        <f>IFERROR((SFG_H74[[#This Row],[BB]]+SFG_H74[[#This Row],[H]])/(SFG_H74[[#This Row],[BB]]+SFG_H74[[#This Row],[AB]]),0)</f>
        <v>0.16666666666666666</v>
      </c>
      <c r="BD173" s="73">
        <f>IFERROR(((SFG_H74[[#This Row],[H]]-SFG_H74[[#This Row],[2B]]-SFG_H74[[#This Row],[3B]]-SFG_H74[[#This Row],[HR]])+(SFG_H74[[#This Row],[2B]]*2)+(SFG_H74[[#This Row],[3B]]*3)+(SFG_H74[[#This Row],[HR]]*4))/SFG_H74[[#This Row],[AB]],0)</f>
        <v>0.16666666666666666</v>
      </c>
      <c r="BE173" s="28">
        <v>5</v>
      </c>
      <c r="BF173" s="28">
        <v>12</v>
      </c>
      <c r="BG173" s="28">
        <v>2</v>
      </c>
      <c r="BH173" s="28">
        <v>2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74">
        <v>4</v>
      </c>
      <c r="BO173" s="28">
        <v>1</v>
      </c>
      <c r="BP173" s="28">
        <v>0</v>
      </c>
      <c r="BQ173" s="74">
        <v>1</v>
      </c>
      <c r="BR173" s="28">
        <f>(SFG_H74[[#This Row],[H]]-SFG_H74[[#This Row],[2B]]-SFG_H74[[#This Row],[3B]]-SFG_H74[[#This Row],[HR]])+(SFG_H74[[#This Row],[2B]]*2)+(SFG_H74[[#This Row],[3B]]*3)+(SFG_H74[[#This Row],[HR]]*4)</f>
        <v>2</v>
      </c>
      <c r="BS173" s="72">
        <f>IFERROR(SFG_H74[[#This Row],[OBP]]+SFG_H74[[#This Row],[SLG]],0)</f>
        <v>0.33333333333333331</v>
      </c>
      <c r="BT173" s="74">
        <v>0</v>
      </c>
      <c r="BU173" s="615">
        <v>14</v>
      </c>
    </row>
    <row r="174" spans="1:73" ht="17" thickBot="1">
      <c r="A174" s="858"/>
      <c r="B174" s="859"/>
      <c r="C174" s="693" t="s">
        <v>195</v>
      </c>
      <c r="D174" s="694">
        <f>J174/H174</f>
        <v>0.22147651006711411</v>
      </c>
      <c r="E174" s="694">
        <f>(J174+O174)/(O174+H174)</f>
        <v>0.29696969696969699</v>
      </c>
      <c r="F174" s="695">
        <f>((J174-K174-L174-M174)+(K174*2)+(L174*3)+(M174*4))/H174</f>
        <v>0.3523489932885906</v>
      </c>
      <c r="G174" s="696"/>
      <c r="H174" s="696">
        <f>SUBTOTAL(109,LAD_H276[AB])</f>
        <v>596</v>
      </c>
      <c r="I174" s="696">
        <f>SUBTOTAL(109,LAD_H276[R])</f>
        <v>66</v>
      </c>
      <c r="J174" s="696">
        <f>SUBTOTAL(109,LAD_H276[H])</f>
        <v>132</v>
      </c>
      <c r="K174" s="696">
        <f>SUBTOTAL(109,LAD_H276[2B])</f>
        <v>28</v>
      </c>
      <c r="L174" s="696">
        <f>SUBTOTAL(109,LAD_H276[3B])</f>
        <v>4</v>
      </c>
      <c r="M174" s="696">
        <f>SUBTOTAL(109,LAD_H276[HR])</f>
        <v>14</v>
      </c>
      <c r="N174" s="696">
        <f>SUBTOTAL(109,LAD_H276[RBI])</f>
        <v>64</v>
      </c>
      <c r="O174" s="696">
        <f>SUBTOTAL(109,LAD_H276[BB])</f>
        <v>64</v>
      </c>
      <c r="P174" s="697">
        <f>SUBTOTAL(109,LAD_H276[K])</f>
        <v>187</v>
      </c>
      <c r="Q174" s="696">
        <f>SUBTOTAL(109,LAD_H276[SB])</f>
        <v>15</v>
      </c>
      <c r="R174" s="696"/>
      <c r="S174" s="697"/>
      <c r="T174" s="696">
        <f>SUBTOTAL(109,LAD_H276[TB])</f>
        <v>210</v>
      </c>
      <c r="U174" s="694">
        <f>F174+E174</f>
        <v>0.64931869025828759</v>
      </c>
      <c r="V174" s="697">
        <f>SUBTOTAL(109,LAD_H276[*])</f>
        <v>11</v>
      </c>
      <c r="W174" s="698"/>
      <c r="Z174" s="809"/>
      <c r="AA174" s="810"/>
      <c r="AB174" s="654" t="s">
        <v>195</v>
      </c>
      <c r="AC174" s="656">
        <f>AI174/AG174</f>
        <v>0.23135755258126195</v>
      </c>
      <c r="AD174" s="656">
        <f>(AI174+AN174)/(AN174+AG174)</f>
        <v>0.30086956521739128</v>
      </c>
      <c r="AE174" s="657">
        <f>((AI174-AJ174-AK174-AL174)+(AJ174*2)+(AK174*3)+(AL174*4))/AG174</f>
        <v>0.36520076481835562</v>
      </c>
      <c r="AF174" s="658"/>
      <c r="AG174" s="658">
        <f>SUBTOTAL(109,SFG_H53[AB])</f>
        <v>523</v>
      </c>
      <c r="AH174" s="658">
        <f>SUBTOTAL(109,SFG_H53[R])</f>
        <v>54</v>
      </c>
      <c r="AI174" s="658">
        <f>SUBTOTAL(109,SFG_H53[H])</f>
        <v>121</v>
      </c>
      <c r="AJ174" s="658">
        <f>SUBTOTAL(109,SFG_H53[2B])</f>
        <v>19</v>
      </c>
      <c r="AK174" s="658">
        <f>SUBTOTAL(109,SFG_H53[3B])</f>
        <v>3</v>
      </c>
      <c r="AL174" s="658">
        <f>SUBTOTAL(109,SFG_H53[HR])</f>
        <v>15</v>
      </c>
      <c r="AM174" s="658">
        <f>SUBTOTAL(109,SFG_H53[RBI])</f>
        <v>53</v>
      </c>
      <c r="AN174" s="658">
        <f>SUBTOTAL(109,SFG_H53[BB])</f>
        <v>52</v>
      </c>
      <c r="AO174" s="660">
        <f>SUBTOTAL(109,SFG_H53[K])</f>
        <v>140</v>
      </c>
      <c r="AP174" s="658">
        <f>SUBTOTAL(109,SFG_H53[SB])</f>
        <v>0</v>
      </c>
      <c r="AQ174" s="658"/>
      <c r="AR174" s="660"/>
      <c r="AS174" s="658">
        <f>SUBTOTAL(109,SFG_H53[TB])</f>
        <v>191</v>
      </c>
      <c r="AT174" s="656">
        <f>AE174+AD174</f>
        <v>0.66607033003574689</v>
      </c>
      <c r="AU174" s="660">
        <f>SUBTOTAL(109,SFG_H53[*])</f>
        <v>8</v>
      </c>
      <c r="AV174" s="662"/>
      <c r="AY174" s="809"/>
      <c r="AZ174" s="810"/>
      <c r="BA174" s="654" t="s">
        <v>195</v>
      </c>
      <c r="BB174" s="656">
        <f>IFERROR(BH174/BF174,0)</f>
        <v>0.23323615160349853</v>
      </c>
      <c r="BC174" s="656">
        <f>IFERROR((BM174+BH174)/(BM174+BF174),0)</f>
        <v>0.3133159268929504</v>
      </c>
      <c r="BD174" s="657">
        <f>IFERROR(((BH174-BI174-BJ174-BK174)+(BI174*2)+(BJ174*3)+(BK174*4))/BF174,0)</f>
        <v>0.39358600583090381</v>
      </c>
      <c r="BE174" s="658"/>
      <c r="BF174" s="658">
        <f>SUBTOTAL(109,SFG_H74[AB])</f>
        <v>343</v>
      </c>
      <c r="BG174" s="658">
        <f>SUBTOTAL(109,SFG_H74[R])</f>
        <v>36</v>
      </c>
      <c r="BH174" s="658">
        <f>SUBTOTAL(109,SFG_H74[H])</f>
        <v>80</v>
      </c>
      <c r="BI174" s="658">
        <f>SUBTOTAL(109,SFG_H74[2B])</f>
        <v>15</v>
      </c>
      <c r="BJ174" s="658">
        <f>SUBTOTAL(109,SFG_H74[3B])</f>
        <v>2</v>
      </c>
      <c r="BK174" s="658">
        <f>SUBTOTAL(109,SFG_H74[HR])</f>
        <v>12</v>
      </c>
      <c r="BL174" s="658">
        <f>SUBTOTAL(109,SFG_H74[RBI])</f>
        <v>36</v>
      </c>
      <c r="BM174" s="658">
        <f>SUBTOTAL(109,SFG_H74[BB])</f>
        <v>40</v>
      </c>
      <c r="BN174" s="660">
        <f>SUBTOTAL(109,SFG_H74[K])</f>
        <v>87</v>
      </c>
      <c r="BO174" s="658">
        <f>SUBTOTAL(109,SFG_H74[SB])</f>
        <v>1</v>
      </c>
      <c r="BP174" s="658"/>
      <c r="BQ174" s="660"/>
      <c r="BR174" s="658">
        <f>SUBTOTAL(109,SFG_H74[TB])</f>
        <v>135</v>
      </c>
      <c r="BS174" s="656">
        <f>IFERROR(BC174+BD174,0)</f>
        <v>0.70690193272385415</v>
      </c>
      <c r="BT174" s="660">
        <f>SUBTOTAL(109,SFG_H74[*])</f>
        <v>5</v>
      </c>
      <c r="BU174" s="662"/>
    </row>
    <row r="175" spans="1:73" ht="17" thickBot="1">
      <c r="BC175" s="28"/>
      <c r="BD175" s="28"/>
      <c r="BE175" s="28"/>
    </row>
    <row r="176" spans="1:73" s="108" customFormat="1" ht="17" thickBot="1">
      <c r="A176" s="605" t="s">
        <v>143</v>
      </c>
      <c r="B176" s="606" t="s">
        <v>144</v>
      </c>
      <c r="C176" s="606" t="s">
        <v>145</v>
      </c>
      <c r="D176" s="606" t="s">
        <v>196</v>
      </c>
      <c r="E176" s="606" t="s">
        <v>197</v>
      </c>
      <c r="F176" s="606" t="s">
        <v>198</v>
      </c>
      <c r="G176" s="606" t="s">
        <v>149</v>
      </c>
      <c r="H176" s="606" t="s">
        <v>199</v>
      </c>
      <c r="I176" s="606" t="s">
        <v>152</v>
      </c>
      <c r="J176" s="606" t="s">
        <v>151</v>
      </c>
      <c r="K176" s="606" t="s">
        <v>157</v>
      </c>
      <c r="L176" s="606" t="s">
        <v>158</v>
      </c>
      <c r="M176" s="606" t="s">
        <v>200</v>
      </c>
      <c r="N176" s="606" t="s">
        <v>201</v>
      </c>
      <c r="O176" s="606" t="s">
        <v>202</v>
      </c>
      <c r="P176" s="606" t="s">
        <v>203</v>
      </c>
      <c r="Q176" s="606" t="s">
        <v>204</v>
      </c>
      <c r="R176" s="606" t="s">
        <v>205</v>
      </c>
      <c r="S176" s="607" t="s">
        <v>164</v>
      </c>
      <c r="Z176" s="605" t="s">
        <v>143</v>
      </c>
      <c r="AA176" s="606" t="s">
        <v>144</v>
      </c>
      <c r="AB176" s="606" t="s">
        <v>145</v>
      </c>
      <c r="AC176" s="606" t="s">
        <v>196</v>
      </c>
      <c r="AD176" s="606" t="s">
        <v>197</v>
      </c>
      <c r="AE176" s="606" t="s">
        <v>198</v>
      </c>
      <c r="AF176" s="606" t="s">
        <v>149</v>
      </c>
      <c r="AG176" s="606" t="s">
        <v>199</v>
      </c>
      <c r="AH176" s="606" t="s">
        <v>152</v>
      </c>
      <c r="AI176" s="606" t="s">
        <v>151</v>
      </c>
      <c r="AJ176" s="606" t="s">
        <v>157</v>
      </c>
      <c r="AK176" s="606" t="s">
        <v>158</v>
      </c>
      <c r="AL176" s="606" t="s">
        <v>200</v>
      </c>
      <c r="AM176" s="606" t="s">
        <v>201</v>
      </c>
      <c r="AN176" s="606" t="s">
        <v>202</v>
      </c>
      <c r="AO176" s="606" t="s">
        <v>203</v>
      </c>
      <c r="AP176" s="606" t="s">
        <v>204</v>
      </c>
      <c r="AQ176" s="606" t="s">
        <v>205</v>
      </c>
      <c r="AR176" s="607" t="s">
        <v>164</v>
      </c>
      <c r="AS176"/>
      <c r="AT176"/>
      <c r="AU176"/>
      <c r="AV176"/>
      <c r="AY176" s="605" t="s">
        <v>143</v>
      </c>
      <c r="AZ176" s="606" t="s">
        <v>144</v>
      </c>
      <c r="BA176" s="606" t="s">
        <v>145</v>
      </c>
      <c r="BB176" s="606" t="s">
        <v>196</v>
      </c>
      <c r="BC176" s="606" t="s">
        <v>197</v>
      </c>
      <c r="BD176" s="606" t="s">
        <v>198</v>
      </c>
      <c r="BE176" s="606" t="s">
        <v>149</v>
      </c>
      <c r="BF176" s="606" t="s">
        <v>199</v>
      </c>
      <c r="BG176" s="606" t="s">
        <v>152</v>
      </c>
      <c r="BH176" s="606" t="s">
        <v>151</v>
      </c>
      <c r="BI176" s="606" t="s">
        <v>157</v>
      </c>
      <c r="BJ176" s="606" t="s">
        <v>158</v>
      </c>
      <c r="BK176" s="606" t="s">
        <v>200</v>
      </c>
      <c r="BL176" s="606" t="s">
        <v>201</v>
      </c>
      <c r="BM176" s="606" t="s">
        <v>202</v>
      </c>
      <c r="BN176" s="606" t="s">
        <v>203</v>
      </c>
      <c r="BO176" s="606" t="s">
        <v>204</v>
      </c>
      <c r="BP176" s="606" t="s">
        <v>205</v>
      </c>
      <c r="BQ176" s="607" t="s">
        <v>164</v>
      </c>
    </row>
    <row r="177" spans="1:73">
      <c r="A177" s="719" t="s">
        <v>1171</v>
      </c>
      <c r="B177" s="604" t="s">
        <v>206</v>
      </c>
      <c r="C177" s="597" t="s">
        <v>1184</v>
      </c>
      <c r="D177" s="663">
        <f>IFERROR((LAD_P275[[#This Row],[R]]*9)/LAD_P275[[#This Row],[IP]],0)</f>
        <v>2.1</v>
      </c>
      <c r="E177" s="600">
        <v>2</v>
      </c>
      <c r="F177" s="604">
        <v>1</v>
      </c>
      <c r="G177" s="600">
        <v>6</v>
      </c>
      <c r="H177" s="630">
        <v>30</v>
      </c>
      <c r="I177" s="600">
        <v>36</v>
      </c>
      <c r="J177" s="600">
        <v>7</v>
      </c>
      <c r="K177" s="600">
        <v>9</v>
      </c>
      <c r="L177" s="600">
        <v>41</v>
      </c>
      <c r="M177" s="600">
        <v>0</v>
      </c>
      <c r="N177" s="631">
        <f>IFERROR((LAD_P275[[#This Row],[BB]]+LAD_P275[[#This Row],[H]])/LAD_P275[[#This Row],[IP]],0)</f>
        <v>1.5</v>
      </c>
      <c r="O177" s="600">
        <v>5</v>
      </c>
      <c r="P177" s="602">
        <v>4</v>
      </c>
      <c r="Q177" s="600">
        <v>0</v>
      </c>
      <c r="R177" s="604">
        <v>0</v>
      </c>
      <c r="S177" s="614">
        <v>1</v>
      </c>
      <c r="Z177" s="870" t="s">
        <v>1139</v>
      </c>
      <c r="AA177" s="825" t="s">
        <v>206</v>
      </c>
      <c r="AB177" s="752" t="s">
        <v>559</v>
      </c>
      <c r="AC177" s="663">
        <f>IFERROR((SFG_P54[[#This Row],[R]]*9)/SFG_P54[[#This Row],[IP]],0)</f>
        <v>4.0217044366421959</v>
      </c>
      <c r="AD177" s="600">
        <v>1</v>
      </c>
      <c r="AE177" s="632">
        <v>3</v>
      </c>
      <c r="AF177" s="600">
        <v>5</v>
      </c>
      <c r="AG177" s="630">
        <v>31.33</v>
      </c>
      <c r="AH177" s="600">
        <v>27</v>
      </c>
      <c r="AI177" s="600">
        <v>14</v>
      </c>
      <c r="AJ177" s="600">
        <v>12</v>
      </c>
      <c r="AK177" s="627">
        <v>40</v>
      </c>
      <c r="AL177" s="600">
        <v>0</v>
      </c>
      <c r="AM177" s="631">
        <f>IFERROR((SFG_P54[[#This Row],[BB]]+SFG_P54[[#This Row],[H]])/SFG_P54[[#This Row],[IP]],0)</f>
        <v>1.2448132780082988</v>
      </c>
      <c r="AN177" s="600">
        <v>3</v>
      </c>
      <c r="AO177" s="601">
        <v>2</v>
      </c>
      <c r="AP177" s="600">
        <v>0</v>
      </c>
      <c r="AQ177" s="604">
        <v>0</v>
      </c>
      <c r="AR177" s="614">
        <v>1</v>
      </c>
      <c r="AY177" s="827" t="s">
        <v>1139</v>
      </c>
      <c r="AZ177" s="825" t="s">
        <v>206</v>
      </c>
      <c r="BA177" s="826" t="s">
        <v>1158</v>
      </c>
      <c r="BB177" s="663">
        <f>IFERROR((SFG_P73[[#This Row],[R]]*9)/SFG_P73[[#This Row],[IP]],0)</f>
        <v>5.2689352360043911</v>
      </c>
      <c r="BC177" s="600">
        <v>1</v>
      </c>
      <c r="BD177" s="604">
        <v>2</v>
      </c>
      <c r="BE177" s="600">
        <v>4</v>
      </c>
      <c r="BF177" s="630">
        <v>27.33</v>
      </c>
      <c r="BG177" s="600">
        <v>27</v>
      </c>
      <c r="BH177" s="600">
        <v>16</v>
      </c>
      <c r="BI177" s="600">
        <v>8</v>
      </c>
      <c r="BJ177" s="600">
        <v>28</v>
      </c>
      <c r="BK177" s="600">
        <v>0</v>
      </c>
      <c r="BL177" s="631">
        <f>IFERROR((SFG_P73[[#This Row],[BB]]+SFG_P73[[#This Row],[H]])/SFG_P73[[#This Row],[IP]],0)</f>
        <v>1.2806439809732895</v>
      </c>
      <c r="BM177" s="600">
        <v>1</v>
      </c>
      <c r="BN177" s="601">
        <v>0</v>
      </c>
      <c r="BO177" s="600">
        <v>0</v>
      </c>
      <c r="BP177" s="604">
        <v>0</v>
      </c>
      <c r="BQ177" s="614">
        <v>1</v>
      </c>
    </row>
    <row r="178" spans="1:73">
      <c r="A178" s="720" t="s">
        <v>1171</v>
      </c>
      <c r="B178" s="74" t="s">
        <v>206</v>
      </c>
      <c r="C178" s="71" t="s">
        <v>1185</v>
      </c>
      <c r="D178" s="88">
        <f>IFERROR((LAD_P275[[#This Row],[R]]*9)/LAD_P275[[#This Row],[IP]],0)</f>
        <v>1.6578947368421053</v>
      </c>
      <c r="E178" s="586">
        <v>5</v>
      </c>
      <c r="F178" s="74">
        <v>0</v>
      </c>
      <c r="G178" s="28">
        <v>6</v>
      </c>
      <c r="H178" s="584">
        <v>38</v>
      </c>
      <c r="I178" s="28">
        <v>25</v>
      </c>
      <c r="J178" s="28">
        <v>7</v>
      </c>
      <c r="K178" s="28">
        <v>12</v>
      </c>
      <c r="L178" s="28">
        <v>35</v>
      </c>
      <c r="M178" s="28">
        <v>0</v>
      </c>
      <c r="N178" s="89">
        <f>IFERROR((LAD_P275[[#This Row],[BB]]+LAD_P275[[#This Row],[H]])/LAD_P275[[#This Row],[IP]],0)</f>
        <v>0.97368421052631582</v>
      </c>
      <c r="O178" s="28">
        <v>5</v>
      </c>
      <c r="P178" s="595">
        <v>4</v>
      </c>
      <c r="Q178" s="28">
        <v>0</v>
      </c>
      <c r="R178" s="74">
        <v>0</v>
      </c>
      <c r="S178" s="615">
        <v>2</v>
      </c>
      <c r="Z178" s="871" t="s">
        <v>1139</v>
      </c>
      <c r="AA178" s="114" t="s">
        <v>206</v>
      </c>
      <c r="AB178" s="115" t="s">
        <v>1158</v>
      </c>
      <c r="AC178" s="88">
        <f>IFERROR((SFG_P54[[#This Row],[R]]*9)/SFG_P54[[#This Row],[IP]],0)</f>
        <v>1.5428571428571429</v>
      </c>
      <c r="AD178" s="28">
        <v>3</v>
      </c>
      <c r="AE178" s="28">
        <v>0</v>
      </c>
      <c r="AF178" s="77">
        <v>5</v>
      </c>
      <c r="AG178" s="584">
        <v>35</v>
      </c>
      <c r="AH178" s="76">
        <v>32</v>
      </c>
      <c r="AI178" s="28">
        <v>6</v>
      </c>
      <c r="AJ178" s="28">
        <v>7</v>
      </c>
      <c r="AK178" s="28">
        <v>30</v>
      </c>
      <c r="AL178" s="28">
        <v>0</v>
      </c>
      <c r="AM178" s="89">
        <f>IFERROR((SFG_P54[[#This Row],[BB]]+SFG_P54[[#This Row],[H]])/SFG_P54[[#This Row],[IP]],0)</f>
        <v>1.1142857142857143</v>
      </c>
      <c r="AN178" s="28">
        <v>4</v>
      </c>
      <c r="AO178" s="595">
        <v>4</v>
      </c>
      <c r="AP178" s="28">
        <v>0</v>
      </c>
      <c r="AQ178" s="74">
        <v>0</v>
      </c>
      <c r="AR178" s="615">
        <v>2</v>
      </c>
      <c r="AY178" s="828" t="s">
        <v>1139</v>
      </c>
      <c r="AZ178" s="114" t="s">
        <v>206</v>
      </c>
      <c r="BA178" s="115" t="s">
        <v>286</v>
      </c>
      <c r="BB178" s="88">
        <f>IFERROR((SFG_P73[[#This Row],[R]]*9)/SFG_P73[[#This Row],[IP]],0)</f>
        <v>3.3755274261603376</v>
      </c>
      <c r="BC178" s="28">
        <v>2</v>
      </c>
      <c r="BD178" s="28">
        <v>1</v>
      </c>
      <c r="BE178" s="77">
        <v>3</v>
      </c>
      <c r="BF178" s="584">
        <v>21.33</v>
      </c>
      <c r="BG178" s="28">
        <v>24</v>
      </c>
      <c r="BH178" s="28">
        <v>8</v>
      </c>
      <c r="BI178" s="28">
        <v>3</v>
      </c>
      <c r="BJ178" s="28">
        <v>25</v>
      </c>
      <c r="BK178" s="28">
        <v>0</v>
      </c>
      <c r="BL178" s="89">
        <f>IFERROR((SFG_P73[[#This Row],[BB]]+SFG_P73[[#This Row],[H]])/SFG_P73[[#This Row],[IP]],0)</f>
        <v>1.2658227848101267</v>
      </c>
      <c r="BM178" s="28">
        <v>2</v>
      </c>
      <c r="BN178" s="90">
        <v>2</v>
      </c>
      <c r="BO178" s="28">
        <v>0</v>
      </c>
      <c r="BP178" s="74">
        <v>0</v>
      </c>
      <c r="BQ178" s="615">
        <v>2</v>
      </c>
    </row>
    <row r="179" spans="1:73">
      <c r="A179" s="720" t="s">
        <v>1171</v>
      </c>
      <c r="B179" s="74" t="s">
        <v>365</v>
      </c>
      <c r="C179" s="71" t="s">
        <v>1186</v>
      </c>
      <c r="D179" s="88">
        <f>IFERROR((LAD_P275[[#This Row],[R]]*9)/LAD_P275[[#This Row],[IP]],0)</f>
        <v>3.7241379310344827</v>
      </c>
      <c r="E179" s="28">
        <v>1</v>
      </c>
      <c r="F179" s="74">
        <v>1</v>
      </c>
      <c r="G179" s="28">
        <v>5</v>
      </c>
      <c r="H179" s="584">
        <v>29</v>
      </c>
      <c r="I179" s="28">
        <v>32</v>
      </c>
      <c r="J179" s="28">
        <v>12</v>
      </c>
      <c r="K179" s="28">
        <v>6</v>
      </c>
      <c r="L179" s="28">
        <v>36</v>
      </c>
      <c r="M179" s="28">
        <v>0</v>
      </c>
      <c r="N179" s="89">
        <f>IFERROR((LAD_P275[[#This Row],[BB]]+LAD_P275[[#This Row],[H]])/LAD_P275[[#This Row],[IP]],0)</f>
        <v>1.3103448275862069</v>
      </c>
      <c r="O179" s="28">
        <v>4</v>
      </c>
      <c r="P179" s="90">
        <v>2</v>
      </c>
      <c r="Q179" s="28">
        <v>0</v>
      </c>
      <c r="R179" s="74">
        <v>0</v>
      </c>
      <c r="S179" s="615">
        <v>3</v>
      </c>
      <c r="Z179" s="871" t="s">
        <v>1139</v>
      </c>
      <c r="AA179" s="356" t="s">
        <v>206</v>
      </c>
      <c r="AB179" s="358" t="s">
        <v>1159</v>
      </c>
      <c r="AC179" s="88">
        <f>IFERROR((SFG_P54[[#This Row],[R]]*9)/SFG_P54[[#This Row],[IP]],0)</f>
        <v>1.3964313421256787</v>
      </c>
      <c r="AD179" s="28">
        <v>3</v>
      </c>
      <c r="AE179" s="74">
        <v>1</v>
      </c>
      <c r="AF179" s="28">
        <v>5</v>
      </c>
      <c r="AG179" s="582">
        <v>38.67</v>
      </c>
      <c r="AH179" s="28">
        <v>23</v>
      </c>
      <c r="AI179" s="28">
        <v>6</v>
      </c>
      <c r="AJ179" s="28">
        <v>8</v>
      </c>
      <c r="AK179" s="28">
        <v>25</v>
      </c>
      <c r="AL179" s="28">
        <v>0</v>
      </c>
      <c r="AM179" s="89">
        <f>IFERROR((SFG_P54[[#This Row],[BB]]+SFG_P54[[#This Row],[H]])/SFG_P54[[#This Row],[IP]],0)</f>
        <v>0.80165502973881564</v>
      </c>
      <c r="AN179" s="76">
        <v>5</v>
      </c>
      <c r="AO179" s="595">
        <v>4</v>
      </c>
      <c r="AP179" s="76">
        <v>1</v>
      </c>
      <c r="AQ179" s="104">
        <v>1</v>
      </c>
      <c r="AR179" s="615">
        <v>3</v>
      </c>
      <c r="AY179" s="828" t="s">
        <v>1139</v>
      </c>
      <c r="AZ179" s="114" t="s">
        <v>206</v>
      </c>
      <c r="BA179" s="115" t="s">
        <v>1159</v>
      </c>
      <c r="BB179" s="88">
        <f>IFERROR((SFG_P73[[#This Row],[R]]*9)/SFG_P73[[#This Row],[IP]],0)</f>
        <v>1.6363636363636365</v>
      </c>
      <c r="BC179" s="28">
        <v>1</v>
      </c>
      <c r="BD179" s="74">
        <v>1</v>
      </c>
      <c r="BE179" s="28">
        <v>3</v>
      </c>
      <c r="BF179" s="584">
        <v>22</v>
      </c>
      <c r="BG179" s="28">
        <v>19</v>
      </c>
      <c r="BH179" s="28">
        <v>4</v>
      </c>
      <c r="BI179" s="28">
        <v>6</v>
      </c>
      <c r="BJ179" s="28">
        <v>23</v>
      </c>
      <c r="BK179" s="28">
        <v>0</v>
      </c>
      <c r="BL179" s="89">
        <f>IFERROR((SFG_P73[[#This Row],[BB]]+SFG_P73[[#This Row],[H]])/SFG_P73[[#This Row],[IP]],0)</f>
        <v>1.1363636363636365</v>
      </c>
      <c r="BM179" s="28">
        <v>2</v>
      </c>
      <c r="BN179" s="90">
        <v>2</v>
      </c>
      <c r="BO179" s="76">
        <v>1</v>
      </c>
      <c r="BP179" s="104">
        <v>1</v>
      </c>
      <c r="BQ179" s="615">
        <v>3</v>
      </c>
    </row>
    <row r="180" spans="1:73">
      <c r="A180" s="720" t="s">
        <v>1171</v>
      </c>
      <c r="B180" s="74" t="s">
        <v>206</v>
      </c>
      <c r="C180" s="71" t="s">
        <v>1188</v>
      </c>
      <c r="D180" s="88">
        <f>IFERROR((LAD_P275[[#This Row],[R]]*9)/LAD_P275[[#This Row],[IP]],0)</f>
        <v>1.8</v>
      </c>
      <c r="E180" s="28">
        <v>1</v>
      </c>
      <c r="F180" s="74">
        <v>1</v>
      </c>
      <c r="G180" s="28">
        <v>4</v>
      </c>
      <c r="H180" s="584">
        <v>10</v>
      </c>
      <c r="I180" s="28">
        <v>7</v>
      </c>
      <c r="J180" s="28">
        <v>2</v>
      </c>
      <c r="K180" s="28">
        <v>2</v>
      </c>
      <c r="L180" s="28">
        <v>3</v>
      </c>
      <c r="M180" s="28">
        <v>0</v>
      </c>
      <c r="N180" s="89">
        <f>IFERROR((LAD_P275[[#This Row],[BB]]+LAD_P275[[#This Row],[H]])/LAD_P275[[#This Row],[IP]],0)</f>
        <v>0.9</v>
      </c>
      <c r="O180" s="28">
        <v>0</v>
      </c>
      <c r="P180" s="90">
        <v>0</v>
      </c>
      <c r="Q180" s="28">
        <v>0</v>
      </c>
      <c r="R180" s="74">
        <v>0</v>
      </c>
      <c r="S180" s="615">
        <v>4</v>
      </c>
      <c r="Z180" s="871" t="s">
        <v>1139</v>
      </c>
      <c r="AA180" s="114" t="s">
        <v>206</v>
      </c>
      <c r="AB180" s="116" t="s">
        <v>1047</v>
      </c>
      <c r="AC180" s="88">
        <f>IFERROR((SFG_P54[[#This Row],[R]]*9)/SFG_P54[[#This Row],[IP]],0)</f>
        <v>5.4</v>
      </c>
      <c r="AD180" s="28">
        <v>0</v>
      </c>
      <c r="AE180" s="74">
        <v>0</v>
      </c>
      <c r="AF180" s="28">
        <v>3</v>
      </c>
      <c r="AG180" s="584">
        <v>5</v>
      </c>
      <c r="AH180" s="28">
        <v>6</v>
      </c>
      <c r="AI180" s="28">
        <v>3</v>
      </c>
      <c r="AJ180" s="28">
        <v>3</v>
      </c>
      <c r="AK180" s="28">
        <v>6</v>
      </c>
      <c r="AL180" s="28">
        <v>0</v>
      </c>
      <c r="AM180" s="89">
        <f>IFERROR((SFG_P54[[#This Row],[BB]]+SFG_P54[[#This Row],[H]])/SFG_P54[[#This Row],[IP]],0)</f>
        <v>1.8</v>
      </c>
      <c r="AN180" s="28">
        <v>0</v>
      </c>
      <c r="AO180" s="90">
        <v>0</v>
      </c>
      <c r="AP180" s="28">
        <v>0</v>
      </c>
      <c r="AQ180" s="74">
        <v>0</v>
      </c>
      <c r="AR180" s="615">
        <v>4</v>
      </c>
      <c r="AY180" s="828" t="s">
        <v>1139</v>
      </c>
      <c r="AZ180" s="114" t="s">
        <v>206</v>
      </c>
      <c r="BA180" s="115" t="s">
        <v>1047</v>
      </c>
      <c r="BB180" s="88">
        <f>IFERROR((SFG_P73[[#This Row],[R]]*9)/SFG_P73[[#This Row],[IP]],0)</f>
        <v>13.483146067415731</v>
      </c>
      <c r="BC180" s="28">
        <v>0</v>
      </c>
      <c r="BD180" s="74">
        <v>1</v>
      </c>
      <c r="BE180" s="28">
        <v>3</v>
      </c>
      <c r="BF180" s="584">
        <v>2.67</v>
      </c>
      <c r="BG180" s="28">
        <v>4</v>
      </c>
      <c r="BH180" s="28">
        <v>4</v>
      </c>
      <c r="BI180" s="28">
        <v>3</v>
      </c>
      <c r="BJ180" s="28">
        <v>3</v>
      </c>
      <c r="BK180" s="28">
        <v>0</v>
      </c>
      <c r="BL180" s="89">
        <f>IFERROR((SFG_P73[[#This Row],[BB]]+SFG_P73[[#This Row],[H]])/SFG_P73[[#This Row],[IP]],0)</f>
        <v>2.6217228464419478</v>
      </c>
      <c r="BM180" s="28">
        <v>0</v>
      </c>
      <c r="BN180" s="90">
        <v>0</v>
      </c>
      <c r="BO180" s="28">
        <v>0</v>
      </c>
      <c r="BP180" s="74">
        <v>0</v>
      </c>
      <c r="BQ180" s="615">
        <v>4</v>
      </c>
    </row>
    <row r="181" spans="1:73">
      <c r="A181" s="720" t="s">
        <v>1171</v>
      </c>
      <c r="B181" s="74" t="s">
        <v>215</v>
      </c>
      <c r="C181" s="71" t="s">
        <v>1191</v>
      </c>
      <c r="D181" s="88">
        <f>IFERROR((LAD_P275[[#This Row],[R]]*9)/LAD_P275[[#This Row],[IP]],0)</f>
        <v>0</v>
      </c>
      <c r="E181" s="28">
        <v>0</v>
      </c>
      <c r="F181" s="74">
        <v>0</v>
      </c>
      <c r="G181" s="28">
        <v>0</v>
      </c>
      <c r="H181" s="584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89">
        <f>IFERROR((LAD_P275[[#This Row],[BB]]+LAD_P275[[#This Row],[H]])/LAD_P275[[#This Row],[IP]],0)</f>
        <v>0</v>
      </c>
      <c r="O181" s="28">
        <v>0</v>
      </c>
      <c r="P181" s="90">
        <v>0</v>
      </c>
      <c r="Q181" s="28">
        <v>0</v>
      </c>
      <c r="R181" s="74">
        <v>0</v>
      </c>
      <c r="S181" s="615">
        <v>5</v>
      </c>
      <c r="Z181" s="871" t="s">
        <v>1139</v>
      </c>
      <c r="AA181" s="114" t="s">
        <v>212</v>
      </c>
      <c r="AB181" s="116" t="s">
        <v>1160</v>
      </c>
      <c r="AC181" s="88">
        <f>IFERROR((SFG_P54[[#This Row],[R]]*9)/SFG_P54[[#This Row],[IP]],0)</f>
        <v>0</v>
      </c>
      <c r="AD181" s="28">
        <v>0</v>
      </c>
      <c r="AE181" s="74">
        <v>0</v>
      </c>
      <c r="AF181" s="28">
        <v>3</v>
      </c>
      <c r="AG181" s="584">
        <v>4.67</v>
      </c>
      <c r="AH181" s="28">
        <v>1</v>
      </c>
      <c r="AI181" s="28">
        <v>0</v>
      </c>
      <c r="AJ181" s="28">
        <v>1</v>
      </c>
      <c r="AK181" s="28">
        <v>3</v>
      </c>
      <c r="AL181" s="28">
        <v>0</v>
      </c>
      <c r="AM181" s="89">
        <f>IFERROR((SFG_P54[[#This Row],[BB]]+SFG_P54[[#This Row],[H]])/SFG_P54[[#This Row],[IP]],0)</f>
        <v>0.42826552462526768</v>
      </c>
      <c r="AN181" s="28">
        <v>0</v>
      </c>
      <c r="AO181" s="90">
        <v>0</v>
      </c>
      <c r="AP181" s="28">
        <v>0</v>
      </c>
      <c r="AQ181" s="74">
        <v>0</v>
      </c>
      <c r="AR181" s="615">
        <v>5</v>
      </c>
      <c r="AY181" s="828" t="s">
        <v>1139</v>
      </c>
      <c r="AZ181" s="114" t="s">
        <v>212</v>
      </c>
      <c r="BA181" s="115" t="s">
        <v>1160</v>
      </c>
      <c r="BB181" s="88">
        <f>IFERROR((SFG_P73[[#This Row],[R]]*9)/SFG_P73[[#This Row],[IP]],0)</f>
        <v>0</v>
      </c>
      <c r="BC181" s="28">
        <v>0</v>
      </c>
      <c r="BD181" s="74">
        <v>0</v>
      </c>
      <c r="BE181" s="28">
        <v>0</v>
      </c>
      <c r="BF181" s="584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89">
        <f>IFERROR((SFG_P73[[#This Row],[BB]]+SFG_P73[[#This Row],[H]])/SFG_P73[[#This Row],[IP]],0)</f>
        <v>0</v>
      </c>
      <c r="BM181" s="28">
        <v>0</v>
      </c>
      <c r="BN181" s="90">
        <v>0</v>
      </c>
      <c r="BO181" s="28">
        <v>0</v>
      </c>
      <c r="BP181" s="74">
        <v>0</v>
      </c>
      <c r="BQ181" s="615">
        <v>5</v>
      </c>
    </row>
    <row r="182" spans="1:73">
      <c r="A182" s="720" t="s">
        <v>1171</v>
      </c>
      <c r="B182" s="74" t="s">
        <v>215</v>
      </c>
      <c r="C182" s="71" t="s">
        <v>1189</v>
      </c>
      <c r="D182" s="88">
        <f>IFERROR((LAD_P275[[#This Row],[R]]*9)/LAD_P275[[#This Row],[IP]],0)</f>
        <v>0</v>
      </c>
      <c r="E182" s="28">
        <v>0</v>
      </c>
      <c r="F182" s="74">
        <v>0</v>
      </c>
      <c r="G182" s="28">
        <v>0</v>
      </c>
      <c r="H182" s="584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89">
        <f>IFERROR((LAD_P275[[#This Row],[BB]]+LAD_P275[[#This Row],[H]])/LAD_P275[[#This Row],[IP]],0)</f>
        <v>0</v>
      </c>
      <c r="O182" s="28">
        <v>0</v>
      </c>
      <c r="P182" s="90">
        <v>0</v>
      </c>
      <c r="Q182" s="28">
        <v>0</v>
      </c>
      <c r="R182" s="74">
        <v>0</v>
      </c>
      <c r="S182" s="615">
        <v>6</v>
      </c>
      <c r="Z182" s="871" t="s">
        <v>1139</v>
      </c>
      <c r="AA182" s="114" t="s">
        <v>215</v>
      </c>
      <c r="AB182" s="116" t="s">
        <v>1161</v>
      </c>
      <c r="AC182" s="88">
        <f>IFERROR((SFG_P54[[#This Row],[R]]*9)/SFG_P54[[#This Row],[IP]],0)</f>
        <v>0</v>
      </c>
      <c r="AD182" s="28">
        <v>0</v>
      </c>
      <c r="AE182" s="74">
        <v>0</v>
      </c>
      <c r="AF182" s="28">
        <v>0</v>
      </c>
      <c r="AG182" s="584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89">
        <f>IFERROR((SFG_P54[[#This Row],[BB]]+SFG_P54[[#This Row],[H]])/SFG_P54[[#This Row],[IP]],0)</f>
        <v>0</v>
      </c>
      <c r="AN182" s="28">
        <v>0</v>
      </c>
      <c r="AO182" s="90">
        <v>0</v>
      </c>
      <c r="AP182" s="28">
        <v>0</v>
      </c>
      <c r="AQ182" s="74">
        <v>0</v>
      </c>
      <c r="AR182" s="615">
        <v>6</v>
      </c>
      <c r="AY182" s="828" t="s">
        <v>1139</v>
      </c>
      <c r="AZ182" s="114" t="s">
        <v>212</v>
      </c>
      <c r="BA182" s="115" t="s">
        <v>1166</v>
      </c>
      <c r="BB182" s="88">
        <f>IFERROR((SFG_P73[[#This Row],[R]]*9)/SFG_P73[[#This Row],[IP]],0)</f>
        <v>0</v>
      </c>
      <c r="BC182" s="28">
        <v>0</v>
      </c>
      <c r="BD182" s="74">
        <v>0</v>
      </c>
      <c r="BE182" s="28">
        <v>0</v>
      </c>
      <c r="BF182" s="584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89">
        <f>IFERROR((SFG_P73[[#This Row],[BB]]+SFG_P73[[#This Row],[H]])/SFG_P73[[#This Row],[IP]],0)</f>
        <v>0</v>
      </c>
      <c r="BM182" s="28">
        <v>0</v>
      </c>
      <c r="BN182" s="90">
        <v>0</v>
      </c>
      <c r="BO182" s="28">
        <v>0</v>
      </c>
      <c r="BP182" s="74">
        <v>0</v>
      </c>
      <c r="BQ182" s="615">
        <v>6</v>
      </c>
    </row>
    <row r="183" spans="1:73">
      <c r="A183" s="720" t="s">
        <v>1171</v>
      </c>
      <c r="B183" s="74" t="s">
        <v>212</v>
      </c>
      <c r="C183" s="116" t="s">
        <v>1195</v>
      </c>
      <c r="D183" s="88">
        <f>IFERROR((LAD_P275[[#This Row],[R]]*9)/LAD_P275[[#This Row],[IP]],0)</f>
        <v>0</v>
      </c>
      <c r="E183" s="28">
        <v>0</v>
      </c>
      <c r="F183" s="74">
        <v>0</v>
      </c>
      <c r="G183" s="28">
        <v>1</v>
      </c>
      <c r="H183" s="584">
        <v>2</v>
      </c>
      <c r="I183" s="28">
        <v>2</v>
      </c>
      <c r="J183" s="28">
        <v>0</v>
      </c>
      <c r="K183" s="28">
        <v>0</v>
      </c>
      <c r="L183" s="28">
        <v>4</v>
      </c>
      <c r="M183" s="28">
        <v>0</v>
      </c>
      <c r="N183" s="89">
        <f>IFERROR((LAD_P275[[#This Row],[BB]]+LAD_P275[[#This Row],[H]])/LAD_P275[[#This Row],[IP]],0)</f>
        <v>1</v>
      </c>
      <c r="O183" s="28">
        <v>0</v>
      </c>
      <c r="P183" s="90">
        <v>0</v>
      </c>
      <c r="Q183" s="28">
        <v>0</v>
      </c>
      <c r="R183" s="74">
        <v>0</v>
      </c>
      <c r="S183" s="615">
        <v>7</v>
      </c>
      <c r="Z183" s="871" t="s">
        <v>1139</v>
      </c>
      <c r="AA183" s="114" t="s">
        <v>212</v>
      </c>
      <c r="AB183" s="116" t="s">
        <v>459</v>
      </c>
      <c r="AC183" s="88">
        <f>IFERROR((SFG_P54[[#This Row],[R]]*9)/SFG_P54[[#This Row],[IP]],0)</f>
        <v>9</v>
      </c>
      <c r="AD183" s="28">
        <v>1</v>
      </c>
      <c r="AE183" s="74">
        <v>1</v>
      </c>
      <c r="AF183" s="28">
        <v>2</v>
      </c>
      <c r="AG183" s="584">
        <v>3</v>
      </c>
      <c r="AH183" s="28">
        <v>1</v>
      </c>
      <c r="AI183" s="28">
        <v>3</v>
      </c>
      <c r="AJ183" s="28">
        <v>2</v>
      </c>
      <c r="AK183" s="28">
        <v>3</v>
      </c>
      <c r="AL183" s="28">
        <v>0</v>
      </c>
      <c r="AM183" s="89">
        <f>IFERROR((SFG_P54[[#This Row],[BB]]+SFG_P54[[#This Row],[H]])/SFG_P54[[#This Row],[IP]],0)</f>
        <v>1</v>
      </c>
      <c r="AN183" s="28">
        <v>0</v>
      </c>
      <c r="AO183" s="90">
        <v>0</v>
      </c>
      <c r="AP183" s="28">
        <v>0</v>
      </c>
      <c r="AQ183" s="74">
        <v>0</v>
      </c>
      <c r="AR183" s="615">
        <v>7</v>
      </c>
      <c r="AY183" s="828" t="s">
        <v>1139</v>
      </c>
      <c r="AZ183" s="114" t="s">
        <v>212</v>
      </c>
      <c r="BA183" s="115" t="s">
        <v>1162</v>
      </c>
      <c r="BB183" s="88">
        <f>IFERROR((SFG_P73[[#This Row],[R]]*9)/SFG_P73[[#This Row],[IP]],0)</f>
        <v>15.450643776824034</v>
      </c>
      <c r="BC183" s="28">
        <v>0</v>
      </c>
      <c r="BD183" s="74">
        <v>0</v>
      </c>
      <c r="BE183" s="28">
        <v>5</v>
      </c>
      <c r="BF183" s="584">
        <v>2.33</v>
      </c>
      <c r="BG183" s="28">
        <v>5</v>
      </c>
      <c r="BH183" s="28">
        <v>4</v>
      </c>
      <c r="BI183" s="28">
        <v>3</v>
      </c>
      <c r="BJ183" s="28">
        <v>3</v>
      </c>
      <c r="BK183" s="28">
        <v>0</v>
      </c>
      <c r="BL183" s="89">
        <f>IFERROR((SFG_P73[[#This Row],[BB]]+SFG_P73[[#This Row],[H]])/SFG_P73[[#This Row],[IP]],0)</f>
        <v>3.4334763948497855</v>
      </c>
      <c r="BM183" s="28">
        <v>0</v>
      </c>
      <c r="BN183" s="90">
        <v>0</v>
      </c>
      <c r="BO183" s="28">
        <v>0</v>
      </c>
      <c r="BP183" s="74">
        <v>0</v>
      </c>
      <c r="BQ183" s="615">
        <v>7</v>
      </c>
    </row>
    <row r="184" spans="1:73">
      <c r="A184" s="720" t="s">
        <v>1171</v>
      </c>
      <c r="B184" s="74" t="s">
        <v>212</v>
      </c>
      <c r="C184" s="71" t="s">
        <v>1193</v>
      </c>
      <c r="D184" s="88">
        <f>IFERROR((LAD_P275[[#This Row],[R]]*9)/LAD_P275[[#This Row],[IP]],0)</f>
        <v>0</v>
      </c>
      <c r="E184" s="28">
        <v>0</v>
      </c>
      <c r="F184" s="74">
        <v>0</v>
      </c>
      <c r="G184" s="28">
        <v>4</v>
      </c>
      <c r="H184" s="584">
        <v>4.33</v>
      </c>
      <c r="I184" s="28">
        <v>4</v>
      </c>
      <c r="J184" s="28">
        <v>0</v>
      </c>
      <c r="K184" s="28">
        <v>1</v>
      </c>
      <c r="L184" s="28">
        <v>6</v>
      </c>
      <c r="M184" s="28">
        <v>0</v>
      </c>
      <c r="N184" s="89">
        <f>IFERROR((LAD_P275[[#This Row],[BB]]+LAD_P275[[#This Row],[H]])/LAD_P275[[#This Row],[IP]],0)</f>
        <v>1.1547344110854503</v>
      </c>
      <c r="O184" s="28">
        <v>0</v>
      </c>
      <c r="P184" s="90">
        <v>0</v>
      </c>
      <c r="Q184" s="28">
        <v>0</v>
      </c>
      <c r="R184" s="74">
        <v>0</v>
      </c>
      <c r="S184" s="615">
        <v>8</v>
      </c>
      <c r="Z184" s="871" t="s">
        <v>1139</v>
      </c>
      <c r="AA184" s="114" t="s">
        <v>212</v>
      </c>
      <c r="AB184" s="116" t="s">
        <v>1163</v>
      </c>
      <c r="AC184" s="88">
        <f>IFERROR((SFG_P54[[#This Row],[R]]*9)/SFG_P54[[#This Row],[IP]],0)</f>
        <v>5.4054054054054053</v>
      </c>
      <c r="AD184" s="28">
        <v>0</v>
      </c>
      <c r="AE184" s="74">
        <v>0</v>
      </c>
      <c r="AF184" s="28">
        <v>3</v>
      </c>
      <c r="AG184" s="584">
        <v>3.33</v>
      </c>
      <c r="AH184" s="28">
        <v>2</v>
      </c>
      <c r="AI184" s="28">
        <v>2</v>
      </c>
      <c r="AJ184" s="28">
        <v>2</v>
      </c>
      <c r="AK184" s="28">
        <v>2</v>
      </c>
      <c r="AL184" s="28">
        <v>1</v>
      </c>
      <c r="AM184" s="89">
        <f>IFERROR((SFG_P54[[#This Row],[BB]]+SFG_P54[[#This Row],[H]])/SFG_P54[[#This Row],[IP]],0)</f>
        <v>1.2012012012012012</v>
      </c>
      <c r="AN184" s="28">
        <v>0</v>
      </c>
      <c r="AO184" s="90">
        <v>0</v>
      </c>
      <c r="AP184" s="28">
        <v>0</v>
      </c>
      <c r="AQ184" s="74">
        <v>0</v>
      </c>
      <c r="AR184" s="615">
        <v>8</v>
      </c>
      <c r="AY184" s="828" t="s">
        <v>1139</v>
      </c>
      <c r="AZ184" s="114" t="s">
        <v>212</v>
      </c>
      <c r="BA184" s="115" t="s">
        <v>1163</v>
      </c>
      <c r="BB184" s="88">
        <f>IFERROR((SFG_P73[[#This Row],[R]]*9)/SFG_P73[[#This Row],[IP]],0)</f>
        <v>11.25</v>
      </c>
      <c r="BC184" s="28">
        <v>0</v>
      </c>
      <c r="BD184" s="74">
        <v>0</v>
      </c>
      <c r="BE184" s="28">
        <v>6</v>
      </c>
      <c r="BF184" s="584">
        <v>4</v>
      </c>
      <c r="BG184" s="28">
        <v>6</v>
      </c>
      <c r="BH184" s="28">
        <v>5</v>
      </c>
      <c r="BI184" s="28">
        <v>2</v>
      </c>
      <c r="BJ184" s="28">
        <v>5</v>
      </c>
      <c r="BK184" s="28">
        <v>0</v>
      </c>
      <c r="BL184" s="89">
        <f>IFERROR((SFG_P73[[#This Row],[BB]]+SFG_P73[[#This Row],[H]])/SFG_P73[[#This Row],[IP]],0)</f>
        <v>2</v>
      </c>
      <c r="BM184" s="28">
        <v>0</v>
      </c>
      <c r="BN184" s="90">
        <v>0</v>
      </c>
      <c r="BO184" s="28">
        <v>0</v>
      </c>
      <c r="BP184" s="74">
        <v>0</v>
      </c>
      <c r="BQ184" s="615">
        <v>8</v>
      </c>
    </row>
    <row r="185" spans="1:73">
      <c r="A185" s="720" t="s">
        <v>1171</v>
      </c>
      <c r="B185" s="74" t="s">
        <v>212</v>
      </c>
      <c r="C185" s="71" t="s">
        <v>1194</v>
      </c>
      <c r="D185" s="88">
        <f>IFERROR((LAD_P275[[#This Row],[R]]*9)/LAD_P275[[#This Row],[IP]],0)</f>
        <v>2.6986506746626686</v>
      </c>
      <c r="E185" s="28">
        <v>1</v>
      </c>
      <c r="F185" s="74">
        <v>0</v>
      </c>
      <c r="G185" s="28">
        <v>5</v>
      </c>
      <c r="H185" s="584">
        <v>6.67</v>
      </c>
      <c r="I185" s="28">
        <v>6</v>
      </c>
      <c r="J185" s="28">
        <v>2</v>
      </c>
      <c r="K185" s="28">
        <v>1</v>
      </c>
      <c r="L185" s="28">
        <v>6</v>
      </c>
      <c r="M185" s="28">
        <v>0</v>
      </c>
      <c r="N185" s="89">
        <f>IFERROR((LAD_P275[[#This Row],[BB]]+LAD_P275[[#This Row],[H]])/LAD_P275[[#This Row],[IP]],0)</f>
        <v>1.0494752623688155</v>
      </c>
      <c r="O185" s="28">
        <v>0</v>
      </c>
      <c r="P185" s="90">
        <v>0</v>
      </c>
      <c r="Q185" s="28">
        <v>0</v>
      </c>
      <c r="R185" s="74">
        <v>0</v>
      </c>
      <c r="S185" s="615">
        <v>9</v>
      </c>
      <c r="Z185" s="871" t="s">
        <v>1139</v>
      </c>
      <c r="AA185" s="114" t="s">
        <v>212</v>
      </c>
      <c r="AB185" s="116" t="s">
        <v>1165</v>
      </c>
      <c r="AC185" s="88">
        <f>IFERROR((SFG_P54[[#This Row],[R]]*9)/SFG_P54[[#This Row],[IP]],0)</f>
        <v>2.8436018957345972</v>
      </c>
      <c r="AD185" s="28">
        <v>0</v>
      </c>
      <c r="AE185" s="74">
        <v>0</v>
      </c>
      <c r="AF185" s="28">
        <v>6</v>
      </c>
      <c r="AG185" s="584">
        <v>6.33</v>
      </c>
      <c r="AH185" s="28">
        <v>4</v>
      </c>
      <c r="AI185" s="28">
        <v>2</v>
      </c>
      <c r="AJ185" s="28">
        <v>6</v>
      </c>
      <c r="AK185" s="28">
        <v>6</v>
      </c>
      <c r="AL185" s="28">
        <v>0</v>
      </c>
      <c r="AM185" s="89">
        <f>IFERROR((SFG_P54[[#This Row],[BB]]+SFG_P54[[#This Row],[H]])/SFG_P54[[#This Row],[IP]],0)</f>
        <v>1.5797788309636651</v>
      </c>
      <c r="AN185" s="28">
        <v>0</v>
      </c>
      <c r="AO185" s="90">
        <v>0</v>
      </c>
      <c r="AP185" s="28">
        <v>0</v>
      </c>
      <c r="AQ185" s="74">
        <v>0</v>
      </c>
      <c r="AR185" s="615">
        <v>9</v>
      </c>
      <c r="AY185" s="828" t="s">
        <v>1139</v>
      </c>
      <c r="AZ185" s="114" t="s">
        <v>212</v>
      </c>
      <c r="BA185" s="115" t="s">
        <v>1165</v>
      </c>
      <c r="BB185" s="88">
        <f>IFERROR((SFG_P73[[#This Row],[R]]*9)/SFG_P73[[#This Row],[IP]],0)</f>
        <v>0</v>
      </c>
      <c r="BC185" s="28">
        <v>0</v>
      </c>
      <c r="BD185" s="74">
        <v>0</v>
      </c>
      <c r="BE185" s="28">
        <v>2</v>
      </c>
      <c r="BF185" s="584">
        <v>1.33</v>
      </c>
      <c r="BG185" s="28">
        <v>3</v>
      </c>
      <c r="BH185" s="28">
        <v>0</v>
      </c>
      <c r="BI185" s="28">
        <v>2</v>
      </c>
      <c r="BJ185" s="28">
        <v>2</v>
      </c>
      <c r="BK185" s="28">
        <v>0</v>
      </c>
      <c r="BL185" s="89">
        <f>IFERROR((SFG_P73[[#This Row],[BB]]+SFG_P73[[#This Row],[H]])/SFG_P73[[#This Row],[IP]],0)</f>
        <v>3.7593984962406015</v>
      </c>
      <c r="BM185" s="28">
        <v>0</v>
      </c>
      <c r="BN185" s="90">
        <v>0</v>
      </c>
      <c r="BO185" s="28">
        <v>0</v>
      </c>
      <c r="BP185" s="74">
        <v>0</v>
      </c>
      <c r="BQ185" s="615">
        <v>9</v>
      </c>
    </row>
    <row r="186" spans="1:73" ht="17" thickBot="1">
      <c r="A186" s="720" t="s">
        <v>1171</v>
      </c>
      <c r="B186" s="74" t="s">
        <v>212</v>
      </c>
      <c r="C186" s="71" t="s">
        <v>1196</v>
      </c>
      <c r="D186" s="88">
        <f>IFERROR((LAD_P275[[#This Row],[R]]*9)/LAD_P275[[#This Row],[IP]],0)</f>
        <v>3</v>
      </c>
      <c r="E186" s="28">
        <v>1</v>
      </c>
      <c r="F186" s="74">
        <v>3</v>
      </c>
      <c r="G186" s="76">
        <v>13</v>
      </c>
      <c r="H186" s="584">
        <v>15</v>
      </c>
      <c r="I186" s="28">
        <v>10</v>
      </c>
      <c r="J186" s="28">
        <v>5</v>
      </c>
      <c r="K186" s="28">
        <v>7</v>
      </c>
      <c r="L186" s="586">
        <v>29</v>
      </c>
      <c r="M186" s="586">
        <v>6</v>
      </c>
      <c r="N186" s="89">
        <f>IFERROR((LAD_P275[[#This Row],[BB]]+LAD_P275[[#This Row],[H]])/LAD_P275[[#This Row],[IP]],0)</f>
        <v>1.1333333333333333</v>
      </c>
      <c r="O186" s="28">
        <v>0</v>
      </c>
      <c r="P186" s="90">
        <v>0</v>
      </c>
      <c r="Q186" s="28">
        <v>0</v>
      </c>
      <c r="R186" s="74">
        <v>0</v>
      </c>
      <c r="S186" s="615">
        <v>10</v>
      </c>
      <c r="Z186" s="871" t="s">
        <v>1139</v>
      </c>
      <c r="AA186" s="114" t="s">
        <v>212</v>
      </c>
      <c r="AB186" s="115" t="s">
        <v>1167</v>
      </c>
      <c r="AC186" s="88">
        <f>IFERROR((SFG_P54[[#This Row],[R]]*9)/SFG_P54[[#This Row],[IP]],0)</f>
        <v>4.2174320524835993</v>
      </c>
      <c r="AD186" s="28">
        <v>0</v>
      </c>
      <c r="AE186" s="74">
        <v>2</v>
      </c>
      <c r="AF186" s="28">
        <v>9</v>
      </c>
      <c r="AG186" s="584">
        <v>10.67</v>
      </c>
      <c r="AH186" s="28">
        <v>9</v>
      </c>
      <c r="AI186" s="28">
        <v>5</v>
      </c>
      <c r="AJ186" s="28">
        <v>7</v>
      </c>
      <c r="AK186" s="28">
        <v>9</v>
      </c>
      <c r="AL186" s="28">
        <v>3</v>
      </c>
      <c r="AM186" s="89">
        <f>IFERROR((SFG_P54[[#This Row],[BB]]+SFG_P54[[#This Row],[H]])/SFG_P54[[#This Row],[IP]],0)</f>
        <v>1.499531396438613</v>
      </c>
      <c r="AN186" s="28">
        <v>0</v>
      </c>
      <c r="AO186" s="90">
        <v>0</v>
      </c>
      <c r="AP186" s="28">
        <v>0</v>
      </c>
      <c r="AQ186" s="74">
        <v>0</v>
      </c>
      <c r="AR186" s="615">
        <v>10</v>
      </c>
      <c r="AY186" s="828" t="s">
        <v>1139</v>
      </c>
      <c r="AZ186" s="114" t="s">
        <v>215</v>
      </c>
      <c r="BA186" s="115" t="s">
        <v>1167</v>
      </c>
      <c r="BB186" s="88">
        <f>IFERROR((SFG_P73[[#This Row],[R]]*9)/SFG_P73[[#This Row],[IP]],0)</f>
        <v>4.5</v>
      </c>
      <c r="BC186" s="28">
        <v>1</v>
      </c>
      <c r="BD186" s="74">
        <v>0</v>
      </c>
      <c r="BE186" s="28">
        <v>7</v>
      </c>
      <c r="BF186" s="584">
        <v>8</v>
      </c>
      <c r="BG186" s="28">
        <v>8</v>
      </c>
      <c r="BH186" s="28">
        <v>4</v>
      </c>
      <c r="BI186" s="28">
        <v>3</v>
      </c>
      <c r="BJ186" s="28">
        <v>15</v>
      </c>
      <c r="BK186" s="28">
        <v>2</v>
      </c>
      <c r="BL186" s="89">
        <f>IFERROR((SFG_P73[[#This Row],[BB]]+SFG_P73[[#This Row],[H]])/SFG_P73[[#This Row],[IP]],0)</f>
        <v>1.375</v>
      </c>
      <c r="BM186" s="28">
        <v>0</v>
      </c>
      <c r="BN186" s="90">
        <v>0</v>
      </c>
      <c r="BO186" s="28">
        <v>0</v>
      </c>
      <c r="BP186" s="74">
        <v>0</v>
      </c>
      <c r="BQ186" s="615">
        <v>10</v>
      </c>
    </row>
    <row r="187" spans="1:73" ht="17" thickBot="1">
      <c r="A187" s="691"/>
      <c r="B187" s="692"/>
      <c r="C187" s="693" t="s">
        <v>195</v>
      </c>
      <c r="D187" s="745">
        <f>(J187*9)/H187</f>
        <v>2.3333333333333335</v>
      </c>
      <c r="E187" s="696">
        <f>SUBTOTAL(109,LAD_P275[W])</f>
        <v>11</v>
      </c>
      <c r="F187" s="697">
        <f>SUBTOTAL(109,LAD_P275[L])</f>
        <v>6</v>
      </c>
      <c r="G187" s="696"/>
      <c r="H187" s="700">
        <f>SUBTOTAL(109,LAD_P275[IP])</f>
        <v>135</v>
      </c>
      <c r="I187" s="696">
        <f>SUBTOTAL(109,LAD_P275[H])</f>
        <v>122</v>
      </c>
      <c r="J187" s="696">
        <f>SUBTOTAL(109,LAD_P275[R])</f>
        <v>35</v>
      </c>
      <c r="K187" s="696">
        <f>SUBTOTAL(109,LAD_P275[BB])</f>
        <v>38</v>
      </c>
      <c r="L187" s="696">
        <f>SUBTOTAL(109,LAD_P275[K])</f>
        <v>160</v>
      </c>
      <c r="M187" s="696">
        <f>SUBTOTAL(109,LAD_P275[SV])</f>
        <v>6</v>
      </c>
      <c r="N187" s="746">
        <f>(K187+I187)/H187</f>
        <v>1.1851851851851851</v>
      </c>
      <c r="O187" s="701">
        <f>SUBTOTAL(109,LAD_P275[QS])</f>
        <v>14</v>
      </c>
      <c r="P187" s="702">
        <f>SUBTOTAL(109,LAD_P275[UQ])</f>
        <v>10</v>
      </c>
      <c r="Q187" s="703">
        <f>SUBTOTAL(109,LAD_P275[CG])</f>
        <v>0</v>
      </c>
      <c r="R187" s="704">
        <f>SUBTOTAL(109,LAD_P275[SH])</f>
        <v>0</v>
      </c>
      <c r="S187" s="698"/>
      <c r="Z187" s="809"/>
      <c r="AA187" s="810"/>
      <c r="AB187" s="856" t="s">
        <v>195</v>
      </c>
      <c r="AC187" s="665">
        <f>(AI187*9)/AG187</f>
        <v>2.6739130434782608</v>
      </c>
      <c r="AD187" s="658">
        <f>SUBTOTAL(109,SFG_P54[W])</f>
        <v>8</v>
      </c>
      <c r="AE187" s="660">
        <f>SUBTOTAL(109,SFG_P54[L])</f>
        <v>7</v>
      </c>
      <c r="AF187" s="658"/>
      <c r="AG187" s="666">
        <f>SUBTOTAL(109,SFG_P54[IP])</f>
        <v>138</v>
      </c>
      <c r="AH187" s="658">
        <f>SUBTOTAL(109,SFG_P54[H])</f>
        <v>105</v>
      </c>
      <c r="AI187" s="658">
        <f>SUBTOTAL(109,SFG_P54[R])</f>
        <v>41</v>
      </c>
      <c r="AJ187" s="658">
        <f>SUBTOTAL(109,SFG_P54[BB])</f>
        <v>48</v>
      </c>
      <c r="AK187" s="658">
        <f>SUBTOTAL(109,SFG_P54[K])</f>
        <v>124</v>
      </c>
      <c r="AL187" s="658">
        <f>SUBTOTAL(109,SFG_P54[SV])</f>
        <v>4</v>
      </c>
      <c r="AM187" s="667">
        <f>(AJ187+AH187)/AG187</f>
        <v>1.1086956521739131</v>
      </c>
      <c r="AN187" s="661">
        <f>SUBTOTAL(109,SFG_P54[QS])</f>
        <v>12</v>
      </c>
      <c r="AO187" s="750">
        <f>SUBTOTAL(109,SFG_P54[UQ])</f>
        <v>10</v>
      </c>
      <c r="AP187" s="670">
        <f>SUBTOTAL(109,SFG_P54[CG])</f>
        <v>1</v>
      </c>
      <c r="AQ187" s="671">
        <f>SUBTOTAL(109,SFG_P54[SH])</f>
        <v>1</v>
      </c>
      <c r="AR187" s="662"/>
      <c r="AY187" s="809"/>
      <c r="AZ187" s="810"/>
      <c r="BA187" s="856" t="s">
        <v>195</v>
      </c>
      <c r="BB187" s="665">
        <f>IFERROR((BH187*9)/BF187,0)</f>
        <v>4.5510731542869989</v>
      </c>
      <c r="BC187" s="658">
        <f>SUBTOTAL(109,SFG_P73[W])</f>
        <v>5</v>
      </c>
      <c r="BD187" s="660">
        <f>SUBTOTAL(109,SFG_P73[L])</f>
        <v>5</v>
      </c>
      <c r="BE187" s="658"/>
      <c r="BF187" s="666">
        <f>SUBTOTAL(109,SFG_P73[IP])</f>
        <v>88.99</v>
      </c>
      <c r="BG187" s="658">
        <f>SUBTOTAL(109,SFG_P73[H])</f>
        <v>96</v>
      </c>
      <c r="BH187" s="658">
        <f>SUBTOTAL(109,SFG_P73[R])</f>
        <v>45</v>
      </c>
      <c r="BI187" s="658">
        <f>SUBTOTAL(109,SFG_P73[BB])</f>
        <v>30</v>
      </c>
      <c r="BJ187" s="658">
        <f>SUBTOTAL(109,SFG_P73[K])</f>
        <v>104</v>
      </c>
      <c r="BK187" s="658">
        <f>SUBTOTAL(109,SFG_P73[SV])</f>
        <v>2</v>
      </c>
      <c r="BL187" s="667">
        <f>IFERROR((BI187+BG187)/BF187,0)</f>
        <v>1.4158894257781773</v>
      </c>
      <c r="BM187" s="661">
        <f>SUBTOTAL(109,SFG_P73[QS])</f>
        <v>5</v>
      </c>
      <c r="BN187" s="750">
        <f>SUBTOTAL(109,SFG_P73[UQ])</f>
        <v>4</v>
      </c>
      <c r="BO187" s="670">
        <f>SUM(BO177:BO186)</f>
        <v>1</v>
      </c>
      <c r="BP187" s="671">
        <f>SUM(BP177:BP186)</f>
        <v>1</v>
      </c>
      <c r="BQ187" s="662"/>
    </row>
    <row r="188" spans="1:73" ht="17" thickBot="1">
      <c r="E188" s="28"/>
      <c r="F188" s="28"/>
      <c r="G188" s="28"/>
    </row>
    <row r="189" spans="1:73" ht="24" thickBot="1">
      <c r="A189" s="1057" t="s">
        <v>1302</v>
      </c>
      <c r="B189" s="1058"/>
      <c r="C189" s="1058"/>
      <c r="D189" s="1058"/>
      <c r="E189" s="1058"/>
      <c r="F189" s="1058"/>
      <c r="G189" s="1058"/>
      <c r="H189" s="1058"/>
      <c r="I189" s="1058"/>
      <c r="J189" s="1058"/>
      <c r="K189" s="1058"/>
      <c r="L189" s="1058"/>
      <c r="M189" s="1058"/>
      <c r="N189" s="1058"/>
      <c r="O189" s="1058"/>
      <c r="P189" s="1058"/>
      <c r="Q189" s="1058"/>
      <c r="R189" s="1058"/>
      <c r="S189" s="1058"/>
      <c r="T189" s="1058"/>
      <c r="U189" s="1058"/>
      <c r="V189" s="1058"/>
      <c r="W189" s="1059"/>
      <c r="Z189" s="1045" t="s">
        <v>1303</v>
      </c>
      <c r="AA189" s="1046"/>
      <c r="AB189" s="1046"/>
      <c r="AC189" s="1046"/>
      <c r="AD189" s="1046"/>
      <c r="AE189" s="1046"/>
      <c r="AF189" s="1046"/>
      <c r="AG189" s="1046"/>
      <c r="AH189" s="1046"/>
      <c r="AI189" s="1046"/>
      <c r="AJ189" s="1046"/>
      <c r="AK189" s="1046"/>
      <c r="AL189" s="1046"/>
      <c r="AM189" s="1046"/>
      <c r="AN189" s="1046"/>
      <c r="AO189" s="1046"/>
      <c r="AP189" s="1046"/>
      <c r="AQ189" s="1046"/>
      <c r="AR189" s="1046"/>
      <c r="AS189" s="1046"/>
      <c r="AT189" s="1046"/>
      <c r="AU189" s="1046"/>
      <c r="AV189" s="1047"/>
      <c r="AY189" s="1057" t="s">
        <v>1304</v>
      </c>
      <c r="AZ189" s="1058"/>
      <c r="BA189" s="1058"/>
      <c r="BB189" s="1058"/>
      <c r="BC189" s="1058"/>
      <c r="BD189" s="1058"/>
      <c r="BE189" s="1058"/>
      <c r="BF189" s="1058"/>
      <c r="BG189" s="1058"/>
      <c r="BH189" s="1058"/>
      <c r="BI189" s="1058"/>
      <c r="BJ189" s="1058"/>
      <c r="BK189" s="1058"/>
      <c r="BL189" s="1058"/>
      <c r="BM189" s="1058"/>
      <c r="BN189" s="1058"/>
      <c r="BO189" s="1058"/>
      <c r="BP189" s="1058"/>
      <c r="BQ189" s="1058"/>
      <c r="BR189" s="1058"/>
      <c r="BS189" s="1058"/>
      <c r="BT189" s="1058"/>
      <c r="BU189" s="1059"/>
    </row>
    <row r="190" spans="1:73" s="108" customFormat="1" ht="15" thickBot="1">
      <c r="A190" s="605" t="s">
        <v>143</v>
      </c>
      <c r="B190" s="606" t="s">
        <v>144</v>
      </c>
      <c r="C190" s="606" t="s">
        <v>145</v>
      </c>
      <c r="D190" s="606" t="s">
        <v>146</v>
      </c>
      <c r="E190" s="606" t="s">
        <v>147</v>
      </c>
      <c r="F190" s="606" t="s">
        <v>148</v>
      </c>
      <c r="G190" s="606" t="s">
        <v>149</v>
      </c>
      <c r="H190" s="606" t="s">
        <v>150</v>
      </c>
      <c r="I190" s="606" t="s">
        <v>151</v>
      </c>
      <c r="J190" s="606" t="s">
        <v>152</v>
      </c>
      <c r="K190" s="606" t="s">
        <v>153</v>
      </c>
      <c r="L190" s="606" t="s">
        <v>154</v>
      </c>
      <c r="M190" s="606" t="s">
        <v>155</v>
      </c>
      <c r="N190" s="606" t="s">
        <v>156</v>
      </c>
      <c r="O190" s="606" t="s">
        <v>157</v>
      </c>
      <c r="P190" s="606" t="s">
        <v>158</v>
      </c>
      <c r="Q190" s="606" t="s">
        <v>159</v>
      </c>
      <c r="R190" s="606" t="s">
        <v>160</v>
      </c>
      <c r="S190" s="606" t="s">
        <v>16</v>
      </c>
      <c r="T190" s="606" t="s">
        <v>161</v>
      </c>
      <c r="U190" s="606" t="s">
        <v>162</v>
      </c>
      <c r="V190" s="606" t="s">
        <v>163</v>
      </c>
      <c r="W190" s="607" t="s">
        <v>164</v>
      </c>
      <c r="Z190" s="605" t="s">
        <v>143</v>
      </c>
      <c r="AA190" s="606" t="s">
        <v>144</v>
      </c>
      <c r="AB190" s="606" t="s">
        <v>145</v>
      </c>
      <c r="AC190" s="606" t="s">
        <v>146</v>
      </c>
      <c r="AD190" s="606" t="s">
        <v>147</v>
      </c>
      <c r="AE190" s="606" t="s">
        <v>148</v>
      </c>
      <c r="AF190" s="606" t="s">
        <v>149</v>
      </c>
      <c r="AG190" s="606" t="s">
        <v>150</v>
      </c>
      <c r="AH190" s="606" t="s">
        <v>151</v>
      </c>
      <c r="AI190" s="606" t="s">
        <v>152</v>
      </c>
      <c r="AJ190" s="606" t="s">
        <v>153</v>
      </c>
      <c r="AK190" s="606" t="s">
        <v>154</v>
      </c>
      <c r="AL190" s="606" t="s">
        <v>155</v>
      </c>
      <c r="AM190" s="606" t="s">
        <v>156</v>
      </c>
      <c r="AN190" s="606" t="s">
        <v>157</v>
      </c>
      <c r="AO190" s="606" t="s">
        <v>158</v>
      </c>
      <c r="AP190" s="606" t="s">
        <v>159</v>
      </c>
      <c r="AQ190" s="606" t="s">
        <v>160</v>
      </c>
      <c r="AR190" s="606" t="s">
        <v>16</v>
      </c>
      <c r="AS190" s="606" t="s">
        <v>161</v>
      </c>
      <c r="AT190" s="606" t="s">
        <v>162</v>
      </c>
      <c r="AU190" s="606" t="s">
        <v>163</v>
      </c>
      <c r="AV190" s="607" t="s">
        <v>164</v>
      </c>
      <c r="AY190" s="605" t="s">
        <v>143</v>
      </c>
      <c r="AZ190" s="606" t="s">
        <v>144</v>
      </c>
      <c r="BA190" s="606" t="s">
        <v>145</v>
      </c>
      <c r="BB190" s="606" t="s">
        <v>146</v>
      </c>
      <c r="BC190" s="606" t="s">
        <v>147</v>
      </c>
      <c r="BD190" s="606" t="s">
        <v>148</v>
      </c>
      <c r="BE190" s="606" t="s">
        <v>149</v>
      </c>
      <c r="BF190" s="606" t="s">
        <v>150</v>
      </c>
      <c r="BG190" s="606" t="s">
        <v>151</v>
      </c>
      <c r="BH190" s="606" t="s">
        <v>152</v>
      </c>
      <c r="BI190" s="606" t="s">
        <v>153</v>
      </c>
      <c r="BJ190" s="606" t="s">
        <v>154</v>
      </c>
      <c r="BK190" s="606" t="s">
        <v>155</v>
      </c>
      <c r="BL190" s="606" t="s">
        <v>156</v>
      </c>
      <c r="BM190" s="606" t="s">
        <v>157</v>
      </c>
      <c r="BN190" s="606" t="s">
        <v>158</v>
      </c>
      <c r="BO190" s="606" t="s">
        <v>159</v>
      </c>
      <c r="BP190" s="606" t="s">
        <v>160</v>
      </c>
      <c r="BQ190" s="606" t="s">
        <v>16</v>
      </c>
      <c r="BR190" s="606" t="s">
        <v>161</v>
      </c>
      <c r="BS190" s="606" t="s">
        <v>162</v>
      </c>
      <c r="BT190" s="606" t="s">
        <v>163</v>
      </c>
      <c r="BU190" s="607" t="s">
        <v>164</v>
      </c>
    </row>
    <row r="191" spans="1:73">
      <c r="A191" s="650" t="s">
        <v>1200</v>
      </c>
      <c r="B191" s="597" t="s">
        <v>179</v>
      </c>
      <c r="C191" s="597" t="s">
        <v>1210</v>
      </c>
      <c r="D191" s="598">
        <f>IFERROR(SDP_H274[[#This Row],[H]]/SDP_H274[[#This Row],[AB]],0)</f>
        <v>0.41666666666666669</v>
      </c>
      <c r="E191" s="598">
        <f>IFERROR((SDP_H274[[#This Row],[H]]+SDP_H274[[#This Row],[BB]])/(SDP_H274[[#This Row],[BB]]+SDP_H274[[#This Row],[AB]]),0)</f>
        <v>0.41666666666666669</v>
      </c>
      <c r="F191" s="599">
        <f>IFERROR(((SDP_H274[[#This Row],[H]]-SDP_H274[[#This Row],[2B]]-SDP_H274[[#This Row],[3B]]-SDP_H274[[#This Row],[HR]])+(SDP_H274[[#This Row],[2B]]*2)+(SDP_H274[[#This Row],[3B]]*3)+(SDP_H274[[#This Row],[HR]]*4))/SDP_H274[[#This Row],[AB]],0)</f>
        <v>0.66666666666666663</v>
      </c>
      <c r="G191" s="600">
        <v>3</v>
      </c>
      <c r="H191" s="600">
        <v>12</v>
      </c>
      <c r="I191" s="600">
        <v>2</v>
      </c>
      <c r="J191" s="600">
        <v>5</v>
      </c>
      <c r="K191" s="600">
        <v>0</v>
      </c>
      <c r="L191" s="600">
        <v>0</v>
      </c>
      <c r="M191" s="600">
        <v>1</v>
      </c>
      <c r="N191" s="600">
        <v>3</v>
      </c>
      <c r="O191" s="600">
        <v>0</v>
      </c>
      <c r="P191" s="604">
        <v>4</v>
      </c>
      <c r="Q191" s="600">
        <v>0</v>
      </c>
      <c r="R191" s="600">
        <v>3</v>
      </c>
      <c r="S191" s="604">
        <v>3</v>
      </c>
      <c r="T191" s="600">
        <f>IFERROR((SDP_H274[[#This Row],[H]]-SDP_H274[[#This Row],[2B]]-SDP_H274[[#This Row],[3B]]-SDP_H274[[#This Row],[HR]])+(SDP_H274[[#This Row],[2B]]*2)+(SDP_H274[[#This Row],[3B]]*3)+(SDP_H274[[#This Row],[HR]]*4),0)</f>
        <v>8</v>
      </c>
      <c r="U191" s="598">
        <f>SDP_H274[[#This Row],[OBP]]+SDP_H274[[#This Row],[SLG]]</f>
        <v>1.0833333333333333</v>
      </c>
      <c r="V191" s="604">
        <v>0</v>
      </c>
      <c r="W191" s="614">
        <v>1</v>
      </c>
      <c r="Z191" s="650" t="s">
        <v>1171</v>
      </c>
      <c r="AA191" s="597" t="s">
        <v>179</v>
      </c>
      <c r="AB191" s="597" t="s">
        <v>864</v>
      </c>
      <c r="AC191" s="598">
        <f>IFERROR(LAD_H65[[#This Row],[H]]/LAD_H65[[#This Row],[AB]],0)</f>
        <v>0.25</v>
      </c>
      <c r="AD191" s="598">
        <f>IFERROR((LAD_H65[[#This Row],[H]]+LAD_H65[[#This Row],[BB]])/(LAD_H65[[#This Row],[BB]]+LAD_H65[[#This Row],[AB]]),0)</f>
        <v>0.3125</v>
      </c>
      <c r="AE191" s="599">
        <f>IFERROR(((LAD_H65[[#This Row],[H]]-LAD_H65[[#This Row],[2B]]-LAD_H65[[#This Row],[3B]]-LAD_H65[[#This Row],[HR]])+(LAD_H65[[#This Row],[2B]]*2)+(LAD_H65[[#This Row],[3B]]*3)+(LAD_H65[[#This Row],[HR]]*4))/LAD_H65[[#This Row],[AB]],0)</f>
        <v>0.31818181818181818</v>
      </c>
      <c r="AF191" s="600">
        <v>12</v>
      </c>
      <c r="AG191" s="600">
        <v>44</v>
      </c>
      <c r="AH191" s="600">
        <v>1</v>
      </c>
      <c r="AI191" s="600">
        <v>11</v>
      </c>
      <c r="AJ191" s="600">
        <v>3</v>
      </c>
      <c r="AK191" s="600">
        <v>0</v>
      </c>
      <c r="AL191" s="600">
        <v>0</v>
      </c>
      <c r="AM191" s="600">
        <v>2</v>
      </c>
      <c r="AN191" s="600">
        <v>4</v>
      </c>
      <c r="AO191" s="604">
        <v>14</v>
      </c>
      <c r="AP191" s="600">
        <v>0</v>
      </c>
      <c r="AQ191" s="600">
        <v>3</v>
      </c>
      <c r="AR191" s="604">
        <v>3</v>
      </c>
      <c r="AS191" s="600">
        <f>IFERROR((LAD_H65[[#This Row],[H]]-LAD_H65[[#This Row],[2B]]-LAD_H65[[#This Row],[3B]]-LAD_H65[[#This Row],[HR]])+(LAD_H65[[#This Row],[2B]]*2)+(LAD_H65[[#This Row],[3B]]*3)+(LAD_H65[[#This Row],[HR]]*4),0)</f>
        <v>14</v>
      </c>
      <c r="AT191" s="598">
        <f>LAD_H65[[#This Row],[OBP]]+LAD_H65[[#This Row],[SLG]]</f>
        <v>0.63068181818181812</v>
      </c>
      <c r="AU191" s="604">
        <v>0</v>
      </c>
      <c r="AV191" s="614">
        <v>1</v>
      </c>
      <c r="AY191" s="650" t="s">
        <v>1200</v>
      </c>
      <c r="AZ191" s="604" t="s">
        <v>179</v>
      </c>
      <c r="BA191" s="597" t="s">
        <v>1208</v>
      </c>
      <c r="BB191" s="598">
        <f>IFERROR(SDP_H68[[#This Row],[H]]/SDP_H68[[#This Row],[AB]],0)</f>
        <v>0.2</v>
      </c>
      <c r="BC191" s="598">
        <f>IFERROR((SDP_H68[[#This Row],[BB]]+SDP_H68[[#This Row],[H]])/(SDP_H68[[#This Row],[BB]]+SDP_H68[[#This Row],[AB]]),0)</f>
        <v>0.27272727272727271</v>
      </c>
      <c r="BD191" s="599">
        <f>IFERROR(((SDP_H68[[#This Row],[H]]-SDP_H68[[#This Row],[2B]]-SDP_H68[[#This Row],[3B]]-SDP_H68[[#This Row],[HR]])+(SDP_H68[[#This Row],[2B]]*2)+(SDP_H68[[#This Row],[3B]]*3)+(SDP_H68[[#This Row],[HR]]*4))/SDP_H68[[#This Row],[AB]],0)</f>
        <v>0.2</v>
      </c>
      <c r="BE191" s="600">
        <v>3</v>
      </c>
      <c r="BF191" s="600">
        <v>10</v>
      </c>
      <c r="BG191" s="600">
        <v>0</v>
      </c>
      <c r="BH191" s="600">
        <v>2</v>
      </c>
      <c r="BI191" s="600">
        <v>0</v>
      </c>
      <c r="BJ191" s="600">
        <v>0</v>
      </c>
      <c r="BK191" s="600">
        <v>0</v>
      </c>
      <c r="BL191" s="600">
        <v>0</v>
      </c>
      <c r="BM191" s="600">
        <v>1</v>
      </c>
      <c r="BN191" s="604">
        <v>3</v>
      </c>
      <c r="BO191" s="600">
        <v>0</v>
      </c>
      <c r="BP191" s="600">
        <v>0</v>
      </c>
      <c r="BQ191" s="604">
        <v>2</v>
      </c>
      <c r="BR191" s="600">
        <f>(SDP_H68[[#This Row],[H]]-SDP_H68[[#This Row],[2B]]-SDP_H68[[#This Row],[3B]]-SDP_H68[[#This Row],[HR]])+(SDP_H68[[#This Row],[2B]]*2)+(SDP_H68[[#This Row],[3B]]*3)+(SDP_H68[[#This Row],[HR]]*4)</f>
        <v>2</v>
      </c>
      <c r="BS191" s="598">
        <f>IFERROR(SDP_H68[[#This Row],[OBP]]+SDP_H68[[#This Row],[SLG]],0)</f>
        <v>0.47272727272727272</v>
      </c>
      <c r="BT191" s="604">
        <v>0</v>
      </c>
      <c r="BU191" s="614">
        <v>1</v>
      </c>
    </row>
    <row r="192" spans="1:73">
      <c r="A192" s="651" t="s">
        <v>1200</v>
      </c>
      <c r="B192" s="71" t="s">
        <v>154</v>
      </c>
      <c r="C192" s="71" t="s">
        <v>1202</v>
      </c>
      <c r="D192" s="72">
        <f>IFERROR(SDP_H274[[#This Row],[H]]/SDP_H274[[#This Row],[AB]],0)</f>
        <v>0.33333333333333331</v>
      </c>
      <c r="E192" s="72">
        <f>IFERROR((SDP_H274[[#This Row],[H]]+SDP_H274[[#This Row],[BB]])/(SDP_H274[[#This Row],[BB]]+SDP_H274[[#This Row],[AB]]),0)</f>
        <v>0.33333333333333331</v>
      </c>
      <c r="F192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0.6</v>
      </c>
      <c r="G192" s="28">
        <v>3</v>
      </c>
      <c r="H192" s="28">
        <v>15</v>
      </c>
      <c r="I192" s="28">
        <v>2</v>
      </c>
      <c r="J192" s="28">
        <v>5</v>
      </c>
      <c r="K192" s="28">
        <v>1</v>
      </c>
      <c r="L192" s="28">
        <v>0</v>
      </c>
      <c r="M192" s="28">
        <v>1</v>
      </c>
      <c r="N192" s="28">
        <v>3</v>
      </c>
      <c r="O192" s="28">
        <v>0</v>
      </c>
      <c r="P192" s="74">
        <v>5</v>
      </c>
      <c r="Q192" s="28">
        <v>0</v>
      </c>
      <c r="R192" s="28">
        <v>3</v>
      </c>
      <c r="S192" s="74">
        <v>3</v>
      </c>
      <c r="T192" s="28">
        <f>IFERROR((SDP_H274[[#This Row],[H]]-SDP_H274[[#This Row],[2B]]-SDP_H274[[#This Row],[3B]]-SDP_H274[[#This Row],[HR]])+(SDP_H274[[#This Row],[2B]]*2)+(SDP_H274[[#This Row],[3B]]*3)+(SDP_H274[[#This Row],[HR]]*4),0)</f>
        <v>9</v>
      </c>
      <c r="U192" s="72">
        <f>SDP_H274[[#This Row],[OBP]]+SDP_H274[[#This Row],[SLG]]</f>
        <v>0.93333333333333335</v>
      </c>
      <c r="V192" s="74">
        <v>0</v>
      </c>
      <c r="W192" s="615">
        <v>2</v>
      </c>
      <c r="Z192" s="651" t="s">
        <v>1171</v>
      </c>
      <c r="AA192" s="71" t="s">
        <v>154</v>
      </c>
      <c r="AB192" s="71" t="s">
        <v>1173</v>
      </c>
      <c r="AC192" s="72">
        <f>IFERROR(LAD_H65[[#This Row],[H]]/LAD_H65[[#This Row],[AB]],0)</f>
        <v>0.20408163265306123</v>
      </c>
      <c r="AD192" s="72">
        <f>IFERROR((LAD_H65[[#This Row],[H]]+LAD_H65[[#This Row],[BB]])/(LAD_H65[[#This Row],[BB]]+LAD_H65[[#This Row],[AB]]),0)</f>
        <v>0.26415094339622641</v>
      </c>
      <c r="AE192" s="73">
        <f>IFERROR(((LAD_H65[[#This Row],[H]]-LAD_H65[[#This Row],[2B]]-LAD_H65[[#This Row],[3B]]-LAD_H65[[#This Row],[HR]])+(LAD_H65[[#This Row],[2B]]*2)+(LAD_H65[[#This Row],[3B]]*3)+(LAD_H65[[#This Row],[HR]]*4))/LAD_H65[[#This Row],[AB]],0)</f>
        <v>0.36734693877551022</v>
      </c>
      <c r="AF192" s="28">
        <v>12</v>
      </c>
      <c r="AG192" s="28">
        <v>49</v>
      </c>
      <c r="AH192" s="28">
        <v>3</v>
      </c>
      <c r="AI192" s="28">
        <v>10</v>
      </c>
      <c r="AJ192" s="28">
        <v>2</v>
      </c>
      <c r="AK192" s="28">
        <v>0</v>
      </c>
      <c r="AL192" s="28">
        <v>2</v>
      </c>
      <c r="AM192" s="28">
        <v>8</v>
      </c>
      <c r="AN192" s="28">
        <v>4</v>
      </c>
      <c r="AO192" s="74">
        <v>11</v>
      </c>
      <c r="AP192" s="28">
        <v>0</v>
      </c>
      <c r="AQ192" s="28">
        <v>1</v>
      </c>
      <c r="AR192" s="74">
        <v>4</v>
      </c>
      <c r="AS192" s="28">
        <f>IFERROR((LAD_H65[[#This Row],[H]]-LAD_H65[[#This Row],[2B]]-LAD_H65[[#This Row],[3B]]-LAD_H65[[#This Row],[HR]])+(LAD_H65[[#This Row],[2B]]*2)+(LAD_H65[[#This Row],[3B]]*3)+(LAD_H65[[#This Row],[HR]]*4),0)</f>
        <v>18</v>
      </c>
      <c r="AT192" s="72">
        <f>LAD_H65[[#This Row],[OBP]]+LAD_H65[[#This Row],[SLG]]</f>
        <v>0.63149788217173664</v>
      </c>
      <c r="AU192" s="74">
        <v>0</v>
      </c>
      <c r="AV192" s="615">
        <v>2</v>
      </c>
      <c r="AY192" s="651" t="s">
        <v>1200</v>
      </c>
      <c r="AZ192" s="74" t="s">
        <v>154</v>
      </c>
      <c r="BA192" s="71" t="s">
        <v>1202</v>
      </c>
      <c r="BB192" s="72">
        <f>IFERROR(SDP_H68[[#This Row],[H]]/SDP_H68[[#This Row],[AB]],0)</f>
        <v>0.36363636363636365</v>
      </c>
      <c r="BC192" s="72">
        <f>IFERROR((SDP_H68[[#This Row],[BB]]+SDP_H68[[#This Row],[H]])/(SDP_H68[[#This Row],[BB]]+SDP_H68[[#This Row],[AB]]),0)</f>
        <v>0.41666666666666669</v>
      </c>
      <c r="BD192" s="73">
        <f>IFERROR(((SDP_H68[[#This Row],[H]]-SDP_H68[[#This Row],[2B]]-SDP_H68[[#This Row],[3B]]-SDP_H68[[#This Row],[HR]])+(SDP_H68[[#This Row],[2B]]*2)+(SDP_H68[[#This Row],[3B]]*3)+(SDP_H68[[#This Row],[HR]]*4))/SDP_H68[[#This Row],[AB]],0)</f>
        <v>0.54545454545454541</v>
      </c>
      <c r="BE192" s="28">
        <v>3</v>
      </c>
      <c r="BF192" s="28">
        <v>11</v>
      </c>
      <c r="BG192" s="28">
        <v>1</v>
      </c>
      <c r="BH192" s="28">
        <v>4</v>
      </c>
      <c r="BI192" s="28">
        <v>2</v>
      </c>
      <c r="BJ192" s="28">
        <v>0</v>
      </c>
      <c r="BK192" s="28">
        <v>0</v>
      </c>
      <c r="BL192" s="28">
        <v>1</v>
      </c>
      <c r="BM192" s="28">
        <v>1</v>
      </c>
      <c r="BN192" s="74">
        <v>5</v>
      </c>
      <c r="BO192" s="28">
        <v>0</v>
      </c>
      <c r="BP192" s="28">
        <v>2</v>
      </c>
      <c r="BQ192" s="74">
        <v>2</v>
      </c>
      <c r="BR192" s="28">
        <f>(SDP_H68[[#This Row],[H]]-SDP_H68[[#This Row],[2B]]-SDP_H68[[#This Row],[3B]]-SDP_H68[[#This Row],[HR]])+(SDP_H68[[#This Row],[2B]]*2)+(SDP_H68[[#This Row],[3B]]*3)+(SDP_H68[[#This Row],[HR]]*4)</f>
        <v>6</v>
      </c>
      <c r="BS192" s="72">
        <f>IFERROR(SDP_H68[[#This Row],[OBP]]+SDP_H68[[#This Row],[SLG]],0)</f>
        <v>0.96212121212121215</v>
      </c>
      <c r="BT192" s="74">
        <v>0</v>
      </c>
      <c r="BU192" s="615">
        <v>2</v>
      </c>
    </row>
    <row r="193" spans="1:73">
      <c r="A193" s="651" t="s">
        <v>1200</v>
      </c>
      <c r="B193" s="71" t="s">
        <v>172</v>
      </c>
      <c r="C193" s="71" t="s">
        <v>237</v>
      </c>
      <c r="D193" s="72">
        <f>IFERROR(SDP_H274[[#This Row],[H]]/SDP_H274[[#This Row],[AB]],0)</f>
        <v>0.23076923076923078</v>
      </c>
      <c r="E193" s="72">
        <f>IFERROR((SDP_H274[[#This Row],[H]]+SDP_H274[[#This Row],[BB]])/(SDP_H274[[#This Row],[BB]]+SDP_H274[[#This Row],[AB]]),0)</f>
        <v>0.2857142857142857</v>
      </c>
      <c r="F193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0.30769230769230771</v>
      </c>
      <c r="G193" s="28">
        <v>3</v>
      </c>
      <c r="H193" s="28">
        <v>13</v>
      </c>
      <c r="I193" s="28">
        <v>1</v>
      </c>
      <c r="J193" s="28">
        <v>3</v>
      </c>
      <c r="K193" s="28">
        <v>1</v>
      </c>
      <c r="L193" s="28">
        <v>0</v>
      </c>
      <c r="M193" s="28">
        <v>0</v>
      </c>
      <c r="N193" s="28">
        <v>1</v>
      </c>
      <c r="O193" s="28">
        <v>1</v>
      </c>
      <c r="P193" s="74">
        <v>2</v>
      </c>
      <c r="Q193" s="28">
        <v>0</v>
      </c>
      <c r="R193" s="28">
        <v>2</v>
      </c>
      <c r="S193" s="74">
        <v>2</v>
      </c>
      <c r="T193" s="28">
        <f>IFERROR((SDP_H274[[#This Row],[H]]-SDP_H274[[#This Row],[2B]]-SDP_H274[[#This Row],[3B]]-SDP_H274[[#This Row],[HR]])+(SDP_H274[[#This Row],[2B]]*2)+(SDP_H274[[#This Row],[3B]]*3)+(SDP_H274[[#This Row],[HR]]*4),0)</f>
        <v>4</v>
      </c>
      <c r="U193" s="72">
        <f>SDP_H274[[#This Row],[OBP]]+SDP_H274[[#This Row],[SLG]]</f>
        <v>0.59340659340659341</v>
      </c>
      <c r="V193" s="74">
        <v>0</v>
      </c>
      <c r="W193" s="615">
        <v>3</v>
      </c>
      <c r="Z193" s="651" t="s">
        <v>1171</v>
      </c>
      <c r="AA193" s="71" t="s">
        <v>172</v>
      </c>
      <c r="AB193" s="71" t="s">
        <v>872</v>
      </c>
      <c r="AC193" s="72">
        <f>IFERROR(LAD_H65[[#This Row],[H]]/LAD_H65[[#This Row],[AB]],0)</f>
        <v>0.19148936170212766</v>
      </c>
      <c r="AD193" s="72">
        <f>IFERROR((LAD_H65[[#This Row],[H]]+LAD_H65[[#This Row],[BB]])/(LAD_H65[[#This Row],[BB]]+LAD_H65[[#This Row],[AB]]),0)</f>
        <v>0.28301886792452829</v>
      </c>
      <c r="AE193" s="73">
        <f>IFERROR(((LAD_H65[[#This Row],[H]]-LAD_H65[[#This Row],[2B]]-LAD_H65[[#This Row],[3B]]-LAD_H65[[#This Row],[HR]])+(LAD_H65[[#This Row],[2B]]*2)+(LAD_H65[[#This Row],[3B]]*3)+(LAD_H65[[#This Row],[HR]]*4))/LAD_H65[[#This Row],[AB]],0)</f>
        <v>0.21276595744680851</v>
      </c>
      <c r="AF193" s="28">
        <v>12</v>
      </c>
      <c r="AG193" s="28">
        <v>47</v>
      </c>
      <c r="AH193" s="28">
        <v>6</v>
      </c>
      <c r="AI193" s="28">
        <v>9</v>
      </c>
      <c r="AJ193" s="28">
        <v>1</v>
      </c>
      <c r="AK193" s="28">
        <v>0</v>
      </c>
      <c r="AL193" s="28">
        <v>0</v>
      </c>
      <c r="AM193" s="28">
        <v>1</v>
      </c>
      <c r="AN193" s="28">
        <v>6</v>
      </c>
      <c r="AO193" s="74">
        <v>11</v>
      </c>
      <c r="AP193" s="76">
        <v>6</v>
      </c>
      <c r="AQ193" s="28">
        <v>2</v>
      </c>
      <c r="AR193" s="74">
        <v>2</v>
      </c>
      <c r="AS193" s="28">
        <f>IFERROR((LAD_H65[[#This Row],[H]]-LAD_H65[[#This Row],[2B]]-LAD_H65[[#This Row],[3B]]-LAD_H65[[#This Row],[HR]])+(LAD_H65[[#This Row],[2B]]*2)+(LAD_H65[[#This Row],[3B]]*3)+(LAD_H65[[#This Row],[HR]]*4),0)</f>
        <v>10</v>
      </c>
      <c r="AT193" s="72">
        <f>LAD_H65[[#This Row],[OBP]]+LAD_H65[[#This Row],[SLG]]</f>
        <v>0.49578482537133683</v>
      </c>
      <c r="AU193" s="74">
        <v>0</v>
      </c>
      <c r="AV193" s="615">
        <v>3</v>
      </c>
      <c r="AY193" s="651" t="s">
        <v>1200</v>
      </c>
      <c r="AZ193" s="74" t="s">
        <v>172</v>
      </c>
      <c r="BA193" s="71" t="s">
        <v>2185</v>
      </c>
      <c r="BB193" s="72">
        <f>IFERROR(SDP_H68[[#This Row],[H]]/SDP_H68[[#This Row],[AB]],0)</f>
        <v>9.0909090909090912E-2</v>
      </c>
      <c r="BC193" s="72">
        <f>IFERROR((SDP_H68[[#This Row],[BB]]+SDP_H68[[#This Row],[H]])/(SDP_H68[[#This Row],[BB]]+SDP_H68[[#This Row],[AB]]),0)</f>
        <v>0.16666666666666666</v>
      </c>
      <c r="BD193" s="73">
        <f>IFERROR(((SDP_H68[[#This Row],[H]]-SDP_H68[[#This Row],[2B]]-SDP_H68[[#This Row],[3B]]-SDP_H68[[#This Row],[HR]])+(SDP_H68[[#This Row],[2B]]*2)+(SDP_H68[[#This Row],[3B]]*3)+(SDP_H68[[#This Row],[HR]]*4))/SDP_H68[[#This Row],[AB]],0)</f>
        <v>9.0909090909090912E-2</v>
      </c>
      <c r="BE193" s="28">
        <v>3</v>
      </c>
      <c r="BF193" s="28">
        <v>11</v>
      </c>
      <c r="BG193" s="28">
        <v>1</v>
      </c>
      <c r="BH193" s="28">
        <v>1</v>
      </c>
      <c r="BI193" s="28">
        <v>0</v>
      </c>
      <c r="BJ193" s="28">
        <v>0</v>
      </c>
      <c r="BK193" s="28">
        <v>0</v>
      </c>
      <c r="BL193" s="28">
        <v>1</v>
      </c>
      <c r="BM193" s="28">
        <v>1</v>
      </c>
      <c r="BN193" s="74">
        <v>4</v>
      </c>
      <c r="BO193" s="28">
        <v>0</v>
      </c>
      <c r="BP193" s="28">
        <v>1</v>
      </c>
      <c r="BQ193" s="74">
        <v>1</v>
      </c>
      <c r="BR193" s="28">
        <f>(SDP_H68[[#This Row],[H]]-SDP_H68[[#This Row],[2B]]-SDP_H68[[#This Row],[3B]]-SDP_H68[[#This Row],[HR]])+(SDP_H68[[#This Row],[2B]]*2)+(SDP_H68[[#This Row],[3B]]*3)+(SDP_H68[[#This Row],[HR]]*4)</f>
        <v>1</v>
      </c>
      <c r="BS193" s="72">
        <f>IFERROR(SDP_H68[[#This Row],[OBP]]+SDP_H68[[#This Row],[SLG]],0)</f>
        <v>0.25757575757575757</v>
      </c>
      <c r="BT193" s="74">
        <v>0</v>
      </c>
      <c r="BU193" s="615">
        <v>3</v>
      </c>
    </row>
    <row r="194" spans="1:73">
      <c r="A194" s="651" t="s">
        <v>1200</v>
      </c>
      <c r="B194" s="71" t="s">
        <v>153</v>
      </c>
      <c r="C194" s="71" t="s">
        <v>1205</v>
      </c>
      <c r="D194" s="72">
        <f>IFERROR(SDP_H274[[#This Row],[H]]/SDP_H274[[#This Row],[AB]],0)</f>
        <v>0.30769230769230771</v>
      </c>
      <c r="E194" s="72">
        <f>IFERROR((SDP_H274[[#This Row],[H]]+SDP_H274[[#This Row],[BB]])/(SDP_H274[[#This Row],[BB]]+SDP_H274[[#This Row],[AB]]),0)</f>
        <v>0.30769230769230771</v>
      </c>
      <c r="F194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0.76923076923076927</v>
      </c>
      <c r="G194" s="28">
        <v>3</v>
      </c>
      <c r="H194" s="28">
        <v>13</v>
      </c>
      <c r="I194" s="28">
        <v>3</v>
      </c>
      <c r="J194" s="28">
        <v>4</v>
      </c>
      <c r="K194" s="28">
        <v>1</v>
      </c>
      <c r="L194" s="28">
        <v>1</v>
      </c>
      <c r="M194" s="28">
        <v>1</v>
      </c>
      <c r="N194" s="28">
        <v>3</v>
      </c>
      <c r="O194" s="28">
        <v>0</v>
      </c>
      <c r="P194" s="74">
        <v>1</v>
      </c>
      <c r="Q194" s="28">
        <v>0</v>
      </c>
      <c r="R194" s="28">
        <v>2</v>
      </c>
      <c r="S194" s="74">
        <v>2</v>
      </c>
      <c r="T194" s="28">
        <f>IFERROR((SDP_H274[[#This Row],[H]]-SDP_H274[[#This Row],[2B]]-SDP_H274[[#This Row],[3B]]-SDP_H274[[#This Row],[HR]])+(SDP_H274[[#This Row],[2B]]*2)+(SDP_H274[[#This Row],[3B]]*3)+(SDP_H274[[#This Row],[HR]]*4),0)</f>
        <v>10</v>
      </c>
      <c r="U194" s="72">
        <f>SDP_H274[[#This Row],[OBP]]+SDP_H274[[#This Row],[SLG]]</f>
        <v>1.0769230769230771</v>
      </c>
      <c r="V194" s="74">
        <v>0</v>
      </c>
      <c r="W194" s="615">
        <v>4</v>
      </c>
      <c r="Z194" s="651" t="s">
        <v>1171</v>
      </c>
      <c r="AA194" s="71" t="s">
        <v>153</v>
      </c>
      <c r="AB194" s="71" t="s">
        <v>1174</v>
      </c>
      <c r="AC194" s="72">
        <f>IFERROR(LAD_H65[[#This Row],[H]]/LAD_H65[[#This Row],[AB]],0)</f>
        <v>0.24444444444444444</v>
      </c>
      <c r="AD194" s="72">
        <f>IFERROR((LAD_H65[[#This Row],[H]]+LAD_H65[[#This Row],[BB]])/(LAD_H65[[#This Row],[BB]]+LAD_H65[[#This Row],[AB]]),0)</f>
        <v>0.34615384615384615</v>
      </c>
      <c r="AE194" s="73">
        <f>IFERROR(((LAD_H65[[#This Row],[H]]-LAD_H65[[#This Row],[2B]]-LAD_H65[[#This Row],[3B]]-LAD_H65[[#This Row],[HR]])+(LAD_H65[[#This Row],[2B]]*2)+(LAD_H65[[#This Row],[3B]]*3)+(LAD_H65[[#This Row],[HR]]*4))/LAD_H65[[#This Row],[AB]],0)</f>
        <v>0.28888888888888886</v>
      </c>
      <c r="AF194" s="28">
        <v>12</v>
      </c>
      <c r="AG194" s="28">
        <v>45</v>
      </c>
      <c r="AH194" s="28">
        <v>4</v>
      </c>
      <c r="AI194" s="28">
        <v>11</v>
      </c>
      <c r="AJ194" s="28">
        <v>2</v>
      </c>
      <c r="AK194" s="28">
        <v>0</v>
      </c>
      <c r="AL194" s="28">
        <v>0</v>
      </c>
      <c r="AM194" s="28">
        <v>3</v>
      </c>
      <c r="AN194" s="28">
        <v>7</v>
      </c>
      <c r="AO194" s="74">
        <v>15</v>
      </c>
      <c r="AP194" s="28">
        <v>0</v>
      </c>
      <c r="AQ194" s="28">
        <v>2</v>
      </c>
      <c r="AR194" s="74">
        <v>2</v>
      </c>
      <c r="AS194" s="28">
        <f>IFERROR((LAD_H65[[#This Row],[H]]-LAD_H65[[#This Row],[2B]]-LAD_H65[[#This Row],[3B]]-LAD_H65[[#This Row],[HR]])+(LAD_H65[[#This Row],[2B]]*2)+(LAD_H65[[#This Row],[3B]]*3)+(LAD_H65[[#This Row],[HR]]*4),0)</f>
        <v>13</v>
      </c>
      <c r="AT194" s="72">
        <f>LAD_H65[[#This Row],[OBP]]+LAD_H65[[#This Row],[SLG]]</f>
        <v>0.63504273504273501</v>
      </c>
      <c r="AU194" s="74">
        <v>0</v>
      </c>
      <c r="AV194" s="615">
        <v>4</v>
      </c>
      <c r="AY194" s="651" t="s">
        <v>1200</v>
      </c>
      <c r="AZ194" s="74" t="s">
        <v>153</v>
      </c>
      <c r="BA194" s="71" t="s">
        <v>1205</v>
      </c>
      <c r="BB194" s="72">
        <f>IFERROR(SDP_H68[[#This Row],[H]]/SDP_H68[[#This Row],[AB]],0)</f>
        <v>0.35714285714285715</v>
      </c>
      <c r="BC194" s="72">
        <f>IFERROR((SDP_H68[[#This Row],[BB]]+SDP_H68[[#This Row],[H]])/(SDP_H68[[#This Row],[BB]]+SDP_H68[[#This Row],[AB]]),0)</f>
        <v>0.35714285714285715</v>
      </c>
      <c r="BD194" s="73">
        <f>IFERROR(((SDP_H68[[#This Row],[H]]-SDP_H68[[#This Row],[2B]]-SDP_H68[[#This Row],[3B]]-SDP_H68[[#This Row],[HR]])+(SDP_H68[[#This Row],[2B]]*2)+(SDP_H68[[#This Row],[3B]]*3)+(SDP_H68[[#This Row],[HR]]*4))/SDP_H68[[#This Row],[AB]],0)</f>
        <v>0.7142857142857143</v>
      </c>
      <c r="BE194" s="28">
        <v>3</v>
      </c>
      <c r="BF194" s="28">
        <v>14</v>
      </c>
      <c r="BG194" s="28">
        <v>1</v>
      </c>
      <c r="BH194" s="28">
        <v>5</v>
      </c>
      <c r="BI194" s="28">
        <v>0</v>
      </c>
      <c r="BJ194" s="28">
        <v>1</v>
      </c>
      <c r="BK194" s="28">
        <v>1</v>
      </c>
      <c r="BL194" s="28">
        <v>1</v>
      </c>
      <c r="BM194" s="28">
        <v>0</v>
      </c>
      <c r="BN194" s="74">
        <v>2</v>
      </c>
      <c r="BO194" s="28">
        <v>0</v>
      </c>
      <c r="BP194" s="28">
        <v>3</v>
      </c>
      <c r="BQ194" s="74">
        <v>3</v>
      </c>
      <c r="BR194" s="28">
        <f>(SDP_H68[[#This Row],[H]]-SDP_H68[[#This Row],[2B]]-SDP_H68[[#This Row],[3B]]-SDP_H68[[#This Row],[HR]])+(SDP_H68[[#This Row],[2B]]*2)+(SDP_H68[[#This Row],[3B]]*3)+(SDP_H68[[#This Row],[HR]]*4)</f>
        <v>10</v>
      </c>
      <c r="BS194" s="72">
        <f>IFERROR(SDP_H68[[#This Row],[OBP]]+SDP_H68[[#This Row],[SLG]],0)</f>
        <v>1.0714285714285714</v>
      </c>
      <c r="BT194" s="74">
        <v>0</v>
      </c>
      <c r="BU194" s="615">
        <v>4</v>
      </c>
    </row>
    <row r="195" spans="1:73">
      <c r="A195" s="651" t="s">
        <v>1200</v>
      </c>
      <c r="B195" s="71" t="s">
        <v>177</v>
      </c>
      <c r="C195" s="71" t="s">
        <v>1206</v>
      </c>
      <c r="D195" s="72">
        <f>IFERROR(SDP_H274[[#This Row],[H]]/SDP_H274[[#This Row],[AB]],0)</f>
        <v>8.3333333333333329E-2</v>
      </c>
      <c r="E195" s="72">
        <f>IFERROR((SDP_H274[[#This Row],[H]]+SDP_H274[[#This Row],[BB]])/(SDP_H274[[#This Row],[BB]]+SDP_H274[[#This Row],[AB]]),0)</f>
        <v>0.15384615384615385</v>
      </c>
      <c r="F195" s="73">
        <f>IFERROR(((SDP_H274[[#This Row],[H]]-SDP_H274[[#This Row],[2B]]-SDP_H274[[#This Row],[3B]]-SDP_H274[[#This Row],[HR]])+(SDP_H274[[#This Row],[2B]]*2)+(SDP_H274[[#This Row],[3B]]*3)+(SDP_H274[[#This Row],[HR]]*4))/SDP_H274[[#This Row],[AB]],0)</f>
        <v>8.3333333333333329E-2</v>
      </c>
      <c r="G195" s="28">
        <v>3</v>
      </c>
      <c r="H195" s="28">
        <v>12</v>
      </c>
      <c r="I195" s="28">
        <v>0</v>
      </c>
      <c r="J195" s="28">
        <v>1</v>
      </c>
      <c r="K195" s="28">
        <v>0</v>
      </c>
      <c r="L195" s="28">
        <v>0</v>
      </c>
      <c r="M195" s="28">
        <v>0</v>
      </c>
      <c r="N195" s="28">
        <v>2</v>
      </c>
      <c r="O195" s="28">
        <v>1</v>
      </c>
      <c r="P195" s="74">
        <v>5</v>
      </c>
      <c r="Q195" s="28">
        <v>0</v>
      </c>
      <c r="R195" s="28">
        <v>1</v>
      </c>
      <c r="S195" s="74">
        <v>1</v>
      </c>
      <c r="T195" s="28">
        <f>IFERROR((SDP_H274[[#This Row],[H]]-SDP_H274[[#This Row],[2B]]-SDP_H274[[#This Row],[3B]]-SDP_H274[[#This Row],[HR]])+(SDP_H274[[#This Row],[2B]]*2)+(SDP_H274[[#This Row],[3B]]*3)+(SDP_H274[[#This Row],[HR]]*4),0)</f>
        <v>1</v>
      </c>
      <c r="U195" s="72">
        <f>SDP_H274[[#This Row],[OBP]]+SDP_H274[[#This Row],[SLG]]</f>
        <v>0.23717948717948717</v>
      </c>
      <c r="V195" s="74">
        <v>0</v>
      </c>
      <c r="W195" s="615">
        <v>5</v>
      </c>
      <c r="Z195" s="651" t="s">
        <v>1171</v>
      </c>
      <c r="AA195" s="345" t="s">
        <v>177</v>
      </c>
      <c r="AB195" s="71" t="s">
        <v>838</v>
      </c>
      <c r="AC195" s="72">
        <f>IFERROR(LAD_H65[[#This Row],[H]]/LAD_H65[[#This Row],[AB]],0)</f>
        <v>0.25</v>
      </c>
      <c r="AD195" s="72">
        <f>IFERROR((LAD_H65[[#This Row],[H]]+LAD_H65[[#This Row],[BB]])/(LAD_H65[[#This Row],[BB]]+LAD_H65[[#This Row],[AB]]),0)</f>
        <v>0.26415094339622641</v>
      </c>
      <c r="AE195" s="73">
        <f>IFERROR(((LAD_H65[[#This Row],[H]]-LAD_H65[[#This Row],[2B]]-LAD_H65[[#This Row],[3B]]-LAD_H65[[#This Row],[HR]])+(LAD_H65[[#This Row],[2B]]*2)+(LAD_H65[[#This Row],[3B]]*3)+(LAD_H65[[#This Row],[HR]]*4))/LAD_H65[[#This Row],[AB]],0)</f>
        <v>0.51923076923076927</v>
      </c>
      <c r="AF195" s="28">
        <v>12</v>
      </c>
      <c r="AG195" s="28">
        <v>52</v>
      </c>
      <c r="AH195" s="28">
        <v>6</v>
      </c>
      <c r="AI195" s="28">
        <v>13</v>
      </c>
      <c r="AJ195" s="28">
        <v>2</v>
      </c>
      <c r="AK195" s="28">
        <v>0</v>
      </c>
      <c r="AL195" s="28">
        <v>4</v>
      </c>
      <c r="AM195" s="28">
        <v>10</v>
      </c>
      <c r="AN195" s="28">
        <v>1</v>
      </c>
      <c r="AO195" s="74">
        <v>12</v>
      </c>
      <c r="AP195" s="28">
        <v>0</v>
      </c>
      <c r="AQ195" s="28">
        <v>0</v>
      </c>
      <c r="AR195" s="74">
        <v>3</v>
      </c>
      <c r="AS195" s="28">
        <f>IFERROR((LAD_H65[[#This Row],[H]]-LAD_H65[[#This Row],[2B]]-LAD_H65[[#This Row],[3B]]-LAD_H65[[#This Row],[HR]])+(LAD_H65[[#This Row],[2B]]*2)+(LAD_H65[[#This Row],[3B]]*3)+(LAD_H65[[#This Row],[HR]]*4),0)</f>
        <v>27</v>
      </c>
      <c r="AT195" s="72">
        <f>LAD_H65[[#This Row],[OBP]]+LAD_H65[[#This Row],[SLG]]</f>
        <v>0.78338171262699574</v>
      </c>
      <c r="AU195" s="74">
        <v>2</v>
      </c>
      <c r="AV195" s="615">
        <v>5</v>
      </c>
      <c r="AY195" s="651" t="s">
        <v>1200</v>
      </c>
      <c r="AZ195" s="74" t="s">
        <v>177</v>
      </c>
      <c r="BA195" s="71" t="s">
        <v>1206</v>
      </c>
      <c r="BB195" s="72">
        <f>IFERROR(SDP_H68[[#This Row],[H]]/SDP_H68[[#This Row],[AB]],0)</f>
        <v>0.2</v>
      </c>
      <c r="BC195" s="72">
        <f>IFERROR((SDP_H68[[#This Row],[BB]]+SDP_H68[[#This Row],[H]])/(SDP_H68[[#This Row],[BB]]+SDP_H68[[#This Row],[AB]]),0)</f>
        <v>0.33333333333333331</v>
      </c>
      <c r="BD195" s="73">
        <f>IFERROR(((SDP_H68[[#This Row],[H]]-SDP_H68[[#This Row],[2B]]-SDP_H68[[#This Row],[3B]]-SDP_H68[[#This Row],[HR]])+(SDP_H68[[#This Row],[2B]]*2)+(SDP_H68[[#This Row],[3B]]*3)+(SDP_H68[[#This Row],[HR]]*4))/SDP_H68[[#This Row],[AB]],0)</f>
        <v>0.2</v>
      </c>
      <c r="BE195" s="28">
        <v>3</v>
      </c>
      <c r="BF195" s="28">
        <v>10</v>
      </c>
      <c r="BG195" s="28">
        <v>2</v>
      </c>
      <c r="BH195" s="28">
        <v>2</v>
      </c>
      <c r="BI195" s="28">
        <v>0</v>
      </c>
      <c r="BJ195" s="28">
        <v>0</v>
      </c>
      <c r="BK195" s="28">
        <v>0</v>
      </c>
      <c r="BL195" s="28">
        <v>0</v>
      </c>
      <c r="BM195" s="28">
        <v>2</v>
      </c>
      <c r="BN195" s="74">
        <v>1</v>
      </c>
      <c r="BO195" s="28">
        <v>0</v>
      </c>
      <c r="BP195" s="28">
        <v>0</v>
      </c>
      <c r="BQ195" s="74">
        <v>2</v>
      </c>
      <c r="BR195" s="28">
        <f>(SDP_H68[[#This Row],[H]]-SDP_H68[[#This Row],[2B]]-SDP_H68[[#This Row],[3B]]-SDP_H68[[#This Row],[HR]])+(SDP_H68[[#This Row],[2B]]*2)+(SDP_H68[[#This Row],[3B]]*3)+(SDP_H68[[#This Row],[HR]]*4)</f>
        <v>2</v>
      </c>
      <c r="BS195" s="72">
        <f>IFERROR(SDP_H68[[#This Row],[OBP]]+SDP_H68[[#This Row],[SLG]],0)</f>
        <v>0.53333333333333333</v>
      </c>
      <c r="BT195" s="74">
        <v>0</v>
      </c>
      <c r="BU195" s="615">
        <v>5</v>
      </c>
    </row>
    <row r="196" spans="1:73">
      <c r="A196" s="651" t="s">
        <v>1200</v>
      </c>
      <c r="B196" s="71" t="s">
        <v>174</v>
      </c>
      <c r="C196" s="71" t="s">
        <v>1203</v>
      </c>
      <c r="D196" s="72">
        <f>IFERROR(SDP_H274[[#This Row],[H]]/SDP_H274[[#This Row],[AB]],0)</f>
        <v>0.2</v>
      </c>
      <c r="E196" s="72">
        <f>IFERROR((SDP_H274[[#This Row],[H]]+SDP_H274[[#This Row],[BB]])/(SDP_H274[[#This Row],[BB]]+SDP_H274[[#This Row],[AB]]),0)</f>
        <v>0.2</v>
      </c>
      <c r="F196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0.26666666666666666</v>
      </c>
      <c r="G196" s="28">
        <v>3</v>
      </c>
      <c r="H196" s="28">
        <v>15</v>
      </c>
      <c r="I196" s="28">
        <v>3</v>
      </c>
      <c r="J196" s="28">
        <v>3</v>
      </c>
      <c r="K196" s="28">
        <v>1</v>
      </c>
      <c r="L196" s="28">
        <v>0</v>
      </c>
      <c r="M196" s="28">
        <v>0</v>
      </c>
      <c r="N196" s="28">
        <v>0</v>
      </c>
      <c r="O196" s="28">
        <v>0</v>
      </c>
      <c r="P196" s="74">
        <v>6</v>
      </c>
      <c r="Q196" s="28">
        <v>0</v>
      </c>
      <c r="R196" s="28">
        <v>3</v>
      </c>
      <c r="S196" s="74">
        <v>3</v>
      </c>
      <c r="T196" s="28">
        <f>IFERROR((SDP_H274[[#This Row],[H]]-SDP_H274[[#This Row],[2B]]-SDP_H274[[#This Row],[3B]]-SDP_H274[[#This Row],[HR]])+(SDP_H274[[#This Row],[2B]]*2)+(SDP_H274[[#This Row],[3B]]*3)+(SDP_H274[[#This Row],[HR]]*4),0)</f>
        <v>4</v>
      </c>
      <c r="U196" s="72">
        <f>SDP_H274[[#This Row],[OBP]]+SDP_H274[[#This Row],[SLG]]</f>
        <v>0.46666666666666667</v>
      </c>
      <c r="V196" s="74">
        <v>0</v>
      </c>
      <c r="W196" s="615">
        <v>6</v>
      </c>
      <c r="Z196" s="651" t="s">
        <v>1171</v>
      </c>
      <c r="AA196" s="71" t="s">
        <v>174</v>
      </c>
      <c r="AB196" s="71" t="s">
        <v>1175</v>
      </c>
      <c r="AC196" s="72">
        <f>IFERROR(LAD_H65[[#This Row],[H]]/LAD_H65[[#This Row],[AB]],0)</f>
        <v>0.18421052631578946</v>
      </c>
      <c r="AD196" s="72">
        <f>IFERROR((LAD_H65[[#This Row],[H]]+LAD_H65[[#This Row],[BB]])/(LAD_H65[[#This Row],[BB]]+LAD_H65[[#This Row],[AB]]),0)</f>
        <v>0.31111111111111112</v>
      </c>
      <c r="AE196" s="73">
        <f>IFERROR(((LAD_H65[[#This Row],[H]]-LAD_H65[[#This Row],[2B]]-LAD_H65[[#This Row],[3B]]-LAD_H65[[#This Row],[HR]])+(LAD_H65[[#This Row],[2B]]*2)+(LAD_H65[[#This Row],[3B]]*3)+(LAD_H65[[#This Row],[HR]]*4))/LAD_H65[[#This Row],[AB]],0)</f>
        <v>0.5</v>
      </c>
      <c r="AF196" s="28">
        <v>12</v>
      </c>
      <c r="AG196" s="28">
        <v>38</v>
      </c>
      <c r="AH196" s="28">
        <v>5</v>
      </c>
      <c r="AI196" s="28">
        <v>7</v>
      </c>
      <c r="AJ196" s="28">
        <v>1</v>
      </c>
      <c r="AK196" s="28">
        <v>1</v>
      </c>
      <c r="AL196" s="28">
        <v>3</v>
      </c>
      <c r="AM196" s="28">
        <v>7</v>
      </c>
      <c r="AN196" s="28">
        <v>7</v>
      </c>
      <c r="AO196" s="74">
        <v>16</v>
      </c>
      <c r="AP196" s="28">
        <v>0</v>
      </c>
      <c r="AQ196" s="28">
        <v>2</v>
      </c>
      <c r="AR196" s="74">
        <v>3</v>
      </c>
      <c r="AS196" s="28">
        <f>IFERROR((LAD_H65[[#This Row],[H]]-LAD_H65[[#This Row],[2B]]-LAD_H65[[#This Row],[3B]]-LAD_H65[[#This Row],[HR]])+(LAD_H65[[#This Row],[2B]]*2)+(LAD_H65[[#This Row],[3B]]*3)+(LAD_H65[[#This Row],[HR]]*4),0)</f>
        <v>19</v>
      </c>
      <c r="AT196" s="72">
        <f>LAD_H65[[#This Row],[OBP]]+LAD_H65[[#This Row],[SLG]]</f>
        <v>0.81111111111111112</v>
      </c>
      <c r="AU196" s="74">
        <v>1</v>
      </c>
      <c r="AV196" s="615">
        <v>6</v>
      </c>
      <c r="AY196" s="651" t="s">
        <v>1200</v>
      </c>
      <c r="AZ196" s="74" t="s">
        <v>174</v>
      </c>
      <c r="BA196" s="71" t="s">
        <v>1209</v>
      </c>
      <c r="BB196" s="72">
        <f>IFERROR(SDP_H68[[#This Row],[H]]/SDP_H68[[#This Row],[AB]],0)</f>
        <v>0.36363636363636365</v>
      </c>
      <c r="BC196" s="72">
        <f>IFERROR((SDP_H68[[#This Row],[BB]]+SDP_H68[[#This Row],[H]])/(SDP_H68[[#This Row],[BB]]+SDP_H68[[#This Row],[AB]]),0)</f>
        <v>0.41666666666666669</v>
      </c>
      <c r="BD196" s="73">
        <f>IFERROR(((SDP_H68[[#This Row],[H]]-SDP_H68[[#This Row],[2B]]-SDP_H68[[#This Row],[3B]]-SDP_H68[[#This Row],[HR]])+(SDP_H68[[#This Row],[2B]]*2)+(SDP_H68[[#This Row],[3B]]*3)+(SDP_H68[[#This Row],[HR]]*4))/SDP_H68[[#This Row],[AB]],0)</f>
        <v>0.90909090909090906</v>
      </c>
      <c r="BE196" s="28">
        <v>3</v>
      </c>
      <c r="BF196" s="28">
        <v>11</v>
      </c>
      <c r="BG196" s="28">
        <v>2</v>
      </c>
      <c r="BH196" s="28">
        <v>4</v>
      </c>
      <c r="BI196" s="28">
        <v>0</v>
      </c>
      <c r="BJ196" s="28">
        <v>0</v>
      </c>
      <c r="BK196" s="28">
        <v>2</v>
      </c>
      <c r="BL196" s="28">
        <v>4</v>
      </c>
      <c r="BM196" s="28">
        <v>1</v>
      </c>
      <c r="BN196" s="74">
        <v>5</v>
      </c>
      <c r="BO196" s="28">
        <v>0</v>
      </c>
      <c r="BP196" s="28">
        <v>3</v>
      </c>
      <c r="BQ196" s="74">
        <v>3</v>
      </c>
      <c r="BR196" s="28">
        <f>(SDP_H68[[#This Row],[H]]-SDP_H68[[#This Row],[2B]]-SDP_H68[[#This Row],[3B]]-SDP_H68[[#This Row],[HR]])+(SDP_H68[[#This Row],[2B]]*2)+(SDP_H68[[#This Row],[3B]]*3)+(SDP_H68[[#This Row],[HR]]*4)</f>
        <v>10</v>
      </c>
      <c r="BS196" s="72">
        <f>IFERROR(SDP_H68[[#This Row],[OBP]]+SDP_H68[[#This Row],[SLG]],0)</f>
        <v>1.3257575757575757</v>
      </c>
      <c r="BT196" s="74">
        <v>1</v>
      </c>
      <c r="BU196" s="615">
        <v>6</v>
      </c>
    </row>
    <row r="197" spans="1:73">
      <c r="A197" s="651" t="s">
        <v>1200</v>
      </c>
      <c r="B197" s="71" t="s">
        <v>383</v>
      </c>
      <c r="C197" s="71" t="s">
        <v>1201</v>
      </c>
      <c r="D197" s="72">
        <f>IFERROR(SDP_H274[[#This Row],[H]]/SDP_H274[[#This Row],[AB]],0)</f>
        <v>0.33333333333333331</v>
      </c>
      <c r="E197" s="72">
        <f>IFERROR((SDP_H274[[#This Row],[H]]+SDP_H274[[#This Row],[BB]])/(SDP_H274[[#This Row],[BB]]+SDP_H274[[#This Row],[AB]]),0)</f>
        <v>0.33333333333333331</v>
      </c>
      <c r="F197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0.4</v>
      </c>
      <c r="G197" s="28">
        <v>3</v>
      </c>
      <c r="H197" s="28">
        <v>15</v>
      </c>
      <c r="I197" s="28">
        <v>0</v>
      </c>
      <c r="J197" s="28">
        <v>5</v>
      </c>
      <c r="K197" s="28">
        <v>1</v>
      </c>
      <c r="L197" s="28">
        <v>0</v>
      </c>
      <c r="M197" s="28">
        <v>0</v>
      </c>
      <c r="N197" s="28">
        <v>0</v>
      </c>
      <c r="O197" s="28">
        <v>0</v>
      </c>
      <c r="P197" s="74">
        <v>3</v>
      </c>
      <c r="Q197" s="28">
        <v>1</v>
      </c>
      <c r="R197" s="28">
        <v>3</v>
      </c>
      <c r="S197" s="74">
        <v>3</v>
      </c>
      <c r="T197" s="28">
        <f>IFERROR((SDP_H274[[#This Row],[H]]-SDP_H274[[#This Row],[2B]]-SDP_H274[[#This Row],[3B]]-SDP_H274[[#This Row],[HR]])+(SDP_H274[[#This Row],[2B]]*2)+(SDP_H274[[#This Row],[3B]]*3)+(SDP_H274[[#This Row],[HR]]*4),0)</f>
        <v>6</v>
      </c>
      <c r="U197" s="72">
        <f>SDP_H274[[#This Row],[OBP]]+SDP_H274[[#This Row],[SLG]]</f>
        <v>0.73333333333333339</v>
      </c>
      <c r="V197" s="74">
        <v>0</v>
      </c>
      <c r="W197" s="615">
        <v>7</v>
      </c>
      <c r="Z197" s="651" t="s">
        <v>1171</v>
      </c>
      <c r="AA197" s="71" t="s">
        <v>181</v>
      </c>
      <c r="AB197" s="71" t="s">
        <v>998</v>
      </c>
      <c r="AC197" s="72">
        <f>IFERROR(LAD_H65[[#This Row],[H]]/LAD_H65[[#This Row],[AB]],0)</f>
        <v>0.13157894736842105</v>
      </c>
      <c r="AD197" s="72">
        <f>IFERROR((LAD_H65[[#This Row],[H]]+LAD_H65[[#This Row],[BB]])/(LAD_H65[[#This Row],[BB]]+LAD_H65[[#This Row],[AB]]),0)</f>
        <v>0.25</v>
      </c>
      <c r="AE197" s="73">
        <f>IFERROR(((LAD_H65[[#This Row],[H]]-LAD_H65[[#This Row],[2B]]-LAD_H65[[#This Row],[3B]]-LAD_H65[[#This Row],[HR]])+(LAD_H65[[#This Row],[2B]]*2)+(LAD_H65[[#This Row],[3B]]*3)+(LAD_H65[[#This Row],[HR]]*4))/LAD_H65[[#This Row],[AB]],0)</f>
        <v>0.36842105263157893</v>
      </c>
      <c r="AF197" s="28">
        <v>12</v>
      </c>
      <c r="AG197" s="28">
        <v>38</v>
      </c>
      <c r="AH197" s="28">
        <v>5</v>
      </c>
      <c r="AI197" s="28">
        <v>5</v>
      </c>
      <c r="AJ197" s="28">
        <v>0</v>
      </c>
      <c r="AK197" s="28">
        <v>0</v>
      </c>
      <c r="AL197" s="28">
        <v>3</v>
      </c>
      <c r="AM197" s="28">
        <v>3</v>
      </c>
      <c r="AN197" s="28">
        <v>6</v>
      </c>
      <c r="AO197" s="74">
        <v>15</v>
      </c>
      <c r="AP197" s="28">
        <v>0</v>
      </c>
      <c r="AQ197" s="28">
        <v>0</v>
      </c>
      <c r="AR197" s="74">
        <v>2</v>
      </c>
      <c r="AS197" s="28">
        <f>IFERROR((LAD_H65[[#This Row],[H]]-LAD_H65[[#This Row],[2B]]-LAD_H65[[#This Row],[3B]]-LAD_H65[[#This Row],[HR]])+(LAD_H65[[#This Row],[2B]]*2)+(LAD_H65[[#This Row],[3B]]*3)+(LAD_H65[[#This Row],[HR]]*4),0)</f>
        <v>14</v>
      </c>
      <c r="AT197" s="72">
        <f>LAD_H65[[#This Row],[OBP]]+LAD_H65[[#This Row],[SLG]]</f>
        <v>0.61842105263157898</v>
      </c>
      <c r="AU197" s="74">
        <v>1</v>
      </c>
      <c r="AV197" s="615">
        <v>7</v>
      </c>
      <c r="AY197" s="651" t="s">
        <v>1200</v>
      </c>
      <c r="AZ197" s="74" t="s">
        <v>181</v>
      </c>
      <c r="BA197" s="71" t="s">
        <v>1204</v>
      </c>
      <c r="BB197" s="72">
        <f>IFERROR(SDP_H68[[#This Row],[H]]/SDP_H68[[#This Row],[AB]],0)</f>
        <v>0.1111111111111111</v>
      </c>
      <c r="BC197" s="72">
        <f>IFERROR((SDP_H68[[#This Row],[BB]]+SDP_H68[[#This Row],[H]])/(SDP_H68[[#This Row],[BB]]+SDP_H68[[#This Row],[AB]]),0)</f>
        <v>0.27272727272727271</v>
      </c>
      <c r="BD197" s="73">
        <f>IFERROR(((SDP_H68[[#This Row],[H]]-SDP_H68[[#This Row],[2B]]-SDP_H68[[#This Row],[3B]]-SDP_H68[[#This Row],[HR]])+(SDP_H68[[#This Row],[2B]]*2)+(SDP_H68[[#This Row],[3B]]*3)+(SDP_H68[[#This Row],[HR]]*4))/SDP_H68[[#This Row],[AB]],0)</f>
        <v>0.1111111111111111</v>
      </c>
      <c r="BE197" s="28">
        <v>3</v>
      </c>
      <c r="BF197" s="28">
        <v>9</v>
      </c>
      <c r="BG197" s="28">
        <v>0</v>
      </c>
      <c r="BH197" s="28">
        <v>1</v>
      </c>
      <c r="BI197" s="28">
        <v>0</v>
      </c>
      <c r="BJ197" s="28">
        <v>0</v>
      </c>
      <c r="BK197" s="28">
        <v>0</v>
      </c>
      <c r="BL197" s="28">
        <v>2</v>
      </c>
      <c r="BM197" s="28">
        <v>2</v>
      </c>
      <c r="BN197" s="74">
        <v>3</v>
      </c>
      <c r="BO197" s="28">
        <v>0</v>
      </c>
      <c r="BP197" s="28">
        <v>0</v>
      </c>
      <c r="BQ197" s="74">
        <v>1</v>
      </c>
      <c r="BR197" s="28">
        <f>(SDP_H68[[#This Row],[H]]-SDP_H68[[#This Row],[2B]]-SDP_H68[[#This Row],[3B]]-SDP_H68[[#This Row],[HR]])+(SDP_H68[[#This Row],[2B]]*2)+(SDP_H68[[#This Row],[3B]]*3)+(SDP_H68[[#This Row],[HR]]*4)</f>
        <v>1</v>
      </c>
      <c r="BS197" s="72">
        <f>IFERROR(SDP_H68[[#This Row],[OBP]]+SDP_H68[[#This Row],[SLG]],0)</f>
        <v>0.38383838383838381</v>
      </c>
      <c r="BT197" s="74">
        <v>0</v>
      </c>
      <c r="BU197" s="615">
        <v>7</v>
      </c>
    </row>
    <row r="198" spans="1:73">
      <c r="A198" s="651" t="s">
        <v>1200</v>
      </c>
      <c r="B198" s="71" t="s">
        <v>166</v>
      </c>
      <c r="C198" s="71" t="s">
        <v>2185</v>
      </c>
      <c r="D198" s="72">
        <f>IFERROR(SDP_H274[[#This Row],[H]]/SDP_H274[[#This Row],[AB]],0)</f>
        <v>0.53846153846153844</v>
      </c>
      <c r="E198" s="72">
        <f>IFERROR((SDP_H274[[#This Row],[H]]+SDP_H274[[#This Row],[BB]])/(SDP_H274[[#This Row],[BB]]+SDP_H274[[#This Row],[AB]]),0)</f>
        <v>0.6</v>
      </c>
      <c r="F198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0.76923076923076927</v>
      </c>
      <c r="G198" s="28">
        <v>3</v>
      </c>
      <c r="H198" s="28">
        <v>13</v>
      </c>
      <c r="I198" s="28">
        <v>3</v>
      </c>
      <c r="J198" s="28">
        <v>7</v>
      </c>
      <c r="K198" s="28">
        <v>3</v>
      </c>
      <c r="L198" s="28">
        <v>0</v>
      </c>
      <c r="M198" s="28">
        <v>0</v>
      </c>
      <c r="N198" s="28">
        <v>2</v>
      </c>
      <c r="O198" s="28">
        <v>2</v>
      </c>
      <c r="P198" s="74">
        <v>4</v>
      </c>
      <c r="Q198" s="28">
        <v>2</v>
      </c>
      <c r="R198" s="28">
        <v>2</v>
      </c>
      <c r="S198" s="74">
        <v>2</v>
      </c>
      <c r="T198" s="28">
        <f>IFERROR((SDP_H274[[#This Row],[H]]-SDP_H274[[#This Row],[2B]]-SDP_H274[[#This Row],[3B]]-SDP_H274[[#This Row],[HR]])+(SDP_H274[[#This Row],[2B]]*2)+(SDP_H274[[#This Row],[3B]]*3)+(SDP_H274[[#This Row],[HR]]*4),0)</f>
        <v>10</v>
      </c>
      <c r="U198" s="72">
        <f>SDP_H274[[#This Row],[OBP]]+SDP_H274[[#This Row],[SLG]]</f>
        <v>1.3692307692307693</v>
      </c>
      <c r="V198" s="74">
        <v>1</v>
      </c>
      <c r="W198" s="615">
        <v>8</v>
      </c>
      <c r="Z198" s="651" t="s">
        <v>1171</v>
      </c>
      <c r="AA198" s="71" t="s">
        <v>166</v>
      </c>
      <c r="AB198" s="71" t="s">
        <v>1172</v>
      </c>
      <c r="AC198" s="72">
        <f>IFERROR(LAD_H65[[#This Row],[H]]/LAD_H65[[#This Row],[AB]],0)</f>
        <v>0.20408163265306123</v>
      </c>
      <c r="AD198" s="72">
        <f>IFERROR((LAD_H65[[#This Row],[H]]+LAD_H65[[#This Row],[BB]])/(LAD_H65[[#This Row],[BB]]+LAD_H65[[#This Row],[AB]]),0)</f>
        <v>0.26415094339622641</v>
      </c>
      <c r="AE198" s="73">
        <f>IFERROR(((LAD_H65[[#This Row],[H]]-LAD_H65[[#This Row],[2B]]-LAD_H65[[#This Row],[3B]]-LAD_H65[[#This Row],[HR]])+(LAD_H65[[#This Row],[2B]]*2)+(LAD_H65[[#This Row],[3B]]*3)+(LAD_H65[[#This Row],[HR]]*4))/LAD_H65[[#This Row],[AB]],0)</f>
        <v>0.32653061224489793</v>
      </c>
      <c r="AF198" s="28">
        <v>12</v>
      </c>
      <c r="AG198" s="28">
        <v>49</v>
      </c>
      <c r="AH198" s="28">
        <v>7</v>
      </c>
      <c r="AI198" s="28">
        <v>10</v>
      </c>
      <c r="AJ198" s="28">
        <v>3</v>
      </c>
      <c r="AK198" s="28">
        <v>0</v>
      </c>
      <c r="AL198" s="28">
        <v>1</v>
      </c>
      <c r="AM198" s="28">
        <v>1</v>
      </c>
      <c r="AN198" s="28">
        <v>4</v>
      </c>
      <c r="AO198" s="74">
        <v>13</v>
      </c>
      <c r="AP198" s="28">
        <v>1</v>
      </c>
      <c r="AQ198" s="28">
        <v>0</v>
      </c>
      <c r="AR198" s="74">
        <v>3</v>
      </c>
      <c r="AS198" s="28">
        <f>IFERROR((LAD_H65[[#This Row],[H]]-LAD_H65[[#This Row],[2B]]-LAD_H65[[#This Row],[3B]]-LAD_H65[[#This Row],[HR]])+(LAD_H65[[#This Row],[2B]]*2)+(LAD_H65[[#This Row],[3B]]*3)+(LAD_H65[[#This Row],[HR]]*4),0)</f>
        <v>16</v>
      </c>
      <c r="AT198" s="72">
        <f>LAD_H65[[#This Row],[OBP]]+LAD_H65[[#This Row],[SLG]]</f>
        <v>0.59068155564112435</v>
      </c>
      <c r="AU198" s="74">
        <v>0</v>
      </c>
      <c r="AV198" s="615">
        <v>8</v>
      </c>
      <c r="AY198" s="651" t="s">
        <v>1200</v>
      </c>
      <c r="AZ198" s="74" t="s">
        <v>166</v>
      </c>
      <c r="BA198" s="71" t="s">
        <v>1203</v>
      </c>
      <c r="BB198" s="72">
        <f>IFERROR(SDP_H68[[#This Row],[H]]/SDP_H68[[#This Row],[AB]],0)</f>
        <v>0.36363636363636365</v>
      </c>
      <c r="BC198" s="72">
        <f>IFERROR((SDP_H68[[#This Row],[BB]]+SDP_H68[[#This Row],[H]])/(SDP_H68[[#This Row],[BB]]+SDP_H68[[#This Row],[AB]]),0)</f>
        <v>0.36363636363636365</v>
      </c>
      <c r="BD198" s="73">
        <f>IFERROR(((SDP_H68[[#This Row],[H]]-SDP_H68[[#This Row],[2B]]-SDP_H68[[#This Row],[3B]]-SDP_H68[[#This Row],[HR]])+(SDP_H68[[#This Row],[2B]]*2)+(SDP_H68[[#This Row],[3B]]*3)+(SDP_H68[[#This Row],[HR]]*4))/SDP_H68[[#This Row],[AB]],0)</f>
        <v>0.72727272727272729</v>
      </c>
      <c r="BE198" s="28">
        <v>3</v>
      </c>
      <c r="BF198" s="28">
        <v>11</v>
      </c>
      <c r="BG198" s="28">
        <v>3</v>
      </c>
      <c r="BH198" s="28">
        <v>4</v>
      </c>
      <c r="BI198" s="28">
        <v>1</v>
      </c>
      <c r="BJ198" s="28">
        <v>0</v>
      </c>
      <c r="BK198" s="28">
        <v>1</v>
      </c>
      <c r="BL198" s="28">
        <v>2</v>
      </c>
      <c r="BM198" s="28">
        <v>0</v>
      </c>
      <c r="BN198" s="74">
        <v>2</v>
      </c>
      <c r="BO198" s="28">
        <v>0</v>
      </c>
      <c r="BP198" s="28">
        <v>3</v>
      </c>
      <c r="BQ198" s="74">
        <v>3</v>
      </c>
      <c r="BR198" s="28">
        <f>(SDP_H68[[#This Row],[H]]-SDP_H68[[#This Row],[2B]]-SDP_H68[[#This Row],[3B]]-SDP_H68[[#This Row],[HR]])+(SDP_H68[[#This Row],[2B]]*2)+(SDP_H68[[#This Row],[3B]]*3)+(SDP_H68[[#This Row],[HR]]*4)</f>
        <v>8</v>
      </c>
      <c r="BS198" s="72">
        <f>IFERROR(SDP_H68[[#This Row],[OBP]]+SDP_H68[[#This Row],[SLG]],0)</f>
        <v>1.0909090909090908</v>
      </c>
      <c r="BT198" s="74">
        <v>0</v>
      </c>
      <c r="BU198" s="615">
        <v>8</v>
      </c>
    </row>
    <row r="199" spans="1:73">
      <c r="A199" s="651" t="s">
        <v>1200</v>
      </c>
      <c r="B199" s="71" t="s">
        <v>168</v>
      </c>
      <c r="C199" s="71" t="s">
        <v>1212</v>
      </c>
      <c r="D199" s="72">
        <f>IFERROR(SDP_H274[[#This Row],[H]]/SDP_H274[[#This Row],[AB]],0)</f>
        <v>0.25</v>
      </c>
      <c r="E199" s="72">
        <f>IFERROR((SDP_H274[[#This Row],[H]]+SDP_H274[[#This Row],[BB]])/(SDP_H274[[#This Row],[BB]]+SDP_H274[[#This Row],[AB]]),0)</f>
        <v>0.30769230769230771</v>
      </c>
      <c r="F199" s="73">
        <f>IFERROR(((SDP_H274[[#This Row],[H]]-SDP_H274[[#This Row],[2B]]-SDP_H274[[#This Row],[3B]]-SDP_H274[[#This Row],[HR]])+(SDP_H274[[#This Row],[2B]]*2)+(SDP_H274[[#This Row],[3B]]*3)+(SDP_H274[[#This Row],[HR]]*4))/SDP_H274[[#This Row],[AB]],0)</f>
        <v>0.33333333333333331</v>
      </c>
      <c r="G199" s="28">
        <v>3</v>
      </c>
      <c r="H199" s="28">
        <v>12</v>
      </c>
      <c r="I199" s="28">
        <v>1</v>
      </c>
      <c r="J199" s="28">
        <v>3</v>
      </c>
      <c r="K199" s="28">
        <v>1</v>
      </c>
      <c r="L199" s="28">
        <v>0</v>
      </c>
      <c r="M199" s="28">
        <v>0</v>
      </c>
      <c r="N199" s="28">
        <v>1</v>
      </c>
      <c r="O199" s="28">
        <v>1</v>
      </c>
      <c r="P199" s="74">
        <v>6</v>
      </c>
      <c r="Q199" s="28">
        <v>0</v>
      </c>
      <c r="R199" s="28">
        <v>2</v>
      </c>
      <c r="S199" s="74">
        <v>2</v>
      </c>
      <c r="T199" s="28">
        <f>IFERROR((SDP_H274[[#This Row],[H]]-SDP_H274[[#This Row],[2B]]-SDP_H274[[#This Row],[3B]]-SDP_H274[[#This Row],[HR]])+(SDP_H274[[#This Row],[2B]]*2)+(SDP_H274[[#This Row],[3B]]*3)+(SDP_H274[[#This Row],[HR]]*4),0)</f>
        <v>4</v>
      </c>
      <c r="U199" s="72">
        <f>SDP_H274[[#This Row],[OBP]]+SDP_H274[[#This Row],[SLG]]</f>
        <v>0.64102564102564097</v>
      </c>
      <c r="V199" s="74">
        <v>0</v>
      </c>
      <c r="W199" s="615">
        <v>9</v>
      </c>
      <c r="Z199" s="651" t="s">
        <v>1171</v>
      </c>
      <c r="AA199" s="71" t="s">
        <v>168</v>
      </c>
      <c r="AB199" s="71" t="s">
        <v>1176</v>
      </c>
      <c r="AC199" s="72">
        <f>IFERROR(LAD_H65[[#This Row],[H]]/LAD_H65[[#This Row],[AB]],0)</f>
        <v>0.28260869565217389</v>
      </c>
      <c r="AD199" s="72">
        <f>IFERROR((LAD_H65[[#This Row],[H]]+LAD_H65[[#This Row],[BB]])/(LAD_H65[[#This Row],[BB]]+LAD_H65[[#This Row],[AB]]),0)</f>
        <v>0.3125</v>
      </c>
      <c r="AE199" s="73">
        <f>IFERROR(((LAD_H65[[#This Row],[H]]-LAD_H65[[#This Row],[2B]]-LAD_H65[[#This Row],[3B]]-LAD_H65[[#This Row],[HR]])+(LAD_H65[[#This Row],[2B]]*2)+(LAD_H65[[#This Row],[3B]]*3)+(LAD_H65[[#This Row],[HR]]*4))/LAD_H65[[#This Row],[AB]],0)</f>
        <v>0.47826086956521741</v>
      </c>
      <c r="AF199" s="28">
        <v>12</v>
      </c>
      <c r="AG199" s="28">
        <v>46</v>
      </c>
      <c r="AH199" s="28">
        <v>5</v>
      </c>
      <c r="AI199" s="28">
        <v>13</v>
      </c>
      <c r="AJ199" s="28">
        <v>0</v>
      </c>
      <c r="AK199" s="28">
        <v>0</v>
      </c>
      <c r="AL199" s="28">
        <v>3</v>
      </c>
      <c r="AM199" s="28">
        <v>8</v>
      </c>
      <c r="AN199" s="28">
        <v>2</v>
      </c>
      <c r="AO199" s="74">
        <v>10</v>
      </c>
      <c r="AP199" s="28">
        <v>0</v>
      </c>
      <c r="AQ199" s="28">
        <v>0</v>
      </c>
      <c r="AR199" s="74">
        <v>7</v>
      </c>
      <c r="AS199" s="28">
        <f>IFERROR((LAD_H65[[#This Row],[H]]-LAD_H65[[#This Row],[2B]]-LAD_H65[[#This Row],[3B]]-LAD_H65[[#This Row],[HR]])+(LAD_H65[[#This Row],[2B]]*2)+(LAD_H65[[#This Row],[3B]]*3)+(LAD_H65[[#This Row],[HR]]*4),0)</f>
        <v>22</v>
      </c>
      <c r="AT199" s="72">
        <f>LAD_H65[[#This Row],[OBP]]+LAD_H65[[#This Row],[SLG]]</f>
        <v>0.79076086956521741</v>
      </c>
      <c r="AU199" s="74">
        <v>2</v>
      </c>
      <c r="AV199" s="615">
        <v>9</v>
      </c>
      <c r="AY199" s="651" t="s">
        <v>1200</v>
      </c>
      <c r="AZ199" s="74" t="s">
        <v>168</v>
      </c>
      <c r="BA199" s="71" t="s">
        <v>1207</v>
      </c>
      <c r="BB199" s="72">
        <f>IFERROR(SDP_H68[[#This Row],[H]]/SDP_H68[[#This Row],[AB]],0)</f>
        <v>8.3333333333333329E-2</v>
      </c>
      <c r="BC199" s="72">
        <f>IFERROR((SDP_H68[[#This Row],[BB]]+SDP_H68[[#This Row],[H]])/(SDP_H68[[#This Row],[BB]]+SDP_H68[[#This Row],[AB]]),0)</f>
        <v>8.3333333333333329E-2</v>
      </c>
      <c r="BD199" s="73">
        <f>IFERROR(((SDP_H68[[#This Row],[H]]-SDP_H68[[#This Row],[2B]]-SDP_H68[[#This Row],[3B]]-SDP_H68[[#This Row],[HR]])+(SDP_H68[[#This Row],[2B]]*2)+(SDP_H68[[#This Row],[3B]]*3)+(SDP_H68[[#This Row],[HR]]*4))/SDP_H68[[#This Row],[AB]],0)</f>
        <v>8.3333333333333329E-2</v>
      </c>
      <c r="BE199" s="28">
        <v>3</v>
      </c>
      <c r="BF199" s="28">
        <v>12</v>
      </c>
      <c r="BG199" s="28">
        <v>1</v>
      </c>
      <c r="BH199" s="28">
        <v>1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74">
        <v>2</v>
      </c>
      <c r="BO199" s="28">
        <v>0</v>
      </c>
      <c r="BP199" s="28">
        <v>0</v>
      </c>
      <c r="BQ199" s="74">
        <v>1</v>
      </c>
      <c r="BR199" s="28">
        <f>(SDP_H68[[#This Row],[H]]-SDP_H68[[#This Row],[2B]]-SDP_H68[[#This Row],[3B]]-SDP_H68[[#This Row],[HR]])+(SDP_H68[[#This Row],[2B]]*2)+(SDP_H68[[#This Row],[3B]]*3)+(SDP_H68[[#This Row],[HR]]*4)</f>
        <v>1</v>
      </c>
      <c r="BS199" s="72">
        <f>IFERROR(SDP_H68[[#This Row],[OBP]]+SDP_H68[[#This Row],[SLG]],0)</f>
        <v>0.16666666666666666</v>
      </c>
      <c r="BT199" s="74">
        <v>0</v>
      </c>
      <c r="BU199" s="615">
        <v>9</v>
      </c>
    </row>
    <row r="200" spans="1:73">
      <c r="A200" s="651" t="s">
        <v>1200</v>
      </c>
      <c r="B200" s="71" t="s">
        <v>179</v>
      </c>
      <c r="C200" s="71" t="s">
        <v>1208</v>
      </c>
      <c r="D200" s="72">
        <f>IFERROR(SDP_H274[[#This Row],[H]]/SDP_H274[[#This Row],[AB]],0)</f>
        <v>0</v>
      </c>
      <c r="E200" s="72">
        <f>IFERROR((SDP_H274[[#This Row],[H]]+SDP_H274[[#This Row],[BB]])/(SDP_H274[[#This Row],[BB]]+SDP_H274[[#This Row],[AB]]),0)</f>
        <v>0</v>
      </c>
      <c r="F200" s="73">
        <f>IFERROR(((SDP_H274[[#This Row],[H]]-SDP_H274[[#This Row],[2B]]-SDP_H274[[#This Row],[3B]]-SDP_H274[[#This Row],[HR]])+(SDP_H274[[#This Row],[2B]]*2)+(SDP_H274[[#This Row],[3B]]*3)+(SDP_H274[[#This Row],[HR]]*4))/SDP_H274[[#This Row],[AB]],0)</f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74">
        <v>0</v>
      </c>
      <c r="Q200" s="28">
        <v>0</v>
      </c>
      <c r="R200" s="28">
        <v>0</v>
      </c>
      <c r="S200" s="74">
        <v>0</v>
      </c>
      <c r="T200" s="28">
        <f>IFERROR((SDP_H274[[#This Row],[H]]-SDP_H274[[#This Row],[2B]]-SDP_H274[[#This Row],[3B]]-SDP_H274[[#This Row],[HR]])+(SDP_H274[[#This Row],[2B]]*2)+(SDP_H274[[#This Row],[3B]]*3)+(SDP_H274[[#This Row],[HR]]*4),0)</f>
        <v>0</v>
      </c>
      <c r="U200" s="72">
        <f>SDP_H274[[#This Row],[OBP]]+SDP_H274[[#This Row],[SLG]]</f>
        <v>0</v>
      </c>
      <c r="V200" s="74">
        <v>0</v>
      </c>
      <c r="W200" s="615">
        <v>10</v>
      </c>
      <c r="Z200" s="651" t="s">
        <v>1171</v>
      </c>
      <c r="AA200" s="71" t="s">
        <v>179</v>
      </c>
      <c r="AB200" s="71" t="s">
        <v>1181</v>
      </c>
      <c r="AC200" s="72">
        <f>IFERROR(LAD_H65[[#This Row],[H]]/LAD_H65[[#This Row],[AB]],0)</f>
        <v>0</v>
      </c>
      <c r="AD200" s="72">
        <f>IFERROR((LAD_H65[[#This Row],[H]]+LAD_H65[[#This Row],[BB]])/(LAD_H65[[#This Row],[BB]]+LAD_H65[[#This Row],[AB]]),0)</f>
        <v>0</v>
      </c>
      <c r="AE200" s="73">
        <f>IFERROR(((LAD_H65[[#This Row],[H]]-LAD_H65[[#This Row],[2B]]-LAD_H65[[#This Row],[3B]]-LAD_H65[[#This Row],[HR]])+(LAD_H65[[#This Row],[2B]]*2)+(LAD_H65[[#This Row],[3B]]*3)+(LAD_H65[[#This Row],[HR]]*4))/LAD_H65[[#This Row],[AB]],0)</f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74">
        <v>0</v>
      </c>
      <c r="AP200" s="28">
        <v>0</v>
      </c>
      <c r="AQ200" s="28">
        <v>0</v>
      </c>
      <c r="AR200" s="74">
        <v>0</v>
      </c>
      <c r="AS200" s="28">
        <f>IFERROR((LAD_H65[[#This Row],[H]]-LAD_H65[[#This Row],[2B]]-LAD_H65[[#This Row],[3B]]-LAD_H65[[#This Row],[HR]])+(LAD_H65[[#This Row],[2B]]*2)+(LAD_H65[[#This Row],[3B]]*3)+(LAD_H65[[#This Row],[HR]]*4),0)</f>
        <v>0</v>
      </c>
      <c r="AT200" s="72">
        <f>LAD_H65[[#This Row],[OBP]]+LAD_H65[[#This Row],[SLG]]</f>
        <v>0</v>
      </c>
      <c r="AU200" s="74">
        <v>0</v>
      </c>
      <c r="AV200" s="615">
        <v>10</v>
      </c>
      <c r="AY200" s="651" t="s">
        <v>1200</v>
      </c>
      <c r="AZ200" s="74" t="s">
        <v>308</v>
      </c>
      <c r="BA200" s="71" t="s">
        <v>1210</v>
      </c>
      <c r="BB200" s="72">
        <f>IFERROR(SDP_H68[[#This Row],[H]]/SDP_H68[[#This Row],[AB]],0)</f>
        <v>0</v>
      </c>
      <c r="BC200" s="72">
        <f>IFERROR((SDP_H68[[#This Row],[BB]]+SDP_H68[[#This Row],[H]])/(SDP_H68[[#This Row],[BB]]+SDP_H68[[#This Row],[AB]]),0)</f>
        <v>0</v>
      </c>
      <c r="BD200" s="73">
        <f>IFERROR(((SDP_H68[[#This Row],[H]]-SDP_H68[[#This Row],[2B]]-SDP_H68[[#This Row],[3B]]-SDP_H68[[#This Row],[HR]])+(SDP_H68[[#This Row],[2B]]*2)+(SDP_H68[[#This Row],[3B]]*3)+(SDP_H68[[#This Row],[HR]]*4))/SDP_H68[[#This Row],[AB]],0)</f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74">
        <v>0</v>
      </c>
      <c r="BO200" s="28">
        <v>0</v>
      </c>
      <c r="BP200" s="28">
        <v>0</v>
      </c>
      <c r="BQ200" s="74">
        <v>0</v>
      </c>
      <c r="BR200" s="28">
        <f>(SDP_H68[[#This Row],[H]]-SDP_H68[[#This Row],[2B]]-SDP_H68[[#This Row],[3B]]-SDP_H68[[#This Row],[HR]])+(SDP_H68[[#This Row],[2B]]*2)+(SDP_H68[[#This Row],[3B]]*3)+(SDP_H68[[#This Row],[HR]]*4)</f>
        <v>0</v>
      </c>
      <c r="BS200" s="72">
        <f>IFERROR(SDP_H68[[#This Row],[OBP]]+SDP_H68[[#This Row],[SLG]],0)</f>
        <v>0</v>
      </c>
      <c r="BT200" s="74">
        <v>0</v>
      </c>
      <c r="BU200" s="615">
        <v>10</v>
      </c>
    </row>
    <row r="201" spans="1:73">
      <c r="A201" s="651" t="s">
        <v>1200</v>
      </c>
      <c r="B201" s="71" t="s">
        <v>187</v>
      </c>
      <c r="C201" s="71" t="s">
        <v>1213</v>
      </c>
      <c r="D201" s="72">
        <f>IFERROR(SDP_H274[[#This Row],[H]]/SDP_H274[[#This Row],[AB]],0)</f>
        <v>0</v>
      </c>
      <c r="E201" s="72">
        <f>IFERROR((SDP_H274[[#This Row],[H]]+SDP_H274[[#This Row],[BB]])/(SDP_H274[[#This Row],[BB]]+SDP_H274[[#This Row],[AB]]),0)</f>
        <v>0</v>
      </c>
      <c r="F201" s="73">
        <f>IFERROR(((SDP_H274[[#This Row],[H]]-SDP_H274[[#This Row],[2B]]-SDP_H274[[#This Row],[3B]]-SDP_H274[[#This Row],[HR]])+(SDP_H274[[#This Row],[2B]]*2)+(SDP_H274[[#This Row],[3B]]*3)+(SDP_H274[[#This Row],[HR]]*4))/SDP_H274[[#This Row],[AB]],0)</f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74">
        <v>0</v>
      </c>
      <c r="Q201" s="28">
        <v>0</v>
      </c>
      <c r="R201" s="28">
        <v>0</v>
      </c>
      <c r="S201" s="74">
        <v>0</v>
      </c>
      <c r="T201" s="28">
        <f>IFERROR((SDP_H274[[#This Row],[H]]-SDP_H274[[#This Row],[2B]]-SDP_H274[[#This Row],[3B]]-SDP_H274[[#This Row],[HR]])+(SDP_H274[[#This Row],[2B]]*2)+(SDP_H274[[#This Row],[3B]]*3)+(SDP_H274[[#This Row],[HR]]*4),0)</f>
        <v>0</v>
      </c>
      <c r="U201" s="72">
        <f>SDP_H274[[#This Row],[OBP]]+SDP_H274[[#This Row],[SLG]]</f>
        <v>0</v>
      </c>
      <c r="V201" s="74">
        <v>0</v>
      </c>
      <c r="W201" s="615">
        <v>11</v>
      </c>
      <c r="Z201" s="651" t="s">
        <v>1171</v>
      </c>
      <c r="AA201" s="71" t="s">
        <v>187</v>
      </c>
      <c r="AB201" s="71" t="s">
        <v>1178</v>
      </c>
      <c r="AC201" s="72">
        <f>IFERROR(LAD_H65[[#This Row],[H]]/LAD_H65[[#This Row],[AB]],0)</f>
        <v>0</v>
      </c>
      <c r="AD201" s="72">
        <f>IFERROR((LAD_H65[[#This Row],[H]]+LAD_H65[[#This Row],[BB]])/(LAD_H65[[#This Row],[BB]]+LAD_H65[[#This Row],[AB]]),0)</f>
        <v>0</v>
      </c>
      <c r="AE201" s="73">
        <f>IFERROR(((LAD_H65[[#This Row],[H]]-LAD_H65[[#This Row],[2B]]-LAD_H65[[#This Row],[3B]]-LAD_H65[[#This Row],[HR]])+(LAD_H65[[#This Row],[2B]]*2)+(LAD_H65[[#This Row],[3B]]*3)+(LAD_H65[[#This Row],[HR]]*4))/LAD_H65[[#This Row],[AB]],0)</f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74">
        <v>0</v>
      </c>
      <c r="AP201" s="28">
        <v>0</v>
      </c>
      <c r="AQ201" s="28">
        <v>0</v>
      </c>
      <c r="AR201" s="74">
        <v>0</v>
      </c>
      <c r="AS201" s="28">
        <f>IFERROR((LAD_H65[[#This Row],[H]]-LAD_H65[[#This Row],[2B]]-LAD_H65[[#This Row],[3B]]-LAD_H65[[#This Row],[HR]])+(LAD_H65[[#This Row],[2B]]*2)+(LAD_H65[[#This Row],[3B]]*3)+(LAD_H65[[#This Row],[HR]]*4),0)</f>
        <v>0</v>
      </c>
      <c r="AT201" s="72">
        <f>LAD_H65[[#This Row],[OBP]]+LAD_H65[[#This Row],[SLG]]</f>
        <v>0</v>
      </c>
      <c r="AU201" s="74">
        <v>0</v>
      </c>
      <c r="AV201" s="615">
        <v>11</v>
      </c>
      <c r="AY201" s="651" t="s">
        <v>1200</v>
      </c>
      <c r="AZ201" s="74" t="s">
        <v>187</v>
      </c>
      <c r="BA201" s="71" t="s">
        <v>1212</v>
      </c>
      <c r="BB201" s="72">
        <f>IFERROR(SDP_H68[[#This Row],[H]]/SDP_H68[[#This Row],[AB]],0)</f>
        <v>0</v>
      </c>
      <c r="BC201" s="72">
        <f>IFERROR((SDP_H68[[#This Row],[BB]]+SDP_H68[[#This Row],[H]])/(SDP_H68[[#This Row],[BB]]+SDP_H68[[#This Row],[AB]]),0)</f>
        <v>0</v>
      </c>
      <c r="BD201" s="73">
        <f>IFERROR(((SDP_H68[[#This Row],[H]]-SDP_H68[[#This Row],[2B]]-SDP_H68[[#This Row],[3B]]-SDP_H68[[#This Row],[HR]])+(SDP_H68[[#This Row],[2B]]*2)+(SDP_H68[[#This Row],[3B]]*3)+(SDP_H68[[#This Row],[HR]]*4))/SDP_H68[[#This Row],[AB]],0)</f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74">
        <v>0</v>
      </c>
      <c r="BO201" s="28">
        <v>0</v>
      </c>
      <c r="BP201" s="28">
        <v>0</v>
      </c>
      <c r="BQ201" s="74">
        <v>0</v>
      </c>
      <c r="BR201" s="28">
        <f>(SDP_H68[[#This Row],[H]]-SDP_H68[[#This Row],[2B]]-SDP_H68[[#This Row],[3B]]-SDP_H68[[#This Row],[HR]])+(SDP_H68[[#This Row],[2B]]*2)+(SDP_H68[[#This Row],[3B]]*3)+(SDP_H68[[#This Row],[HR]]*4)</f>
        <v>0</v>
      </c>
      <c r="BS201" s="72">
        <f>IFERROR(SDP_H68[[#This Row],[OBP]]+SDP_H68[[#This Row],[SLG]],0)</f>
        <v>0</v>
      </c>
      <c r="BT201" s="74">
        <v>0</v>
      </c>
      <c r="BU201" s="615">
        <v>11</v>
      </c>
    </row>
    <row r="202" spans="1:73">
      <c r="A202" s="651" t="s">
        <v>1200</v>
      </c>
      <c r="B202" s="71" t="s">
        <v>186</v>
      </c>
      <c r="C202" s="71" t="s">
        <v>1204</v>
      </c>
      <c r="D202" s="72">
        <f>IFERROR(SDP_H274[[#This Row],[H]]/SDP_H274[[#This Row],[AB]],0)</f>
        <v>0</v>
      </c>
      <c r="E202" s="72">
        <f>IFERROR((SDP_H274[[#This Row],[H]]+SDP_H274[[#This Row],[BB]])/(SDP_H274[[#This Row],[BB]]+SDP_H274[[#This Row],[AB]]),0)</f>
        <v>0</v>
      </c>
      <c r="F202" s="73">
        <f>IFERROR(((SDP_H274[[#This Row],[H]]-SDP_H274[[#This Row],[2B]]-SDP_H274[[#This Row],[3B]]-SDP_H274[[#This Row],[HR]])+(SDP_H274[[#This Row],[2B]]*2)+(SDP_H274[[#This Row],[3B]]*3)+(SDP_H274[[#This Row],[HR]]*4))/SDP_H274[[#This Row],[AB]],0)</f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74">
        <v>0</v>
      </c>
      <c r="Q202" s="28">
        <v>0</v>
      </c>
      <c r="R202" s="28">
        <v>0</v>
      </c>
      <c r="S202" s="74">
        <v>0</v>
      </c>
      <c r="T202" s="28">
        <f>IFERROR((SDP_H274[[#This Row],[H]]-SDP_H274[[#This Row],[2B]]-SDP_H274[[#This Row],[3B]]-SDP_H274[[#This Row],[HR]])+(SDP_H274[[#This Row],[2B]]*2)+(SDP_H274[[#This Row],[3B]]*3)+(SDP_H274[[#This Row],[HR]]*4),0)</f>
        <v>0</v>
      </c>
      <c r="U202" s="72">
        <f>SDP_H274[[#This Row],[OBP]]+SDP_H274[[#This Row],[SLG]]</f>
        <v>0</v>
      </c>
      <c r="V202" s="74">
        <v>0</v>
      </c>
      <c r="W202" s="615">
        <v>12</v>
      </c>
      <c r="Z202" s="651" t="s">
        <v>1171</v>
      </c>
      <c r="AA202" s="71" t="s">
        <v>187</v>
      </c>
      <c r="AB202" s="71" t="s">
        <v>930</v>
      </c>
      <c r="AC202" s="72">
        <f>IFERROR(LAD_H65[[#This Row],[H]]/LAD_H65[[#This Row],[AB]],0)</f>
        <v>0</v>
      </c>
      <c r="AD202" s="72">
        <f>IFERROR((LAD_H65[[#This Row],[H]]+LAD_H65[[#This Row],[BB]])/(LAD_H65[[#This Row],[BB]]+LAD_H65[[#This Row],[AB]]),0)</f>
        <v>0</v>
      </c>
      <c r="AE202" s="73">
        <f>IFERROR(((LAD_H65[[#This Row],[H]]-LAD_H65[[#This Row],[2B]]-LAD_H65[[#This Row],[3B]]-LAD_H65[[#This Row],[HR]])+(LAD_H65[[#This Row],[2B]]*2)+(LAD_H65[[#This Row],[3B]]*3)+(LAD_H65[[#This Row],[HR]]*4))/LAD_H65[[#This Row],[AB]],0)</f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74">
        <v>0</v>
      </c>
      <c r="AP202" s="28">
        <v>0</v>
      </c>
      <c r="AQ202" s="28">
        <v>0</v>
      </c>
      <c r="AR202" s="74">
        <v>0</v>
      </c>
      <c r="AS202" s="28">
        <f>IFERROR((LAD_H65[[#This Row],[H]]-LAD_H65[[#This Row],[2B]]-LAD_H65[[#This Row],[3B]]-LAD_H65[[#This Row],[HR]])+(LAD_H65[[#This Row],[2B]]*2)+(LAD_H65[[#This Row],[3B]]*3)+(LAD_H65[[#This Row],[HR]]*4),0)</f>
        <v>0</v>
      </c>
      <c r="AT202" s="72">
        <f>LAD_H65[[#This Row],[OBP]]+LAD_H65[[#This Row],[SLG]]</f>
        <v>0</v>
      </c>
      <c r="AU202" s="74">
        <v>0</v>
      </c>
      <c r="AV202" s="615">
        <v>12</v>
      </c>
      <c r="AY202" s="651" t="s">
        <v>1200</v>
      </c>
      <c r="AZ202" s="74" t="s">
        <v>187</v>
      </c>
      <c r="BA202" s="71" t="s">
        <v>1213</v>
      </c>
      <c r="BB202" s="72">
        <f>IFERROR(SDP_H68[[#This Row],[H]]/SDP_H68[[#This Row],[AB]],0)</f>
        <v>0</v>
      </c>
      <c r="BC202" s="72">
        <f>IFERROR((SDP_H68[[#This Row],[BB]]+SDP_H68[[#This Row],[H]])/(SDP_H68[[#This Row],[BB]]+SDP_H68[[#This Row],[AB]]),0)</f>
        <v>0</v>
      </c>
      <c r="BD202" s="73">
        <f>IFERROR(((SDP_H68[[#This Row],[H]]-SDP_H68[[#This Row],[2B]]-SDP_H68[[#This Row],[3B]]-SDP_H68[[#This Row],[HR]])+(SDP_H68[[#This Row],[2B]]*2)+(SDP_H68[[#This Row],[3B]]*3)+(SDP_H68[[#This Row],[HR]]*4))/SDP_H68[[#This Row],[AB]],0)</f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74">
        <v>0</v>
      </c>
      <c r="BO202" s="28">
        <v>0</v>
      </c>
      <c r="BP202" s="28">
        <v>0</v>
      </c>
      <c r="BQ202" s="74">
        <v>0</v>
      </c>
      <c r="BR202" s="28">
        <f>(SDP_H68[[#This Row],[H]]-SDP_H68[[#This Row],[2B]]-SDP_H68[[#This Row],[3B]]-SDP_H68[[#This Row],[HR]])+(SDP_H68[[#This Row],[2B]]*2)+(SDP_H68[[#This Row],[3B]]*3)+(SDP_H68[[#This Row],[HR]]*4)</f>
        <v>0</v>
      </c>
      <c r="BS202" s="72">
        <f>IFERROR(SDP_H68[[#This Row],[OBP]]+SDP_H68[[#This Row],[SLG]],0)</f>
        <v>0</v>
      </c>
      <c r="BT202" s="74">
        <v>0</v>
      </c>
      <c r="BU202" s="615">
        <v>12</v>
      </c>
    </row>
    <row r="203" spans="1:73">
      <c r="A203" s="651" t="s">
        <v>1200</v>
      </c>
      <c r="B203" s="71" t="s">
        <v>186</v>
      </c>
      <c r="C203" s="71" t="s">
        <v>1211</v>
      </c>
      <c r="D203" s="72">
        <f>IFERROR(SDP_H274[[#This Row],[H]]/SDP_H274[[#This Row],[AB]],0)</f>
        <v>0</v>
      </c>
      <c r="E203" s="72">
        <f>IFERROR((SDP_H274[[#This Row],[H]]+SDP_H274[[#This Row],[BB]])/(SDP_H274[[#This Row],[BB]]+SDP_H274[[#This Row],[AB]]),0)</f>
        <v>0</v>
      </c>
      <c r="F203" s="73">
        <f>IFERROR(((SDP_H274[[#This Row],[H]]-SDP_H274[[#This Row],[2B]]-SDP_H274[[#This Row],[3B]]-SDP_H274[[#This Row],[HR]])+(SDP_H274[[#This Row],[2B]]*2)+(SDP_H274[[#This Row],[3B]]*3)+(SDP_H274[[#This Row],[HR]]*4))/SDP_H274[[#This Row],[AB]],0)</f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74">
        <v>0</v>
      </c>
      <c r="Q203" s="28">
        <v>0</v>
      </c>
      <c r="R203" s="28">
        <v>0</v>
      </c>
      <c r="S203" s="74">
        <v>0</v>
      </c>
      <c r="T203" s="28">
        <f>IFERROR((SDP_H274[[#This Row],[H]]-SDP_H274[[#This Row],[2B]]-SDP_H274[[#This Row],[3B]]-SDP_H274[[#This Row],[HR]])+(SDP_H274[[#This Row],[2B]]*2)+(SDP_H274[[#This Row],[3B]]*3)+(SDP_H274[[#This Row],[HR]]*4),0)</f>
        <v>0</v>
      </c>
      <c r="U203" s="72">
        <f>SDP_H274[[#This Row],[OBP]]+SDP_H274[[#This Row],[SLG]]</f>
        <v>0</v>
      </c>
      <c r="V203" s="74">
        <v>0</v>
      </c>
      <c r="W203" s="615">
        <v>13</v>
      </c>
      <c r="Z203" s="651" t="s">
        <v>1171</v>
      </c>
      <c r="AA203" s="71" t="s">
        <v>186</v>
      </c>
      <c r="AB203" s="71" t="s">
        <v>1177</v>
      </c>
      <c r="AC203" s="72">
        <f>IFERROR(LAD_H65[[#This Row],[H]]/LAD_H65[[#This Row],[AB]],0)</f>
        <v>0</v>
      </c>
      <c r="AD203" s="72">
        <f>IFERROR((LAD_H65[[#This Row],[H]]+LAD_H65[[#This Row],[BB]])/(LAD_H65[[#This Row],[BB]]+LAD_H65[[#This Row],[AB]]),0)</f>
        <v>0</v>
      </c>
      <c r="AE203" s="73">
        <f>IFERROR(((LAD_H65[[#This Row],[H]]-LAD_H65[[#This Row],[2B]]-LAD_H65[[#This Row],[3B]]-LAD_H65[[#This Row],[HR]])+(LAD_H65[[#This Row],[2B]]*2)+(LAD_H65[[#This Row],[3B]]*3)+(LAD_H65[[#This Row],[HR]]*4))/LAD_H65[[#This Row],[AB]],0)</f>
        <v>0</v>
      </c>
      <c r="AF203" s="28">
        <v>2</v>
      </c>
      <c r="AG203" s="28">
        <v>2</v>
      </c>
      <c r="AH203" s="28">
        <v>1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74">
        <v>1</v>
      </c>
      <c r="AP203" s="28">
        <v>0</v>
      </c>
      <c r="AQ203" s="28">
        <v>0</v>
      </c>
      <c r="AR203" s="74">
        <v>0</v>
      </c>
      <c r="AS203" s="28">
        <f>IFERROR((LAD_H65[[#This Row],[H]]-LAD_H65[[#This Row],[2B]]-LAD_H65[[#This Row],[3B]]-LAD_H65[[#This Row],[HR]])+(LAD_H65[[#This Row],[2B]]*2)+(LAD_H65[[#This Row],[3B]]*3)+(LAD_H65[[#This Row],[HR]]*4),0)</f>
        <v>0</v>
      </c>
      <c r="AT203" s="72">
        <f>LAD_H65[[#This Row],[OBP]]+LAD_H65[[#This Row],[SLG]]</f>
        <v>0</v>
      </c>
      <c r="AU203" s="74">
        <v>0</v>
      </c>
      <c r="AV203" s="615">
        <v>13</v>
      </c>
      <c r="AY203" s="651" t="s">
        <v>1200</v>
      </c>
      <c r="AZ203" s="74" t="s">
        <v>186</v>
      </c>
      <c r="BA203" s="71" t="s">
        <v>1211</v>
      </c>
      <c r="BB203" s="72">
        <f>IFERROR(SDP_H68[[#This Row],[H]]/SDP_H68[[#This Row],[AB]],0)</f>
        <v>0</v>
      </c>
      <c r="BC203" s="72">
        <f>IFERROR((SDP_H68[[#This Row],[BB]]+SDP_H68[[#This Row],[H]])/(SDP_H68[[#This Row],[BB]]+SDP_H68[[#This Row],[AB]]),0)</f>
        <v>0</v>
      </c>
      <c r="BD203" s="73">
        <f>IFERROR(((SDP_H68[[#This Row],[H]]-SDP_H68[[#This Row],[2B]]-SDP_H68[[#This Row],[3B]]-SDP_H68[[#This Row],[HR]])+(SDP_H68[[#This Row],[2B]]*2)+(SDP_H68[[#This Row],[3B]]*3)+(SDP_H68[[#This Row],[HR]]*4))/SDP_H68[[#This Row],[AB]],0)</f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74">
        <v>0</v>
      </c>
      <c r="BO203" s="28">
        <v>0</v>
      </c>
      <c r="BP203" s="28">
        <v>0</v>
      </c>
      <c r="BQ203" s="74">
        <v>0</v>
      </c>
      <c r="BR203" s="28">
        <f>(SDP_H68[[#This Row],[H]]-SDP_H68[[#This Row],[2B]]-SDP_H68[[#This Row],[3B]]-SDP_H68[[#This Row],[HR]])+(SDP_H68[[#This Row],[2B]]*2)+(SDP_H68[[#This Row],[3B]]*3)+(SDP_H68[[#This Row],[HR]]*4)</f>
        <v>0</v>
      </c>
      <c r="BS203" s="72">
        <f>IFERROR(SDP_H68[[#This Row],[OBP]]+SDP_H68[[#This Row],[SLG]],0)</f>
        <v>0</v>
      </c>
      <c r="BT203" s="74">
        <v>0</v>
      </c>
      <c r="BU203" s="615">
        <v>13</v>
      </c>
    </row>
    <row r="204" spans="1:73" ht="17" thickBot="1">
      <c r="A204" s="651" t="s">
        <v>1200</v>
      </c>
      <c r="B204" s="71" t="s">
        <v>186</v>
      </c>
      <c r="C204" s="71" t="s">
        <v>1214</v>
      </c>
      <c r="D204" s="72">
        <f>IFERROR(SDP_H274[[#This Row],[H]]/SDP_H274[[#This Row],[AB]],0)</f>
        <v>0</v>
      </c>
      <c r="E204" s="72">
        <f>IFERROR((SDP_H274[[#This Row],[H]]+SDP_H274[[#This Row],[BB]])/(SDP_H274[[#This Row],[BB]]+SDP_H274[[#This Row],[AB]]),0)</f>
        <v>0</v>
      </c>
      <c r="F204" s="73">
        <f>IFERROR(((SDP_H274[[#This Row],[H]]-SDP_H274[[#This Row],[2B]]-SDP_H274[[#This Row],[3B]]-SDP_H274[[#This Row],[HR]])+(SDP_H274[[#This Row],[2B]]*2)+(SDP_H274[[#This Row],[3B]]*3)+(SDP_H274[[#This Row],[HR]]*4))/SDP_H274[[#This Row],[AB]],0)</f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74">
        <v>0</v>
      </c>
      <c r="Q204" s="28">
        <v>0</v>
      </c>
      <c r="R204" s="28">
        <v>0</v>
      </c>
      <c r="S204" s="74">
        <v>0</v>
      </c>
      <c r="T204" s="28">
        <f>IFERROR((SDP_H274[[#This Row],[H]]-SDP_H274[[#This Row],[2B]]-SDP_H274[[#This Row],[3B]]-SDP_H274[[#This Row],[HR]])+(SDP_H274[[#This Row],[2B]]*2)+(SDP_H274[[#This Row],[3B]]*3)+(SDP_H274[[#This Row],[HR]]*4),0)</f>
        <v>0</v>
      </c>
      <c r="U204" s="72">
        <f>SDP_H274[[#This Row],[OBP]]+SDP_H274[[#This Row],[SLG]]</f>
        <v>0</v>
      </c>
      <c r="V204" s="74">
        <v>0</v>
      </c>
      <c r="W204" s="615">
        <v>14</v>
      </c>
      <c r="Z204" s="651" t="s">
        <v>1171</v>
      </c>
      <c r="AA204" s="71" t="s">
        <v>186</v>
      </c>
      <c r="AB204" s="71" t="s">
        <v>1179</v>
      </c>
      <c r="AC204" s="72">
        <f>IFERROR(LAD_H65[[#This Row],[H]]/LAD_H65[[#This Row],[AB]],0)</f>
        <v>0</v>
      </c>
      <c r="AD204" s="72">
        <f>IFERROR((LAD_H65[[#This Row],[H]]+LAD_H65[[#This Row],[BB]])/(LAD_H65[[#This Row],[BB]]+LAD_H65[[#This Row],[AB]]),0)</f>
        <v>0</v>
      </c>
      <c r="AE204" s="73">
        <f>IFERROR(((LAD_H65[[#This Row],[H]]-LAD_H65[[#This Row],[2B]]-LAD_H65[[#This Row],[3B]]-LAD_H65[[#This Row],[HR]])+(LAD_H65[[#This Row],[2B]]*2)+(LAD_H65[[#This Row],[3B]]*3)+(LAD_H65[[#This Row],[HR]]*4))/LAD_H65[[#This Row],[AB]],0)</f>
        <v>0</v>
      </c>
      <c r="AF204" s="28">
        <v>0</v>
      </c>
      <c r="AG204" s="90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74">
        <v>0</v>
      </c>
      <c r="AP204" s="28">
        <v>0</v>
      </c>
      <c r="AQ204" s="28">
        <v>0</v>
      </c>
      <c r="AR204" s="74">
        <v>0</v>
      </c>
      <c r="AS204" s="28">
        <f>IFERROR((LAD_H65[[#This Row],[H]]-LAD_H65[[#This Row],[2B]]-LAD_H65[[#This Row],[3B]]-LAD_H65[[#This Row],[HR]])+(LAD_H65[[#This Row],[2B]]*2)+(LAD_H65[[#This Row],[3B]]*3)+(LAD_H65[[#This Row],[HR]]*4),0)</f>
        <v>0</v>
      </c>
      <c r="AT204" s="72">
        <f>LAD_H65[[#This Row],[OBP]]+LAD_H65[[#This Row],[SLG]]</f>
        <v>0</v>
      </c>
      <c r="AU204" s="74">
        <v>0</v>
      </c>
      <c r="AV204" s="615">
        <v>14</v>
      </c>
      <c r="AY204" s="651" t="s">
        <v>1200</v>
      </c>
      <c r="AZ204" s="74" t="s">
        <v>184</v>
      </c>
      <c r="BA204" s="71" t="s">
        <v>1214</v>
      </c>
      <c r="BB204" s="72">
        <f>IFERROR(SDP_H68[[#This Row],[H]]/SDP_H68[[#This Row],[AB]],0)</f>
        <v>0</v>
      </c>
      <c r="BC204" s="72">
        <f>IFERROR((SDP_H68[[#This Row],[BB]]+SDP_H68[[#This Row],[H]])/(SDP_H68[[#This Row],[BB]]+SDP_H68[[#This Row],[AB]]),0)</f>
        <v>0</v>
      </c>
      <c r="BD204" s="73">
        <f>IFERROR(((SDP_H68[[#This Row],[H]]-SDP_H68[[#This Row],[2B]]-SDP_H68[[#This Row],[3B]]-SDP_H68[[#This Row],[HR]])+(SDP_H68[[#This Row],[2B]]*2)+(SDP_H68[[#This Row],[3B]]*3)+(SDP_H68[[#This Row],[HR]]*4))/SDP_H68[[#This Row],[AB]],0)</f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74">
        <v>0</v>
      </c>
      <c r="BO204" s="28">
        <v>0</v>
      </c>
      <c r="BP204" s="28">
        <v>0</v>
      </c>
      <c r="BQ204" s="74">
        <v>0</v>
      </c>
      <c r="BR204" s="28">
        <f>(SDP_H68[[#This Row],[H]]-SDP_H68[[#This Row],[2B]]-SDP_H68[[#This Row],[3B]]-SDP_H68[[#This Row],[HR]])+(SDP_H68[[#This Row],[2B]]*2)+(SDP_H68[[#This Row],[3B]]*3)+(SDP_H68[[#This Row],[HR]]*4)</f>
        <v>0</v>
      </c>
      <c r="BS204" s="72">
        <f>IFERROR(SDP_H68[[#This Row],[OBP]]+SDP_H68[[#This Row],[SLG]],0)</f>
        <v>0</v>
      </c>
      <c r="BT204" s="74">
        <v>0</v>
      </c>
      <c r="BU204" s="615">
        <v>14</v>
      </c>
    </row>
    <row r="205" spans="1:73" ht="17" thickBot="1">
      <c r="A205" s="809"/>
      <c r="B205" s="810"/>
      <c r="C205" s="654" t="s">
        <v>195</v>
      </c>
      <c r="D205" s="656">
        <f>J205/H205</f>
        <v>0.3</v>
      </c>
      <c r="E205" s="656">
        <f>(J205+O205)/(O205+H205)</f>
        <v>0.32800000000000001</v>
      </c>
      <c r="F205" s="657">
        <f>((J205-K205-L205-M205)+(K205*2)+(L205*3)+(M205*4))/H205</f>
        <v>0.46666666666666667</v>
      </c>
      <c r="G205" s="658"/>
      <c r="H205" s="658">
        <f>SUBTOTAL(109,SDP_H274[AB])</f>
        <v>120</v>
      </c>
      <c r="I205" s="658">
        <f>SUBTOTAL(109,SDP_H274[R])</f>
        <v>15</v>
      </c>
      <c r="J205" s="658">
        <f>SUBTOTAL(109,SDP_H274[H])</f>
        <v>36</v>
      </c>
      <c r="K205" s="658">
        <f>SUBTOTAL(109,SDP_H274[2B])</f>
        <v>9</v>
      </c>
      <c r="L205" s="658">
        <f>SUBTOTAL(109,SDP_H274[3B])</f>
        <v>1</v>
      </c>
      <c r="M205" s="658">
        <f>SUBTOTAL(109,SDP_H274[HR])</f>
        <v>3</v>
      </c>
      <c r="N205" s="658">
        <f>SUBTOTAL(109,SDP_H274[RBI])</f>
        <v>15</v>
      </c>
      <c r="O205" s="658">
        <f>SUBTOTAL(109,SDP_H274[BB])</f>
        <v>5</v>
      </c>
      <c r="P205" s="660">
        <f>SUBTOTAL(109,SDP_H274[K])</f>
        <v>36</v>
      </c>
      <c r="Q205" s="658">
        <f>SUBTOTAL(109,SDP_H274[SB])</f>
        <v>3</v>
      </c>
      <c r="R205" s="658"/>
      <c r="S205" s="660"/>
      <c r="T205" s="658">
        <f>SUBTOTAL(109,SDP_H274[TB])</f>
        <v>56</v>
      </c>
      <c r="U205" s="656">
        <f>E205+F205</f>
        <v>0.79466666666666663</v>
      </c>
      <c r="V205" s="660">
        <f>SUBTOTAL(109,SDP_H274[*])</f>
        <v>1</v>
      </c>
      <c r="W205" s="662"/>
      <c r="Z205" s="858"/>
      <c r="AA205" s="859"/>
      <c r="AB205" s="693" t="s">
        <v>195</v>
      </c>
      <c r="AC205" s="694">
        <f>AI205/AG205</f>
        <v>0.21707317073170732</v>
      </c>
      <c r="AD205" s="694">
        <f>(AI205+AN205)/(AN205+AG205)</f>
        <v>0.28824833702882485</v>
      </c>
      <c r="AE205" s="695">
        <f>((AI205-AJ205-AK205-AL205)+(AJ205*2)+(AK205*3)+(AL205*4))/AG205</f>
        <v>0.37317073170731707</v>
      </c>
      <c r="AF205" s="696"/>
      <c r="AG205" s="696">
        <f>SUBTOTAL(109,LAD_H65[AB])</f>
        <v>410</v>
      </c>
      <c r="AH205" s="696">
        <f>SUBTOTAL(109,LAD_H65[R])</f>
        <v>43</v>
      </c>
      <c r="AI205" s="696">
        <f>SUBTOTAL(109,LAD_H65[H])</f>
        <v>89</v>
      </c>
      <c r="AJ205" s="696">
        <f>SUBTOTAL(109,LAD_H65[2B])</f>
        <v>14</v>
      </c>
      <c r="AK205" s="696">
        <f>SUBTOTAL(109,LAD_H65[3B])</f>
        <v>1</v>
      </c>
      <c r="AL205" s="696">
        <f>SUBTOTAL(109,LAD_H65[HR])</f>
        <v>16</v>
      </c>
      <c r="AM205" s="696">
        <f>SUBTOTAL(109,LAD_H65[RBI])</f>
        <v>43</v>
      </c>
      <c r="AN205" s="696">
        <f>SUBTOTAL(109,LAD_H65[BB])</f>
        <v>41</v>
      </c>
      <c r="AO205" s="697">
        <f>SUBTOTAL(109,LAD_H65[K])</f>
        <v>118</v>
      </c>
      <c r="AP205" s="696">
        <f>SUBTOTAL(109,LAD_H65[SB])</f>
        <v>7</v>
      </c>
      <c r="AQ205" s="696"/>
      <c r="AR205" s="697"/>
      <c r="AS205" s="696">
        <f>SUBTOTAL(109,LAD_H65[TB])</f>
        <v>153</v>
      </c>
      <c r="AT205" s="694">
        <f>AE205+AD205</f>
        <v>0.66141906873614187</v>
      </c>
      <c r="AU205" s="697">
        <f>SUBTOTAL(109,LAD_H65[*])</f>
        <v>6</v>
      </c>
      <c r="AV205" s="698"/>
      <c r="AY205" s="809"/>
      <c r="AZ205" s="810"/>
      <c r="BA205" s="654" t="s">
        <v>195</v>
      </c>
      <c r="BB205" s="656">
        <f>IFERROR(BH205/BF205,0)</f>
        <v>0.24242424242424243</v>
      </c>
      <c r="BC205" s="656">
        <f>IFERROR((BM205+BH205)/(BM205+BF205),0)</f>
        <v>0.29906542056074764</v>
      </c>
      <c r="BD205" s="657">
        <f>IFERROR(((BH205-BI205-BJ205-BK205)+(BI205*2)+(BJ205*3)+(BK205*4))/BF205,0)</f>
        <v>0.41414141414141414</v>
      </c>
      <c r="BE205" s="658"/>
      <c r="BF205" s="658">
        <f>SUBTOTAL(109,SDP_H68[AB])</f>
        <v>99</v>
      </c>
      <c r="BG205" s="658">
        <f>SUBTOTAL(109,SDP_H68[R])</f>
        <v>11</v>
      </c>
      <c r="BH205" s="658">
        <f>SUBTOTAL(109,SDP_H68[H])</f>
        <v>24</v>
      </c>
      <c r="BI205" s="658">
        <f>SUBTOTAL(109,SDP_H68[2B])</f>
        <v>3</v>
      </c>
      <c r="BJ205" s="658">
        <f>SUBTOTAL(109,SDP_H68[3B])</f>
        <v>1</v>
      </c>
      <c r="BK205" s="658">
        <f>SUBTOTAL(109,SDP_H68[HR])</f>
        <v>4</v>
      </c>
      <c r="BL205" s="658">
        <f>SUBTOTAL(109,SDP_H68[RBI])</f>
        <v>11</v>
      </c>
      <c r="BM205" s="658">
        <f>SUBTOTAL(109,SDP_H68[BB])</f>
        <v>8</v>
      </c>
      <c r="BN205" s="660">
        <f>SUBTOTAL(109,SDP_H68[K])</f>
        <v>27</v>
      </c>
      <c r="BO205" s="658">
        <f>SUBTOTAL(109,SDP_H68[SB])</f>
        <v>0</v>
      </c>
      <c r="BP205" s="658"/>
      <c r="BQ205" s="660"/>
      <c r="BR205" s="658">
        <f>SUBTOTAL(109,SDP_H68[TB])</f>
        <v>41</v>
      </c>
      <c r="BS205" s="656">
        <f>IFERROR(BC205+BD205,0)</f>
        <v>0.71320683470216184</v>
      </c>
      <c r="BT205" s="660">
        <f>SUBTOTAL(109,SDP_H68[*])</f>
        <v>1</v>
      </c>
      <c r="BU205" s="662"/>
    </row>
    <row r="206" spans="1:73" ht="17" thickBot="1"/>
    <row r="207" spans="1:73" s="108" customFormat="1" ht="17" thickBot="1">
      <c r="A207" s="605" t="s">
        <v>143</v>
      </c>
      <c r="B207" s="606" t="s">
        <v>144</v>
      </c>
      <c r="C207" s="606" t="s">
        <v>145</v>
      </c>
      <c r="D207" s="606" t="s">
        <v>196</v>
      </c>
      <c r="E207" s="606" t="s">
        <v>197</v>
      </c>
      <c r="F207" s="606" t="s">
        <v>198</v>
      </c>
      <c r="G207" s="606" t="s">
        <v>149</v>
      </c>
      <c r="H207" s="606" t="s">
        <v>199</v>
      </c>
      <c r="I207" s="606" t="s">
        <v>152</v>
      </c>
      <c r="J207" s="606" t="s">
        <v>151</v>
      </c>
      <c r="K207" s="606" t="s">
        <v>157</v>
      </c>
      <c r="L207" s="606" t="s">
        <v>158</v>
      </c>
      <c r="M207" s="606" t="s">
        <v>200</v>
      </c>
      <c r="N207" s="606" t="s">
        <v>201</v>
      </c>
      <c r="O207" s="606" t="s">
        <v>202</v>
      </c>
      <c r="P207" s="606" t="s">
        <v>203</v>
      </c>
      <c r="Q207" s="606" t="s">
        <v>204</v>
      </c>
      <c r="R207" s="606" t="s">
        <v>205</v>
      </c>
      <c r="S207" s="607" t="s">
        <v>164</v>
      </c>
      <c r="Z207" s="605" t="s">
        <v>143</v>
      </c>
      <c r="AA207" s="606" t="s">
        <v>144</v>
      </c>
      <c r="AB207" s="606" t="s">
        <v>145</v>
      </c>
      <c r="AC207" s="606" t="s">
        <v>196</v>
      </c>
      <c r="AD207" s="606" t="s">
        <v>197</v>
      </c>
      <c r="AE207" s="606" t="s">
        <v>198</v>
      </c>
      <c r="AF207" s="606" t="s">
        <v>149</v>
      </c>
      <c r="AG207" s="606" t="s">
        <v>199</v>
      </c>
      <c r="AH207" s="606" t="s">
        <v>152</v>
      </c>
      <c r="AI207" s="606" t="s">
        <v>151</v>
      </c>
      <c r="AJ207" s="606" t="s">
        <v>157</v>
      </c>
      <c r="AK207" s="606" t="s">
        <v>158</v>
      </c>
      <c r="AL207" s="606" t="s">
        <v>200</v>
      </c>
      <c r="AM207" s="606" t="s">
        <v>201</v>
      </c>
      <c r="AN207" s="606" t="s">
        <v>202</v>
      </c>
      <c r="AO207" s="606" t="s">
        <v>203</v>
      </c>
      <c r="AP207" s="606" t="s">
        <v>204</v>
      </c>
      <c r="AQ207" s="606" t="s">
        <v>205</v>
      </c>
      <c r="AR207" s="607" t="s">
        <v>164</v>
      </c>
      <c r="AS207"/>
      <c r="AT207"/>
      <c r="AU207"/>
      <c r="AV207"/>
      <c r="AY207" s="605" t="s">
        <v>143</v>
      </c>
      <c r="AZ207" s="606" t="s">
        <v>144</v>
      </c>
      <c r="BA207" s="606" t="s">
        <v>145</v>
      </c>
      <c r="BB207" s="606" t="s">
        <v>196</v>
      </c>
      <c r="BC207" s="606" t="s">
        <v>197</v>
      </c>
      <c r="BD207" s="606" t="s">
        <v>198</v>
      </c>
      <c r="BE207" s="606" t="s">
        <v>149</v>
      </c>
      <c r="BF207" s="606" t="s">
        <v>199</v>
      </c>
      <c r="BG207" s="606" t="s">
        <v>152</v>
      </c>
      <c r="BH207" s="606" t="s">
        <v>151</v>
      </c>
      <c r="BI207" s="606" t="s">
        <v>157</v>
      </c>
      <c r="BJ207" s="606" t="s">
        <v>158</v>
      </c>
      <c r="BK207" s="606" t="s">
        <v>200</v>
      </c>
      <c r="BL207" s="606" t="s">
        <v>201</v>
      </c>
      <c r="BM207" s="606" t="s">
        <v>202</v>
      </c>
      <c r="BN207" s="606" t="s">
        <v>203</v>
      </c>
      <c r="BO207" s="606" t="s">
        <v>204</v>
      </c>
      <c r="BP207" s="606" t="s">
        <v>205</v>
      </c>
      <c r="BQ207" s="607" t="s">
        <v>164</v>
      </c>
    </row>
    <row r="208" spans="1:73">
      <c r="A208" s="827" t="s">
        <v>1200</v>
      </c>
      <c r="B208" s="825" t="s">
        <v>206</v>
      </c>
      <c r="C208" s="826" t="s">
        <v>1215</v>
      </c>
      <c r="D208" s="663">
        <f>IFERROR((SDP_P273[[#This Row],[R]]*9)/SDP_P273[[#This Row],[IP]],0)</f>
        <v>5.1428571428571432</v>
      </c>
      <c r="E208" s="600">
        <v>0</v>
      </c>
      <c r="F208" s="604">
        <v>1</v>
      </c>
      <c r="G208" s="600">
        <v>1</v>
      </c>
      <c r="H208" s="630">
        <v>7</v>
      </c>
      <c r="I208" s="600">
        <v>7</v>
      </c>
      <c r="J208" s="600">
        <v>4</v>
      </c>
      <c r="K208" s="600">
        <v>1</v>
      </c>
      <c r="L208" s="600">
        <v>10</v>
      </c>
      <c r="M208" s="600">
        <v>0</v>
      </c>
      <c r="N208" s="631">
        <f>IFERROR((SDP_P273[[#This Row],[BB]]+SDP_P273[[#This Row],[H]])/SDP_P273[[#This Row],[IP]],0)</f>
        <v>1.1428571428571428</v>
      </c>
      <c r="O208" s="600">
        <v>0</v>
      </c>
      <c r="P208" s="601">
        <v>0</v>
      </c>
      <c r="Q208" s="600">
        <v>0</v>
      </c>
      <c r="R208" s="604">
        <v>0</v>
      </c>
      <c r="S208" s="614">
        <v>1</v>
      </c>
      <c r="Z208" s="650" t="s">
        <v>1171</v>
      </c>
      <c r="AA208" s="604" t="s">
        <v>206</v>
      </c>
      <c r="AB208" s="597" t="s">
        <v>1184</v>
      </c>
      <c r="AC208" s="663">
        <f>IFERROR((LAD_P66[[#This Row],[R]]*9)/LAD_P66[[#This Row],[IP]],0)</f>
        <v>1.5</v>
      </c>
      <c r="AD208" s="600">
        <v>1</v>
      </c>
      <c r="AE208" s="604">
        <v>1</v>
      </c>
      <c r="AF208" s="600">
        <v>4</v>
      </c>
      <c r="AG208" s="630">
        <v>30</v>
      </c>
      <c r="AH208" s="600">
        <v>18</v>
      </c>
      <c r="AI208" s="600">
        <v>5</v>
      </c>
      <c r="AJ208" s="600">
        <v>3</v>
      </c>
      <c r="AK208" s="600">
        <v>31</v>
      </c>
      <c r="AL208" s="600">
        <v>0</v>
      </c>
      <c r="AM208" s="838">
        <f>IFERROR((LAD_P66[[#This Row],[BB]]+LAD_P66[[#This Row],[H]])/LAD_P66[[#This Row],[IP]],0)</f>
        <v>0.7</v>
      </c>
      <c r="AN208" s="600">
        <v>4</v>
      </c>
      <c r="AO208" s="602">
        <v>4</v>
      </c>
      <c r="AP208" s="600">
        <v>0</v>
      </c>
      <c r="AQ208" s="604">
        <v>0</v>
      </c>
      <c r="AR208" s="614">
        <v>1</v>
      </c>
      <c r="AY208" s="827" t="s">
        <v>1200</v>
      </c>
      <c r="AZ208" s="825" t="s">
        <v>206</v>
      </c>
      <c r="BA208" s="826" t="s">
        <v>1215</v>
      </c>
      <c r="BB208" s="663">
        <f>IFERROR((SDP_P67[[#This Row],[R]]*9)/SDP_P67[[#This Row],[IP]],0)</f>
        <v>16.2</v>
      </c>
      <c r="BC208" s="600">
        <v>0</v>
      </c>
      <c r="BD208" s="604">
        <v>1</v>
      </c>
      <c r="BE208" s="600">
        <v>1</v>
      </c>
      <c r="BF208" s="630">
        <v>5</v>
      </c>
      <c r="BG208" s="600">
        <v>8</v>
      </c>
      <c r="BH208" s="600">
        <v>9</v>
      </c>
      <c r="BI208" s="600">
        <v>7</v>
      </c>
      <c r="BJ208" s="600">
        <v>4</v>
      </c>
      <c r="BK208" s="600">
        <v>0</v>
      </c>
      <c r="BL208" s="631">
        <f>IFERROR((SDP_P67[[#This Row],[BB]]+SDP_P67[[#This Row],[H]])/SDP_P67[[#This Row],[IP]],0)</f>
        <v>3</v>
      </c>
      <c r="BM208" s="600">
        <v>0</v>
      </c>
      <c r="BN208" s="601">
        <v>0</v>
      </c>
      <c r="BO208" s="600">
        <v>0</v>
      </c>
      <c r="BP208" s="604">
        <v>0</v>
      </c>
      <c r="BQ208" s="880">
        <v>1</v>
      </c>
    </row>
    <row r="209" spans="1:69">
      <c r="A209" s="828" t="s">
        <v>1200</v>
      </c>
      <c r="B209" s="114" t="s">
        <v>206</v>
      </c>
      <c r="C209" s="115" t="s">
        <v>1216</v>
      </c>
      <c r="D209" s="88">
        <f>IFERROR((SDP_P273[[#This Row],[R]]*9)/SDP_P273[[#This Row],[IP]],0)</f>
        <v>6.3492063492063489</v>
      </c>
      <c r="E209" s="28">
        <v>1</v>
      </c>
      <c r="F209" s="74">
        <v>0</v>
      </c>
      <c r="G209" s="28">
        <v>1</v>
      </c>
      <c r="H209" s="584">
        <v>5.67</v>
      </c>
      <c r="I209" s="28">
        <v>6</v>
      </c>
      <c r="J209" s="28">
        <v>4</v>
      </c>
      <c r="K209" s="28">
        <v>5</v>
      </c>
      <c r="L209" s="28">
        <v>7</v>
      </c>
      <c r="M209" s="28">
        <v>0</v>
      </c>
      <c r="N209" s="89">
        <f>IFERROR((SDP_P273[[#This Row],[BB]]+SDP_P273[[#This Row],[H]])/SDP_P273[[#This Row],[IP]],0)</f>
        <v>1.9400352733686068</v>
      </c>
      <c r="O209" s="28">
        <v>0</v>
      </c>
      <c r="P209" s="90">
        <v>0</v>
      </c>
      <c r="Q209" s="28">
        <v>0</v>
      </c>
      <c r="R209" s="74">
        <v>0</v>
      </c>
      <c r="S209" s="615">
        <v>2</v>
      </c>
      <c r="Z209" s="651" t="s">
        <v>1171</v>
      </c>
      <c r="AA209" s="74" t="s">
        <v>206</v>
      </c>
      <c r="AB209" s="71" t="s">
        <v>1185</v>
      </c>
      <c r="AC209" s="88">
        <f>IFERROR((LAD_P66[[#This Row],[R]]*9)/LAD_P66[[#This Row],[IP]],0)</f>
        <v>4.808877928483354</v>
      </c>
      <c r="AD209" s="28">
        <v>1</v>
      </c>
      <c r="AE209" s="104">
        <v>3</v>
      </c>
      <c r="AF209" s="28">
        <v>4</v>
      </c>
      <c r="AG209" s="584">
        <v>24.33</v>
      </c>
      <c r="AH209" s="28">
        <v>27</v>
      </c>
      <c r="AI209" s="28">
        <v>13</v>
      </c>
      <c r="AJ209" s="28">
        <v>8</v>
      </c>
      <c r="AK209" s="28">
        <v>29</v>
      </c>
      <c r="AL209" s="28">
        <v>0</v>
      </c>
      <c r="AM209" s="89">
        <f>IFERROR((LAD_P66[[#This Row],[BB]]+LAD_P66[[#This Row],[H]])/LAD_P66[[#This Row],[IP]],0)</f>
        <v>1.4385532264693794</v>
      </c>
      <c r="AN209" s="28">
        <v>1</v>
      </c>
      <c r="AO209" s="90">
        <v>0</v>
      </c>
      <c r="AP209" s="28">
        <v>0</v>
      </c>
      <c r="AQ209" s="74">
        <v>0</v>
      </c>
      <c r="AR209" s="615">
        <v>2</v>
      </c>
      <c r="AY209" s="828" t="s">
        <v>1200</v>
      </c>
      <c r="AZ209" s="114" t="s">
        <v>206</v>
      </c>
      <c r="BA209" s="115" t="s">
        <v>1216</v>
      </c>
      <c r="BB209" s="88">
        <f>IFERROR((SDP_P67[[#This Row],[R]]*9)/SDP_P67[[#This Row],[IP]],0)</f>
        <v>0</v>
      </c>
      <c r="BC209" s="28">
        <v>1</v>
      </c>
      <c r="BD209" s="74">
        <v>0</v>
      </c>
      <c r="BE209" s="28">
        <v>1</v>
      </c>
      <c r="BF209" s="584">
        <v>7.67</v>
      </c>
      <c r="BG209" s="28">
        <v>5</v>
      </c>
      <c r="BH209" s="28">
        <v>0</v>
      </c>
      <c r="BI209" s="28">
        <v>2</v>
      </c>
      <c r="BJ209" s="28">
        <v>5</v>
      </c>
      <c r="BK209" s="28">
        <v>0</v>
      </c>
      <c r="BL209" s="89">
        <f>IFERROR((SDP_P67[[#This Row],[BB]]+SDP_P67[[#This Row],[H]])/SDP_P67[[#This Row],[IP]],0)</f>
        <v>0.91264667535853983</v>
      </c>
      <c r="BM209" s="28">
        <v>1</v>
      </c>
      <c r="BN209" s="90">
        <v>1</v>
      </c>
      <c r="BO209" s="28">
        <v>0</v>
      </c>
      <c r="BP209" s="74">
        <v>0</v>
      </c>
      <c r="BQ209" s="881">
        <v>2</v>
      </c>
    </row>
    <row r="210" spans="1:69">
      <c r="A210" s="828" t="s">
        <v>1200</v>
      </c>
      <c r="B210" s="114" t="s">
        <v>206</v>
      </c>
      <c r="C210" s="116" t="s">
        <v>218</v>
      </c>
      <c r="D210" s="88">
        <f>IFERROR((SDP_P273[[#This Row],[R]]*9)/SDP_P273[[#This Row],[IP]],0)</f>
        <v>5.1428571428571432</v>
      </c>
      <c r="E210" s="28">
        <v>0</v>
      </c>
      <c r="F210" s="74">
        <v>0</v>
      </c>
      <c r="G210" s="28">
        <v>1</v>
      </c>
      <c r="H210" s="584">
        <v>7</v>
      </c>
      <c r="I210" s="28">
        <v>5</v>
      </c>
      <c r="J210" s="28">
        <v>4</v>
      </c>
      <c r="K210" s="28">
        <v>1</v>
      </c>
      <c r="L210" s="28">
        <v>8</v>
      </c>
      <c r="M210" s="28">
        <v>0</v>
      </c>
      <c r="N210" s="89">
        <f>IFERROR((SDP_P273[[#This Row],[BB]]+SDP_P273[[#This Row],[H]])/SDP_P273[[#This Row],[IP]],0)</f>
        <v>0.8571428571428571</v>
      </c>
      <c r="O210" s="28">
        <v>0</v>
      </c>
      <c r="P210" s="90">
        <v>0</v>
      </c>
      <c r="Q210" s="28">
        <v>0</v>
      </c>
      <c r="R210" s="74">
        <v>0</v>
      </c>
      <c r="S210" s="615">
        <v>3</v>
      </c>
      <c r="Z210" s="651" t="s">
        <v>1171</v>
      </c>
      <c r="AA210" s="74" t="s">
        <v>206</v>
      </c>
      <c r="AB210" s="71" t="s">
        <v>1187</v>
      </c>
      <c r="AC210" s="88">
        <f>IFERROR((LAD_P66[[#This Row],[R]]*9)/LAD_P66[[#This Row],[IP]],0)</f>
        <v>4.6956521739130439</v>
      </c>
      <c r="AD210" s="28">
        <v>1</v>
      </c>
      <c r="AE210" s="74">
        <v>1</v>
      </c>
      <c r="AF210" s="28">
        <v>4</v>
      </c>
      <c r="AG210" s="584">
        <v>23</v>
      </c>
      <c r="AH210" s="28">
        <v>22</v>
      </c>
      <c r="AI210" s="28">
        <v>12</v>
      </c>
      <c r="AJ210" s="28">
        <v>12</v>
      </c>
      <c r="AK210" s="28">
        <v>20</v>
      </c>
      <c r="AL210" s="28">
        <v>0</v>
      </c>
      <c r="AM210" s="89">
        <f>IFERROR((LAD_P66[[#This Row],[BB]]+LAD_P66[[#This Row],[H]])/LAD_P66[[#This Row],[IP]],0)</f>
        <v>1.4782608695652173</v>
      </c>
      <c r="AN210" s="28">
        <v>3</v>
      </c>
      <c r="AO210" s="90">
        <v>1</v>
      </c>
      <c r="AP210" s="28">
        <v>0</v>
      </c>
      <c r="AQ210" s="74">
        <v>0</v>
      </c>
      <c r="AR210" s="615">
        <v>3</v>
      </c>
      <c r="AY210" s="828" t="s">
        <v>1200</v>
      </c>
      <c r="AZ210" s="114" t="s">
        <v>206</v>
      </c>
      <c r="BA210" s="115" t="s">
        <v>1217</v>
      </c>
      <c r="BB210" s="88">
        <f>IFERROR((SDP_P67[[#This Row],[R]]*9)/SDP_P67[[#This Row],[IP]],0)</f>
        <v>7.9365079365079367</v>
      </c>
      <c r="BC210" s="28">
        <v>0</v>
      </c>
      <c r="BD210" s="74">
        <v>1</v>
      </c>
      <c r="BE210" s="28">
        <v>1</v>
      </c>
      <c r="BF210" s="584">
        <v>5.67</v>
      </c>
      <c r="BG210" s="28">
        <v>6</v>
      </c>
      <c r="BH210" s="28">
        <v>5</v>
      </c>
      <c r="BI210" s="28">
        <v>5</v>
      </c>
      <c r="BJ210" s="28">
        <v>3</v>
      </c>
      <c r="BK210" s="28">
        <v>0</v>
      </c>
      <c r="BL210" s="89">
        <f>IFERROR((SDP_P67[[#This Row],[BB]]+SDP_P67[[#This Row],[H]])/SDP_P67[[#This Row],[IP]],0)</f>
        <v>1.9400352733686068</v>
      </c>
      <c r="BM210" s="28">
        <v>0</v>
      </c>
      <c r="BN210" s="90">
        <v>0</v>
      </c>
      <c r="BO210" s="28">
        <v>0</v>
      </c>
      <c r="BP210" s="74">
        <v>0</v>
      </c>
      <c r="BQ210" s="881">
        <v>3</v>
      </c>
    </row>
    <row r="211" spans="1:69">
      <c r="A211" s="828" t="s">
        <v>1200</v>
      </c>
      <c r="B211" s="114" t="s">
        <v>206</v>
      </c>
      <c r="C211" s="115" t="s">
        <v>1217</v>
      </c>
      <c r="D211" s="88">
        <f>IFERROR((SDP_P273[[#This Row],[R]]*9)/SDP_P273[[#This Row],[IP]],0)</f>
        <v>0</v>
      </c>
      <c r="E211" s="28">
        <v>0</v>
      </c>
      <c r="F211" s="74">
        <v>0</v>
      </c>
      <c r="G211" s="28">
        <v>0</v>
      </c>
      <c r="H211" s="584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89">
        <f>IFERROR((SDP_P273[[#This Row],[BB]]+SDP_P273[[#This Row],[H]])/SDP_P273[[#This Row],[IP]],0)</f>
        <v>0</v>
      </c>
      <c r="O211" s="28">
        <v>0</v>
      </c>
      <c r="P211" s="90">
        <v>0</v>
      </c>
      <c r="Q211" s="28">
        <v>0</v>
      </c>
      <c r="R211" s="74">
        <v>0</v>
      </c>
      <c r="S211" s="615">
        <v>4</v>
      </c>
      <c r="Z211" s="651" t="s">
        <v>1171</v>
      </c>
      <c r="AA211" s="74" t="s">
        <v>206</v>
      </c>
      <c r="AB211" s="71" t="s">
        <v>1188</v>
      </c>
      <c r="AC211" s="88">
        <f>IFERROR((LAD_P66[[#This Row],[R]]*9)/LAD_P66[[#This Row],[IP]],0)</f>
        <v>9</v>
      </c>
      <c r="AD211" s="28">
        <v>1</v>
      </c>
      <c r="AE211" s="74">
        <v>0</v>
      </c>
      <c r="AF211" s="28">
        <v>3</v>
      </c>
      <c r="AG211" s="584">
        <v>5</v>
      </c>
      <c r="AH211" s="28">
        <v>6</v>
      </c>
      <c r="AI211" s="28">
        <v>5</v>
      </c>
      <c r="AJ211" s="28">
        <v>7</v>
      </c>
      <c r="AK211" s="28">
        <v>6</v>
      </c>
      <c r="AL211" s="28">
        <v>0</v>
      </c>
      <c r="AM211" s="89">
        <f>IFERROR((LAD_P66[[#This Row],[BB]]+LAD_P66[[#This Row],[H]])/LAD_P66[[#This Row],[IP]],0)</f>
        <v>2.6</v>
      </c>
      <c r="AN211" s="28">
        <v>0</v>
      </c>
      <c r="AO211" s="90">
        <v>0</v>
      </c>
      <c r="AP211" s="28">
        <v>0</v>
      </c>
      <c r="AQ211" s="74">
        <v>0</v>
      </c>
      <c r="AR211" s="615">
        <v>4</v>
      </c>
      <c r="AY211" s="828" t="s">
        <v>1200</v>
      </c>
      <c r="AZ211" s="114" t="s">
        <v>206</v>
      </c>
      <c r="BA211" s="115" t="s">
        <v>976</v>
      </c>
      <c r="BB211" s="88">
        <f>IFERROR((SDP_P67[[#This Row],[R]]*9)/SDP_P67[[#This Row],[IP]],0)</f>
        <v>6.7669172932330826</v>
      </c>
      <c r="BC211" s="28">
        <v>0</v>
      </c>
      <c r="BD211" s="74">
        <v>0</v>
      </c>
      <c r="BE211" s="28">
        <v>1</v>
      </c>
      <c r="BF211" s="584">
        <v>1.33</v>
      </c>
      <c r="BG211" s="28">
        <v>3</v>
      </c>
      <c r="BH211" s="28">
        <v>1</v>
      </c>
      <c r="BI211" s="28">
        <v>0</v>
      </c>
      <c r="BJ211" s="28">
        <v>2</v>
      </c>
      <c r="BK211" s="28">
        <v>0</v>
      </c>
      <c r="BL211" s="89">
        <f>IFERROR((SDP_P67[[#This Row],[BB]]+SDP_P67[[#This Row],[H]])/SDP_P67[[#This Row],[IP]],0)</f>
        <v>2.255639097744361</v>
      </c>
      <c r="BM211" s="28">
        <v>0</v>
      </c>
      <c r="BN211" s="90">
        <v>0</v>
      </c>
      <c r="BO211" s="28">
        <v>0</v>
      </c>
      <c r="BP211" s="74">
        <v>0</v>
      </c>
      <c r="BQ211" s="881">
        <v>4</v>
      </c>
    </row>
    <row r="212" spans="1:69">
      <c r="A212" s="828" t="s">
        <v>1200</v>
      </c>
      <c r="B212" s="114" t="s">
        <v>212</v>
      </c>
      <c r="C212" s="116" t="s">
        <v>748</v>
      </c>
      <c r="D212" s="88">
        <f>IFERROR((SDP_P273[[#This Row],[R]]*9)/SDP_P273[[#This Row],[IP]],0)</f>
        <v>0</v>
      </c>
      <c r="E212" s="28">
        <v>0</v>
      </c>
      <c r="F212" s="74">
        <v>0</v>
      </c>
      <c r="G212" s="28">
        <v>0</v>
      </c>
      <c r="H212" s="584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89">
        <f>IFERROR((SDP_P273[[#This Row],[BB]]+SDP_P273[[#This Row],[H]])/SDP_P273[[#This Row],[IP]],0)</f>
        <v>0</v>
      </c>
      <c r="O212" s="28">
        <v>0</v>
      </c>
      <c r="P212" s="90">
        <v>0</v>
      </c>
      <c r="Q212" s="28">
        <v>0</v>
      </c>
      <c r="R212" s="74">
        <v>0</v>
      </c>
      <c r="S212" s="615">
        <v>5</v>
      </c>
      <c r="Z212" s="651" t="s">
        <v>1171</v>
      </c>
      <c r="AA212" s="74" t="s">
        <v>212</v>
      </c>
      <c r="AB212" s="71" t="s">
        <v>1190</v>
      </c>
      <c r="AC212" s="88">
        <f>IFERROR((LAD_P66[[#This Row],[R]]*9)/LAD_P66[[#This Row],[IP]],0)</f>
        <v>1.8</v>
      </c>
      <c r="AD212" s="28">
        <v>0</v>
      </c>
      <c r="AE212" s="74">
        <v>0</v>
      </c>
      <c r="AF212" s="28">
        <v>3</v>
      </c>
      <c r="AG212" s="584">
        <v>5</v>
      </c>
      <c r="AH212" s="28">
        <v>4</v>
      </c>
      <c r="AI212" s="28">
        <v>1</v>
      </c>
      <c r="AJ212" s="28">
        <v>3</v>
      </c>
      <c r="AK212" s="28">
        <v>2</v>
      </c>
      <c r="AL212" s="28">
        <v>0</v>
      </c>
      <c r="AM212" s="89">
        <f>IFERROR((LAD_P66[[#This Row],[BB]]+LAD_P66[[#This Row],[H]])/LAD_P66[[#This Row],[IP]],0)</f>
        <v>1.4</v>
      </c>
      <c r="AN212" s="28">
        <v>0</v>
      </c>
      <c r="AO212" s="90">
        <v>0</v>
      </c>
      <c r="AP212" s="28">
        <v>0</v>
      </c>
      <c r="AQ212" s="74">
        <v>0</v>
      </c>
      <c r="AR212" s="615">
        <v>5</v>
      </c>
      <c r="AY212" s="828" t="s">
        <v>1200</v>
      </c>
      <c r="AZ212" s="114" t="s">
        <v>212</v>
      </c>
      <c r="BA212" s="115" t="s">
        <v>1218</v>
      </c>
      <c r="BB212" s="88">
        <f>IFERROR((SDP_P67[[#This Row],[R]]*9)/SDP_P67[[#This Row],[IP]],0)</f>
        <v>0</v>
      </c>
      <c r="BC212" s="28">
        <v>0</v>
      </c>
      <c r="BD212" s="74">
        <v>0</v>
      </c>
      <c r="BE212" s="28">
        <v>1</v>
      </c>
      <c r="BF212" s="584">
        <v>2</v>
      </c>
      <c r="BG212" s="28">
        <v>1</v>
      </c>
      <c r="BH212" s="28">
        <v>0</v>
      </c>
      <c r="BI212" s="28">
        <v>0</v>
      </c>
      <c r="BJ212" s="28">
        <v>3</v>
      </c>
      <c r="BK212" s="28">
        <v>0</v>
      </c>
      <c r="BL212" s="89">
        <f>IFERROR((SDP_P67[[#This Row],[BB]]+SDP_P67[[#This Row],[H]])/SDP_P67[[#This Row],[IP]],0)</f>
        <v>0.5</v>
      </c>
      <c r="BM212" s="28">
        <v>0</v>
      </c>
      <c r="BN212" s="90">
        <v>0</v>
      </c>
      <c r="BO212" s="28">
        <v>0</v>
      </c>
      <c r="BP212" s="74">
        <v>0</v>
      </c>
      <c r="BQ212" s="881">
        <v>5</v>
      </c>
    </row>
    <row r="213" spans="1:69">
      <c r="A213" s="828" t="s">
        <v>1200</v>
      </c>
      <c r="B213" s="114" t="s">
        <v>212</v>
      </c>
      <c r="C213" s="116" t="s">
        <v>1219</v>
      </c>
      <c r="D213" s="88">
        <f>IFERROR((SDP_P273[[#This Row],[R]]*9)/SDP_P273[[#This Row],[IP]],0)</f>
        <v>0</v>
      </c>
      <c r="E213" s="28">
        <v>0</v>
      </c>
      <c r="F213" s="74">
        <v>0</v>
      </c>
      <c r="G213" s="28">
        <v>0</v>
      </c>
      <c r="H213" s="584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89">
        <f>IFERROR((SDP_P273[[#This Row],[BB]]+SDP_P273[[#This Row],[H]])/SDP_P273[[#This Row],[IP]],0)</f>
        <v>0</v>
      </c>
      <c r="O213" s="28">
        <v>0</v>
      </c>
      <c r="P213" s="90">
        <v>0</v>
      </c>
      <c r="Q213" s="28">
        <v>0</v>
      </c>
      <c r="R213" s="74">
        <v>0</v>
      </c>
      <c r="S213" s="615">
        <v>6</v>
      </c>
      <c r="Z213" s="651" t="s">
        <v>1171</v>
      </c>
      <c r="AA213" s="74" t="s">
        <v>212</v>
      </c>
      <c r="AB213" s="71" t="s">
        <v>1192</v>
      </c>
      <c r="AC213" s="88">
        <f>IFERROR((LAD_P66[[#This Row],[R]]*9)/LAD_P66[[#This Row],[IP]],0)</f>
        <v>0</v>
      </c>
      <c r="AD213" s="28">
        <v>0</v>
      </c>
      <c r="AE213" s="74">
        <v>0</v>
      </c>
      <c r="AF213" s="28">
        <v>0</v>
      </c>
      <c r="AG213" s="584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89">
        <f>IFERROR((LAD_P66[[#This Row],[BB]]+LAD_P66[[#This Row],[H]])/LAD_P66[[#This Row],[IP]],0)</f>
        <v>0</v>
      </c>
      <c r="AN213" s="28">
        <v>0</v>
      </c>
      <c r="AO213" s="90">
        <v>0</v>
      </c>
      <c r="AP213" s="28">
        <v>0</v>
      </c>
      <c r="AQ213" s="74">
        <v>0</v>
      </c>
      <c r="AR213" s="615">
        <v>6</v>
      </c>
      <c r="AY213" s="828" t="s">
        <v>1200</v>
      </c>
      <c r="AZ213" s="114" t="s">
        <v>215</v>
      </c>
      <c r="BA213" s="115" t="s">
        <v>1220</v>
      </c>
      <c r="BB213" s="88">
        <f>IFERROR((SDP_P67[[#This Row],[R]]*9)/SDP_P67[[#This Row],[IP]],0)</f>
        <v>0</v>
      </c>
      <c r="BC213" s="28">
        <v>0</v>
      </c>
      <c r="BD213" s="74">
        <v>0</v>
      </c>
      <c r="BE213" s="28">
        <v>0</v>
      </c>
      <c r="BF213" s="584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89">
        <f>IFERROR((SDP_P67[[#This Row],[BB]]+SDP_P67[[#This Row],[H]])/SDP_P67[[#This Row],[IP]],0)</f>
        <v>0</v>
      </c>
      <c r="BM213" s="28">
        <v>0</v>
      </c>
      <c r="BN213" s="90">
        <v>0</v>
      </c>
      <c r="BO213" s="28">
        <v>0</v>
      </c>
      <c r="BP213" s="74">
        <v>0</v>
      </c>
      <c r="BQ213" s="881">
        <v>6</v>
      </c>
    </row>
    <row r="214" spans="1:69">
      <c r="A214" s="828" t="s">
        <v>1200</v>
      </c>
      <c r="B214" s="114" t="s">
        <v>212</v>
      </c>
      <c r="C214" s="116" t="s">
        <v>1221</v>
      </c>
      <c r="D214" s="88">
        <f>IFERROR((SDP_P273[[#This Row],[R]]*9)/SDP_P273[[#This Row],[IP]],0)</f>
        <v>0</v>
      </c>
      <c r="E214" s="28">
        <v>0</v>
      </c>
      <c r="F214" s="74">
        <v>0</v>
      </c>
      <c r="G214" s="28">
        <v>0</v>
      </c>
      <c r="H214" s="584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89">
        <f>IFERROR((SDP_P273[[#This Row],[BB]]+SDP_P273[[#This Row],[H]])/SDP_P273[[#This Row],[IP]],0)</f>
        <v>0</v>
      </c>
      <c r="O214" s="28">
        <v>0</v>
      </c>
      <c r="P214" s="90">
        <v>0</v>
      </c>
      <c r="Q214" s="28">
        <v>0</v>
      </c>
      <c r="R214" s="74">
        <v>0</v>
      </c>
      <c r="S214" s="615">
        <v>7</v>
      </c>
      <c r="Z214" s="651" t="s">
        <v>1171</v>
      </c>
      <c r="AA214" s="74" t="s">
        <v>212</v>
      </c>
      <c r="AB214" s="116" t="s">
        <v>1195</v>
      </c>
      <c r="AC214" s="88">
        <f>IFERROR((LAD_P66[[#This Row],[R]]*9)/LAD_P66[[#This Row],[IP]],0)</f>
        <v>0</v>
      </c>
      <c r="AD214" s="28">
        <v>0</v>
      </c>
      <c r="AE214" s="74">
        <v>0</v>
      </c>
      <c r="AF214" s="28">
        <v>2</v>
      </c>
      <c r="AG214" s="584">
        <v>2.33</v>
      </c>
      <c r="AH214" s="28">
        <v>1</v>
      </c>
      <c r="AI214" s="28">
        <v>0</v>
      </c>
      <c r="AJ214" s="28">
        <v>0</v>
      </c>
      <c r="AK214" s="28">
        <v>1</v>
      </c>
      <c r="AL214" s="28">
        <v>0</v>
      </c>
      <c r="AM214" s="89">
        <f>IFERROR((LAD_P66[[#This Row],[BB]]+LAD_P66[[#This Row],[H]])/LAD_P66[[#This Row],[IP]],0)</f>
        <v>0.42918454935622319</v>
      </c>
      <c r="AN214" s="28">
        <v>0</v>
      </c>
      <c r="AO214" s="90">
        <v>0</v>
      </c>
      <c r="AP214" s="28">
        <v>0</v>
      </c>
      <c r="AQ214" s="74">
        <v>0</v>
      </c>
      <c r="AR214" s="615">
        <v>7</v>
      </c>
      <c r="AY214" s="828" t="s">
        <v>1200</v>
      </c>
      <c r="AZ214" s="114" t="s">
        <v>212</v>
      </c>
      <c r="BA214" s="115" t="s">
        <v>1221</v>
      </c>
      <c r="BB214" s="88">
        <f>IFERROR((SDP_P67[[#This Row],[R]]*9)/SDP_P67[[#This Row],[IP]],0)</f>
        <v>0</v>
      </c>
      <c r="BC214" s="28">
        <v>0</v>
      </c>
      <c r="BD214" s="74">
        <v>0</v>
      </c>
      <c r="BE214" s="28">
        <v>0</v>
      </c>
      <c r="BF214" s="584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89">
        <f>IFERROR((SDP_P67[[#This Row],[BB]]+SDP_P67[[#This Row],[H]])/SDP_P67[[#This Row],[IP]],0)</f>
        <v>0</v>
      </c>
      <c r="BM214" s="28">
        <v>0</v>
      </c>
      <c r="BN214" s="90">
        <v>0</v>
      </c>
      <c r="BO214" s="28">
        <v>0</v>
      </c>
      <c r="BP214" s="74">
        <v>0</v>
      </c>
      <c r="BQ214" s="881">
        <v>7</v>
      </c>
    </row>
    <row r="215" spans="1:69">
      <c r="A215" s="828" t="s">
        <v>1200</v>
      </c>
      <c r="B215" s="114" t="s">
        <v>215</v>
      </c>
      <c r="C215" s="116" t="s">
        <v>1222</v>
      </c>
      <c r="D215" s="88">
        <f>IFERROR((SDP_P273[[#This Row],[R]]*9)/SDP_P273[[#This Row],[IP]],0)</f>
        <v>9</v>
      </c>
      <c r="E215" s="28">
        <v>0</v>
      </c>
      <c r="F215" s="74">
        <v>1</v>
      </c>
      <c r="G215" s="28">
        <v>2</v>
      </c>
      <c r="H215" s="584">
        <v>3</v>
      </c>
      <c r="I215" s="28">
        <v>3</v>
      </c>
      <c r="J215" s="28">
        <v>3</v>
      </c>
      <c r="K215" s="28">
        <v>3</v>
      </c>
      <c r="L215" s="28">
        <v>2</v>
      </c>
      <c r="M215" s="28">
        <v>0</v>
      </c>
      <c r="N215" s="89">
        <f>IFERROR((SDP_P273[[#This Row],[BB]]+SDP_P273[[#This Row],[H]])/SDP_P273[[#This Row],[IP]],0)</f>
        <v>2</v>
      </c>
      <c r="O215" s="28">
        <v>0</v>
      </c>
      <c r="P215" s="90">
        <v>0</v>
      </c>
      <c r="Q215" s="28">
        <v>0</v>
      </c>
      <c r="R215" s="74">
        <v>0</v>
      </c>
      <c r="S215" s="615">
        <v>8</v>
      </c>
      <c r="Z215" s="651" t="s">
        <v>1171</v>
      </c>
      <c r="AA215" s="74" t="s">
        <v>212</v>
      </c>
      <c r="AB215" s="71" t="s">
        <v>1193</v>
      </c>
      <c r="AC215" s="88">
        <f>IFERROR((LAD_P66[[#This Row],[R]]*9)/LAD_P66[[#This Row],[IP]],0)</f>
        <v>4.5</v>
      </c>
      <c r="AD215" s="28">
        <v>0</v>
      </c>
      <c r="AE215" s="74">
        <v>0</v>
      </c>
      <c r="AF215" s="28">
        <v>3</v>
      </c>
      <c r="AG215" s="584">
        <v>2</v>
      </c>
      <c r="AH215" s="28">
        <v>1</v>
      </c>
      <c r="AI215" s="28">
        <v>1</v>
      </c>
      <c r="AJ215" s="28">
        <v>2</v>
      </c>
      <c r="AK215" s="28">
        <v>3</v>
      </c>
      <c r="AL215" s="28">
        <v>0</v>
      </c>
      <c r="AM215" s="89">
        <f>IFERROR((LAD_P66[[#This Row],[BB]]+LAD_P66[[#This Row],[H]])/LAD_P66[[#This Row],[IP]],0)</f>
        <v>1.5</v>
      </c>
      <c r="AN215" s="28">
        <v>0</v>
      </c>
      <c r="AO215" s="90">
        <v>0</v>
      </c>
      <c r="AP215" s="28">
        <v>0</v>
      </c>
      <c r="AQ215" s="74">
        <v>0</v>
      </c>
      <c r="AR215" s="615">
        <v>8</v>
      </c>
      <c r="AY215" s="828" t="s">
        <v>1200</v>
      </c>
      <c r="AZ215" s="114" t="s">
        <v>212</v>
      </c>
      <c r="BA215" s="115" t="s">
        <v>1223</v>
      </c>
      <c r="BB215" s="88">
        <f>IFERROR((SDP_P67[[#This Row],[R]]*9)/SDP_P67[[#This Row],[IP]],0)</f>
        <v>18</v>
      </c>
      <c r="BC215" s="28">
        <v>0</v>
      </c>
      <c r="BD215" s="74">
        <v>0</v>
      </c>
      <c r="BE215" s="28">
        <v>2</v>
      </c>
      <c r="BF215" s="584">
        <v>2</v>
      </c>
      <c r="BG215" s="28">
        <v>3</v>
      </c>
      <c r="BH215" s="28">
        <v>4</v>
      </c>
      <c r="BI215" s="28">
        <v>2</v>
      </c>
      <c r="BJ215" s="28">
        <v>1</v>
      </c>
      <c r="BK215" s="28">
        <v>0</v>
      </c>
      <c r="BL215" s="89">
        <f>IFERROR((SDP_P67[[#This Row],[BB]]+SDP_P67[[#This Row],[H]])/SDP_P67[[#This Row],[IP]],0)</f>
        <v>2.5</v>
      </c>
      <c r="BM215" s="28">
        <v>0</v>
      </c>
      <c r="BN215" s="90">
        <v>0</v>
      </c>
      <c r="BO215" s="28">
        <v>0</v>
      </c>
      <c r="BP215" s="74">
        <v>0</v>
      </c>
      <c r="BQ215" s="881">
        <v>8</v>
      </c>
    </row>
    <row r="216" spans="1:69">
      <c r="A216" s="828" t="s">
        <v>1200</v>
      </c>
      <c r="B216" s="114" t="s">
        <v>212</v>
      </c>
      <c r="C216" s="116" t="s">
        <v>1224</v>
      </c>
      <c r="D216" s="88">
        <f>IFERROR((SDP_P273[[#This Row],[R]]*9)/SDP_P273[[#This Row],[IP]],0)</f>
        <v>0</v>
      </c>
      <c r="E216" s="28">
        <v>0</v>
      </c>
      <c r="F216" s="74">
        <v>0</v>
      </c>
      <c r="G216" s="28">
        <v>1</v>
      </c>
      <c r="H216" s="584">
        <v>2</v>
      </c>
      <c r="I216" s="28">
        <v>2</v>
      </c>
      <c r="J216" s="28">
        <v>0</v>
      </c>
      <c r="K216" s="28">
        <v>0</v>
      </c>
      <c r="L216" s="28">
        <v>4</v>
      </c>
      <c r="M216" s="28">
        <v>0</v>
      </c>
      <c r="N216" s="89">
        <f>IFERROR((SDP_P273[[#This Row],[BB]]+SDP_P273[[#This Row],[H]])/SDP_P273[[#This Row],[IP]],0)</f>
        <v>1</v>
      </c>
      <c r="O216" s="28">
        <v>0</v>
      </c>
      <c r="P216" s="90">
        <v>0</v>
      </c>
      <c r="Q216" s="28">
        <v>0</v>
      </c>
      <c r="R216" s="74">
        <v>0</v>
      </c>
      <c r="S216" s="615">
        <v>9</v>
      </c>
      <c r="Z216" s="651" t="s">
        <v>1171</v>
      </c>
      <c r="AA216" s="74" t="s">
        <v>212</v>
      </c>
      <c r="AB216" s="71" t="s">
        <v>1194</v>
      </c>
      <c r="AC216" s="88">
        <f>IFERROR((LAD_P66[[#This Row],[R]]*9)/LAD_P66[[#This Row],[IP]],0)</f>
        <v>10.112359550561798</v>
      </c>
      <c r="AD216" s="28">
        <v>0</v>
      </c>
      <c r="AE216" s="74">
        <v>0</v>
      </c>
      <c r="AF216" s="28">
        <v>3</v>
      </c>
      <c r="AG216" s="584">
        <v>2.67</v>
      </c>
      <c r="AH216" s="28">
        <v>4</v>
      </c>
      <c r="AI216" s="28">
        <v>3</v>
      </c>
      <c r="AJ216" s="28">
        <v>1</v>
      </c>
      <c r="AK216" s="28">
        <v>1</v>
      </c>
      <c r="AL216" s="28">
        <v>0</v>
      </c>
      <c r="AM216" s="89">
        <f>IFERROR((LAD_P66[[#This Row],[BB]]+LAD_P66[[#This Row],[H]])/LAD_P66[[#This Row],[IP]],0)</f>
        <v>1.8726591760299627</v>
      </c>
      <c r="AN216" s="28">
        <v>0</v>
      </c>
      <c r="AO216" s="90">
        <v>0</v>
      </c>
      <c r="AP216" s="28">
        <v>0</v>
      </c>
      <c r="AQ216" s="74">
        <v>0</v>
      </c>
      <c r="AR216" s="615">
        <v>9</v>
      </c>
      <c r="AY216" s="828" t="s">
        <v>1200</v>
      </c>
      <c r="AZ216" s="114" t="s">
        <v>212</v>
      </c>
      <c r="BA216" s="115" t="s">
        <v>1225</v>
      </c>
      <c r="BB216" s="88">
        <f>IFERROR((SDP_P67[[#This Row],[R]]*9)/SDP_P67[[#This Row],[IP]],0)</f>
        <v>18</v>
      </c>
      <c r="BC216" s="28">
        <v>0</v>
      </c>
      <c r="BD216" s="74">
        <v>0</v>
      </c>
      <c r="BE216" s="28">
        <v>1</v>
      </c>
      <c r="BF216" s="584">
        <v>1</v>
      </c>
      <c r="BG216" s="28">
        <v>3</v>
      </c>
      <c r="BH216" s="28">
        <v>2</v>
      </c>
      <c r="BI216" s="28">
        <v>2</v>
      </c>
      <c r="BJ216" s="28">
        <v>0</v>
      </c>
      <c r="BK216" s="28">
        <v>0</v>
      </c>
      <c r="BL216" s="89">
        <f>IFERROR((SDP_P67[[#This Row],[BB]]+SDP_P67[[#This Row],[H]])/SDP_P67[[#This Row],[IP]],0)</f>
        <v>5</v>
      </c>
      <c r="BM216" s="28">
        <v>0</v>
      </c>
      <c r="BN216" s="90">
        <v>0</v>
      </c>
      <c r="BO216" s="28">
        <v>0</v>
      </c>
      <c r="BP216" s="74">
        <v>0</v>
      </c>
      <c r="BQ216" s="881">
        <v>9</v>
      </c>
    </row>
    <row r="217" spans="1:69" ht="17" thickBot="1">
      <c r="A217" s="828" t="s">
        <v>1200</v>
      </c>
      <c r="B217" s="114" t="s">
        <v>212</v>
      </c>
      <c r="C217" s="116" t="s">
        <v>1225</v>
      </c>
      <c r="D217" s="88">
        <f>IFERROR((SDP_P273[[#This Row],[R]]*9)/SDP_P273[[#This Row],[IP]],0)</f>
        <v>2.25</v>
      </c>
      <c r="E217" s="28">
        <v>0</v>
      </c>
      <c r="F217" s="74">
        <v>0</v>
      </c>
      <c r="G217" s="28">
        <v>3</v>
      </c>
      <c r="H217" s="584">
        <v>4</v>
      </c>
      <c r="I217" s="28">
        <v>3</v>
      </c>
      <c r="J217" s="28">
        <v>1</v>
      </c>
      <c r="K217" s="28">
        <v>5</v>
      </c>
      <c r="L217" s="28">
        <v>4</v>
      </c>
      <c r="M217" s="28">
        <v>0</v>
      </c>
      <c r="N217" s="89">
        <f>IFERROR((SDP_P273[[#This Row],[BB]]+SDP_P273[[#This Row],[H]])/SDP_P273[[#This Row],[IP]],0)</f>
        <v>2</v>
      </c>
      <c r="O217" s="28">
        <v>0</v>
      </c>
      <c r="P217" s="90">
        <v>0</v>
      </c>
      <c r="Q217" s="28">
        <v>0</v>
      </c>
      <c r="R217" s="74">
        <v>0</v>
      </c>
      <c r="S217" s="615">
        <v>10</v>
      </c>
      <c r="Z217" s="651" t="s">
        <v>1171</v>
      </c>
      <c r="AA217" s="74" t="s">
        <v>212</v>
      </c>
      <c r="AB217" s="71" t="s">
        <v>1196</v>
      </c>
      <c r="AC217" s="88">
        <f>IFERROR((LAD_P66[[#This Row],[R]]*9)/LAD_P66[[#This Row],[IP]],0)</f>
        <v>0.72992700729927007</v>
      </c>
      <c r="AD217" s="28">
        <v>2</v>
      </c>
      <c r="AE217" s="74">
        <v>1</v>
      </c>
      <c r="AF217" s="28">
        <v>9</v>
      </c>
      <c r="AG217" s="584">
        <v>12.33</v>
      </c>
      <c r="AH217" s="28">
        <v>9</v>
      </c>
      <c r="AI217" s="28">
        <v>1</v>
      </c>
      <c r="AJ217" s="28">
        <v>3</v>
      </c>
      <c r="AK217" s="76">
        <v>19</v>
      </c>
      <c r="AL217" s="28">
        <v>2</v>
      </c>
      <c r="AM217" s="89">
        <f>IFERROR((LAD_P66[[#This Row],[BB]]+LAD_P66[[#This Row],[H]])/LAD_P66[[#This Row],[IP]],0)</f>
        <v>0.97323600973236013</v>
      </c>
      <c r="AN217" s="28">
        <v>0</v>
      </c>
      <c r="AO217" s="90">
        <v>0</v>
      </c>
      <c r="AP217" s="28">
        <v>0</v>
      </c>
      <c r="AQ217" s="74">
        <v>0</v>
      </c>
      <c r="AR217" s="615">
        <v>10</v>
      </c>
      <c r="AY217" s="828" t="s">
        <v>1200</v>
      </c>
      <c r="AZ217" s="114" t="s">
        <v>212</v>
      </c>
      <c r="BA217" s="115" t="s">
        <v>1224</v>
      </c>
      <c r="BB217" s="88">
        <f>IFERROR((SDP_P67[[#This Row],[R]]*9)/SDP_P67[[#This Row],[IP]],0)</f>
        <v>7.7253218884120169</v>
      </c>
      <c r="BC217" s="28">
        <v>0</v>
      </c>
      <c r="BD217" s="74">
        <v>0</v>
      </c>
      <c r="BE217" s="28">
        <v>2</v>
      </c>
      <c r="BF217" s="584">
        <v>2.33</v>
      </c>
      <c r="BG217" s="28">
        <v>3</v>
      </c>
      <c r="BH217" s="28">
        <v>2</v>
      </c>
      <c r="BI217" s="28">
        <v>1</v>
      </c>
      <c r="BJ217" s="28">
        <v>4</v>
      </c>
      <c r="BK217" s="28">
        <v>1</v>
      </c>
      <c r="BL217" s="89">
        <f>IFERROR((SDP_P67[[#This Row],[BB]]+SDP_P67[[#This Row],[H]])/SDP_P67[[#This Row],[IP]],0)</f>
        <v>1.7167381974248928</v>
      </c>
      <c r="BM217" s="28">
        <v>0</v>
      </c>
      <c r="BN217" s="90">
        <v>0</v>
      </c>
      <c r="BO217" s="28">
        <v>0</v>
      </c>
      <c r="BP217" s="74">
        <v>0</v>
      </c>
      <c r="BQ217" s="881">
        <v>10</v>
      </c>
    </row>
    <row r="218" spans="1:69" ht="17" thickBot="1">
      <c r="A218" s="809"/>
      <c r="B218" s="810"/>
      <c r="C218" s="856" t="s">
        <v>195</v>
      </c>
      <c r="D218" s="665">
        <f>(J218*9)/H218</f>
        <v>5.0226717823508888</v>
      </c>
      <c r="E218" s="658">
        <f>SUBTOTAL(109,SDP_P273[W])</f>
        <v>1</v>
      </c>
      <c r="F218" s="660">
        <f>SUBTOTAL(109,SDP_P273[L])</f>
        <v>2</v>
      </c>
      <c r="G218" s="658"/>
      <c r="H218" s="666">
        <f>SUBTOTAL(109,SDP_P273[IP])</f>
        <v>28.67</v>
      </c>
      <c r="I218" s="658">
        <f>SUBTOTAL(109,SDP_P273[H])</f>
        <v>26</v>
      </c>
      <c r="J218" s="658">
        <f>SUBTOTAL(109,SDP_P273[R])</f>
        <v>16</v>
      </c>
      <c r="K218" s="658">
        <f>SUBTOTAL(109,SDP_P273[BB])</f>
        <v>15</v>
      </c>
      <c r="L218" s="658">
        <f>SUBTOTAL(109,SDP_P273[K])</f>
        <v>35</v>
      </c>
      <c r="M218" s="658">
        <f>SUBTOTAL(109,SDP_P273[SV])</f>
        <v>0</v>
      </c>
      <c r="N218" s="667">
        <f>(K218+I218)/(H218)</f>
        <v>1.4300662713637948</v>
      </c>
      <c r="O218" s="690">
        <f>SUBTOTAL(109,SDP_P273[QS])</f>
        <v>0</v>
      </c>
      <c r="P218" s="669">
        <f>SUBTOTAL(109,SDP_P273[UQ])</f>
        <v>0</v>
      </c>
      <c r="Q218" s="864">
        <f>SUBTOTAL(109,SDP_P273[CG])</f>
        <v>0</v>
      </c>
      <c r="R218" s="865">
        <f>SUBTOTAL(109,SDP_P273[SH])</f>
        <v>0</v>
      </c>
      <c r="S218" s="866"/>
      <c r="T218" s="28"/>
      <c r="U218" s="28"/>
      <c r="V218" s="28"/>
      <c r="W218" s="28"/>
      <c r="Z218" s="691"/>
      <c r="AA218" s="692"/>
      <c r="AB218" s="693" t="s">
        <v>195</v>
      </c>
      <c r="AC218" s="745">
        <f>(AI218*9)/AG218</f>
        <v>3.4595912244515281</v>
      </c>
      <c r="AD218" s="696">
        <f>SUBTOTAL(109,LAD_P66[W])</f>
        <v>6</v>
      </c>
      <c r="AE218" s="697">
        <f>SUBTOTAL(109,LAD_P66[L])</f>
        <v>6</v>
      </c>
      <c r="AF218" s="696"/>
      <c r="AG218" s="700">
        <f>SUBTOTAL(109,LAD_P66[IP])</f>
        <v>106.66</v>
      </c>
      <c r="AH218" s="696">
        <f>SUBTOTAL(109,LAD_P66[H])</f>
        <v>92</v>
      </c>
      <c r="AI218" s="696">
        <f>SUBTOTAL(109,LAD_P66[R])</f>
        <v>41</v>
      </c>
      <c r="AJ218" s="696">
        <f>SUBTOTAL(109,LAD_P66[BB])</f>
        <v>39</v>
      </c>
      <c r="AK218" s="696">
        <f>SUBTOTAL(109,LAD_P66[K])</f>
        <v>112</v>
      </c>
      <c r="AL218" s="696">
        <f>SUBTOTAL(109,LAD_P66[SV])</f>
        <v>2</v>
      </c>
      <c r="AM218" s="746">
        <f>(AJ218+AH218)/AG218</f>
        <v>1.2282017626101631</v>
      </c>
      <c r="AN218" s="701">
        <f>SUBTOTAL(109,LAD_P66[QS])</f>
        <v>8</v>
      </c>
      <c r="AO218" s="702">
        <f>SUBTOTAL(109,LAD_P66[UQ])</f>
        <v>5</v>
      </c>
      <c r="AP218" s="703">
        <f>SUBTOTAL(109,LAD_P66[CG])</f>
        <v>0</v>
      </c>
      <c r="AQ218" s="704">
        <f>SUBTOTAL(109,LAD_P66[SH])</f>
        <v>0</v>
      </c>
      <c r="AR218" s="698"/>
      <c r="AY218" s="809"/>
      <c r="AZ218" s="810"/>
      <c r="BA218" s="856" t="s">
        <v>195</v>
      </c>
      <c r="BB218" s="665">
        <f>IFERROR((BH218*9)/BF218,0)</f>
        <v>7.666666666666667</v>
      </c>
      <c r="BC218" s="658">
        <f>SUBTOTAL(109,SDP_P67[W])</f>
        <v>1</v>
      </c>
      <c r="BD218" s="660">
        <f>SUBTOTAL(109,SDP_P67[L])</f>
        <v>2</v>
      </c>
      <c r="BE218" s="658"/>
      <c r="BF218" s="666">
        <f>SUBTOTAL(109,SDP_P67[IP])</f>
        <v>27</v>
      </c>
      <c r="BG218" s="658">
        <f>SUBTOTAL(109,SDP_P67[H])</f>
        <v>32</v>
      </c>
      <c r="BH218" s="658">
        <f>SUBTOTAL(109,SDP_P67[R])</f>
        <v>23</v>
      </c>
      <c r="BI218" s="658">
        <f>SUBTOTAL(109,SDP_P67[BB])</f>
        <v>19</v>
      </c>
      <c r="BJ218" s="658">
        <f>SUBTOTAL(109,SDP_P67[K])</f>
        <v>22</v>
      </c>
      <c r="BK218" s="658">
        <f>SUBTOTAL(109,SDP_P67[SV])</f>
        <v>1</v>
      </c>
      <c r="BL218" s="667">
        <f>IFERROR((BI218+BG218)/BF218,0)</f>
        <v>1.8888888888888888</v>
      </c>
      <c r="BM218" s="690">
        <f>SUBTOTAL(109,SDP_P67[QS])</f>
        <v>1</v>
      </c>
      <c r="BN218" s="669">
        <f>SUBTOTAL(109,SDP_P67[UQ])</f>
        <v>1</v>
      </c>
      <c r="BO218" s="864">
        <f>SUM(BO208:BO217)</f>
        <v>0</v>
      </c>
      <c r="BP218" s="865">
        <f>SUM(BP208:BP217)</f>
        <v>0</v>
      </c>
      <c r="BQ218" s="866"/>
    </row>
    <row r="219" spans="1:69" ht="17" thickBot="1"/>
    <row r="220" spans="1:69" ht="24" thickBot="1">
      <c r="A220" s="1063" t="s">
        <v>1305</v>
      </c>
      <c r="B220" s="1064"/>
      <c r="C220" s="1064"/>
      <c r="D220" s="1064"/>
      <c r="E220" s="1064"/>
      <c r="F220" s="1064"/>
      <c r="G220" s="1064"/>
      <c r="H220" s="1064"/>
      <c r="I220" s="1064"/>
      <c r="J220" s="1064"/>
      <c r="K220" s="1064"/>
      <c r="L220" s="1064"/>
      <c r="M220" s="1064"/>
      <c r="N220" s="1064"/>
      <c r="O220" s="1064"/>
      <c r="P220" s="1064"/>
      <c r="Q220" s="1064"/>
      <c r="R220" s="1064"/>
      <c r="S220" s="1064"/>
      <c r="T220" s="1064"/>
      <c r="U220" s="1064"/>
      <c r="V220" s="1064"/>
      <c r="W220" s="1065"/>
      <c r="Z220" s="1027" t="s">
        <v>1306</v>
      </c>
      <c r="AA220" s="1028"/>
      <c r="AB220" s="1028"/>
      <c r="AC220" s="1028"/>
      <c r="AD220" s="1028"/>
      <c r="AE220" s="1028"/>
      <c r="AF220" s="1028"/>
      <c r="AG220" s="1028"/>
      <c r="AH220" s="1028"/>
      <c r="AI220" s="1028"/>
      <c r="AJ220" s="1028"/>
      <c r="AK220" s="1028"/>
      <c r="AL220" s="1028"/>
      <c r="AM220" s="1028"/>
      <c r="AN220" s="1028"/>
      <c r="AO220" s="1028"/>
      <c r="AP220" s="1028"/>
      <c r="AQ220" s="1028"/>
      <c r="AR220" s="1028"/>
      <c r="AS220" s="1028"/>
      <c r="AT220" s="1028"/>
      <c r="AU220" s="1028"/>
      <c r="AV220" s="1029"/>
    </row>
    <row r="221" spans="1:69" ht="17" thickBot="1">
      <c r="A221" s="605" t="s">
        <v>143</v>
      </c>
      <c r="B221" s="606" t="s">
        <v>144</v>
      </c>
      <c r="C221" s="606" t="s">
        <v>145</v>
      </c>
      <c r="D221" s="606" t="s">
        <v>146</v>
      </c>
      <c r="E221" s="606" t="s">
        <v>147</v>
      </c>
      <c r="F221" s="606" t="s">
        <v>148</v>
      </c>
      <c r="G221" s="606" t="s">
        <v>149</v>
      </c>
      <c r="H221" s="606" t="s">
        <v>150</v>
      </c>
      <c r="I221" s="606" t="s">
        <v>151</v>
      </c>
      <c r="J221" s="606" t="s">
        <v>152</v>
      </c>
      <c r="K221" s="606" t="s">
        <v>153</v>
      </c>
      <c r="L221" s="606" t="s">
        <v>154</v>
      </c>
      <c r="M221" s="606" t="s">
        <v>155</v>
      </c>
      <c r="N221" s="606" t="s">
        <v>156</v>
      </c>
      <c r="O221" s="606" t="s">
        <v>157</v>
      </c>
      <c r="P221" s="606" t="s">
        <v>158</v>
      </c>
      <c r="Q221" s="606" t="s">
        <v>159</v>
      </c>
      <c r="R221" s="606" t="s">
        <v>160</v>
      </c>
      <c r="S221" s="606" t="s">
        <v>16</v>
      </c>
      <c r="T221" s="606" t="s">
        <v>161</v>
      </c>
      <c r="U221" s="606" t="s">
        <v>162</v>
      </c>
      <c r="V221" s="606" t="s">
        <v>163</v>
      </c>
      <c r="W221" s="607" t="s">
        <v>164</v>
      </c>
      <c r="Z221" s="605" t="s">
        <v>143</v>
      </c>
      <c r="AA221" s="606" t="s">
        <v>144</v>
      </c>
      <c r="AB221" s="606" t="s">
        <v>145</v>
      </c>
      <c r="AC221" s="606" t="s">
        <v>146</v>
      </c>
      <c r="AD221" s="606" t="s">
        <v>147</v>
      </c>
      <c r="AE221" s="606" t="s">
        <v>148</v>
      </c>
      <c r="AF221" s="606" t="s">
        <v>149</v>
      </c>
      <c r="AG221" s="606" t="s">
        <v>150</v>
      </c>
      <c r="AH221" s="606" t="s">
        <v>151</v>
      </c>
      <c r="AI221" s="606" t="s">
        <v>152</v>
      </c>
      <c r="AJ221" s="606" t="s">
        <v>153</v>
      </c>
      <c r="AK221" s="606" t="s">
        <v>154</v>
      </c>
      <c r="AL221" s="606" t="s">
        <v>155</v>
      </c>
      <c r="AM221" s="606" t="s">
        <v>156</v>
      </c>
      <c r="AN221" s="606" t="s">
        <v>157</v>
      </c>
      <c r="AO221" s="606" t="s">
        <v>158</v>
      </c>
      <c r="AP221" s="606" t="s">
        <v>159</v>
      </c>
      <c r="AQ221" s="606" t="s">
        <v>160</v>
      </c>
      <c r="AR221" s="606" t="s">
        <v>16</v>
      </c>
      <c r="AS221" s="606" t="s">
        <v>161</v>
      </c>
      <c r="AT221" s="606" t="s">
        <v>162</v>
      </c>
      <c r="AU221" s="606" t="s">
        <v>163</v>
      </c>
      <c r="AV221" s="607" t="s">
        <v>164</v>
      </c>
    </row>
    <row r="222" spans="1:69">
      <c r="A222" s="719" t="s">
        <v>1171</v>
      </c>
      <c r="B222" s="597" t="s">
        <v>179</v>
      </c>
      <c r="C222" s="597" t="s">
        <v>864</v>
      </c>
      <c r="D222" s="598">
        <f>IFERROR(LAD_H276280[[#This Row],[H]]/LAD_H276280[[#This Row],[AB]],0)</f>
        <v>0.18181818181818182</v>
      </c>
      <c r="E222" s="598">
        <f>IFERROR((LAD_H276280[[#This Row],[H]]+LAD_H276280[[#This Row],[BB]])/(LAD_H276280[[#This Row],[BB]]+LAD_H276280[[#This Row],[AB]]),0)</f>
        <v>0.25</v>
      </c>
      <c r="F222" s="599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0.45454545454545453</v>
      </c>
      <c r="G222" s="600">
        <v>6</v>
      </c>
      <c r="H222" s="600">
        <v>22</v>
      </c>
      <c r="I222" s="600">
        <v>3</v>
      </c>
      <c r="J222" s="600">
        <v>4</v>
      </c>
      <c r="K222" s="600">
        <v>0</v>
      </c>
      <c r="L222" s="600">
        <v>0</v>
      </c>
      <c r="M222" s="600">
        <v>2</v>
      </c>
      <c r="N222" s="600">
        <v>4</v>
      </c>
      <c r="O222" s="600">
        <v>2</v>
      </c>
      <c r="P222" s="604">
        <v>8</v>
      </c>
      <c r="Q222" s="600">
        <v>0</v>
      </c>
      <c r="R222" s="600">
        <v>0</v>
      </c>
      <c r="S222" s="604">
        <v>1</v>
      </c>
      <c r="T222" s="600">
        <f>IFERROR((LAD_H276280[[#This Row],[H]]-LAD_H276280[[#This Row],[2B]]-LAD_H276280[[#This Row],[3B]]-LAD_H276280[[#This Row],[HR]])+(LAD_H276280[[#This Row],[2B]]*2)+(LAD_H276280[[#This Row],[3B]]*3)+(LAD_H276280[[#This Row],[HR]]*4),0)</f>
        <v>10</v>
      </c>
      <c r="U222" s="598">
        <f>LAD_H276280[[#This Row],[OBP]]+LAD_H276280[[#This Row],[SLG]]</f>
        <v>0.70454545454545459</v>
      </c>
      <c r="V222" s="604">
        <v>0</v>
      </c>
      <c r="W222" s="614">
        <v>1</v>
      </c>
      <c r="Z222" s="608" t="s">
        <v>1139</v>
      </c>
      <c r="AA222" s="597" t="s">
        <v>179</v>
      </c>
      <c r="AB222" s="597" t="s">
        <v>1147</v>
      </c>
      <c r="AC222" s="598">
        <f>IFERROR(SFG_H5394[[#This Row],[H]]/SFG_H5394[[#This Row],[AB]],0)</f>
        <v>0.25</v>
      </c>
      <c r="AD222" s="598">
        <f>IFERROR((SFG_H5394[[#This Row],[H]]+SFG_H5394[[#This Row],[BB]])/(SFG_H5394[[#This Row],[BB]]+SFG_H5394[[#This Row],[AB]]),0)</f>
        <v>0.31818181818181818</v>
      </c>
      <c r="AE222" s="599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0.3</v>
      </c>
      <c r="AF222" s="600">
        <v>5</v>
      </c>
      <c r="AG222" s="600">
        <v>20</v>
      </c>
      <c r="AH222" s="600">
        <v>2</v>
      </c>
      <c r="AI222" s="600">
        <v>5</v>
      </c>
      <c r="AJ222" s="600">
        <v>1</v>
      </c>
      <c r="AK222" s="600">
        <v>0</v>
      </c>
      <c r="AL222" s="600">
        <v>0</v>
      </c>
      <c r="AM222" s="600">
        <v>1</v>
      </c>
      <c r="AN222" s="600">
        <v>2</v>
      </c>
      <c r="AO222" s="604">
        <v>6</v>
      </c>
      <c r="AP222" s="600">
        <v>0</v>
      </c>
      <c r="AQ222" s="600">
        <v>1</v>
      </c>
      <c r="AR222" s="604">
        <v>2</v>
      </c>
      <c r="AS222" s="600">
        <f>IFERROR((SFG_H5394[[#This Row],[H]]-SFG_H5394[[#This Row],[2B]]-SFG_H5394[[#This Row],[3B]]-SFG_H5394[[#This Row],[HR]])+(SFG_H5394[[#This Row],[2B]]*2)+(SFG_H5394[[#This Row],[3B]]*3)+(SFG_H5394[[#This Row],[HR]]*4),0)</f>
        <v>6</v>
      </c>
      <c r="AT222" s="598">
        <f>SFG_H5394[[#This Row],[OBP]]+SFG_H5394[[#This Row],[SLG]]</f>
        <v>0.61818181818181817</v>
      </c>
      <c r="AU222" s="604">
        <v>0</v>
      </c>
      <c r="AV222" s="614">
        <v>1</v>
      </c>
    </row>
    <row r="223" spans="1:69">
      <c r="A223" s="720" t="s">
        <v>1171</v>
      </c>
      <c r="B223" s="71" t="s">
        <v>154</v>
      </c>
      <c r="C223" s="71" t="s">
        <v>1173</v>
      </c>
      <c r="D223" s="72">
        <f>IFERROR(LAD_H276280[[#This Row],[H]]/LAD_H276280[[#This Row],[AB]],0)</f>
        <v>0.30434782608695654</v>
      </c>
      <c r="E223" s="72">
        <f>IFERROR((LAD_H276280[[#This Row],[H]]+LAD_H276280[[#This Row],[BB]])/(LAD_H276280[[#This Row],[BB]]+LAD_H276280[[#This Row],[AB]]),0)</f>
        <v>0.40740740740740738</v>
      </c>
      <c r="F223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0.39130434782608697</v>
      </c>
      <c r="G223" s="28">
        <v>6</v>
      </c>
      <c r="H223" s="28">
        <v>23</v>
      </c>
      <c r="I223" s="28">
        <v>5</v>
      </c>
      <c r="J223" s="28">
        <v>7</v>
      </c>
      <c r="K223" s="28">
        <v>2</v>
      </c>
      <c r="L223" s="28">
        <v>0</v>
      </c>
      <c r="M223" s="28">
        <v>0</v>
      </c>
      <c r="N223" s="28">
        <v>4</v>
      </c>
      <c r="O223" s="28">
        <v>4</v>
      </c>
      <c r="P223" s="74">
        <v>7</v>
      </c>
      <c r="Q223" s="28">
        <v>0</v>
      </c>
      <c r="R223" s="28">
        <v>5</v>
      </c>
      <c r="S223" s="74">
        <v>5</v>
      </c>
      <c r="T223" s="28">
        <f>IFERROR((LAD_H276280[[#This Row],[H]]-LAD_H276280[[#This Row],[2B]]-LAD_H276280[[#This Row],[3B]]-LAD_H276280[[#This Row],[HR]])+(LAD_H276280[[#This Row],[2B]]*2)+(LAD_H276280[[#This Row],[3B]]*3)+(LAD_H276280[[#This Row],[HR]]*4),0)</f>
        <v>9</v>
      </c>
      <c r="U223" s="72">
        <f>LAD_H276280[[#This Row],[OBP]]+LAD_H276280[[#This Row],[SLG]]</f>
        <v>0.79871175523349436</v>
      </c>
      <c r="V223" s="74">
        <v>0</v>
      </c>
      <c r="W223" s="615">
        <v>2</v>
      </c>
      <c r="Z223" s="609" t="s">
        <v>1139</v>
      </c>
      <c r="AA223" s="71" t="s">
        <v>154</v>
      </c>
      <c r="AB223" s="71" t="s">
        <v>1141</v>
      </c>
      <c r="AC223" s="72">
        <f>IFERROR(SFG_H5394[[#This Row],[H]]/SFG_H5394[[#This Row],[AB]],0)</f>
        <v>0.27777777777777779</v>
      </c>
      <c r="AD223" s="72">
        <f>IFERROR((SFG_H5394[[#This Row],[H]]+SFG_H5394[[#This Row],[BB]])/(SFG_H5394[[#This Row],[BB]]+SFG_H5394[[#This Row],[AB]]),0)</f>
        <v>0.38095238095238093</v>
      </c>
      <c r="AE223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0.3888888888888889</v>
      </c>
      <c r="AF223" s="28">
        <v>5</v>
      </c>
      <c r="AG223" s="28">
        <v>18</v>
      </c>
      <c r="AH223" s="28">
        <v>0</v>
      </c>
      <c r="AI223" s="28">
        <v>5</v>
      </c>
      <c r="AJ223" s="28">
        <v>2</v>
      </c>
      <c r="AK223" s="28">
        <v>0</v>
      </c>
      <c r="AL223" s="28">
        <v>0</v>
      </c>
      <c r="AM223" s="28">
        <v>0</v>
      </c>
      <c r="AN223" s="28">
        <v>3</v>
      </c>
      <c r="AO223" s="74">
        <v>3</v>
      </c>
      <c r="AP223" s="28">
        <v>0</v>
      </c>
      <c r="AQ223" s="28">
        <v>0</v>
      </c>
      <c r="AR223" s="74">
        <v>3</v>
      </c>
      <c r="AS223" s="28">
        <f>IFERROR((SFG_H5394[[#This Row],[H]]-SFG_H5394[[#This Row],[2B]]-SFG_H5394[[#This Row],[3B]]-SFG_H5394[[#This Row],[HR]])+(SFG_H5394[[#This Row],[2B]]*2)+(SFG_H5394[[#This Row],[3B]]*3)+(SFG_H5394[[#This Row],[HR]]*4),0)</f>
        <v>7</v>
      </c>
      <c r="AT223" s="72">
        <f>SFG_H5394[[#This Row],[OBP]]+SFG_H5394[[#This Row],[SLG]]</f>
        <v>0.76984126984126977</v>
      </c>
      <c r="AU223" s="74">
        <v>0</v>
      </c>
      <c r="AV223" s="615">
        <v>2</v>
      </c>
    </row>
    <row r="224" spans="1:69">
      <c r="A224" s="720" t="s">
        <v>1171</v>
      </c>
      <c r="B224" s="71" t="s">
        <v>172</v>
      </c>
      <c r="C224" s="71" t="s">
        <v>872</v>
      </c>
      <c r="D224" s="72">
        <f>IFERROR(LAD_H276280[[#This Row],[H]]/LAD_H276280[[#This Row],[AB]],0)</f>
        <v>0.34615384615384615</v>
      </c>
      <c r="E224" s="72">
        <f>IFERROR((LAD_H276280[[#This Row],[H]]+LAD_H276280[[#This Row],[BB]])/(LAD_H276280[[#This Row],[BB]]+LAD_H276280[[#This Row],[AB]]),0)</f>
        <v>0.39285714285714285</v>
      </c>
      <c r="F224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0.53846153846153844</v>
      </c>
      <c r="G224" s="28">
        <v>6</v>
      </c>
      <c r="H224" s="28">
        <v>26</v>
      </c>
      <c r="I224" s="28">
        <v>3</v>
      </c>
      <c r="J224" s="28">
        <v>9</v>
      </c>
      <c r="K224" s="28">
        <v>5</v>
      </c>
      <c r="L224" s="28">
        <v>0</v>
      </c>
      <c r="M224" s="28">
        <v>0</v>
      </c>
      <c r="N224" s="28">
        <v>4</v>
      </c>
      <c r="O224" s="28">
        <v>2</v>
      </c>
      <c r="P224" s="74">
        <v>6</v>
      </c>
      <c r="Q224" s="28">
        <v>2</v>
      </c>
      <c r="R224" s="28">
        <v>3</v>
      </c>
      <c r="S224" s="74">
        <v>3</v>
      </c>
      <c r="T224" s="28">
        <f>IFERROR((LAD_H276280[[#This Row],[H]]-LAD_H276280[[#This Row],[2B]]-LAD_H276280[[#This Row],[3B]]-LAD_H276280[[#This Row],[HR]])+(LAD_H276280[[#This Row],[2B]]*2)+(LAD_H276280[[#This Row],[3B]]*3)+(LAD_H276280[[#This Row],[HR]]*4),0)</f>
        <v>14</v>
      </c>
      <c r="U224" s="72">
        <f>LAD_H276280[[#This Row],[OBP]]+LAD_H276280[[#This Row],[SLG]]</f>
        <v>0.93131868131868134</v>
      </c>
      <c r="V224" s="74">
        <v>1</v>
      </c>
      <c r="W224" s="615">
        <v>3</v>
      </c>
      <c r="Z224" s="609" t="s">
        <v>1139</v>
      </c>
      <c r="AA224" s="71" t="s">
        <v>172</v>
      </c>
      <c r="AB224" s="71" t="s">
        <v>1140</v>
      </c>
      <c r="AC224" s="72">
        <f>IFERROR(SFG_H5394[[#This Row],[H]]/SFG_H5394[[#This Row],[AB]],0)</f>
        <v>5.8823529411764705E-2</v>
      </c>
      <c r="AD224" s="72">
        <f>IFERROR((SFG_H5394[[#This Row],[H]]+SFG_H5394[[#This Row],[BB]])/(SFG_H5394[[#This Row],[BB]]+SFG_H5394[[#This Row],[AB]]),0)</f>
        <v>0.2</v>
      </c>
      <c r="AE224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5.8823529411764705E-2</v>
      </c>
      <c r="AF224" s="28">
        <v>5</v>
      </c>
      <c r="AG224" s="28">
        <v>17</v>
      </c>
      <c r="AH224" s="28">
        <v>0</v>
      </c>
      <c r="AI224" s="28">
        <v>1</v>
      </c>
      <c r="AJ224" s="28">
        <v>0</v>
      </c>
      <c r="AK224" s="28">
        <v>0</v>
      </c>
      <c r="AL224" s="28">
        <v>0</v>
      </c>
      <c r="AM224" s="28">
        <v>0</v>
      </c>
      <c r="AN224" s="28">
        <v>3</v>
      </c>
      <c r="AO224" s="74">
        <v>5</v>
      </c>
      <c r="AP224" s="28">
        <v>0</v>
      </c>
      <c r="AQ224" s="28">
        <v>0</v>
      </c>
      <c r="AR224" s="74">
        <v>1</v>
      </c>
      <c r="AS224" s="28">
        <f>IFERROR((SFG_H5394[[#This Row],[H]]-SFG_H5394[[#This Row],[2B]]-SFG_H5394[[#This Row],[3B]]-SFG_H5394[[#This Row],[HR]])+(SFG_H5394[[#This Row],[2B]]*2)+(SFG_H5394[[#This Row],[3B]]*3)+(SFG_H5394[[#This Row],[HR]]*4),0)</f>
        <v>1</v>
      </c>
      <c r="AT224" s="72">
        <f>SFG_H5394[[#This Row],[OBP]]+SFG_H5394[[#This Row],[SLG]]</f>
        <v>0.25882352941176473</v>
      </c>
      <c r="AU224" s="74">
        <v>0</v>
      </c>
      <c r="AV224" s="615">
        <v>3</v>
      </c>
    </row>
    <row r="225" spans="1:48">
      <c r="A225" s="720" t="s">
        <v>1171</v>
      </c>
      <c r="B225" s="71" t="s">
        <v>153</v>
      </c>
      <c r="C225" s="71" t="s">
        <v>1174</v>
      </c>
      <c r="D225" s="72">
        <f>IFERROR(LAD_H276280[[#This Row],[H]]/LAD_H276280[[#This Row],[AB]],0)</f>
        <v>8.6956521739130432E-2</v>
      </c>
      <c r="E225" s="72">
        <f>IFERROR((LAD_H276280[[#This Row],[H]]+LAD_H276280[[#This Row],[BB]])/(LAD_H276280[[#This Row],[BB]]+LAD_H276280[[#This Row],[AB]]),0)</f>
        <v>0.22222222222222221</v>
      </c>
      <c r="F225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0.21739130434782608</v>
      </c>
      <c r="G225" s="28">
        <v>6</v>
      </c>
      <c r="H225" s="28">
        <v>23</v>
      </c>
      <c r="I225" s="28">
        <v>3</v>
      </c>
      <c r="J225" s="28">
        <v>2</v>
      </c>
      <c r="K225" s="28">
        <v>0</v>
      </c>
      <c r="L225" s="28">
        <v>0</v>
      </c>
      <c r="M225" s="28">
        <v>1</v>
      </c>
      <c r="N225" s="28">
        <v>3</v>
      </c>
      <c r="O225" s="28">
        <v>4</v>
      </c>
      <c r="P225" s="74">
        <v>8</v>
      </c>
      <c r="Q225" s="28">
        <v>0</v>
      </c>
      <c r="R225" s="28">
        <v>1</v>
      </c>
      <c r="S225" s="74">
        <v>1</v>
      </c>
      <c r="T225" s="28">
        <f>IFERROR((LAD_H276280[[#This Row],[H]]-LAD_H276280[[#This Row],[2B]]-LAD_H276280[[#This Row],[3B]]-LAD_H276280[[#This Row],[HR]])+(LAD_H276280[[#This Row],[2B]]*2)+(LAD_H276280[[#This Row],[3B]]*3)+(LAD_H276280[[#This Row],[HR]]*4),0)</f>
        <v>5</v>
      </c>
      <c r="U225" s="72">
        <f>LAD_H276280[[#This Row],[OBP]]+LAD_H276280[[#This Row],[SLG]]</f>
        <v>0.43961352657004826</v>
      </c>
      <c r="V225" s="74">
        <v>0</v>
      </c>
      <c r="W225" s="615">
        <v>4</v>
      </c>
      <c r="Z225" s="609" t="s">
        <v>1139</v>
      </c>
      <c r="AA225" s="71" t="s">
        <v>153</v>
      </c>
      <c r="AB225" s="71" t="s">
        <v>1150</v>
      </c>
      <c r="AC225" s="72">
        <f>IFERROR(SFG_H5394[[#This Row],[H]]/SFG_H5394[[#This Row],[AB]],0)</f>
        <v>0.125</v>
      </c>
      <c r="AD225" s="72">
        <f>IFERROR((SFG_H5394[[#This Row],[H]]+SFG_H5394[[#This Row],[BB]])/(SFG_H5394[[#This Row],[BB]]+SFG_H5394[[#This Row],[AB]]),0)</f>
        <v>0.36363636363636365</v>
      </c>
      <c r="AE225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0.125</v>
      </c>
      <c r="AF225" s="28">
        <v>3</v>
      </c>
      <c r="AG225" s="28">
        <v>8</v>
      </c>
      <c r="AH225" s="28">
        <v>0</v>
      </c>
      <c r="AI225" s="28">
        <v>1</v>
      </c>
      <c r="AJ225" s="28">
        <v>0</v>
      </c>
      <c r="AK225" s="28">
        <v>0</v>
      </c>
      <c r="AL225" s="28">
        <v>0</v>
      </c>
      <c r="AM225" s="28">
        <v>0</v>
      </c>
      <c r="AN225" s="28">
        <v>3</v>
      </c>
      <c r="AO225" s="74">
        <v>2</v>
      </c>
      <c r="AP225" s="28">
        <v>0</v>
      </c>
      <c r="AQ225" s="28">
        <v>0</v>
      </c>
      <c r="AR225" s="74">
        <v>1</v>
      </c>
      <c r="AS225" s="28">
        <f>IFERROR((SFG_H5394[[#This Row],[H]]-SFG_H5394[[#This Row],[2B]]-SFG_H5394[[#This Row],[3B]]-SFG_H5394[[#This Row],[HR]])+(SFG_H5394[[#This Row],[2B]]*2)+(SFG_H5394[[#This Row],[3B]]*3)+(SFG_H5394[[#This Row],[HR]]*4),0)</f>
        <v>1</v>
      </c>
      <c r="AT225" s="72">
        <f>SFG_H5394[[#This Row],[OBP]]+SFG_H5394[[#This Row],[SLG]]</f>
        <v>0.48863636363636365</v>
      </c>
      <c r="AU225" s="74">
        <v>0</v>
      </c>
      <c r="AV225" s="615">
        <v>4</v>
      </c>
    </row>
    <row r="226" spans="1:48">
      <c r="A226" s="720" t="s">
        <v>1171</v>
      </c>
      <c r="B226" s="71" t="s">
        <v>177</v>
      </c>
      <c r="C226" s="71" t="s">
        <v>838</v>
      </c>
      <c r="D226" s="72">
        <f>IFERROR(LAD_H276280[[#This Row],[H]]/LAD_H276280[[#This Row],[AB]],0)</f>
        <v>0.31818181818181818</v>
      </c>
      <c r="E226" s="72">
        <f>IFERROR((LAD_H276280[[#This Row],[H]]+LAD_H276280[[#This Row],[BB]])/(LAD_H276280[[#This Row],[BB]]+LAD_H276280[[#This Row],[AB]]),0)</f>
        <v>0.44444444444444442</v>
      </c>
      <c r="F226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0.5</v>
      </c>
      <c r="G226" s="28">
        <v>6</v>
      </c>
      <c r="H226" s="28">
        <v>22</v>
      </c>
      <c r="I226" s="28">
        <v>3</v>
      </c>
      <c r="J226" s="28">
        <v>7</v>
      </c>
      <c r="K226" s="28">
        <v>1</v>
      </c>
      <c r="L226" s="28">
        <v>0</v>
      </c>
      <c r="M226" s="28">
        <v>1</v>
      </c>
      <c r="N226" s="28">
        <v>6</v>
      </c>
      <c r="O226" s="28">
        <v>5</v>
      </c>
      <c r="P226" s="74">
        <v>5</v>
      </c>
      <c r="Q226" s="28">
        <v>0</v>
      </c>
      <c r="R226" s="28">
        <v>2</v>
      </c>
      <c r="S226" s="74">
        <v>3</v>
      </c>
      <c r="T226" s="28">
        <f>IFERROR((LAD_H276280[[#This Row],[H]]-LAD_H276280[[#This Row],[2B]]-LAD_H276280[[#This Row],[3B]]-LAD_H276280[[#This Row],[HR]])+(LAD_H276280[[#This Row],[2B]]*2)+(LAD_H276280[[#This Row],[3B]]*3)+(LAD_H276280[[#This Row],[HR]]*4),0)</f>
        <v>11</v>
      </c>
      <c r="U226" s="72">
        <f>LAD_H276280[[#This Row],[OBP]]+LAD_H276280[[#This Row],[SLG]]</f>
        <v>0.94444444444444442</v>
      </c>
      <c r="V226" s="74">
        <v>1</v>
      </c>
      <c r="W226" s="615">
        <v>5</v>
      </c>
      <c r="Z226" s="609" t="s">
        <v>1139</v>
      </c>
      <c r="AA226" s="71" t="s">
        <v>177</v>
      </c>
      <c r="AB226" s="71" t="s">
        <v>1146</v>
      </c>
      <c r="AC226" s="72">
        <f>IFERROR(SFG_H5394[[#This Row],[H]]/SFG_H5394[[#This Row],[AB]],0)</f>
        <v>0.38095238095238093</v>
      </c>
      <c r="AD226" s="72">
        <f>IFERROR((SFG_H5394[[#This Row],[H]]+SFG_H5394[[#This Row],[BB]])/(SFG_H5394[[#This Row],[BB]]+SFG_H5394[[#This Row],[AB]]),0)</f>
        <v>0.38095238095238093</v>
      </c>
      <c r="AE226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0.47619047619047616</v>
      </c>
      <c r="AF226" s="28">
        <v>5</v>
      </c>
      <c r="AG226" s="28">
        <v>21</v>
      </c>
      <c r="AH226" s="28">
        <v>0</v>
      </c>
      <c r="AI226" s="28">
        <v>8</v>
      </c>
      <c r="AJ226" s="28">
        <v>2</v>
      </c>
      <c r="AK226" s="28">
        <v>0</v>
      </c>
      <c r="AL226" s="28">
        <v>0</v>
      </c>
      <c r="AM226" s="28">
        <v>2</v>
      </c>
      <c r="AN226" s="28">
        <v>0</v>
      </c>
      <c r="AO226" s="74">
        <v>3</v>
      </c>
      <c r="AP226" s="28">
        <v>0</v>
      </c>
      <c r="AQ226" s="28">
        <v>2</v>
      </c>
      <c r="AR226" s="74">
        <v>2</v>
      </c>
      <c r="AS226" s="28">
        <f>IFERROR((SFG_H5394[[#This Row],[H]]-SFG_H5394[[#This Row],[2B]]-SFG_H5394[[#This Row],[3B]]-SFG_H5394[[#This Row],[HR]])+(SFG_H5394[[#This Row],[2B]]*2)+(SFG_H5394[[#This Row],[3B]]*3)+(SFG_H5394[[#This Row],[HR]]*4),0)</f>
        <v>10</v>
      </c>
      <c r="AT226" s="72">
        <f>SFG_H5394[[#This Row],[OBP]]+SFG_H5394[[#This Row],[SLG]]</f>
        <v>0.8571428571428571</v>
      </c>
      <c r="AU226" s="74">
        <v>0</v>
      </c>
      <c r="AV226" s="615">
        <v>5</v>
      </c>
    </row>
    <row r="227" spans="1:48">
      <c r="A227" s="720" t="s">
        <v>1171</v>
      </c>
      <c r="B227" s="71" t="s">
        <v>174</v>
      </c>
      <c r="C227" s="71" t="s">
        <v>1175</v>
      </c>
      <c r="D227" s="72">
        <f>IFERROR(LAD_H276280[[#This Row],[H]]/LAD_H276280[[#This Row],[AB]],0)</f>
        <v>0.23809523809523808</v>
      </c>
      <c r="E227" s="72">
        <f>IFERROR((LAD_H276280[[#This Row],[H]]+LAD_H276280[[#This Row],[BB]])/(LAD_H276280[[#This Row],[BB]]+LAD_H276280[[#This Row],[AB]]),0)</f>
        <v>0.33333333333333331</v>
      </c>
      <c r="F227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0.52380952380952384</v>
      </c>
      <c r="G227" s="28">
        <v>6</v>
      </c>
      <c r="H227" s="28">
        <v>21</v>
      </c>
      <c r="I227" s="28">
        <v>3</v>
      </c>
      <c r="J227" s="28">
        <v>5</v>
      </c>
      <c r="K227" s="28">
        <v>2</v>
      </c>
      <c r="L227" s="28">
        <v>2</v>
      </c>
      <c r="M227" s="28">
        <v>0</v>
      </c>
      <c r="N227" s="28">
        <v>4</v>
      </c>
      <c r="O227" s="28">
        <v>3</v>
      </c>
      <c r="P227" s="74">
        <v>7</v>
      </c>
      <c r="Q227" s="28">
        <v>0</v>
      </c>
      <c r="R227" s="28">
        <v>3</v>
      </c>
      <c r="S227" s="74">
        <v>3</v>
      </c>
      <c r="T227" s="28">
        <f>IFERROR((LAD_H276280[[#This Row],[H]]-LAD_H276280[[#This Row],[2B]]-LAD_H276280[[#This Row],[3B]]-LAD_H276280[[#This Row],[HR]])+(LAD_H276280[[#This Row],[2B]]*2)+(LAD_H276280[[#This Row],[3B]]*3)+(LAD_H276280[[#This Row],[HR]]*4),0)</f>
        <v>11</v>
      </c>
      <c r="U227" s="72">
        <f>LAD_H276280[[#This Row],[OBP]]+LAD_H276280[[#This Row],[SLG]]</f>
        <v>0.85714285714285721</v>
      </c>
      <c r="V227" s="74">
        <v>1</v>
      </c>
      <c r="W227" s="615">
        <v>6</v>
      </c>
      <c r="Z227" s="609" t="s">
        <v>1139</v>
      </c>
      <c r="AA227" s="345" t="s">
        <v>174</v>
      </c>
      <c r="AB227" s="71" t="s">
        <v>1142</v>
      </c>
      <c r="AC227" s="72">
        <f>IFERROR(SFG_H5394[[#This Row],[H]]/SFG_H5394[[#This Row],[AB]],0)</f>
        <v>0.13636363636363635</v>
      </c>
      <c r="AD227" s="72">
        <f>IFERROR((SFG_H5394[[#This Row],[H]]+SFG_H5394[[#This Row],[BB]])/(SFG_H5394[[#This Row],[BB]]+SFG_H5394[[#This Row],[AB]]),0)</f>
        <v>0.13636363636363635</v>
      </c>
      <c r="AE227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0.40909090909090912</v>
      </c>
      <c r="AF227" s="28">
        <v>5</v>
      </c>
      <c r="AG227" s="28">
        <v>22</v>
      </c>
      <c r="AH227" s="28">
        <v>3</v>
      </c>
      <c r="AI227" s="28">
        <v>3</v>
      </c>
      <c r="AJ227" s="28">
        <v>0</v>
      </c>
      <c r="AK227" s="28">
        <v>0</v>
      </c>
      <c r="AL227" s="28">
        <v>2</v>
      </c>
      <c r="AM227" s="28">
        <v>8</v>
      </c>
      <c r="AN227" s="28">
        <v>0</v>
      </c>
      <c r="AO227" s="74">
        <v>6</v>
      </c>
      <c r="AP227" s="28">
        <v>0</v>
      </c>
      <c r="AQ227" s="28">
        <v>0</v>
      </c>
      <c r="AR227" s="74">
        <v>1</v>
      </c>
      <c r="AS227" s="28">
        <f>IFERROR((SFG_H5394[[#This Row],[H]]-SFG_H5394[[#This Row],[2B]]-SFG_H5394[[#This Row],[3B]]-SFG_H5394[[#This Row],[HR]])+(SFG_H5394[[#This Row],[2B]]*2)+(SFG_H5394[[#This Row],[3B]]*3)+(SFG_H5394[[#This Row],[HR]]*4),0)</f>
        <v>9</v>
      </c>
      <c r="AT227" s="72">
        <f>SFG_H5394[[#This Row],[OBP]]+SFG_H5394[[#This Row],[SLG]]</f>
        <v>0.54545454545454541</v>
      </c>
      <c r="AU227" s="74">
        <v>1</v>
      </c>
      <c r="AV227" s="615">
        <v>6</v>
      </c>
    </row>
    <row r="228" spans="1:48">
      <c r="A228" s="720" t="s">
        <v>1171</v>
      </c>
      <c r="B228" s="71" t="s">
        <v>181</v>
      </c>
      <c r="C228" s="71" t="s">
        <v>1177</v>
      </c>
      <c r="D228" s="72">
        <f>IFERROR(LAD_H276280[[#This Row],[H]]/LAD_H276280[[#This Row],[AB]],0)</f>
        <v>0.15</v>
      </c>
      <c r="E228" s="72">
        <f>IFERROR((LAD_H276280[[#This Row],[H]]+LAD_H276280[[#This Row],[BB]])/(LAD_H276280[[#This Row],[BB]]+LAD_H276280[[#This Row],[AB]]),0)</f>
        <v>0.22727272727272727</v>
      </c>
      <c r="F228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0.3</v>
      </c>
      <c r="G228" s="28">
        <v>6</v>
      </c>
      <c r="H228" s="28">
        <v>20</v>
      </c>
      <c r="I228" s="28">
        <v>5</v>
      </c>
      <c r="J228" s="28">
        <v>3</v>
      </c>
      <c r="K228" s="28">
        <v>1</v>
      </c>
      <c r="L228" s="28">
        <v>1</v>
      </c>
      <c r="M228" s="28">
        <v>0</v>
      </c>
      <c r="N228" s="28">
        <v>1</v>
      </c>
      <c r="O228" s="28">
        <v>2</v>
      </c>
      <c r="P228" s="74">
        <v>10</v>
      </c>
      <c r="Q228" s="28">
        <v>0</v>
      </c>
      <c r="R228" s="28">
        <v>2</v>
      </c>
      <c r="S228" s="74">
        <v>2</v>
      </c>
      <c r="T228" s="28">
        <f>IFERROR((LAD_H276280[[#This Row],[H]]-LAD_H276280[[#This Row],[2B]]-LAD_H276280[[#This Row],[3B]]-LAD_H276280[[#This Row],[HR]])+(LAD_H276280[[#This Row],[2B]]*2)+(LAD_H276280[[#This Row],[3B]]*3)+(LAD_H276280[[#This Row],[HR]]*4),0)</f>
        <v>6</v>
      </c>
      <c r="U228" s="72">
        <f>LAD_H276280[[#This Row],[OBP]]+LAD_H276280[[#This Row],[SLG]]</f>
        <v>0.52727272727272723</v>
      </c>
      <c r="V228" s="74">
        <v>1</v>
      </c>
      <c r="W228" s="615">
        <v>7</v>
      </c>
      <c r="Z228" s="609" t="s">
        <v>1139</v>
      </c>
      <c r="AA228" s="71" t="s">
        <v>181</v>
      </c>
      <c r="AB228" s="71" t="s">
        <v>1143</v>
      </c>
      <c r="AC228" s="72">
        <f>IFERROR(SFG_H5394[[#This Row],[H]]/SFG_H5394[[#This Row],[AB]],0)</f>
        <v>0.3</v>
      </c>
      <c r="AD228" s="72">
        <f>IFERROR((SFG_H5394[[#This Row],[H]]+SFG_H5394[[#This Row],[BB]])/(SFG_H5394[[#This Row],[BB]]+SFG_H5394[[#This Row],[AB]]),0)</f>
        <v>0.36363636363636365</v>
      </c>
      <c r="AE228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0.55000000000000004</v>
      </c>
      <c r="AF228" s="28">
        <v>5</v>
      </c>
      <c r="AG228" s="28">
        <v>20</v>
      </c>
      <c r="AH228" s="28">
        <v>5</v>
      </c>
      <c r="AI228" s="28">
        <v>6</v>
      </c>
      <c r="AJ228" s="28">
        <v>2</v>
      </c>
      <c r="AK228" s="28">
        <v>0</v>
      </c>
      <c r="AL228" s="28">
        <v>1</v>
      </c>
      <c r="AM228" s="28">
        <v>1</v>
      </c>
      <c r="AN228" s="28">
        <v>2</v>
      </c>
      <c r="AO228" s="74">
        <v>6</v>
      </c>
      <c r="AP228" s="28">
        <v>0</v>
      </c>
      <c r="AQ228" s="28">
        <v>2</v>
      </c>
      <c r="AR228" s="74">
        <v>2</v>
      </c>
      <c r="AS228" s="28">
        <f>IFERROR((SFG_H5394[[#This Row],[H]]-SFG_H5394[[#This Row],[2B]]-SFG_H5394[[#This Row],[3B]]-SFG_H5394[[#This Row],[HR]])+(SFG_H5394[[#This Row],[2B]]*2)+(SFG_H5394[[#This Row],[3B]]*3)+(SFG_H5394[[#This Row],[HR]]*4),0)</f>
        <v>11</v>
      </c>
      <c r="AT228" s="72">
        <f>SFG_H5394[[#This Row],[OBP]]+SFG_H5394[[#This Row],[SLG]]</f>
        <v>0.91363636363636369</v>
      </c>
      <c r="AU228" s="74">
        <v>0</v>
      </c>
      <c r="AV228" s="615">
        <v>7</v>
      </c>
    </row>
    <row r="229" spans="1:48">
      <c r="A229" s="720" t="s">
        <v>1171</v>
      </c>
      <c r="B229" s="71" t="s">
        <v>166</v>
      </c>
      <c r="C229" s="71" t="s">
        <v>1172</v>
      </c>
      <c r="D229" s="72">
        <f>IFERROR(LAD_H276280[[#This Row],[H]]/LAD_H276280[[#This Row],[AB]],0)</f>
        <v>0.40740740740740738</v>
      </c>
      <c r="E229" s="72">
        <f>IFERROR((LAD_H276280[[#This Row],[H]]+LAD_H276280[[#This Row],[BB]])/(LAD_H276280[[#This Row],[BB]]+LAD_H276280[[#This Row],[AB]]),0)</f>
        <v>0.42857142857142855</v>
      </c>
      <c r="F229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0.48148148148148145</v>
      </c>
      <c r="G229" s="28">
        <v>6</v>
      </c>
      <c r="H229" s="28">
        <v>27</v>
      </c>
      <c r="I229" s="28">
        <v>5</v>
      </c>
      <c r="J229" s="28">
        <v>11</v>
      </c>
      <c r="K229" s="28">
        <v>2</v>
      </c>
      <c r="L229" s="28">
        <v>0</v>
      </c>
      <c r="M229" s="28">
        <v>0</v>
      </c>
      <c r="N229" s="28">
        <v>4</v>
      </c>
      <c r="O229" s="28">
        <v>1</v>
      </c>
      <c r="P229" s="74">
        <v>6</v>
      </c>
      <c r="Q229" s="28">
        <v>2</v>
      </c>
      <c r="R229" s="28">
        <v>5</v>
      </c>
      <c r="S229" s="74">
        <v>5</v>
      </c>
      <c r="T229" s="28">
        <f>IFERROR((LAD_H276280[[#This Row],[H]]-LAD_H276280[[#This Row],[2B]]-LAD_H276280[[#This Row],[3B]]-LAD_H276280[[#This Row],[HR]])+(LAD_H276280[[#This Row],[2B]]*2)+(LAD_H276280[[#This Row],[3B]]*3)+(LAD_H276280[[#This Row],[HR]]*4),0)</f>
        <v>13</v>
      </c>
      <c r="U229" s="72">
        <f>LAD_H276280[[#This Row],[OBP]]+LAD_H276280[[#This Row],[SLG]]</f>
        <v>0.91005291005291</v>
      </c>
      <c r="V229" s="74">
        <v>0</v>
      </c>
      <c r="W229" s="615">
        <v>8</v>
      </c>
      <c r="Z229" s="609" t="s">
        <v>1139</v>
      </c>
      <c r="AA229" s="71" t="s">
        <v>166</v>
      </c>
      <c r="AB229" s="71" t="s">
        <v>1149</v>
      </c>
      <c r="AC229" s="72">
        <f>IFERROR(SFG_H5394[[#This Row],[H]]/SFG_H5394[[#This Row],[AB]],0)</f>
        <v>0</v>
      </c>
      <c r="AD229" s="72">
        <f>IFERROR((SFG_H5394[[#This Row],[H]]+SFG_H5394[[#This Row],[BB]])/(SFG_H5394[[#This Row],[BB]]+SFG_H5394[[#This Row],[AB]]),0)</f>
        <v>0.1111111111111111</v>
      </c>
      <c r="AE229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</v>
      </c>
      <c r="AF229" s="28">
        <v>5</v>
      </c>
      <c r="AG229" s="28">
        <v>16</v>
      </c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1</v>
      </c>
      <c r="AN229" s="28">
        <v>2</v>
      </c>
      <c r="AO229" s="74">
        <v>4</v>
      </c>
      <c r="AP229" s="28">
        <v>0</v>
      </c>
      <c r="AQ229" s="28">
        <v>0</v>
      </c>
      <c r="AR229" s="74">
        <v>0</v>
      </c>
      <c r="AS229" s="28">
        <f>IFERROR((SFG_H5394[[#This Row],[H]]-SFG_H5394[[#This Row],[2B]]-SFG_H5394[[#This Row],[3B]]-SFG_H5394[[#This Row],[HR]])+(SFG_H5394[[#This Row],[2B]]*2)+(SFG_H5394[[#This Row],[3B]]*3)+(SFG_H5394[[#This Row],[HR]]*4),0)</f>
        <v>0</v>
      </c>
      <c r="AT229" s="72">
        <f>SFG_H5394[[#This Row],[OBP]]+SFG_H5394[[#This Row],[SLG]]</f>
        <v>0.1111111111111111</v>
      </c>
      <c r="AU229" s="74">
        <v>0</v>
      </c>
      <c r="AV229" s="615">
        <v>8</v>
      </c>
    </row>
    <row r="230" spans="1:48">
      <c r="A230" s="720" t="s">
        <v>1171</v>
      </c>
      <c r="B230" s="71" t="s">
        <v>168</v>
      </c>
      <c r="C230" s="71" t="s">
        <v>1178</v>
      </c>
      <c r="D230" s="72">
        <f>IFERROR(LAD_H276280[[#This Row],[H]]/LAD_H276280[[#This Row],[AB]],0)</f>
        <v>0.19047619047619047</v>
      </c>
      <c r="E230" s="72">
        <f>IFERROR((LAD_H276280[[#This Row],[H]]+LAD_H276280[[#This Row],[BB]])/(LAD_H276280[[#This Row],[BB]]+LAD_H276280[[#This Row],[AB]]),0)</f>
        <v>0.29166666666666669</v>
      </c>
      <c r="F230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0.23809523809523808</v>
      </c>
      <c r="G230" s="28">
        <v>6</v>
      </c>
      <c r="H230" s="28">
        <v>21</v>
      </c>
      <c r="I230" s="28">
        <v>3</v>
      </c>
      <c r="J230" s="28">
        <v>4</v>
      </c>
      <c r="K230" s="28">
        <v>1</v>
      </c>
      <c r="L230" s="28">
        <v>0</v>
      </c>
      <c r="M230" s="28">
        <v>0</v>
      </c>
      <c r="N230" s="28">
        <v>3</v>
      </c>
      <c r="O230" s="28">
        <v>3</v>
      </c>
      <c r="P230" s="74">
        <v>9</v>
      </c>
      <c r="Q230" s="28">
        <v>0</v>
      </c>
      <c r="R230" s="28">
        <v>0</v>
      </c>
      <c r="S230" s="74">
        <v>2</v>
      </c>
      <c r="T230" s="28">
        <f>IFERROR((LAD_H276280[[#This Row],[H]]-LAD_H276280[[#This Row],[2B]]-LAD_H276280[[#This Row],[3B]]-LAD_H276280[[#This Row],[HR]])+(LAD_H276280[[#This Row],[2B]]*2)+(LAD_H276280[[#This Row],[3B]]*3)+(LAD_H276280[[#This Row],[HR]]*4),0)</f>
        <v>5</v>
      </c>
      <c r="U230" s="72">
        <f>LAD_H276280[[#This Row],[OBP]]+LAD_H276280[[#This Row],[SLG]]</f>
        <v>0.52976190476190477</v>
      </c>
      <c r="V230" s="74">
        <v>0</v>
      </c>
      <c r="W230" s="615">
        <v>9</v>
      </c>
      <c r="Z230" s="609" t="s">
        <v>1139</v>
      </c>
      <c r="AA230" s="71" t="s">
        <v>168</v>
      </c>
      <c r="AB230" s="71" t="s">
        <v>1145</v>
      </c>
      <c r="AC230" s="72">
        <f>IFERROR(SFG_H5394[[#This Row],[H]]/SFG_H5394[[#This Row],[AB]],0)</f>
        <v>0.23809523809523808</v>
      </c>
      <c r="AD230" s="72">
        <f>IFERROR((SFG_H5394[[#This Row],[H]]+SFG_H5394[[#This Row],[BB]])/(SFG_H5394[[#This Row],[BB]]+SFG_H5394[[#This Row],[AB]]),0)</f>
        <v>0.27272727272727271</v>
      </c>
      <c r="AE230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0.42857142857142855</v>
      </c>
      <c r="AF230" s="28">
        <v>5</v>
      </c>
      <c r="AG230" s="28">
        <v>21</v>
      </c>
      <c r="AH230" s="28">
        <v>3</v>
      </c>
      <c r="AI230" s="28">
        <v>5</v>
      </c>
      <c r="AJ230" s="28">
        <v>2</v>
      </c>
      <c r="AK230" s="28">
        <v>1</v>
      </c>
      <c r="AL230" s="28">
        <v>0</v>
      </c>
      <c r="AM230" s="28">
        <v>1</v>
      </c>
      <c r="AN230" s="28">
        <v>1</v>
      </c>
      <c r="AO230" s="74">
        <v>5</v>
      </c>
      <c r="AP230" s="28">
        <v>0</v>
      </c>
      <c r="AQ230" s="28">
        <v>4</v>
      </c>
      <c r="AR230" s="74">
        <v>4</v>
      </c>
      <c r="AS230" s="28">
        <f>IFERROR((SFG_H5394[[#This Row],[H]]-SFG_H5394[[#This Row],[2B]]-SFG_H5394[[#This Row],[3B]]-SFG_H5394[[#This Row],[HR]])+(SFG_H5394[[#This Row],[2B]]*2)+(SFG_H5394[[#This Row],[3B]]*3)+(SFG_H5394[[#This Row],[HR]]*4),0)</f>
        <v>9</v>
      </c>
      <c r="AT230" s="72">
        <f>SFG_H5394[[#This Row],[OBP]]+SFG_H5394[[#This Row],[SLG]]</f>
        <v>0.70129870129870131</v>
      </c>
      <c r="AU230" s="74">
        <v>0</v>
      </c>
      <c r="AV230" s="615">
        <v>9</v>
      </c>
    </row>
    <row r="231" spans="1:48">
      <c r="A231" s="720" t="s">
        <v>1171</v>
      </c>
      <c r="B231" s="71" t="s">
        <v>179</v>
      </c>
      <c r="C231" s="71" t="s">
        <v>1181</v>
      </c>
      <c r="D231" s="72">
        <f>IFERROR(LAD_H276280[[#This Row],[H]]/LAD_H276280[[#This Row],[AB]],0)</f>
        <v>0</v>
      </c>
      <c r="E231" s="72">
        <f>IFERROR((LAD_H276280[[#This Row],[H]]+LAD_H276280[[#This Row],[BB]])/(LAD_H276280[[#This Row],[BB]]+LAD_H276280[[#This Row],[AB]]),0)</f>
        <v>0</v>
      </c>
      <c r="F231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74">
        <v>0</v>
      </c>
      <c r="Q231" s="28">
        <v>0</v>
      </c>
      <c r="R231" s="28">
        <v>0</v>
      </c>
      <c r="S231" s="74">
        <v>0</v>
      </c>
      <c r="T231" s="28">
        <f>IFERROR((LAD_H276280[[#This Row],[H]]-LAD_H276280[[#This Row],[2B]]-LAD_H276280[[#This Row],[3B]]-LAD_H276280[[#This Row],[HR]])+(LAD_H276280[[#This Row],[2B]]*2)+(LAD_H276280[[#This Row],[3B]]*3)+(LAD_H276280[[#This Row],[HR]]*4),0)</f>
        <v>0</v>
      </c>
      <c r="U231" s="72">
        <f>LAD_H276280[[#This Row],[OBP]]+LAD_H276280[[#This Row],[SLG]]</f>
        <v>0</v>
      </c>
      <c r="V231" s="74">
        <v>0</v>
      </c>
      <c r="W231" s="615">
        <v>10</v>
      </c>
      <c r="Z231" s="609" t="s">
        <v>1139</v>
      </c>
      <c r="AA231" s="71" t="s">
        <v>179</v>
      </c>
      <c r="AB231" s="71" t="s">
        <v>1152</v>
      </c>
      <c r="AC231" s="72">
        <f>IFERROR(SFG_H5394[[#This Row],[H]]/SFG_H5394[[#This Row],[AB]],0)</f>
        <v>0</v>
      </c>
      <c r="AD231" s="72">
        <f>IFERROR((SFG_H5394[[#This Row],[H]]+SFG_H5394[[#This Row],[BB]])/(SFG_H5394[[#This Row],[BB]]+SFG_H5394[[#This Row],[AB]]),0)</f>
        <v>0</v>
      </c>
      <c r="AE231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0</v>
      </c>
      <c r="AN231" s="28">
        <v>0</v>
      </c>
      <c r="AO231" s="74">
        <v>0</v>
      </c>
      <c r="AP231" s="28">
        <v>0</v>
      </c>
      <c r="AQ231" s="28">
        <v>0</v>
      </c>
      <c r="AR231" s="74">
        <v>0</v>
      </c>
      <c r="AS231" s="28">
        <f>IFERROR((SFG_H5394[[#This Row],[H]]-SFG_H5394[[#This Row],[2B]]-SFG_H5394[[#This Row],[3B]]-SFG_H5394[[#This Row],[HR]])+(SFG_H5394[[#This Row],[2B]]*2)+(SFG_H5394[[#This Row],[3B]]*3)+(SFG_H5394[[#This Row],[HR]]*4),0)</f>
        <v>0</v>
      </c>
      <c r="AT231" s="72">
        <f>SFG_H5394[[#This Row],[OBP]]+SFG_H5394[[#This Row],[SLG]]</f>
        <v>0</v>
      </c>
      <c r="AU231" s="74">
        <v>0</v>
      </c>
      <c r="AV231" s="615">
        <v>10</v>
      </c>
    </row>
    <row r="232" spans="1:48">
      <c r="A232" s="720" t="s">
        <v>1171</v>
      </c>
      <c r="B232" s="71" t="s">
        <v>187</v>
      </c>
      <c r="C232" s="71" t="s">
        <v>1176</v>
      </c>
      <c r="D232" s="72">
        <f>IFERROR(LAD_H276280[[#This Row],[H]]/LAD_H276280[[#This Row],[AB]],0)</f>
        <v>0</v>
      </c>
      <c r="E232" s="72">
        <f>IFERROR((LAD_H276280[[#This Row],[H]]+LAD_H276280[[#This Row],[BB]])/(LAD_H276280[[#This Row],[BB]]+LAD_H276280[[#This Row],[AB]]),0)</f>
        <v>0</v>
      </c>
      <c r="F232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74">
        <v>0</v>
      </c>
      <c r="Q232" s="28">
        <v>0</v>
      </c>
      <c r="R232" s="28">
        <v>0</v>
      </c>
      <c r="S232" s="74">
        <v>0</v>
      </c>
      <c r="T232" s="28">
        <f>IFERROR((LAD_H276280[[#This Row],[H]]-LAD_H276280[[#This Row],[2B]]-LAD_H276280[[#This Row],[3B]]-LAD_H276280[[#This Row],[HR]])+(LAD_H276280[[#This Row],[2B]]*2)+(LAD_H276280[[#This Row],[3B]]*3)+(LAD_H276280[[#This Row],[HR]]*4),0)</f>
        <v>0</v>
      </c>
      <c r="U232" s="72">
        <f>LAD_H276280[[#This Row],[OBP]]+LAD_H276280[[#This Row],[SLG]]</f>
        <v>0</v>
      </c>
      <c r="V232" s="74">
        <v>0</v>
      </c>
      <c r="W232" s="615">
        <v>11</v>
      </c>
      <c r="Z232" s="609" t="s">
        <v>1139</v>
      </c>
      <c r="AA232" s="71" t="s">
        <v>187</v>
      </c>
      <c r="AB232" s="71" t="s">
        <v>1148</v>
      </c>
      <c r="AC232" s="72">
        <f>IFERROR(SFG_H5394[[#This Row],[H]]/SFG_H5394[[#This Row],[AB]],0)</f>
        <v>0</v>
      </c>
      <c r="AD232" s="72">
        <f>IFERROR((SFG_H5394[[#This Row],[H]]+SFG_H5394[[#This Row],[BB]])/(SFG_H5394[[#This Row],[BB]]+SFG_H5394[[#This Row],[AB]]),0)</f>
        <v>0</v>
      </c>
      <c r="AE232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74">
        <v>0</v>
      </c>
      <c r="AP232" s="28">
        <v>0</v>
      </c>
      <c r="AQ232" s="28">
        <v>0</v>
      </c>
      <c r="AR232" s="74">
        <v>0</v>
      </c>
      <c r="AS232" s="28">
        <f>IFERROR((SFG_H5394[[#This Row],[H]]-SFG_H5394[[#This Row],[2B]]-SFG_H5394[[#This Row],[3B]]-SFG_H5394[[#This Row],[HR]])+(SFG_H5394[[#This Row],[2B]]*2)+(SFG_H5394[[#This Row],[3B]]*3)+(SFG_H5394[[#This Row],[HR]]*4),0)</f>
        <v>0</v>
      </c>
      <c r="AT232" s="72">
        <f>SFG_H5394[[#This Row],[OBP]]+SFG_H5394[[#This Row],[SLG]]</f>
        <v>0</v>
      </c>
      <c r="AU232" s="74">
        <v>0</v>
      </c>
      <c r="AV232" s="615">
        <v>11</v>
      </c>
    </row>
    <row r="233" spans="1:48">
      <c r="A233" s="720" t="s">
        <v>1171</v>
      </c>
      <c r="B233" s="71" t="s">
        <v>187</v>
      </c>
      <c r="C233" s="71" t="s">
        <v>930</v>
      </c>
      <c r="D233" s="72">
        <f>IFERROR(LAD_H276280[[#This Row],[H]]/LAD_H276280[[#This Row],[AB]],0)</f>
        <v>0</v>
      </c>
      <c r="E233" s="72">
        <f>IFERROR((LAD_H276280[[#This Row],[H]]+LAD_H276280[[#This Row],[BB]])/(LAD_H276280[[#This Row],[BB]]+LAD_H276280[[#This Row],[AB]]),0)</f>
        <v>0</v>
      </c>
      <c r="F233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74">
        <v>0</v>
      </c>
      <c r="Q233" s="28">
        <v>0</v>
      </c>
      <c r="R233" s="28">
        <v>0</v>
      </c>
      <c r="S233" s="74">
        <v>0</v>
      </c>
      <c r="T233" s="28">
        <f>IFERROR((LAD_H276280[[#This Row],[H]]-LAD_H276280[[#This Row],[2B]]-LAD_H276280[[#This Row],[3B]]-LAD_H276280[[#This Row],[HR]])+(LAD_H276280[[#This Row],[2B]]*2)+(LAD_H276280[[#This Row],[3B]]*3)+(LAD_H276280[[#This Row],[HR]]*4),0)</f>
        <v>0</v>
      </c>
      <c r="U233" s="72">
        <f>LAD_H276280[[#This Row],[OBP]]+LAD_H276280[[#This Row],[SLG]]</f>
        <v>0</v>
      </c>
      <c r="V233" s="74">
        <v>0</v>
      </c>
      <c r="W233" s="615">
        <v>12</v>
      </c>
      <c r="Z233" s="609" t="s">
        <v>1139</v>
      </c>
      <c r="AA233" s="71" t="s">
        <v>187</v>
      </c>
      <c r="AB233" s="71" t="s">
        <v>1153</v>
      </c>
      <c r="AC233" s="72">
        <f>IFERROR(SFG_H5394[[#This Row],[H]]/SFG_H5394[[#This Row],[AB]],0)</f>
        <v>0</v>
      </c>
      <c r="AD233" s="72">
        <f>IFERROR((SFG_H5394[[#This Row],[H]]+SFG_H5394[[#This Row],[BB]])/(SFG_H5394[[#This Row],[BB]]+SFG_H5394[[#This Row],[AB]]),0)</f>
        <v>0</v>
      </c>
      <c r="AE233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74">
        <v>0</v>
      </c>
      <c r="AP233" s="28">
        <v>0</v>
      </c>
      <c r="AQ233" s="28">
        <v>0</v>
      </c>
      <c r="AR233" s="74">
        <v>0</v>
      </c>
      <c r="AS233" s="28">
        <f>IFERROR((SFG_H5394[[#This Row],[H]]-SFG_H5394[[#This Row],[2B]]-SFG_H5394[[#This Row],[3B]]-SFG_H5394[[#This Row],[HR]])+(SFG_H5394[[#This Row],[2B]]*2)+(SFG_H5394[[#This Row],[3B]]*3)+(SFG_H5394[[#This Row],[HR]]*4),0)</f>
        <v>0</v>
      </c>
      <c r="AT233" s="72">
        <f>SFG_H5394[[#This Row],[OBP]]+SFG_H5394[[#This Row],[SLG]]</f>
        <v>0</v>
      </c>
      <c r="AU233" s="74">
        <v>0</v>
      </c>
      <c r="AV233" s="615">
        <v>12</v>
      </c>
    </row>
    <row r="234" spans="1:48">
      <c r="A234" s="720" t="s">
        <v>1171</v>
      </c>
      <c r="B234" s="71" t="s">
        <v>184</v>
      </c>
      <c r="C234" s="71" t="s">
        <v>1180</v>
      </c>
      <c r="D234" s="72">
        <f>IFERROR(LAD_H276280[[#This Row],[H]]/LAD_H276280[[#This Row],[AB]],0)</f>
        <v>0</v>
      </c>
      <c r="E234" s="72">
        <f>IFERROR((LAD_H276280[[#This Row],[H]]+LAD_H276280[[#This Row],[BB]])/(LAD_H276280[[#This Row],[BB]]+LAD_H276280[[#This Row],[AB]]),0)</f>
        <v>0</v>
      </c>
      <c r="F234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</v>
      </c>
      <c r="G234" s="28">
        <v>0</v>
      </c>
      <c r="H234" s="90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74">
        <v>0</v>
      </c>
      <c r="Q234" s="28">
        <v>0</v>
      </c>
      <c r="R234" s="28">
        <v>0</v>
      </c>
      <c r="S234" s="74">
        <v>0</v>
      </c>
      <c r="T234" s="28">
        <f>IFERROR((LAD_H276280[[#This Row],[H]]-LAD_H276280[[#This Row],[2B]]-LAD_H276280[[#This Row],[3B]]-LAD_H276280[[#This Row],[HR]])+(LAD_H276280[[#This Row],[2B]]*2)+(LAD_H276280[[#This Row],[3B]]*3)+(LAD_H276280[[#This Row],[HR]]*4),0)</f>
        <v>0</v>
      </c>
      <c r="U234" s="72">
        <f>LAD_H276280[[#This Row],[OBP]]+LAD_H276280[[#This Row],[SLG]]</f>
        <v>0</v>
      </c>
      <c r="V234" s="74">
        <v>0</v>
      </c>
      <c r="W234" s="615">
        <v>13</v>
      </c>
      <c r="Z234" s="609" t="s">
        <v>1139</v>
      </c>
      <c r="AA234" s="71" t="s">
        <v>192</v>
      </c>
      <c r="AB234" s="71" t="s">
        <v>1151</v>
      </c>
      <c r="AC234" s="72">
        <f>IFERROR(SFG_H5394[[#This Row],[H]]/SFG_H5394[[#This Row],[AB]],0)</f>
        <v>0.16666666666666666</v>
      </c>
      <c r="AD234" s="72">
        <f>IFERROR((SFG_H5394[[#This Row],[H]]+SFG_H5394[[#This Row],[BB]])/(SFG_H5394[[#This Row],[BB]]+SFG_H5394[[#This Row],[AB]]),0)</f>
        <v>0.2857142857142857</v>
      </c>
      <c r="AE234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0.16666666666666666</v>
      </c>
      <c r="AF234" s="28">
        <v>2</v>
      </c>
      <c r="AG234" s="28">
        <v>6</v>
      </c>
      <c r="AH234" s="28">
        <v>1</v>
      </c>
      <c r="AI234" s="28">
        <v>1</v>
      </c>
      <c r="AJ234" s="28">
        <v>0</v>
      </c>
      <c r="AK234" s="28">
        <v>0</v>
      </c>
      <c r="AL234" s="28">
        <v>0</v>
      </c>
      <c r="AM234" s="28">
        <v>0</v>
      </c>
      <c r="AN234" s="28">
        <v>1</v>
      </c>
      <c r="AO234" s="74">
        <v>1</v>
      </c>
      <c r="AP234" s="28">
        <v>0</v>
      </c>
      <c r="AQ234" s="28">
        <v>0</v>
      </c>
      <c r="AR234" s="74">
        <v>1</v>
      </c>
      <c r="AS234" s="28">
        <f>IFERROR((SFG_H5394[[#This Row],[H]]-SFG_H5394[[#This Row],[2B]]-SFG_H5394[[#This Row],[3B]]-SFG_H5394[[#This Row],[HR]])+(SFG_H5394[[#This Row],[2B]]*2)+(SFG_H5394[[#This Row],[3B]]*3)+(SFG_H5394[[#This Row],[HR]]*4),0)</f>
        <v>1</v>
      </c>
      <c r="AT234" s="72">
        <f>SFG_H5394[[#This Row],[OBP]]+SFG_H5394[[#This Row],[SLG]]</f>
        <v>0.45238095238095233</v>
      </c>
      <c r="AU234" s="74">
        <v>0</v>
      </c>
      <c r="AV234" s="615">
        <v>13</v>
      </c>
    </row>
    <row r="235" spans="1:48" ht="17" thickBot="1">
      <c r="A235" s="720" t="s">
        <v>1171</v>
      </c>
      <c r="B235" s="71" t="s">
        <v>184</v>
      </c>
      <c r="C235" s="71" t="s">
        <v>1182</v>
      </c>
      <c r="D235" s="72">
        <f>IFERROR(LAD_H276280[[#This Row],[H]]/LAD_H276280[[#This Row],[AB]],0)</f>
        <v>0</v>
      </c>
      <c r="E235" s="72">
        <f>IFERROR((LAD_H276280[[#This Row],[H]]+LAD_H276280[[#This Row],[BB]])/(LAD_H276280[[#This Row],[BB]]+LAD_H276280[[#This Row],[AB]]),0)</f>
        <v>0</v>
      </c>
      <c r="F235" s="73">
        <f>IFERROR(((LAD_H276280[[#This Row],[H]]-LAD_H276280[[#This Row],[2B]]-LAD_H276280[[#This Row],[3B]]-LAD_H276280[[#This Row],[HR]])+(LAD_H276280[[#This Row],[2B]]*2)+(LAD_H276280[[#This Row],[3B]]*3)+(LAD_H276280[[#This Row],[HR]]*4))/LAD_H276280[[#This Row],[AB]],0)</f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74">
        <v>0</v>
      </c>
      <c r="Q235" s="28">
        <v>0</v>
      </c>
      <c r="R235" s="28">
        <v>0</v>
      </c>
      <c r="S235" s="74">
        <v>0</v>
      </c>
      <c r="T235" s="28">
        <f>IFERROR((LAD_H276280[[#This Row],[H]]-LAD_H276280[[#This Row],[2B]]-LAD_H276280[[#This Row],[3B]]-LAD_H276280[[#This Row],[HR]])+(LAD_H276280[[#This Row],[2B]]*2)+(LAD_H276280[[#This Row],[3B]]*3)+(LAD_H276280[[#This Row],[HR]]*4),0)</f>
        <v>0</v>
      </c>
      <c r="U235" s="72">
        <f>LAD_H276280[[#This Row],[OBP]]+LAD_H276280[[#This Row],[SLG]]</f>
        <v>0</v>
      </c>
      <c r="V235" s="74">
        <v>0</v>
      </c>
      <c r="W235" s="615">
        <v>14</v>
      </c>
      <c r="Z235" s="609" t="s">
        <v>1139</v>
      </c>
      <c r="AA235" s="71" t="s">
        <v>186</v>
      </c>
      <c r="AB235" s="71" t="s">
        <v>1155</v>
      </c>
      <c r="AC235" s="72">
        <f>IFERROR(SFG_H5394[[#This Row],[H]]/SFG_H5394[[#This Row],[AB]],0)</f>
        <v>0</v>
      </c>
      <c r="AD235" s="72">
        <f>IFERROR((SFG_H5394[[#This Row],[H]]+SFG_H5394[[#This Row],[BB]])/(SFG_H5394[[#This Row],[BB]]+SFG_H5394[[#This Row],[AB]]),0)</f>
        <v>0</v>
      </c>
      <c r="AE235" s="73">
        <f>IFERROR(((SFG_H5394[[#This Row],[H]]-SFG_H5394[[#This Row],[2B]]-SFG_H5394[[#This Row],[3B]]-SFG_H5394[[#This Row],[HR]])+(SFG_H5394[[#This Row],[2B]]*2)+(SFG_H5394[[#This Row],[3B]]*3)+(SFG_H5394[[#This Row],[HR]]*4))/SFG_H5394[[#This Row],[AB]],0)</f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74">
        <v>0</v>
      </c>
      <c r="AP235" s="28">
        <v>0</v>
      </c>
      <c r="AQ235" s="28">
        <v>0</v>
      </c>
      <c r="AR235" s="74">
        <v>0</v>
      </c>
      <c r="AS235" s="28">
        <f>IFERROR((SFG_H5394[[#This Row],[H]]-SFG_H5394[[#This Row],[2B]]-SFG_H5394[[#This Row],[3B]]-SFG_H5394[[#This Row],[HR]])+(SFG_H5394[[#This Row],[2B]]*2)+(SFG_H5394[[#This Row],[3B]]*3)+(SFG_H5394[[#This Row],[HR]]*4),0)</f>
        <v>0</v>
      </c>
      <c r="AT235" s="72">
        <f>SFG_H5394[[#This Row],[OBP]]+SFG_H5394[[#This Row],[SLG]]</f>
        <v>0</v>
      </c>
      <c r="AU235" s="74">
        <v>0</v>
      </c>
      <c r="AV235" s="615">
        <v>14</v>
      </c>
    </row>
    <row r="236" spans="1:48" ht="17" thickBot="1">
      <c r="A236" s="858"/>
      <c r="B236" s="859"/>
      <c r="C236" s="693" t="s">
        <v>195</v>
      </c>
      <c r="D236" s="694">
        <f>J236/H236</f>
        <v>0.25365853658536586</v>
      </c>
      <c r="E236" s="694">
        <f>(J236+O236)/(O236+H236)</f>
        <v>0.33766233766233766</v>
      </c>
      <c r="F236" s="695">
        <f>((J236-K236-L236-M236)+(K236*2)+(L236*3)+(M236*4))/H236</f>
        <v>0.40975609756097559</v>
      </c>
      <c r="G236" s="696"/>
      <c r="H236" s="696">
        <f>SUBTOTAL(109,LAD_H276280[AB])</f>
        <v>205</v>
      </c>
      <c r="I236" s="696">
        <f>SUBTOTAL(109,LAD_H276280[R])</f>
        <v>33</v>
      </c>
      <c r="J236" s="696">
        <f>SUBTOTAL(109,LAD_H276280[H])</f>
        <v>52</v>
      </c>
      <c r="K236" s="696">
        <f>SUBTOTAL(109,LAD_H276280[2B])</f>
        <v>14</v>
      </c>
      <c r="L236" s="696">
        <f>SUBTOTAL(109,LAD_H276280[3B])</f>
        <v>3</v>
      </c>
      <c r="M236" s="696">
        <f>SUBTOTAL(109,LAD_H276280[HR])</f>
        <v>4</v>
      </c>
      <c r="N236" s="696">
        <f>SUBTOTAL(109,LAD_H276280[RBI])</f>
        <v>33</v>
      </c>
      <c r="O236" s="696">
        <f>SUBTOTAL(109,LAD_H276280[BB])</f>
        <v>26</v>
      </c>
      <c r="P236" s="697">
        <f>SUBTOTAL(109,LAD_H276280[K])</f>
        <v>66</v>
      </c>
      <c r="Q236" s="696">
        <f>SUBTOTAL(109,LAD_H276280[SB])</f>
        <v>4</v>
      </c>
      <c r="R236" s="696"/>
      <c r="S236" s="697"/>
      <c r="T236" s="696">
        <f>SUBTOTAL(109,LAD_H276280[TB])</f>
        <v>84</v>
      </c>
      <c r="U236" s="694">
        <f>F236+E236</f>
        <v>0.7474184352233133</v>
      </c>
      <c r="V236" s="697">
        <f>SUBTOTAL(109,LAD_H276280[*])</f>
        <v>4</v>
      </c>
      <c r="W236" s="698"/>
      <c r="Z236" s="809"/>
      <c r="AA236" s="810"/>
      <c r="AB236" s="654" t="s">
        <v>195</v>
      </c>
      <c r="AC236" s="656">
        <f>AI236/AG236</f>
        <v>0.20710059171597633</v>
      </c>
      <c r="AD236" s="656">
        <f>(AI236+AN236)/(AN236+AG236)</f>
        <v>0.27956989247311825</v>
      </c>
      <c r="AE236" s="657">
        <f>((AI236-AJ236-AK236-AL236)+(AJ236*2)+(AK236*3)+(AL236*4))/AG236</f>
        <v>0.32544378698224852</v>
      </c>
      <c r="AF236" s="658"/>
      <c r="AG236" s="658">
        <f>SUBTOTAL(109,SFG_H5394[AB])</f>
        <v>169</v>
      </c>
      <c r="AH236" s="658">
        <f>SUBTOTAL(109,SFG_H5394[R])</f>
        <v>14</v>
      </c>
      <c r="AI236" s="658">
        <f>SUBTOTAL(109,SFG_H5394[H])</f>
        <v>35</v>
      </c>
      <c r="AJ236" s="658">
        <f>SUBTOTAL(109,SFG_H5394[2B])</f>
        <v>9</v>
      </c>
      <c r="AK236" s="658">
        <f>SUBTOTAL(109,SFG_H5394[3B])</f>
        <v>1</v>
      </c>
      <c r="AL236" s="658">
        <f>SUBTOTAL(109,SFG_H5394[HR])</f>
        <v>3</v>
      </c>
      <c r="AM236" s="658">
        <f>SUBTOTAL(109,SFG_H5394[RBI])</f>
        <v>14</v>
      </c>
      <c r="AN236" s="658">
        <f>SUBTOTAL(109,SFG_H5394[BB])</f>
        <v>17</v>
      </c>
      <c r="AO236" s="660">
        <f>SUBTOTAL(109,SFG_H5394[K])</f>
        <v>41</v>
      </c>
      <c r="AP236" s="658">
        <f>SUBTOTAL(109,SFG_H5394[SB])</f>
        <v>0</v>
      </c>
      <c r="AQ236" s="658"/>
      <c r="AR236" s="660"/>
      <c r="AS236" s="658">
        <f>SUBTOTAL(109,SFG_H5394[TB])</f>
        <v>55</v>
      </c>
      <c r="AT236" s="656">
        <f>AE236+AD236</f>
        <v>0.60501367945536677</v>
      </c>
      <c r="AU236" s="660">
        <f>SUBTOTAL(109,SFG_H5394[*])</f>
        <v>1</v>
      </c>
      <c r="AV236" s="662"/>
    </row>
    <row r="237" spans="1:48" ht="17" thickBot="1"/>
    <row r="238" spans="1:48" ht="17" thickBot="1">
      <c r="A238" s="605" t="s">
        <v>143</v>
      </c>
      <c r="B238" s="606" t="s">
        <v>144</v>
      </c>
      <c r="C238" s="606" t="s">
        <v>145</v>
      </c>
      <c r="D238" s="606" t="s">
        <v>196</v>
      </c>
      <c r="E238" s="606" t="s">
        <v>197</v>
      </c>
      <c r="F238" s="606" t="s">
        <v>198</v>
      </c>
      <c r="G238" s="606" t="s">
        <v>149</v>
      </c>
      <c r="H238" s="606" t="s">
        <v>199</v>
      </c>
      <c r="I238" s="606" t="s">
        <v>152</v>
      </c>
      <c r="J238" s="606" t="s">
        <v>151</v>
      </c>
      <c r="K238" s="606" t="s">
        <v>157</v>
      </c>
      <c r="L238" s="606" t="s">
        <v>158</v>
      </c>
      <c r="M238" s="606" t="s">
        <v>200</v>
      </c>
      <c r="N238" s="606" t="s">
        <v>201</v>
      </c>
      <c r="O238" s="606" t="s">
        <v>202</v>
      </c>
      <c r="P238" s="606" t="s">
        <v>203</v>
      </c>
      <c r="Q238" s="606" t="s">
        <v>204</v>
      </c>
      <c r="R238" s="606" t="s">
        <v>205</v>
      </c>
      <c r="S238" s="607" t="s">
        <v>164</v>
      </c>
      <c r="T238" s="108"/>
      <c r="U238" s="108"/>
      <c r="V238" s="108"/>
      <c r="W238" s="108"/>
      <c r="Z238" s="605" t="s">
        <v>143</v>
      </c>
      <c r="AA238" s="606" t="s">
        <v>144</v>
      </c>
      <c r="AB238" s="606" t="s">
        <v>145</v>
      </c>
      <c r="AC238" s="606" t="s">
        <v>196</v>
      </c>
      <c r="AD238" s="606" t="s">
        <v>197</v>
      </c>
      <c r="AE238" s="606" t="s">
        <v>198</v>
      </c>
      <c r="AF238" s="606" t="s">
        <v>149</v>
      </c>
      <c r="AG238" s="606" t="s">
        <v>199</v>
      </c>
      <c r="AH238" s="606" t="s">
        <v>152</v>
      </c>
      <c r="AI238" s="606" t="s">
        <v>151</v>
      </c>
      <c r="AJ238" s="606" t="s">
        <v>157</v>
      </c>
      <c r="AK238" s="606" t="s">
        <v>158</v>
      </c>
      <c r="AL238" s="606" t="s">
        <v>200</v>
      </c>
      <c r="AM238" s="606" t="s">
        <v>201</v>
      </c>
      <c r="AN238" s="606" t="s">
        <v>202</v>
      </c>
      <c r="AO238" s="606" t="s">
        <v>203</v>
      </c>
      <c r="AP238" s="606" t="s">
        <v>204</v>
      </c>
      <c r="AQ238" s="606" t="s">
        <v>205</v>
      </c>
      <c r="AR238" s="607" t="s">
        <v>164</v>
      </c>
    </row>
    <row r="239" spans="1:48">
      <c r="A239" s="719" t="s">
        <v>1171</v>
      </c>
      <c r="B239" s="604" t="s">
        <v>206</v>
      </c>
      <c r="C239" s="597" t="s">
        <v>1184</v>
      </c>
      <c r="D239" s="663">
        <f>IFERROR((LAD_P275279[[#This Row],[R]]*9)/LAD_P275279[[#This Row],[IP]],0)</f>
        <v>3.5516969218626677</v>
      </c>
      <c r="E239" s="600">
        <v>1</v>
      </c>
      <c r="F239" s="604">
        <v>1</v>
      </c>
      <c r="G239" s="600">
        <v>2</v>
      </c>
      <c r="H239" s="630">
        <v>12.67</v>
      </c>
      <c r="I239" s="600">
        <v>12</v>
      </c>
      <c r="J239" s="600">
        <v>5</v>
      </c>
      <c r="K239" s="600">
        <v>6</v>
      </c>
      <c r="L239" s="600">
        <v>15</v>
      </c>
      <c r="M239" s="600">
        <v>0</v>
      </c>
      <c r="N239" s="631">
        <f>IFERROR((LAD_P275279[[#This Row],[BB]]+LAD_P275279[[#This Row],[H]])/LAD_P275279[[#This Row],[IP]],0)</f>
        <v>1.420678768745067</v>
      </c>
      <c r="O239" s="600">
        <v>1</v>
      </c>
      <c r="P239" s="601">
        <v>1</v>
      </c>
      <c r="Q239" s="600">
        <v>0</v>
      </c>
      <c r="R239" s="604">
        <v>0</v>
      </c>
      <c r="S239" s="614">
        <v>1</v>
      </c>
      <c r="Z239" s="870" t="s">
        <v>1139</v>
      </c>
      <c r="AA239" s="825" t="s">
        <v>206</v>
      </c>
      <c r="AB239" s="752" t="s">
        <v>559</v>
      </c>
      <c r="AC239" s="663">
        <f>IFERROR((SFG_P5495[[#This Row],[R]]*9)/SFG_P5495[[#This Row],[IP]],0)</f>
        <v>6.7542213883677293</v>
      </c>
      <c r="AD239" s="600">
        <v>0</v>
      </c>
      <c r="AE239" s="604">
        <v>1</v>
      </c>
      <c r="AF239" s="600">
        <v>1</v>
      </c>
      <c r="AG239" s="630">
        <v>5.33</v>
      </c>
      <c r="AH239" s="600">
        <v>7</v>
      </c>
      <c r="AI239" s="600">
        <v>4</v>
      </c>
      <c r="AJ239" s="600">
        <v>4</v>
      </c>
      <c r="AK239" s="600">
        <v>10</v>
      </c>
      <c r="AL239" s="600">
        <v>0</v>
      </c>
      <c r="AM239" s="631">
        <f>IFERROR((SFG_P5495[[#This Row],[BB]]+SFG_P5495[[#This Row],[H]])/SFG_P5495[[#This Row],[IP]],0)</f>
        <v>2.0637898686679175</v>
      </c>
      <c r="AN239" s="600">
        <v>0</v>
      </c>
      <c r="AO239" s="601">
        <v>0</v>
      </c>
      <c r="AP239" s="600">
        <v>0</v>
      </c>
      <c r="AQ239" s="604">
        <v>0</v>
      </c>
      <c r="AR239" s="614">
        <v>1</v>
      </c>
    </row>
    <row r="240" spans="1:48">
      <c r="A240" s="720" t="s">
        <v>1171</v>
      </c>
      <c r="B240" s="104" t="s">
        <v>206</v>
      </c>
      <c r="C240" s="345" t="s">
        <v>1185</v>
      </c>
      <c r="D240" s="88">
        <f>IFERROR((LAD_P275279[[#This Row],[R]]*9)/LAD_P275279[[#This Row],[IP]],0)</f>
        <v>0.61349693251533743</v>
      </c>
      <c r="E240" s="28">
        <v>2</v>
      </c>
      <c r="F240" s="74">
        <v>0</v>
      </c>
      <c r="G240" s="28">
        <v>2</v>
      </c>
      <c r="H240" s="584">
        <v>14.67</v>
      </c>
      <c r="I240" s="28">
        <v>7</v>
      </c>
      <c r="J240" s="28">
        <v>1</v>
      </c>
      <c r="K240" s="28">
        <v>5</v>
      </c>
      <c r="L240" s="28">
        <v>8</v>
      </c>
      <c r="M240" s="28">
        <v>0</v>
      </c>
      <c r="N240" s="89">
        <f>IFERROR((LAD_P275279[[#This Row],[BB]]+LAD_P275279[[#This Row],[H]])/LAD_P275279[[#This Row],[IP]],0)</f>
        <v>0.81799591002044991</v>
      </c>
      <c r="O240" s="28">
        <v>1</v>
      </c>
      <c r="P240" s="90">
        <v>0</v>
      </c>
      <c r="Q240" s="28">
        <v>0</v>
      </c>
      <c r="R240" s="74">
        <v>0</v>
      </c>
      <c r="S240" s="615">
        <v>2</v>
      </c>
      <c r="Z240" s="871" t="s">
        <v>1139</v>
      </c>
      <c r="AA240" s="114" t="s">
        <v>206</v>
      </c>
      <c r="AB240" s="115" t="s">
        <v>1158</v>
      </c>
      <c r="AC240" s="88">
        <f>IFERROR((SFG_P5495[[#This Row],[R]]*9)/SFG_P5495[[#This Row],[IP]],0)</f>
        <v>3</v>
      </c>
      <c r="AD240" s="28">
        <v>0</v>
      </c>
      <c r="AE240" s="28">
        <v>0</v>
      </c>
      <c r="AF240" s="77">
        <v>2</v>
      </c>
      <c r="AG240" s="584">
        <v>12</v>
      </c>
      <c r="AH240" s="28">
        <v>15</v>
      </c>
      <c r="AI240" s="28">
        <v>4</v>
      </c>
      <c r="AJ240" s="28">
        <v>4</v>
      </c>
      <c r="AK240" s="28">
        <v>14</v>
      </c>
      <c r="AL240" s="28">
        <v>0</v>
      </c>
      <c r="AM240" s="89">
        <f>IFERROR((SFG_P5495[[#This Row],[BB]]+SFG_P5495[[#This Row],[H]])/SFG_P5495[[#This Row],[IP]],0)</f>
        <v>1.5833333333333333</v>
      </c>
      <c r="AN240" s="28">
        <v>1</v>
      </c>
      <c r="AO240" s="90">
        <v>1</v>
      </c>
      <c r="AP240" s="28">
        <v>0</v>
      </c>
      <c r="AQ240" s="74">
        <v>0</v>
      </c>
      <c r="AR240" s="615">
        <v>2</v>
      </c>
    </row>
    <row r="241" spans="1:44">
      <c r="A241" s="720" t="s">
        <v>1171</v>
      </c>
      <c r="B241" s="74" t="s">
        <v>365</v>
      </c>
      <c r="C241" s="71" t="s">
        <v>1186</v>
      </c>
      <c r="D241" s="88">
        <f>IFERROR((LAD_P275279[[#This Row],[R]]*9)/LAD_P275279[[#This Row],[IP]],0)</f>
        <v>3.0674846625766872</v>
      </c>
      <c r="E241" s="28">
        <v>1</v>
      </c>
      <c r="F241" s="74">
        <v>0</v>
      </c>
      <c r="G241" s="28">
        <v>2</v>
      </c>
      <c r="H241" s="584">
        <v>14.67</v>
      </c>
      <c r="I241" s="28">
        <v>12</v>
      </c>
      <c r="J241" s="28">
        <v>5</v>
      </c>
      <c r="K241" s="28">
        <v>5</v>
      </c>
      <c r="L241" s="28">
        <v>20</v>
      </c>
      <c r="M241" s="28">
        <v>0</v>
      </c>
      <c r="N241" s="89">
        <f>IFERROR((LAD_P275279[[#This Row],[BB]]+LAD_P275279[[#This Row],[H]])/LAD_P275279[[#This Row],[IP]],0)</f>
        <v>1.1588275391956373</v>
      </c>
      <c r="O241" s="28">
        <v>2</v>
      </c>
      <c r="P241" s="90">
        <v>1</v>
      </c>
      <c r="Q241" s="28">
        <v>0</v>
      </c>
      <c r="R241" s="74">
        <v>0</v>
      </c>
      <c r="S241" s="615">
        <v>3</v>
      </c>
      <c r="Z241" s="871" t="s">
        <v>1139</v>
      </c>
      <c r="AA241" s="356" t="s">
        <v>206</v>
      </c>
      <c r="AB241" s="358" t="s">
        <v>1159</v>
      </c>
      <c r="AC241" s="88">
        <f>IFERROR((SFG_P5495[[#This Row],[R]]*9)/SFG_P5495[[#This Row],[IP]],0)</f>
        <v>1.0588235294117647</v>
      </c>
      <c r="AD241" s="28">
        <v>1</v>
      </c>
      <c r="AE241" s="74">
        <v>1</v>
      </c>
      <c r="AF241" s="28">
        <v>2</v>
      </c>
      <c r="AG241" s="584">
        <v>17</v>
      </c>
      <c r="AH241" s="28">
        <v>7</v>
      </c>
      <c r="AI241" s="28">
        <v>2</v>
      </c>
      <c r="AJ241" s="28">
        <v>4</v>
      </c>
      <c r="AK241" s="28">
        <v>13</v>
      </c>
      <c r="AL241" s="28">
        <v>0</v>
      </c>
      <c r="AM241" s="89">
        <f>IFERROR((SFG_P5495[[#This Row],[BB]]+SFG_P5495[[#This Row],[H]])/SFG_P5495[[#This Row],[IP]],0)</f>
        <v>0.6470588235294118</v>
      </c>
      <c r="AN241" s="28">
        <v>2</v>
      </c>
      <c r="AO241" s="90">
        <v>2</v>
      </c>
      <c r="AP241" s="28">
        <v>1</v>
      </c>
      <c r="AQ241" s="74">
        <v>1</v>
      </c>
      <c r="AR241" s="615">
        <v>3</v>
      </c>
    </row>
    <row r="242" spans="1:44">
      <c r="A242" s="720" t="s">
        <v>1171</v>
      </c>
      <c r="B242" s="74" t="s">
        <v>206</v>
      </c>
      <c r="C242" s="71" t="s">
        <v>1188</v>
      </c>
      <c r="D242" s="88">
        <f>IFERROR((LAD_P275279[[#This Row],[R]]*9)/LAD_P275279[[#This Row],[IP]],0)</f>
        <v>3.8626609442060085</v>
      </c>
      <c r="E242" s="28">
        <v>0</v>
      </c>
      <c r="F242" s="74">
        <v>0</v>
      </c>
      <c r="G242" s="28">
        <v>1</v>
      </c>
      <c r="H242" s="584">
        <v>2.33</v>
      </c>
      <c r="I242" s="28">
        <v>3</v>
      </c>
      <c r="J242" s="28">
        <v>1</v>
      </c>
      <c r="K242" s="28">
        <v>1</v>
      </c>
      <c r="L242" s="28">
        <v>1</v>
      </c>
      <c r="M242" s="28">
        <v>0</v>
      </c>
      <c r="N242" s="89">
        <f>IFERROR((LAD_P275279[[#This Row],[BB]]+LAD_P275279[[#This Row],[H]])/LAD_P275279[[#This Row],[IP]],0)</f>
        <v>1.7167381974248928</v>
      </c>
      <c r="O242" s="28">
        <v>0</v>
      </c>
      <c r="P242" s="90">
        <v>0</v>
      </c>
      <c r="Q242" s="28">
        <v>0</v>
      </c>
      <c r="R242" s="74">
        <v>0</v>
      </c>
      <c r="S242" s="615">
        <v>4</v>
      </c>
      <c r="Z242" s="871" t="s">
        <v>1139</v>
      </c>
      <c r="AA242" s="114" t="s">
        <v>206</v>
      </c>
      <c r="AB242" s="116" t="s">
        <v>1047</v>
      </c>
      <c r="AC242" s="88">
        <f>IFERROR((SFG_P5495[[#This Row],[R]]*9)/SFG_P5495[[#This Row],[IP]],0)</f>
        <v>4.5</v>
      </c>
      <c r="AD242" s="28">
        <v>0</v>
      </c>
      <c r="AE242" s="74">
        <v>0</v>
      </c>
      <c r="AF242" s="28">
        <v>1</v>
      </c>
      <c r="AG242" s="584">
        <v>2</v>
      </c>
      <c r="AH242" s="28">
        <v>3</v>
      </c>
      <c r="AI242" s="28">
        <v>1</v>
      </c>
      <c r="AJ242" s="28">
        <v>3</v>
      </c>
      <c r="AK242" s="28">
        <v>1</v>
      </c>
      <c r="AL242" s="28">
        <v>0</v>
      </c>
      <c r="AM242" s="89">
        <f>IFERROR((SFG_P5495[[#This Row],[BB]]+SFG_P5495[[#This Row],[H]])/SFG_P5495[[#This Row],[IP]],0)</f>
        <v>3</v>
      </c>
      <c r="AN242" s="28">
        <v>0</v>
      </c>
      <c r="AO242" s="90">
        <v>0</v>
      </c>
      <c r="AP242" s="28">
        <v>0</v>
      </c>
      <c r="AQ242" s="74">
        <v>0</v>
      </c>
      <c r="AR242" s="615">
        <v>4</v>
      </c>
    </row>
    <row r="243" spans="1:44">
      <c r="A243" s="720" t="s">
        <v>1171</v>
      </c>
      <c r="B243" s="74" t="s">
        <v>215</v>
      </c>
      <c r="C243" s="71" t="s">
        <v>1191</v>
      </c>
      <c r="D243" s="88">
        <f>IFERROR((LAD_P275279[[#This Row],[R]]*9)/LAD_P275279[[#This Row],[IP]],0)</f>
        <v>0</v>
      </c>
      <c r="E243" s="28">
        <v>0</v>
      </c>
      <c r="F243" s="74">
        <v>0</v>
      </c>
      <c r="G243" s="28">
        <v>0</v>
      </c>
      <c r="H243" s="584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89">
        <f>IFERROR((LAD_P275279[[#This Row],[BB]]+LAD_P275279[[#This Row],[H]])/LAD_P275279[[#This Row],[IP]],0)</f>
        <v>0</v>
      </c>
      <c r="O243" s="28">
        <v>0</v>
      </c>
      <c r="P243" s="90">
        <v>0</v>
      </c>
      <c r="Q243" s="28">
        <v>0</v>
      </c>
      <c r="R243" s="74">
        <v>0</v>
      </c>
      <c r="S243" s="615">
        <v>5</v>
      </c>
      <c r="Z243" s="871" t="s">
        <v>1139</v>
      </c>
      <c r="AA243" s="114" t="s">
        <v>212</v>
      </c>
      <c r="AB243" s="116" t="s">
        <v>1160</v>
      </c>
      <c r="AC243" s="88">
        <f>IFERROR((SFG_P5495[[#This Row],[R]]*9)/SFG_P5495[[#This Row],[IP]],0)</f>
        <v>0</v>
      </c>
      <c r="AD243" s="28">
        <v>0</v>
      </c>
      <c r="AE243" s="74">
        <v>0</v>
      </c>
      <c r="AF243" s="28">
        <v>1</v>
      </c>
      <c r="AG243" s="584">
        <v>1.67</v>
      </c>
      <c r="AH243" s="28">
        <v>1</v>
      </c>
      <c r="AI243" s="28">
        <v>0</v>
      </c>
      <c r="AJ243" s="28">
        <v>0</v>
      </c>
      <c r="AK243" s="28">
        <v>1</v>
      </c>
      <c r="AL243" s="28">
        <v>0</v>
      </c>
      <c r="AM243" s="89">
        <f>IFERROR((SFG_P5495[[#This Row],[BB]]+SFG_P5495[[#This Row],[H]])/SFG_P5495[[#This Row],[IP]],0)</f>
        <v>0.5988023952095809</v>
      </c>
      <c r="AN243" s="28">
        <v>0</v>
      </c>
      <c r="AO243" s="90">
        <v>0</v>
      </c>
      <c r="AP243" s="28">
        <v>0</v>
      </c>
      <c r="AQ243" s="74">
        <v>0</v>
      </c>
      <c r="AR243" s="615">
        <v>5</v>
      </c>
    </row>
    <row r="244" spans="1:44">
      <c r="A244" s="720" t="s">
        <v>1171</v>
      </c>
      <c r="B244" s="74" t="s">
        <v>215</v>
      </c>
      <c r="C244" s="71" t="s">
        <v>1189</v>
      </c>
      <c r="D244" s="88">
        <f>IFERROR((LAD_P275279[[#This Row],[R]]*9)/LAD_P275279[[#This Row],[IP]],0)</f>
        <v>0</v>
      </c>
      <c r="E244" s="28">
        <v>0</v>
      </c>
      <c r="F244" s="74">
        <v>0</v>
      </c>
      <c r="G244" s="28">
        <v>0</v>
      </c>
      <c r="H244" s="584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89">
        <f>IFERROR((LAD_P275279[[#This Row],[BB]]+LAD_P275279[[#This Row],[H]])/LAD_P275279[[#This Row],[IP]],0)</f>
        <v>0</v>
      </c>
      <c r="O244" s="28">
        <v>0</v>
      </c>
      <c r="P244" s="90">
        <v>0</v>
      </c>
      <c r="Q244" s="28">
        <v>0</v>
      </c>
      <c r="R244" s="74">
        <v>0</v>
      </c>
      <c r="S244" s="615">
        <v>6</v>
      </c>
      <c r="Z244" s="871" t="s">
        <v>1139</v>
      </c>
      <c r="AA244" s="114" t="s">
        <v>215</v>
      </c>
      <c r="AB244" s="116" t="s">
        <v>1161</v>
      </c>
      <c r="AC244" s="88">
        <f>IFERROR((SFG_P5495[[#This Row],[R]]*9)/SFG_P5495[[#This Row],[IP]],0)</f>
        <v>0</v>
      </c>
      <c r="AD244" s="28">
        <v>0</v>
      </c>
      <c r="AE244" s="74">
        <v>0</v>
      </c>
      <c r="AF244" s="28">
        <v>0</v>
      </c>
      <c r="AG244" s="584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89">
        <f>IFERROR((SFG_P5495[[#This Row],[BB]]+SFG_P5495[[#This Row],[H]])/SFG_P5495[[#This Row],[IP]],0)</f>
        <v>0</v>
      </c>
      <c r="AN244" s="28">
        <v>0</v>
      </c>
      <c r="AO244" s="90">
        <v>0</v>
      </c>
      <c r="AP244" s="28">
        <v>0</v>
      </c>
      <c r="AQ244" s="74">
        <v>0</v>
      </c>
      <c r="AR244" s="615">
        <v>6</v>
      </c>
    </row>
    <row r="245" spans="1:44">
      <c r="A245" s="720" t="s">
        <v>1171</v>
      </c>
      <c r="B245" s="74" t="s">
        <v>212</v>
      </c>
      <c r="C245" s="71" t="s">
        <v>1193</v>
      </c>
      <c r="D245" s="88">
        <f>IFERROR((LAD_P275279[[#This Row],[R]]*9)/LAD_P275279[[#This Row],[IP]],0)</f>
        <v>0</v>
      </c>
      <c r="E245" s="28">
        <v>0</v>
      </c>
      <c r="F245" s="74">
        <v>0</v>
      </c>
      <c r="G245" s="28">
        <v>3</v>
      </c>
      <c r="H245" s="584">
        <v>3.33</v>
      </c>
      <c r="I245" s="28">
        <v>4</v>
      </c>
      <c r="J245" s="28">
        <v>0</v>
      </c>
      <c r="K245" s="28">
        <v>1</v>
      </c>
      <c r="L245" s="28">
        <v>5</v>
      </c>
      <c r="M245" s="28">
        <v>0</v>
      </c>
      <c r="N245" s="89">
        <f>IFERROR((LAD_P275279[[#This Row],[BB]]+LAD_P275279[[#This Row],[H]])/LAD_P275279[[#This Row],[IP]],0)</f>
        <v>1.5015015015015014</v>
      </c>
      <c r="O245" s="28">
        <v>0</v>
      </c>
      <c r="P245" s="90">
        <v>0</v>
      </c>
      <c r="Q245" s="28">
        <v>0</v>
      </c>
      <c r="R245" s="74">
        <v>0</v>
      </c>
      <c r="S245" s="615">
        <v>7</v>
      </c>
      <c r="Z245" s="871" t="s">
        <v>1139</v>
      </c>
      <c r="AA245" s="114" t="s">
        <v>212</v>
      </c>
      <c r="AB245" s="116" t="s">
        <v>459</v>
      </c>
      <c r="AC245" s="88">
        <f>IFERROR((SFG_P5495[[#This Row],[R]]*9)/SFG_P5495[[#This Row],[IP]],0)</f>
        <v>27</v>
      </c>
      <c r="AD245" s="28">
        <v>0</v>
      </c>
      <c r="AE245" s="74">
        <v>1</v>
      </c>
      <c r="AF245" s="28">
        <v>1</v>
      </c>
      <c r="AG245" s="584">
        <v>1</v>
      </c>
      <c r="AH245" s="28">
        <v>1</v>
      </c>
      <c r="AI245" s="28">
        <v>3</v>
      </c>
      <c r="AJ245" s="28">
        <v>2</v>
      </c>
      <c r="AK245" s="28">
        <v>0</v>
      </c>
      <c r="AL245" s="28">
        <v>0</v>
      </c>
      <c r="AM245" s="89">
        <f>IFERROR((SFG_P5495[[#This Row],[BB]]+SFG_P5495[[#This Row],[H]])/SFG_P5495[[#This Row],[IP]],0)</f>
        <v>3</v>
      </c>
      <c r="AN245" s="28">
        <v>0</v>
      </c>
      <c r="AO245" s="90">
        <v>0</v>
      </c>
      <c r="AP245" s="28">
        <v>0</v>
      </c>
      <c r="AQ245" s="74">
        <v>0</v>
      </c>
      <c r="AR245" s="615">
        <v>7</v>
      </c>
    </row>
    <row r="246" spans="1:44">
      <c r="A246" s="720" t="s">
        <v>1171</v>
      </c>
      <c r="B246" s="74" t="s">
        <v>212</v>
      </c>
      <c r="C246" s="71" t="s">
        <v>1194</v>
      </c>
      <c r="D246" s="88">
        <f>IFERROR((LAD_P275279[[#This Row],[R]]*9)/LAD_P275279[[#This Row],[IP]],0)</f>
        <v>9</v>
      </c>
      <c r="E246" s="28">
        <v>0</v>
      </c>
      <c r="F246" s="74">
        <v>0</v>
      </c>
      <c r="G246" s="28">
        <v>1</v>
      </c>
      <c r="H246" s="584">
        <v>1</v>
      </c>
      <c r="I246" s="28">
        <v>3</v>
      </c>
      <c r="J246" s="28">
        <v>1</v>
      </c>
      <c r="K246" s="28">
        <v>0</v>
      </c>
      <c r="L246" s="28">
        <v>2</v>
      </c>
      <c r="M246" s="28">
        <v>0</v>
      </c>
      <c r="N246" s="89">
        <f>IFERROR((LAD_P275279[[#This Row],[BB]]+LAD_P275279[[#This Row],[H]])/LAD_P275279[[#This Row],[IP]],0)</f>
        <v>3</v>
      </c>
      <c r="O246" s="28">
        <v>0</v>
      </c>
      <c r="P246" s="90">
        <v>0</v>
      </c>
      <c r="Q246" s="28">
        <v>0</v>
      </c>
      <c r="R246" s="74">
        <v>0</v>
      </c>
      <c r="S246" s="615">
        <v>8</v>
      </c>
      <c r="Z246" s="871" t="s">
        <v>1139</v>
      </c>
      <c r="AA246" s="114" t="s">
        <v>212</v>
      </c>
      <c r="AB246" s="116" t="s">
        <v>1163</v>
      </c>
      <c r="AC246" s="88">
        <f>IFERROR((SFG_P5495[[#This Row],[R]]*9)/SFG_P5495[[#This Row],[IP]],0)</f>
        <v>0</v>
      </c>
      <c r="AD246" s="28">
        <v>0</v>
      </c>
      <c r="AE246" s="74">
        <v>0</v>
      </c>
      <c r="AF246" s="28">
        <v>0</v>
      </c>
      <c r="AG246" s="584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89">
        <f>IFERROR((SFG_P5495[[#This Row],[BB]]+SFG_P5495[[#This Row],[H]])/SFG_P5495[[#This Row],[IP]],0)</f>
        <v>0</v>
      </c>
      <c r="AN246" s="28">
        <v>0</v>
      </c>
      <c r="AO246" s="90">
        <v>0</v>
      </c>
      <c r="AP246" s="28">
        <v>0</v>
      </c>
      <c r="AQ246" s="74">
        <v>0</v>
      </c>
      <c r="AR246" s="615">
        <v>8</v>
      </c>
    </row>
    <row r="247" spans="1:44">
      <c r="A247" s="720" t="s">
        <v>1171</v>
      </c>
      <c r="B247" s="74" t="s">
        <v>212</v>
      </c>
      <c r="C247" s="116" t="s">
        <v>1195</v>
      </c>
      <c r="D247" s="88">
        <f>IFERROR((LAD_P275279[[#This Row],[R]]*9)/LAD_P275279[[#This Row],[IP]],0)</f>
        <v>0</v>
      </c>
      <c r="E247" s="28">
        <v>0</v>
      </c>
      <c r="F247" s="74">
        <v>0</v>
      </c>
      <c r="G247" s="28">
        <v>1</v>
      </c>
      <c r="H247" s="584">
        <v>2</v>
      </c>
      <c r="I247" s="28">
        <v>2</v>
      </c>
      <c r="J247" s="28">
        <v>0</v>
      </c>
      <c r="K247" s="28">
        <v>0</v>
      </c>
      <c r="L247" s="28">
        <v>4</v>
      </c>
      <c r="M247" s="28">
        <v>0</v>
      </c>
      <c r="N247" s="89">
        <f>IFERROR((LAD_P275279[[#This Row],[BB]]+LAD_P275279[[#This Row],[H]])/LAD_P275279[[#This Row],[IP]],0)</f>
        <v>1</v>
      </c>
      <c r="O247" s="28">
        <v>0</v>
      </c>
      <c r="P247" s="90">
        <v>0</v>
      </c>
      <c r="Q247" s="28">
        <v>0</v>
      </c>
      <c r="R247" s="74">
        <v>0</v>
      </c>
      <c r="S247" s="615">
        <v>9</v>
      </c>
      <c r="Z247" s="871" t="s">
        <v>1139</v>
      </c>
      <c r="AA247" s="114" t="s">
        <v>212</v>
      </c>
      <c r="AB247" s="116" t="s">
        <v>1165</v>
      </c>
      <c r="AC247" s="88">
        <f>IFERROR((SFG_P5495[[#This Row],[R]]*9)/SFG_P5495[[#This Row],[IP]],0)</f>
        <v>0</v>
      </c>
      <c r="AD247" s="28">
        <v>0</v>
      </c>
      <c r="AE247" s="74">
        <v>0</v>
      </c>
      <c r="AF247" s="28">
        <v>1</v>
      </c>
      <c r="AG247" s="584">
        <v>1</v>
      </c>
      <c r="AH247" s="28">
        <v>1</v>
      </c>
      <c r="AI247" s="28">
        <v>0</v>
      </c>
      <c r="AJ247" s="28">
        <v>2</v>
      </c>
      <c r="AK247" s="28">
        <v>1</v>
      </c>
      <c r="AL247" s="28">
        <v>0</v>
      </c>
      <c r="AM247" s="89">
        <f>IFERROR((SFG_P5495[[#This Row],[BB]]+SFG_P5495[[#This Row],[H]])/SFG_P5495[[#This Row],[IP]],0)</f>
        <v>3</v>
      </c>
      <c r="AN247" s="28">
        <v>0</v>
      </c>
      <c r="AO247" s="90">
        <v>0</v>
      </c>
      <c r="AP247" s="28">
        <v>0</v>
      </c>
      <c r="AQ247" s="74">
        <v>0</v>
      </c>
      <c r="AR247" s="615">
        <v>9</v>
      </c>
    </row>
    <row r="248" spans="1:44" ht="17" thickBot="1">
      <c r="A248" s="720" t="s">
        <v>1171</v>
      </c>
      <c r="B248" s="74" t="s">
        <v>212</v>
      </c>
      <c r="C248" s="71" t="s">
        <v>1196</v>
      </c>
      <c r="D248" s="88">
        <f>IFERROR((LAD_P275279[[#This Row],[R]]*9)/LAD_P275279[[#This Row],[IP]],0)</f>
        <v>3.3707865168539328</v>
      </c>
      <c r="E248" s="28">
        <v>0</v>
      </c>
      <c r="F248" s="74">
        <v>1</v>
      </c>
      <c r="G248" s="28">
        <v>3</v>
      </c>
      <c r="H248" s="584">
        <v>2.67</v>
      </c>
      <c r="I248" s="28">
        <v>1</v>
      </c>
      <c r="J248" s="28">
        <v>1</v>
      </c>
      <c r="K248" s="28">
        <v>2</v>
      </c>
      <c r="L248" s="28">
        <v>5</v>
      </c>
      <c r="M248" s="28">
        <v>1</v>
      </c>
      <c r="N248" s="89">
        <f>IFERROR((LAD_P275279[[#This Row],[BB]]+LAD_P275279[[#This Row],[H]])/LAD_P275279[[#This Row],[IP]],0)</f>
        <v>1.1235955056179776</v>
      </c>
      <c r="O248" s="28">
        <v>0</v>
      </c>
      <c r="P248" s="90">
        <v>0</v>
      </c>
      <c r="Q248" s="28">
        <v>0</v>
      </c>
      <c r="R248" s="74">
        <v>0</v>
      </c>
      <c r="S248" s="615">
        <v>10</v>
      </c>
      <c r="Z248" s="871" t="s">
        <v>1139</v>
      </c>
      <c r="AA248" s="114" t="s">
        <v>212</v>
      </c>
      <c r="AB248" s="115" t="s">
        <v>1167</v>
      </c>
      <c r="AC248" s="88">
        <f>IFERROR((SFG_P5495[[#This Row],[R]]*9)/SFG_P5495[[#This Row],[IP]],0)</f>
        <v>3</v>
      </c>
      <c r="AD248" s="28">
        <v>0</v>
      </c>
      <c r="AE248" s="74">
        <v>1</v>
      </c>
      <c r="AF248" s="28">
        <v>2</v>
      </c>
      <c r="AG248" s="584">
        <v>3</v>
      </c>
      <c r="AH248" s="28">
        <v>3</v>
      </c>
      <c r="AI248" s="28">
        <v>1</v>
      </c>
      <c r="AJ248" s="28">
        <v>2</v>
      </c>
      <c r="AK248" s="28">
        <v>2</v>
      </c>
      <c r="AL248" s="28">
        <v>0</v>
      </c>
      <c r="AM248" s="89">
        <f>IFERROR((SFG_P5495[[#This Row],[BB]]+SFG_P5495[[#This Row],[H]])/SFG_P5495[[#This Row],[IP]],0)</f>
        <v>1.6666666666666667</v>
      </c>
      <c r="AN248" s="28">
        <v>0</v>
      </c>
      <c r="AO248" s="90">
        <v>0</v>
      </c>
      <c r="AP248" s="28">
        <v>0</v>
      </c>
      <c r="AQ248" s="74">
        <v>0</v>
      </c>
      <c r="AR248" s="615">
        <v>10</v>
      </c>
    </row>
    <row r="249" spans="1:44" ht="17" thickBot="1">
      <c r="A249" s="691"/>
      <c r="B249" s="692"/>
      <c r="C249" s="693" t="s">
        <v>195</v>
      </c>
      <c r="D249" s="745">
        <f>(J249*9)/H249</f>
        <v>2.3622047244094491</v>
      </c>
      <c r="E249" s="696">
        <f>SUBTOTAL(109,LAD_P275279[W])</f>
        <v>4</v>
      </c>
      <c r="F249" s="697">
        <f>SUBTOTAL(109,LAD_P275279[L])</f>
        <v>2</v>
      </c>
      <c r="G249" s="696"/>
      <c r="H249" s="700">
        <f>SUBTOTAL(109,LAD_P275279[IP])</f>
        <v>53.339999999999996</v>
      </c>
      <c r="I249" s="696">
        <f>SUBTOTAL(109,LAD_P275279[H])</f>
        <v>44</v>
      </c>
      <c r="J249" s="696">
        <f>SUBTOTAL(109,LAD_P275279[R])</f>
        <v>14</v>
      </c>
      <c r="K249" s="696">
        <f>SUBTOTAL(109,LAD_P275279[BB])</f>
        <v>20</v>
      </c>
      <c r="L249" s="696">
        <f>SUBTOTAL(109,LAD_P275279[K])</f>
        <v>60</v>
      </c>
      <c r="M249" s="696">
        <f>SUBTOTAL(109,LAD_P275279[SV])</f>
        <v>1</v>
      </c>
      <c r="N249" s="746">
        <f>(K249+I249)/H249</f>
        <v>1.1998500187476566</v>
      </c>
      <c r="O249" s="701">
        <f>SUBTOTAL(109,LAD_P275279[QS])</f>
        <v>4</v>
      </c>
      <c r="P249" s="702">
        <f>SUBTOTAL(109,LAD_P275279[UQ])</f>
        <v>2</v>
      </c>
      <c r="Q249" s="703">
        <f>SUBTOTAL(109,LAD_P275279[CG])</f>
        <v>0</v>
      </c>
      <c r="R249" s="704">
        <f>SUBTOTAL(109,LAD_P275279[SH])</f>
        <v>0</v>
      </c>
      <c r="S249" s="698"/>
      <c r="Z249" s="809"/>
      <c r="AA249" s="810"/>
      <c r="AB249" s="856" t="s">
        <v>195</v>
      </c>
      <c r="AC249" s="665">
        <f>(AI249*9)/AG249</f>
        <v>3.13953488372093</v>
      </c>
      <c r="AD249" s="658">
        <f>SUBTOTAL(109,SFG_P5495[W])</f>
        <v>1</v>
      </c>
      <c r="AE249" s="660">
        <f>SUBTOTAL(109,SFG_P5495[L])</f>
        <v>4</v>
      </c>
      <c r="AF249" s="658"/>
      <c r="AG249" s="666">
        <f>SUBTOTAL(109,SFG_P5495[IP])</f>
        <v>43</v>
      </c>
      <c r="AH249" s="658">
        <f>SUBTOTAL(109,SFG_P5495[H])</f>
        <v>38</v>
      </c>
      <c r="AI249" s="658">
        <f>SUBTOTAL(109,SFG_P5495[R])</f>
        <v>15</v>
      </c>
      <c r="AJ249" s="658">
        <f>SUBTOTAL(109,SFG_P5495[BB])</f>
        <v>21</v>
      </c>
      <c r="AK249" s="658">
        <f>SUBTOTAL(109,SFG_P5495[K])</f>
        <v>42</v>
      </c>
      <c r="AL249" s="658">
        <f>SUBTOTAL(109,SFG_P5495[SV])</f>
        <v>0</v>
      </c>
      <c r="AM249" s="667">
        <f>(AJ249+AH249)/AG249</f>
        <v>1.3720930232558139</v>
      </c>
      <c r="AN249" s="661">
        <f>SUBTOTAL(109,SFG_P5495[QS])</f>
        <v>3</v>
      </c>
      <c r="AO249" s="750">
        <f>SUBTOTAL(109,SFG_P5495[UQ])</f>
        <v>3</v>
      </c>
      <c r="AP249" s="670">
        <f>SUBTOTAL(109,SFG_P5495[CG])</f>
        <v>1</v>
      </c>
      <c r="AQ249" s="671">
        <f>SUBTOTAL(109,SFG_P5495[SH])</f>
        <v>1</v>
      </c>
      <c r="AR249" s="662"/>
    </row>
  </sheetData>
  <sortState xmlns:xlrd2="http://schemas.microsoft.com/office/spreadsheetml/2017/richdata2" ref="AY191:BU204">
    <sortCondition ref="BU191:BU204"/>
  </sortState>
  <mergeCells count="29">
    <mergeCell ref="Z220:AV220"/>
    <mergeCell ref="Z157:AV157"/>
    <mergeCell ref="Z158:AV158"/>
    <mergeCell ref="Z189:AV189"/>
    <mergeCell ref="Z1:AV1"/>
    <mergeCell ref="AY1:BU1"/>
    <mergeCell ref="AY2:BU2"/>
    <mergeCell ref="AY33:BU33"/>
    <mergeCell ref="AY64:BU64"/>
    <mergeCell ref="AY95:BU95"/>
    <mergeCell ref="AY126:BU126"/>
    <mergeCell ref="AY157:BU157"/>
    <mergeCell ref="AY158:BU158"/>
    <mergeCell ref="AY189:BU189"/>
    <mergeCell ref="Z2:AV2"/>
    <mergeCell ref="Z33:AV33"/>
    <mergeCell ref="Z64:AV64"/>
    <mergeCell ref="Z95:AV95"/>
    <mergeCell ref="Z126:AV126"/>
    <mergeCell ref="A220:W220"/>
    <mergeCell ref="A158:W158"/>
    <mergeCell ref="A189:W189"/>
    <mergeCell ref="A157:W157"/>
    <mergeCell ref="A1:W1"/>
    <mergeCell ref="A2:W2"/>
    <mergeCell ref="A64:W64"/>
    <mergeCell ref="A33:W33"/>
    <mergeCell ref="A95:W95"/>
    <mergeCell ref="A126:W126"/>
  </mergeCells>
  <pageMargins left="0.7" right="0.7" top="0.75" bottom="0.75" header="0.3" footer="0.3"/>
  <tableParts count="4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BJ77"/>
  <sheetViews>
    <sheetView workbookViewId="0">
      <pane ySplit="1" topLeftCell="A2" activePane="bottomLeft" state="frozenSplit"/>
      <selection pane="bottomLeft" activeCell="AN29" sqref="AN29"/>
    </sheetView>
  </sheetViews>
  <sheetFormatPr baseColWidth="10" defaultRowHeight="16"/>
  <cols>
    <col min="1" max="1" width="3.1640625" customWidth="1"/>
    <col min="2" max="2" width="2.33203125" customWidth="1"/>
    <col min="3" max="3" width="6" customWidth="1"/>
    <col min="4" max="4" width="13.6640625" customWidth="1"/>
    <col min="5" max="5" width="7" customWidth="1"/>
    <col min="6" max="6" width="3.1640625" customWidth="1"/>
    <col min="7" max="7" width="2.5" customWidth="1"/>
    <col min="8" max="8" width="6" customWidth="1"/>
    <col min="9" max="9" width="16.6640625" customWidth="1"/>
    <col min="10" max="10" width="7" customWidth="1"/>
    <col min="11" max="11" width="3.1640625" customWidth="1"/>
    <col min="12" max="12" width="2.6640625" customWidth="1"/>
    <col min="13" max="13" width="6" customWidth="1"/>
    <col min="14" max="14" width="15.6640625" customWidth="1"/>
    <col min="15" max="15" width="8.33203125" customWidth="1"/>
    <col min="16" max="16" width="3.1640625" customWidth="1"/>
    <col min="17" max="17" width="2.33203125" customWidth="1"/>
    <col min="18" max="18" width="5.83203125" customWidth="1"/>
    <col min="19" max="19" width="14" customWidth="1"/>
    <col min="20" max="20" width="8.83203125" customWidth="1"/>
    <col min="21" max="22" width="3.1640625" customWidth="1"/>
    <col min="23" max="23" width="2.33203125" customWidth="1"/>
    <col min="24" max="24" width="6.33203125" customWidth="1"/>
    <col min="25" max="25" width="16" customWidth="1"/>
    <col min="26" max="26" width="7" customWidth="1"/>
    <col min="27" max="27" width="3.1640625" customWidth="1"/>
    <col min="28" max="28" width="2.33203125" customWidth="1"/>
    <col min="29" max="29" width="5.83203125" customWidth="1"/>
    <col min="30" max="30" width="18.6640625" customWidth="1"/>
    <col min="31" max="31" width="6.33203125" customWidth="1"/>
    <col min="32" max="32" width="3.1640625" customWidth="1"/>
    <col min="33" max="33" width="2.33203125" customWidth="1"/>
    <col min="34" max="34" width="6.33203125" customWidth="1"/>
    <col min="35" max="35" width="14.1640625" customWidth="1"/>
    <col min="36" max="36" width="8.33203125" customWidth="1"/>
    <col min="37" max="37" width="3.1640625" customWidth="1"/>
    <col min="38" max="38" width="2.33203125" customWidth="1"/>
    <col min="39" max="39" width="5.83203125" customWidth="1"/>
    <col min="40" max="40" width="14.83203125" customWidth="1"/>
    <col min="41" max="41" width="8.33203125" customWidth="1"/>
    <col min="42" max="43" width="3.1640625" customWidth="1"/>
    <col min="44" max="44" width="2.33203125" customWidth="1"/>
    <col min="45" max="45" width="5.83203125" customWidth="1"/>
    <col min="46" max="46" width="16.1640625" customWidth="1"/>
    <col min="47" max="47" width="7" customWidth="1"/>
    <col min="48" max="48" width="3.1640625" customWidth="1"/>
    <col min="49" max="49" width="2.33203125" customWidth="1"/>
    <col min="50" max="50" width="5.5" customWidth="1"/>
    <col min="51" max="51" width="17.1640625" customWidth="1"/>
    <col min="52" max="52" width="7" customWidth="1"/>
    <col min="53" max="53" width="3.1640625" customWidth="1"/>
    <col min="54" max="54" width="2.33203125" customWidth="1"/>
    <col min="55" max="55" width="5.6640625" customWidth="1"/>
    <col min="56" max="56" width="14" customWidth="1"/>
    <col min="57" max="57" width="8.33203125" customWidth="1"/>
    <col min="58" max="58" width="3.1640625" customWidth="1"/>
    <col min="59" max="59" width="2.33203125" customWidth="1"/>
    <col min="60" max="60" width="6" customWidth="1"/>
    <col min="61" max="61" width="18.1640625" customWidth="1"/>
    <col min="62" max="62" width="8.33203125" customWidth="1"/>
    <col min="63" max="63" width="3.1640625" customWidth="1"/>
  </cols>
  <sheetData>
    <row r="1" spans="2:62" ht="27">
      <c r="B1" s="1075" t="s">
        <v>1307</v>
      </c>
      <c r="C1" s="1076"/>
      <c r="D1" s="1076"/>
      <c r="E1" s="1076"/>
      <c r="F1" s="1076"/>
      <c r="G1" s="1076"/>
      <c r="H1" s="1076"/>
      <c r="I1" s="1076"/>
      <c r="J1" s="1076"/>
      <c r="K1" s="1076"/>
      <c r="L1" s="1076"/>
      <c r="M1" s="1076"/>
      <c r="N1" s="1076"/>
      <c r="O1" s="1076"/>
      <c r="P1" s="1076"/>
      <c r="Q1" s="1076"/>
      <c r="R1" s="1076"/>
      <c r="S1" s="1076"/>
      <c r="T1" s="1077"/>
      <c r="W1" s="1075" t="s">
        <v>1308</v>
      </c>
      <c r="X1" s="1076"/>
      <c r="Y1" s="1076"/>
      <c r="Z1" s="1076"/>
      <c r="AA1" s="1076"/>
      <c r="AB1" s="1076"/>
      <c r="AC1" s="1076"/>
      <c r="AD1" s="1076"/>
      <c r="AE1" s="1076"/>
      <c r="AF1" s="1076"/>
      <c r="AG1" s="1076"/>
      <c r="AH1" s="1076"/>
      <c r="AI1" s="1076"/>
      <c r="AJ1" s="1076"/>
      <c r="AK1" s="1076"/>
      <c r="AL1" s="1076"/>
      <c r="AM1" s="1076"/>
      <c r="AN1" s="1076"/>
      <c r="AO1" s="1077"/>
      <c r="AR1" s="1075" t="s">
        <v>1309</v>
      </c>
      <c r="AS1" s="1076"/>
      <c r="AT1" s="1076"/>
      <c r="AU1" s="1076"/>
      <c r="AV1" s="1076"/>
      <c r="AW1" s="1076"/>
      <c r="AX1" s="1076"/>
      <c r="AY1" s="1076"/>
      <c r="AZ1" s="1076"/>
      <c r="BA1" s="1076"/>
      <c r="BB1" s="1076"/>
      <c r="BC1" s="1076"/>
      <c r="BD1" s="1076"/>
      <c r="BE1" s="1076"/>
      <c r="BF1" s="1076"/>
      <c r="BG1" s="1076"/>
      <c r="BH1" s="1076"/>
      <c r="BI1" s="1076"/>
      <c r="BJ1" s="1077"/>
    </row>
    <row r="2" spans="2:62" s="118" customFormat="1" ht="19">
      <c r="B2" s="1069" t="s">
        <v>1310</v>
      </c>
      <c r="C2" s="1070"/>
      <c r="D2" s="1070"/>
      <c r="E2" s="1071"/>
      <c r="G2" s="1069" t="s">
        <v>1311</v>
      </c>
      <c r="H2" s="1070"/>
      <c r="I2" s="1070"/>
      <c r="J2" s="1071"/>
      <c r="L2" s="1069" t="s">
        <v>1312</v>
      </c>
      <c r="M2" s="1070"/>
      <c r="N2" s="1070"/>
      <c r="O2" s="1071"/>
      <c r="Q2" s="1069" t="s">
        <v>1313</v>
      </c>
      <c r="R2" s="1070"/>
      <c r="S2" s="1070"/>
      <c r="T2" s="1071"/>
      <c r="W2" s="1069" t="s">
        <v>1310</v>
      </c>
      <c r="X2" s="1070"/>
      <c r="Y2" s="1070"/>
      <c r="Z2" s="1071"/>
      <c r="AB2" s="1069" t="s">
        <v>1311</v>
      </c>
      <c r="AC2" s="1070"/>
      <c r="AD2" s="1070"/>
      <c r="AE2" s="1071"/>
      <c r="AG2" s="1069" t="s">
        <v>1312</v>
      </c>
      <c r="AH2" s="1070"/>
      <c r="AI2" s="1070"/>
      <c r="AJ2" s="1071"/>
      <c r="AL2" s="1069" t="s">
        <v>1313</v>
      </c>
      <c r="AM2" s="1070"/>
      <c r="AN2" s="1070"/>
      <c r="AO2" s="1071"/>
      <c r="AR2" s="1069" t="s">
        <v>1310</v>
      </c>
      <c r="AS2" s="1070"/>
      <c r="AT2" s="1070"/>
      <c r="AU2" s="1071"/>
      <c r="AW2" s="1069" t="s">
        <v>1311</v>
      </c>
      <c r="AX2" s="1070"/>
      <c r="AY2" s="1070"/>
      <c r="AZ2" s="1071"/>
      <c r="BB2" s="1069" t="s">
        <v>1312</v>
      </c>
      <c r="BC2" s="1070"/>
      <c r="BD2" s="1070"/>
      <c r="BE2" s="1071"/>
      <c r="BG2" s="1069" t="s">
        <v>1313</v>
      </c>
      <c r="BH2" s="1070"/>
      <c r="BI2" s="1070"/>
      <c r="BJ2" s="1071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300</v>
      </c>
      <c r="D4" s="119" t="s">
        <v>1315</v>
      </c>
      <c r="E4" s="120">
        <v>0.99949518745372545</v>
      </c>
      <c r="G4" s="119">
        <v>1</v>
      </c>
      <c r="H4" s="119" t="s">
        <v>952</v>
      </c>
      <c r="I4" s="119" t="s">
        <v>1316</v>
      </c>
      <c r="J4" s="120">
        <v>1.0679720672351476</v>
      </c>
      <c r="L4" s="119">
        <v>1</v>
      </c>
      <c r="M4" s="119" t="s">
        <v>165</v>
      </c>
      <c r="N4" s="119" t="s">
        <v>1317</v>
      </c>
      <c r="O4" s="121">
        <v>2.3641642472003319</v>
      </c>
      <c r="Q4" s="119">
        <v>1</v>
      </c>
      <c r="R4" s="119" t="s">
        <v>835</v>
      </c>
      <c r="S4" s="119" t="s">
        <v>1318</v>
      </c>
      <c r="T4" s="121">
        <v>1.7103298493280847</v>
      </c>
      <c r="W4" s="119">
        <v>1</v>
      </c>
      <c r="X4" s="119" t="s">
        <v>429</v>
      </c>
      <c r="Y4" s="119" t="s">
        <v>1319</v>
      </c>
      <c r="Z4" s="120">
        <v>1.044</v>
      </c>
      <c r="AB4" s="119">
        <v>1</v>
      </c>
      <c r="AC4" s="119" t="s">
        <v>1139</v>
      </c>
      <c r="AD4" s="119" t="s">
        <v>1320</v>
      </c>
      <c r="AE4" s="120">
        <v>0.97799999999999998</v>
      </c>
      <c r="AG4" s="119">
        <v>1</v>
      </c>
      <c r="AH4" s="119" t="s">
        <v>165</v>
      </c>
      <c r="AI4" s="119" t="s">
        <v>1317</v>
      </c>
      <c r="AJ4" s="121">
        <v>1.49</v>
      </c>
      <c r="AL4" s="119">
        <v>1</v>
      </c>
      <c r="AM4" s="119" t="s">
        <v>835</v>
      </c>
      <c r="AN4" s="119" t="s">
        <v>1318</v>
      </c>
      <c r="AO4" s="121">
        <v>1.26</v>
      </c>
      <c r="AR4" s="119">
        <v>1</v>
      </c>
      <c r="AS4" s="119" t="s">
        <v>226</v>
      </c>
      <c r="AT4" s="119" t="s">
        <v>1321</v>
      </c>
      <c r="AU4" s="120">
        <v>1.0329999999999999</v>
      </c>
      <c r="AW4" s="119">
        <v>1</v>
      </c>
      <c r="AX4" s="119" t="s">
        <v>1139</v>
      </c>
      <c r="AY4" s="119" t="s">
        <v>1322</v>
      </c>
      <c r="AZ4" s="120">
        <v>1.1200000000000001</v>
      </c>
      <c r="BB4" s="119">
        <v>1</v>
      </c>
      <c r="BC4" s="119" t="s">
        <v>339</v>
      </c>
      <c r="BD4" s="119" t="s">
        <v>1323</v>
      </c>
      <c r="BE4" s="121">
        <v>1.97</v>
      </c>
      <c r="BG4" s="119">
        <v>1</v>
      </c>
      <c r="BH4" s="119" t="s">
        <v>869</v>
      </c>
      <c r="BI4" s="119" t="s">
        <v>1324</v>
      </c>
      <c r="BJ4" s="121">
        <v>1.61</v>
      </c>
    </row>
    <row r="5" spans="2:62">
      <c r="B5">
        <v>2</v>
      </c>
      <c r="C5" t="s">
        <v>580</v>
      </c>
      <c r="D5" t="s">
        <v>1325</v>
      </c>
      <c r="E5" s="122">
        <v>0.97745358090185674</v>
      </c>
      <c r="G5">
        <v>2</v>
      </c>
      <c r="H5" t="s">
        <v>1265</v>
      </c>
      <c r="I5" t="s">
        <v>1326</v>
      </c>
      <c r="J5" s="122">
        <v>1.030207378746224</v>
      </c>
      <c r="L5">
        <v>2</v>
      </c>
      <c r="M5" t="s">
        <v>580</v>
      </c>
      <c r="N5" t="s">
        <v>1327</v>
      </c>
      <c r="O5" s="123">
        <v>2.6284348864994027</v>
      </c>
      <c r="Q5">
        <v>2</v>
      </c>
      <c r="R5" t="s">
        <v>1171</v>
      </c>
      <c r="S5" t="s">
        <v>1328</v>
      </c>
      <c r="T5" s="123">
        <v>1.6027397260273972</v>
      </c>
      <c r="W5">
        <v>2</v>
      </c>
      <c r="X5" t="s">
        <v>502</v>
      </c>
      <c r="Y5" t="s">
        <v>1329</v>
      </c>
      <c r="Z5" s="122">
        <v>0.85899999999999999</v>
      </c>
      <c r="AB5">
        <v>2</v>
      </c>
      <c r="AC5" t="s">
        <v>990</v>
      </c>
      <c r="AD5" t="s">
        <v>1330</v>
      </c>
      <c r="AE5" s="122">
        <v>0.93300000000000005</v>
      </c>
      <c r="AG5">
        <v>2</v>
      </c>
      <c r="AH5" t="s">
        <v>580</v>
      </c>
      <c r="AI5" t="s">
        <v>1327</v>
      </c>
      <c r="AJ5" s="123">
        <v>1.52</v>
      </c>
      <c r="AL5">
        <v>2</v>
      </c>
      <c r="AM5" t="s">
        <v>1200</v>
      </c>
      <c r="AN5" t="s">
        <v>1331</v>
      </c>
      <c r="AO5" s="123">
        <v>1.55</v>
      </c>
      <c r="AR5">
        <v>2</v>
      </c>
      <c r="AS5" t="s">
        <v>429</v>
      </c>
      <c r="AT5" t="s">
        <v>1319</v>
      </c>
      <c r="AU5" s="122">
        <v>1.014</v>
      </c>
      <c r="AW5">
        <v>2</v>
      </c>
      <c r="AX5" t="s">
        <v>770</v>
      </c>
      <c r="AY5" t="s">
        <v>1332</v>
      </c>
      <c r="AZ5" s="122">
        <v>1.0349999999999999</v>
      </c>
      <c r="BB5">
        <v>2</v>
      </c>
      <c r="BC5" t="s">
        <v>580</v>
      </c>
      <c r="BD5" t="s">
        <v>1327</v>
      </c>
      <c r="BE5" s="123">
        <v>2.4500000000000002</v>
      </c>
      <c r="BG5">
        <v>2</v>
      </c>
      <c r="BH5" t="s">
        <v>770</v>
      </c>
      <c r="BI5" t="s">
        <v>1333</v>
      </c>
      <c r="BJ5" s="123">
        <v>1.73</v>
      </c>
    </row>
    <row r="6" spans="2:62">
      <c r="B6">
        <v>3</v>
      </c>
      <c r="C6" t="s">
        <v>611</v>
      </c>
      <c r="D6" t="s">
        <v>1334</v>
      </c>
      <c r="E6" s="122">
        <v>1.0316883116883118</v>
      </c>
      <c r="G6">
        <v>3</v>
      </c>
      <c r="H6" t="s">
        <v>1265</v>
      </c>
      <c r="I6" t="s">
        <v>1335</v>
      </c>
      <c r="J6" s="122">
        <v>0.98483102918586796</v>
      </c>
      <c r="L6">
        <v>3</v>
      </c>
      <c r="M6" t="s">
        <v>611</v>
      </c>
      <c r="N6" t="s">
        <v>1336</v>
      </c>
      <c r="O6" s="123">
        <v>2.6998650067496626</v>
      </c>
      <c r="Q6">
        <v>3</v>
      </c>
      <c r="R6" t="s">
        <v>804</v>
      </c>
      <c r="S6" t="s">
        <v>1337</v>
      </c>
      <c r="T6" s="123">
        <v>2.1408748513281353</v>
      </c>
      <c r="W6">
        <v>3</v>
      </c>
      <c r="X6" t="s">
        <v>226</v>
      </c>
      <c r="Y6" t="s">
        <v>1338</v>
      </c>
      <c r="Z6" s="122">
        <v>0.98899999999999999</v>
      </c>
      <c r="AB6">
        <v>3</v>
      </c>
      <c r="AC6" t="s">
        <v>804</v>
      </c>
      <c r="AD6" t="s">
        <v>1339</v>
      </c>
      <c r="AE6" s="122">
        <v>0.98099999999999998</v>
      </c>
      <c r="AG6">
        <v>3</v>
      </c>
      <c r="AH6" t="s">
        <v>685</v>
      </c>
      <c r="AI6" t="s">
        <v>1340</v>
      </c>
      <c r="AJ6" s="123">
        <v>2.29</v>
      </c>
      <c r="AL6">
        <v>3</v>
      </c>
      <c r="AM6" t="s">
        <v>804</v>
      </c>
      <c r="AN6" t="s">
        <v>1337</v>
      </c>
      <c r="AO6" s="123">
        <v>1.51</v>
      </c>
      <c r="AR6">
        <v>3</v>
      </c>
      <c r="AS6" t="s">
        <v>165</v>
      </c>
      <c r="AT6" t="s">
        <v>1341</v>
      </c>
      <c r="AU6" s="122">
        <v>1.0680000000000001</v>
      </c>
      <c r="AW6">
        <v>3</v>
      </c>
      <c r="AX6" t="s">
        <v>952</v>
      </c>
      <c r="AY6" t="s">
        <v>1342</v>
      </c>
      <c r="AZ6" s="122">
        <v>1.0629999999999999</v>
      </c>
      <c r="BB6">
        <v>3</v>
      </c>
      <c r="BC6" t="s">
        <v>685</v>
      </c>
      <c r="BD6" t="s">
        <v>1340</v>
      </c>
      <c r="BE6" s="123">
        <v>2.12</v>
      </c>
      <c r="BG6">
        <v>3</v>
      </c>
      <c r="BH6" t="s">
        <v>869</v>
      </c>
      <c r="BI6" t="s">
        <v>1343</v>
      </c>
      <c r="BJ6" s="123">
        <v>1.52</v>
      </c>
    </row>
    <row r="7" spans="2:62">
      <c r="B7">
        <v>4</v>
      </c>
      <c r="C7" t="s">
        <v>685</v>
      </c>
      <c r="D7" t="s">
        <v>1344</v>
      </c>
      <c r="E7" s="122">
        <v>1.1114852889046438</v>
      </c>
      <c r="G7">
        <v>4</v>
      </c>
      <c r="H7" t="s">
        <v>770</v>
      </c>
      <c r="I7" t="s">
        <v>1345</v>
      </c>
      <c r="J7" s="122">
        <v>1.0388817755014939</v>
      </c>
      <c r="L7">
        <v>4</v>
      </c>
      <c r="M7" t="s">
        <v>611</v>
      </c>
      <c r="N7" t="s">
        <v>1346</v>
      </c>
      <c r="O7" s="123">
        <v>2.6441935982681306</v>
      </c>
      <c r="Q7">
        <v>4</v>
      </c>
      <c r="R7" t="s">
        <v>903</v>
      </c>
      <c r="S7" t="s">
        <v>1347</v>
      </c>
      <c r="T7" s="123">
        <v>2.0864584753852449</v>
      </c>
      <c r="W7">
        <v>4</v>
      </c>
      <c r="X7" t="s">
        <v>580</v>
      </c>
      <c r="Y7" t="s">
        <v>1348</v>
      </c>
      <c r="Z7" s="122">
        <v>1.026</v>
      </c>
      <c r="AB7">
        <v>4</v>
      </c>
      <c r="AC7" t="s">
        <v>952</v>
      </c>
      <c r="AD7" t="s">
        <v>1349</v>
      </c>
      <c r="AE7" s="122">
        <v>0.96799999999999997</v>
      </c>
      <c r="AG7">
        <v>4</v>
      </c>
      <c r="AH7" t="s">
        <v>266</v>
      </c>
      <c r="AI7" t="s">
        <v>1350</v>
      </c>
      <c r="AJ7" s="123">
        <v>2.23</v>
      </c>
      <c r="AL7">
        <v>4</v>
      </c>
      <c r="AM7" t="s">
        <v>1025</v>
      </c>
      <c r="AN7" t="s">
        <v>1351</v>
      </c>
      <c r="AO7" s="123">
        <v>2.25</v>
      </c>
      <c r="AR7">
        <v>4</v>
      </c>
      <c r="AS7" t="s">
        <v>429</v>
      </c>
      <c r="AT7" t="s">
        <v>1352</v>
      </c>
      <c r="AU7" s="122">
        <v>1.097</v>
      </c>
      <c r="AW7">
        <v>4</v>
      </c>
      <c r="AX7" t="s">
        <v>1200</v>
      </c>
      <c r="AY7" t="s">
        <v>1469</v>
      </c>
      <c r="AZ7" s="122">
        <v>0.96199999999999997</v>
      </c>
      <c r="BB7">
        <v>4</v>
      </c>
      <c r="BC7" t="s">
        <v>226</v>
      </c>
      <c r="BD7" t="s">
        <v>1353</v>
      </c>
      <c r="BE7" s="123">
        <v>2.7</v>
      </c>
      <c r="BG7">
        <v>4</v>
      </c>
      <c r="BH7" t="s">
        <v>903</v>
      </c>
      <c r="BI7" t="s">
        <v>1347</v>
      </c>
      <c r="BJ7" s="123">
        <v>2.2999999999999998</v>
      </c>
    </row>
    <row r="8" spans="2:62">
      <c r="B8">
        <v>5</v>
      </c>
      <c r="C8" t="s">
        <v>165</v>
      </c>
      <c r="D8" t="s">
        <v>1354</v>
      </c>
      <c r="E8" s="122">
        <v>0.97237021857923489</v>
      </c>
      <c r="G8">
        <v>5</v>
      </c>
      <c r="H8" t="s">
        <v>1171</v>
      </c>
      <c r="I8" t="s">
        <v>1355</v>
      </c>
      <c r="J8" s="122">
        <v>0.99627329192546588</v>
      </c>
      <c r="L8">
        <v>5</v>
      </c>
      <c r="M8" t="s">
        <v>226</v>
      </c>
      <c r="N8" t="s">
        <v>1353</v>
      </c>
      <c r="O8" s="123">
        <v>2.7929658637505539</v>
      </c>
      <c r="Q8">
        <v>5</v>
      </c>
      <c r="R8" t="s">
        <v>1062</v>
      </c>
      <c r="S8" t="s">
        <v>1356</v>
      </c>
      <c r="T8" s="123">
        <v>2.0248987550622468</v>
      </c>
      <c r="W8">
        <v>5</v>
      </c>
      <c r="X8" t="s">
        <v>539</v>
      </c>
      <c r="Y8" t="s">
        <v>1357</v>
      </c>
      <c r="Z8" s="122">
        <v>1.006</v>
      </c>
      <c r="AB8">
        <v>5</v>
      </c>
      <c r="AC8" t="s">
        <v>990</v>
      </c>
      <c r="AD8" t="s">
        <v>1358</v>
      </c>
      <c r="AE8" s="122">
        <v>0.96299999999999997</v>
      </c>
      <c r="AG8">
        <v>5</v>
      </c>
      <c r="AH8" t="s">
        <v>394</v>
      </c>
      <c r="AI8" t="s">
        <v>1359</v>
      </c>
      <c r="AJ8" s="123">
        <v>2.96</v>
      </c>
      <c r="AL8">
        <v>5</v>
      </c>
      <c r="AM8" t="s">
        <v>869</v>
      </c>
      <c r="AN8" t="s">
        <v>1324</v>
      </c>
      <c r="AO8" s="123">
        <v>2.09</v>
      </c>
      <c r="AR8">
        <v>5</v>
      </c>
      <c r="AS8" t="s">
        <v>339</v>
      </c>
      <c r="AT8" t="s">
        <v>1360</v>
      </c>
      <c r="AU8" s="122">
        <v>0.96299999999999997</v>
      </c>
      <c r="AW8">
        <v>5</v>
      </c>
      <c r="AX8" t="s">
        <v>1025</v>
      </c>
      <c r="AY8" t="s">
        <v>1361</v>
      </c>
      <c r="AZ8" s="122">
        <v>0.94</v>
      </c>
      <c r="BB8">
        <v>5</v>
      </c>
      <c r="BC8" t="s">
        <v>611</v>
      </c>
      <c r="BD8" t="s">
        <v>1362</v>
      </c>
      <c r="BE8" s="123">
        <v>2.77</v>
      </c>
      <c r="BG8">
        <v>5</v>
      </c>
      <c r="BH8" t="s">
        <v>1171</v>
      </c>
      <c r="BI8" t="s">
        <v>1328</v>
      </c>
      <c r="BJ8" s="123">
        <v>2.06</v>
      </c>
    </row>
    <row r="10" spans="2:62" s="118" customFormat="1" ht="19">
      <c r="B10" s="1069" t="s">
        <v>1363</v>
      </c>
      <c r="C10" s="1070"/>
      <c r="D10" s="1070"/>
      <c r="E10" s="1071"/>
      <c r="G10" s="1069" t="s">
        <v>1364</v>
      </c>
      <c r="H10" s="1070"/>
      <c r="I10" s="1070"/>
      <c r="J10" s="1071"/>
      <c r="L10" s="1069" t="s">
        <v>1365</v>
      </c>
      <c r="M10" s="1070"/>
      <c r="N10" s="1070"/>
      <c r="O10" s="1071"/>
      <c r="Q10" s="1069" t="s">
        <v>1366</v>
      </c>
      <c r="R10" s="1070"/>
      <c r="S10" s="1070"/>
      <c r="T10" s="1071"/>
      <c r="W10" s="1069" t="s">
        <v>1363</v>
      </c>
      <c r="X10" s="1070"/>
      <c r="Y10" s="1070"/>
      <c r="Z10" s="1071"/>
      <c r="AB10" s="1069" t="s">
        <v>1364</v>
      </c>
      <c r="AC10" s="1070"/>
      <c r="AD10" s="1070"/>
      <c r="AE10" s="1071"/>
      <c r="AG10" s="1069" t="s">
        <v>1365</v>
      </c>
      <c r="AH10" s="1070"/>
      <c r="AI10" s="1070"/>
      <c r="AJ10" s="1071"/>
      <c r="AL10" s="1069" t="s">
        <v>1366</v>
      </c>
      <c r="AM10" s="1070"/>
      <c r="AN10" s="1070"/>
      <c r="AO10" s="1071"/>
      <c r="AR10" s="1069" t="s">
        <v>1363</v>
      </c>
      <c r="AS10" s="1070"/>
      <c r="AT10" s="1070"/>
      <c r="AU10" s="1071"/>
      <c r="AW10" s="1069" t="s">
        <v>1364</v>
      </c>
      <c r="AX10" s="1070"/>
      <c r="AY10" s="1070"/>
      <c r="AZ10" s="1071"/>
      <c r="BB10" s="1069" t="s">
        <v>1365</v>
      </c>
      <c r="BC10" s="1070"/>
      <c r="BD10" s="1070"/>
      <c r="BE10" s="1071"/>
      <c r="BG10" s="1069" t="s">
        <v>1366</v>
      </c>
      <c r="BH10" s="1070"/>
      <c r="BI10" s="1070"/>
      <c r="BJ10" s="1071"/>
    </row>
    <row r="11" spans="2:62" s="141" customFormat="1">
      <c r="B11" s="359"/>
      <c r="C11" s="360" t="s">
        <v>8</v>
      </c>
      <c r="D11" s="360" t="s">
        <v>1314</v>
      </c>
      <c r="E11" s="360" t="s">
        <v>196</v>
      </c>
      <c r="G11" s="359"/>
      <c r="H11" s="360" t="s">
        <v>8</v>
      </c>
      <c r="I11" s="360" t="s">
        <v>1314</v>
      </c>
      <c r="J11" s="360" t="s">
        <v>196</v>
      </c>
      <c r="L11" s="359"/>
      <c r="M11" s="360" t="s">
        <v>8</v>
      </c>
      <c r="N11" s="360" t="s">
        <v>1314</v>
      </c>
      <c r="O11" s="360" t="s">
        <v>1367</v>
      </c>
      <c r="Q11" s="359"/>
      <c r="R11" s="360" t="s">
        <v>8</v>
      </c>
      <c r="S11" s="360" t="s">
        <v>1314</v>
      </c>
      <c r="T11" s="360" t="s">
        <v>1367</v>
      </c>
      <c r="W11" s="359"/>
      <c r="X11" s="360" t="s">
        <v>8</v>
      </c>
      <c r="Y11" s="360" t="s">
        <v>1314</v>
      </c>
      <c r="Z11" s="360" t="s">
        <v>196</v>
      </c>
      <c r="AB11" s="359"/>
      <c r="AC11" s="360" t="s">
        <v>8</v>
      </c>
      <c r="AD11" s="360" t="s">
        <v>1314</v>
      </c>
      <c r="AE11" s="360" t="s">
        <v>196</v>
      </c>
      <c r="AG11" s="359"/>
      <c r="AH11" s="360" t="s">
        <v>8</v>
      </c>
      <c r="AI11" s="360" t="s">
        <v>1314</v>
      </c>
      <c r="AJ11" s="360" t="s">
        <v>1367</v>
      </c>
      <c r="AL11" s="359"/>
      <c r="AM11" s="360" t="s">
        <v>8</v>
      </c>
      <c r="AN11" s="360" t="s">
        <v>1314</v>
      </c>
      <c r="AO11" s="360" t="s">
        <v>1367</v>
      </c>
      <c r="AR11" s="359"/>
      <c r="AS11" s="360" t="s">
        <v>8</v>
      </c>
      <c r="AT11" s="360" t="s">
        <v>1314</v>
      </c>
      <c r="AU11" s="360" t="s">
        <v>196</v>
      </c>
      <c r="AW11" s="359"/>
      <c r="AX11" s="360" t="s">
        <v>8</v>
      </c>
      <c r="AY11" s="360" t="s">
        <v>1314</v>
      </c>
      <c r="AZ11" s="360" t="s">
        <v>196</v>
      </c>
      <c r="BB11" s="359"/>
      <c r="BC11" s="360" t="s">
        <v>8</v>
      </c>
      <c r="BD11" s="360" t="s">
        <v>1314</v>
      </c>
      <c r="BE11" s="360" t="s">
        <v>1367</v>
      </c>
      <c r="BG11" s="359"/>
      <c r="BH11" s="360" t="s">
        <v>8</v>
      </c>
      <c r="BI11" s="360" t="s">
        <v>1314</v>
      </c>
      <c r="BJ11" s="360" t="s">
        <v>1367</v>
      </c>
    </row>
    <row r="12" spans="2:62" s="119" customFormat="1" ht="19">
      <c r="B12" s="119">
        <v>1</v>
      </c>
      <c r="C12" s="119" t="s">
        <v>717</v>
      </c>
      <c r="D12" s="119" t="s">
        <v>1368</v>
      </c>
      <c r="E12" s="121">
        <v>0.98792535675082338</v>
      </c>
      <c r="G12" s="119">
        <v>1</v>
      </c>
      <c r="H12" s="119" t="s">
        <v>804</v>
      </c>
      <c r="I12" s="119" t="s">
        <v>1369</v>
      </c>
      <c r="J12" s="121">
        <v>2.3622047244094486</v>
      </c>
      <c r="L12" s="119">
        <v>1</v>
      </c>
      <c r="M12" s="119" t="s">
        <v>717</v>
      </c>
      <c r="N12" s="119" t="s">
        <v>1370</v>
      </c>
      <c r="O12" s="121">
        <v>0.98792535675082338</v>
      </c>
      <c r="Q12" s="119">
        <v>1</v>
      </c>
      <c r="R12" s="119" t="s">
        <v>990</v>
      </c>
      <c r="S12" s="119" t="s">
        <v>1371</v>
      </c>
      <c r="T12" s="121">
        <v>2.8208955223880596</v>
      </c>
      <c r="V12" s="124"/>
      <c r="W12" s="119">
        <v>1</v>
      </c>
      <c r="X12" s="119" t="s">
        <v>394</v>
      </c>
      <c r="Y12" s="119" t="s">
        <v>1372</v>
      </c>
      <c r="Z12" s="121">
        <v>0.83</v>
      </c>
      <c r="AB12" s="119">
        <v>1</v>
      </c>
      <c r="AC12" s="119" t="s">
        <v>1025</v>
      </c>
      <c r="AD12" s="119" t="s">
        <v>1373</v>
      </c>
      <c r="AE12" s="119">
        <v>0.34</v>
      </c>
      <c r="AG12" s="119">
        <v>1</v>
      </c>
      <c r="AH12" s="119" t="s">
        <v>226</v>
      </c>
      <c r="AI12" s="119" t="s">
        <v>1374</v>
      </c>
      <c r="AJ12" s="120">
        <v>0.94899999999999995</v>
      </c>
      <c r="AL12" s="119">
        <v>1</v>
      </c>
      <c r="AM12" s="119" t="s">
        <v>835</v>
      </c>
      <c r="AN12" s="119" t="s">
        <v>1318</v>
      </c>
      <c r="AO12" s="119">
        <v>1.26</v>
      </c>
      <c r="AQ12" s="124"/>
      <c r="AR12" s="119">
        <v>1</v>
      </c>
      <c r="AS12" s="119" t="s">
        <v>394</v>
      </c>
      <c r="AT12" s="119" t="s">
        <v>1372</v>
      </c>
      <c r="AU12" s="121">
        <v>0.33</v>
      </c>
      <c r="AW12" s="119">
        <v>1</v>
      </c>
      <c r="AX12" s="119" t="s">
        <v>770</v>
      </c>
      <c r="AY12" s="119" t="s">
        <v>1375</v>
      </c>
      <c r="AZ12" s="119">
        <v>1.33</v>
      </c>
      <c r="BB12" s="119">
        <v>1</v>
      </c>
      <c r="BC12" s="119" t="s">
        <v>502</v>
      </c>
      <c r="BD12" s="119" t="s">
        <v>1376</v>
      </c>
      <c r="BE12" s="120">
        <v>0.85099999999999998</v>
      </c>
      <c r="BG12" s="119">
        <v>1</v>
      </c>
      <c r="BH12" s="119" t="s">
        <v>1139</v>
      </c>
      <c r="BI12" s="119" t="s">
        <v>1377</v>
      </c>
      <c r="BJ12" s="119">
        <v>2.94</v>
      </c>
    </row>
    <row r="13" spans="2:62">
      <c r="B13">
        <v>2</v>
      </c>
      <c r="C13" t="s">
        <v>394</v>
      </c>
      <c r="D13" t="s">
        <v>1372</v>
      </c>
      <c r="E13" s="123">
        <v>1.5166835187057632</v>
      </c>
      <c r="G13">
        <v>2</v>
      </c>
      <c r="H13" t="s">
        <v>1171</v>
      </c>
      <c r="I13" t="s">
        <v>1378</v>
      </c>
      <c r="J13" s="123">
        <v>2.3333333333333335</v>
      </c>
      <c r="L13">
        <v>2</v>
      </c>
      <c r="M13" t="s">
        <v>300</v>
      </c>
      <c r="N13" t="s">
        <v>1379</v>
      </c>
      <c r="O13" s="123">
        <v>1.9061066007765621</v>
      </c>
      <c r="Q13">
        <v>2</v>
      </c>
      <c r="R13" t="s">
        <v>1171</v>
      </c>
      <c r="S13" t="s">
        <v>1380</v>
      </c>
      <c r="T13" s="123">
        <v>2.8930047451400585</v>
      </c>
      <c r="W13">
        <v>2</v>
      </c>
      <c r="X13" t="s">
        <v>226</v>
      </c>
      <c r="Y13" t="s">
        <v>1381</v>
      </c>
      <c r="Z13" s="123">
        <v>2.15</v>
      </c>
      <c r="AB13">
        <v>2</v>
      </c>
      <c r="AC13" t="s">
        <v>952</v>
      </c>
      <c r="AD13" t="s">
        <v>1382</v>
      </c>
      <c r="AE13">
        <v>1.55</v>
      </c>
      <c r="AG13">
        <v>2</v>
      </c>
      <c r="AH13" t="s">
        <v>429</v>
      </c>
      <c r="AI13" t="s">
        <v>1383</v>
      </c>
      <c r="AJ13" s="123">
        <v>2.7</v>
      </c>
      <c r="AL13">
        <v>2</v>
      </c>
      <c r="AM13" t="s">
        <v>952</v>
      </c>
      <c r="AN13" t="s">
        <v>1349</v>
      </c>
      <c r="AO13" s="122">
        <v>0.96799999999999997</v>
      </c>
      <c r="AR13">
        <v>2</v>
      </c>
      <c r="AS13" t="s">
        <v>502</v>
      </c>
      <c r="AT13" t="s">
        <v>1384</v>
      </c>
      <c r="AU13" s="123">
        <v>1.46</v>
      </c>
      <c r="AW13">
        <v>2</v>
      </c>
      <c r="AX13" t="s">
        <v>804</v>
      </c>
      <c r="AY13" t="s">
        <v>1369</v>
      </c>
      <c r="AZ13">
        <v>1.74</v>
      </c>
      <c r="BB13">
        <v>2</v>
      </c>
      <c r="BC13" t="s">
        <v>611</v>
      </c>
      <c r="BD13" t="s">
        <v>1385</v>
      </c>
      <c r="BE13" s="122">
        <v>0.86299999999999999</v>
      </c>
      <c r="BG13">
        <v>2</v>
      </c>
      <c r="BH13" t="s">
        <v>1096</v>
      </c>
      <c r="BI13" t="s">
        <v>1386</v>
      </c>
      <c r="BJ13" s="122">
        <v>0.879</v>
      </c>
    </row>
    <row r="14" spans="2:62">
      <c r="B14">
        <v>3</v>
      </c>
      <c r="C14" t="s">
        <v>580</v>
      </c>
      <c r="D14" t="s">
        <v>1387</v>
      </c>
      <c r="E14" s="123">
        <v>1.875</v>
      </c>
      <c r="G14">
        <v>3</v>
      </c>
      <c r="H14" t="s">
        <v>990</v>
      </c>
      <c r="I14" t="s">
        <v>1388</v>
      </c>
      <c r="J14" s="123">
        <v>2.88</v>
      </c>
      <c r="L14">
        <v>3</v>
      </c>
      <c r="M14" t="s">
        <v>717</v>
      </c>
      <c r="N14" t="s">
        <v>1389</v>
      </c>
      <c r="O14" s="122">
        <v>0.89277389277389274</v>
      </c>
      <c r="Q14">
        <v>3</v>
      </c>
      <c r="R14" t="s">
        <v>1096</v>
      </c>
      <c r="S14" t="s">
        <v>1390</v>
      </c>
      <c r="T14" s="123">
        <v>3.0857142857142859</v>
      </c>
      <c r="W14">
        <v>3</v>
      </c>
      <c r="X14" t="s">
        <v>429</v>
      </c>
      <c r="Y14" t="s">
        <v>1383</v>
      </c>
      <c r="Z14" s="123">
        <v>2.7</v>
      </c>
      <c r="AB14">
        <v>3</v>
      </c>
      <c r="AC14" t="s">
        <v>1200</v>
      </c>
      <c r="AD14" t="s">
        <v>1391</v>
      </c>
      <c r="AE14">
        <v>1.1599999999999999</v>
      </c>
      <c r="AG14">
        <v>3</v>
      </c>
      <c r="AH14" t="s">
        <v>300</v>
      </c>
      <c r="AI14" t="s">
        <v>1392</v>
      </c>
      <c r="AJ14" s="122">
        <v>0.84299999999999997</v>
      </c>
      <c r="AL14">
        <v>3</v>
      </c>
      <c r="AM14" t="s">
        <v>952</v>
      </c>
      <c r="AN14" t="s">
        <v>1382</v>
      </c>
      <c r="AO14">
        <v>1.55</v>
      </c>
      <c r="AR14">
        <v>3</v>
      </c>
      <c r="AS14" t="s">
        <v>580</v>
      </c>
      <c r="AT14" t="s">
        <v>1387</v>
      </c>
      <c r="AU14" s="123">
        <v>1.8</v>
      </c>
      <c r="AW14">
        <v>3</v>
      </c>
      <c r="AX14" t="s">
        <v>835</v>
      </c>
      <c r="AY14" t="s">
        <v>1393</v>
      </c>
      <c r="AZ14">
        <v>1.63</v>
      </c>
      <c r="BB14">
        <v>3</v>
      </c>
      <c r="BC14" t="s">
        <v>429</v>
      </c>
      <c r="BD14" t="s">
        <v>1394</v>
      </c>
      <c r="BE14">
        <v>4.87</v>
      </c>
      <c r="BG14">
        <v>3</v>
      </c>
      <c r="BH14" t="s">
        <v>990</v>
      </c>
      <c r="BI14" t="s">
        <v>1395</v>
      </c>
      <c r="BJ14">
        <v>3.74</v>
      </c>
    </row>
    <row r="15" spans="2:62">
      <c r="B15">
        <v>4</v>
      </c>
      <c r="C15" t="s">
        <v>611</v>
      </c>
      <c r="D15" t="s">
        <v>1396</v>
      </c>
      <c r="E15" s="123">
        <v>2.1318594551914729</v>
      </c>
      <c r="G15">
        <v>4</v>
      </c>
      <c r="H15" t="s">
        <v>1025</v>
      </c>
      <c r="I15" t="s">
        <v>1373</v>
      </c>
      <c r="J15" s="123">
        <v>1.9850022055580061</v>
      </c>
      <c r="L15">
        <v>4</v>
      </c>
      <c r="M15" t="s">
        <v>580</v>
      </c>
      <c r="N15" t="s">
        <v>1397</v>
      </c>
      <c r="O15" s="122">
        <v>0.83952582185390479</v>
      </c>
      <c r="Q15">
        <v>4</v>
      </c>
      <c r="R15" t="s">
        <v>903</v>
      </c>
      <c r="S15" t="s">
        <v>1398</v>
      </c>
      <c r="T15" s="122">
        <v>0.83497521086858539</v>
      </c>
      <c r="W15">
        <v>4</v>
      </c>
      <c r="X15" t="s">
        <v>300</v>
      </c>
      <c r="Y15" t="s">
        <v>1399</v>
      </c>
      <c r="Z15" s="123">
        <v>2.5099999999999998</v>
      </c>
      <c r="AB15">
        <v>4</v>
      </c>
      <c r="AC15" t="s">
        <v>835</v>
      </c>
      <c r="AD15" t="s">
        <v>1393</v>
      </c>
      <c r="AE15">
        <v>2.39</v>
      </c>
      <c r="AG15">
        <v>4</v>
      </c>
      <c r="AH15" t="s">
        <v>394</v>
      </c>
      <c r="AI15" t="s">
        <v>1400</v>
      </c>
      <c r="AJ15" s="122">
        <v>0.748</v>
      </c>
      <c r="AL15">
        <v>4</v>
      </c>
      <c r="AM15" t="s">
        <v>835</v>
      </c>
      <c r="AN15" t="s">
        <v>1401</v>
      </c>
      <c r="AO15" s="122">
        <v>0.752</v>
      </c>
      <c r="AR15">
        <v>4</v>
      </c>
      <c r="AS15" t="s">
        <v>717</v>
      </c>
      <c r="AT15" t="s">
        <v>1402</v>
      </c>
      <c r="AU15" s="123">
        <v>1.82</v>
      </c>
      <c r="AW15">
        <v>4</v>
      </c>
      <c r="AX15" t="s">
        <v>869</v>
      </c>
      <c r="AY15" t="s">
        <v>1403</v>
      </c>
      <c r="AZ15">
        <v>1.88</v>
      </c>
      <c r="BB15">
        <v>4</v>
      </c>
      <c r="BC15" t="s">
        <v>226</v>
      </c>
      <c r="BD15" t="s">
        <v>1404</v>
      </c>
      <c r="BE15">
        <v>3.52</v>
      </c>
      <c r="BG15">
        <v>4</v>
      </c>
      <c r="BH15" t="s">
        <v>1265</v>
      </c>
      <c r="BI15" t="s">
        <v>1405</v>
      </c>
      <c r="BJ15" s="122">
        <v>0.78300000000000003</v>
      </c>
    </row>
    <row r="16" spans="2:62">
      <c r="B16">
        <v>5</v>
      </c>
      <c r="C16" t="s">
        <v>539</v>
      </c>
      <c r="D16" t="s">
        <v>1406</v>
      </c>
      <c r="E16" s="123">
        <v>2.25</v>
      </c>
      <c r="G16">
        <v>5</v>
      </c>
      <c r="H16" t="s">
        <v>1062</v>
      </c>
      <c r="I16" t="s">
        <v>1407</v>
      </c>
      <c r="J16" s="123">
        <v>2.1036229061160885</v>
      </c>
      <c r="L16">
        <v>5</v>
      </c>
      <c r="M16" t="s">
        <v>685</v>
      </c>
      <c r="N16" t="s">
        <v>1408</v>
      </c>
      <c r="O16" s="122">
        <v>0.88197298884321784</v>
      </c>
      <c r="Q16">
        <v>5</v>
      </c>
      <c r="R16" t="s">
        <v>1200</v>
      </c>
      <c r="S16" t="s">
        <v>1409</v>
      </c>
      <c r="T16" s="122">
        <v>0.77022804334818162</v>
      </c>
      <c r="W16">
        <v>5</v>
      </c>
      <c r="X16" t="s">
        <v>266</v>
      </c>
      <c r="Y16" t="s">
        <v>1410</v>
      </c>
      <c r="Z16" s="123">
        <v>3.67</v>
      </c>
      <c r="AB16">
        <v>5</v>
      </c>
      <c r="AC16" t="s">
        <v>1139</v>
      </c>
      <c r="AD16" t="s">
        <v>1377</v>
      </c>
      <c r="AE16" s="123">
        <v>2.1</v>
      </c>
      <c r="AG16">
        <v>5</v>
      </c>
      <c r="AH16" t="s">
        <v>611</v>
      </c>
      <c r="AI16" t="s">
        <v>1336</v>
      </c>
      <c r="AJ16" s="123">
        <v>3.68</v>
      </c>
      <c r="AL16">
        <v>5</v>
      </c>
      <c r="AM16" t="s">
        <v>804</v>
      </c>
      <c r="AN16" t="s">
        <v>1411</v>
      </c>
      <c r="AO16" s="123">
        <v>3.77</v>
      </c>
      <c r="AR16">
        <v>5</v>
      </c>
      <c r="AS16" t="s">
        <v>539</v>
      </c>
      <c r="AT16" t="s">
        <v>1406</v>
      </c>
      <c r="AU16" s="123">
        <v>2.73</v>
      </c>
      <c r="AW16">
        <v>5</v>
      </c>
      <c r="AX16" t="s">
        <v>952</v>
      </c>
      <c r="AY16" t="s">
        <v>1412</v>
      </c>
      <c r="AZ16">
        <v>1.78</v>
      </c>
      <c r="BB16">
        <v>5</v>
      </c>
      <c r="BC16" t="s">
        <v>300</v>
      </c>
      <c r="BD16" t="s">
        <v>1413</v>
      </c>
      <c r="BE16" s="122">
        <v>0.69</v>
      </c>
      <c r="BG16">
        <v>5</v>
      </c>
      <c r="BH16" t="s">
        <v>1265</v>
      </c>
      <c r="BI16" t="s">
        <v>1414</v>
      </c>
      <c r="BJ16" s="122">
        <v>0.78300000000000003</v>
      </c>
    </row>
    <row r="18" spans="2:62" s="118" customFormat="1" ht="19">
      <c r="B18" s="1069" t="s">
        <v>1415</v>
      </c>
      <c r="C18" s="1070"/>
      <c r="D18" s="1070"/>
      <c r="E18" s="1071"/>
      <c r="G18" s="1069" t="s">
        <v>1416</v>
      </c>
      <c r="H18" s="1070"/>
      <c r="I18" s="1070"/>
      <c r="J18" s="1071"/>
      <c r="L18" s="1069" t="s">
        <v>1417</v>
      </c>
      <c r="M18" s="1070"/>
      <c r="N18" s="1070"/>
      <c r="O18" s="1071"/>
      <c r="Q18" s="1069" t="s">
        <v>1418</v>
      </c>
      <c r="R18" s="1070"/>
      <c r="S18" s="1070"/>
      <c r="T18" s="1071"/>
      <c r="V18"/>
      <c r="W18" s="1069" t="s">
        <v>1415</v>
      </c>
      <c r="X18" s="1070"/>
      <c r="Y18" s="1070"/>
      <c r="Z18" s="1071"/>
      <c r="AB18" s="1069" t="s">
        <v>1416</v>
      </c>
      <c r="AC18" s="1070"/>
      <c r="AD18" s="1070"/>
      <c r="AE18" s="1071"/>
      <c r="AG18" s="1069" t="s">
        <v>1417</v>
      </c>
      <c r="AH18" s="1070"/>
      <c r="AI18" s="1070"/>
      <c r="AJ18" s="1071"/>
      <c r="AL18" s="1069" t="s">
        <v>1418</v>
      </c>
      <c r="AM18" s="1070"/>
      <c r="AN18" s="1070"/>
      <c r="AO18" s="1071"/>
      <c r="AQ18"/>
      <c r="AR18" s="1069" t="s">
        <v>1415</v>
      </c>
      <c r="AS18" s="1070"/>
      <c r="AT18" s="1070"/>
      <c r="AU18" s="1071"/>
      <c r="AW18" s="1069" t="s">
        <v>1416</v>
      </c>
      <c r="AX18" s="1070"/>
      <c r="AY18" s="1070"/>
      <c r="AZ18" s="1071"/>
      <c r="BB18" s="1069" t="s">
        <v>1417</v>
      </c>
      <c r="BC18" s="1070"/>
      <c r="BD18" s="1070"/>
      <c r="BE18" s="1071"/>
      <c r="BG18" s="1069" t="s">
        <v>1418</v>
      </c>
      <c r="BH18" s="1070"/>
      <c r="BI18" s="1070"/>
      <c r="BJ18" s="1071"/>
    </row>
    <row r="19" spans="2:62" s="141" customFormat="1">
      <c r="B19" s="359"/>
      <c r="C19" s="360" t="s">
        <v>8</v>
      </c>
      <c r="D19" s="360" t="s">
        <v>1314</v>
      </c>
      <c r="E19" s="360" t="s">
        <v>162</v>
      </c>
      <c r="G19" s="359"/>
      <c r="H19" s="360" t="s">
        <v>8</v>
      </c>
      <c r="I19" s="360" t="s">
        <v>1314</v>
      </c>
      <c r="J19" s="360" t="s">
        <v>162</v>
      </c>
      <c r="L19" s="359"/>
      <c r="M19" s="360" t="s">
        <v>8</v>
      </c>
      <c r="N19" s="360" t="s">
        <v>1314</v>
      </c>
      <c r="O19" s="360" t="s">
        <v>162</v>
      </c>
      <c r="Q19" s="359"/>
      <c r="R19" s="360" t="s">
        <v>8</v>
      </c>
      <c r="S19" s="360" t="s">
        <v>1314</v>
      </c>
      <c r="T19" s="360" t="s">
        <v>162</v>
      </c>
      <c r="W19" s="359"/>
      <c r="X19" s="360" t="s">
        <v>8</v>
      </c>
      <c r="Y19" s="360" t="s">
        <v>1314</v>
      </c>
      <c r="Z19" s="360" t="s">
        <v>162</v>
      </c>
      <c r="AB19" s="359"/>
      <c r="AC19" s="360" t="s">
        <v>8</v>
      </c>
      <c r="AD19" s="360" t="s">
        <v>1314</v>
      </c>
      <c r="AE19" s="360" t="s">
        <v>162</v>
      </c>
      <c r="AG19" s="359"/>
      <c r="AH19" s="360" t="s">
        <v>8</v>
      </c>
      <c r="AI19" s="360" t="s">
        <v>1314</v>
      </c>
      <c r="AJ19" s="360" t="s">
        <v>162</v>
      </c>
      <c r="AL19" s="359"/>
      <c r="AM19" s="360" t="s">
        <v>8</v>
      </c>
      <c r="AN19" s="360" t="s">
        <v>1314</v>
      </c>
      <c r="AO19" s="360" t="s">
        <v>162</v>
      </c>
      <c r="AR19" s="359"/>
      <c r="AS19" s="360" t="s">
        <v>8</v>
      </c>
      <c r="AT19" s="360" t="s">
        <v>1314</v>
      </c>
      <c r="AU19" s="360" t="s">
        <v>162</v>
      </c>
      <c r="AW19" s="359"/>
      <c r="AX19" s="360" t="s">
        <v>8</v>
      </c>
      <c r="AY19" s="360" t="s">
        <v>1314</v>
      </c>
      <c r="AZ19" s="360" t="s">
        <v>162</v>
      </c>
      <c r="BB19" s="359"/>
      <c r="BC19" s="360" t="s">
        <v>8</v>
      </c>
      <c r="BD19" s="360" t="s">
        <v>1314</v>
      </c>
      <c r="BE19" s="360" t="s">
        <v>162</v>
      </c>
      <c r="BG19" s="359"/>
      <c r="BH19" s="360" t="s">
        <v>8</v>
      </c>
      <c r="BI19" s="360" t="s">
        <v>1314</v>
      </c>
      <c r="BJ19" s="360" t="s">
        <v>162</v>
      </c>
    </row>
    <row r="20" spans="2:62" s="124" customFormat="1" ht="19">
      <c r="B20" s="119">
        <v>1</v>
      </c>
      <c r="C20" s="119" t="s">
        <v>685</v>
      </c>
      <c r="D20" s="119" t="s">
        <v>1419</v>
      </c>
      <c r="E20" s="120">
        <v>0.88050676648430748</v>
      </c>
      <c r="G20" s="119">
        <v>1</v>
      </c>
      <c r="H20" s="119" t="s">
        <v>1171</v>
      </c>
      <c r="I20" s="119" t="s">
        <v>1420</v>
      </c>
      <c r="J20" s="120">
        <v>0.76853642811089617</v>
      </c>
      <c r="L20" s="119">
        <v>1</v>
      </c>
      <c r="M20" s="119" t="s">
        <v>300</v>
      </c>
      <c r="N20" s="119" t="s">
        <v>1315</v>
      </c>
      <c r="O20" s="120">
        <v>0.99949518745372545</v>
      </c>
      <c r="Q20" s="119">
        <v>1</v>
      </c>
      <c r="R20" s="119" t="s">
        <v>1171</v>
      </c>
      <c r="S20" s="119" t="s">
        <v>1355</v>
      </c>
      <c r="T20" s="120">
        <v>0.99627329192546588</v>
      </c>
      <c r="W20" s="119">
        <v>1</v>
      </c>
      <c r="X20" s="119" t="s">
        <v>502</v>
      </c>
      <c r="Y20" s="119" t="s">
        <v>1329</v>
      </c>
      <c r="Z20" s="120">
        <v>0.85899999999999999</v>
      </c>
      <c r="AB20" s="119">
        <v>1</v>
      </c>
      <c r="AC20" s="119" t="s">
        <v>835</v>
      </c>
      <c r="AD20" s="119" t="s">
        <v>1421</v>
      </c>
      <c r="AE20" s="120">
        <v>0.88900000000000001</v>
      </c>
      <c r="AG20" s="119">
        <v>1</v>
      </c>
      <c r="AH20" s="119" t="s">
        <v>650</v>
      </c>
      <c r="AI20" s="119" t="s">
        <v>1422</v>
      </c>
      <c r="AJ20" s="120">
        <v>0.93</v>
      </c>
      <c r="AL20" s="119">
        <v>1</v>
      </c>
      <c r="AM20" s="119" t="s">
        <v>804</v>
      </c>
      <c r="AN20" s="119" t="s">
        <v>1339</v>
      </c>
      <c r="AO20" s="120">
        <v>0.98099999999999998</v>
      </c>
      <c r="AR20" s="119">
        <v>1</v>
      </c>
      <c r="AS20" s="119" t="s">
        <v>429</v>
      </c>
      <c r="AT20" s="119" t="s">
        <v>1423</v>
      </c>
      <c r="AU20" s="120">
        <v>1.111</v>
      </c>
      <c r="AW20" s="119">
        <v>1</v>
      </c>
      <c r="AX20" s="119" t="s">
        <v>1025</v>
      </c>
      <c r="AY20" s="119" t="s">
        <v>1424</v>
      </c>
      <c r="AZ20" s="120">
        <v>0.84299999999999997</v>
      </c>
      <c r="BB20" s="119">
        <v>1</v>
      </c>
      <c r="BC20" s="119" t="s">
        <v>717</v>
      </c>
      <c r="BD20" s="119" t="s">
        <v>1425</v>
      </c>
      <c r="BE20" s="120">
        <v>0.94599999999999995</v>
      </c>
      <c r="BG20" s="119">
        <v>1</v>
      </c>
      <c r="BH20" s="119" t="s">
        <v>1229</v>
      </c>
      <c r="BI20" s="119" t="s">
        <v>1426</v>
      </c>
      <c r="BJ20" s="120">
        <v>0.874</v>
      </c>
    </row>
    <row r="21" spans="2:62">
      <c r="B21">
        <v>2</v>
      </c>
      <c r="C21" t="s">
        <v>463</v>
      </c>
      <c r="D21" t="s">
        <v>1427</v>
      </c>
      <c r="E21" s="122">
        <v>0.88239631336405533</v>
      </c>
      <c r="G21">
        <v>2</v>
      </c>
      <c r="H21" t="s">
        <v>835</v>
      </c>
      <c r="I21" t="s">
        <v>1428</v>
      </c>
      <c r="J21" s="122">
        <v>0.91994645247657292</v>
      </c>
      <c r="L21">
        <v>2</v>
      </c>
      <c r="M21" t="s">
        <v>580</v>
      </c>
      <c r="N21" t="s">
        <v>1429</v>
      </c>
      <c r="O21" s="122">
        <v>0.93288969550312562</v>
      </c>
      <c r="Q21">
        <v>2</v>
      </c>
      <c r="R21" t="s">
        <v>804</v>
      </c>
      <c r="S21" t="s">
        <v>1339</v>
      </c>
      <c r="T21" s="122">
        <v>0.92869635956884289</v>
      </c>
      <c r="W21">
        <v>2</v>
      </c>
      <c r="X21" t="s">
        <v>394</v>
      </c>
      <c r="Y21" t="s">
        <v>1430</v>
      </c>
      <c r="Z21" s="122">
        <v>0.76600000000000001</v>
      </c>
      <c r="AB21">
        <v>2</v>
      </c>
      <c r="AC21" t="s">
        <v>1139</v>
      </c>
      <c r="AD21" t="s">
        <v>1431</v>
      </c>
      <c r="AE21" s="122">
        <v>0.76700000000000002</v>
      </c>
      <c r="AG21">
        <v>2</v>
      </c>
      <c r="AH21" t="s">
        <v>339</v>
      </c>
      <c r="AI21" t="s">
        <v>1432</v>
      </c>
      <c r="AJ21" s="122">
        <v>0.81100000000000005</v>
      </c>
      <c r="AL21">
        <v>2</v>
      </c>
      <c r="AM21" t="s">
        <v>990</v>
      </c>
      <c r="AN21" t="s">
        <v>1358</v>
      </c>
      <c r="AO21" s="122">
        <v>0.96299999999999997</v>
      </c>
      <c r="AR21">
        <v>2</v>
      </c>
      <c r="AS21" t="s">
        <v>502</v>
      </c>
      <c r="AT21" t="s">
        <v>1329</v>
      </c>
      <c r="AU21" s="122">
        <v>0.89900000000000002</v>
      </c>
      <c r="AW21">
        <v>2</v>
      </c>
      <c r="AX21" t="s">
        <v>869</v>
      </c>
      <c r="AY21" t="s">
        <v>1433</v>
      </c>
      <c r="AZ21" s="122">
        <v>0.79500000000000004</v>
      </c>
      <c r="BB21">
        <v>2</v>
      </c>
      <c r="BC21" t="s">
        <v>226</v>
      </c>
      <c r="BD21" t="s">
        <v>1434</v>
      </c>
      <c r="BE21" s="122">
        <v>0.89900000000000002</v>
      </c>
      <c r="BG21">
        <v>2</v>
      </c>
      <c r="BH21" t="s">
        <v>952</v>
      </c>
      <c r="BI21" t="s">
        <v>1435</v>
      </c>
      <c r="BJ21" s="122">
        <v>0.84</v>
      </c>
    </row>
    <row r="22" spans="2:62">
      <c r="B22">
        <v>3</v>
      </c>
      <c r="C22" t="s">
        <v>539</v>
      </c>
      <c r="D22" t="s">
        <v>1436</v>
      </c>
      <c r="E22" s="122">
        <v>0.94540393948044532</v>
      </c>
      <c r="G22">
        <v>3</v>
      </c>
      <c r="H22" t="s">
        <v>804</v>
      </c>
      <c r="I22" t="s">
        <v>1437</v>
      </c>
      <c r="J22" s="122">
        <v>0.87352535621265504</v>
      </c>
      <c r="L22">
        <v>3</v>
      </c>
      <c r="M22" t="s">
        <v>226</v>
      </c>
      <c r="N22" t="s">
        <v>1434</v>
      </c>
      <c r="O22" s="122">
        <v>0.93219845773315868</v>
      </c>
      <c r="Q22">
        <v>3</v>
      </c>
      <c r="R22" t="s">
        <v>770</v>
      </c>
      <c r="S22" t="s">
        <v>1332</v>
      </c>
      <c r="T22" s="122">
        <v>0.89382309207089172</v>
      </c>
      <c r="W22">
        <v>3</v>
      </c>
      <c r="X22" t="s">
        <v>463</v>
      </c>
      <c r="Y22" t="s">
        <v>1427</v>
      </c>
      <c r="Z22" s="122">
        <v>0.72099999999999997</v>
      </c>
      <c r="AB22">
        <v>3</v>
      </c>
      <c r="AC22" t="s">
        <v>952</v>
      </c>
      <c r="AD22" t="s">
        <v>1438</v>
      </c>
      <c r="AE22" s="122">
        <v>0.77300000000000002</v>
      </c>
      <c r="AG22">
        <v>3</v>
      </c>
      <c r="AH22" t="s">
        <v>226</v>
      </c>
      <c r="AI22" t="s">
        <v>1434</v>
      </c>
      <c r="AJ22" s="122">
        <v>0.80800000000000005</v>
      </c>
      <c r="AL22">
        <v>3</v>
      </c>
      <c r="AM22" t="s">
        <v>869</v>
      </c>
      <c r="AN22" t="s">
        <v>1439</v>
      </c>
      <c r="AO22" s="122">
        <v>0.873</v>
      </c>
      <c r="AR22">
        <v>3</v>
      </c>
      <c r="AS22" t="s">
        <v>717</v>
      </c>
      <c r="AT22" t="s">
        <v>1440</v>
      </c>
      <c r="AU22" s="122">
        <v>0.83599999999999997</v>
      </c>
      <c r="AW22">
        <v>3</v>
      </c>
      <c r="AX22" t="s">
        <v>1265</v>
      </c>
      <c r="AY22" t="s">
        <v>1441</v>
      </c>
      <c r="AZ22" s="122">
        <v>0.83199999999999996</v>
      </c>
      <c r="BB22">
        <v>3</v>
      </c>
      <c r="BC22" t="s">
        <v>685</v>
      </c>
      <c r="BD22" t="s">
        <v>1316</v>
      </c>
      <c r="BE22" s="122">
        <v>0.88200000000000001</v>
      </c>
      <c r="BG22">
        <v>3</v>
      </c>
      <c r="BH22" t="s">
        <v>804</v>
      </c>
      <c r="BI22" t="s">
        <v>1339</v>
      </c>
      <c r="BJ22" s="122">
        <v>0.82799999999999996</v>
      </c>
    </row>
    <row r="23" spans="2:62">
      <c r="B23">
        <v>4</v>
      </c>
      <c r="C23" t="s">
        <v>580</v>
      </c>
      <c r="D23" t="s">
        <v>1442</v>
      </c>
      <c r="E23" s="122">
        <v>0.83952582185390479</v>
      </c>
      <c r="G23">
        <v>4</v>
      </c>
      <c r="H23" t="s">
        <v>770</v>
      </c>
      <c r="I23" t="s">
        <v>1443</v>
      </c>
      <c r="J23" s="122">
        <v>0.74767025089605732</v>
      </c>
      <c r="L23">
        <v>4</v>
      </c>
      <c r="M23" t="s">
        <v>611</v>
      </c>
      <c r="N23" t="s">
        <v>1444</v>
      </c>
      <c r="O23" s="122">
        <v>0.89304236814808902</v>
      </c>
      <c r="Q23">
        <v>4</v>
      </c>
      <c r="R23" t="s">
        <v>990</v>
      </c>
      <c r="S23" t="s">
        <v>1358</v>
      </c>
      <c r="T23" s="122">
        <v>0.87845258585361852</v>
      </c>
      <c r="W23">
        <v>4</v>
      </c>
      <c r="X23" t="s">
        <v>429</v>
      </c>
      <c r="Y23" t="s">
        <v>1423</v>
      </c>
      <c r="Z23" s="122">
        <v>0.78400000000000003</v>
      </c>
      <c r="AB23">
        <v>4</v>
      </c>
      <c r="AC23" t="s">
        <v>804</v>
      </c>
      <c r="AD23" t="s">
        <v>1437</v>
      </c>
      <c r="AE23" s="122">
        <v>0.76800000000000002</v>
      </c>
      <c r="AG23">
        <v>4</v>
      </c>
      <c r="AH23" t="s">
        <v>300</v>
      </c>
      <c r="AI23" t="s">
        <v>1315</v>
      </c>
      <c r="AJ23" s="122">
        <v>0.81599999999999995</v>
      </c>
      <c r="AL23">
        <v>4</v>
      </c>
      <c r="AM23" t="s">
        <v>1096</v>
      </c>
      <c r="AN23" t="s">
        <v>1445</v>
      </c>
      <c r="AO23" s="122">
        <v>0.82099999999999995</v>
      </c>
      <c r="AR23">
        <v>4</v>
      </c>
      <c r="AS23" t="s">
        <v>394</v>
      </c>
      <c r="AT23" t="s">
        <v>1430</v>
      </c>
      <c r="AU23" s="122">
        <v>0.72399999999999998</v>
      </c>
      <c r="AW23">
        <v>4</v>
      </c>
      <c r="AX23" t="s">
        <v>1171</v>
      </c>
      <c r="AY23" t="s">
        <v>1420</v>
      </c>
      <c r="AZ23" s="122">
        <v>0.74199999999999999</v>
      </c>
      <c r="BB23">
        <v>4</v>
      </c>
      <c r="BC23" t="s">
        <v>539</v>
      </c>
      <c r="BD23" t="s">
        <v>1446</v>
      </c>
      <c r="BE23" s="122">
        <v>0.89500000000000002</v>
      </c>
      <c r="BG23">
        <v>4</v>
      </c>
      <c r="BH23" t="s">
        <v>1139</v>
      </c>
      <c r="BI23" t="s">
        <v>1447</v>
      </c>
      <c r="BJ23" s="122">
        <v>0.83</v>
      </c>
    </row>
    <row r="24" spans="2:62">
      <c r="B24">
        <v>5</v>
      </c>
      <c r="C24" t="s">
        <v>300</v>
      </c>
      <c r="D24" t="s">
        <v>1413</v>
      </c>
      <c r="E24" s="122">
        <v>0.81609195402298851</v>
      </c>
      <c r="G24">
        <v>5</v>
      </c>
      <c r="H24" t="s">
        <v>952</v>
      </c>
      <c r="I24" t="s">
        <v>1438</v>
      </c>
      <c r="J24" s="122">
        <v>0.7377994676131322</v>
      </c>
      <c r="L24">
        <v>5</v>
      </c>
      <c r="M24" t="s">
        <v>463</v>
      </c>
      <c r="N24" t="s">
        <v>1448</v>
      </c>
      <c r="O24" s="122">
        <v>0.88673374817953121</v>
      </c>
      <c r="Q24">
        <v>5</v>
      </c>
      <c r="R24" t="s">
        <v>903</v>
      </c>
      <c r="S24" t="s">
        <v>1449</v>
      </c>
      <c r="T24" s="122">
        <v>0.85511166597308919</v>
      </c>
      <c r="W24">
        <v>5</v>
      </c>
      <c r="X24" t="s">
        <v>611</v>
      </c>
      <c r="Y24" t="s">
        <v>1450</v>
      </c>
      <c r="Z24" s="122">
        <v>0.72799999999999998</v>
      </c>
      <c r="AB24">
        <v>5</v>
      </c>
      <c r="AC24" t="s">
        <v>1062</v>
      </c>
      <c r="AD24" t="s">
        <v>1451</v>
      </c>
      <c r="AE24" s="122">
        <v>0.75700000000000001</v>
      </c>
      <c r="AG24">
        <v>5</v>
      </c>
      <c r="AH24" t="s">
        <v>394</v>
      </c>
      <c r="AI24" t="s">
        <v>1452</v>
      </c>
      <c r="AJ24" s="122">
        <v>0.80600000000000005</v>
      </c>
      <c r="AL24">
        <v>5</v>
      </c>
      <c r="AM24" t="s">
        <v>1171</v>
      </c>
      <c r="AN24" t="s">
        <v>1355</v>
      </c>
      <c r="AO24" s="122">
        <v>0.80100000000000005</v>
      </c>
      <c r="AR24">
        <v>5</v>
      </c>
      <c r="AS24" t="s">
        <v>226</v>
      </c>
      <c r="AT24" t="s">
        <v>1453</v>
      </c>
      <c r="AU24" s="122">
        <v>0.80300000000000005</v>
      </c>
      <c r="AW24">
        <v>5</v>
      </c>
      <c r="AX24" t="s">
        <v>1200</v>
      </c>
      <c r="AY24" t="s">
        <v>1454</v>
      </c>
      <c r="AZ24" s="122">
        <v>0.75600000000000001</v>
      </c>
      <c r="BB24">
        <v>5</v>
      </c>
      <c r="BC24" t="s">
        <v>580</v>
      </c>
      <c r="BD24" t="s">
        <v>1429</v>
      </c>
      <c r="BE24" s="122">
        <v>0.85899999999999999</v>
      </c>
      <c r="BG24">
        <v>5</v>
      </c>
      <c r="BH24" t="s">
        <v>835</v>
      </c>
      <c r="BI24" t="s">
        <v>1355</v>
      </c>
      <c r="BJ24" s="122">
        <v>0.75</v>
      </c>
    </row>
    <row r="26" spans="2:62" s="118" customFormat="1" ht="19">
      <c r="B26" s="1069" t="s">
        <v>1455</v>
      </c>
      <c r="C26" s="1070"/>
      <c r="D26" s="1070"/>
      <c r="E26" s="1071"/>
      <c r="G26" s="1069" t="s">
        <v>1456</v>
      </c>
      <c r="H26" s="1070"/>
      <c r="I26" s="1070"/>
      <c r="J26" s="1071"/>
      <c r="L26" s="1069" t="s">
        <v>1457</v>
      </c>
      <c r="M26" s="1070"/>
      <c r="N26" s="1070"/>
      <c r="O26" s="1071"/>
      <c r="Q26" s="1069" t="s">
        <v>1458</v>
      </c>
      <c r="R26" s="1070"/>
      <c r="S26" s="1070"/>
      <c r="T26" s="1071"/>
      <c r="W26" s="1069" t="s">
        <v>1455</v>
      </c>
      <c r="X26" s="1070"/>
      <c r="Y26" s="1070"/>
      <c r="Z26" s="1071"/>
      <c r="AB26" s="1069" t="s">
        <v>1456</v>
      </c>
      <c r="AC26" s="1070"/>
      <c r="AD26" s="1070"/>
      <c r="AE26" s="1071"/>
      <c r="AG26" s="1069" t="s">
        <v>1457</v>
      </c>
      <c r="AH26" s="1070"/>
      <c r="AI26" s="1070"/>
      <c r="AJ26" s="1071"/>
      <c r="AL26" s="1069" t="s">
        <v>1458</v>
      </c>
      <c r="AM26" s="1070"/>
      <c r="AN26" s="1070"/>
      <c r="AO26" s="1071"/>
      <c r="AR26" s="1069" t="s">
        <v>1455</v>
      </c>
      <c r="AS26" s="1070"/>
      <c r="AT26" s="1070"/>
      <c r="AU26" s="1071"/>
      <c r="AW26" s="1069" t="s">
        <v>1456</v>
      </c>
      <c r="AX26" s="1070"/>
      <c r="AY26" s="1070"/>
      <c r="AZ26" s="1071"/>
      <c r="BB26" s="1069" t="s">
        <v>1457</v>
      </c>
      <c r="BC26" s="1070"/>
      <c r="BD26" s="1070"/>
      <c r="BE26" s="1071"/>
      <c r="BG26" s="1069" t="s">
        <v>1458</v>
      </c>
      <c r="BH26" s="1070"/>
      <c r="BI26" s="1070"/>
      <c r="BJ26" s="1071"/>
    </row>
    <row r="27" spans="2:62" s="141" customFormat="1">
      <c r="B27" s="359"/>
      <c r="C27" s="360" t="s">
        <v>8</v>
      </c>
      <c r="D27" s="360" t="s">
        <v>1314</v>
      </c>
      <c r="E27" s="360" t="s">
        <v>162</v>
      </c>
      <c r="G27" s="359"/>
      <c r="H27" s="360" t="s">
        <v>8</v>
      </c>
      <c r="I27" s="360" t="s">
        <v>1314</v>
      </c>
      <c r="J27" s="360" t="s">
        <v>162</v>
      </c>
      <c r="L27" s="359"/>
      <c r="M27" s="360" t="s">
        <v>8</v>
      </c>
      <c r="N27" s="360" t="s">
        <v>1314</v>
      </c>
      <c r="O27" s="360" t="s">
        <v>162</v>
      </c>
      <c r="Q27" s="359"/>
      <c r="R27" s="360" t="s">
        <v>8</v>
      </c>
      <c r="S27" s="360" t="s">
        <v>1314</v>
      </c>
      <c r="T27" s="360" t="s">
        <v>162</v>
      </c>
      <c r="W27" s="359"/>
      <c r="X27" s="360" t="s">
        <v>8</v>
      </c>
      <c r="Y27" s="360" t="s">
        <v>1314</v>
      </c>
      <c r="Z27" s="360" t="s">
        <v>162</v>
      </c>
      <c r="AB27" s="359"/>
      <c r="AC27" s="360" t="s">
        <v>8</v>
      </c>
      <c r="AD27" s="360" t="s">
        <v>1314</v>
      </c>
      <c r="AE27" s="360" t="s">
        <v>162</v>
      </c>
      <c r="AG27" s="359"/>
      <c r="AH27" s="360" t="s">
        <v>8</v>
      </c>
      <c r="AI27" s="360" t="s">
        <v>1314</v>
      </c>
      <c r="AJ27" s="360" t="s">
        <v>162</v>
      </c>
      <c r="AL27" s="359"/>
      <c r="AM27" s="360" t="s">
        <v>8</v>
      </c>
      <c r="AN27" s="360" t="s">
        <v>1314</v>
      </c>
      <c r="AO27" s="360" t="s">
        <v>162</v>
      </c>
      <c r="AR27" s="359"/>
      <c r="AS27" s="360" t="s">
        <v>8</v>
      </c>
      <c r="AT27" s="360" t="s">
        <v>1314</v>
      </c>
      <c r="AU27" s="360" t="s">
        <v>162</v>
      </c>
      <c r="AW27" s="359"/>
      <c r="AX27" s="360" t="s">
        <v>8</v>
      </c>
      <c r="AY27" s="360" t="s">
        <v>1314</v>
      </c>
      <c r="AZ27" s="360" t="s">
        <v>162</v>
      </c>
      <c r="BB27" s="359"/>
      <c r="BC27" s="360" t="s">
        <v>8</v>
      </c>
      <c r="BD27" s="360" t="s">
        <v>1314</v>
      </c>
      <c r="BE27" s="360" t="s">
        <v>162</v>
      </c>
      <c r="BG27" s="359"/>
      <c r="BH27" s="360" t="s">
        <v>8</v>
      </c>
      <c r="BI27" s="360" t="s">
        <v>1314</v>
      </c>
      <c r="BJ27" s="360" t="s">
        <v>162</v>
      </c>
    </row>
    <row r="28" spans="2:62" s="119" customFormat="1" ht="19">
      <c r="B28" s="119">
        <v>1</v>
      </c>
      <c r="C28" s="119" t="s">
        <v>611</v>
      </c>
      <c r="D28" s="119" t="s">
        <v>1334</v>
      </c>
      <c r="E28" s="120">
        <v>1.0316883116883118</v>
      </c>
      <c r="G28" s="119">
        <v>1</v>
      </c>
      <c r="H28" s="119" t="s">
        <v>1265</v>
      </c>
      <c r="I28" s="119" t="s">
        <v>1335</v>
      </c>
      <c r="J28" s="120">
        <v>0.98483102918586796</v>
      </c>
      <c r="L28" s="119">
        <v>1</v>
      </c>
      <c r="M28" s="119" t="s">
        <v>502</v>
      </c>
      <c r="N28" s="119" t="s">
        <v>1376</v>
      </c>
      <c r="O28" s="120">
        <v>0.95272175233138146</v>
      </c>
      <c r="Q28" s="119">
        <v>1</v>
      </c>
      <c r="R28" s="119" t="s">
        <v>804</v>
      </c>
      <c r="S28" s="119" t="s">
        <v>1459</v>
      </c>
      <c r="T28" s="120">
        <v>0.83823352573352572</v>
      </c>
      <c r="W28" s="119">
        <v>1</v>
      </c>
      <c r="X28" s="119" t="s">
        <v>339</v>
      </c>
      <c r="Y28" s="119" t="s">
        <v>1460</v>
      </c>
      <c r="Z28" s="120">
        <v>0.91900000000000004</v>
      </c>
      <c r="AB28" s="119">
        <v>1</v>
      </c>
      <c r="AC28" s="119" t="s">
        <v>990</v>
      </c>
      <c r="AD28" s="119" t="s">
        <v>1461</v>
      </c>
      <c r="AE28" s="120">
        <v>0.81</v>
      </c>
      <c r="AG28" s="119">
        <v>1</v>
      </c>
      <c r="AH28" s="119" t="s">
        <v>266</v>
      </c>
      <c r="AI28" s="119" t="s">
        <v>1462</v>
      </c>
      <c r="AJ28" s="120">
        <v>0.89500000000000002</v>
      </c>
      <c r="AL28" s="119">
        <v>1</v>
      </c>
      <c r="AM28" s="119" t="s">
        <v>804</v>
      </c>
      <c r="AN28" s="119" t="s">
        <v>1459</v>
      </c>
      <c r="AO28" s="120">
        <v>0.84099999999999997</v>
      </c>
      <c r="AR28" s="119">
        <v>1</v>
      </c>
      <c r="AS28" s="119" t="s">
        <v>226</v>
      </c>
      <c r="AT28" s="119" t="s">
        <v>1463</v>
      </c>
      <c r="AU28" s="120">
        <v>0.97899999999999998</v>
      </c>
      <c r="AW28" s="119">
        <v>1</v>
      </c>
      <c r="AX28" s="119" t="s">
        <v>952</v>
      </c>
      <c r="AY28" s="119" t="s">
        <v>1464</v>
      </c>
      <c r="AZ28" s="120">
        <v>0.878</v>
      </c>
      <c r="BB28" s="119">
        <v>1</v>
      </c>
      <c r="BC28" s="119" t="s">
        <v>429</v>
      </c>
      <c r="BD28" s="119" t="s">
        <v>1465</v>
      </c>
      <c r="BE28" s="120">
        <v>1.0549999999999999</v>
      </c>
      <c r="BG28" s="119">
        <v>1</v>
      </c>
      <c r="BH28" s="119" t="s">
        <v>1200</v>
      </c>
      <c r="BI28" s="119" t="s">
        <v>1469</v>
      </c>
      <c r="BJ28" s="120">
        <v>0.96199999999999997</v>
      </c>
    </row>
    <row r="29" spans="2:62">
      <c r="B29">
        <v>2</v>
      </c>
      <c r="C29" t="s">
        <v>266</v>
      </c>
      <c r="D29" t="s">
        <v>1466</v>
      </c>
      <c r="E29" s="122">
        <v>0.99774644259867351</v>
      </c>
      <c r="G29">
        <v>2</v>
      </c>
      <c r="H29" t="s">
        <v>1171</v>
      </c>
      <c r="I29" t="s">
        <v>1467</v>
      </c>
      <c r="J29" s="122">
        <v>0.91736694677871156</v>
      </c>
      <c r="L29">
        <v>2</v>
      </c>
      <c r="M29" t="s">
        <v>300</v>
      </c>
      <c r="N29" t="s">
        <v>1392</v>
      </c>
      <c r="O29" s="122">
        <v>0.93301066217732886</v>
      </c>
      <c r="Q29">
        <v>2</v>
      </c>
      <c r="R29" t="s">
        <v>903</v>
      </c>
      <c r="S29" t="s">
        <v>1398</v>
      </c>
      <c r="T29" s="122">
        <v>0.83497521086858539</v>
      </c>
      <c r="W29">
        <v>2</v>
      </c>
      <c r="X29" t="s">
        <v>580</v>
      </c>
      <c r="Y29" t="s">
        <v>1468</v>
      </c>
      <c r="Z29" s="122">
        <v>0.81399999999999995</v>
      </c>
      <c r="AB29">
        <v>2</v>
      </c>
      <c r="AC29" t="s">
        <v>1171</v>
      </c>
      <c r="AD29" t="s">
        <v>1467</v>
      </c>
      <c r="AE29" s="122">
        <v>0.79100000000000004</v>
      </c>
      <c r="AG29">
        <v>2</v>
      </c>
      <c r="AH29" t="s">
        <v>502</v>
      </c>
      <c r="AI29" t="s">
        <v>1376</v>
      </c>
      <c r="AJ29" s="122">
        <v>0.83199999999999996</v>
      </c>
      <c r="AL29">
        <v>2</v>
      </c>
      <c r="AM29" t="s">
        <v>1200</v>
      </c>
      <c r="AN29" t="s">
        <v>1469</v>
      </c>
      <c r="AO29" s="122">
        <v>0.77400000000000002</v>
      </c>
      <c r="AR29">
        <v>2</v>
      </c>
      <c r="AS29" t="s">
        <v>580</v>
      </c>
      <c r="AT29" t="s">
        <v>1468</v>
      </c>
      <c r="AU29" s="122">
        <v>0.98699999999999999</v>
      </c>
      <c r="AW29">
        <v>2</v>
      </c>
      <c r="AX29" t="s">
        <v>903</v>
      </c>
      <c r="AY29" t="s">
        <v>1470</v>
      </c>
      <c r="AZ29" s="122">
        <v>0.78500000000000003</v>
      </c>
      <c r="BB29">
        <v>2</v>
      </c>
      <c r="BC29" t="s">
        <v>165</v>
      </c>
      <c r="BD29" t="s">
        <v>1471</v>
      </c>
      <c r="BE29" s="122">
        <v>0.89300000000000002</v>
      </c>
      <c r="BG29">
        <v>2</v>
      </c>
      <c r="BH29" t="s">
        <v>1229</v>
      </c>
      <c r="BI29" t="s">
        <v>1472</v>
      </c>
      <c r="BJ29" s="122">
        <v>0.92800000000000005</v>
      </c>
    </row>
    <row r="30" spans="2:62">
      <c r="B30">
        <v>3</v>
      </c>
      <c r="C30" t="s">
        <v>580</v>
      </c>
      <c r="D30" t="s">
        <v>1468</v>
      </c>
      <c r="E30" s="122">
        <v>0.91585067319461444</v>
      </c>
      <c r="G30">
        <v>3</v>
      </c>
      <c r="H30" t="s">
        <v>835</v>
      </c>
      <c r="I30" t="s">
        <v>1473</v>
      </c>
      <c r="J30" s="122">
        <v>0.8247650850353343</v>
      </c>
      <c r="L30">
        <v>3</v>
      </c>
      <c r="M30" t="s">
        <v>717</v>
      </c>
      <c r="N30" t="s">
        <v>1389</v>
      </c>
      <c r="O30" s="122">
        <v>0.89277389277389274</v>
      </c>
      <c r="Q30">
        <v>3</v>
      </c>
      <c r="R30" t="s">
        <v>869</v>
      </c>
      <c r="S30" t="s">
        <v>1474</v>
      </c>
      <c r="T30" s="122">
        <v>0.7943189474804071</v>
      </c>
      <c r="W30">
        <v>3</v>
      </c>
      <c r="X30" t="s">
        <v>165</v>
      </c>
      <c r="Y30" t="s">
        <v>1475</v>
      </c>
      <c r="Z30" s="122">
        <v>0.90200000000000002</v>
      </c>
      <c r="AB30">
        <v>3</v>
      </c>
      <c r="AC30" t="s">
        <v>835</v>
      </c>
      <c r="AD30" t="s">
        <v>1473</v>
      </c>
      <c r="AE30" s="122">
        <v>0.76100000000000001</v>
      </c>
      <c r="AG30">
        <v>3</v>
      </c>
      <c r="AH30" t="s">
        <v>429</v>
      </c>
      <c r="AI30" t="s">
        <v>1476</v>
      </c>
      <c r="AJ30" s="122">
        <v>0.82099999999999995</v>
      </c>
      <c r="AL30">
        <v>3</v>
      </c>
      <c r="AM30" t="s">
        <v>1229</v>
      </c>
      <c r="AN30" t="s">
        <v>1472</v>
      </c>
      <c r="AO30" s="122">
        <v>0.80100000000000005</v>
      </c>
      <c r="AR30">
        <v>3</v>
      </c>
      <c r="AS30" t="s">
        <v>266</v>
      </c>
      <c r="AT30" t="s">
        <v>1466</v>
      </c>
      <c r="AU30" s="122">
        <v>0.83</v>
      </c>
      <c r="AW30">
        <v>3</v>
      </c>
      <c r="AX30" t="s">
        <v>804</v>
      </c>
      <c r="AY30" t="s">
        <v>1477</v>
      </c>
      <c r="AZ30" s="122">
        <v>0.73599999999999999</v>
      </c>
      <c r="BB30">
        <v>3</v>
      </c>
      <c r="BC30" t="s">
        <v>502</v>
      </c>
      <c r="BD30" t="s">
        <v>1376</v>
      </c>
      <c r="BE30" s="122">
        <v>0.85099999999999998</v>
      </c>
      <c r="BG30">
        <v>3</v>
      </c>
      <c r="BH30" t="s">
        <v>1062</v>
      </c>
      <c r="BI30" t="s">
        <v>1479</v>
      </c>
      <c r="BJ30" s="122">
        <v>0.79600000000000004</v>
      </c>
    </row>
    <row r="31" spans="2:62">
      <c r="B31">
        <v>4</v>
      </c>
      <c r="C31" t="s">
        <v>463</v>
      </c>
      <c r="D31" t="s">
        <v>1480</v>
      </c>
      <c r="E31" s="122">
        <v>0.8926708074534162</v>
      </c>
      <c r="G31">
        <v>4</v>
      </c>
      <c r="H31" t="s">
        <v>770</v>
      </c>
      <c r="I31" t="s">
        <v>1481</v>
      </c>
      <c r="J31" s="122">
        <v>0.77992277992277992</v>
      </c>
      <c r="L31">
        <v>4</v>
      </c>
      <c r="M31" t="s">
        <v>685</v>
      </c>
      <c r="N31" t="s">
        <v>1408</v>
      </c>
      <c r="O31" s="122">
        <v>0.88197298884321784</v>
      </c>
      <c r="Q31">
        <v>4</v>
      </c>
      <c r="R31" t="s">
        <v>1200</v>
      </c>
      <c r="S31" t="s">
        <v>1482</v>
      </c>
      <c r="T31" s="122">
        <v>0.79365563519902393</v>
      </c>
      <c r="W31">
        <v>4</v>
      </c>
      <c r="X31" t="s">
        <v>611</v>
      </c>
      <c r="Y31" t="s">
        <v>1334</v>
      </c>
      <c r="Z31" s="122">
        <v>0.82899999999999996</v>
      </c>
      <c r="AB31">
        <v>4</v>
      </c>
      <c r="AC31" t="s">
        <v>903</v>
      </c>
      <c r="AD31" t="s">
        <v>1449</v>
      </c>
      <c r="AE31" s="122">
        <v>0.745</v>
      </c>
      <c r="AG31">
        <v>4</v>
      </c>
      <c r="AH31" t="s">
        <v>226</v>
      </c>
      <c r="AI31" t="s">
        <v>1482</v>
      </c>
      <c r="AJ31" s="122">
        <v>0.77800000000000002</v>
      </c>
      <c r="AL31">
        <v>4</v>
      </c>
      <c r="AM31" t="s">
        <v>1025</v>
      </c>
      <c r="AN31" t="s">
        <v>1483</v>
      </c>
      <c r="AO31" s="122">
        <v>0.754</v>
      </c>
      <c r="AR31">
        <v>4</v>
      </c>
      <c r="AS31" t="s">
        <v>502</v>
      </c>
      <c r="AT31" t="s">
        <v>1484</v>
      </c>
      <c r="AU31" s="122">
        <v>0.81499999999999995</v>
      </c>
      <c r="AW31">
        <v>4</v>
      </c>
      <c r="AX31" t="s">
        <v>1200</v>
      </c>
      <c r="AY31" t="s">
        <v>1485</v>
      </c>
      <c r="AZ31" s="122">
        <v>0.76200000000000001</v>
      </c>
      <c r="BB31">
        <v>4</v>
      </c>
      <c r="BC31" t="s">
        <v>580</v>
      </c>
      <c r="BD31" t="s">
        <v>1476</v>
      </c>
      <c r="BE31" s="122">
        <v>0.82799999999999996</v>
      </c>
      <c r="BG31">
        <v>4</v>
      </c>
      <c r="BH31" t="s">
        <v>869</v>
      </c>
      <c r="BI31" t="s">
        <v>1486</v>
      </c>
      <c r="BJ31" s="122">
        <v>0.73199999999999998</v>
      </c>
    </row>
    <row r="32" spans="2:62">
      <c r="B32">
        <v>5</v>
      </c>
      <c r="C32" t="s">
        <v>226</v>
      </c>
      <c r="D32" t="s">
        <v>1463</v>
      </c>
      <c r="E32" s="122">
        <v>0.85428051001821492</v>
      </c>
      <c r="G32">
        <v>5</v>
      </c>
      <c r="H32" t="s">
        <v>903</v>
      </c>
      <c r="I32" t="s">
        <v>1470</v>
      </c>
      <c r="J32" s="122">
        <v>0.75303030303030294</v>
      </c>
      <c r="L32">
        <v>5</v>
      </c>
      <c r="M32" t="s">
        <v>650</v>
      </c>
      <c r="N32" t="s">
        <v>1487</v>
      </c>
      <c r="O32" s="122">
        <v>0.86143156206850469</v>
      </c>
      <c r="Q32">
        <v>5</v>
      </c>
      <c r="R32" t="s">
        <v>1229</v>
      </c>
      <c r="S32" t="s">
        <v>1488</v>
      </c>
      <c r="T32" s="122">
        <v>0.78773376777653326</v>
      </c>
      <c r="W32">
        <v>5</v>
      </c>
      <c r="X32" t="s">
        <v>226</v>
      </c>
      <c r="Y32" t="s">
        <v>1463</v>
      </c>
      <c r="Z32" s="122">
        <v>0.751</v>
      </c>
      <c r="AB32">
        <v>5</v>
      </c>
      <c r="AC32" t="s">
        <v>1265</v>
      </c>
      <c r="AD32" t="s">
        <v>1335</v>
      </c>
      <c r="AE32" s="122">
        <v>0.72099999999999997</v>
      </c>
      <c r="AG32">
        <v>5</v>
      </c>
      <c r="AH32" t="s">
        <v>539</v>
      </c>
      <c r="AI32" t="s">
        <v>1489</v>
      </c>
      <c r="AJ32" s="122">
        <v>0.72599999999999998</v>
      </c>
      <c r="AL32">
        <v>5</v>
      </c>
      <c r="AM32" t="s">
        <v>1171</v>
      </c>
      <c r="AN32" t="s">
        <v>1486</v>
      </c>
      <c r="AO32" s="122">
        <v>0.64600000000000002</v>
      </c>
      <c r="AR32">
        <v>5</v>
      </c>
      <c r="AS32" t="s">
        <v>539</v>
      </c>
      <c r="AT32" t="s">
        <v>1490</v>
      </c>
      <c r="AU32" s="122">
        <v>0.86899999999999999</v>
      </c>
      <c r="AW32">
        <v>5</v>
      </c>
      <c r="AX32" t="s">
        <v>990</v>
      </c>
      <c r="AY32" t="s">
        <v>1461</v>
      </c>
      <c r="AZ32" s="122">
        <v>0.66400000000000003</v>
      </c>
      <c r="BB32">
        <v>5</v>
      </c>
      <c r="BC32" t="s">
        <v>226</v>
      </c>
      <c r="BD32" t="s">
        <v>1482</v>
      </c>
      <c r="BE32" s="122">
        <v>0.82</v>
      </c>
      <c r="BG32">
        <v>5</v>
      </c>
      <c r="BH32" t="s">
        <v>1025</v>
      </c>
      <c r="BI32" t="s">
        <v>1483</v>
      </c>
      <c r="BJ32" s="122">
        <v>0.79</v>
      </c>
    </row>
    <row r="34" spans="2:62" s="118" customFormat="1" ht="19">
      <c r="B34" s="1069" t="s">
        <v>1491</v>
      </c>
      <c r="C34" s="1070"/>
      <c r="D34" s="1070"/>
      <c r="E34" s="1071"/>
      <c r="G34" s="1069" t="s">
        <v>1492</v>
      </c>
      <c r="H34" s="1070"/>
      <c r="I34" s="1070"/>
      <c r="J34" s="1071"/>
      <c r="L34" s="1069" t="s">
        <v>1493</v>
      </c>
      <c r="M34" s="1070"/>
      <c r="N34" s="1070"/>
      <c r="O34" s="1071"/>
      <c r="Q34" s="1069" t="s">
        <v>1494</v>
      </c>
      <c r="R34" s="1070"/>
      <c r="S34" s="1070"/>
      <c r="T34" s="1071"/>
      <c r="W34" s="1069" t="s">
        <v>1491</v>
      </c>
      <c r="X34" s="1070"/>
      <c r="Y34" s="1070"/>
      <c r="Z34" s="1071"/>
      <c r="AB34" s="1069" t="s">
        <v>1492</v>
      </c>
      <c r="AC34" s="1070"/>
      <c r="AD34" s="1070"/>
      <c r="AE34" s="1071"/>
      <c r="AG34" s="1069" t="s">
        <v>1493</v>
      </c>
      <c r="AH34" s="1070"/>
      <c r="AI34" s="1070"/>
      <c r="AJ34" s="1071"/>
      <c r="AL34" s="1069" t="s">
        <v>1494</v>
      </c>
      <c r="AM34" s="1070"/>
      <c r="AN34" s="1070"/>
      <c r="AO34" s="1071"/>
      <c r="AR34" s="1069" t="s">
        <v>1491</v>
      </c>
      <c r="AS34" s="1070"/>
      <c r="AT34" s="1070"/>
      <c r="AU34" s="1071"/>
      <c r="AW34" s="1069" t="s">
        <v>1492</v>
      </c>
      <c r="AX34" s="1070"/>
      <c r="AY34" s="1070"/>
      <c r="AZ34" s="1071"/>
      <c r="BB34" s="1069" t="s">
        <v>1493</v>
      </c>
      <c r="BC34" s="1070"/>
      <c r="BD34" s="1070"/>
      <c r="BE34" s="1071"/>
      <c r="BG34" s="1069" t="s">
        <v>1494</v>
      </c>
      <c r="BH34" s="1070"/>
      <c r="BI34" s="1070"/>
      <c r="BJ34" s="1071"/>
    </row>
    <row r="35" spans="2:62" s="141" customFormat="1">
      <c r="B35" s="359"/>
      <c r="C35" s="360" t="s">
        <v>8</v>
      </c>
      <c r="D35" s="360" t="s">
        <v>1314</v>
      </c>
      <c r="E35" s="360" t="s">
        <v>162</v>
      </c>
      <c r="G35" s="359"/>
      <c r="H35" s="360" t="s">
        <v>8</v>
      </c>
      <c r="I35" s="360" t="s">
        <v>1314</v>
      </c>
      <c r="J35" s="360" t="s">
        <v>162</v>
      </c>
      <c r="L35" s="359"/>
      <c r="M35" s="360" t="s">
        <v>8</v>
      </c>
      <c r="N35" s="360" t="s">
        <v>1314</v>
      </c>
      <c r="O35" s="360" t="s">
        <v>162</v>
      </c>
      <c r="Q35" s="359"/>
      <c r="R35" s="360" t="s">
        <v>8</v>
      </c>
      <c r="S35" s="360" t="s">
        <v>1314</v>
      </c>
      <c r="T35" s="360" t="s">
        <v>162</v>
      </c>
      <c r="W35" s="359"/>
      <c r="X35" s="360" t="s">
        <v>8</v>
      </c>
      <c r="Y35" s="360" t="s">
        <v>1314</v>
      </c>
      <c r="Z35" s="360" t="s">
        <v>162</v>
      </c>
      <c r="AB35" s="359"/>
      <c r="AC35" s="360" t="s">
        <v>8</v>
      </c>
      <c r="AD35" s="360" t="s">
        <v>1314</v>
      </c>
      <c r="AE35" s="360" t="s">
        <v>162</v>
      </c>
      <c r="AG35" s="359"/>
      <c r="AH35" s="360" t="s">
        <v>8</v>
      </c>
      <c r="AI35" s="360" t="s">
        <v>1314</v>
      </c>
      <c r="AJ35" s="360" t="s">
        <v>162</v>
      </c>
      <c r="AL35" s="359"/>
      <c r="AM35" s="360" t="s">
        <v>8</v>
      </c>
      <c r="AN35" s="360" t="s">
        <v>1314</v>
      </c>
      <c r="AO35" s="360" t="s">
        <v>162</v>
      </c>
      <c r="AR35" s="359"/>
      <c r="AS35" s="360" t="s">
        <v>8</v>
      </c>
      <c r="AT35" s="360" t="s">
        <v>1314</v>
      </c>
      <c r="AU35" s="360" t="s">
        <v>162</v>
      </c>
      <c r="AW35" s="359"/>
      <c r="AX35" s="360" t="s">
        <v>8</v>
      </c>
      <c r="AY35" s="360" t="s">
        <v>1314</v>
      </c>
      <c r="AZ35" s="360" t="s">
        <v>162</v>
      </c>
      <c r="BB35" s="359"/>
      <c r="BC35" s="360" t="s">
        <v>8</v>
      </c>
      <c r="BD35" s="360" t="s">
        <v>1314</v>
      </c>
      <c r="BE35" s="360" t="s">
        <v>162</v>
      </c>
      <c r="BG35" s="359"/>
      <c r="BH35" s="360" t="s">
        <v>8</v>
      </c>
      <c r="BI35" s="360" t="s">
        <v>1314</v>
      </c>
      <c r="BJ35" s="360" t="s">
        <v>162</v>
      </c>
    </row>
    <row r="36" spans="2:62" s="119" customFormat="1" ht="19">
      <c r="B36" s="119">
        <v>1</v>
      </c>
      <c r="C36" s="119" t="s">
        <v>539</v>
      </c>
      <c r="D36" s="119" t="s">
        <v>1495</v>
      </c>
      <c r="E36" s="120">
        <v>0.90811406529825045</v>
      </c>
      <c r="G36" s="119">
        <v>1</v>
      </c>
      <c r="H36" s="119" t="s">
        <v>1265</v>
      </c>
      <c r="I36" s="119" t="s">
        <v>1326</v>
      </c>
      <c r="J36" s="120">
        <v>1.030207378746224</v>
      </c>
      <c r="L36" s="119">
        <v>1</v>
      </c>
      <c r="M36" s="119" t="s">
        <v>580</v>
      </c>
      <c r="N36" s="119" t="s">
        <v>1325</v>
      </c>
      <c r="O36" s="120">
        <v>0.97745358090185674</v>
      </c>
      <c r="Q36" s="119">
        <v>1</v>
      </c>
      <c r="R36" s="119" t="s">
        <v>1229</v>
      </c>
      <c r="S36" s="119" t="s">
        <v>1496</v>
      </c>
      <c r="T36" s="120">
        <v>0.82402234636871508</v>
      </c>
      <c r="W36" s="119">
        <v>1</v>
      </c>
      <c r="X36" s="119" t="s">
        <v>580</v>
      </c>
      <c r="Y36" s="119" t="s">
        <v>1348</v>
      </c>
      <c r="Z36" s="120">
        <v>1.026</v>
      </c>
      <c r="AB36" s="119">
        <v>1</v>
      </c>
      <c r="AC36" s="119" t="s">
        <v>1139</v>
      </c>
      <c r="AD36" s="119" t="s">
        <v>1320</v>
      </c>
      <c r="AE36" s="120">
        <v>0.97799999999999998</v>
      </c>
      <c r="AG36" s="119">
        <v>1</v>
      </c>
      <c r="AH36" s="119" t="s">
        <v>539</v>
      </c>
      <c r="AI36" s="119" t="s">
        <v>1357</v>
      </c>
      <c r="AJ36" s="120">
        <v>1.006</v>
      </c>
      <c r="AL36" s="119">
        <v>1</v>
      </c>
      <c r="AM36" s="119" t="s">
        <v>1062</v>
      </c>
      <c r="AN36" s="119" t="s">
        <v>1497</v>
      </c>
      <c r="AO36" s="120">
        <v>0.89400000000000002</v>
      </c>
      <c r="AR36" s="119">
        <v>1</v>
      </c>
      <c r="AS36" s="119" t="s">
        <v>429</v>
      </c>
      <c r="AT36" s="119" t="s">
        <v>1352</v>
      </c>
      <c r="AU36" s="120">
        <v>1.097</v>
      </c>
      <c r="AW36" s="119">
        <v>1</v>
      </c>
      <c r="AX36" s="119" t="s">
        <v>952</v>
      </c>
      <c r="AY36" s="119" t="s">
        <v>1498</v>
      </c>
      <c r="AZ36" s="120">
        <v>0.90800000000000003</v>
      </c>
      <c r="BB36" s="119">
        <v>1</v>
      </c>
      <c r="BC36" s="119" t="s">
        <v>226</v>
      </c>
      <c r="BD36" s="119" t="s">
        <v>1321</v>
      </c>
      <c r="BE36" s="120">
        <v>1.0329999999999999</v>
      </c>
      <c r="BG36" s="119">
        <v>1</v>
      </c>
      <c r="BH36" s="119" t="s">
        <v>1139</v>
      </c>
      <c r="BI36" s="119" t="s">
        <v>1499</v>
      </c>
      <c r="BJ36" s="120">
        <v>1.1200000000000001</v>
      </c>
    </row>
    <row r="37" spans="2:62">
      <c r="B37">
        <v>2</v>
      </c>
      <c r="C37" t="s">
        <v>580</v>
      </c>
      <c r="D37" t="s">
        <v>1348</v>
      </c>
      <c r="E37" s="122">
        <v>0.86175710594315247</v>
      </c>
      <c r="G37">
        <v>2</v>
      </c>
      <c r="H37" t="s">
        <v>770</v>
      </c>
      <c r="I37" t="s">
        <v>1345</v>
      </c>
      <c r="J37" s="122">
        <v>1.0388817755014939</v>
      </c>
      <c r="L37">
        <v>2</v>
      </c>
      <c r="M37" t="s">
        <v>165</v>
      </c>
      <c r="N37" t="s">
        <v>1500</v>
      </c>
      <c r="O37" s="122">
        <v>0.95353034062711484</v>
      </c>
      <c r="Q37">
        <v>2</v>
      </c>
      <c r="R37" t="s">
        <v>1062</v>
      </c>
      <c r="S37" t="s">
        <v>1501</v>
      </c>
      <c r="T37" s="122">
        <v>0.81220346463643378</v>
      </c>
      <c r="W37">
        <v>2</v>
      </c>
      <c r="X37" t="s">
        <v>717</v>
      </c>
      <c r="Y37" t="s">
        <v>1326</v>
      </c>
      <c r="Z37" s="122">
        <v>0.98599999999999999</v>
      </c>
      <c r="AB37">
        <v>2</v>
      </c>
      <c r="AC37" t="s">
        <v>804</v>
      </c>
      <c r="AD37" t="s">
        <v>1502</v>
      </c>
      <c r="AE37" s="122">
        <v>0.879</v>
      </c>
      <c r="AG37">
        <v>2</v>
      </c>
      <c r="AH37" t="s">
        <v>339</v>
      </c>
      <c r="AI37" t="s">
        <v>1503</v>
      </c>
      <c r="AJ37" s="122">
        <v>0.94499999999999995</v>
      </c>
      <c r="AL37">
        <v>2</v>
      </c>
      <c r="AM37" t="s">
        <v>1139</v>
      </c>
      <c r="AN37" t="s">
        <v>1499</v>
      </c>
      <c r="AO37" s="122">
        <v>0.88500000000000001</v>
      </c>
      <c r="AR37">
        <v>2</v>
      </c>
      <c r="AS37" t="s">
        <v>502</v>
      </c>
      <c r="AT37" t="s">
        <v>1504</v>
      </c>
      <c r="AU37" s="122">
        <v>0.873</v>
      </c>
      <c r="AW37">
        <v>2</v>
      </c>
      <c r="AX37" t="s">
        <v>1200</v>
      </c>
      <c r="AY37" t="s">
        <v>1505</v>
      </c>
      <c r="AZ37" s="122">
        <v>0.84499999999999997</v>
      </c>
      <c r="BB37">
        <v>2</v>
      </c>
      <c r="BC37" t="s">
        <v>339</v>
      </c>
      <c r="BD37" t="s">
        <v>1503</v>
      </c>
      <c r="BE37" s="122">
        <v>0.85099999999999998</v>
      </c>
      <c r="BG37">
        <v>2</v>
      </c>
      <c r="BH37" t="s">
        <v>1062</v>
      </c>
      <c r="BI37" t="s">
        <v>1497</v>
      </c>
      <c r="BJ37" s="122">
        <v>0.91200000000000003</v>
      </c>
    </row>
    <row r="38" spans="2:62">
      <c r="B38">
        <v>3</v>
      </c>
      <c r="C38" t="s">
        <v>165</v>
      </c>
      <c r="D38" t="s">
        <v>1506</v>
      </c>
      <c r="E38" s="122">
        <v>0.84163806909174099</v>
      </c>
      <c r="G38">
        <v>3</v>
      </c>
      <c r="H38" t="s">
        <v>1171</v>
      </c>
      <c r="I38" t="s">
        <v>1507</v>
      </c>
      <c r="J38" s="122">
        <v>0.90497404366554979</v>
      </c>
      <c r="L38">
        <v>3</v>
      </c>
      <c r="M38" t="s">
        <v>226</v>
      </c>
      <c r="N38" t="s">
        <v>1374</v>
      </c>
      <c r="O38" s="122">
        <v>0.92609619470735938</v>
      </c>
      <c r="Q38">
        <v>3</v>
      </c>
      <c r="R38" t="s">
        <v>1096</v>
      </c>
      <c r="S38" t="s">
        <v>1508</v>
      </c>
      <c r="T38" s="122">
        <v>0.8072769621682665</v>
      </c>
      <c r="W38">
        <v>3</v>
      </c>
      <c r="X38" t="s">
        <v>394</v>
      </c>
      <c r="Y38" t="s">
        <v>1509</v>
      </c>
      <c r="Z38" s="122">
        <v>0.77900000000000003</v>
      </c>
      <c r="AB38">
        <v>3</v>
      </c>
      <c r="AC38" t="s">
        <v>835</v>
      </c>
      <c r="AD38" t="s">
        <v>1510</v>
      </c>
      <c r="AE38" s="122">
        <v>0.85099999999999998</v>
      </c>
      <c r="AG38">
        <v>3</v>
      </c>
      <c r="AH38" t="s">
        <v>429</v>
      </c>
      <c r="AI38" t="s">
        <v>1511</v>
      </c>
      <c r="AJ38" s="122">
        <v>0.86199999999999999</v>
      </c>
      <c r="AL38">
        <v>3</v>
      </c>
      <c r="AM38" t="s">
        <v>1025</v>
      </c>
      <c r="AN38" t="s">
        <v>1361</v>
      </c>
      <c r="AO38" s="122">
        <v>0.75700000000000001</v>
      </c>
      <c r="AR38">
        <v>3</v>
      </c>
      <c r="AS38" t="s">
        <v>394</v>
      </c>
      <c r="AT38" t="s">
        <v>1509</v>
      </c>
      <c r="AU38" s="122">
        <v>0.79700000000000004</v>
      </c>
      <c r="AW38">
        <v>3</v>
      </c>
      <c r="AX38" t="s">
        <v>835</v>
      </c>
      <c r="AY38" t="s">
        <v>1510</v>
      </c>
      <c r="AZ38" s="122">
        <v>0.81</v>
      </c>
      <c r="BB38">
        <v>3</v>
      </c>
      <c r="BC38" t="s">
        <v>685</v>
      </c>
      <c r="BD38" t="s">
        <v>1512</v>
      </c>
      <c r="BE38" s="122">
        <v>0.86</v>
      </c>
      <c r="BG38">
        <v>3</v>
      </c>
      <c r="BH38" t="s">
        <v>1096</v>
      </c>
      <c r="BI38" t="s">
        <v>1508</v>
      </c>
      <c r="BJ38" s="122">
        <v>0.89400000000000002</v>
      </c>
    </row>
    <row r="39" spans="2:62">
      <c r="B39">
        <v>4</v>
      </c>
      <c r="C39" t="s">
        <v>394</v>
      </c>
      <c r="D39" t="s">
        <v>1509</v>
      </c>
      <c r="E39" s="122">
        <v>0.83797043010752681</v>
      </c>
      <c r="G39">
        <v>4</v>
      </c>
      <c r="H39" t="s">
        <v>835</v>
      </c>
      <c r="I39" t="s">
        <v>1510</v>
      </c>
      <c r="J39" s="122">
        <v>0.89208339010764415</v>
      </c>
      <c r="L39">
        <v>4</v>
      </c>
      <c r="M39" t="s">
        <v>463</v>
      </c>
      <c r="N39" t="s">
        <v>1513</v>
      </c>
      <c r="O39" s="122">
        <v>0.86902871987299757</v>
      </c>
      <c r="Q39">
        <v>4</v>
      </c>
      <c r="R39" t="s">
        <v>1200</v>
      </c>
      <c r="S39" t="s">
        <v>1514</v>
      </c>
      <c r="T39" s="122">
        <v>0.79428571428571426</v>
      </c>
      <c r="W39">
        <v>4</v>
      </c>
      <c r="X39" t="s">
        <v>502</v>
      </c>
      <c r="Y39" t="s">
        <v>1504</v>
      </c>
      <c r="Z39" s="122">
        <v>0.72599999999999998</v>
      </c>
      <c r="AB39">
        <v>4</v>
      </c>
      <c r="AC39" t="s">
        <v>952</v>
      </c>
      <c r="AD39" t="s">
        <v>1498</v>
      </c>
      <c r="AE39" s="122">
        <v>0.747</v>
      </c>
      <c r="AG39">
        <v>4</v>
      </c>
      <c r="AH39" t="s">
        <v>226</v>
      </c>
      <c r="AI39" t="s">
        <v>1374</v>
      </c>
      <c r="AJ39" s="122">
        <v>0.94899999999999995</v>
      </c>
      <c r="AL39">
        <v>4</v>
      </c>
      <c r="AM39" t="s">
        <v>1096</v>
      </c>
      <c r="AN39" t="s">
        <v>1508</v>
      </c>
      <c r="AO39" s="122">
        <v>0.79700000000000004</v>
      </c>
      <c r="AR39">
        <v>4</v>
      </c>
      <c r="AS39" t="s">
        <v>266</v>
      </c>
      <c r="AT39" t="s">
        <v>1515</v>
      </c>
      <c r="AU39" s="122">
        <v>0.83299999999999996</v>
      </c>
      <c r="AW39">
        <v>4</v>
      </c>
      <c r="AX39" t="s">
        <v>1062</v>
      </c>
      <c r="AY39" t="s">
        <v>1516</v>
      </c>
      <c r="AZ39" s="122">
        <v>0.74</v>
      </c>
      <c r="BB39">
        <v>4</v>
      </c>
      <c r="BC39" t="s">
        <v>717</v>
      </c>
      <c r="BD39" t="s">
        <v>1517</v>
      </c>
      <c r="BE39" s="122">
        <v>0.70799999999999996</v>
      </c>
      <c r="BG39">
        <v>4</v>
      </c>
      <c r="BH39" t="s">
        <v>952</v>
      </c>
      <c r="BI39" t="s">
        <v>1518</v>
      </c>
      <c r="BJ39" s="122">
        <v>0.79500000000000004</v>
      </c>
    </row>
    <row r="40" spans="2:62">
      <c r="B40">
        <v>5</v>
      </c>
      <c r="C40" t="s">
        <v>717</v>
      </c>
      <c r="D40" t="s">
        <v>1519</v>
      </c>
      <c r="E40" s="122">
        <v>0.81404230317273796</v>
      </c>
      <c r="G40">
        <v>5</v>
      </c>
      <c r="H40" t="s">
        <v>1229</v>
      </c>
      <c r="I40" t="s">
        <v>1520</v>
      </c>
      <c r="J40" s="122">
        <v>0.85471923536439665</v>
      </c>
      <c r="L40">
        <v>5</v>
      </c>
      <c r="M40" t="s">
        <v>394</v>
      </c>
      <c r="N40" t="s">
        <v>1521</v>
      </c>
      <c r="O40" s="122">
        <v>0.85333219339118538</v>
      </c>
      <c r="Q40">
        <v>5</v>
      </c>
      <c r="R40" t="s">
        <v>990</v>
      </c>
      <c r="S40" t="s">
        <v>1522</v>
      </c>
      <c r="T40" s="122">
        <v>0.76901086335048596</v>
      </c>
      <c r="W40">
        <v>5</v>
      </c>
      <c r="X40" t="s">
        <v>165</v>
      </c>
      <c r="Y40" t="s">
        <v>1506</v>
      </c>
      <c r="Z40" s="122">
        <v>0.82399999999999995</v>
      </c>
      <c r="AB40">
        <v>5</v>
      </c>
      <c r="AC40" t="s">
        <v>1025</v>
      </c>
      <c r="AD40" t="s">
        <v>1523</v>
      </c>
      <c r="AE40" s="122">
        <v>0.85199999999999998</v>
      </c>
      <c r="AG40">
        <v>5</v>
      </c>
      <c r="AH40" t="s">
        <v>650</v>
      </c>
      <c r="AI40" t="s">
        <v>1524</v>
      </c>
      <c r="AJ40" s="122">
        <v>0.76800000000000002</v>
      </c>
      <c r="AL40">
        <v>5</v>
      </c>
      <c r="AM40" t="s">
        <v>1171</v>
      </c>
      <c r="AN40" t="s">
        <v>1525</v>
      </c>
      <c r="AO40" s="122">
        <v>0.92300000000000004</v>
      </c>
      <c r="AR40">
        <v>5</v>
      </c>
      <c r="AS40" t="s">
        <v>685</v>
      </c>
      <c r="AT40" t="s">
        <v>1526</v>
      </c>
      <c r="AU40" s="122">
        <v>0.79200000000000004</v>
      </c>
      <c r="AW40">
        <v>5</v>
      </c>
      <c r="AX40" t="s">
        <v>770</v>
      </c>
      <c r="AY40" t="s">
        <v>1527</v>
      </c>
      <c r="AZ40" s="122">
        <v>0.76100000000000001</v>
      </c>
      <c r="BB40">
        <v>5</v>
      </c>
      <c r="BC40" t="s">
        <v>266</v>
      </c>
      <c r="BD40" t="s">
        <v>1528</v>
      </c>
      <c r="BE40" s="122">
        <v>0.80900000000000005</v>
      </c>
      <c r="BG40">
        <v>5</v>
      </c>
      <c r="BH40" t="s">
        <v>903</v>
      </c>
      <c r="BI40" t="s">
        <v>1529</v>
      </c>
      <c r="BJ40" s="122">
        <v>0.79300000000000004</v>
      </c>
    </row>
    <row r="42" spans="2:62" s="118" customFormat="1" ht="19">
      <c r="B42" s="1069" t="s">
        <v>1530</v>
      </c>
      <c r="C42" s="1070"/>
      <c r="D42" s="1070"/>
      <c r="E42" s="1071"/>
      <c r="G42" s="1069" t="s">
        <v>1531</v>
      </c>
      <c r="H42" s="1070"/>
      <c r="I42" s="1070"/>
      <c r="J42" s="1071"/>
      <c r="L42" s="1069" t="s">
        <v>1532</v>
      </c>
      <c r="M42" s="1070"/>
      <c r="N42" s="1070"/>
      <c r="O42" s="1071"/>
      <c r="Q42" s="1069" t="s">
        <v>1533</v>
      </c>
      <c r="R42" s="1070"/>
      <c r="S42" s="1070"/>
      <c r="T42" s="1071"/>
      <c r="W42" s="1069" t="s">
        <v>1530</v>
      </c>
      <c r="X42" s="1070"/>
      <c r="Y42" s="1070"/>
      <c r="Z42" s="1071"/>
      <c r="AB42" s="1069" t="s">
        <v>1531</v>
      </c>
      <c r="AC42" s="1070"/>
      <c r="AD42" s="1070"/>
      <c r="AE42" s="1071"/>
      <c r="AG42" s="1069" t="s">
        <v>1532</v>
      </c>
      <c r="AH42" s="1070"/>
      <c r="AI42" s="1070"/>
      <c r="AJ42" s="1071"/>
      <c r="AL42" s="1069" t="s">
        <v>1533</v>
      </c>
      <c r="AM42" s="1070"/>
      <c r="AN42" s="1070"/>
      <c r="AO42" s="1071"/>
      <c r="AR42" s="1069" t="s">
        <v>1530</v>
      </c>
      <c r="AS42" s="1070"/>
      <c r="AT42" s="1070"/>
      <c r="AU42" s="1071"/>
      <c r="AW42" s="1069" t="s">
        <v>1531</v>
      </c>
      <c r="AX42" s="1070"/>
      <c r="AY42" s="1070"/>
      <c r="AZ42" s="1071"/>
      <c r="BB42" s="1069" t="s">
        <v>1532</v>
      </c>
      <c r="BC42" s="1070"/>
      <c r="BD42" s="1070"/>
      <c r="BE42" s="1071"/>
      <c r="BG42" s="1069" t="s">
        <v>1533</v>
      </c>
      <c r="BH42" s="1070"/>
      <c r="BI42" s="1070"/>
      <c r="BJ42" s="1071"/>
    </row>
    <row r="43" spans="2:62" s="141" customFormat="1">
      <c r="B43" s="359"/>
      <c r="C43" s="360" t="s">
        <v>8</v>
      </c>
      <c r="D43" s="360" t="s">
        <v>1314</v>
      </c>
      <c r="E43" s="360" t="s">
        <v>162</v>
      </c>
      <c r="G43" s="359"/>
      <c r="H43" s="360" t="s">
        <v>8</v>
      </c>
      <c r="I43" s="360" t="s">
        <v>1314</v>
      </c>
      <c r="J43" s="360" t="s">
        <v>162</v>
      </c>
      <c r="L43" s="359"/>
      <c r="M43" s="360" t="s">
        <v>8</v>
      </c>
      <c r="N43" s="360" t="s">
        <v>1314</v>
      </c>
      <c r="O43" s="360" t="s">
        <v>162</v>
      </c>
      <c r="Q43" s="359"/>
      <c r="R43" s="360" t="s">
        <v>8</v>
      </c>
      <c r="S43" s="360" t="s">
        <v>1314</v>
      </c>
      <c r="T43" s="360" t="s">
        <v>162</v>
      </c>
      <c r="W43" s="359"/>
      <c r="X43" s="360" t="s">
        <v>8</v>
      </c>
      <c r="Y43" s="360" t="s">
        <v>1314</v>
      </c>
      <c r="Z43" s="360" t="s">
        <v>162</v>
      </c>
      <c r="AB43" s="359"/>
      <c r="AC43" s="360" t="s">
        <v>8</v>
      </c>
      <c r="AD43" s="360" t="s">
        <v>1314</v>
      </c>
      <c r="AE43" s="360" t="s">
        <v>162</v>
      </c>
      <c r="AG43" s="359"/>
      <c r="AH43" s="360" t="s">
        <v>8</v>
      </c>
      <c r="AI43" s="360" t="s">
        <v>1314</v>
      </c>
      <c r="AJ43" s="360" t="s">
        <v>162</v>
      </c>
      <c r="AL43" s="359"/>
      <c r="AM43" s="360" t="s">
        <v>8</v>
      </c>
      <c r="AN43" s="360" t="s">
        <v>1314</v>
      </c>
      <c r="AO43" s="360" t="s">
        <v>162</v>
      </c>
      <c r="AR43" s="359"/>
      <c r="AS43" s="360" t="s">
        <v>8</v>
      </c>
      <c r="AT43" s="360" t="s">
        <v>1314</v>
      </c>
      <c r="AU43" s="360" t="s">
        <v>162</v>
      </c>
      <c r="AW43" s="359"/>
      <c r="AX43" s="360" t="s">
        <v>8</v>
      </c>
      <c r="AY43" s="360" t="s">
        <v>1314</v>
      </c>
      <c r="AZ43" s="360" t="s">
        <v>162</v>
      </c>
      <c r="BB43" s="359"/>
      <c r="BC43" s="360" t="s">
        <v>8</v>
      </c>
      <c r="BD43" s="360" t="s">
        <v>1314</v>
      </c>
      <c r="BE43" s="360" t="s">
        <v>162</v>
      </c>
      <c r="BG43" s="359"/>
      <c r="BH43" s="360" t="s">
        <v>8</v>
      </c>
      <c r="BI43" s="360" t="s">
        <v>1314</v>
      </c>
      <c r="BJ43" s="360" t="s">
        <v>162</v>
      </c>
    </row>
    <row r="44" spans="2:62" s="119" customFormat="1" ht="19">
      <c r="B44" s="119">
        <v>1</v>
      </c>
      <c r="C44" s="119" t="s">
        <v>685</v>
      </c>
      <c r="D44" s="119" t="s">
        <v>1344</v>
      </c>
      <c r="E44" s="120">
        <v>1.1114852889046438</v>
      </c>
      <c r="G44" s="119">
        <v>1</v>
      </c>
      <c r="H44" s="119" t="s">
        <v>1229</v>
      </c>
      <c r="I44" s="119" t="s">
        <v>1534</v>
      </c>
      <c r="J44" s="120">
        <v>0.91016621835988687</v>
      </c>
      <c r="L44" s="119">
        <v>1</v>
      </c>
      <c r="M44" s="119" t="s">
        <v>165</v>
      </c>
      <c r="N44" s="119" t="s">
        <v>1354</v>
      </c>
      <c r="O44" s="120">
        <v>0.97237021857923489</v>
      </c>
      <c r="Q44" s="119">
        <v>1</v>
      </c>
      <c r="R44" s="119" t="s">
        <v>1265</v>
      </c>
      <c r="S44" s="119" t="s">
        <v>1535</v>
      </c>
      <c r="T44" s="120">
        <v>0.86850569025235036</v>
      </c>
      <c r="W44" s="119">
        <v>1</v>
      </c>
      <c r="X44" s="119" t="s">
        <v>539</v>
      </c>
      <c r="Y44" s="119" t="s">
        <v>1536</v>
      </c>
      <c r="Z44" s="120">
        <v>0.93200000000000005</v>
      </c>
      <c r="AB44" s="119">
        <v>1</v>
      </c>
      <c r="AC44" s="119" t="s">
        <v>1171</v>
      </c>
      <c r="AD44" s="119" t="s">
        <v>1537</v>
      </c>
      <c r="AE44" s="120">
        <v>0.96399999999999997</v>
      </c>
      <c r="AG44" s="119">
        <v>1</v>
      </c>
      <c r="AH44" s="119" t="s">
        <v>429</v>
      </c>
      <c r="AI44" s="119" t="s">
        <v>1319</v>
      </c>
      <c r="AJ44" s="120">
        <v>1.044</v>
      </c>
      <c r="AL44" s="119">
        <v>1</v>
      </c>
      <c r="AM44" s="119" t="s">
        <v>952</v>
      </c>
      <c r="AN44" s="119" t="s">
        <v>1349</v>
      </c>
      <c r="AO44" s="120">
        <v>0.96799999999999997</v>
      </c>
      <c r="AR44" s="119">
        <v>1</v>
      </c>
      <c r="AS44" s="119" t="s">
        <v>685</v>
      </c>
      <c r="AT44" s="119" t="s">
        <v>1344</v>
      </c>
      <c r="AU44" s="120">
        <v>0.92400000000000004</v>
      </c>
      <c r="AW44" s="119">
        <v>1</v>
      </c>
      <c r="AX44" s="119" t="s">
        <v>1096</v>
      </c>
      <c r="AY44" s="119" t="s">
        <v>1538</v>
      </c>
      <c r="AZ44" s="120">
        <v>0.875</v>
      </c>
      <c r="BB44" s="119">
        <v>1</v>
      </c>
      <c r="BC44" s="119" t="s">
        <v>429</v>
      </c>
      <c r="BD44" s="119" t="s">
        <v>1319</v>
      </c>
      <c r="BE44" s="120">
        <v>1.014</v>
      </c>
      <c r="BG44" s="119">
        <v>1</v>
      </c>
      <c r="BH44" s="119" t="s">
        <v>1025</v>
      </c>
      <c r="BI44" s="119" t="s">
        <v>1361</v>
      </c>
      <c r="BJ44" s="120">
        <v>0.94</v>
      </c>
    </row>
    <row r="45" spans="2:62">
      <c r="B45">
        <v>2</v>
      </c>
      <c r="C45" t="s">
        <v>429</v>
      </c>
      <c r="D45" t="s">
        <v>1539</v>
      </c>
      <c r="E45" s="122">
        <v>0.92574816487859968</v>
      </c>
      <c r="G45">
        <v>2</v>
      </c>
      <c r="H45" t="s">
        <v>835</v>
      </c>
      <c r="I45" t="s">
        <v>1401</v>
      </c>
      <c r="J45" s="122">
        <v>0.78239238589660398</v>
      </c>
      <c r="L45">
        <v>2</v>
      </c>
      <c r="M45" t="s">
        <v>300</v>
      </c>
      <c r="N45" t="s">
        <v>1540</v>
      </c>
      <c r="O45" s="122">
        <v>0.96678803928059143</v>
      </c>
      <c r="Q45">
        <v>2</v>
      </c>
      <c r="R45" t="s">
        <v>1200</v>
      </c>
      <c r="S45" t="s">
        <v>1469</v>
      </c>
      <c r="T45" s="122">
        <v>0.87</v>
      </c>
      <c r="W45">
        <v>2</v>
      </c>
      <c r="X45" t="s">
        <v>266</v>
      </c>
      <c r="Y45" t="s">
        <v>1541</v>
      </c>
      <c r="Z45" s="122">
        <v>0.85699999999999998</v>
      </c>
      <c r="AB45">
        <v>2</v>
      </c>
      <c r="AC45" t="s">
        <v>770</v>
      </c>
      <c r="AD45" t="s">
        <v>1542</v>
      </c>
      <c r="AE45" s="122">
        <v>0.87</v>
      </c>
      <c r="AG45">
        <v>2</v>
      </c>
      <c r="AH45" t="s">
        <v>226</v>
      </c>
      <c r="AI45" t="s">
        <v>1321</v>
      </c>
      <c r="AJ45" s="122">
        <v>0.84299999999999997</v>
      </c>
      <c r="AL45">
        <v>2</v>
      </c>
      <c r="AM45" t="s">
        <v>1171</v>
      </c>
      <c r="AN45" t="s">
        <v>1543</v>
      </c>
      <c r="AO45" s="122">
        <v>0.90800000000000003</v>
      </c>
      <c r="AR45">
        <v>2</v>
      </c>
      <c r="AS45" t="s">
        <v>394</v>
      </c>
      <c r="AT45" t="s">
        <v>1544</v>
      </c>
      <c r="AU45" s="122">
        <v>0.95099999999999996</v>
      </c>
      <c r="AW45">
        <v>2</v>
      </c>
      <c r="AX45" t="s">
        <v>770</v>
      </c>
      <c r="AY45" t="s">
        <v>1545</v>
      </c>
      <c r="AZ45" s="122">
        <v>0.83699999999999997</v>
      </c>
      <c r="BB45">
        <v>2</v>
      </c>
      <c r="BC45" t="s">
        <v>394</v>
      </c>
      <c r="BD45" t="s">
        <v>1546</v>
      </c>
      <c r="BE45" s="122">
        <v>0.877</v>
      </c>
      <c r="BG45">
        <v>2</v>
      </c>
      <c r="BH45" t="s">
        <v>1062</v>
      </c>
      <c r="BI45" t="s">
        <v>1501</v>
      </c>
      <c r="BJ45" s="122">
        <v>0.90300000000000002</v>
      </c>
    </row>
    <row r="46" spans="2:62">
      <c r="B46">
        <v>3</v>
      </c>
      <c r="C46" t="s">
        <v>226</v>
      </c>
      <c r="D46" t="s">
        <v>1383</v>
      </c>
      <c r="E46" s="122">
        <v>0.92359113874854259</v>
      </c>
      <c r="G46">
        <v>3</v>
      </c>
      <c r="H46" t="s">
        <v>1200</v>
      </c>
      <c r="I46" t="s">
        <v>1409</v>
      </c>
      <c r="J46" s="122">
        <v>0.77022804334818162</v>
      </c>
      <c r="L46">
        <v>3</v>
      </c>
      <c r="M46" t="s">
        <v>580</v>
      </c>
      <c r="N46" t="s">
        <v>1547</v>
      </c>
      <c r="O46" s="122">
        <v>0.82478208098863504</v>
      </c>
      <c r="Q46">
        <v>3</v>
      </c>
      <c r="R46" t="s">
        <v>770</v>
      </c>
      <c r="S46" t="s">
        <v>1542</v>
      </c>
      <c r="T46" s="122">
        <v>0.82881701631701632</v>
      </c>
      <c r="W46">
        <v>3</v>
      </c>
      <c r="X46" t="s">
        <v>429</v>
      </c>
      <c r="Y46" t="s">
        <v>1539</v>
      </c>
      <c r="Z46" s="122">
        <v>0.89500000000000002</v>
      </c>
      <c r="AB46">
        <v>3</v>
      </c>
      <c r="AC46" t="s">
        <v>1025</v>
      </c>
      <c r="AD46" t="s">
        <v>1548</v>
      </c>
      <c r="AE46" s="122">
        <v>0.77700000000000002</v>
      </c>
      <c r="AG46">
        <v>3</v>
      </c>
      <c r="AH46" t="s">
        <v>685</v>
      </c>
      <c r="AI46" t="s">
        <v>1340</v>
      </c>
      <c r="AJ46" s="122">
        <v>0.85699999999999998</v>
      </c>
      <c r="AL46">
        <v>3</v>
      </c>
      <c r="AM46" t="s">
        <v>804</v>
      </c>
      <c r="AN46" t="s">
        <v>1549</v>
      </c>
      <c r="AO46" s="122">
        <v>0.84799999999999998</v>
      </c>
      <c r="AR46">
        <v>3</v>
      </c>
      <c r="AS46" t="s">
        <v>611</v>
      </c>
      <c r="AT46" t="s">
        <v>1551</v>
      </c>
      <c r="AU46" s="122">
        <v>0.93600000000000005</v>
      </c>
      <c r="AW46">
        <v>3</v>
      </c>
      <c r="AX46" t="s">
        <v>1229</v>
      </c>
      <c r="AY46" t="s">
        <v>1534</v>
      </c>
      <c r="AZ46" s="122">
        <v>0.85</v>
      </c>
      <c r="BB46">
        <v>3</v>
      </c>
      <c r="BC46" t="s">
        <v>226</v>
      </c>
      <c r="BD46" t="s">
        <v>1550</v>
      </c>
      <c r="BE46" s="122">
        <v>0.83299999999999996</v>
      </c>
      <c r="BG46">
        <v>3</v>
      </c>
      <c r="BH46" t="s">
        <v>770</v>
      </c>
      <c r="BI46" t="s">
        <v>1542</v>
      </c>
      <c r="BJ46" s="122">
        <v>0.83499999999999996</v>
      </c>
    </row>
    <row r="47" spans="2:62">
      <c r="B47">
        <v>4</v>
      </c>
      <c r="C47" t="s">
        <v>611</v>
      </c>
      <c r="D47" t="s">
        <v>1551</v>
      </c>
      <c r="E47" s="122">
        <v>0.86871508379888263</v>
      </c>
      <c r="G47">
        <v>4</v>
      </c>
      <c r="H47" t="s">
        <v>770</v>
      </c>
      <c r="I47" t="s">
        <v>1545</v>
      </c>
      <c r="J47" s="122">
        <v>0.70704539125591759</v>
      </c>
      <c r="L47">
        <v>4</v>
      </c>
      <c r="M47" t="s">
        <v>339</v>
      </c>
      <c r="N47" t="s">
        <v>1552</v>
      </c>
      <c r="O47" s="122">
        <v>0.82203323096306802</v>
      </c>
      <c r="Q47">
        <v>4</v>
      </c>
      <c r="R47" t="s">
        <v>1096</v>
      </c>
      <c r="S47" t="s">
        <v>1553</v>
      </c>
      <c r="T47" s="122">
        <v>0.78244514106583074</v>
      </c>
      <c r="W47">
        <v>4</v>
      </c>
      <c r="X47" t="s">
        <v>611</v>
      </c>
      <c r="Y47" t="s">
        <v>1551</v>
      </c>
      <c r="Z47" s="122">
        <v>0.82199999999999995</v>
      </c>
      <c r="AB47">
        <v>4</v>
      </c>
      <c r="AC47" t="s">
        <v>990</v>
      </c>
      <c r="AD47" t="s">
        <v>1522</v>
      </c>
      <c r="AE47" s="122">
        <v>0.80200000000000005</v>
      </c>
      <c r="AG47">
        <v>4</v>
      </c>
      <c r="AH47" t="s">
        <v>502</v>
      </c>
      <c r="AI47" t="s">
        <v>1554</v>
      </c>
      <c r="AJ47" s="122">
        <v>0.96199999999999997</v>
      </c>
      <c r="AL47">
        <v>4</v>
      </c>
      <c r="AM47" t="s">
        <v>1062</v>
      </c>
      <c r="AN47" t="s">
        <v>1501</v>
      </c>
      <c r="AO47" s="122">
        <v>0.79300000000000004</v>
      </c>
      <c r="AR47">
        <v>4</v>
      </c>
      <c r="AS47" t="s">
        <v>429</v>
      </c>
      <c r="AT47" t="s">
        <v>1511</v>
      </c>
      <c r="AU47" s="122">
        <v>0.79600000000000004</v>
      </c>
      <c r="AW47">
        <v>4</v>
      </c>
      <c r="AX47" t="s">
        <v>835</v>
      </c>
      <c r="AY47" t="s">
        <v>1555</v>
      </c>
      <c r="AZ47" s="122">
        <v>0.75600000000000001</v>
      </c>
      <c r="BB47">
        <v>4</v>
      </c>
      <c r="BC47" t="s">
        <v>502</v>
      </c>
      <c r="BD47" t="s">
        <v>1554</v>
      </c>
      <c r="BE47" s="122">
        <v>0.89100000000000001</v>
      </c>
      <c r="BG47">
        <v>4</v>
      </c>
      <c r="BH47" t="s">
        <v>869</v>
      </c>
      <c r="BI47" t="s">
        <v>1556</v>
      </c>
      <c r="BJ47" s="122">
        <v>0.91500000000000004</v>
      </c>
    </row>
    <row r="48" spans="2:62">
      <c r="B48">
        <v>5</v>
      </c>
      <c r="C48" t="s">
        <v>539</v>
      </c>
      <c r="D48" t="s">
        <v>1536</v>
      </c>
      <c r="E48" s="122">
        <v>0.8000753958280975</v>
      </c>
      <c r="G48">
        <v>5</v>
      </c>
      <c r="H48" t="s">
        <v>1096</v>
      </c>
      <c r="I48" t="s">
        <v>1538</v>
      </c>
      <c r="J48" s="122">
        <v>0.72483637349444252</v>
      </c>
      <c r="L48">
        <v>5</v>
      </c>
      <c r="M48" t="s">
        <v>463</v>
      </c>
      <c r="N48" t="s">
        <v>1557</v>
      </c>
      <c r="O48" s="122">
        <v>0.9171662552407821</v>
      </c>
      <c r="Q48">
        <v>5</v>
      </c>
      <c r="R48" t="s">
        <v>1062</v>
      </c>
      <c r="S48" t="s">
        <v>1558</v>
      </c>
      <c r="T48" s="122">
        <v>0.76400000000000001</v>
      </c>
      <c r="W48">
        <v>5</v>
      </c>
      <c r="X48" t="s">
        <v>226</v>
      </c>
      <c r="Y48" t="s">
        <v>1550</v>
      </c>
      <c r="Z48" s="122">
        <v>0.91700000000000004</v>
      </c>
      <c r="AB48">
        <v>5</v>
      </c>
      <c r="AC48" t="s">
        <v>903</v>
      </c>
      <c r="AD48" t="s">
        <v>1470</v>
      </c>
      <c r="AE48" s="122">
        <v>0.78500000000000003</v>
      </c>
      <c r="AG48">
        <v>5</v>
      </c>
      <c r="AH48" t="s">
        <v>165</v>
      </c>
      <c r="AI48" t="s">
        <v>1354</v>
      </c>
      <c r="AJ48" s="122">
        <v>0.876</v>
      </c>
      <c r="AL48">
        <v>5</v>
      </c>
      <c r="AM48" t="s">
        <v>1229</v>
      </c>
      <c r="AN48" t="s">
        <v>1559</v>
      </c>
      <c r="AO48" s="122">
        <v>0.69399999999999995</v>
      </c>
      <c r="AR48">
        <v>5</v>
      </c>
      <c r="AS48" t="s">
        <v>580</v>
      </c>
      <c r="AT48" t="s">
        <v>1547</v>
      </c>
      <c r="AU48" s="122">
        <v>0.871</v>
      </c>
      <c r="AW48">
        <v>5</v>
      </c>
      <c r="AX48" t="s">
        <v>1265</v>
      </c>
      <c r="AY48" t="s">
        <v>1335</v>
      </c>
      <c r="AZ48" s="122">
        <v>0.79800000000000004</v>
      </c>
      <c r="BB48">
        <v>5</v>
      </c>
      <c r="BC48" t="s">
        <v>266</v>
      </c>
      <c r="BD48" t="s">
        <v>1560</v>
      </c>
      <c r="BE48" s="122">
        <v>0.77100000000000002</v>
      </c>
      <c r="BG48">
        <v>5</v>
      </c>
      <c r="BH48" t="s">
        <v>804</v>
      </c>
      <c r="BI48" t="s">
        <v>1549</v>
      </c>
      <c r="BJ48" s="122">
        <v>0.79</v>
      </c>
    </row>
    <row r="50" spans="2:62" s="118" customFormat="1" ht="19">
      <c r="B50" s="1069" t="s">
        <v>1561</v>
      </c>
      <c r="C50" s="1070"/>
      <c r="D50" s="1070"/>
      <c r="E50" s="1071"/>
      <c r="G50" s="1069" t="s">
        <v>1562</v>
      </c>
      <c r="H50" s="1070"/>
      <c r="I50" s="1070"/>
      <c r="J50" s="1071"/>
      <c r="W50" s="1069" t="s">
        <v>1561</v>
      </c>
      <c r="X50" s="1070"/>
      <c r="Y50" s="1070"/>
      <c r="Z50" s="1071"/>
      <c r="AB50" s="1069" t="s">
        <v>1562</v>
      </c>
      <c r="AC50" s="1070"/>
      <c r="AD50" s="1070"/>
      <c r="AE50" s="1071"/>
      <c r="AR50" s="1069" t="s">
        <v>1561</v>
      </c>
      <c r="AS50" s="1070"/>
      <c r="AT50" s="1070"/>
      <c r="AU50" s="1071"/>
      <c r="AW50" s="1069" t="s">
        <v>1562</v>
      </c>
      <c r="AX50" s="1070"/>
      <c r="AY50" s="1070"/>
      <c r="AZ50" s="1071"/>
    </row>
    <row r="51" spans="2:62" s="141" customFormat="1">
      <c r="B51" s="359"/>
      <c r="C51" s="360" t="s">
        <v>8</v>
      </c>
      <c r="D51" s="360" t="s">
        <v>1314</v>
      </c>
      <c r="E51" s="360" t="s">
        <v>162</v>
      </c>
      <c r="G51" s="359"/>
      <c r="H51" s="360" t="s">
        <v>8</v>
      </c>
      <c r="I51" s="360" t="s">
        <v>1314</v>
      </c>
      <c r="J51" s="360" t="s">
        <v>162</v>
      </c>
      <c r="W51" s="359"/>
      <c r="X51" s="360" t="s">
        <v>8</v>
      </c>
      <c r="Y51" s="360" t="s">
        <v>1314</v>
      </c>
      <c r="Z51" s="360" t="s">
        <v>162</v>
      </c>
      <c r="AB51" s="359"/>
      <c r="AC51" s="360" t="s">
        <v>8</v>
      </c>
      <c r="AD51" s="360" t="s">
        <v>1314</v>
      </c>
      <c r="AE51" s="360" t="s">
        <v>162</v>
      </c>
      <c r="AR51" s="359"/>
      <c r="AS51" s="360" t="s">
        <v>8</v>
      </c>
      <c r="AT51" s="360" t="s">
        <v>1314</v>
      </c>
      <c r="AU51" s="360" t="s">
        <v>162</v>
      </c>
      <c r="AW51" s="359"/>
      <c r="AX51" s="360" t="s">
        <v>8</v>
      </c>
      <c r="AY51" s="360" t="s">
        <v>1314</v>
      </c>
      <c r="AZ51" s="360" t="s">
        <v>162</v>
      </c>
    </row>
    <row r="52" spans="2:62" s="119" customFormat="1" ht="19">
      <c r="B52" s="119">
        <v>1</v>
      </c>
      <c r="C52" s="119" t="s">
        <v>539</v>
      </c>
      <c r="D52" s="119" t="s">
        <v>1563</v>
      </c>
      <c r="E52" s="120">
        <v>1.1102043929225136</v>
      </c>
      <c r="G52" s="119">
        <v>1</v>
      </c>
      <c r="H52" s="119" t="s">
        <v>952</v>
      </c>
      <c r="I52" s="119" t="s">
        <v>1316</v>
      </c>
      <c r="J52" s="120">
        <v>1.0679720672351476</v>
      </c>
      <c r="M52"/>
      <c r="N52"/>
      <c r="O52"/>
      <c r="P52"/>
      <c r="Q52"/>
      <c r="R52"/>
      <c r="S52"/>
      <c r="W52" s="119">
        <v>1</v>
      </c>
      <c r="X52" s="119" t="s">
        <v>226</v>
      </c>
      <c r="Y52" s="119" t="s">
        <v>1338</v>
      </c>
      <c r="Z52" s="120">
        <v>0.98899999999999999</v>
      </c>
      <c r="AB52" s="119">
        <v>1</v>
      </c>
      <c r="AC52" s="119" t="s">
        <v>990</v>
      </c>
      <c r="AD52" s="119" t="s">
        <v>1330</v>
      </c>
      <c r="AE52" s="120">
        <v>0.93300000000000005</v>
      </c>
      <c r="AH52"/>
      <c r="AI52"/>
      <c r="AJ52"/>
      <c r="AK52"/>
      <c r="AL52"/>
      <c r="AM52"/>
      <c r="AN52"/>
      <c r="AR52" s="119">
        <v>1</v>
      </c>
      <c r="AS52" s="119" t="s">
        <v>165</v>
      </c>
      <c r="AT52" s="119" t="s">
        <v>1341</v>
      </c>
      <c r="AU52" s="120">
        <v>1.0680000000000001</v>
      </c>
      <c r="AW52" s="119">
        <v>1</v>
      </c>
      <c r="AX52" s="119" t="s">
        <v>770</v>
      </c>
      <c r="AY52" s="119" t="s">
        <v>1332</v>
      </c>
      <c r="AZ52" s="120">
        <v>1.0349999999999999</v>
      </c>
      <c r="BC52"/>
      <c r="BD52"/>
      <c r="BE52"/>
      <c r="BF52"/>
      <c r="BG52"/>
      <c r="BH52"/>
      <c r="BI52"/>
    </row>
    <row r="53" spans="2:62">
      <c r="B53">
        <v>2</v>
      </c>
      <c r="C53" t="s">
        <v>394</v>
      </c>
      <c r="D53" t="s">
        <v>1564</v>
      </c>
      <c r="E53" s="122">
        <v>0.99831479609032692</v>
      </c>
      <c r="G53">
        <v>2</v>
      </c>
      <c r="H53" t="s">
        <v>804</v>
      </c>
      <c r="I53" t="s">
        <v>1565</v>
      </c>
      <c r="J53" s="122">
        <v>0.9313306536915591</v>
      </c>
      <c r="W53">
        <v>2</v>
      </c>
      <c r="X53" t="s">
        <v>394</v>
      </c>
      <c r="Y53" t="s">
        <v>1564</v>
      </c>
      <c r="Z53" s="122">
        <v>0.91900000000000004</v>
      </c>
      <c r="AB53">
        <v>2</v>
      </c>
      <c r="AC53" t="s">
        <v>835</v>
      </c>
      <c r="AD53" t="s">
        <v>1566</v>
      </c>
      <c r="AE53" s="122">
        <v>0.89900000000000002</v>
      </c>
      <c r="AR53">
        <v>2</v>
      </c>
      <c r="AS53" t="s">
        <v>339</v>
      </c>
      <c r="AT53" t="s">
        <v>1360</v>
      </c>
      <c r="AU53" s="122">
        <v>0.96299999999999997</v>
      </c>
      <c r="AW53">
        <v>2</v>
      </c>
      <c r="AX53" t="s">
        <v>952</v>
      </c>
      <c r="AY53" t="s">
        <v>1342</v>
      </c>
      <c r="AZ53" s="122">
        <v>1.0629999999999999</v>
      </c>
    </row>
    <row r="54" spans="2:62">
      <c r="B54">
        <v>3</v>
      </c>
      <c r="C54" t="s">
        <v>226</v>
      </c>
      <c r="D54" t="s">
        <v>1338</v>
      </c>
      <c r="E54" s="122">
        <v>0.92549019607843142</v>
      </c>
      <c r="G54">
        <v>3</v>
      </c>
      <c r="H54" t="s">
        <v>1062</v>
      </c>
      <c r="I54" t="s">
        <v>1497</v>
      </c>
      <c r="J54" s="122">
        <v>0.9221611721611721</v>
      </c>
      <c r="W54">
        <v>3</v>
      </c>
      <c r="X54" t="s">
        <v>611</v>
      </c>
      <c r="Y54" t="s">
        <v>1567</v>
      </c>
      <c r="Z54" s="122">
        <v>0.97899999999999998</v>
      </c>
      <c r="AB54">
        <v>3</v>
      </c>
      <c r="AC54" t="s">
        <v>1139</v>
      </c>
      <c r="AD54" t="s">
        <v>1568</v>
      </c>
      <c r="AE54" s="122">
        <v>0.84399999999999997</v>
      </c>
      <c r="AR54">
        <v>3</v>
      </c>
      <c r="AS54" t="s">
        <v>226</v>
      </c>
      <c r="AT54" t="s">
        <v>1338</v>
      </c>
      <c r="AU54" s="122">
        <v>0.996</v>
      </c>
      <c r="AW54">
        <v>3</v>
      </c>
      <c r="AX54" t="s">
        <v>804</v>
      </c>
      <c r="AY54" t="s">
        <v>1565</v>
      </c>
      <c r="AZ54" s="122">
        <v>0.88300000000000001</v>
      </c>
    </row>
    <row r="55" spans="2:62">
      <c r="B55">
        <v>4</v>
      </c>
      <c r="C55" t="s">
        <v>611</v>
      </c>
      <c r="D55" t="s">
        <v>1567</v>
      </c>
      <c r="E55" s="122">
        <v>0.92324561403508776</v>
      </c>
      <c r="G55">
        <v>4</v>
      </c>
      <c r="H55" t="s">
        <v>1139</v>
      </c>
      <c r="I55" t="s">
        <v>1447</v>
      </c>
      <c r="J55" s="122">
        <v>0.88931139380530977</v>
      </c>
      <c r="W55">
        <v>4</v>
      </c>
      <c r="X55" t="s">
        <v>463</v>
      </c>
      <c r="Y55" t="s">
        <v>1448</v>
      </c>
      <c r="Z55" s="122">
        <v>0.94440000000000002</v>
      </c>
      <c r="AB55">
        <v>4</v>
      </c>
      <c r="AC55" t="s">
        <v>952</v>
      </c>
      <c r="AD55" t="s">
        <v>1342</v>
      </c>
      <c r="AE55" s="122">
        <v>0.82499999999999996</v>
      </c>
      <c r="AR55">
        <v>4</v>
      </c>
      <c r="AS55" t="s">
        <v>394</v>
      </c>
      <c r="AT55" t="s">
        <v>1564</v>
      </c>
      <c r="AU55" s="122">
        <v>0.94499999999999995</v>
      </c>
      <c r="AW55">
        <v>4</v>
      </c>
      <c r="AX55" t="s">
        <v>1265</v>
      </c>
      <c r="AY55" t="s">
        <v>1326</v>
      </c>
      <c r="AZ55" s="122">
        <v>0.90300000000000002</v>
      </c>
    </row>
    <row r="56" spans="2:62">
      <c r="B56">
        <v>5</v>
      </c>
      <c r="C56" t="s">
        <v>685</v>
      </c>
      <c r="D56" t="s">
        <v>1340</v>
      </c>
      <c r="E56" s="122">
        <v>0.915686274509804</v>
      </c>
      <c r="G56">
        <v>5</v>
      </c>
      <c r="H56" t="s">
        <v>1025</v>
      </c>
      <c r="I56" t="s">
        <v>1569</v>
      </c>
      <c r="J56" s="122">
        <v>0.83416770963704634</v>
      </c>
      <c r="W56">
        <v>5</v>
      </c>
      <c r="X56" t="s">
        <v>580</v>
      </c>
      <c r="Y56" t="s">
        <v>1570</v>
      </c>
      <c r="Z56" s="122">
        <v>0.94</v>
      </c>
      <c r="AB56">
        <v>5</v>
      </c>
      <c r="AC56" t="s">
        <v>804</v>
      </c>
      <c r="AD56" t="s">
        <v>1565</v>
      </c>
      <c r="AE56" s="122">
        <v>0.73799999999999999</v>
      </c>
      <c r="AR56">
        <v>5</v>
      </c>
      <c r="AS56" t="s">
        <v>580</v>
      </c>
      <c r="AT56" t="s">
        <v>1325</v>
      </c>
      <c r="AU56" s="122">
        <v>0.94799999999999995</v>
      </c>
      <c r="AW56">
        <v>5</v>
      </c>
      <c r="AX56" t="s">
        <v>869</v>
      </c>
      <c r="AY56" t="s">
        <v>1571</v>
      </c>
      <c r="AZ56" s="122">
        <v>0.76200000000000001</v>
      </c>
    </row>
    <row r="58" spans="2:62" ht="27">
      <c r="B58" s="1072" t="s">
        <v>1572</v>
      </c>
      <c r="C58" s="1073"/>
      <c r="D58" s="1073"/>
      <c r="E58" s="1073"/>
      <c r="F58" s="1073"/>
      <c r="G58" s="1073"/>
      <c r="H58" s="1073"/>
      <c r="I58" s="1073"/>
      <c r="J58" s="1073"/>
      <c r="K58" s="1073"/>
      <c r="L58" s="1073"/>
      <c r="M58" s="1073"/>
      <c r="N58" s="1073"/>
      <c r="O58" s="1073"/>
      <c r="P58" s="1073"/>
      <c r="Q58" s="1073"/>
      <c r="R58" s="1073"/>
      <c r="S58" s="1073"/>
      <c r="T58" s="1074"/>
      <c r="W58" s="1072" t="s">
        <v>1573</v>
      </c>
      <c r="X58" s="1073"/>
      <c r="Y58" s="1073"/>
      <c r="Z58" s="1073"/>
      <c r="AA58" s="1073"/>
      <c r="AB58" s="1073"/>
      <c r="AC58" s="1073"/>
      <c r="AD58" s="1073"/>
      <c r="AE58" s="1073"/>
      <c r="AF58" s="1073"/>
      <c r="AG58" s="1073"/>
      <c r="AH58" s="1073"/>
      <c r="AI58" s="1073"/>
      <c r="AJ58" s="1073"/>
      <c r="AK58" s="1073"/>
      <c r="AL58" s="1073"/>
      <c r="AM58" s="1073"/>
      <c r="AN58" s="1073"/>
      <c r="AO58" s="1074"/>
      <c r="AR58" s="1072" t="s">
        <v>1574</v>
      </c>
      <c r="AS58" s="1073"/>
      <c r="AT58" s="1073"/>
      <c r="AU58" s="1073"/>
      <c r="AV58" s="1073"/>
      <c r="AW58" s="1073"/>
      <c r="AX58" s="1073"/>
      <c r="AY58" s="1073"/>
      <c r="AZ58" s="1073"/>
      <c r="BA58" s="1073"/>
      <c r="BB58" s="1073"/>
      <c r="BC58" s="1073"/>
      <c r="BD58" s="1073"/>
      <c r="BE58" s="1073"/>
      <c r="BF58" s="1073"/>
      <c r="BG58" s="1073"/>
      <c r="BH58" s="1073"/>
      <c r="BI58" s="1073"/>
      <c r="BJ58" s="1074"/>
    </row>
    <row r="59" spans="2:62" ht="19">
      <c r="B59" s="1069" t="s">
        <v>1575</v>
      </c>
      <c r="C59" s="1070"/>
      <c r="D59" s="1070"/>
      <c r="E59" s="1071"/>
      <c r="F59" s="118"/>
      <c r="G59" s="1069" t="s">
        <v>1576</v>
      </c>
      <c r="H59" s="1070"/>
      <c r="I59" s="1070"/>
      <c r="J59" s="1071"/>
      <c r="K59" s="118"/>
      <c r="L59" s="1069" t="s">
        <v>1577</v>
      </c>
      <c r="M59" s="1070"/>
      <c r="N59" s="1070"/>
      <c r="O59" s="1071"/>
      <c r="P59" s="118"/>
      <c r="Q59" s="1069" t="s">
        <v>1578</v>
      </c>
      <c r="R59" s="1070"/>
      <c r="S59" s="1070"/>
      <c r="T59" s="1071"/>
      <c r="W59" s="1069" t="s">
        <v>1575</v>
      </c>
      <c r="X59" s="1070"/>
      <c r="Y59" s="1070"/>
      <c r="Z59" s="1071"/>
      <c r="AA59" s="118"/>
      <c r="AB59" s="1069" t="s">
        <v>1576</v>
      </c>
      <c r="AC59" s="1070"/>
      <c r="AD59" s="1070"/>
      <c r="AE59" s="1071"/>
      <c r="AF59" s="118"/>
      <c r="AG59" s="1069" t="s">
        <v>1577</v>
      </c>
      <c r="AH59" s="1070"/>
      <c r="AI59" s="1070"/>
      <c r="AJ59" s="1071"/>
      <c r="AK59" s="118"/>
      <c r="AL59" s="1069" t="s">
        <v>1578</v>
      </c>
      <c r="AM59" s="1070"/>
      <c r="AN59" s="1070"/>
      <c r="AO59" s="1071"/>
      <c r="AR59" s="1069" t="s">
        <v>1575</v>
      </c>
      <c r="AS59" s="1070"/>
      <c r="AT59" s="1070"/>
      <c r="AU59" s="1071"/>
      <c r="AV59" s="118"/>
      <c r="AW59" s="1069" t="s">
        <v>1576</v>
      </c>
      <c r="AX59" s="1070"/>
      <c r="AY59" s="1070"/>
      <c r="AZ59" s="1071"/>
      <c r="BA59" s="118"/>
      <c r="BB59" s="1069" t="s">
        <v>1577</v>
      </c>
      <c r="BC59" s="1070"/>
      <c r="BD59" s="1070"/>
      <c r="BE59" s="1071"/>
      <c r="BF59" s="118"/>
      <c r="BG59" s="1069" t="s">
        <v>1578</v>
      </c>
      <c r="BH59" s="1070"/>
      <c r="BI59" s="1070"/>
      <c r="BJ59" s="1071"/>
    </row>
    <row r="60" spans="2:62" s="141" customFormat="1">
      <c r="B60" s="359"/>
      <c r="C60" s="359" t="s">
        <v>8</v>
      </c>
      <c r="D60" s="359" t="s">
        <v>1314</v>
      </c>
      <c r="E60" s="359" t="s">
        <v>164</v>
      </c>
      <c r="G60" s="359"/>
      <c r="H60" s="359" t="s">
        <v>8</v>
      </c>
      <c r="I60" s="359" t="s">
        <v>1314</v>
      </c>
      <c r="J60" s="359" t="s">
        <v>164</v>
      </c>
      <c r="L60" s="359"/>
      <c r="M60" s="359" t="s">
        <v>8</v>
      </c>
      <c r="N60" s="359" t="s">
        <v>1314</v>
      </c>
      <c r="O60" s="359" t="s">
        <v>164</v>
      </c>
      <c r="Q60" s="359"/>
      <c r="R60" s="359" t="s">
        <v>8</v>
      </c>
      <c r="S60" s="359" t="s">
        <v>1314</v>
      </c>
      <c r="T60" s="359" t="s">
        <v>164</v>
      </c>
      <c r="W60" s="359"/>
      <c r="X60" s="359" t="s">
        <v>8</v>
      </c>
      <c r="Y60" s="359" t="s">
        <v>1314</v>
      </c>
      <c r="Z60" s="359" t="s">
        <v>164</v>
      </c>
      <c r="AB60" s="359"/>
      <c r="AC60" s="359" t="s">
        <v>8</v>
      </c>
      <c r="AD60" s="359" t="s">
        <v>1314</v>
      </c>
      <c r="AE60" s="359" t="s">
        <v>164</v>
      </c>
      <c r="AG60" s="359"/>
      <c r="AH60" s="359" t="s">
        <v>8</v>
      </c>
      <c r="AI60" s="359" t="s">
        <v>1314</v>
      </c>
      <c r="AJ60" s="359" t="s">
        <v>164</v>
      </c>
      <c r="AL60" s="359"/>
      <c r="AM60" s="359" t="s">
        <v>8</v>
      </c>
      <c r="AN60" s="359" t="s">
        <v>1314</v>
      </c>
      <c r="AO60" s="359" t="s">
        <v>164</v>
      </c>
      <c r="AR60" s="359"/>
      <c r="AS60" s="359" t="s">
        <v>8</v>
      </c>
      <c r="AT60" s="359" t="s">
        <v>1314</v>
      </c>
      <c r="AU60" s="359" t="s">
        <v>164</v>
      </c>
      <c r="AW60" s="359"/>
      <c r="AX60" s="359" t="s">
        <v>8</v>
      </c>
      <c r="AY60" s="359" t="s">
        <v>1314</v>
      </c>
      <c r="AZ60" s="359" t="s">
        <v>164</v>
      </c>
      <c r="BB60" s="359"/>
      <c r="BC60" s="359" t="s">
        <v>8</v>
      </c>
      <c r="BD60" s="359" t="s">
        <v>1314</v>
      </c>
      <c r="BE60" s="359" t="s">
        <v>164</v>
      </c>
      <c r="BG60" s="359"/>
      <c r="BH60" s="359" t="s">
        <v>8</v>
      </c>
      <c r="BI60" s="359" t="s">
        <v>1314</v>
      </c>
      <c r="BJ60" s="359" t="s">
        <v>164</v>
      </c>
    </row>
    <row r="61" spans="2:62" ht="19">
      <c r="B61" s="119">
        <v>1</v>
      </c>
      <c r="C61" s="119" t="s">
        <v>1171</v>
      </c>
      <c r="D61" s="119" t="s">
        <v>1579</v>
      </c>
      <c r="E61" s="121">
        <v>1.6578947368421053</v>
      </c>
      <c r="F61" s="119"/>
      <c r="G61" s="119">
        <v>1</v>
      </c>
      <c r="H61" s="119" t="s">
        <v>165</v>
      </c>
      <c r="I61" s="119" t="s">
        <v>1580</v>
      </c>
      <c r="J61" s="120">
        <v>0.84285714285714286</v>
      </c>
      <c r="K61" s="119"/>
      <c r="L61" s="119">
        <v>1</v>
      </c>
      <c r="M61" s="119" t="s">
        <v>1171</v>
      </c>
      <c r="N61" s="119" t="s">
        <v>1355</v>
      </c>
      <c r="O61" s="120">
        <v>0.69696969696969702</v>
      </c>
      <c r="P61" s="119"/>
      <c r="Q61" s="119">
        <v>1</v>
      </c>
      <c r="R61" s="119" t="s">
        <v>580</v>
      </c>
      <c r="S61" s="119" t="s">
        <v>1468</v>
      </c>
      <c r="T61" s="120">
        <v>0.89962264150943394</v>
      </c>
      <c r="W61" s="119">
        <v>1</v>
      </c>
      <c r="X61" s="119" t="s">
        <v>266</v>
      </c>
      <c r="Y61" s="119" t="s">
        <v>1462</v>
      </c>
      <c r="Z61" s="120">
        <v>1.0529999999999999</v>
      </c>
      <c r="AA61" s="119"/>
      <c r="AB61" s="119">
        <v>1</v>
      </c>
      <c r="AC61" s="119" t="s">
        <v>226</v>
      </c>
      <c r="AD61" s="119" t="s">
        <v>1453</v>
      </c>
      <c r="AE61" s="120">
        <v>0.90400000000000003</v>
      </c>
      <c r="AF61" s="119"/>
      <c r="AG61" s="119">
        <v>1</v>
      </c>
      <c r="AH61" s="119" t="s">
        <v>1171</v>
      </c>
      <c r="AI61" s="119" t="s">
        <v>1355</v>
      </c>
      <c r="AJ61" s="120">
        <v>0.78300000000000003</v>
      </c>
      <c r="AK61" s="119"/>
      <c r="AL61" s="119">
        <v>1</v>
      </c>
      <c r="AM61" s="119" t="s">
        <v>266</v>
      </c>
      <c r="AN61" s="119" t="s">
        <v>1466</v>
      </c>
      <c r="AO61" s="120">
        <v>0.77300000000000002</v>
      </c>
      <c r="AR61" s="119">
        <v>1</v>
      </c>
      <c r="AS61" s="119" t="s">
        <v>685</v>
      </c>
      <c r="AT61" s="119" t="s">
        <v>1581</v>
      </c>
      <c r="AU61" s="120">
        <v>1.1830000000000001</v>
      </c>
      <c r="AV61" s="119"/>
      <c r="AW61" s="119">
        <v>1</v>
      </c>
      <c r="AX61" s="119" t="s">
        <v>770</v>
      </c>
      <c r="AY61" s="119" t="s">
        <v>1443</v>
      </c>
      <c r="AZ61" s="120">
        <v>0.77100000000000002</v>
      </c>
      <c r="BA61" s="119"/>
      <c r="BB61" s="119">
        <v>1</v>
      </c>
      <c r="BC61" s="119" t="s">
        <v>770</v>
      </c>
      <c r="BD61" s="119" t="s">
        <v>1582</v>
      </c>
      <c r="BE61" s="120">
        <v>0.77300000000000002</v>
      </c>
      <c r="BF61" s="119"/>
      <c r="BG61" s="119">
        <v>1</v>
      </c>
      <c r="BH61" s="119" t="s">
        <v>580</v>
      </c>
      <c r="BI61" s="119" t="s">
        <v>1468</v>
      </c>
      <c r="BJ61" s="120">
        <v>0.93300000000000005</v>
      </c>
    </row>
    <row r="62" spans="2:62">
      <c r="B62" s="141">
        <v>2</v>
      </c>
      <c r="C62" t="s">
        <v>165</v>
      </c>
      <c r="D62" t="s">
        <v>1354</v>
      </c>
      <c r="E62" s="122">
        <v>1.0194805194805194</v>
      </c>
      <c r="G62">
        <v>2</v>
      </c>
      <c r="H62" t="s">
        <v>580</v>
      </c>
      <c r="I62" t="s">
        <v>1442</v>
      </c>
      <c r="J62" s="122">
        <v>0.96881606765327688</v>
      </c>
      <c r="L62">
        <v>2</v>
      </c>
      <c r="M62" t="s">
        <v>165</v>
      </c>
      <c r="N62" t="s">
        <v>1583</v>
      </c>
      <c r="O62" s="122">
        <v>0.61533463287849255</v>
      </c>
      <c r="Q62">
        <v>2</v>
      </c>
      <c r="R62" t="s">
        <v>835</v>
      </c>
      <c r="S62" t="s">
        <v>1473</v>
      </c>
      <c r="T62" s="122">
        <v>0.734739178690344</v>
      </c>
      <c r="W62">
        <v>2</v>
      </c>
      <c r="X62" t="s">
        <v>266</v>
      </c>
      <c r="Y62" t="s">
        <v>1584</v>
      </c>
      <c r="Z62" s="122">
        <v>0.86599999999999999</v>
      </c>
      <c r="AB62">
        <v>2</v>
      </c>
      <c r="AC62" t="s">
        <v>1139</v>
      </c>
      <c r="AD62" t="s">
        <v>1431</v>
      </c>
      <c r="AE62" s="122">
        <v>0.69399999999999995</v>
      </c>
      <c r="AG62">
        <v>2</v>
      </c>
      <c r="AH62" t="s">
        <v>1139</v>
      </c>
      <c r="AI62" t="s">
        <v>1447</v>
      </c>
      <c r="AJ62" s="122">
        <v>0.81200000000000006</v>
      </c>
      <c r="AL62">
        <v>2</v>
      </c>
      <c r="AM62" t="s">
        <v>429</v>
      </c>
      <c r="AN62" t="s">
        <v>1465</v>
      </c>
      <c r="AO62" s="122">
        <v>1.0549999999999999</v>
      </c>
      <c r="AR62">
        <v>2</v>
      </c>
      <c r="AS62" t="s">
        <v>770</v>
      </c>
      <c r="AT62" t="s">
        <v>1527</v>
      </c>
      <c r="AU62" s="122">
        <v>0.82099999999999995</v>
      </c>
      <c r="AW62">
        <v>2</v>
      </c>
      <c r="AX62" t="s">
        <v>1139</v>
      </c>
      <c r="AY62" t="s">
        <v>1431</v>
      </c>
      <c r="AZ62" s="122">
        <v>0.97</v>
      </c>
      <c r="BB62">
        <v>2</v>
      </c>
      <c r="BC62" t="s">
        <v>580</v>
      </c>
      <c r="BD62" t="s">
        <v>1429</v>
      </c>
      <c r="BE62" s="122">
        <v>0.754</v>
      </c>
      <c r="BG62">
        <v>2</v>
      </c>
      <c r="BH62" t="s">
        <v>1062</v>
      </c>
      <c r="BI62" t="s">
        <v>1585</v>
      </c>
      <c r="BJ62" s="122">
        <v>0.89400000000000002</v>
      </c>
    </row>
    <row r="64" spans="2:62" ht="19">
      <c r="B64" s="1069" t="s">
        <v>1586</v>
      </c>
      <c r="C64" s="1070"/>
      <c r="D64" s="1070"/>
      <c r="E64" s="1071"/>
      <c r="F64" s="118"/>
      <c r="G64" s="1069" t="s">
        <v>1587</v>
      </c>
      <c r="H64" s="1070"/>
      <c r="I64" s="1070"/>
      <c r="J64" s="1071"/>
      <c r="K64" s="118"/>
      <c r="L64" s="1069" t="s">
        <v>1588</v>
      </c>
      <c r="M64" s="1070"/>
      <c r="N64" s="1070"/>
      <c r="O64" s="1071"/>
      <c r="P64" s="118"/>
      <c r="Q64" s="1069" t="s">
        <v>1589</v>
      </c>
      <c r="R64" s="1070"/>
      <c r="S64" s="1070"/>
      <c r="T64" s="1071"/>
      <c r="W64" s="1069" t="s">
        <v>1586</v>
      </c>
      <c r="X64" s="1070"/>
      <c r="Y64" s="1070"/>
      <c r="Z64" s="1071"/>
      <c r="AA64" s="118"/>
      <c r="AB64" s="1069" t="s">
        <v>1587</v>
      </c>
      <c r="AC64" s="1070"/>
      <c r="AD64" s="1070"/>
      <c r="AE64" s="1071"/>
      <c r="AF64" s="118"/>
      <c r="AG64" s="1069" t="s">
        <v>1588</v>
      </c>
      <c r="AH64" s="1070"/>
      <c r="AI64" s="1070"/>
      <c r="AJ64" s="1071"/>
      <c r="AK64" s="118"/>
      <c r="AL64" s="1069" t="s">
        <v>1589</v>
      </c>
      <c r="AM64" s="1070"/>
      <c r="AN64" s="1070"/>
      <c r="AO64" s="1071"/>
      <c r="AR64" s="1069" t="s">
        <v>1586</v>
      </c>
      <c r="AS64" s="1070"/>
      <c r="AT64" s="1070"/>
      <c r="AU64" s="1071"/>
      <c r="AV64" s="118"/>
      <c r="AW64" s="1069" t="s">
        <v>1587</v>
      </c>
      <c r="AX64" s="1070"/>
      <c r="AY64" s="1070"/>
      <c r="AZ64" s="1071"/>
      <c r="BA64" s="118"/>
      <c r="BB64" s="1069" t="s">
        <v>1588</v>
      </c>
      <c r="BC64" s="1070"/>
      <c r="BD64" s="1070"/>
      <c r="BE64" s="1071"/>
      <c r="BF64" s="118"/>
      <c r="BG64" s="1069" t="s">
        <v>1589</v>
      </c>
      <c r="BH64" s="1070"/>
      <c r="BI64" s="1070"/>
      <c r="BJ64" s="1071"/>
    </row>
    <row r="65" spans="2:62" s="141" customFormat="1">
      <c r="B65" s="359"/>
      <c r="C65" s="359" t="s">
        <v>8</v>
      </c>
      <c r="D65" s="359" t="s">
        <v>1314</v>
      </c>
      <c r="E65" s="359" t="s">
        <v>164</v>
      </c>
      <c r="G65" s="359"/>
      <c r="H65" s="359" t="s">
        <v>8</v>
      </c>
      <c r="I65" s="359" t="s">
        <v>1314</v>
      </c>
      <c r="J65" s="359" t="s">
        <v>164</v>
      </c>
      <c r="L65" s="359"/>
      <c r="M65" s="359" t="s">
        <v>8</v>
      </c>
      <c r="N65" s="359" t="s">
        <v>1314</v>
      </c>
      <c r="O65" s="359" t="s">
        <v>164</v>
      </c>
      <c r="Q65" s="359"/>
      <c r="R65" s="359" t="s">
        <v>8</v>
      </c>
      <c r="S65" s="359" t="s">
        <v>1314</v>
      </c>
      <c r="T65" s="359" t="s">
        <v>164</v>
      </c>
      <c r="W65" s="359"/>
      <c r="X65" s="359" t="s">
        <v>8</v>
      </c>
      <c r="Y65" s="359" t="s">
        <v>1314</v>
      </c>
      <c r="Z65" s="359" t="s">
        <v>164</v>
      </c>
      <c r="AB65" s="359"/>
      <c r="AC65" s="359" t="s">
        <v>8</v>
      </c>
      <c r="AD65" s="359" t="s">
        <v>1314</v>
      </c>
      <c r="AE65" s="359" t="s">
        <v>164</v>
      </c>
      <c r="AG65" s="359"/>
      <c r="AH65" s="359" t="s">
        <v>8</v>
      </c>
      <c r="AI65" s="359" t="s">
        <v>1314</v>
      </c>
      <c r="AJ65" s="359" t="s">
        <v>164</v>
      </c>
      <c r="AL65" s="359"/>
      <c r="AM65" s="359" t="s">
        <v>8</v>
      </c>
      <c r="AN65" s="359" t="s">
        <v>1314</v>
      </c>
      <c r="AO65" s="359" t="s">
        <v>164</v>
      </c>
      <c r="AR65" s="359"/>
      <c r="AS65" s="359" t="s">
        <v>8</v>
      </c>
      <c r="AT65" s="359" t="s">
        <v>1314</v>
      </c>
      <c r="AU65" s="359" t="s">
        <v>164</v>
      </c>
      <c r="AW65" s="359"/>
      <c r="AX65" s="359" t="s">
        <v>8</v>
      </c>
      <c r="AY65" s="359" t="s">
        <v>1314</v>
      </c>
      <c r="AZ65" s="359" t="s">
        <v>164</v>
      </c>
      <c r="BB65" s="359"/>
      <c r="BC65" s="359" t="s">
        <v>8</v>
      </c>
      <c r="BD65" s="359" t="s">
        <v>1314</v>
      </c>
      <c r="BE65" s="359" t="s">
        <v>164</v>
      </c>
      <c r="BG65" s="359"/>
      <c r="BH65" s="359" t="s">
        <v>8</v>
      </c>
      <c r="BI65" s="359" t="s">
        <v>1314</v>
      </c>
      <c r="BJ65" s="359" t="s">
        <v>164</v>
      </c>
    </row>
    <row r="66" spans="2:62" ht="19">
      <c r="B66" s="119">
        <v>1</v>
      </c>
      <c r="C66" s="119" t="s">
        <v>1171</v>
      </c>
      <c r="D66" s="119" t="s">
        <v>1486</v>
      </c>
      <c r="E66" s="120">
        <v>0.81399437412095632</v>
      </c>
      <c r="F66" s="119"/>
      <c r="G66" s="119">
        <v>1</v>
      </c>
      <c r="H66" s="119" t="s">
        <v>394</v>
      </c>
      <c r="I66" s="119" t="s">
        <v>1509</v>
      </c>
      <c r="J66" s="120">
        <v>1.1909090909090909</v>
      </c>
      <c r="K66" s="119"/>
      <c r="L66" s="119">
        <v>1</v>
      </c>
      <c r="M66" s="119" t="s">
        <v>835</v>
      </c>
      <c r="N66" s="119" t="s">
        <v>1590</v>
      </c>
      <c r="O66" s="120">
        <v>0.95192307692307687</v>
      </c>
      <c r="P66" s="119"/>
      <c r="Q66" s="119">
        <v>1</v>
      </c>
      <c r="R66" s="119" t="s">
        <v>300</v>
      </c>
      <c r="S66" s="119" t="s">
        <v>1591</v>
      </c>
      <c r="T66" s="120">
        <v>1.1048951048951048</v>
      </c>
      <c r="W66" s="119">
        <v>1</v>
      </c>
      <c r="X66" s="119" t="s">
        <v>266</v>
      </c>
      <c r="Y66" s="119" t="s">
        <v>1462</v>
      </c>
      <c r="Z66" s="120">
        <v>1.0529999999999999</v>
      </c>
      <c r="AA66" s="119"/>
      <c r="AB66" s="119">
        <v>1</v>
      </c>
      <c r="AC66" s="119" t="s">
        <v>226</v>
      </c>
      <c r="AD66" s="119" t="s">
        <v>1592</v>
      </c>
      <c r="AE66" s="120">
        <v>0.71199999999999997</v>
      </c>
      <c r="AF66" s="119"/>
      <c r="AG66" s="119">
        <v>1</v>
      </c>
      <c r="AH66" s="119" t="s">
        <v>1139</v>
      </c>
      <c r="AI66" s="119" t="s">
        <v>1499</v>
      </c>
      <c r="AJ66" s="120">
        <v>0.84299999999999997</v>
      </c>
      <c r="AK66" s="119"/>
      <c r="AL66" s="119">
        <v>1</v>
      </c>
      <c r="AM66" s="119" t="s">
        <v>266</v>
      </c>
      <c r="AN66" s="119" t="s">
        <v>1541</v>
      </c>
      <c r="AO66" s="120">
        <v>0.754</v>
      </c>
      <c r="AR66" s="119">
        <v>1</v>
      </c>
      <c r="AS66" s="119" t="s">
        <v>580</v>
      </c>
      <c r="AT66" s="119" t="s">
        <v>1476</v>
      </c>
      <c r="AU66" s="120">
        <v>0.89700000000000002</v>
      </c>
      <c r="AV66" s="119"/>
      <c r="AW66" s="119">
        <v>1</v>
      </c>
      <c r="AX66" s="119" t="s">
        <v>770</v>
      </c>
      <c r="AY66" s="119" t="s">
        <v>1527</v>
      </c>
      <c r="AZ66" s="120">
        <v>0.82099999999999995</v>
      </c>
      <c r="BA66" s="119"/>
      <c r="BB66" s="119">
        <v>1</v>
      </c>
      <c r="BC66" s="119" t="s">
        <v>1062</v>
      </c>
      <c r="BD66" s="119" t="s">
        <v>1497</v>
      </c>
      <c r="BE66" s="120">
        <v>0.97199999999999998</v>
      </c>
      <c r="BF66" s="119"/>
      <c r="BG66" s="119">
        <v>1</v>
      </c>
      <c r="BH66" s="119" t="s">
        <v>770</v>
      </c>
      <c r="BI66" s="119" t="s">
        <v>1545</v>
      </c>
      <c r="BJ66" s="120">
        <v>0.95299999999999996</v>
      </c>
    </row>
    <row r="67" spans="2:62">
      <c r="B67">
        <v>2</v>
      </c>
      <c r="C67" t="s">
        <v>165</v>
      </c>
      <c r="D67" t="s">
        <v>1471</v>
      </c>
      <c r="E67" s="122">
        <v>0.79776619508562918</v>
      </c>
      <c r="G67">
        <v>2</v>
      </c>
      <c r="H67" t="s">
        <v>835</v>
      </c>
      <c r="I67" t="s">
        <v>1510</v>
      </c>
      <c r="J67" s="122">
        <v>0.88674780256930363</v>
      </c>
      <c r="L67">
        <v>2</v>
      </c>
      <c r="M67" t="s">
        <v>165</v>
      </c>
      <c r="N67" t="s">
        <v>1341</v>
      </c>
      <c r="O67" s="122">
        <v>0.76458752515090533</v>
      </c>
      <c r="Q67">
        <v>2</v>
      </c>
      <c r="R67" t="s">
        <v>165</v>
      </c>
      <c r="S67" t="s">
        <v>1593</v>
      </c>
      <c r="T67" s="122">
        <v>0.76662143826322926</v>
      </c>
      <c r="W67">
        <v>2</v>
      </c>
      <c r="X67" t="s">
        <v>226</v>
      </c>
      <c r="Y67" t="s">
        <v>1482</v>
      </c>
      <c r="Z67" s="122">
        <v>0.79100000000000004</v>
      </c>
      <c r="AB67">
        <v>2</v>
      </c>
      <c r="AC67" t="s">
        <v>429</v>
      </c>
      <c r="AD67" t="s">
        <v>1352</v>
      </c>
      <c r="AE67" s="122">
        <v>0.88200000000000001</v>
      </c>
      <c r="AG67">
        <v>2</v>
      </c>
      <c r="AH67" t="s">
        <v>226</v>
      </c>
      <c r="AI67" t="s">
        <v>1374</v>
      </c>
      <c r="AJ67" s="122">
        <v>1.143</v>
      </c>
      <c r="AL67">
        <v>2</v>
      </c>
      <c r="AM67" t="s">
        <v>226</v>
      </c>
      <c r="AN67" t="s">
        <v>1550</v>
      </c>
      <c r="AO67" s="122">
        <v>0.77200000000000002</v>
      </c>
      <c r="AR67">
        <v>2</v>
      </c>
      <c r="AS67" t="s">
        <v>770</v>
      </c>
      <c r="AT67" t="s">
        <v>1594</v>
      </c>
      <c r="AU67" s="122">
        <v>0.82799999999999996</v>
      </c>
      <c r="AW67">
        <v>2</v>
      </c>
      <c r="AX67" t="s">
        <v>685</v>
      </c>
      <c r="AY67" t="s">
        <v>1526</v>
      </c>
      <c r="AZ67" s="122">
        <v>0.94599999999999995</v>
      </c>
      <c r="BB67">
        <v>2</v>
      </c>
      <c r="BC67" t="s">
        <v>1139</v>
      </c>
      <c r="BD67" t="s">
        <v>1499</v>
      </c>
      <c r="BE67" s="122">
        <v>0.96099999999999997</v>
      </c>
      <c r="BG67">
        <v>2</v>
      </c>
      <c r="BH67" t="s">
        <v>685</v>
      </c>
      <c r="BI67" t="s">
        <v>1344</v>
      </c>
      <c r="BJ67" s="122">
        <v>0.871</v>
      </c>
    </row>
    <row r="69" spans="2:62" ht="19">
      <c r="B69" s="1069" t="s">
        <v>1595</v>
      </c>
      <c r="C69" s="1070"/>
      <c r="D69" s="1070"/>
      <c r="E69" s="1071"/>
      <c r="F69" s="118"/>
      <c r="G69" s="1069" t="s">
        <v>1596</v>
      </c>
      <c r="H69" s="1070"/>
      <c r="I69" s="1070"/>
      <c r="J69" s="1071"/>
      <c r="K69" s="118"/>
      <c r="L69" s="1069" t="s">
        <v>1597</v>
      </c>
      <c r="M69" s="1070"/>
      <c r="N69" s="1070"/>
      <c r="O69" s="1071"/>
      <c r="P69" s="118"/>
      <c r="Q69" s="1069" t="s">
        <v>1598</v>
      </c>
      <c r="R69" s="1070"/>
      <c r="S69" s="1070"/>
      <c r="T69" s="1071"/>
      <c r="W69" s="1069" t="s">
        <v>1595</v>
      </c>
      <c r="X69" s="1070"/>
      <c r="Y69" s="1070"/>
      <c r="Z69" s="1071"/>
      <c r="AA69" s="118"/>
      <c r="AB69" s="1069" t="s">
        <v>1596</v>
      </c>
      <c r="AC69" s="1070"/>
      <c r="AD69" s="1070"/>
      <c r="AE69" s="1071"/>
      <c r="AF69" s="118"/>
      <c r="AG69" s="1069" t="s">
        <v>1597</v>
      </c>
      <c r="AH69" s="1070"/>
      <c r="AI69" s="1070"/>
      <c r="AJ69" s="1071"/>
      <c r="AK69" s="118"/>
      <c r="AL69" s="1069" t="s">
        <v>1598</v>
      </c>
      <c r="AM69" s="1070"/>
      <c r="AN69" s="1070"/>
      <c r="AO69" s="1071"/>
      <c r="AR69" s="1069" t="s">
        <v>1595</v>
      </c>
      <c r="AS69" s="1070"/>
      <c r="AT69" s="1070"/>
      <c r="AU69" s="1071"/>
      <c r="AV69" s="118"/>
      <c r="AW69" s="1069" t="s">
        <v>1596</v>
      </c>
      <c r="AX69" s="1070"/>
      <c r="AY69" s="1070"/>
      <c r="AZ69" s="1071"/>
      <c r="BA69" s="118"/>
      <c r="BB69" s="1069" t="s">
        <v>1597</v>
      </c>
      <c r="BC69" s="1070"/>
      <c r="BD69" s="1070"/>
      <c r="BE69" s="1071"/>
      <c r="BF69" s="118"/>
      <c r="BG69" s="1069" t="s">
        <v>1598</v>
      </c>
      <c r="BH69" s="1070"/>
      <c r="BI69" s="1070"/>
      <c r="BJ69" s="1071"/>
    </row>
    <row r="70" spans="2:62" s="141" customFormat="1">
      <c r="B70" s="359"/>
      <c r="C70" s="359" t="s">
        <v>8</v>
      </c>
      <c r="D70" s="359" t="s">
        <v>1314</v>
      </c>
      <c r="E70" s="359" t="s">
        <v>164</v>
      </c>
      <c r="G70" s="359"/>
      <c r="H70" s="359" t="s">
        <v>8</v>
      </c>
      <c r="I70" s="359" t="s">
        <v>1314</v>
      </c>
      <c r="J70" s="359" t="s">
        <v>164</v>
      </c>
      <c r="L70" s="359"/>
      <c r="M70" s="359" t="s">
        <v>8</v>
      </c>
      <c r="N70" s="359" t="s">
        <v>1314</v>
      </c>
      <c r="O70" s="359" t="s">
        <v>164</v>
      </c>
      <c r="Q70" s="359"/>
      <c r="R70" s="359" t="s">
        <v>8</v>
      </c>
      <c r="S70" s="359" t="s">
        <v>1314</v>
      </c>
      <c r="T70" s="359" t="s">
        <v>164</v>
      </c>
      <c r="W70" s="359"/>
      <c r="X70" s="359" t="s">
        <v>8</v>
      </c>
      <c r="Y70" s="359" t="s">
        <v>1314</v>
      </c>
      <c r="Z70" s="359" t="s">
        <v>164</v>
      </c>
      <c r="AB70" s="359"/>
      <c r="AC70" s="359" t="s">
        <v>8</v>
      </c>
      <c r="AD70" s="359" t="s">
        <v>1314</v>
      </c>
      <c r="AE70" s="359" t="s">
        <v>164</v>
      </c>
      <c r="AG70" s="359"/>
      <c r="AH70" s="359" t="s">
        <v>8</v>
      </c>
      <c r="AI70" s="359" t="s">
        <v>1314</v>
      </c>
      <c r="AJ70" s="359" t="s">
        <v>164</v>
      </c>
      <c r="AL70" s="359"/>
      <c r="AM70" s="359" t="s">
        <v>8</v>
      </c>
      <c r="AN70" s="359" t="s">
        <v>1314</v>
      </c>
      <c r="AO70" s="359" t="s">
        <v>164</v>
      </c>
      <c r="AR70" s="359"/>
      <c r="AS70" s="359" t="s">
        <v>8</v>
      </c>
      <c r="AT70" s="359" t="s">
        <v>1314</v>
      </c>
      <c r="AU70" s="359" t="s">
        <v>164</v>
      </c>
      <c r="AW70" s="359"/>
      <c r="AX70" s="359" t="s">
        <v>8</v>
      </c>
      <c r="AY70" s="359" t="s">
        <v>1314</v>
      </c>
      <c r="AZ70" s="359" t="s">
        <v>164</v>
      </c>
      <c r="BB70" s="359"/>
      <c r="BC70" s="359" t="s">
        <v>8</v>
      </c>
      <c r="BD70" s="359" t="s">
        <v>1314</v>
      </c>
      <c r="BE70" s="359" t="s">
        <v>164</v>
      </c>
      <c r="BG70" s="359"/>
      <c r="BH70" s="359" t="s">
        <v>8</v>
      </c>
      <c r="BI70" s="359" t="s">
        <v>1314</v>
      </c>
      <c r="BJ70" s="359" t="s">
        <v>164</v>
      </c>
    </row>
    <row r="71" spans="2:62" ht="19">
      <c r="B71" s="119">
        <v>1</v>
      </c>
      <c r="C71" s="119" t="s">
        <v>165</v>
      </c>
      <c r="D71" s="119" t="s">
        <v>1354</v>
      </c>
      <c r="E71" s="120">
        <v>1.0194805194805194</v>
      </c>
      <c r="F71" s="119"/>
      <c r="G71" s="119">
        <v>1</v>
      </c>
      <c r="H71" s="119" t="s">
        <v>770</v>
      </c>
      <c r="I71" s="119" t="s">
        <v>1599</v>
      </c>
      <c r="J71" s="120">
        <v>0.90417457305502857</v>
      </c>
      <c r="K71" s="119"/>
      <c r="L71" s="119">
        <v>1</v>
      </c>
      <c r="M71" s="119" t="s">
        <v>1171</v>
      </c>
      <c r="N71" s="119" t="s">
        <v>1579</v>
      </c>
      <c r="O71" s="121">
        <v>1.6578947368421053</v>
      </c>
      <c r="P71" s="119"/>
      <c r="Q71" s="119">
        <v>1</v>
      </c>
      <c r="R71" s="119" t="s">
        <v>1171</v>
      </c>
      <c r="S71" s="119" t="s">
        <v>1378</v>
      </c>
      <c r="T71" s="121">
        <v>3</v>
      </c>
      <c r="W71" s="119">
        <v>1</v>
      </c>
      <c r="X71" s="119" t="s">
        <v>266</v>
      </c>
      <c r="Y71" s="119" t="s">
        <v>1560</v>
      </c>
      <c r="Z71" s="120">
        <v>0.96599999999999997</v>
      </c>
      <c r="AA71" s="119"/>
      <c r="AB71" s="119">
        <v>1</v>
      </c>
      <c r="AC71" s="119" t="s">
        <v>266</v>
      </c>
      <c r="AD71" s="119" t="s">
        <v>1584</v>
      </c>
      <c r="AE71" s="120">
        <v>0.86599999999999999</v>
      </c>
      <c r="AF71" s="119"/>
      <c r="AG71" s="119">
        <v>1</v>
      </c>
      <c r="AH71" s="119" t="s">
        <v>1139</v>
      </c>
      <c r="AI71" s="119" t="s">
        <v>1600</v>
      </c>
      <c r="AJ71" s="121">
        <v>1.4</v>
      </c>
      <c r="AK71" s="119"/>
      <c r="AL71" s="119">
        <v>1</v>
      </c>
      <c r="AM71" s="119" t="s">
        <v>266</v>
      </c>
      <c r="AN71" s="119" t="s">
        <v>1410</v>
      </c>
      <c r="AO71" s="121">
        <v>0</v>
      </c>
      <c r="AR71" s="119">
        <v>1</v>
      </c>
      <c r="AS71" s="119" t="s">
        <v>685</v>
      </c>
      <c r="AT71" s="119" t="s">
        <v>1581</v>
      </c>
      <c r="AU71" s="120">
        <v>1.1830000000000001</v>
      </c>
      <c r="AV71" s="119"/>
      <c r="AW71" s="119">
        <v>1</v>
      </c>
      <c r="AX71" s="119" t="s">
        <v>952</v>
      </c>
      <c r="AY71" s="119" t="s">
        <v>1342</v>
      </c>
      <c r="AZ71" s="120">
        <v>1.2010000000000001</v>
      </c>
      <c r="BA71" s="119"/>
      <c r="BB71" s="119">
        <v>1</v>
      </c>
      <c r="BC71" s="119" t="s">
        <v>770</v>
      </c>
      <c r="BD71" s="119" t="s">
        <v>1601</v>
      </c>
      <c r="BE71" s="121">
        <v>1.95</v>
      </c>
      <c r="BF71" s="119"/>
      <c r="BG71" s="119">
        <v>1</v>
      </c>
      <c r="BH71" s="119" t="s">
        <v>770</v>
      </c>
      <c r="BI71" s="119" t="s">
        <v>1375</v>
      </c>
      <c r="BJ71" s="121">
        <v>1.29</v>
      </c>
    </row>
    <row r="72" spans="2:62">
      <c r="B72">
        <v>2</v>
      </c>
      <c r="C72" t="s">
        <v>1171</v>
      </c>
      <c r="D72" t="s">
        <v>1543</v>
      </c>
      <c r="E72" s="122">
        <v>0.89555514907627587</v>
      </c>
      <c r="G72">
        <v>2</v>
      </c>
      <c r="H72" t="s">
        <v>580</v>
      </c>
      <c r="I72" t="s">
        <v>1570</v>
      </c>
      <c r="J72" s="122">
        <v>0.65300000000000002</v>
      </c>
      <c r="L72">
        <v>2</v>
      </c>
      <c r="M72" t="s">
        <v>165</v>
      </c>
      <c r="N72" t="s">
        <v>1317</v>
      </c>
      <c r="O72" s="123">
        <v>2.0930232558139537</v>
      </c>
      <c r="Q72">
        <v>2</v>
      </c>
      <c r="R72" t="s">
        <v>580</v>
      </c>
      <c r="S72" t="s">
        <v>1387</v>
      </c>
      <c r="T72" s="123">
        <v>0</v>
      </c>
      <c r="W72">
        <v>2</v>
      </c>
      <c r="X72" t="s">
        <v>1171</v>
      </c>
      <c r="Y72" t="s">
        <v>1543</v>
      </c>
      <c r="Z72" s="122">
        <v>0.59099999999999997</v>
      </c>
      <c r="AB72">
        <v>2</v>
      </c>
      <c r="AC72" t="s">
        <v>1171</v>
      </c>
      <c r="AD72" t="s">
        <v>1602</v>
      </c>
      <c r="AE72" s="122">
        <v>0.79100000000000004</v>
      </c>
      <c r="AG72">
        <v>2</v>
      </c>
      <c r="AH72" t="s">
        <v>1171</v>
      </c>
      <c r="AI72" t="s">
        <v>1328</v>
      </c>
      <c r="AJ72" s="123">
        <v>1.5</v>
      </c>
      <c r="AL72">
        <v>2</v>
      </c>
      <c r="AM72" t="s">
        <v>1171</v>
      </c>
      <c r="AN72" t="s">
        <v>1378</v>
      </c>
      <c r="AO72" s="123">
        <v>0.73</v>
      </c>
      <c r="AR72">
        <v>2</v>
      </c>
      <c r="AS72" t="s">
        <v>770</v>
      </c>
      <c r="AT72" t="s">
        <v>1542</v>
      </c>
      <c r="AU72" s="122">
        <v>0.76</v>
      </c>
      <c r="AW72">
        <v>2</v>
      </c>
      <c r="AX72" t="s">
        <v>770</v>
      </c>
      <c r="AY72" t="s">
        <v>1332</v>
      </c>
      <c r="AZ72" s="122">
        <v>0.8</v>
      </c>
      <c r="BB72">
        <v>2</v>
      </c>
      <c r="BC72" t="s">
        <v>539</v>
      </c>
      <c r="BD72" t="s">
        <v>1603</v>
      </c>
      <c r="BE72" s="123">
        <v>1.27</v>
      </c>
      <c r="BG72">
        <v>2</v>
      </c>
      <c r="BH72" t="s">
        <v>1062</v>
      </c>
      <c r="BI72" t="s">
        <v>1407</v>
      </c>
      <c r="BJ72" s="123">
        <v>0</v>
      </c>
    </row>
    <row r="74" spans="2:62" ht="19">
      <c r="B74" s="1069" t="s">
        <v>1604</v>
      </c>
      <c r="C74" s="1070"/>
      <c r="D74" s="1070"/>
      <c r="E74" s="1071"/>
      <c r="W74" s="1069" t="s">
        <v>1604</v>
      </c>
      <c r="X74" s="1070"/>
      <c r="Y74" s="1070"/>
      <c r="Z74" s="1071"/>
      <c r="AR74" s="1069" t="s">
        <v>1604</v>
      </c>
      <c r="AS74" s="1070"/>
      <c r="AT74" s="1070"/>
      <c r="AU74" s="1071"/>
    </row>
    <row r="75" spans="2:62" s="141" customFormat="1">
      <c r="B75" s="359"/>
      <c r="C75" s="359" t="s">
        <v>8</v>
      </c>
      <c r="D75" s="359" t="s">
        <v>1314</v>
      </c>
      <c r="E75" s="359" t="s">
        <v>164</v>
      </c>
      <c r="W75" s="359"/>
      <c r="X75" s="359" t="s">
        <v>8</v>
      </c>
      <c r="Y75" s="359" t="s">
        <v>1314</v>
      </c>
      <c r="Z75" s="359" t="s">
        <v>164</v>
      </c>
      <c r="AR75" s="359"/>
      <c r="AS75" s="359" t="s">
        <v>8</v>
      </c>
      <c r="AT75" s="359" t="s">
        <v>1314</v>
      </c>
      <c r="AU75" s="359" t="s">
        <v>164</v>
      </c>
    </row>
    <row r="76" spans="2:62" ht="19">
      <c r="B76" s="119">
        <v>1</v>
      </c>
      <c r="C76" s="119" t="s">
        <v>1171</v>
      </c>
      <c r="D76" s="119" t="s">
        <v>1579</v>
      </c>
      <c r="E76" s="120">
        <v>0.61349693251533743</v>
      </c>
      <c r="W76" s="119">
        <v>1</v>
      </c>
      <c r="X76" s="119" t="s">
        <v>266</v>
      </c>
      <c r="Y76" s="119" t="s">
        <v>1462</v>
      </c>
      <c r="Z76" s="120">
        <v>1.0760000000000001</v>
      </c>
      <c r="AR76" s="119">
        <v>1</v>
      </c>
      <c r="AS76" s="119" t="s">
        <v>770</v>
      </c>
      <c r="AT76" s="119" t="s">
        <v>1443</v>
      </c>
      <c r="AU76" s="120">
        <v>1.1319999999999999</v>
      </c>
    </row>
    <row r="77" spans="2:62">
      <c r="B77">
        <v>2</v>
      </c>
      <c r="C77" t="s">
        <v>1171</v>
      </c>
      <c r="D77" t="s">
        <v>1486</v>
      </c>
      <c r="E77" s="122">
        <v>0.93131868131868134</v>
      </c>
      <c r="W77">
        <v>2</v>
      </c>
      <c r="X77" t="s">
        <v>266</v>
      </c>
      <c r="Y77" t="s">
        <v>1410</v>
      </c>
      <c r="Z77" s="123">
        <v>0</v>
      </c>
      <c r="AR77">
        <v>2</v>
      </c>
      <c r="AS77" t="s">
        <v>770</v>
      </c>
      <c r="AT77" t="s">
        <v>1601</v>
      </c>
      <c r="AU77" s="123">
        <v>3.21</v>
      </c>
    </row>
  </sheetData>
  <mergeCells count="123">
    <mergeCell ref="AB69:AE69"/>
    <mergeCell ref="AG69:AJ69"/>
    <mergeCell ref="AL69:AO69"/>
    <mergeCell ref="AR69:AU69"/>
    <mergeCell ref="AW69:AZ69"/>
    <mergeCell ref="BB69:BE69"/>
    <mergeCell ref="BG69:BJ69"/>
    <mergeCell ref="W64:Z64"/>
    <mergeCell ref="AB50:AE50"/>
    <mergeCell ref="AR50:AU50"/>
    <mergeCell ref="AW50:AZ50"/>
    <mergeCell ref="AR64:AU64"/>
    <mergeCell ref="W42:Z42"/>
    <mergeCell ref="AB42:AE42"/>
    <mergeCell ref="AG42:AJ42"/>
    <mergeCell ref="AL42:AO42"/>
    <mergeCell ref="AR42:AU42"/>
    <mergeCell ref="W74:Z74"/>
    <mergeCell ref="AR74:AU74"/>
    <mergeCell ref="AW64:AZ64"/>
    <mergeCell ref="W58:AO58"/>
    <mergeCell ref="AR58:BJ58"/>
    <mergeCell ref="W59:Z59"/>
    <mergeCell ref="AB59:AE59"/>
    <mergeCell ref="AG59:AJ59"/>
    <mergeCell ref="AL59:AO59"/>
    <mergeCell ref="AR59:AU59"/>
    <mergeCell ref="AW59:AZ59"/>
    <mergeCell ref="BB59:BE59"/>
    <mergeCell ref="BG59:BJ59"/>
    <mergeCell ref="BB64:BE64"/>
    <mergeCell ref="BG64:BJ64"/>
    <mergeCell ref="W69:Z69"/>
    <mergeCell ref="AB64:AE64"/>
    <mergeCell ref="AG64:AJ64"/>
    <mergeCell ref="AL64:AO64"/>
    <mergeCell ref="AB34:AE34"/>
    <mergeCell ref="AG34:AJ34"/>
    <mergeCell ref="AL34:AO34"/>
    <mergeCell ref="AR34:AU34"/>
    <mergeCell ref="AW34:AZ34"/>
    <mergeCell ref="BB34:BE34"/>
    <mergeCell ref="BG34:BJ34"/>
    <mergeCell ref="W26:Z26"/>
    <mergeCell ref="AB26:AE26"/>
    <mergeCell ref="AG26:AJ26"/>
    <mergeCell ref="AL26:AO26"/>
    <mergeCell ref="AR26:AU26"/>
    <mergeCell ref="AW42:AZ42"/>
    <mergeCell ref="BB42:BE42"/>
    <mergeCell ref="BG42:BJ42"/>
    <mergeCell ref="W50:Z50"/>
    <mergeCell ref="AR10:AU10"/>
    <mergeCell ref="AW10:AZ10"/>
    <mergeCell ref="BB10:BE10"/>
    <mergeCell ref="BG10:BJ10"/>
    <mergeCell ref="W18:Z18"/>
    <mergeCell ref="AB18:AE18"/>
    <mergeCell ref="AG18:AJ18"/>
    <mergeCell ref="AL18:AO18"/>
    <mergeCell ref="AR18:AU18"/>
    <mergeCell ref="AW18:AZ18"/>
    <mergeCell ref="BB18:BE18"/>
    <mergeCell ref="BG18:BJ18"/>
    <mergeCell ref="W10:Z10"/>
    <mergeCell ref="AB10:AE10"/>
    <mergeCell ref="AG10:AJ10"/>
    <mergeCell ref="AL10:AO10"/>
    <mergeCell ref="AW26:AZ26"/>
    <mergeCell ref="BB26:BE26"/>
    <mergeCell ref="BG26:BJ26"/>
    <mergeCell ref="W34:Z34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W1:AO1"/>
    <mergeCell ref="B1:T1"/>
    <mergeCell ref="B2:E2"/>
    <mergeCell ref="G2:J2"/>
    <mergeCell ref="L2:O2"/>
    <mergeCell ref="Q2:T2"/>
    <mergeCell ref="B34:E34"/>
    <mergeCell ref="G34:J34"/>
    <mergeCell ref="L34:O34"/>
    <mergeCell ref="Q34:T34"/>
    <mergeCell ref="B10:E10"/>
    <mergeCell ref="G10:J10"/>
    <mergeCell ref="L10:O10"/>
    <mergeCell ref="Q10:T10"/>
    <mergeCell ref="B18:E18"/>
    <mergeCell ref="G18:J18"/>
    <mergeCell ref="L18:O18"/>
    <mergeCell ref="Q18:T18"/>
    <mergeCell ref="B26:E26"/>
    <mergeCell ref="G26:J26"/>
    <mergeCell ref="L26:O26"/>
    <mergeCell ref="Q26:T26"/>
    <mergeCell ref="B42:E42"/>
    <mergeCell ref="G42:J42"/>
    <mergeCell ref="L42:O42"/>
    <mergeCell ref="Q42:T42"/>
    <mergeCell ref="B50:E50"/>
    <mergeCell ref="G50:J50"/>
    <mergeCell ref="B58:T58"/>
    <mergeCell ref="B59:E59"/>
    <mergeCell ref="G59:J59"/>
    <mergeCell ref="L59:O59"/>
    <mergeCell ref="Q59:T59"/>
    <mergeCell ref="B74:E74"/>
    <mergeCell ref="B64:E64"/>
    <mergeCell ref="G64:J64"/>
    <mergeCell ref="L64:O64"/>
    <mergeCell ref="Q64:T64"/>
    <mergeCell ref="B69:E69"/>
    <mergeCell ref="G69:J69"/>
    <mergeCell ref="L69:O69"/>
    <mergeCell ref="Q69:T6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BJ85"/>
  <sheetViews>
    <sheetView workbookViewId="0">
      <pane ySplit="1" topLeftCell="A2" activePane="bottomLeft" state="frozenSplit"/>
      <selection pane="bottomLeft" activeCell="AX48" sqref="AX48"/>
    </sheetView>
  </sheetViews>
  <sheetFormatPr baseColWidth="10" defaultRowHeight="16"/>
  <cols>
    <col min="1" max="1" width="3.83203125" customWidth="1"/>
    <col min="2" max="2" width="3.1640625" customWidth="1"/>
    <col min="3" max="3" width="6" customWidth="1"/>
    <col min="4" max="4" width="18.1640625" customWidth="1"/>
    <col min="5" max="5" width="6.5" customWidth="1"/>
    <col min="6" max="6" width="3.83203125" customWidth="1"/>
    <col min="7" max="7" width="3.1640625" customWidth="1"/>
    <col min="8" max="8" width="6" customWidth="1"/>
    <col min="9" max="9" width="14.33203125" customWidth="1"/>
    <col min="10" max="10" width="6.5" customWidth="1"/>
    <col min="11" max="11" width="3.83203125" customWidth="1"/>
    <col min="12" max="12" width="3.1640625" customWidth="1"/>
    <col min="13" max="13" width="6" customWidth="1"/>
    <col min="14" max="14" width="15.33203125" customWidth="1"/>
    <col min="15" max="15" width="5.6640625" customWidth="1"/>
    <col min="16" max="16" width="3.83203125" customWidth="1"/>
    <col min="17" max="17" width="3.1640625" customWidth="1"/>
    <col min="18" max="18" width="6" customWidth="1"/>
    <col min="19" max="19" width="16" customWidth="1"/>
    <col min="20" max="20" width="7" customWidth="1"/>
    <col min="21" max="22" width="3.83203125" customWidth="1"/>
    <col min="23" max="23" width="2.33203125" customWidth="1"/>
    <col min="24" max="24" width="5.6640625" customWidth="1"/>
    <col min="25" max="25" width="17.6640625" customWidth="1"/>
    <col min="26" max="26" width="5.83203125" customWidth="1"/>
    <col min="27" max="27" width="3.83203125" customWidth="1"/>
    <col min="28" max="28" width="3.1640625" customWidth="1"/>
    <col min="29" max="29" width="5.6640625" customWidth="1"/>
    <col min="30" max="30" width="14.5" customWidth="1"/>
    <col min="31" max="31" width="5.6640625" customWidth="1"/>
    <col min="32" max="32" width="3.83203125" customWidth="1"/>
    <col min="33" max="33" width="3.1640625" customWidth="1"/>
    <col min="34" max="34" width="5.5" customWidth="1"/>
    <col min="35" max="35" width="15.6640625" customWidth="1"/>
    <col min="36" max="36" width="6.5" customWidth="1"/>
    <col min="37" max="37" width="3.83203125" customWidth="1"/>
    <col min="38" max="38" width="3.1640625" customWidth="1"/>
    <col min="39" max="39" width="6.1640625" customWidth="1"/>
    <col min="40" max="40" width="16.33203125" customWidth="1"/>
    <col min="41" max="41" width="7" customWidth="1"/>
    <col min="42" max="43" width="3.83203125" customWidth="1"/>
    <col min="44" max="44" width="3.1640625" customWidth="1"/>
    <col min="45" max="45" width="5.6640625" customWidth="1"/>
    <col min="46" max="46" width="14.83203125" customWidth="1"/>
    <col min="47" max="47" width="6.5" customWidth="1"/>
    <col min="48" max="48" width="3.83203125" customWidth="1"/>
    <col min="49" max="49" width="3.1640625" customWidth="1"/>
    <col min="50" max="50" width="6.1640625" customWidth="1"/>
    <col min="51" max="51" width="13.5" customWidth="1"/>
    <col min="52" max="52" width="6.5" customWidth="1"/>
    <col min="53" max="53" width="3.83203125" customWidth="1"/>
    <col min="54" max="54" width="3.1640625" customWidth="1"/>
    <col min="55" max="55" width="5.6640625" customWidth="1"/>
    <col min="56" max="56" width="13.83203125" customWidth="1"/>
    <col min="57" max="57" width="5.5" customWidth="1"/>
    <col min="58" max="58" width="3.83203125" customWidth="1"/>
    <col min="59" max="59" width="3.1640625" customWidth="1"/>
    <col min="60" max="60" width="5.6640625" customWidth="1"/>
    <col min="61" max="61" width="16.33203125" customWidth="1"/>
    <col min="62" max="62" width="7.83203125" customWidth="1"/>
    <col min="63" max="63" width="3.1640625" customWidth="1"/>
  </cols>
  <sheetData>
    <row r="1" spans="2:62" ht="28" thickBot="1">
      <c r="B1" s="1081" t="s">
        <v>2178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  <c r="R1" s="1082"/>
      <c r="S1" s="1082"/>
      <c r="T1" s="1083"/>
      <c r="W1" s="1081" t="s">
        <v>2177</v>
      </c>
      <c r="X1" s="1082"/>
      <c r="Y1" s="1082"/>
      <c r="Z1" s="1082"/>
      <c r="AA1" s="1082"/>
      <c r="AB1" s="1082"/>
      <c r="AC1" s="1082"/>
      <c r="AD1" s="1082"/>
      <c r="AE1" s="1082"/>
      <c r="AF1" s="1082"/>
      <c r="AG1" s="1082"/>
      <c r="AH1" s="1082"/>
      <c r="AI1" s="1082"/>
      <c r="AJ1" s="1082"/>
      <c r="AK1" s="1082"/>
      <c r="AL1" s="1082"/>
      <c r="AM1" s="1082"/>
      <c r="AN1" s="1082"/>
      <c r="AO1" s="1083"/>
      <c r="AR1" s="1081" t="s">
        <v>2176</v>
      </c>
      <c r="AS1" s="1082"/>
      <c r="AT1" s="1082"/>
      <c r="AU1" s="1082"/>
      <c r="AV1" s="1082"/>
      <c r="AW1" s="1082"/>
      <c r="AX1" s="1082"/>
      <c r="AY1" s="1082"/>
      <c r="AZ1" s="1082"/>
      <c r="BA1" s="1082"/>
      <c r="BB1" s="1082"/>
      <c r="BC1" s="1082"/>
      <c r="BD1" s="1082"/>
      <c r="BE1" s="1082"/>
      <c r="BF1" s="1082"/>
      <c r="BG1" s="1082"/>
      <c r="BH1" s="1082"/>
      <c r="BI1" s="1082"/>
      <c r="BJ1" s="1083"/>
    </row>
    <row r="2" spans="2:62" s="118" customFormat="1" ht="20" thickBot="1">
      <c r="B2" s="1069" t="s">
        <v>1605</v>
      </c>
      <c r="C2" s="1070"/>
      <c r="D2" s="1070"/>
      <c r="E2" s="1071"/>
      <c r="G2" s="1069" t="s">
        <v>147</v>
      </c>
      <c r="H2" s="1070"/>
      <c r="I2" s="1070"/>
      <c r="J2" s="1071"/>
      <c r="L2" s="1069" t="s">
        <v>148</v>
      </c>
      <c r="M2" s="1070"/>
      <c r="N2" s="1070"/>
      <c r="O2" s="1071"/>
      <c r="Q2" s="1069" t="s">
        <v>162</v>
      </c>
      <c r="R2" s="1070"/>
      <c r="S2" s="1070"/>
      <c r="T2" s="1071"/>
      <c r="W2" s="1069" t="s">
        <v>1605</v>
      </c>
      <c r="X2" s="1070"/>
      <c r="Y2" s="1070"/>
      <c r="Z2" s="1071"/>
      <c r="AB2" s="1069" t="s">
        <v>147</v>
      </c>
      <c r="AC2" s="1070"/>
      <c r="AD2" s="1070"/>
      <c r="AE2" s="1071"/>
      <c r="AG2" s="1069" t="s">
        <v>148</v>
      </c>
      <c r="AH2" s="1070"/>
      <c r="AI2" s="1070"/>
      <c r="AJ2" s="1071"/>
      <c r="AL2" s="1069" t="s">
        <v>162</v>
      </c>
      <c r="AM2" s="1070"/>
      <c r="AN2" s="1070"/>
      <c r="AO2" s="1071"/>
      <c r="AR2" s="1069" t="s">
        <v>1605</v>
      </c>
      <c r="AS2" s="1070"/>
      <c r="AT2" s="1070"/>
      <c r="AU2" s="1071"/>
      <c r="AW2" s="1069" t="s">
        <v>147</v>
      </c>
      <c r="AX2" s="1070"/>
      <c r="AY2" s="1070"/>
      <c r="AZ2" s="1071"/>
      <c r="BB2" s="1069" t="s">
        <v>148</v>
      </c>
      <c r="BC2" s="1070"/>
      <c r="BD2" s="1070"/>
      <c r="BE2" s="1071"/>
      <c r="BG2" s="1069" t="s">
        <v>162</v>
      </c>
      <c r="BH2" s="1070"/>
      <c r="BI2" s="1070"/>
      <c r="BJ2" s="1071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266</v>
      </c>
      <c r="D4" s="119" t="s">
        <v>1466</v>
      </c>
      <c r="E4" s="120">
        <v>0.3772455089820359</v>
      </c>
      <c r="G4" s="119">
        <v>1</v>
      </c>
      <c r="H4" s="119" t="s">
        <v>539</v>
      </c>
      <c r="I4" s="119" t="s">
        <v>1563</v>
      </c>
      <c r="J4" s="120">
        <v>0.46590909090909088</v>
      </c>
      <c r="L4" s="119">
        <v>1</v>
      </c>
      <c r="M4" s="119" t="s">
        <v>952</v>
      </c>
      <c r="N4" s="119" t="s">
        <v>1316</v>
      </c>
      <c r="O4" s="120">
        <v>0.68944099378881984</v>
      </c>
      <c r="Q4" s="119">
        <v>1</v>
      </c>
      <c r="R4" s="119" t="s">
        <v>685</v>
      </c>
      <c r="S4" s="119" t="s">
        <v>1344</v>
      </c>
      <c r="T4" s="120">
        <v>1.1114852889046438</v>
      </c>
      <c r="W4" s="119">
        <v>1</v>
      </c>
      <c r="X4" s="119" t="s">
        <v>580</v>
      </c>
      <c r="Y4" s="119" t="s">
        <v>1570</v>
      </c>
      <c r="Z4" s="120">
        <v>0.36199999999999999</v>
      </c>
      <c r="AB4" s="119">
        <v>1</v>
      </c>
      <c r="AC4" s="119" t="s">
        <v>226</v>
      </c>
      <c r="AD4" s="119" t="s">
        <v>1374</v>
      </c>
      <c r="AE4" s="120">
        <v>0.42899999999999999</v>
      </c>
      <c r="AG4" s="119">
        <v>1</v>
      </c>
      <c r="AH4" s="511" t="s">
        <v>429</v>
      </c>
      <c r="AI4" s="511" t="s">
        <v>1319</v>
      </c>
      <c r="AJ4" s="512">
        <v>0.70699999999999996</v>
      </c>
      <c r="AL4" s="119">
        <v>1</v>
      </c>
      <c r="AM4" s="119" t="s">
        <v>429</v>
      </c>
      <c r="AN4" s="119" t="s">
        <v>1319</v>
      </c>
      <c r="AO4" s="120">
        <v>1.044</v>
      </c>
      <c r="AR4" s="119">
        <v>1</v>
      </c>
      <c r="AS4" s="511" t="s">
        <v>226</v>
      </c>
      <c r="AT4" s="511" t="s">
        <v>1463</v>
      </c>
      <c r="AU4" s="512">
        <v>0.40300000000000002</v>
      </c>
      <c r="AW4" s="119">
        <v>1</v>
      </c>
      <c r="AX4" s="511" t="s">
        <v>429</v>
      </c>
      <c r="AY4" s="511" t="s">
        <v>1423</v>
      </c>
      <c r="AZ4" s="512">
        <v>0.47099999999999997</v>
      </c>
      <c r="BB4" s="119">
        <v>1</v>
      </c>
      <c r="BC4" s="119" t="s">
        <v>429</v>
      </c>
      <c r="BD4" s="119" t="s">
        <v>1319</v>
      </c>
      <c r="BE4" s="120">
        <v>0.69299999999999995</v>
      </c>
      <c r="BG4" s="119">
        <v>1</v>
      </c>
      <c r="BH4" s="511" t="s">
        <v>1139</v>
      </c>
      <c r="BI4" s="511" t="s">
        <v>1499</v>
      </c>
      <c r="BJ4" s="512">
        <v>1.1200000000000001</v>
      </c>
    </row>
    <row r="5" spans="2:62">
      <c r="B5">
        <v>2</v>
      </c>
      <c r="C5" t="s">
        <v>539</v>
      </c>
      <c r="D5" t="s">
        <v>1563</v>
      </c>
      <c r="E5" s="122">
        <v>0.36912751677852351</v>
      </c>
      <c r="G5">
        <v>2</v>
      </c>
      <c r="H5" t="s">
        <v>463</v>
      </c>
      <c r="I5" t="s">
        <v>1557</v>
      </c>
      <c r="J5" s="122">
        <v>0.44198895027624308</v>
      </c>
      <c r="L5">
        <v>2</v>
      </c>
      <c r="M5" s="505" t="s">
        <v>685</v>
      </c>
      <c r="N5" s="505" t="s">
        <v>1344</v>
      </c>
      <c r="O5" s="510">
        <v>0.67741935483870963</v>
      </c>
      <c r="Q5">
        <v>2</v>
      </c>
      <c r="R5" t="s">
        <v>539</v>
      </c>
      <c r="S5" t="s">
        <v>1563</v>
      </c>
      <c r="T5" s="122">
        <v>1.1102043929225136</v>
      </c>
      <c r="W5">
        <v>2</v>
      </c>
      <c r="X5" t="s">
        <v>226</v>
      </c>
      <c r="Y5" t="s">
        <v>1550</v>
      </c>
      <c r="Z5" s="122">
        <v>0.35299999999999998</v>
      </c>
      <c r="AB5">
        <v>2</v>
      </c>
      <c r="AC5" t="s">
        <v>611</v>
      </c>
      <c r="AD5" t="s">
        <v>1567</v>
      </c>
      <c r="AE5" s="122">
        <v>0.42399999999999999</v>
      </c>
      <c r="AG5">
        <v>2</v>
      </c>
      <c r="AH5" t="s">
        <v>539</v>
      </c>
      <c r="AI5" t="s">
        <v>1357</v>
      </c>
      <c r="AJ5" s="122">
        <v>0.66900000000000004</v>
      </c>
      <c r="AL5">
        <v>2</v>
      </c>
      <c r="AM5" t="s">
        <v>580</v>
      </c>
      <c r="AN5" t="s">
        <v>1348</v>
      </c>
      <c r="AO5" s="122">
        <v>1.026</v>
      </c>
      <c r="AR5">
        <v>2</v>
      </c>
      <c r="AS5" t="s">
        <v>429</v>
      </c>
      <c r="AT5" t="s">
        <v>1423</v>
      </c>
      <c r="AU5" s="122">
        <v>0.39</v>
      </c>
      <c r="AW5">
        <v>2</v>
      </c>
      <c r="AX5" t="s">
        <v>1139</v>
      </c>
      <c r="AY5" t="s">
        <v>1499</v>
      </c>
      <c r="AZ5" s="122">
        <v>0.44600000000000001</v>
      </c>
      <c r="BB5">
        <v>2</v>
      </c>
      <c r="BC5" t="s">
        <v>429</v>
      </c>
      <c r="BD5" t="s">
        <v>1352</v>
      </c>
      <c r="BE5" s="122">
        <v>0.68600000000000005</v>
      </c>
      <c r="BG5">
        <v>2</v>
      </c>
      <c r="BH5" t="s">
        <v>429</v>
      </c>
      <c r="BI5" t="s">
        <v>1423</v>
      </c>
      <c r="BJ5" s="122">
        <v>1.111</v>
      </c>
    </row>
    <row r="6" spans="2:62">
      <c r="B6">
        <v>3</v>
      </c>
      <c r="C6" t="s">
        <v>226</v>
      </c>
      <c r="D6" t="s">
        <v>1434</v>
      </c>
      <c r="E6" s="122">
        <v>0.36075949367088606</v>
      </c>
      <c r="G6">
        <v>3</v>
      </c>
      <c r="H6" t="s">
        <v>266</v>
      </c>
      <c r="I6" t="s">
        <v>1466</v>
      </c>
      <c r="J6" s="122">
        <v>0.44086021505376344</v>
      </c>
      <c r="L6">
        <v>3</v>
      </c>
      <c r="M6" t="s">
        <v>611</v>
      </c>
      <c r="N6" t="s">
        <v>1334</v>
      </c>
      <c r="O6" s="122">
        <v>0.65454545454545454</v>
      </c>
      <c r="Q6">
        <v>3</v>
      </c>
      <c r="R6" s="505" t="s">
        <v>952</v>
      </c>
      <c r="S6" s="505" t="s">
        <v>1316</v>
      </c>
      <c r="T6" s="510">
        <v>1.0679720672351476</v>
      </c>
      <c r="W6">
        <v>3</v>
      </c>
      <c r="X6" t="s">
        <v>990</v>
      </c>
      <c r="Y6" t="s">
        <v>1358</v>
      </c>
      <c r="Z6" s="122">
        <v>0.34399999999999997</v>
      </c>
      <c r="AB6">
        <v>3</v>
      </c>
      <c r="AC6" t="s">
        <v>1229</v>
      </c>
      <c r="AD6" t="s">
        <v>1606</v>
      </c>
      <c r="AE6" s="122">
        <v>0.42299999999999999</v>
      </c>
      <c r="AG6">
        <v>3</v>
      </c>
      <c r="AH6" t="s">
        <v>804</v>
      </c>
      <c r="AI6" t="s">
        <v>1339</v>
      </c>
      <c r="AJ6" s="122">
        <v>0.622</v>
      </c>
      <c r="AL6">
        <v>3</v>
      </c>
      <c r="AM6" t="s">
        <v>539</v>
      </c>
      <c r="AN6" t="s">
        <v>1357</v>
      </c>
      <c r="AO6" s="122">
        <v>1.006</v>
      </c>
      <c r="AR6">
        <v>3</v>
      </c>
      <c r="AS6" t="s">
        <v>429</v>
      </c>
      <c r="AT6" t="s">
        <v>1465</v>
      </c>
      <c r="AU6" s="122">
        <v>0.38100000000000001</v>
      </c>
      <c r="AW6">
        <v>3</v>
      </c>
      <c r="AX6" t="s">
        <v>226</v>
      </c>
      <c r="AY6" t="s">
        <v>1463</v>
      </c>
      <c r="AZ6" s="122">
        <v>0.44400000000000001</v>
      </c>
      <c r="BB6">
        <v>3</v>
      </c>
      <c r="BC6" t="s">
        <v>165</v>
      </c>
      <c r="BD6" t="s">
        <v>1341</v>
      </c>
      <c r="BE6" s="122">
        <v>0.68300000000000005</v>
      </c>
      <c r="BG6">
        <v>3</v>
      </c>
      <c r="BH6" t="s">
        <v>429</v>
      </c>
      <c r="BI6" t="s">
        <v>1352</v>
      </c>
      <c r="BJ6" s="122">
        <v>1.097</v>
      </c>
    </row>
    <row r="7" spans="2:62">
      <c r="B7">
        <v>4</v>
      </c>
      <c r="C7" s="505" t="s">
        <v>1265</v>
      </c>
      <c r="D7" s="505" t="s">
        <v>1335</v>
      </c>
      <c r="E7" s="510">
        <v>0.35714285714285715</v>
      </c>
      <c r="G7">
        <v>4</v>
      </c>
      <c r="H7" t="s">
        <v>685</v>
      </c>
      <c r="I7" t="s">
        <v>1344</v>
      </c>
      <c r="J7" s="122">
        <v>0.43406593406593408</v>
      </c>
      <c r="L7">
        <v>4</v>
      </c>
      <c r="M7" t="s">
        <v>539</v>
      </c>
      <c r="N7" t="s">
        <v>1563</v>
      </c>
      <c r="O7" s="122">
        <v>0.64429530201342278</v>
      </c>
      <c r="Q7">
        <v>4</v>
      </c>
      <c r="R7" t="s">
        <v>770</v>
      </c>
      <c r="S7" t="s">
        <v>1345</v>
      </c>
      <c r="T7" s="122">
        <v>1.0388817755014939</v>
      </c>
      <c r="W7">
        <v>4</v>
      </c>
      <c r="X7" t="s">
        <v>611</v>
      </c>
      <c r="Y7" t="s">
        <v>1567</v>
      </c>
      <c r="Z7" s="122">
        <v>0.34200000000000003</v>
      </c>
      <c r="AB7">
        <v>4</v>
      </c>
      <c r="AC7" t="s">
        <v>1025</v>
      </c>
      <c r="AD7" t="s">
        <v>1607</v>
      </c>
      <c r="AE7" s="122">
        <v>0.41299999999999998</v>
      </c>
      <c r="AG7">
        <v>4</v>
      </c>
      <c r="AH7" t="s">
        <v>990</v>
      </c>
      <c r="AI7" t="s">
        <v>1330</v>
      </c>
      <c r="AJ7" s="122">
        <v>0.61699999999999999</v>
      </c>
      <c r="AL7">
        <v>4</v>
      </c>
      <c r="AM7" t="s">
        <v>226</v>
      </c>
      <c r="AN7" t="s">
        <v>1338</v>
      </c>
      <c r="AO7" s="122">
        <v>0.98899999999999999</v>
      </c>
      <c r="AR7">
        <v>4</v>
      </c>
      <c r="AS7" t="s">
        <v>539</v>
      </c>
      <c r="AT7" t="s">
        <v>1490</v>
      </c>
      <c r="AU7" s="122">
        <v>0.36099999999999999</v>
      </c>
      <c r="AW7">
        <v>4</v>
      </c>
      <c r="AX7" t="s">
        <v>869</v>
      </c>
      <c r="AY7" t="s">
        <v>1556</v>
      </c>
      <c r="AZ7" s="122">
        <v>0.42199999999999999</v>
      </c>
      <c r="BB7">
        <v>4</v>
      </c>
      <c r="BC7" t="s">
        <v>1139</v>
      </c>
      <c r="BD7" t="s">
        <v>1499</v>
      </c>
      <c r="BE7" s="122">
        <v>0.67400000000000004</v>
      </c>
      <c r="BG7">
        <v>4</v>
      </c>
      <c r="BH7" t="s">
        <v>165</v>
      </c>
      <c r="BI7" t="s">
        <v>1341</v>
      </c>
      <c r="BJ7" s="122">
        <v>1.0680000000000001</v>
      </c>
    </row>
    <row r="8" spans="2:62">
      <c r="B8">
        <v>5</v>
      </c>
      <c r="C8" s="505" t="s">
        <v>903</v>
      </c>
      <c r="D8" s="505" t="s">
        <v>1449</v>
      </c>
      <c r="E8" s="510">
        <v>0.34567901234567899</v>
      </c>
      <c r="G8">
        <v>5</v>
      </c>
      <c r="H8" t="s">
        <v>226</v>
      </c>
      <c r="I8" t="s">
        <v>1434</v>
      </c>
      <c r="J8" s="122">
        <v>0.41954022988505746</v>
      </c>
      <c r="L8">
        <v>5</v>
      </c>
      <c r="M8" t="s">
        <v>770</v>
      </c>
      <c r="N8" t="s">
        <v>1345</v>
      </c>
      <c r="O8" s="122">
        <v>0.62676056338028174</v>
      </c>
      <c r="Q8">
        <v>5</v>
      </c>
      <c r="R8" t="s">
        <v>611</v>
      </c>
      <c r="S8" t="s">
        <v>1334</v>
      </c>
      <c r="T8" s="122">
        <v>1.0316883116883118</v>
      </c>
      <c r="W8">
        <v>5</v>
      </c>
      <c r="X8" t="s">
        <v>539</v>
      </c>
      <c r="Y8" t="s">
        <v>1536</v>
      </c>
      <c r="Z8" s="122">
        <v>0.33900000000000002</v>
      </c>
      <c r="AC8" t="s">
        <v>502</v>
      </c>
      <c r="AD8" t="s">
        <v>1554</v>
      </c>
      <c r="AE8" s="122">
        <v>0.41299999999999998</v>
      </c>
      <c r="AG8">
        <v>5</v>
      </c>
      <c r="AH8" t="s">
        <v>580</v>
      </c>
      <c r="AI8" t="s">
        <v>1348</v>
      </c>
      <c r="AJ8" s="122">
        <v>0.61599999999999999</v>
      </c>
      <c r="AL8">
        <v>5</v>
      </c>
      <c r="AM8" t="s">
        <v>717</v>
      </c>
      <c r="AN8" t="s">
        <v>1326</v>
      </c>
      <c r="AO8" s="122">
        <v>0.98599999999999999</v>
      </c>
      <c r="AR8">
        <v>5</v>
      </c>
      <c r="AS8" t="s">
        <v>226</v>
      </c>
      <c r="AT8" t="s">
        <v>1434</v>
      </c>
      <c r="AU8" s="122">
        <v>0.34200000000000003</v>
      </c>
      <c r="AX8" t="s">
        <v>1265</v>
      </c>
      <c r="AY8" t="s">
        <v>1326</v>
      </c>
      <c r="AZ8" s="122">
        <v>0.42199999999999999</v>
      </c>
      <c r="BB8">
        <v>5</v>
      </c>
      <c r="BC8" t="s">
        <v>226</v>
      </c>
      <c r="BD8" t="s">
        <v>1321</v>
      </c>
      <c r="BE8" s="122">
        <v>0.66900000000000004</v>
      </c>
      <c r="BG8">
        <v>5</v>
      </c>
      <c r="BH8" t="s">
        <v>952</v>
      </c>
      <c r="BI8" t="s">
        <v>1342</v>
      </c>
      <c r="BJ8" s="122">
        <v>1.0629999999999999</v>
      </c>
    </row>
    <row r="9" spans="2:62">
      <c r="B9">
        <v>6</v>
      </c>
      <c r="C9" t="s">
        <v>300</v>
      </c>
      <c r="D9" t="s">
        <v>1315</v>
      </c>
      <c r="E9" s="122">
        <v>0.34337349397590361</v>
      </c>
      <c r="G9">
        <v>6</v>
      </c>
      <c r="H9" t="s">
        <v>394</v>
      </c>
      <c r="I9" t="s">
        <v>1564</v>
      </c>
      <c r="J9" s="122">
        <v>0.41860465116279072</v>
      </c>
      <c r="L9">
        <v>6</v>
      </c>
      <c r="M9" t="s">
        <v>1265</v>
      </c>
      <c r="N9" t="s">
        <v>1326</v>
      </c>
      <c r="O9" s="122">
        <v>0.6149068322981367</v>
      </c>
      <c r="Q9">
        <v>6</v>
      </c>
      <c r="R9" t="s">
        <v>1265</v>
      </c>
      <c r="S9" t="s">
        <v>1326</v>
      </c>
      <c r="T9" s="122">
        <v>1.030207378746224</v>
      </c>
      <c r="W9">
        <v>6</v>
      </c>
      <c r="X9" t="s">
        <v>463</v>
      </c>
      <c r="Y9" t="s">
        <v>1448</v>
      </c>
      <c r="Z9" s="122">
        <v>0.33800000000000002</v>
      </c>
      <c r="AB9">
        <v>6</v>
      </c>
      <c r="AC9" t="s">
        <v>580</v>
      </c>
      <c r="AD9" t="s">
        <v>1348</v>
      </c>
      <c r="AE9" s="122">
        <v>0.41</v>
      </c>
      <c r="AG9">
        <v>6</v>
      </c>
      <c r="AH9" t="s">
        <v>717</v>
      </c>
      <c r="AI9" t="s">
        <v>1326</v>
      </c>
      <c r="AJ9" s="122">
        <v>0.61599999999999999</v>
      </c>
      <c r="AL9">
        <v>6</v>
      </c>
      <c r="AM9" t="s">
        <v>804</v>
      </c>
      <c r="AN9" t="s">
        <v>1339</v>
      </c>
      <c r="AO9" s="122">
        <v>0.98099999999999998</v>
      </c>
      <c r="AR9">
        <v>6</v>
      </c>
      <c r="AS9" t="s">
        <v>429</v>
      </c>
      <c r="AT9" t="s">
        <v>1352</v>
      </c>
      <c r="AU9" s="122">
        <v>0.34</v>
      </c>
      <c r="AW9">
        <v>6</v>
      </c>
      <c r="AX9" t="s">
        <v>429</v>
      </c>
      <c r="AY9" t="s">
        <v>1465</v>
      </c>
      <c r="AZ9" s="122">
        <v>0.41799999999999998</v>
      </c>
      <c r="BB9">
        <v>6</v>
      </c>
      <c r="BC9" t="s">
        <v>952</v>
      </c>
      <c r="BD9" t="s">
        <v>1342</v>
      </c>
      <c r="BE9" s="122">
        <v>0.66700000000000004</v>
      </c>
      <c r="BG9">
        <v>6</v>
      </c>
      <c r="BH9" t="s">
        <v>429</v>
      </c>
      <c r="BI9" t="s">
        <v>1465</v>
      </c>
      <c r="BJ9" s="122">
        <v>1.0549999999999999</v>
      </c>
    </row>
    <row r="10" spans="2:62">
      <c r="B10">
        <v>7</v>
      </c>
      <c r="C10" t="s">
        <v>611</v>
      </c>
      <c r="D10" t="s">
        <v>1334</v>
      </c>
      <c r="E10" s="122">
        <v>0.33939393939393941</v>
      </c>
      <c r="H10" s="505" t="s">
        <v>1265</v>
      </c>
      <c r="I10" s="505" t="s">
        <v>1335</v>
      </c>
      <c r="J10" s="510">
        <v>0.41935483870967744</v>
      </c>
      <c r="M10" t="s">
        <v>580</v>
      </c>
      <c r="N10" t="s">
        <v>1325</v>
      </c>
      <c r="O10" s="122">
        <v>0.61538461538461542</v>
      </c>
      <c r="Q10">
        <v>7</v>
      </c>
      <c r="R10" t="s">
        <v>300</v>
      </c>
      <c r="S10" t="s">
        <v>1315</v>
      </c>
      <c r="T10" s="122">
        <v>0.99949518745372545</v>
      </c>
      <c r="W10">
        <v>7</v>
      </c>
      <c r="X10" t="s">
        <v>1025</v>
      </c>
      <c r="Y10" t="s">
        <v>1608</v>
      </c>
      <c r="Z10" s="122">
        <v>0.33600000000000002</v>
      </c>
      <c r="AB10">
        <v>7</v>
      </c>
      <c r="AC10" t="s">
        <v>226</v>
      </c>
      <c r="AD10" t="s">
        <v>1338</v>
      </c>
      <c r="AE10" s="122">
        <v>0.40799999999999997</v>
      </c>
      <c r="AG10">
        <v>7</v>
      </c>
      <c r="AH10" t="s">
        <v>1139</v>
      </c>
      <c r="AI10" t="s">
        <v>1320</v>
      </c>
      <c r="AJ10" s="122">
        <v>0.61299999999999999</v>
      </c>
      <c r="AL10">
        <v>7</v>
      </c>
      <c r="AM10" t="s">
        <v>611</v>
      </c>
      <c r="AN10" t="s">
        <v>1567</v>
      </c>
      <c r="AO10" s="122">
        <v>0.97899999999999998</v>
      </c>
      <c r="AR10">
        <v>7</v>
      </c>
      <c r="AS10" t="s">
        <v>502</v>
      </c>
      <c r="AT10" t="s">
        <v>1554</v>
      </c>
      <c r="AU10" s="122">
        <v>0.33600000000000002</v>
      </c>
      <c r="AW10">
        <v>7</v>
      </c>
      <c r="AX10" t="s">
        <v>429</v>
      </c>
      <c r="AY10" t="s">
        <v>1352</v>
      </c>
      <c r="AZ10" s="122">
        <v>0.41099999999999998</v>
      </c>
      <c r="BB10">
        <v>7</v>
      </c>
      <c r="BC10" t="s">
        <v>770</v>
      </c>
      <c r="BD10" t="s">
        <v>1332</v>
      </c>
      <c r="BE10" s="122">
        <v>0.65200000000000002</v>
      </c>
      <c r="BG10">
        <v>7</v>
      </c>
      <c r="BH10" t="s">
        <v>770</v>
      </c>
      <c r="BI10" t="s">
        <v>1332</v>
      </c>
      <c r="BJ10" s="122">
        <v>1.0349999999999999</v>
      </c>
    </row>
    <row r="11" spans="2:62">
      <c r="C11" t="s">
        <v>1200</v>
      </c>
      <c r="D11" t="s">
        <v>1514</v>
      </c>
      <c r="E11" s="122">
        <v>0.3392857142857143</v>
      </c>
      <c r="G11">
        <v>8</v>
      </c>
      <c r="H11" s="505" t="s">
        <v>1265</v>
      </c>
      <c r="I11" s="505" t="s">
        <v>1326</v>
      </c>
      <c r="J11" s="510">
        <v>0.41530054644808745</v>
      </c>
      <c r="L11">
        <v>8</v>
      </c>
      <c r="M11" t="s">
        <v>300</v>
      </c>
      <c r="N11" t="s">
        <v>1540</v>
      </c>
      <c r="O11" s="122">
        <v>0.61006289308176098</v>
      </c>
      <c r="Q11">
        <v>8</v>
      </c>
      <c r="R11" t="s">
        <v>394</v>
      </c>
      <c r="S11" t="s">
        <v>1564</v>
      </c>
      <c r="T11" s="122">
        <v>0.99831479609032692</v>
      </c>
      <c r="W11">
        <v>8</v>
      </c>
      <c r="X11" t="s">
        <v>339</v>
      </c>
      <c r="Y11" t="s">
        <v>1503</v>
      </c>
      <c r="Z11" s="122">
        <v>0.33500000000000002</v>
      </c>
      <c r="AB11">
        <v>8</v>
      </c>
      <c r="AC11" t="s">
        <v>429</v>
      </c>
      <c r="AD11" t="s">
        <v>1423</v>
      </c>
      <c r="AE11" s="122">
        <v>0.40300000000000002</v>
      </c>
      <c r="AG11">
        <v>8</v>
      </c>
      <c r="AH11" t="s">
        <v>1171</v>
      </c>
      <c r="AI11" t="s">
        <v>1537</v>
      </c>
      <c r="AJ11" s="122">
        <v>0.61299999999999999</v>
      </c>
      <c r="AL11">
        <v>8</v>
      </c>
      <c r="AM11" t="s">
        <v>1139</v>
      </c>
      <c r="AN11" t="s">
        <v>1320</v>
      </c>
      <c r="AO11" s="122">
        <v>0.97799999999999998</v>
      </c>
      <c r="AR11">
        <v>8</v>
      </c>
      <c r="AS11" t="s">
        <v>685</v>
      </c>
      <c r="AT11" t="s">
        <v>1344</v>
      </c>
      <c r="AU11" s="122">
        <v>0.33100000000000002</v>
      </c>
      <c r="AW11">
        <v>8</v>
      </c>
      <c r="AX11" t="s">
        <v>502</v>
      </c>
      <c r="AY11" t="s">
        <v>1554</v>
      </c>
      <c r="AZ11" s="122">
        <v>0.40899999999999997</v>
      </c>
      <c r="BB11">
        <v>8</v>
      </c>
      <c r="BC11" t="s">
        <v>429</v>
      </c>
      <c r="BD11" t="s">
        <v>1423</v>
      </c>
      <c r="BE11" s="122">
        <v>0.64</v>
      </c>
      <c r="BG11">
        <v>8</v>
      </c>
      <c r="BH11" t="s">
        <v>226</v>
      </c>
      <c r="BI11" t="s">
        <v>1321</v>
      </c>
      <c r="BJ11" s="122">
        <v>1.0329999999999999</v>
      </c>
    </row>
    <row r="12" spans="2:62">
      <c r="B12">
        <v>9</v>
      </c>
      <c r="C12" t="s">
        <v>165</v>
      </c>
      <c r="D12" t="s">
        <v>1500</v>
      </c>
      <c r="E12" s="122">
        <v>0.33566433566433568</v>
      </c>
      <c r="G12">
        <v>9</v>
      </c>
      <c r="H12" s="505" t="s">
        <v>770</v>
      </c>
      <c r="I12" s="505" t="s">
        <v>1345</v>
      </c>
      <c r="J12" s="510">
        <v>0.41212121212121211</v>
      </c>
      <c r="L12">
        <v>9</v>
      </c>
      <c r="M12" t="s">
        <v>300</v>
      </c>
      <c r="N12" t="s">
        <v>1315</v>
      </c>
      <c r="O12" s="122">
        <v>0.60843373493975905</v>
      </c>
      <c r="R12" t="s">
        <v>266</v>
      </c>
      <c r="S12" t="s">
        <v>1466</v>
      </c>
      <c r="T12" s="122">
        <v>0.99774644259867351</v>
      </c>
      <c r="W12">
        <v>9</v>
      </c>
      <c r="X12" t="s">
        <v>502</v>
      </c>
      <c r="Y12" t="s">
        <v>1554</v>
      </c>
      <c r="Z12" s="122">
        <v>0.33100000000000002</v>
      </c>
      <c r="AB12">
        <v>9</v>
      </c>
      <c r="AC12" t="s">
        <v>463</v>
      </c>
      <c r="AD12" t="s">
        <v>1448</v>
      </c>
      <c r="AE12" s="122">
        <v>0.40100000000000002</v>
      </c>
      <c r="AG12">
        <v>9</v>
      </c>
      <c r="AH12" t="s">
        <v>952</v>
      </c>
      <c r="AI12" t="s">
        <v>1349</v>
      </c>
      <c r="AJ12" s="122">
        <v>0.60299999999999998</v>
      </c>
      <c r="AL12">
        <v>9</v>
      </c>
      <c r="AM12" t="s">
        <v>1025</v>
      </c>
      <c r="AN12" t="s">
        <v>1607</v>
      </c>
      <c r="AO12" s="122">
        <v>0.96799999999999997</v>
      </c>
      <c r="AR12">
        <v>9</v>
      </c>
      <c r="AS12" t="s">
        <v>394</v>
      </c>
      <c r="AT12" t="s">
        <v>1544</v>
      </c>
      <c r="AU12" s="122">
        <v>0.32700000000000001</v>
      </c>
      <c r="AW12">
        <v>9</v>
      </c>
      <c r="AX12" t="s">
        <v>226</v>
      </c>
      <c r="AY12" t="s">
        <v>1434</v>
      </c>
      <c r="AZ12" s="122">
        <v>0.40799999999999997</v>
      </c>
      <c r="BB12">
        <v>9</v>
      </c>
      <c r="BC12" t="s">
        <v>429</v>
      </c>
      <c r="BD12" t="s">
        <v>1465</v>
      </c>
      <c r="BE12" s="122">
        <v>0.63800000000000001</v>
      </c>
      <c r="BG12">
        <v>9</v>
      </c>
      <c r="BH12" t="s">
        <v>429</v>
      </c>
      <c r="BI12" t="s">
        <v>1319</v>
      </c>
      <c r="BJ12" s="122">
        <v>1.014</v>
      </c>
    </row>
    <row r="13" spans="2:62">
      <c r="C13" t="s">
        <v>1200</v>
      </c>
      <c r="D13" t="s">
        <v>1609</v>
      </c>
      <c r="E13" s="122">
        <v>0.33552631578947367</v>
      </c>
      <c r="G13">
        <v>10</v>
      </c>
      <c r="H13" t="s">
        <v>226</v>
      </c>
      <c r="I13" t="s">
        <v>1463</v>
      </c>
      <c r="J13" s="122">
        <v>0.4098360655737705</v>
      </c>
      <c r="L13">
        <v>10</v>
      </c>
      <c r="M13" t="s">
        <v>165</v>
      </c>
      <c r="N13" t="s">
        <v>1354</v>
      </c>
      <c r="O13" s="122">
        <v>0.60624999999999996</v>
      </c>
      <c r="Q13">
        <v>10</v>
      </c>
      <c r="R13" t="s">
        <v>1171</v>
      </c>
      <c r="S13" t="s">
        <v>1355</v>
      </c>
      <c r="T13" s="122">
        <v>0.99627329192546588</v>
      </c>
      <c r="Y13" t="s">
        <v>1610</v>
      </c>
      <c r="Z13" s="122">
        <v>0.32400000000000001</v>
      </c>
      <c r="AB13">
        <v>10</v>
      </c>
      <c r="AC13" t="s">
        <v>1171</v>
      </c>
      <c r="AD13" t="s">
        <v>1525</v>
      </c>
      <c r="AE13" s="122">
        <v>0.39700000000000002</v>
      </c>
      <c r="AG13">
        <v>10</v>
      </c>
      <c r="AH13" t="s">
        <v>226</v>
      </c>
      <c r="AI13" t="s">
        <v>1338</v>
      </c>
      <c r="AJ13" s="122">
        <v>0.58199999999999996</v>
      </c>
      <c r="AL13">
        <v>10</v>
      </c>
      <c r="AM13" t="s">
        <v>952</v>
      </c>
      <c r="AN13" t="s">
        <v>1349</v>
      </c>
      <c r="AO13" s="122">
        <v>0.96799999999999997</v>
      </c>
      <c r="AR13">
        <v>10</v>
      </c>
      <c r="AT13" t="s">
        <v>1610</v>
      </c>
      <c r="AU13" s="122">
        <v>0.32500000000000001</v>
      </c>
      <c r="AW13">
        <v>10</v>
      </c>
      <c r="AX13" t="s">
        <v>539</v>
      </c>
      <c r="AY13" t="s">
        <v>1563</v>
      </c>
      <c r="AZ13" s="122">
        <v>0.40600000000000003</v>
      </c>
      <c r="BB13">
        <v>10</v>
      </c>
      <c r="BC13" t="s">
        <v>339</v>
      </c>
      <c r="BD13" t="s">
        <v>1360</v>
      </c>
      <c r="BE13" s="122">
        <v>0.63100000000000001</v>
      </c>
      <c r="BG13">
        <v>10</v>
      </c>
      <c r="BH13" t="s">
        <v>226</v>
      </c>
      <c r="BI13" t="s">
        <v>1338</v>
      </c>
      <c r="BJ13" s="122">
        <v>0.996</v>
      </c>
    </row>
    <row r="14" spans="2:62" ht="19">
      <c r="O14" s="122"/>
      <c r="V14" s="119"/>
      <c r="AQ14" s="119"/>
    </row>
    <row r="15" spans="2:62" s="118" customFormat="1" ht="19">
      <c r="B15" s="1069" t="s">
        <v>161</v>
      </c>
      <c r="C15" s="1070"/>
      <c r="D15" s="1070"/>
      <c r="E15" s="1071"/>
      <c r="G15" s="1069" t="s">
        <v>156</v>
      </c>
      <c r="H15" s="1070"/>
      <c r="I15" s="1070"/>
      <c r="J15" s="1071"/>
      <c r="L15" s="1069" t="s">
        <v>1611</v>
      </c>
      <c r="M15" s="1070"/>
      <c r="N15" s="1070"/>
      <c r="O15" s="1071"/>
      <c r="Q15" s="1069" t="s">
        <v>1612</v>
      </c>
      <c r="R15" s="1070"/>
      <c r="S15" s="1070"/>
      <c r="T15" s="1071"/>
      <c r="V15"/>
      <c r="W15" s="1069" t="s">
        <v>161</v>
      </c>
      <c r="X15" s="1070"/>
      <c r="Y15" s="1070"/>
      <c r="Z15" s="1071"/>
      <c r="AB15" s="1069" t="s">
        <v>156</v>
      </c>
      <c r="AC15" s="1070"/>
      <c r="AD15" s="1070"/>
      <c r="AE15" s="1071"/>
      <c r="AG15" s="1069" t="s">
        <v>1611</v>
      </c>
      <c r="AH15" s="1070"/>
      <c r="AI15" s="1070"/>
      <c r="AJ15" s="1071"/>
      <c r="AL15" s="1069" t="s">
        <v>1612</v>
      </c>
      <c r="AM15" s="1070"/>
      <c r="AN15" s="1070"/>
      <c r="AO15" s="1071"/>
      <c r="AQ15"/>
      <c r="AR15" s="1069" t="s">
        <v>161</v>
      </c>
      <c r="AS15" s="1070"/>
      <c r="AT15" s="1070"/>
      <c r="AU15" s="1071"/>
      <c r="AW15" s="1069" t="s">
        <v>156</v>
      </c>
      <c r="AX15" s="1070"/>
      <c r="AY15" s="1070"/>
      <c r="AZ15" s="1071"/>
      <c r="BB15" s="1069" t="s">
        <v>1611</v>
      </c>
      <c r="BC15" s="1070"/>
      <c r="BD15" s="1070"/>
      <c r="BE15" s="1071"/>
      <c r="BG15" s="1069" t="s">
        <v>1612</v>
      </c>
      <c r="BH15" s="1070"/>
      <c r="BI15" s="1070"/>
      <c r="BJ15" s="1071"/>
    </row>
    <row r="16" spans="2:62" s="141" customFormat="1">
      <c r="B16" s="359"/>
      <c r="C16" s="360" t="s">
        <v>8</v>
      </c>
      <c r="D16" s="360" t="s">
        <v>1314</v>
      </c>
      <c r="E16" s="360" t="s">
        <v>164</v>
      </c>
      <c r="G16" s="359"/>
      <c r="H16" s="360" t="s">
        <v>8</v>
      </c>
      <c r="I16" s="360" t="s">
        <v>1314</v>
      </c>
      <c r="J16" s="359" t="s">
        <v>164</v>
      </c>
      <c r="L16" s="359"/>
      <c r="M16" s="360" t="s">
        <v>8</v>
      </c>
      <c r="N16" s="360" t="s">
        <v>1314</v>
      </c>
      <c r="O16" s="360" t="s">
        <v>164</v>
      </c>
      <c r="Q16" s="359"/>
      <c r="R16" s="360" t="s">
        <v>8</v>
      </c>
      <c r="S16" s="360" t="s">
        <v>1314</v>
      </c>
      <c r="T16" s="360" t="s">
        <v>164</v>
      </c>
      <c r="W16" s="359"/>
      <c r="X16" s="360" t="s">
        <v>8</v>
      </c>
      <c r="Y16" s="360" t="s">
        <v>1314</v>
      </c>
      <c r="Z16" s="360" t="s">
        <v>164</v>
      </c>
      <c r="AB16" s="359"/>
      <c r="AC16" s="360" t="s">
        <v>8</v>
      </c>
      <c r="AD16" s="360" t="s">
        <v>1314</v>
      </c>
      <c r="AE16" s="359" t="s">
        <v>164</v>
      </c>
      <c r="AG16" s="359"/>
      <c r="AH16" s="360" t="s">
        <v>8</v>
      </c>
      <c r="AI16" s="360" t="s">
        <v>1314</v>
      </c>
      <c r="AJ16" s="360" t="s">
        <v>164</v>
      </c>
      <c r="AL16" s="359"/>
      <c r="AM16" s="360" t="s">
        <v>8</v>
      </c>
      <c r="AN16" s="360" t="s">
        <v>1314</v>
      </c>
      <c r="AO16" s="360" t="s">
        <v>164</v>
      </c>
      <c r="AR16" s="359"/>
      <c r="AS16" s="360" t="s">
        <v>8</v>
      </c>
      <c r="AT16" s="360" t="s">
        <v>1314</v>
      </c>
      <c r="AU16" s="360" t="s">
        <v>164</v>
      </c>
      <c r="AW16" s="359"/>
      <c r="AX16" s="360" t="s">
        <v>8</v>
      </c>
      <c r="AY16" s="360" t="s">
        <v>1314</v>
      </c>
      <c r="AZ16" s="359" t="s">
        <v>164</v>
      </c>
      <c r="BB16" s="359"/>
      <c r="BC16" s="360" t="s">
        <v>8</v>
      </c>
      <c r="BD16" s="360" t="s">
        <v>1314</v>
      </c>
      <c r="BE16" s="360" t="s">
        <v>164</v>
      </c>
      <c r="BG16" s="359"/>
      <c r="BH16" s="360" t="s">
        <v>8</v>
      </c>
      <c r="BI16" s="360" t="s">
        <v>1314</v>
      </c>
      <c r="BJ16" s="360" t="s">
        <v>164</v>
      </c>
    </row>
    <row r="17" spans="2:62" s="119" customFormat="1" ht="19">
      <c r="B17" s="119">
        <v>1</v>
      </c>
      <c r="C17" s="119" t="s">
        <v>952</v>
      </c>
      <c r="D17" s="119" t="s">
        <v>1316</v>
      </c>
      <c r="E17" s="119">
        <v>111</v>
      </c>
      <c r="G17" s="119">
        <v>1</v>
      </c>
      <c r="H17" s="119" t="s">
        <v>952</v>
      </c>
      <c r="I17" s="119" t="s">
        <v>1316</v>
      </c>
      <c r="J17" s="119">
        <v>41</v>
      </c>
      <c r="L17" s="119">
        <v>1</v>
      </c>
      <c r="M17" s="119" t="s">
        <v>1265</v>
      </c>
      <c r="N17" s="119" t="s">
        <v>1326</v>
      </c>
      <c r="O17" s="119">
        <v>35</v>
      </c>
      <c r="Q17" s="119">
        <v>1</v>
      </c>
      <c r="R17" s="119" t="s">
        <v>266</v>
      </c>
      <c r="S17" s="119" t="s">
        <v>1466</v>
      </c>
      <c r="T17" s="119">
        <v>63</v>
      </c>
      <c r="V17"/>
      <c r="W17" s="119">
        <v>1</v>
      </c>
      <c r="X17" s="511" t="s">
        <v>429</v>
      </c>
      <c r="Y17" s="511" t="s">
        <v>1319</v>
      </c>
      <c r="Z17" s="511">
        <v>128</v>
      </c>
      <c r="AB17" s="119">
        <v>1</v>
      </c>
      <c r="AC17" s="511" t="s">
        <v>502</v>
      </c>
      <c r="AD17" s="511" t="s">
        <v>1329</v>
      </c>
      <c r="AE17" s="511">
        <v>45</v>
      </c>
      <c r="AG17" s="119">
        <v>1</v>
      </c>
      <c r="AH17" s="511" t="s">
        <v>429</v>
      </c>
      <c r="AI17" s="511" t="s">
        <v>1319</v>
      </c>
      <c r="AJ17" s="511">
        <v>43</v>
      </c>
      <c r="AL17" s="119">
        <v>1</v>
      </c>
      <c r="AM17" s="119" t="s">
        <v>539</v>
      </c>
      <c r="AN17" s="119" t="s">
        <v>1536</v>
      </c>
      <c r="AO17" s="119">
        <v>59</v>
      </c>
      <c r="AQ17"/>
      <c r="AR17" s="119">
        <v>1</v>
      </c>
      <c r="AS17" s="119" t="s">
        <v>429</v>
      </c>
      <c r="AT17" s="119" t="s">
        <v>1319</v>
      </c>
      <c r="AU17" s="119">
        <v>124</v>
      </c>
      <c r="AW17" s="119">
        <v>1</v>
      </c>
      <c r="AX17" s="119" t="s">
        <v>226</v>
      </c>
      <c r="AY17" s="119" t="s">
        <v>1321</v>
      </c>
      <c r="AZ17" s="119">
        <v>44</v>
      </c>
      <c r="BB17" s="119">
        <v>1</v>
      </c>
      <c r="BC17" s="119" t="s">
        <v>165</v>
      </c>
      <c r="BD17" s="119" t="s">
        <v>1341</v>
      </c>
      <c r="BE17" s="119">
        <v>37</v>
      </c>
      <c r="BG17" s="119">
        <v>1</v>
      </c>
      <c r="BH17" s="511" t="s">
        <v>226</v>
      </c>
      <c r="BI17" s="511" t="s">
        <v>1463</v>
      </c>
      <c r="BJ17" s="511">
        <v>64</v>
      </c>
    </row>
    <row r="18" spans="2:62" ht="19">
      <c r="B18">
        <v>2</v>
      </c>
      <c r="C18" s="505" t="s">
        <v>611</v>
      </c>
      <c r="D18" s="505" t="s">
        <v>1334</v>
      </c>
      <c r="E18" s="505">
        <v>108</v>
      </c>
      <c r="G18">
        <v>2</v>
      </c>
      <c r="H18" s="505" t="s">
        <v>580</v>
      </c>
      <c r="I18" s="505" t="s">
        <v>1325</v>
      </c>
      <c r="J18" s="505">
        <v>36</v>
      </c>
      <c r="L18">
        <v>2</v>
      </c>
      <c r="M18" t="s">
        <v>1265</v>
      </c>
      <c r="N18" t="s">
        <v>1535</v>
      </c>
      <c r="O18">
        <v>34</v>
      </c>
      <c r="Q18">
        <v>2</v>
      </c>
      <c r="R18" s="505" t="s">
        <v>1265</v>
      </c>
      <c r="S18" s="505" t="s">
        <v>1335</v>
      </c>
      <c r="T18" s="505">
        <v>60</v>
      </c>
      <c r="W18">
        <v>2</v>
      </c>
      <c r="X18" t="s">
        <v>539</v>
      </c>
      <c r="Y18" t="s">
        <v>1357</v>
      </c>
      <c r="Z18">
        <v>109</v>
      </c>
      <c r="AB18">
        <v>2</v>
      </c>
      <c r="AC18" t="s">
        <v>429</v>
      </c>
      <c r="AD18" t="s">
        <v>1319</v>
      </c>
      <c r="AE18">
        <v>39</v>
      </c>
      <c r="AG18">
        <v>2</v>
      </c>
      <c r="AH18" t="s">
        <v>580</v>
      </c>
      <c r="AI18" t="s">
        <v>1468</v>
      </c>
      <c r="AJ18">
        <v>33</v>
      </c>
      <c r="AM18" s="119" t="s">
        <v>580</v>
      </c>
      <c r="AN18" s="119" t="s">
        <v>1570</v>
      </c>
      <c r="AO18" s="119">
        <v>59</v>
      </c>
      <c r="AR18">
        <v>2</v>
      </c>
      <c r="AS18" t="s">
        <v>226</v>
      </c>
      <c r="AT18" t="s">
        <v>1321</v>
      </c>
      <c r="AU18">
        <v>113</v>
      </c>
      <c r="AW18">
        <v>2</v>
      </c>
      <c r="AX18" t="s">
        <v>1139</v>
      </c>
      <c r="AY18" t="s">
        <v>1322</v>
      </c>
      <c r="AZ18">
        <v>42</v>
      </c>
      <c r="BB18">
        <v>2</v>
      </c>
      <c r="BC18" t="s">
        <v>226</v>
      </c>
      <c r="BD18" t="s">
        <v>1321</v>
      </c>
      <c r="BE18">
        <v>36</v>
      </c>
      <c r="BG18">
        <v>2</v>
      </c>
      <c r="BH18" t="s">
        <v>429</v>
      </c>
      <c r="BI18" t="s">
        <v>1465</v>
      </c>
      <c r="BJ18">
        <v>61</v>
      </c>
    </row>
    <row r="19" spans="2:62">
      <c r="B19">
        <v>3</v>
      </c>
      <c r="C19" t="s">
        <v>685</v>
      </c>
      <c r="D19" t="s">
        <v>1344</v>
      </c>
      <c r="E19">
        <v>105</v>
      </c>
      <c r="G19">
        <v>3</v>
      </c>
      <c r="H19" s="505" t="s">
        <v>300</v>
      </c>
      <c r="I19" s="505" t="s">
        <v>1315</v>
      </c>
      <c r="J19" s="505">
        <v>33</v>
      </c>
      <c r="M19" s="505" t="s">
        <v>685</v>
      </c>
      <c r="N19" s="505" t="s">
        <v>1340</v>
      </c>
      <c r="O19" s="505">
        <v>34</v>
      </c>
      <c r="Q19">
        <v>3</v>
      </c>
      <c r="R19" s="505" t="s">
        <v>300</v>
      </c>
      <c r="S19" s="505" t="s">
        <v>1315</v>
      </c>
      <c r="T19" s="505">
        <v>57</v>
      </c>
      <c r="W19">
        <v>3</v>
      </c>
      <c r="X19" t="s">
        <v>990</v>
      </c>
      <c r="Y19" t="s">
        <v>1330</v>
      </c>
      <c r="Z19">
        <v>103</v>
      </c>
      <c r="AB19">
        <v>3</v>
      </c>
      <c r="AC19" t="s">
        <v>226</v>
      </c>
      <c r="AD19" t="s">
        <v>1338</v>
      </c>
      <c r="AE19">
        <v>35</v>
      </c>
      <c r="AG19">
        <v>3</v>
      </c>
      <c r="AH19" t="s">
        <v>266</v>
      </c>
      <c r="AI19" t="s">
        <v>1541</v>
      </c>
      <c r="AJ19">
        <v>30</v>
      </c>
      <c r="AL19">
        <v>3</v>
      </c>
      <c r="AM19" t="s">
        <v>990</v>
      </c>
      <c r="AN19" t="s">
        <v>1358</v>
      </c>
      <c r="AO19">
        <v>56</v>
      </c>
      <c r="AR19">
        <v>3</v>
      </c>
      <c r="AS19" t="s">
        <v>429</v>
      </c>
      <c r="AT19" t="s">
        <v>1352</v>
      </c>
      <c r="AU19">
        <v>107</v>
      </c>
      <c r="AW19">
        <v>3</v>
      </c>
      <c r="AX19" t="s">
        <v>770</v>
      </c>
      <c r="AY19" t="s">
        <v>1332</v>
      </c>
      <c r="AZ19">
        <v>41</v>
      </c>
      <c r="BB19">
        <v>3</v>
      </c>
      <c r="BC19" t="s">
        <v>429</v>
      </c>
      <c r="BD19" t="s">
        <v>1319</v>
      </c>
      <c r="BE19">
        <v>35</v>
      </c>
      <c r="BG19">
        <v>3</v>
      </c>
      <c r="BH19" t="s">
        <v>226</v>
      </c>
      <c r="BI19" t="s">
        <v>1434</v>
      </c>
      <c r="BJ19">
        <v>55</v>
      </c>
    </row>
    <row r="20" spans="2:62">
      <c r="B20">
        <v>4</v>
      </c>
      <c r="C20" t="s">
        <v>300</v>
      </c>
      <c r="D20" t="s">
        <v>1315</v>
      </c>
      <c r="E20">
        <v>101</v>
      </c>
      <c r="H20" t="s">
        <v>1265</v>
      </c>
      <c r="I20" t="s">
        <v>1335</v>
      </c>
      <c r="J20">
        <v>33</v>
      </c>
      <c r="M20" s="505" t="s">
        <v>611</v>
      </c>
      <c r="N20" s="505" t="s">
        <v>1334</v>
      </c>
      <c r="O20" s="505">
        <v>34</v>
      </c>
      <c r="R20" t="s">
        <v>226</v>
      </c>
      <c r="S20" t="s">
        <v>1434</v>
      </c>
      <c r="T20">
        <v>57</v>
      </c>
      <c r="W20">
        <v>4</v>
      </c>
      <c r="X20" t="s">
        <v>717</v>
      </c>
      <c r="Y20" t="s">
        <v>1326</v>
      </c>
      <c r="Z20">
        <v>101</v>
      </c>
      <c r="AB20">
        <v>4</v>
      </c>
      <c r="AC20" t="s">
        <v>226</v>
      </c>
      <c r="AD20" t="s">
        <v>1321</v>
      </c>
      <c r="AE20">
        <v>34</v>
      </c>
      <c r="AH20" t="s">
        <v>1139</v>
      </c>
      <c r="AI20" t="s">
        <v>1320</v>
      </c>
      <c r="AJ20">
        <v>30</v>
      </c>
      <c r="AL20">
        <v>4</v>
      </c>
      <c r="AM20" t="s">
        <v>339</v>
      </c>
      <c r="AN20" t="s">
        <v>1503</v>
      </c>
      <c r="AO20">
        <v>55</v>
      </c>
      <c r="AR20">
        <v>4</v>
      </c>
      <c r="AS20" t="s">
        <v>429</v>
      </c>
      <c r="AT20" t="s">
        <v>1465</v>
      </c>
      <c r="AU20">
        <v>102</v>
      </c>
      <c r="AX20" t="s">
        <v>339</v>
      </c>
      <c r="AY20" t="s">
        <v>1360</v>
      </c>
      <c r="AZ20">
        <v>41</v>
      </c>
      <c r="BB20">
        <v>4</v>
      </c>
      <c r="BC20" t="s">
        <v>1139</v>
      </c>
      <c r="BD20" t="s">
        <v>1499</v>
      </c>
      <c r="BE20">
        <v>34</v>
      </c>
      <c r="BG20">
        <v>4</v>
      </c>
      <c r="BH20" t="s">
        <v>226</v>
      </c>
      <c r="BI20" t="s">
        <v>1321</v>
      </c>
      <c r="BJ20">
        <v>54</v>
      </c>
    </row>
    <row r="21" spans="2:62">
      <c r="B21">
        <v>5</v>
      </c>
      <c r="C21" t="s">
        <v>685</v>
      </c>
      <c r="D21" t="s">
        <v>1340</v>
      </c>
      <c r="E21">
        <v>99</v>
      </c>
      <c r="H21" t="s">
        <v>1265</v>
      </c>
      <c r="I21" t="s">
        <v>1326</v>
      </c>
      <c r="J21">
        <v>33</v>
      </c>
      <c r="L21">
        <v>5</v>
      </c>
      <c r="M21" s="505" t="s">
        <v>580</v>
      </c>
      <c r="N21" s="505" t="s">
        <v>1325</v>
      </c>
      <c r="O21" s="505">
        <v>33</v>
      </c>
      <c r="R21" t="s">
        <v>1200</v>
      </c>
      <c r="S21" t="s">
        <v>1514</v>
      </c>
      <c r="T21">
        <v>57</v>
      </c>
      <c r="W21">
        <v>5</v>
      </c>
      <c r="X21" t="s">
        <v>580</v>
      </c>
      <c r="Y21" t="s">
        <v>1348</v>
      </c>
      <c r="Z21">
        <v>98</v>
      </c>
      <c r="AB21">
        <v>5</v>
      </c>
      <c r="AC21" t="s">
        <v>394</v>
      </c>
      <c r="AD21" t="s">
        <v>1564</v>
      </c>
      <c r="AE21">
        <v>33</v>
      </c>
      <c r="AG21">
        <v>5</v>
      </c>
      <c r="AH21" t="s">
        <v>804</v>
      </c>
      <c r="AI21" t="s">
        <v>1459</v>
      </c>
      <c r="AJ21">
        <v>29</v>
      </c>
      <c r="AM21" t="s">
        <v>226</v>
      </c>
      <c r="AN21" t="s">
        <v>1550</v>
      </c>
      <c r="AO21">
        <v>55</v>
      </c>
      <c r="AR21">
        <v>5</v>
      </c>
      <c r="AS21" t="s">
        <v>339</v>
      </c>
      <c r="AT21" t="s">
        <v>1360</v>
      </c>
      <c r="AU21">
        <v>101</v>
      </c>
      <c r="AX21" t="s">
        <v>717</v>
      </c>
      <c r="AY21" t="s">
        <v>1425</v>
      </c>
      <c r="AZ21">
        <v>41</v>
      </c>
      <c r="BB21">
        <v>5</v>
      </c>
      <c r="BC21" t="s">
        <v>952</v>
      </c>
      <c r="BD21" t="s">
        <v>1342</v>
      </c>
      <c r="BE21">
        <v>31</v>
      </c>
      <c r="BH21" t="s">
        <v>1025</v>
      </c>
      <c r="BI21" t="s">
        <v>1361</v>
      </c>
      <c r="BJ21">
        <v>54</v>
      </c>
    </row>
    <row r="22" spans="2:62">
      <c r="C22" t="s">
        <v>1265</v>
      </c>
      <c r="D22" t="s">
        <v>1326</v>
      </c>
      <c r="E22">
        <v>99</v>
      </c>
      <c r="G22">
        <v>6</v>
      </c>
      <c r="H22" t="s">
        <v>770</v>
      </c>
      <c r="I22" t="s">
        <v>1332</v>
      </c>
      <c r="J22">
        <v>32</v>
      </c>
      <c r="L22">
        <v>6</v>
      </c>
      <c r="M22" t="s">
        <v>226</v>
      </c>
      <c r="N22" t="s">
        <v>1463</v>
      </c>
      <c r="O22">
        <v>32</v>
      </c>
      <c r="Q22">
        <v>6</v>
      </c>
      <c r="R22" t="s">
        <v>903</v>
      </c>
      <c r="S22" t="s">
        <v>1449</v>
      </c>
      <c r="T22">
        <v>56</v>
      </c>
      <c r="X22" t="s">
        <v>1139</v>
      </c>
      <c r="Y22" t="s">
        <v>1320</v>
      </c>
      <c r="Z22">
        <v>98</v>
      </c>
      <c r="AC22" t="s">
        <v>1139</v>
      </c>
      <c r="AD22" t="s">
        <v>1320</v>
      </c>
      <c r="AE22">
        <v>33</v>
      </c>
      <c r="AH22" t="s">
        <v>394</v>
      </c>
      <c r="AI22" t="s">
        <v>1564</v>
      </c>
      <c r="AJ22">
        <v>29</v>
      </c>
      <c r="AL22">
        <v>6</v>
      </c>
      <c r="AM22" t="s">
        <v>226</v>
      </c>
      <c r="AN22" t="s">
        <v>1321</v>
      </c>
      <c r="AO22">
        <v>53</v>
      </c>
      <c r="AR22">
        <v>6</v>
      </c>
      <c r="AS22" t="s">
        <v>165</v>
      </c>
      <c r="AT22" t="s">
        <v>1341</v>
      </c>
      <c r="AU22">
        <v>99</v>
      </c>
      <c r="AW22">
        <v>6</v>
      </c>
      <c r="AX22" t="s">
        <v>952</v>
      </c>
      <c r="AY22" t="s">
        <v>1342</v>
      </c>
      <c r="AZ22">
        <v>37</v>
      </c>
      <c r="BC22" t="s">
        <v>685</v>
      </c>
      <c r="BD22" t="s">
        <v>1340</v>
      </c>
      <c r="BE22">
        <v>31</v>
      </c>
      <c r="BH22" t="s">
        <v>804</v>
      </c>
      <c r="BI22" t="s">
        <v>1459</v>
      </c>
      <c r="BJ22">
        <v>54</v>
      </c>
    </row>
    <row r="23" spans="2:62">
      <c r="B23">
        <v>7</v>
      </c>
      <c r="C23" t="s">
        <v>165</v>
      </c>
      <c r="D23" t="s">
        <v>1354</v>
      </c>
      <c r="E23">
        <v>97</v>
      </c>
      <c r="H23" t="s">
        <v>804</v>
      </c>
      <c r="I23" t="s">
        <v>1339</v>
      </c>
      <c r="J23">
        <v>32</v>
      </c>
      <c r="L23">
        <v>7</v>
      </c>
      <c r="M23" t="s">
        <v>165</v>
      </c>
      <c r="N23" t="s">
        <v>1354</v>
      </c>
      <c r="O23">
        <v>31</v>
      </c>
      <c r="R23" t="s">
        <v>611</v>
      </c>
      <c r="S23" t="s">
        <v>1334</v>
      </c>
      <c r="T23">
        <v>56</v>
      </c>
      <c r="W23">
        <v>7</v>
      </c>
      <c r="X23" t="s">
        <v>539</v>
      </c>
      <c r="Y23" t="s">
        <v>1536</v>
      </c>
      <c r="Z23">
        <v>97</v>
      </c>
      <c r="AB23">
        <v>7</v>
      </c>
      <c r="AC23" t="s">
        <v>804</v>
      </c>
      <c r="AD23" t="s">
        <v>1339</v>
      </c>
      <c r="AE23">
        <v>32</v>
      </c>
      <c r="AG23">
        <v>7</v>
      </c>
      <c r="AH23" t="s">
        <v>226</v>
      </c>
      <c r="AI23" t="s">
        <v>1374</v>
      </c>
      <c r="AJ23">
        <v>29</v>
      </c>
      <c r="AM23" t="s">
        <v>429</v>
      </c>
      <c r="AN23" t="s">
        <v>1319</v>
      </c>
      <c r="AO23">
        <v>53</v>
      </c>
      <c r="AR23">
        <v>7</v>
      </c>
      <c r="AS23" t="s">
        <v>1200</v>
      </c>
      <c r="AT23" t="s">
        <v>1469</v>
      </c>
      <c r="AU23">
        <v>96</v>
      </c>
      <c r="AW23">
        <v>7</v>
      </c>
      <c r="AX23" t="s">
        <v>165</v>
      </c>
      <c r="AY23" t="s">
        <v>1341</v>
      </c>
      <c r="AZ23">
        <v>36</v>
      </c>
      <c r="BC23" t="s">
        <v>226</v>
      </c>
      <c r="BD23" t="s">
        <v>1463</v>
      </c>
      <c r="BE23">
        <v>31</v>
      </c>
      <c r="BG23">
        <v>7</v>
      </c>
      <c r="BH23" t="s">
        <v>539</v>
      </c>
      <c r="BI23" t="s">
        <v>1446</v>
      </c>
      <c r="BJ23">
        <v>53</v>
      </c>
    </row>
    <row r="24" spans="2:62">
      <c r="C24" t="s">
        <v>300</v>
      </c>
      <c r="D24" t="s">
        <v>1540</v>
      </c>
      <c r="E24">
        <v>97</v>
      </c>
      <c r="H24" t="s">
        <v>1200</v>
      </c>
      <c r="I24" t="s">
        <v>1469</v>
      </c>
      <c r="J24">
        <v>32</v>
      </c>
      <c r="L24">
        <v>8</v>
      </c>
      <c r="M24" t="s">
        <v>580</v>
      </c>
      <c r="N24" t="s">
        <v>1429</v>
      </c>
      <c r="O24">
        <v>30</v>
      </c>
      <c r="Q24">
        <v>8</v>
      </c>
      <c r="R24" t="s">
        <v>539</v>
      </c>
      <c r="S24" t="s">
        <v>1563</v>
      </c>
      <c r="T24">
        <v>55</v>
      </c>
      <c r="W24">
        <v>8</v>
      </c>
      <c r="X24" t="s">
        <v>266</v>
      </c>
      <c r="Y24" t="s">
        <v>1462</v>
      </c>
      <c r="Z24">
        <v>95</v>
      </c>
      <c r="AC24" t="s">
        <v>717</v>
      </c>
      <c r="AD24" t="s">
        <v>1326</v>
      </c>
      <c r="AE24">
        <v>32</v>
      </c>
      <c r="AG24">
        <v>8</v>
      </c>
      <c r="AI24" t="s">
        <v>1613</v>
      </c>
      <c r="AJ24">
        <v>28</v>
      </c>
      <c r="AM24" t="s">
        <v>611</v>
      </c>
      <c r="AN24" t="s">
        <v>1567</v>
      </c>
      <c r="AO24">
        <v>53</v>
      </c>
      <c r="AR24">
        <v>8</v>
      </c>
      <c r="AS24" t="s">
        <v>580</v>
      </c>
      <c r="AT24" t="s">
        <v>1468</v>
      </c>
      <c r="AU24">
        <v>95</v>
      </c>
      <c r="AX24" t="s">
        <v>429</v>
      </c>
      <c r="AY24" t="s">
        <v>1319</v>
      </c>
      <c r="AZ24">
        <v>36</v>
      </c>
      <c r="BB24">
        <v>8</v>
      </c>
      <c r="BC24" t="s">
        <v>1200</v>
      </c>
      <c r="BD24" t="s">
        <v>1469</v>
      </c>
      <c r="BE24">
        <v>30</v>
      </c>
      <c r="BH24" t="s">
        <v>429</v>
      </c>
      <c r="BI24" t="s">
        <v>1352</v>
      </c>
      <c r="BJ24">
        <v>53</v>
      </c>
    </row>
    <row r="25" spans="2:62">
      <c r="B25">
        <v>9</v>
      </c>
      <c r="C25" t="s">
        <v>580</v>
      </c>
      <c r="D25" t="s">
        <v>1325</v>
      </c>
      <c r="E25">
        <v>96</v>
      </c>
      <c r="H25" t="s">
        <v>685</v>
      </c>
      <c r="I25" t="s">
        <v>1344</v>
      </c>
      <c r="J25">
        <v>32</v>
      </c>
      <c r="L25">
        <v>9</v>
      </c>
      <c r="M25" t="s">
        <v>1265</v>
      </c>
      <c r="N25" t="s">
        <v>1335</v>
      </c>
      <c r="O25">
        <v>29</v>
      </c>
      <c r="R25" t="s">
        <v>903</v>
      </c>
      <c r="S25" t="s">
        <v>1398</v>
      </c>
      <c r="T25">
        <v>55</v>
      </c>
      <c r="W25">
        <v>9</v>
      </c>
      <c r="X25" t="s">
        <v>502</v>
      </c>
      <c r="Y25" t="s">
        <v>1329</v>
      </c>
      <c r="Z25">
        <v>93</v>
      </c>
      <c r="AC25" t="s">
        <v>339</v>
      </c>
      <c r="AD25" t="s">
        <v>1460</v>
      </c>
      <c r="AE25">
        <v>32</v>
      </c>
      <c r="AM25" t="s">
        <v>611</v>
      </c>
      <c r="AN25" t="s">
        <v>1334</v>
      </c>
      <c r="AO25">
        <v>53</v>
      </c>
      <c r="AS25" t="s">
        <v>1025</v>
      </c>
      <c r="AT25" t="s">
        <v>1361</v>
      </c>
      <c r="AU25">
        <v>95</v>
      </c>
      <c r="AW25">
        <v>9</v>
      </c>
      <c r="AX25" t="s">
        <v>394</v>
      </c>
      <c r="AY25" t="s">
        <v>1546</v>
      </c>
      <c r="AZ25">
        <v>35</v>
      </c>
      <c r="BC25" t="s">
        <v>1096</v>
      </c>
      <c r="BD25" t="s">
        <v>1508</v>
      </c>
      <c r="BE25">
        <v>30</v>
      </c>
      <c r="BH25" t="s">
        <v>429</v>
      </c>
      <c r="BI25" t="s">
        <v>1423</v>
      </c>
      <c r="BJ25">
        <v>53</v>
      </c>
    </row>
    <row r="26" spans="2:62">
      <c r="C26" t="s">
        <v>539</v>
      </c>
      <c r="D26" t="s">
        <v>1563</v>
      </c>
      <c r="E26">
        <v>96</v>
      </c>
      <c r="H26" t="s">
        <v>611</v>
      </c>
      <c r="I26" t="s">
        <v>1567</v>
      </c>
      <c r="J26">
        <v>32</v>
      </c>
      <c r="M26" t="s">
        <v>804</v>
      </c>
      <c r="N26" t="s">
        <v>1502</v>
      </c>
      <c r="O26">
        <v>29</v>
      </c>
      <c r="Q26">
        <v>10</v>
      </c>
      <c r="R26" t="s">
        <v>1265</v>
      </c>
      <c r="S26" t="s">
        <v>1326</v>
      </c>
      <c r="T26">
        <v>54</v>
      </c>
      <c r="X26" t="s">
        <v>990</v>
      </c>
      <c r="Y26" t="s">
        <v>1358</v>
      </c>
      <c r="Z26">
        <v>93</v>
      </c>
      <c r="AB26">
        <v>10</v>
      </c>
      <c r="AD26" t="s">
        <v>1614</v>
      </c>
      <c r="AE26">
        <v>31</v>
      </c>
      <c r="AM26" t="s">
        <v>580</v>
      </c>
      <c r="AN26" t="s">
        <v>1468</v>
      </c>
      <c r="AO26">
        <v>53</v>
      </c>
      <c r="AR26">
        <v>10</v>
      </c>
      <c r="AS26" t="s">
        <v>394</v>
      </c>
      <c r="AT26" t="s">
        <v>1546</v>
      </c>
      <c r="AU26">
        <v>94</v>
      </c>
      <c r="AX26" t="s">
        <v>226</v>
      </c>
      <c r="AY26" t="s">
        <v>1338</v>
      </c>
      <c r="AZ26">
        <v>35</v>
      </c>
      <c r="BC26" t="s">
        <v>952</v>
      </c>
      <c r="BD26" t="s">
        <v>1498</v>
      </c>
      <c r="BE26">
        <v>30</v>
      </c>
      <c r="BG26">
        <v>10</v>
      </c>
      <c r="BI26" t="s">
        <v>1615</v>
      </c>
      <c r="BJ26">
        <v>52</v>
      </c>
    </row>
    <row r="28" spans="2:62" s="118" customFormat="1" ht="19">
      <c r="B28" s="1069" t="s">
        <v>155</v>
      </c>
      <c r="C28" s="1070"/>
      <c r="D28" s="1070"/>
      <c r="E28" s="1071"/>
      <c r="G28" s="1069" t="s">
        <v>153</v>
      </c>
      <c r="H28" s="1070"/>
      <c r="I28" s="1070"/>
      <c r="J28" s="1071"/>
      <c r="L28" s="1069" t="s">
        <v>154</v>
      </c>
      <c r="M28" s="1070"/>
      <c r="N28" s="1070"/>
      <c r="O28" s="1071"/>
      <c r="Q28" s="1069" t="s">
        <v>157</v>
      </c>
      <c r="R28" s="1070"/>
      <c r="S28" s="1070"/>
      <c r="T28" s="1071"/>
      <c r="W28" s="1069" t="s">
        <v>155</v>
      </c>
      <c r="X28" s="1070"/>
      <c r="Y28" s="1070"/>
      <c r="Z28" s="1071"/>
      <c r="AB28" s="1069" t="s">
        <v>153</v>
      </c>
      <c r="AC28" s="1070"/>
      <c r="AD28" s="1070"/>
      <c r="AE28" s="1071"/>
      <c r="AG28" s="1069" t="s">
        <v>154</v>
      </c>
      <c r="AH28" s="1070"/>
      <c r="AI28" s="1070"/>
      <c r="AJ28" s="1071"/>
      <c r="AL28" s="1069" t="s">
        <v>157</v>
      </c>
      <c r="AM28" s="1070"/>
      <c r="AN28" s="1070"/>
      <c r="AO28" s="1071"/>
      <c r="AR28" s="1069" t="s">
        <v>155</v>
      </c>
      <c r="AS28" s="1070"/>
      <c r="AT28" s="1070"/>
      <c r="AU28" s="1071"/>
      <c r="AW28" s="1069" t="s">
        <v>153</v>
      </c>
      <c r="AX28" s="1070"/>
      <c r="AY28" s="1070"/>
      <c r="AZ28" s="1071"/>
      <c r="BB28" s="1069" t="s">
        <v>154</v>
      </c>
      <c r="BC28" s="1070"/>
      <c r="BD28" s="1070"/>
      <c r="BE28" s="1071"/>
      <c r="BG28" s="1069" t="s">
        <v>157</v>
      </c>
      <c r="BH28" s="1070"/>
      <c r="BI28" s="1070"/>
      <c r="BJ28" s="1071"/>
    </row>
    <row r="29" spans="2:62" s="141" customFormat="1">
      <c r="B29" s="359"/>
      <c r="C29" s="360" t="s">
        <v>8</v>
      </c>
      <c r="D29" s="360" t="s">
        <v>1314</v>
      </c>
      <c r="E29" s="360" t="s">
        <v>164</v>
      </c>
      <c r="G29" s="359"/>
      <c r="H29" s="360" t="s">
        <v>8</v>
      </c>
      <c r="I29" s="360" t="s">
        <v>1314</v>
      </c>
      <c r="J29" s="360" t="s">
        <v>164</v>
      </c>
      <c r="L29" s="359"/>
      <c r="M29" s="360" t="s">
        <v>8</v>
      </c>
      <c r="N29" s="360" t="s">
        <v>1314</v>
      </c>
      <c r="O29" s="360" t="s">
        <v>164</v>
      </c>
      <c r="Q29" s="359"/>
      <c r="R29" s="360" t="s">
        <v>8</v>
      </c>
      <c r="S29" s="360" t="s">
        <v>1314</v>
      </c>
      <c r="T29" s="360" t="s">
        <v>164</v>
      </c>
      <c r="W29" s="359"/>
      <c r="X29" s="360" t="s">
        <v>8</v>
      </c>
      <c r="Y29" s="360" t="s">
        <v>1314</v>
      </c>
      <c r="Z29" s="360" t="s">
        <v>164</v>
      </c>
      <c r="AB29" s="359"/>
      <c r="AC29" s="360" t="s">
        <v>8</v>
      </c>
      <c r="AD29" s="360" t="s">
        <v>1314</v>
      </c>
      <c r="AE29" s="360" t="s">
        <v>164</v>
      </c>
      <c r="AG29" s="359"/>
      <c r="AH29" s="360" t="s">
        <v>8</v>
      </c>
      <c r="AI29" s="360" t="s">
        <v>1314</v>
      </c>
      <c r="AJ29" s="360" t="s">
        <v>164</v>
      </c>
      <c r="AL29" s="359"/>
      <c r="AM29" s="360" t="s">
        <v>8</v>
      </c>
      <c r="AN29" s="360" t="s">
        <v>1314</v>
      </c>
      <c r="AO29" s="360" t="s">
        <v>164</v>
      </c>
      <c r="AR29" s="359"/>
      <c r="AS29" s="360" t="s">
        <v>8</v>
      </c>
      <c r="AT29" s="360" t="s">
        <v>1314</v>
      </c>
      <c r="AU29" s="360" t="s">
        <v>164</v>
      </c>
      <c r="AW29" s="359"/>
      <c r="AX29" s="360" t="s">
        <v>8</v>
      </c>
      <c r="AY29" s="360" t="s">
        <v>1314</v>
      </c>
      <c r="AZ29" s="360" t="s">
        <v>164</v>
      </c>
      <c r="BB29" s="359"/>
      <c r="BC29" s="360" t="s">
        <v>8</v>
      </c>
      <c r="BD29" s="360" t="s">
        <v>1314</v>
      </c>
      <c r="BE29" s="360" t="s">
        <v>164</v>
      </c>
      <c r="BG29" s="359"/>
      <c r="BH29" s="360" t="s">
        <v>8</v>
      </c>
      <c r="BI29" s="360" t="s">
        <v>1314</v>
      </c>
      <c r="BJ29" s="360" t="s">
        <v>164</v>
      </c>
    </row>
    <row r="30" spans="2:62" s="119" customFormat="1" ht="19">
      <c r="B30" s="119">
        <v>1</v>
      </c>
      <c r="C30" s="119" t="s">
        <v>952</v>
      </c>
      <c r="D30" s="119" t="s">
        <v>1316</v>
      </c>
      <c r="E30" s="119">
        <v>15</v>
      </c>
      <c r="G30" s="119">
        <v>1</v>
      </c>
      <c r="H30" s="119" t="s">
        <v>539</v>
      </c>
      <c r="I30" s="119" t="s">
        <v>1563</v>
      </c>
      <c r="J30" s="119">
        <v>17</v>
      </c>
      <c r="L30" s="119">
        <v>1</v>
      </c>
      <c r="M30" s="511" t="s">
        <v>339</v>
      </c>
      <c r="N30" s="511" t="s">
        <v>1616</v>
      </c>
      <c r="O30" s="511">
        <v>6</v>
      </c>
      <c r="Q30" s="119">
        <v>1</v>
      </c>
      <c r="R30" s="511" t="s">
        <v>463</v>
      </c>
      <c r="S30" s="511" t="s">
        <v>1557</v>
      </c>
      <c r="T30" s="511">
        <v>40</v>
      </c>
      <c r="W30" s="119">
        <v>1</v>
      </c>
      <c r="X30" s="511" t="s">
        <v>429</v>
      </c>
      <c r="Y30" s="511" t="s">
        <v>1319</v>
      </c>
      <c r="Z30" s="511">
        <v>20</v>
      </c>
      <c r="AB30" s="119">
        <v>1</v>
      </c>
      <c r="AC30" s="511" t="s">
        <v>580</v>
      </c>
      <c r="AD30" s="511" t="s">
        <v>1570</v>
      </c>
      <c r="AE30" s="511">
        <v>19</v>
      </c>
      <c r="AG30" s="119">
        <v>1</v>
      </c>
      <c r="AH30" s="511" t="s">
        <v>394</v>
      </c>
      <c r="AI30" s="511" t="s">
        <v>1400</v>
      </c>
      <c r="AJ30" s="511">
        <v>6</v>
      </c>
      <c r="AL30" s="119">
        <v>1</v>
      </c>
      <c r="AM30" s="119" t="s">
        <v>869</v>
      </c>
      <c r="AN30" s="119" t="s">
        <v>1556</v>
      </c>
      <c r="AO30" s="119">
        <v>33</v>
      </c>
      <c r="AR30" s="119">
        <v>1</v>
      </c>
      <c r="AS30" s="119" t="s">
        <v>429</v>
      </c>
      <c r="AT30" s="119" t="s">
        <v>1319</v>
      </c>
      <c r="AU30" s="119">
        <v>18</v>
      </c>
      <c r="AW30" s="119">
        <v>1</v>
      </c>
      <c r="AX30" s="119" t="s">
        <v>226</v>
      </c>
      <c r="AY30" s="119" t="s">
        <v>1321</v>
      </c>
      <c r="AZ30" s="119">
        <v>17</v>
      </c>
      <c r="BB30" s="119">
        <v>1</v>
      </c>
      <c r="BC30" s="119" t="s">
        <v>1062</v>
      </c>
      <c r="BD30" s="119" t="s">
        <v>1479</v>
      </c>
      <c r="BE30" s="119">
        <v>5</v>
      </c>
      <c r="BG30" s="119">
        <v>1</v>
      </c>
      <c r="BH30" s="119" t="s">
        <v>717</v>
      </c>
      <c r="BI30" s="119" t="s">
        <v>1517</v>
      </c>
      <c r="BJ30" s="119">
        <v>38</v>
      </c>
    </row>
    <row r="31" spans="2:62" ht="19">
      <c r="C31" s="119" t="s">
        <v>165</v>
      </c>
      <c r="D31" s="119" t="s">
        <v>1354</v>
      </c>
      <c r="E31" s="119">
        <v>15</v>
      </c>
      <c r="G31">
        <v>2</v>
      </c>
      <c r="H31" s="505" t="s">
        <v>869</v>
      </c>
      <c r="I31" s="505" t="s">
        <v>1474</v>
      </c>
      <c r="J31" s="505">
        <v>16</v>
      </c>
      <c r="L31">
        <v>2</v>
      </c>
      <c r="M31" s="505" t="s">
        <v>580</v>
      </c>
      <c r="N31" s="505" t="s">
        <v>1348</v>
      </c>
      <c r="O31" s="505">
        <v>5</v>
      </c>
      <c r="Q31">
        <v>2</v>
      </c>
      <c r="R31" s="505" t="s">
        <v>394</v>
      </c>
      <c r="S31" s="505" t="s">
        <v>1564</v>
      </c>
      <c r="T31" s="505">
        <v>34</v>
      </c>
      <c r="W31">
        <v>2</v>
      </c>
      <c r="X31" t="s">
        <v>990</v>
      </c>
      <c r="Y31" t="s">
        <v>1330</v>
      </c>
      <c r="Z31">
        <v>18</v>
      </c>
      <c r="AB31">
        <v>2</v>
      </c>
      <c r="AC31" t="s">
        <v>1171</v>
      </c>
      <c r="AD31" t="s">
        <v>1543</v>
      </c>
      <c r="AE31">
        <v>17</v>
      </c>
      <c r="AH31" s="511" t="s">
        <v>502</v>
      </c>
      <c r="AI31" s="511" t="s">
        <v>1554</v>
      </c>
      <c r="AJ31" s="511">
        <v>6</v>
      </c>
      <c r="AL31">
        <v>2</v>
      </c>
      <c r="AM31" t="s">
        <v>226</v>
      </c>
      <c r="AN31" t="s">
        <v>1338</v>
      </c>
      <c r="AO31">
        <v>31</v>
      </c>
      <c r="AR31">
        <v>2</v>
      </c>
      <c r="AS31" t="s">
        <v>952</v>
      </c>
      <c r="AT31" t="s">
        <v>1342</v>
      </c>
      <c r="AU31">
        <v>17</v>
      </c>
      <c r="AW31">
        <v>2</v>
      </c>
      <c r="AX31" t="s">
        <v>394</v>
      </c>
      <c r="AY31" t="s">
        <v>1509</v>
      </c>
      <c r="AZ31">
        <v>16</v>
      </c>
      <c r="BB31">
        <v>2</v>
      </c>
      <c r="BC31" t="s">
        <v>580</v>
      </c>
      <c r="BD31" t="s">
        <v>1468</v>
      </c>
      <c r="BE31">
        <v>4</v>
      </c>
      <c r="BG31">
        <v>2</v>
      </c>
      <c r="BH31" t="s">
        <v>1139</v>
      </c>
      <c r="BI31" t="s">
        <v>1499</v>
      </c>
      <c r="BJ31">
        <v>34</v>
      </c>
    </row>
    <row r="32" spans="2:62" ht="19">
      <c r="C32" s="506" t="s">
        <v>685</v>
      </c>
      <c r="D32" s="506" t="s">
        <v>1419</v>
      </c>
      <c r="E32" s="506">
        <v>15</v>
      </c>
      <c r="H32" s="505" t="s">
        <v>835</v>
      </c>
      <c r="I32" s="505" t="s">
        <v>1473</v>
      </c>
      <c r="J32" s="505">
        <v>16</v>
      </c>
      <c r="M32" s="505" t="s">
        <v>903</v>
      </c>
      <c r="N32" s="505" t="s">
        <v>1398</v>
      </c>
      <c r="O32" s="505">
        <v>5</v>
      </c>
      <c r="Q32">
        <v>3</v>
      </c>
      <c r="R32" t="s">
        <v>717</v>
      </c>
      <c r="S32" t="s">
        <v>1342</v>
      </c>
      <c r="T32">
        <v>33</v>
      </c>
      <c r="W32">
        <v>3</v>
      </c>
      <c r="X32" t="s">
        <v>502</v>
      </c>
      <c r="Y32" t="s">
        <v>1329</v>
      </c>
      <c r="Z32">
        <v>14</v>
      </c>
      <c r="AB32">
        <v>3</v>
      </c>
      <c r="AC32" t="s">
        <v>990</v>
      </c>
      <c r="AD32" t="s">
        <v>1358</v>
      </c>
      <c r="AE32">
        <v>16</v>
      </c>
      <c r="AG32">
        <v>3</v>
      </c>
      <c r="AH32" t="s">
        <v>717</v>
      </c>
      <c r="AI32" t="s">
        <v>1517</v>
      </c>
      <c r="AJ32">
        <v>4</v>
      </c>
      <c r="AM32" t="s">
        <v>300</v>
      </c>
      <c r="AN32" t="s">
        <v>1392</v>
      </c>
      <c r="AO32">
        <v>31</v>
      </c>
      <c r="AS32" t="s">
        <v>165</v>
      </c>
      <c r="AT32" t="s">
        <v>1341</v>
      </c>
      <c r="AU32">
        <v>17</v>
      </c>
      <c r="AX32" t="s">
        <v>226</v>
      </c>
      <c r="AY32" t="s">
        <v>1338</v>
      </c>
      <c r="AZ32">
        <v>16</v>
      </c>
      <c r="BC32" t="s">
        <v>300</v>
      </c>
      <c r="BD32" t="s">
        <v>1617</v>
      </c>
      <c r="BE32">
        <v>4</v>
      </c>
      <c r="BH32" t="s">
        <v>869</v>
      </c>
      <c r="BI32" t="s">
        <v>1556</v>
      </c>
      <c r="BJ32">
        <v>34</v>
      </c>
    </row>
    <row r="33" spans="2:62">
      <c r="B33">
        <v>4</v>
      </c>
      <c r="C33" t="s">
        <v>580</v>
      </c>
      <c r="D33" t="s">
        <v>1325</v>
      </c>
      <c r="E33">
        <v>14</v>
      </c>
      <c r="H33" s="505" t="s">
        <v>770</v>
      </c>
      <c r="I33" s="505" t="s">
        <v>1542</v>
      </c>
      <c r="J33" s="505">
        <v>16</v>
      </c>
      <c r="L33">
        <v>4</v>
      </c>
      <c r="M33" t="s">
        <v>1139</v>
      </c>
      <c r="N33" t="s">
        <v>1618</v>
      </c>
      <c r="O33">
        <v>4</v>
      </c>
      <c r="Q33">
        <v>4</v>
      </c>
      <c r="R33" s="505" t="s">
        <v>869</v>
      </c>
      <c r="S33" s="505" t="s">
        <v>1556</v>
      </c>
      <c r="T33" s="505">
        <v>31</v>
      </c>
      <c r="X33" t="s">
        <v>539</v>
      </c>
      <c r="Y33" t="s">
        <v>1357</v>
      </c>
      <c r="Z33">
        <v>14</v>
      </c>
      <c r="AC33" t="s">
        <v>539</v>
      </c>
      <c r="AD33" t="s">
        <v>1357</v>
      </c>
      <c r="AE33">
        <v>16</v>
      </c>
      <c r="AH33" t="s">
        <v>502</v>
      </c>
      <c r="AI33" t="s">
        <v>1504</v>
      </c>
      <c r="AJ33">
        <v>4</v>
      </c>
      <c r="AL33">
        <v>4</v>
      </c>
      <c r="AM33" t="s">
        <v>463</v>
      </c>
      <c r="AN33" t="s">
        <v>1557</v>
      </c>
      <c r="AO33">
        <v>29</v>
      </c>
      <c r="AR33">
        <v>4</v>
      </c>
      <c r="AS33" t="s">
        <v>339</v>
      </c>
      <c r="AT33" t="s">
        <v>1360</v>
      </c>
      <c r="AU33">
        <v>16</v>
      </c>
      <c r="AW33">
        <v>4</v>
      </c>
      <c r="AX33" t="s">
        <v>1096</v>
      </c>
      <c r="AY33" t="s">
        <v>1619</v>
      </c>
      <c r="AZ33">
        <v>15</v>
      </c>
      <c r="BC33" t="s">
        <v>463</v>
      </c>
      <c r="BD33" t="s">
        <v>1620</v>
      </c>
      <c r="BE33">
        <v>4</v>
      </c>
      <c r="BG33">
        <v>4</v>
      </c>
      <c r="BH33" t="s">
        <v>539</v>
      </c>
      <c r="BI33" t="s">
        <v>1563</v>
      </c>
      <c r="BJ33">
        <v>33</v>
      </c>
    </row>
    <row r="34" spans="2:62">
      <c r="C34" t="s">
        <v>685</v>
      </c>
      <c r="D34" t="s">
        <v>1344</v>
      </c>
      <c r="E34">
        <v>14</v>
      </c>
      <c r="H34" t="s">
        <v>611</v>
      </c>
      <c r="I34" t="s">
        <v>1334</v>
      </c>
      <c r="J34">
        <v>16</v>
      </c>
      <c r="M34" t="s">
        <v>1096</v>
      </c>
      <c r="N34" t="s">
        <v>1386</v>
      </c>
      <c r="O34">
        <v>4</v>
      </c>
      <c r="Q34">
        <v>5</v>
      </c>
      <c r="R34" t="s">
        <v>266</v>
      </c>
      <c r="S34" t="s">
        <v>1621</v>
      </c>
      <c r="T34">
        <v>28</v>
      </c>
      <c r="W34">
        <v>5</v>
      </c>
      <c r="X34" t="s">
        <v>804</v>
      </c>
      <c r="Y34" t="s">
        <v>1339</v>
      </c>
      <c r="Z34">
        <v>13</v>
      </c>
      <c r="AB34">
        <v>5</v>
      </c>
      <c r="AC34" t="s">
        <v>611</v>
      </c>
      <c r="AD34" t="s">
        <v>1567</v>
      </c>
      <c r="AE34">
        <v>15</v>
      </c>
      <c r="AH34" t="s">
        <v>539</v>
      </c>
      <c r="AI34" t="s">
        <v>1490</v>
      </c>
      <c r="AJ34">
        <v>4</v>
      </c>
      <c r="AM34" t="s">
        <v>339</v>
      </c>
      <c r="AN34" t="s">
        <v>1622</v>
      </c>
      <c r="AO34">
        <v>28</v>
      </c>
      <c r="AR34">
        <v>5</v>
      </c>
      <c r="AS34" t="s">
        <v>394</v>
      </c>
      <c r="AT34" t="s">
        <v>1546</v>
      </c>
      <c r="AU34">
        <v>15</v>
      </c>
      <c r="AW34">
        <v>5</v>
      </c>
      <c r="AX34" t="s">
        <v>804</v>
      </c>
      <c r="AY34" t="s">
        <v>1565</v>
      </c>
      <c r="AZ34">
        <v>14</v>
      </c>
      <c r="BC34" t="s">
        <v>952</v>
      </c>
      <c r="BD34" t="s">
        <v>1623</v>
      </c>
      <c r="BE34">
        <v>4</v>
      </c>
      <c r="BH34" t="s">
        <v>770</v>
      </c>
      <c r="BI34" t="s">
        <v>1582</v>
      </c>
      <c r="BJ34">
        <v>33</v>
      </c>
    </row>
    <row r="35" spans="2:62">
      <c r="B35">
        <v>6</v>
      </c>
      <c r="C35" t="s">
        <v>770</v>
      </c>
      <c r="D35" t="s">
        <v>1332</v>
      </c>
      <c r="E35">
        <v>13</v>
      </c>
      <c r="H35" t="s">
        <v>226</v>
      </c>
      <c r="I35" t="s">
        <v>1383</v>
      </c>
      <c r="J35">
        <v>16</v>
      </c>
      <c r="M35" t="s">
        <v>226</v>
      </c>
      <c r="N35" t="s">
        <v>1383</v>
      </c>
      <c r="O35" s="505">
        <v>4</v>
      </c>
      <c r="R35" t="s">
        <v>580</v>
      </c>
      <c r="S35" t="s">
        <v>1348</v>
      </c>
      <c r="T35">
        <v>28</v>
      </c>
      <c r="X35" t="s">
        <v>1139</v>
      </c>
      <c r="Y35" t="s">
        <v>1320</v>
      </c>
      <c r="Z35">
        <v>13</v>
      </c>
      <c r="AC35" t="s">
        <v>226</v>
      </c>
      <c r="AD35" t="s">
        <v>1550</v>
      </c>
      <c r="AE35">
        <v>15</v>
      </c>
      <c r="AH35" t="s">
        <v>1025</v>
      </c>
      <c r="AI35" t="s">
        <v>1361</v>
      </c>
      <c r="AJ35">
        <v>4</v>
      </c>
      <c r="AL35">
        <v>6</v>
      </c>
      <c r="AM35" t="s">
        <v>226</v>
      </c>
      <c r="AN35" t="s">
        <v>1374</v>
      </c>
      <c r="AO35">
        <v>27</v>
      </c>
      <c r="AS35" t="s">
        <v>429</v>
      </c>
      <c r="AT35" t="s">
        <v>1352</v>
      </c>
      <c r="AU35">
        <v>15</v>
      </c>
      <c r="AX35" t="s">
        <v>580</v>
      </c>
      <c r="AY35" t="s">
        <v>1468</v>
      </c>
      <c r="AZ35">
        <v>14</v>
      </c>
      <c r="BC35" t="s">
        <v>1265</v>
      </c>
      <c r="BD35" t="s">
        <v>1624</v>
      </c>
      <c r="BE35">
        <v>4</v>
      </c>
      <c r="BG35">
        <v>6</v>
      </c>
      <c r="BH35" t="s">
        <v>952</v>
      </c>
      <c r="BI35" t="s">
        <v>1342</v>
      </c>
      <c r="BJ35">
        <v>31</v>
      </c>
    </row>
    <row r="36" spans="2:62">
      <c r="B36">
        <v>7</v>
      </c>
      <c r="C36" t="s">
        <v>1062</v>
      </c>
      <c r="D36" t="s">
        <v>1497</v>
      </c>
      <c r="E36">
        <v>12</v>
      </c>
      <c r="H36" t="s">
        <v>650</v>
      </c>
      <c r="I36" t="s">
        <v>1487</v>
      </c>
      <c r="J36">
        <v>16</v>
      </c>
      <c r="L36">
        <v>7</v>
      </c>
      <c r="M36" t="s">
        <v>502</v>
      </c>
      <c r="N36" t="s">
        <v>1376</v>
      </c>
      <c r="O36">
        <v>3</v>
      </c>
      <c r="Q36">
        <v>7</v>
      </c>
      <c r="R36" t="s">
        <v>685</v>
      </c>
      <c r="S36" t="s">
        <v>1344</v>
      </c>
      <c r="T36">
        <v>27</v>
      </c>
      <c r="X36" t="s">
        <v>1096</v>
      </c>
      <c r="Y36" t="s">
        <v>1445</v>
      </c>
      <c r="Z36">
        <v>13</v>
      </c>
      <c r="AB36">
        <v>7</v>
      </c>
      <c r="AC36" t="s">
        <v>580</v>
      </c>
      <c r="AD36" t="s">
        <v>1468</v>
      </c>
      <c r="AE36">
        <v>14</v>
      </c>
      <c r="AI36" t="s">
        <v>1625</v>
      </c>
      <c r="AJ36">
        <v>3</v>
      </c>
      <c r="AM36" t="s">
        <v>952</v>
      </c>
      <c r="AN36" t="s">
        <v>1342</v>
      </c>
      <c r="AO36">
        <v>27</v>
      </c>
      <c r="AR36">
        <v>7</v>
      </c>
      <c r="AS36" t="s">
        <v>226</v>
      </c>
      <c r="AT36" t="s">
        <v>1321</v>
      </c>
      <c r="AU36">
        <v>14</v>
      </c>
      <c r="AX36" t="s">
        <v>502</v>
      </c>
      <c r="AY36" t="s">
        <v>1626</v>
      </c>
      <c r="AZ36">
        <v>14</v>
      </c>
      <c r="BC36" t="s">
        <v>1096</v>
      </c>
      <c r="BD36" t="s">
        <v>1553</v>
      </c>
      <c r="BE36">
        <v>4</v>
      </c>
      <c r="BG36">
        <v>7</v>
      </c>
      <c r="BH36" t="s">
        <v>1265</v>
      </c>
      <c r="BI36" t="s">
        <v>1326</v>
      </c>
      <c r="BJ36">
        <v>30</v>
      </c>
    </row>
    <row r="37" spans="2:62">
      <c r="C37" t="s">
        <v>1200</v>
      </c>
      <c r="D37" t="s">
        <v>1469</v>
      </c>
      <c r="E37">
        <v>12</v>
      </c>
      <c r="G37">
        <v>8</v>
      </c>
      <c r="H37" t="s">
        <v>1265</v>
      </c>
      <c r="I37" t="s">
        <v>1326</v>
      </c>
      <c r="J37">
        <v>15</v>
      </c>
      <c r="M37" t="s">
        <v>502</v>
      </c>
      <c r="N37" t="s">
        <v>1504</v>
      </c>
      <c r="O37">
        <v>3</v>
      </c>
      <c r="R37" t="s">
        <v>539</v>
      </c>
      <c r="S37" t="s">
        <v>1563</v>
      </c>
      <c r="T37">
        <v>27</v>
      </c>
      <c r="W37">
        <v>8</v>
      </c>
      <c r="Y37" t="s">
        <v>1627</v>
      </c>
      <c r="Z37">
        <v>12</v>
      </c>
      <c r="AC37" t="s">
        <v>903</v>
      </c>
      <c r="AD37" t="s">
        <v>1449</v>
      </c>
      <c r="AE37">
        <v>14</v>
      </c>
      <c r="AM37" t="s">
        <v>1171</v>
      </c>
      <c r="AN37" t="s">
        <v>1467</v>
      </c>
      <c r="AO37">
        <v>27</v>
      </c>
      <c r="AS37" t="s">
        <v>1139</v>
      </c>
      <c r="AT37" t="s">
        <v>1499</v>
      </c>
      <c r="AU37">
        <v>14</v>
      </c>
      <c r="AX37" t="s">
        <v>429</v>
      </c>
      <c r="AY37" t="s">
        <v>1319</v>
      </c>
      <c r="AZ37">
        <v>14</v>
      </c>
      <c r="BC37" t="s">
        <v>1096</v>
      </c>
      <c r="BD37" t="s">
        <v>1628</v>
      </c>
      <c r="BE37">
        <v>4</v>
      </c>
      <c r="BG37">
        <v>8</v>
      </c>
      <c r="BH37" t="s">
        <v>539</v>
      </c>
      <c r="BI37" t="s">
        <v>1436</v>
      </c>
      <c r="BJ37">
        <v>25</v>
      </c>
    </row>
    <row r="38" spans="2:62">
      <c r="C38" t="s">
        <v>685</v>
      </c>
      <c r="D38" t="s">
        <v>1340</v>
      </c>
      <c r="E38">
        <v>12</v>
      </c>
      <c r="H38" t="s">
        <v>1171</v>
      </c>
      <c r="I38" t="s">
        <v>1507</v>
      </c>
      <c r="J38">
        <v>15</v>
      </c>
      <c r="M38" t="s">
        <v>1265</v>
      </c>
      <c r="N38" t="s">
        <v>1535</v>
      </c>
      <c r="O38">
        <v>3</v>
      </c>
      <c r="R38" t="s">
        <v>1171</v>
      </c>
      <c r="S38" t="s">
        <v>1467</v>
      </c>
      <c r="T38">
        <v>27</v>
      </c>
      <c r="AC38" t="s">
        <v>869</v>
      </c>
      <c r="AD38" t="s">
        <v>1439</v>
      </c>
      <c r="AE38">
        <v>14</v>
      </c>
      <c r="AM38" t="s">
        <v>1139</v>
      </c>
      <c r="AN38" t="s">
        <v>1447</v>
      </c>
      <c r="AO38">
        <v>27</v>
      </c>
      <c r="AS38" t="s">
        <v>1200</v>
      </c>
      <c r="AT38" t="s">
        <v>1469</v>
      </c>
      <c r="AU38">
        <v>14</v>
      </c>
      <c r="AW38">
        <v>9</v>
      </c>
      <c r="AX38" t="s">
        <v>580</v>
      </c>
      <c r="AY38" t="s">
        <v>1613</v>
      </c>
      <c r="AZ38">
        <v>13</v>
      </c>
      <c r="BB38">
        <v>9</v>
      </c>
      <c r="BD38" t="s">
        <v>1629</v>
      </c>
      <c r="BE38">
        <v>3</v>
      </c>
      <c r="BG38">
        <v>9</v>
      </c>
      <c r="BH38" t="s">
        <v>266</v>
      </c>
      <c r="BI38" t="s">
        <v>1584</v>
      </c>
      <c r="BJ38">
        <v>24</v>
      </c>
    </row>
    <row r="39" spans="2:62">
      <c r="C39" t="s">
        <v>300</v>
      </c>
      <c r="D39" t="s">
        <v>1315</v>
      </c>
      <c r="E39">
        <v>12</v>
      </c>
      <c r="H39" t="s">
        <v>300</v>
      </c>
      <c r="I39" t="s">
        <v>1540</v>
      </c>
      <c r="J39">
        <v>15</v>
      </c>
      <c r="M39" t="s">
        <v>1062</v>
      </c>
      <c r="N39" t="s">
        <v>1479</v>
      </c>
      <c r="O39">
        <v>3</v>
      </c>
      <c r="Q39">
        <v>10</v>
      </c>
      <c r="R39" t="s">
        <v>717</v>
      </c>
      <c r="S39" t="s">
        <v>1517</v>
      </c>
      <c r="T39">
        <v>26</v>
      </c>
      <c r="AB39">
        <v>10</v>
      </c>
      <c r="AD39" t="s">
        <v>1613</v>
      </c>
      <c r="AE39">
        <v>13</v>
      </c>
      <c r="AL39">
        <v>10</v>
      </c>
      <c r="AN39" t="s">
        <v>1614</v>
      </c>
      <c r="AO39">
        <v>26</v>
      </c>
      <c r="AR39">
        <v>10</v>
      </c>
      <c r="AT39" t="s">
        <v>1630</v>
      </c>
      <c r="AU39">
        <v>13</v>
      </c>
      <c r="BH39" t="s">
        <v>1171</v>
      </c>
      <c r="BI39" t="s">
        <v>1467</v>
      </c>
      <c r="BJ39">
        <v>24</v>
      </c>
    </row>
    <row r="41" spans="2:62" s="118" customFormat="1" ht="19">
      <c r="B41" s="1069" t="s">
        <v>150</v>
      </c>
      <c r="C41" s="1070"/>
      <c r="D41" s="1070"/>
      <c r="E41" s="1071"/>
      <c r="G41" s="1069" t="s">
        <v>1631</v>
      </c>
      <c r="H41" s="1070"/>
      <c r="I41" s="1070"/>
      <c r="J41" s="1071"/>
      <c r="L41" s="1069" t="s">
        <v>160</v>
      </c>
      <c r="M41" s="1070"/>
      <c r="N41" s="1070"/>
      <c r="O41" s="1071"/>
      <c r="Q41" s="1069" t="s">
        <v>159</v>
      </c>
      <c r="R41" s="1070"/>
      <c r="S41" s="1070"/>
      <c r="T41" s="1071"/>
      <c r="W41" s="1069" t="s">
        <v>150</v>
      </c>
      <c r="X41" s="1070"/>
      <c r="Y41" s="1070"/>
      <c r="Z41" s="1071"/>
      <c r="AB41" s="1069" t="s">
        <v>1631</v>
      </c>
      <c r="AC41" s="1070"/>
      <c r="AD41" s="1070"/>
      <c r="AE41" s="1071"/>
      <c r="AG41" s="1069" t="s">
        <v>160</v>
      </c>
      <c r="AH41" s="1070"/>
      <c r="AI41" s="1070"/>
      <c r="AJ41" s="1071"/>
      <c r="AL41" s="1069" t="s">
        <v>159</v>
      </c>
      <c r="AM41" s="1070"/>
      <c r="AN41" s="1070"/>
      <c r="AO41" s="1071"/>
      <c r="AR41" s="1069" t="s">
        <v>150</v>
      </c>
      <c r="AS41" s="1070"/>
      <c r="AT41" s="1070"/>
      <c r="AU41" s="1071"/>
      <c r="AW41" s="1069" t="s">
        <v>1631</v>
      </c>
      <c r="AX41" s="1070"/>
      <c r="AY41" s="1070"/>
      <c r="AZ41" s="1071"/>
      <c r="BB41" s="1069" t="s">
        <v>160</v>
      </c>
      <c r="BC41" s="1070"/>
      <c r="BD41" s="1070"/>
      <c r="BE41" s="1071"/>
      <c r="BG41" s="1069" t="s">
        <v>159</v>
      </c>
      <c r="BH41" s="1070"/>
      <c r="BI41" s="1070"/>
      <c r="BJ41" s="1071"/>
    </row>
    <row r="42" spans="2:62" s="141" customFormat="1">
      <c r="B42" s="359"/>
      <c r="C42" s="360" t="s">
        <v>8</v>
      </c>
      <c r="D42" s="360" t="s">
        <v>1314</v>
      </c>
      <c r="E42" s="360" t="s">
        <v>164</v>
      </c>
      <c r="G42" s="359"/>
      <c r="H42" s="360" t="s">
        <v>8</v>
      </c>
      <c r="I42" s="360" t="s">
        <v>1314</v>
      </c>
      <c r="J42" s="359" t="s">
        <v>164</v>
      </c>
      <c r="L42" s="359"/>
      <c r="M42" s="360" t="s">
        <v>8</v>
      </c>
      <c r="N42" s="360" t="s">
        <v>1314</v>
      </c>
      <c r="O42" s="360" t="s">
        <v>164</v>
      </c>
      <c r="Q42" s="359"/>
      <c r="R42" s="360" t="s">
        <v>8</v>
      </c>
      <c r="S42" s="360" t="s">
        <v>1314</v>
      </c>
      <c r="T42" s="360" t="s">
        <v>164</v>
      </c>
      <c r="W42" s="359"/>
      <c r="X42" s="360" t="s">
        <v>8</v>
      </c>
      <c r="Y42" s="360" t="s">
        <v>1314</v>
      </c>
      <c r="Z42" s="360" t="s">
        <v>164</v>
      </c>
      <c r="AB42" s="359"/>
      <c r="AC42" s="360" t="s">
        <v>8</v>
      </c>
      <c r="AD42" s="360" t="s">
        <v>1314</v>
      </c>
      <c r="AE42" s="359" t="s">
        <v>164</v>
      </c>
      <c r="AG42" s="359"/>
      <c r="AH42" s="360" t="s">
        <v>8</v>
      </c>
      <c r="AI42" s="360" t="s">
        <v>1314</v>
      </c>
      <c r="AJ42" s="360" t="s">
        <v>164</v>
      </c>
      <c r="AL42" s="359"/>
      <c r="AM42" s="360" t="s">
        <v>8</v>
      </c>
      <c r="AN42" s="360" t="s">
        <v>1314</v>
      </c>
      <c r="AO42" s="360" t="s">
        <v>164</v>
      </c>
      <c r="AR42" s="359"/>
      <c r="AS42" s="360" t="s">
        <v>8</v>
      </c>
      <c r="AT42" s="360" t="s">
        <v>1314</v>
      </c>
      <c r="AU42" s="360" t="s">
        <v>164</v>
      </c>
      <c r="AW42" s="359"/>
      <c r="AX42" s="360" t="s">
        <v>8</v>
      </c>
      <c r="AY42" s="360" t="s">
        <v>1314</v>
      </c>
      <c r="AZ42" s="359" t="s">
        <v>164</v>
      </c>
      <c r="BB42" s="359"/>
      <c r="BC42" s="360" t="s">
        <v>8</v>
      </c>
      <c r="BD42" s="360" t="s">
        <v>1314</v>
      </c>
      <c r="BE42" s="360" t="s">
        <v>164</v>
      </c>
      <c r="BG42" s="359"/>
      <c r="BH42" s="360" t="s">
        <v>8</v>
      </c>
      <c r="BI42" s="360" t="s">
        <v>1314</v>
      </c>
      <c r="BJ42" s="360" t="s">
        <v>164</v>
      </c>
    </row>
    <row r="43" spans="2:62" s="119" customFormat="1" ht="19">
      <c r="B43" s="119">
        <v>1</v>
      </c>
      <c r="C43" s="119" t="s">
        <v>611</v>
      </c>
      <c r="D43" s="119" t="s">
        <v>1385</v>
      </c>
      <c r="E43" s="119">
        <v>180</v>
      </c>
      <c r="G43" s="119">
        <v>1</v>
      </c>
      <c r="H43" s="119" t="s">
        <v>463</v>
      </c>
      <c r="I43" s="119" t="s">
        <v>1632</v>
      </c>
      <c r="J43" s="119">
        <v>64</v>
      </c>
      <c r="L43" s="119">
        <v>1</v>
      </c>
      <c r="M43" s="119" t="s">
        <v>539</v>
      </c>
      <c r="N43" s="119" t="s">
        <v>1563</v>
      </c>
      <c r="O43" s="119">
        <v>19</v>
      </c>
      <c r="Q43" s="119">
        <v>1</v>
      </c>
      <c r="R43" s="119" t="s">
        <v>1265</v>
      </c>
      <c r="S43" s="119" t="s">
        <v>1535</v>
      </c>
      <c r="T43" s="119">
        <v>25</v>
      </c>
      <c r="W43" s="119">
        <v>1</v>
      </c>
      <c r="X43" s="511" t="s">
        <v>429</v>
      </c>
      <c r="Y43" s="511" t="s">
        <v>1319</v>
      </c>
      <c r="Z43" s="511">
        <v>181</v>
      </c>
      <c r="AB43" s="119">
        <v>1</v>
      </c>
      <c r="AC43" s="119" t="s">
        <v>339</v>
      </c>
      <c r="AD43" s="119" t="s">
        <v>1633</v>
      </c>
      <c r="AE43" s="119">
        <v>60</v>
      </c>
      <c r="AG43" s="119">
        <v>1</v>
      </c>
      <c r="AH43" s="119" t="s">
        <v>165</v>
      </c>
      <c r="AI43" s="119" t="s">
        <v>1506</v>
      </c>
      <c r="AJ43" s="119">
        <v>19</v>
      </c>
      <c r="AL43" s="119">
        <v>1</v>
      </c>
      <c r="AM43" s="119" t="s">
        <v>717</v>
      </c>
      <c r="AN43" s="119" t="s">
        <v>1517</v>
      </c>
      <c r="AO43" s="119">
        <v>19</v>
      </c>
      <c r="AR43" s="119">
        <v>1</v>
      </c>
      <c r="AS43" s="119" t="s">
        <v>429</v>
      </c>
      <c r="AT43" s="119" t="s">
        <v>1319</v>
      </c>
      <c r="AU43" s="119">
        <v>179</v>
      </c>
      <c r="AW43" s="119">
        <v>1</v>
      </c>
      <c r="AX43" s="511" t="s">
        <v>502</v>
      </c>
      <c r="AY43" s="511" t="s">
        <v>1634</v>
      </c>
      <c r="AZ43" s="511">
        <v>70</v>
      </c>
      <c r="BB43" s="119">
        <v>1</v>
      </c>
      <c r="BC43" s="511" t="s">
        <v>226</v>
      </c>
      <c r="BD43" s="511" t="s">
        <v>1463</v>
      </c>
      <c r="BE43" s="511">
        <v>22</v>
      </c>
      <c r="BG43" s="119">
        <v>1</v>
      </c>
      <c r="BH43" s="511" t="s">
        <v>717</v>
      </c>
      <c r="BI43" s="511" t="s">
        <v>1517</v>
      </c>
      <c r="BJ43" s="511">
        <v>29</v>
      </c>
    </row>
    <row r="44" spans="2:62" ht="19">
      <c r="B44">
        <v>2</v>
      </c>
      <c r="C44" t="s">
        <v>539</v>
      </c>
      <c r="D44" t="s">
        <v>1489</v>
      </c>
      <c r="E44">
        <v>179</v>
      </c>
      <c r="G44">
        <v>2</v>
      </c>
      <c r="H44" s="505" t="s">
        <v>903</v>
      </c>
      <c r="I44" s="505" t="s">
        <v>1470</v>
      </c>
      <c r="J44" s="505">
        <v>63</v>
      </c>
      <c r="L44">
        <v>2</v>
      </c>
      <c r="M44" s="505" t="s">
        <v>770</v>
      </c>
      <c r="N44" s="505" t="s">
        <v>1545</v>
      </c>
      <c r="O44" s="505">
        <v>17</v>
      </c>
      <c r="Q44">
        <v>2</v>
      </c>
      <c r="R44" t="s">
        <v>903</v>
      </c>
      <c r="S44" t="s">
        <v>1398</v>
      </c>
      <c r="T44">
        <v>24</v>
      </c>
      <c r="W44">
        <v>2</v>
      </c>
      <c r="X44" t="s">
        <v>990</v>
      </c>
      <c r="Y44" t="s">
        <v>1461</v>
      </c>
      <c r="Z44">
        <v>179</v>
      </c>
      <c r="AC44" s="119" t="s">
        <v>1200</v>
      </c>
      <c r="AD44" s="119" t="s">
        <v>1469</v>
      </c>
      <c r="AE44" s="119">
        <v>60</v>
      </c>
      <c r="AG44">
        <v>2</v>
      </c>
      <c r="AH44" t="s">
        <v>165</v>
      </c>
      <c r="AI44" t="s">
        <v>1471</v>
      </c>
      <c r="AJ44">
        <v>16</v>
      </c>
      <c r="AM44" s="119" t="s">
        <v>835</v>
      </c>
      <c r="AN44" s="119" t="s">
        <v>1555</v>
      </c>
      <c r="AO44" s="119">
        <v>19</v>
      </c>
      <c r="AR44">
        <v>2</v>
      </c>
      <c r="AS44" t="s">
        <v>394</v>
      </c>
      <c r="AT44" t="s">
        <v>1509</v>
      </c>
      <c r="AU44">
        <v>178</v>
      </c>
      <c r="AW44">
        <v>2</v>
      </c>
      <c r="AX44" t="s">
        <v>394</v>
      </c>
      <c r="AY44" t="s">
        <v>1546</v>
      </c>
      <c r="AZ44">
        <v>66</v>
      </c>
      <c r="BB44">
        <v>2</v>
      </c>
      <c r="BC44" t="s">
        <v>429</v>
      </c>
      <c r="BD44" t="s">
        <v>1319</v>
      </c>
      <c r="BE44">
        <v>17</v>
      </c>
      <c r="BG44">
        <v>2</v>
      </c>
      <c r="BH44" t="s">
        <v>903</v>
      </c>
      <c r="BI44" t="s">
        <v>2183</v>
      </c>
      <c r="BJ44">
        <v>27</v>
      </c>
    </row>
    <row r="45" spans="2:62">
      <c r="B45">
        <v>3</v>
      </c>
      <c r="C45" s="505" t="s">
        <v>804</v>
      </c>
      <c r="D45" s="505" t="s">
        <v>1459</v>
      </c>
      <c r="E45" s="505">
        <v>176</v>
      </c>
      <c r="H45" t="s">
        <v>429</v>
      </c>
      <c r="I45" t="s">
        <v>1319</v>
      </c>
      <c r="J45">
        <v>63</v>
      </c>
      <c r="M45" t="s">
        <v>339</v>
      </c>
      <c r="N45" t="s">
        <v>1635</v>
      </c>
      <c r="O45">
        <v>17</v>
      </c>
      <c r="Q45">
        <v>3</v>
      </c>
      <c r="R45" s="505" t="s">
        <v>266</v>
      </c>
      <c r="S45" s="505" t="s">
        <v>1466</v>
      </c>
      <c r="T45" s="505">
        <v>23</v>
      </c>
      <c r="W45">
        <v>3</v>
      </c>
      <c r="X45" t="s">
        <v>611</v>
      </c>
      <c r="Y45" t="s">
        <v>1385</v>
      </c>
      <c r="Z45">
        <v>178</v>
      </c>
      <c r="AB45">
        <v>3</v>
      </c>
      <c r="AC45" t="s">
        <v>394</v>
      </c>
      <c r="AD45" t="s">
        <v>1564</v>
      </c>
      <c r="AE45">
        <v>58</v>
      </c>
      <c r="AH45" t="s">
        <v>1025</v>
      </c>
      <c r="AI45" t="s">
        <v>1608</v>
      </c>
      <c r="AJ45">
        <v>16</v>
      </c>
      <c r="AL45">
        <v>3</v>
      </c>
      <c r="AM45" t="s">
        <v>903</v>
      </c>
      <c r="AN45" t="s">
        <v>2183</v>
      </c>
      <c r="AO45">
        <v>16</v>
      </c>
      <c r="AR45">
        <v>3</v>
      </c>
      <c r="AS45" t="s">
        <v>869</v>
      </c>
      <c r="AT45" t="s">
        <v>1486</v>
      </c>
      <c r="AU45">
        <v>176</v>
      </c>
      <c r="AW45">
        <v>3</v>
      </c>
      <c r="AX45" t="s">
        <v>165</v>
      </c>
      <c r="AY45" t="s">
        <v>1354</v>
      </c>
      <c r="AZ45">
        <v>62</v>
      </c>
      <c r="BB45">
        <v>3</v>
      </c>
      <c r="BC45" t="s">
        <v>165</v>
      </c>
      <c r="BD45" t="s">
        <v>1341</v>
      </c>
      <c r="BE45">
        <v>16</v>
      </c>
      <c r="BG45">
        <v>3</v>
      </c>
      <c r="BH45" t="s">
        <v>869</v>
      </c>
      <c r="BI45" t="s">
        <v>1486</v>
      </c>
      <c r="BJ45">
        <v>22</v>
      </c>
    </row>
    <row r="46" spans="2:62">
      <c r="B46">
        <v>4</v>
      </c>
      <c r="C46" t="s">
        <v>300</v>
      </c>
      <c r="D46" t="s">
        <v>1636</v>
      </c>
      <c r="E46">
        <v>174</v>
      </c>
      <c r="G46">
        <v>4</v>
      </c>
      <c r="H46" t="s">
        <v>463</v>
      </c>
      <c r="I46" t="s">
        <v>1513</v>
      </c>
      <c r="J46">
        <v>60</v>
      </c>
      <c r="L46">
        <v>4</v>
      </c>
      <c r="M46" t="s">
        <v>226</v>
      </c>
      <c r="N46" t="s">
        <v>1434</v>
      </c>
      <c r="O46">
        <v>16</v>
      </c>
      <c r="R46" s="505" t="s">
        <v>717</v>
      </c>
      <c r="S46" s="505" t="s">
        <v>1637</v>
      </c>
      <c r="T46" s="505">
        <v>23</v>
      </c>
      <c r="W46">
        <v>4</v>
      </c>
      <c r="X46" t="s">
        <v>226</v>
      </c>
      <c r="Y46" t="s">
        <v>1321</v>
      </c>
      <c r="Z46">
        <v>177</v>
      </c>
      <c r="AB46">
        <v>4</v>
      </c>
      <c r="AC46" t="s">
        <v>165</v>
      </c>
      <c r="AD46" t="s">
        <v>1341</v>
      </c>
      <c r="AE46">
        <v>57</v>
      </c>
      <c r="AG46">
        <v>4</v>
      </c>
      <c r="AH46" t="s">
        <v>266</v>
      </c>
      <c r="AI46" t="s">
        <v>1462</v>
      </c>
      <c r="AJ46">
        <v>15</v>
      </c>
      <c r="AL46">
        <v>4</v>
      </c>
      <c r="AM46" t="s">
        <v>1171</v>
      </c>
      <c r="AN46" t="s">
        <v>1486</v>
      </c>
      <c r="AO46">
        <v>14</v>
      </c>
      <c r="AR46">
        <v>4</v>
      </c>
      <c r="AS46" t="s">
        <v>539</v>
      </c>
      <c r="AT46" t="s">
        <v>1489</v>
      </c>
      <c r="AU46">
        <v>174</v>
      </c>
      <c r="AW46">
        <v>4</v>
      </c>
      <c r="AX46" t="s">
        <v>685</v>
      </c>
      <c r="AY46" t="s">
        <v>1340</v>
      </c>
      <c r="AZ46">
        <v>58</v>
      </c>
      <c r="BC46" t="s">
        <v>685</v>
      </c>
      <c r="BD46" t="s">
        <v>1344</v>
      </c>
      <c r="BE46">
        <v>16</v>
      </c>
      <c r="BG46">
        <v>4</v>
      </c>
      <c r="BH46" t="s">
        <v>266</v>
      </c>
      <c r="BI46" t="s">
        <v>1466</v>
      </c>
      <c r="BJ46">
        <v>21</v>
      </c>
    </row>
    <row r="47" spans="2:62">
      <c r="B47">
        <v>5</v>
      </c>
      <c r="C47" t="s">
        <v>463</v>
      </c>
      <c r="D47" t="s">
        <v>1632</v>
      </c>
      <c r="E47">
        <v>173</v>
      </c>
      <c r="G47">
        <v>5</v>
      </c>
      <c r="H47" t="s">
        <v>1229</v>
      </c>
      <c r="I47" t="s">
        <v>1520</v>
      </c>
      <c r="J47">
        <v>59</v>
      </c>
      <c r="L47">
        <v>5</v>
      </c>
      <c r="M47" t="s">
        <v>266</v>
      </c>
      <c r="N47" t="s">
        <v>1466</v>
      </c>
      <c r="O47">
        <v>15</v>
      </c>
      <c r="Q47">
        <v>5</v>
      </c>
      <c r="R47" t="s">
        <v>1025</v>
      </c>
      <c r="S47" t="s">
        <v>1548</v>
      </c>
      <c r="T47">
        <v>18</v>
      </c>
      <c r="X47" t="s">
        <v>580</v>
      </c>
      <c r="Y47" t="s">
        <v>1468</v>
      </c>
      <c r="Z47">
        <v>177</v>
      </c>
      <c r="AB47">
        <v>5</v>
      </c>
      <c r="AC47" t="s">
        <v>266</v>
      </c>
      <c r="AD47" t="s">
        <v>1638</v>
      </c>
      <c r="AE47">
        <v>56</v>
      </c>
      <c r="AH47" t="s">
        <v>1062</v>
      </c>
      <c r="AI47" t="s">
        <v>1501</v>
      </c>
      <c r="AJ47">
        <v>15</v>
      </c>
      <c r="AL47">
        <v>5</v>
      </c>
      <c r="AM47" t="s">
        <v>1265</v>
      </c>
      <c r="AN47" t="s">
        <v>1535</v>
      </c>
      <c r="AO47">
        <v>13</v>
      </c>
      <c r="AS47" t="s">
        <v>804</v>
      </c>
      <c r="AT47" t="s">
        <v>1459</v>
      </c>
      <c r="AU47">
        <v>174</v>
      </c>
      <c r="AX47" t="s">
        <v>717</v>
      </c>
      <c r="AY47" t="s">
        <v>1638</v>
      </c>
      <c r="AZ47">
        <v>58</v>
      </c>
      <c r="BB47">
        <v>5</v>
      </c>
      <c r="BC47" t="s">
        <v>952</v>
      </c>
      <c r="BD47" t="s">
        <v>1438</v>
      </c>
      <c r="BE47">
        <v>15</v>
      </c>
      <c r="BG47">
        <v>5</v>
      </c>
      <c r="BH47" t="s">
        <v>770</v>
      </c>
      <c r="BI47" t="s">
        <v>1545</v>
      </c>
      <c r="BJ47">
        <v>18</v>
      </c>
    </row>
    <row r="48" spans="2:62">
      <c r="C48" t="s">
        <v>539</v>
      </c>
      <c r="D48" t="s">
        <v>1536</v>
      </c>
      <c r="E48">
        <v>173</v>
      </c>
      <c r="G48">
        <v>6</v>
      </c>
      <c r="H48" t="s">
        <v>1229</v>
      </c>
      <c r="I48" t="s">
        <v>1472</v>
      </c>
      <c r="J48">
        <v>58</v>
      </c>
      <c r="M48" t="s">
        <v>903</v>
      </c>
      <c r="N48" t="s">
        <v>1398</v>
      </c>
      <c r="O48">
        <v>15</v>
      </c>
      <c r="Q48">
        <v>6</v>
      </c>
      <c r="R48" t="s">
        <v>394</v>
      </c>
      <c r="S48" t="s">
        <v>1400</v>
      </c>
      <c r="T48">
        <v>14</v>
      </c>
      <c r="X48" t="s">
        <v>539</v>
      </c>
      <c r="Y48" t="s">
        <v>1489</v>
      </c>
      <c r="Z48">
        <v>177</v>
      </c>
      <c r="AC48" t="s">
        <v>339</v>
      </c>
      <c r="AD48" t="s">
        <v>1460</v>
      </c>
      <c r="AE48">
        <v>56</v>
      </c>
      <c r="AG48">
        <v>6</v>
      </c>
      <c r="AI48" t="s">
        <v>1639</v>
      </c>
      <c r="AJ48">
        <v>14</v>
      </c>
      <c r="AL48">
        <v>6</v>
      </c>
      <c r="AM48" t="s">
        <v>266</v>
      </c>
      <c r="AN48" t="s">
        <v>1466</v>
      </c>
      <c r="AO48">
        <v>12</v>
      </c>
      <c r="AR48">
        <v>6</v>
      </c>
      <c r="AS48" t="s">
        <v>1096</v>
      </c>
      <c r="AT48" t="s">
        <v>1508</v>
      </c>
      <c r="AU48">
        <v>172</v>
      </c>
      <c r="AX48" t="s">
        <v>339</v>
      </c>
      <c r="AY48" t="s">
        <v>1503</v>
      </c>
      <c r="AZ48">
        <v>58</v>
      </c>
      <c r="BC48" t="s">
        <v>952</v>
      </c>
      <c r="BD48" t="s">
        <v>1464</v>
      </c>
      <c r="BE48">
        <v>15</v>
      </c>
      <c r="BG48">
        <v>6</v>
      </c>
      <c r="BH48" t="s">
        <v>903</v>
      </c>
      <c r="BI48" t="s">
        <v>1529</v>
      </c>
      <c r="BJ48">
        <v>16</v>
      </c>
    </row>
    <row r="49" spans="2:62">
      <c r="B49">
        <v>7</v>
      </c>
      <c r="C49" t="s">
        <v>394</v>
      </c>
      <c r="D49" t="s">
        <v>1400</v>
      </c>
      <c r="E49">
        <v>172</v>
      </c>
      <c r="H49" t="s">
        <v>165</v>
      </c>
      <c r="I49" t="s">
        <v>1354</v>
      </c>
      <c r="J49">
        <v>58</v>
      </c>
      <c r="L49">
        <v>7</v>
      </c>
      <c r="M49" t="s">
        <v>770</v>
      </c>
      <c r="N49" t="s">
        <v>1481</v>
      </c>
      <c r="O49">
        <v>14</v>
      </c>
      <c r="Q49">
        <v>7</v>
      </c>
      <c r="R49" t="s">
        <v>429</v>
      </c>
      <c r="S49" t="s">
        <v>1319</v>
      </c>
      <c r="T49">
        <v>13</v>
      </c>
      <c r="W49">
        <v>7</v>
      </c>
      <c r="X49" t="s">
        <v>804</v>
      </c>
      <c r="Y49" t="s">
        <v>1459</v>
      </c>
      <c r="Z49">
        <v>175</v>
      </c>
      <c r="AB49">
        <v>7</v>
      </c>
      <c r="AC49" t="s">
        <v>165</v>
      </c>
      <c r="AD49" t="s">
        <v>1354</v>
      </c>
      <c r="AE49">
        <v>55</v>
      </c>
      <c r="AL49">
        <v>7</v>
      </c>
      <c r="AM49" t="s">
        <v>429</v>
      </c>
      <c r="AN49" t="s">
        <v>1319</v>
      </c>
      <c r="AO49">
        <v>9</v>
      </c>
      <c r="AS49" t="s">
        <v>429</v>
      </c>
      <c r="AT49" t="s">
        <v>1511</v>
      </c>
      <c r="AU49">
        <v>172</v>
      </c>
      <c r="AW49">
        <v>7</v>
      </c>
      <c r="AX49" t="s">
        <v>339</v>
      </c>
      <c r="AY49" t="s">
        <v>1633</v>
      </c>
      <c r="AZ49">
        <v>57</v>
      </c>
      <c r="BB49">
        <v>7</v>
      </c>
      <c r="BC49" t="s">
        <v>226</v>
      </c>
      <c r="BD49" t="s">
        <v>1321</v>
      </c>
      <c r="BE49">
        <v>14</v>
      </c>
      <c r="BH49" t="s">
        <v>685</v>
      </c>
      <c r="BI49" t="s">
        <v>1344</v>
      </c>
      <c r="BJ49">
        <v>16</v>
      </c>
    </row>
    <row r="50" spans="2:62">
      <c r="C50" t="s">
        <v>1265</v>
      </c>
      <c r="D50" t="s">
        <v>1535</v>
      </c>
      <c r="E50">
        <v>172</v>
      </c>
      <c r="G50">
        <v>8</v>
      </c>
      <c r="H50" t="s">
        <v>463</v>
      </c>
      <c r="I50" t="s">
        <v>1640</v>
      </c>
      <c r="J50">
        <v>57</v>
      </c>
      <c r="M50" t="s">
        <v>1229</v>
      </c>
      <c r="N50" t="s">
        <v>1472</v>
      </c>
      <c r="O50">
        <v>14</v>
      </c>
      <c r="R50" t="s">
        <v>394</v>
      </c>
      <c r="S50" t="s">
        <v>1509</v>
      </c>
      <c r="T50">
        <v>13</v>
      </c>
      <c r="W50">
        <v>8</v>
      </c>
      <c r="X50" t="s">
        <v>539</v>
      </c>
      <c r="Y50" t="s">
        <v>1536</v>
      </c>
      <c r="Z50">
        <v>174</v>
      </c>
      <c r="AC50" t="s">
        <v>429</v>
      </c>
      <c r="AD50" t="s">
        <v>1641</v>
      </c>
      <c r="AE50">
        <v>55</v>
      </c>
      <c r="AM50" t="s">
        <v>502</v>
      </c>
      <c r="AN50" t="s">
        <v>1376</v>
      </c>
      <c r="AO50">
        <v>9</v>
      </c>
      <c r="AR50">
        <v>8</v>
      </c>
      <c r="AS50" t="s">
        <v>717</v>
      </c>
      <c r="AT50" t="s">
        <v>1642</v>
      </c>
      <c r="AU50">
        <v>170</v>
      </c>
      <c r="AW50">
        <v>8</v>
      </c>
      <c r="AX50" t="s">
        <v>429</v>
      </c>
      <c r="AY50" t="s">
        <v>1319</v>
      </c>
      <c r="AZ50">
        <v>56</v>
      </c>
      <c r="BC50" t="s">
        <v>580</v>
      </c>
      <c r="BD50" t="s">
        <v>1468</v>
      </c>
      <c r="BE50">
        <v>14</v>
      </c>
      <c r="BG50">
        <v>8</v>
      </c>
      <c r="BH50" t="s">
        <v>717</v>
      </c>
      <c r="BI50" t="s">
        <v>1642</v>
      </c>
      <c r="BJ50">
        <v>15</v>
      </c>
    </row>
    <row r="51" spans="2:62">
      <c r="C51" t="s">
        <v>1062</v>
      </c>
      <c r="D51" t="s">
        <v>1479</v>
      </c>
      <c r="E51">
        <v>172</v>
      </c>
      <c r="G51">
        <v>9</v>
      </c>
      <c r="H51" t="s">
        <v>165</v>
      </c>
      <c r="I51" t="s">
        <v>1341</v>
      </c>
      <c r="J51">
        <v>56</v>
      </c>
      <c r="M51" t="s">
        <v>869</v>
      </c>
      <c r="N51" t="s">
        <v>1474</v>
      </c>
      <c r="O51">
        <v>14</v>
      </c>
      <c r="R51" t="s">
        <v>869</v>
      </c>
      <c r="S51" t="s">
        <v>1474</v>
      </c>
      <c r="T51">
        <v>13</v>
      </c>
      <c r="W51">
        <v>9</v>
      </c>
      <c r="X51" t="s">
        <v>394</v>
      </c>
      <c r="Y51" t="s">
        <v>1400</v>
      </c>
      <c r="Z51">
        <v>172</v>
      </c>
      <c r="AC51" t="s">
        <v>770</v>
      </c>
      <c r="AD51" t="s">
        <v>1599</v>
      </c>
      <c r="AE51">
        <v>55</v>
      </c>
      <c r="AM51" t="s">
        <v>502</v>
      </c>
      <c r="AN51" t="s">
        <v>1484</v>
      </c>
      <c r="AO51">
        <v>9</v>
      </c>
      <c r="AR51">
        <v>9</v>
      </c>
      <c r="AS51" t="s">
        <v>226</v>
      </c>
      <c r="AT51" t="s">
        <v>1321</v>
      </c>
      <c r="AU51">
        <v>169</v>
      </c>
      <c r="AX51" t="s">
        <v>539</v>
      </c>
      <c r="AY51" t="s">
        <v>1643</v>
      </c>
      <c r="AZ51">
        <v>56</v>
      </c>
      <c r="BB51">
        <v>9</v>
      </c>
      <c r="BC51" t="s">
        <v>1644</v>
      </c>
      <c r="BD51" t="s">
        <v>1461</v>
      </c>
      <c r="BE51">
        <v>14</v>
      </c>
      <c r="BG51">
        <v>9</v>
      </c>
      <c r="BH51" t="s">
        <v>835</v>
      </c>
      <c r="BI51" t="s">
        <v>1555</v>
      </c>
      <c r="BJ51">
        <v>14</v>
      </c>
    </row>
    <row r="52" spans="2:62">
      <c r="B52">
        <v>10</v>
      </c>
      <c r="C52" t="s">
        <v>770</v>
      </c>
      <c r="D52" t="s">
        <v>1545</v>
      </c>
      <c r="E52">
        <v>171</v>
      </c>
      <c r="G52">
        <v>10</v>
      </c>
      <c r="H52" t="s">
        <v>394</v>
      </c>
      <c r="I52" t="s">
        <v>1564</v>
      </c>
      <c r="J52">
        <v>55</v>
      </c>
      <c r="M52" t="s">
        <v>1139</v>
      </c>
      <c r="N52" t="s">
        <v>1645</v>
      </c>
      <c r="O52">
        <v>14</v>
      </c>
      <c r="R52" t="s">
        <v>770</v>
      </c>
      <c r="S52" t="s">
        <v>1545</v>
      </c>
      <c r="T52">
        <v>13</v>
      </c>
      <c r="X52" t="s">
        <v>1096</v>
      </c>
      <c r="Y52" t="s">
        <v>1553</v>
      </c>
      <c r="Z52">
        <v>172</v>
      </c>
      <c r="AC52" t="s">
        <v>835</v>
      </c>
      <c r="AD52" t="s">
        <v>1566</v>
      </c>
      <c r="AE52">
        <v>55</v>
      </c>
      <c r="AM52" t="s">
        <v>1025</v>
      </c>
      <c r="AN52" t="s">
        <v>1548</v>
      </c>
      <c r="AO52">
        <v>9</v>
      </c>
      <c r="AS52" t="s">
        <v>1062</v>
      </c>
      <c r="AT52" t="s">
        <v>1479</v>
      </c>
      <c r="AU52">
        <v>169</v>
      </c>
      <c r="AW52">
        <v>10</v>
      </c>
      <c r="AY52" t="s">
        <v>1627</v>
      </c>
      <c r="AZ52">
        <v>54</v>
      </c>
      <c r="BC52" t="s">
        <v>1265</v>
      </c>
      <c r="BD52" t="s">
        <v>1405</v>
      </c>
      <c r="BE52">
        <v>14</v>
      </c>
      <c r="BH52" t="s">
        <v>903</v>
      </c>
      <c r="BI52" t="s">
        <v>1470</v>
      </c>
      <c r="BJ52">
        <v>14</v>
      </c>
    </row>
    <row r="53" spans="2:62" ht="17" thickBot="1"/>
    <row r="54" spans="2:62" ht="28" thickBot="1">
      <c r="B54" s="1078" t="s">
        <v>2179</v>
      </c>
      <c r="C54" s="1079"/>
      <c r="D54" s="1079"/>
      <c r="E54" s="1079"/>
      <c r="F54" s="1079"/>
      <c r="G54" s="1079"/>
      <c r="H54" s="1079"/>
      <c r="I54" s="1079"/>
      <c r="J54" s="1079"/>
      <c r="K54" s="1079"/>
      <c r="L54" s="1079"/>
      <c r="M54" s="1079"/>
      <c r="N54" s="1079"/>
      <c r="O54" s="1079"/>
      <c r="P54" s="1079"/>
      <c r="Q54" s="1079"/>
      <c r="R54" s="1079"/>
      <c r="S54" s="1079"/>
      <c r="T54" s="1080"/>
      <c r="W54" s="1078" t="s">
        <v>2181</v>
      </c>
      <c r="X54" s="1079"/>
      <c r="Y54" s="1079"/>
      <c r="Z54" s="1079"/>
      <c r="AA54" s="1079"/>
      <c r="AB54" s="1079"/>
      <c r="AC54" s="1079"/>
      <c r="AD54" s="1079"/>
      <c r="AE54" s="1079"/>
      <c r="AF54" s="1079"/>
      <c r="AG54" s="1079"/>
      <c r="AH54" s="1079"/>
      <c r="AI54" s="1079"/>
      <c r="AJ54" s="1079"/>
      <c r="AK54" s="1079"/>
      <c r="AL54" s="1079"/>
      <c r="AM54" s="1079"/>
      <c r="AN54" s="1079"/>
      <c r="AO54" s="1080"/>
      <c r="AR54" s="1078" t="s">
        <v>2180</v>
      </c>
      <c r="AS54" s="1079"/>
      <c r="AT54" s="1079"/>
      <c r="AU54" s="1079"/>
      <c r="AV54" s="1079"/>
      <c r="AW54" s="1079"/>
      <c r="AX54" s="1079"/>
      <c r="AY54" s="1079"/>
      <c r="AZ54" s="1079"/>
      <c r="BA54" s="1079"/>
      <c r="BB54" s="1079"/>
      <c r="BC54" s="1079"/>
      <c r="BD54" s="1079"/>
      <c r="BE54" s="1079"/>
      <c r="BF54" s="1079"/>
      <c r="BG54" s="1079"/>
      <c r="BH54" s="1079"/>
      <c r="BI54" s="1079"/>
      <c r="BJ54" s="1080"/>
    </row>
    <row r="55" spans="2:62" ht="20" thickBot="1">
      <c r="B55" s="1069" t="s">
        <v>146</v>
      </c>
      <c r="C55" s="1070"/>
      <c r="D55" s="1070"/>
      <c r="E55" s="1071"/>
      <c r="F55" s="118"/>
      <c r="G55" s="1069" t="s">
        <v>147</v>
      </c>
      <c r="H55" s="1070"/>
      <c r="I55" s="1070"/>
      <c r="J55" s="1071"/>
      <c r="K55" s="118"/>
      <c r="L55" s="1069" t="s">
        <v>148</v>
      </c>
      <c r="M55" s="1070"/>
      <c r="N55" s="1070"/>
      <c r="O55" s="1071"/>
      <c r="P55" s="118"/>
      <c r="Q55" s="1069" t="s">
        <v>162</v>
      </c>
      <c r="R55" s="1070"/>
      <c r="S55" s="1070"/>
      <c r="T55" s="1071"/>
      <c r="W55" s="1069" t="s">
        <v>146</v>
      </c>
      <c r="X55" s="1070"/>
      <c r="Y55" s="1070"/>
      <c r="Z55" s="1071"/>
      <c r="AA55" s="118"/>
      <c r="AB55" s="1069" t="s">
        <v>147</v>
      </c>
      <c r="AC55" s="1070"/>
      <c r="AD55" s="1070"/>
      <c r="AE55" s="1071"/>
      <c r="AF55" s="118"/>
      <c r="AG55" s="1069" t="s">
        <v>148</v>
      </c>
      <c r="AH55" s="1070"/>
      <c r="AI55" s="1070"/>
      <c r="AJ55" s="1071"/>
      <c r="AK55" s="118"/>
      <c r="AL55" s="1069" t="s">
        <v>162</v>
      </c>
      <c r="AM55" s="1070"/>
      <c r="AN55" s="1070"/>
      <c r="AO55" s="1071"/>
      <c r="AR55" s="1069" t="s">
        <v>146</v>
      </c>
      <c r="AS55" s="1070"/>
      <c r="AT55" s="1070"/>
      <c r="AU55" s="1071"/>
      <c r="AV55" s="118"/>
      <c r="AW55" s="1069" t="s">
        <v>147</v>
      </c>
      <c r="AX55" s="1070"/>
      <c r="AY55" s="1070"/>
      <c r="AZ55" s="1071"/>
      <c r="BA55" s="118"/>
      <c r="BB55" s="1069" t="s">
        <v>148</v>
      </c>
      <c r="BC55" s="1070"/>
      <c r="BD55" s="1070"/>
      <c r="BE55" s="1071"/>
      <c r="BF55" s="118"/>
      <c r="BG55" s="1069" t="s">
        <v>162</v>
      </c>
      <c r="BH55" s="1070"/>
      <c r="BI55" s="1070"/>
      <c r="BJ55" s="1071"/>
    </row>
    <row r="56" spans="2:62" s="361" customFormat="1" ht="19">
      <c r="B56" s="359"/>
      <c r="C56" s="359" t="s">
        <v>8</v>
      </c>
      <c r="D56" s="359" t="s">
        <v>1314</v>
      </c>
      <c r="E56" s="359" t="s">
        <v>164</v>
      </c>
      <c r="F56" s="141"/>
      <c r="G56" s="359"/>
      <c r="H56" s="359" t="s">
        <v>8</v>
      </c>
      <c r="I56" s="359" t="s">
        <v>1314</v>
      </c>
      <c r="J56" s="359" t="s">
        <v>164</v>
      </c>
      <c r="K56" s="141"/>
      <c r="L56" s="359"/>
      <c r="M56" s="359" t="s">
        <v>8</v>
      </c>
      <c r="N56" s="359" t="s">
        <v>1314</v>
      </c>
      <c r="O56" s="359" t="s">
        <v>164</v>
      </c>
      <c r="P56" s="141"/>
      <c r="Q56" s="359"/>
      <c r="R56" s="359" t="s">
        <v>8</v>
      </c>
      <c r="S56" s="359" t="s">
        <v>1314</v>
      </c>
      <c r="T56" s="359" t="s">
        <v>164</v>
      </c>
      <c r="W56" s="359"/>
      <c r="X56" s="359" t="s">
        <v>8</v>
      </c>
      <c r="Y56" s="359" t="s">
        <v>1314</v>
      </c>
      <c r="Z56" s="359" t="s">
        <v>164</v>
      </c>
      <c r="AA56" s="141"/>
      <c r="AB56" s="359"/>
      <c r="AC56" s="359" t="s">
        <v>8</v>
      </c>
      <c r="AD56" s="359" t="s">
        <v>1314</v>
      </c>
      <c r="AE56" s="359" t="s">
        <v>164</v>
      </c>
      <c r="AF56" s="141"/>
      <c r="AG56" s="359"/>
      <c r="AH56" s="359" t="s">
        <v>8</v>
      </c>
      <c r="AI56" s="359" t="s">
        <v>1314</v>
      </c>
      <c r="AJ56" s="359" t="s">
        <v>164</v>
      </c>
      <c r="AK56" s="141"/>
      <c r="AL56" s="359"/>
      <c r="AM56" s="359" t="s">
        <v>8</v>
      </c>
      <c r="AN56" s="359" t="s">
        <v>1314</v>
      </c>
      <c r="AO56" s="359" t="s">
        <v>164</v>
      </c>
      <c r="AR56" s="359"/>
      <c r="AS56" s="359" t="s">
        <v>8</v>
      </c>
      <c r="AT56" s="359" t="s">
        <v>1314</v>
      </c>
      <c r="AU56" s="359" t="s">
        <v>164</v>
      </c>
      <c r="AV56" s="141"/>
      <c r="AW56" s="359"/>
      <c r="AX56" s="359" t="s">
        <v>8</v>
      </c>
      <c r="AY56" s="359" t="s">
        <v>1314</v>
      </c>
      <c r="AZ56" s="359" t="s">
        <v>164</v>
      </c>
      <c r="BA56" s="141"/>
      <c r="BB56" s="359"/>
      <c r="BC56" s="359" t="s">
        <v>8</v>
      </c>
      <c r="BD56" s="359" t="s">
        <v>1314</v>
      </c>
      <c r="BE56" s="359" t="s">
        <v>164</v>
      </c>
      <c r="BF56" s="141"/>
      <c r="BG56" s="359"/>
      <c r="BH56" s="359" t="s">
        <v>8</v>
      </c>
      <c r="BI56" s="359" t="s">
        <v>1314</v>
      </c>
      <c r="BJ56" s="359" t="s">
        <v>164</v>
      </c>
    </row>
    <row r="57" spans="2:62" ht="19">
      <c r="B57" s="511">
        <v>1</v>
      </c>
      <c r="C57" s="511" t="s">
        <v>804</v>
      </c>
      <c r="D57" s="511" t="s">
        <v>1477</v>
      </c>
      <c r="E57" s="512">
        <v>0.46666666666666667</v>
      </c>
      <c r="F57" s="119"/>
      <c r="G57" s="511">
        <v>1</v>
      </c>
      <c r="H57" s="511" t="s">
        <v>804</v>
      </c>
      <c r="I57" s="511" t="s">
        <v>1477</v>
      </c>
      <c r="J57" s="512">
        <v>0.52941176470588236</v>
      </c>
      <c r="K57" s="119"/>
      <c r="L57" s="119">
        <v>1</v>
      </c>
      <c r="M57" s="119" t="s">
        <v>394</v>
      </c>
      <c r="N57" s="119" t="s">
        <v>1509</v>
      </c>
      <c r="O57" s="120">
        <v>0.76666666666666672</v>
      </c>
      <c r="P57" s="119"/>
      <c r="Q57" s="119">
        <v>1</v>
      </c>
      <c r="R57" s="119" t="s">
        <v>804</v>
      </c>
      <c r="S57" s="119" t="s">
        <v>1477</v>
      </c>
      <c r="T57" s="120">
        <v>1.2627450980392156</v>
      </c>
      <c r="W57" s="119">
        <v>1</v>
      </c>
      <c r="X57" s="119" t="s">
        <v>835</v>
      </c>
      <c r="Y57" s="119" t="s">
        <v>1590</v>
      </c>
      <c r="Z57" s="120">
        <v>0.438</v>
      </c>
      <c r="AA57" s="119"/>
      <c r="AB57" s="119">
        <v>1</v>
      </c>
      <c r="AC57" s="119" t="s">
        <v>226</v>
      </c>
      <c r="AD57" s="119" t="s">
        <v>1434</v>
      </c>
      <c r="AE57" s="120">
        <v>0.48099999999999998</v>
      </c>
      <c r="AF57" s="119"/>
      <c r="AG57" s="119">
        <v>1</v>
      </c>
      <c r="AH57" s="119" t="s">
        <v>835</v>
      </c>
      <c r="AI57" s="119" t="s">
        <v>1590</v>
      </c>
      <c r="AJ57" s="120">
        <v>0.81299999999999994</v>
      </c>
      <c r="AK57" s="119"/>
      <c r="AL57" s="119">
        <v>1</v>
      </c>
      <c r="AM57" s="119" t="s">
        <v>835</v>
      </c>
      <c r="AN57" s="119" t="s">
        <v>1590</v>
      </c>
      <c r="AO57" s="120">
        <v>1.2829999999999999</v>
      </c>
      <c r="AR57" s="119">
        <v>1</v>
      </c>
      <c r="AS57" s="119" t="s">
        <v>580</v>
      </c>
      <c r="AT57" s="119" t="s">
        <v>1521</v>
      </c>
      <c r="AU57" s="120">
        <v>0.40400000000000003</v>
      </c>
      <c r="AV57" s="119"/>
      <c r="AW57" s="119">
        <v>1</v>
      </c>
      <c r="AX57" s="119" t="s">
        <v>770</v>
      </c>
      <c r="AY57" s="119" t="s">
        <v>1545</v>
      </c>
      <c r="AZ57" s="120">
        <v>0.47899999999999998</v>
      </c>
      <c r="BA57" s="119"/>
      <c r="BB57" s="511">
        <v>1</v>
      </c>
      <c r="BC57" s="511" t="s">
        <v>952</v>
      </c>
      <c r="BD57" s="511" t="s">
        <v>1342</v>
      </c>
      <c r="BE57" s="512">
        <v>0.85699999999999998</v>
      </c>
      <c r="BF57" s="119"/>
      <c r="BG57" s="119">
        <v>1</v>
      </c>
      <c r="BH57" s="119" t="s">
        <v>952</v>
      </c>
      <c r="BI57" s="119" t="s">
        <v>1342</v>
      </c>
      <c r="BJ57" s="120">
        <v>1.2010000000000001</v>
      </c>
    </row>
    <row r="58" spans="2:62">
      <c r="B58">
        <v>2</v>
      </c>
      <c r="C58" t="s">
        <v>394</v>
      </c>
      <c r="D58" t="s">
        <v>1646</v>
      </c>
      <c r="E58" s="122">
        <v>0.41666666666666669</v>
      </c>
      <c r="G58">
        <v>2</v>
      </c>
      <c r="H58" t="s">
        <v>394</v>
      </c>
      <c r="I58" t="s">
        <v>1646</v>
      </c>
      <c r="J58" s="122">
        <v>0.5</v>
      </c>
      <c r="L58">
        <v>2</v>
      </c>
      <c r="M58" t="s">
        <v>804</v>
      </c>
      <c r="N58" t="s">
        <v>1477</v>
      </c>
      <c r="O58" s="122">
        <v>0.73333333333333328</v>
      </c>
      <c r="Q58">
        <v>2</v>
      </c>
      <c r="R58" t="s">
        <v>394</v>
      </c>
      <c r="S58" t="s">
        <v>1509</v>
      </c>
      <c r="T58" s="122">
        <v>1.1909090909090909</v>
      </c>
      <c r="W58">
        <v>2</v>
      </c>
      <c r="X58" t="s">
        <v>226</v>
      </c>
      <c r="Y58" t="s">
        <v>1434</v>
      </c>
      <c r="Z58" s="122">
        <v>0.42599999999999999</v>
      </c>
      <c r="AB58">
        <v>2</v>
      </c>
      <c r="AC58" t="s">
        <v>835</v>
      </c>
      <c r="AD58" t="s">
        <v>1590</v>
      </c>
      <c r="AE58" s="122">
        <v>0.47099999999999997</v>
      </c>
      <c r="AG58">
        <v>2</v>
      </c>
      <c r="AH58" t="s">
        <v>226</v>
      </c>
      <c r="AI58" t="s">
        <v>1374</v>
      </c>
      <c r="AJ58" s="122">
        <v>0.71399999999999997</v>
      </c>
      <c r="AL58">
        <v>2</v>
      </c>
      <c r="AM58" t="s">
        <v>226</v>
      </c>
      <c r="AN58" t="s">
        <v>1374</v>
      </c>
      <c r="AO58" s="122">
        <v>1.143</v>
      </c>
      <c r="AR58">
        <v>2</v>
      </c>
      <c r="AS58" t="s">
        <v>226</v>
      </c>
      <c r="AT58" t="s">
        <v>1592</v>
      </c>
      <c r="AU58" s="122">
        <v>0.38900000000000001</v>
      </c>
      <c r="AW58">
        <v>2</v>
      </c>
      <c r="AX58" t="s">
        <v>539</v>
      </c>
      <c r="AY58" t="s">
        <v>1563</v>
      </c>
      <c r="AZ58" s="122">
        <v>0.45700000000000002</v>
      </c>
      <c r="BB58">
        <v>2</v>
      </c>
      <c r="BC58" t="s">
        <v>952</v>
      </c>
      <c r="BD58" t="s">
        <v>1623</v>
      </c>
      <c r="BE58" s="122">
        <v>0.82099999999999995</v>
      </c>
      <c r="BG58">
        <v>2</v>
      </c>
      <c r="BH58" t="s">
        <v>226</v>
      </c>
      <c r="BI58" t="s">
        <v>1592</v>
      </c>
      <c r="BJ58" s="122">
        <v>1.1990000000000001</v>
      </c>
    </row>
    <row r="59" spans="2:62">
      <c r="B59">
        <v>3</v>
      </c>
      <c r="C59" t="s">
        <v>394</v>
      </c>
      <c r="D59" t="s">
        <v>1521</v>
      </c>
      <c r="E59" s="122">
        <v>0.37037037037037035</v>
      </c>
      <c r="G59">
        <v>3</v>
      </c>
      <c r="H59" t="s">
        <v>300</v>
      </c>
      <c r="I59" t="s">
        <v>1636</v>
      </c>
      <c r="J59" s="122">
        <v>0.45161290322580644</v>
      </c>
      <c r="L59">
        <v>3</v>
      </c>
      <c r="M59" t="s">
        <v>300</v>
      </c>
      <c r="N59" t="s">
        <v>1591</v>
      </c>
      <c r="O59" s="122">
        <v>0.68181818181818177</v>
      </c>
      <c r="Q59">
        <v>3</v>
      </c>
      <c r="R59" t="s">
        <v>300</v>
      </c>
      <c r="S59" t="s">
        <v>1591</v>
      </c>
      <c r="T59" s="122">
        <v>1.1048951048951048</v>
      </c>
      <c r="W59">
        <v>3</v>
      </c>
      <c r="X59" t="s">
        <v>266</v>
      </c>
      <c r="Y59" t="s">
        <v>1462</v>
      </c>
      <c r="Z59" s="122">
        <v>0.36099999999999999</v>
      </c>
      <c r="AB59">
        <v>3</v>
      </c>
      <c r="AC59" t="s">
        <v>226</v>
      </c>
      <c r="AD59" t="s">
        <v>1374</v>
      </c>
      <c r="AE59" s="122">
        <v>0.42899999999999999</v>
      </c>
      <c r="AG59">
        <v>3</v>
      </c>
      <c r="AH59" t="s">
        <v>429</v>
      </c>
      <c r="AI59" t="s">
        <v>1465</v>
      </c>
      <c r="AJ59" s="122">
        <v>0.7</v>
      </c>
      <c r="AL59">
        <v>3</v>
      </c>
      <c r="AM59" t="s">
        <v>429</v>
      </c>
      <c r="AN59" t="s">
        <v>1465</v>
      </c>
      <c r="AO59" s="122">
        <v>1.0549999999999999</v>
      </c>
      <c r="AR59">
        <v>3</v>
      </c>
      <c r="AS59" t="s">
        <v>1062</v>
      </c>
      <c r="AT59" t="s">
        <v>1451</v>
      </c>
      <c r="AU59" s="122">
        <v>0.375</v>
      </c>
      <c r="AW59">
        <v>3</v>
      </c>
      <c r="AX59" t="s">
        <v>1062</v>
      </c>
      <c r="AY59" t="s">
        <v>1451</v>
      </c>
      <c r="AZ59" s="122">
        <v>0.44400000000000001</v>
      </c>
      <c r="BB59">
        <v>3</v>
      </c>
      <c r="BC59" t="s">
        <v>685</v>
      </c>
      <c r="BD59" t="s">
        <v>1581</v>
      </c>
      <c r="BE59" s="122">
        <v>0.80800000000000005</v>
      </c>
      <c r="BG59">
        <v>3</v>
      </c>
      <c r="BH59" t="s">
        <v>685</v>
      </c>
      <c r="BI59" t="s">
        <v>1581</v>
      </c>
      <c r="BJ59" s="122">
        <v>1.1830000000000001</v>
      </c>
    </row>
    <row r="60" spans="2:62">
      <c r="B60">
        <v>4</v>
      </c>
      <c r="C60" t="s">
        <v>394</v>
      </c>
      <c r="D60" t="s">
        <v>1509</v>
      </c>
      <c r="E60" s="122">
        <v>0.36666666666666664</v>
      </c>
      <c r="G60">
        <v>4</v>
      </c>
      <c r="H60" t="s">
        <v>394</v>
      </c>
      <c r="I60" t="s">
        <v>1564</v>
      </c>
      <c r="J60" s="122">
        <v>0.44444444444444442</v>
      </c>
      <c r="L60">
        <v>4</v>
      </c>
      <c r="M60" t="s">
        <v>165</v>
      </c>
      <c r="N60" t="s">
        <v>1354</v>
      </c>
      <c r="O60" s="122">
        <v>0.66233766233766234</v>
      </c>
      <c r="Q60">
        <v>4</v>
      </c>
      <c r="R60" t="s">
        <v>394</v>
      </c>
      <c r="S60" t="s">
        <v>1646</v>
      </c>
      <c r="T60" s="122">
        <v>1.0416666666666665</v>
      </c>
      <c r="W60">
        <v>4</v>
      </c>
      <c r="X60" t="s">
        <v>429</v>
      </c>
      <c r="Y60" t="s">
        <v>1539</v>
      </c>
      <c r="Z60" s="122">
        <v>0.35499999999999998</v>
      </c>
      <c r="AB60">
        <v>4</v>
      </c>
      <c r="AC60" t="s">
        <v>429</v>
      </c>
      <c r="AD60" t="s">
        <v>1539</v>
      </c>
      <c r="AE60" s="122">
        <v>0.41199999999999998</v>
      </c>
      <c r="AG60">
        <v>4</v>
      </c>
      <c r="AH60" t="s">
        <v>266</v>
      </c>
      <c r="AI60" t="s">
        <v>1462</v>
      </c>
      <c r="AJ60" s="122">
        <v>0.67200000000000004</v>
      </c>
      <c r="AL60">
        <v>4</v>
      </c>
      <c r="AM60" t="s">
        <v>266</v>
      </c>
      <c r="AN60" t="s">
        <v>1462</v>
      </c>
      <c r="AO60" s="122">
        <v>1.0529999999999999</v>
      </c>
      <c r="AR60">
        <v>4</v>
      </c>
      <c r="AS60" t="s">
        <v>539</v>
      </c>
      <c r="AT60" t="s">
        <v>1563</v>
      </c>
      <c r="AU60" s="122">
        <v>0.36699999999999999</v>
      </c>
      <c r="AW60">
        <v>4</v>
      </c>
      <c r="AX60" t="s">
        <v>580</v>
      </c>
      <c r="AY60" t="s">
        <v>1521</v>
      </c>
      <c r="AZ60" s="122">
        <v>0.443</v>
      </c>
      <c r="BB60">
        <v>4</v>
      </c>
      <c r="BC60" t="s">
        <v>226</v>
      </c>
      <c r="BD60" t="s">
        <v>1592</v>
      </c>
      <c r="BE60" s="122">
        <v>0.77800000000000002</v>
      </c>
      <c r="BG60">
        <v>4</v>
      </c>
      <c r="BH60" t="s">
        <v>952</v>
      </c>
      <c r="BI60" t="s">
        <v>1623</v>
      </c>
      <c r="BJ60">
        <v>1.1659999999999999</v>
      </c>
    </row>
    <row r="61" spans="2:62">
      <c r="B61">
        <v>5</v>
      </c>
      <c r="C61" t="s">
        <v>1171</v>
      </c>
      <c r="D61" t="s">
        <v>1543</v>
      </c>
      <c r="E61" s="122">
        <v>0.352112676056338</v>
      </c>
      <c r="G61">
        <v>5</v>
      </c>
      <c r="H61" t="s">
        <v>394</v>
      </c>
      <c r="I61" t="s">
        <v>1509</v>
      </c>
      <c r="J61" s="122">
        <v>0.42424242424242425</v>
      </c>
      <c r="L61">
        <v>5</v>
      </c>
      <c r="M61" t="s">
        <v>580</v>
      </c>
      <c r="N61" t="s">
        <v>1442</v>
      </c>
      <c r="O61" s="122">
        <v>0.62790697674418605</v>
      </c>
      <c r="Q61">
        <v>5</v>
      </c>
      <c r="R61" t="s">
        <v>165</v>
      </c>
      <c r="S61" t="s">
        <v>1354</v>
      </c>
      <c r="T61" s="122">
        <v>1.0194805194805194</v>
      </c>
      <c r="W61">
        <v>5</v>
      </c>
      <c r="X61" t="s">
        <v>835</v>
      </c>
      <c r="Y61" t="s">
        <v>1510</v>
      </c>
      <c r="Z61" s="122">
        <v>0.35299999999999998</v>
      </c>
      <c r="AB61">
        <v>5</v>
      </c>
      <c r="AC61" t="s">
        <v>226</v>
      </c>
      <c r="AD61" t="s">
        <v>1453</v>
      </c>
      <c r="AE61" s="122">
        <v>0.39</v>
      </c>
      <c r="AG61">
        <v>5</v>
      </c>
      <c r="AH61" t="s">
        <v>266</v>
      </c>
      <c r="AI61" t="s">
        <v>1560</v>
      </c>
      <c r="AJ61" s="122">
        <v>0.61099999999999999</v>
      </c>
      <c r="AL61">
        <v>5</v>
      </c>
      <c r="AM61" t="s">
        <v>226</v>
      </c>
      <c r="AN61" t="s">
        <v>1434</v>
      </c>
      <c r="AO61" s="122">
        <v>1.0129999999999999</v>
      </c>
      <c r="AR61">
        <v>5</v>
      </c>
      <c r="AS61" t="s">
        <v>1139</v>
      </c>
      <c r="AT61" t="s">
        <v>1431</v>
      </c>
      <c r="AU61" s="122">
        <v>0.36599999999999999</v>
      </c>
      <c r="AW61">
        <v>5</v>
      </c>
      <c r="AX61" t="s">
        <v>580</v>
      </c>
      <c r="AY61" t="s">
        <v>1468</v>
      </c>
      <c r="AZ61" s="122">
        <v>0.433</v>
      </c>
      <c r="BB61">
        <v>5</v>
      </c>
      <c r="BC61" t="s">
        <v>539</v>
      </c>
      <c r="BD61" t="s">
        <v>1563</v>
      </c>
      <c r="BE61" s="122">
        <v>0.66700000000000004</v>
      </c>
      <c r="BG61">
        <v>5</v>
      </c>
      <c r="BH61" t="s">
        <v>539</v>
      </c>
      <c r="BI61" t="s">
        <v>1563</v>
      </c>
      <c r="BJ61">
        <v>1.1240000000000001</v>
      </c>
    </row>
    <row r="63" spans="2:62" ht="19">
      <c r="B63" s="1069" t="s">
        <v>161</v>
      </c>
      <c r="C63" s="1070"/>
      <c r="D63" s="1070"/>
      <c r="E63" s="1071"/>
      <c r="F63" s="118"/>
      <c r="G63" s="1069" t="s">
        <v>156</v>
      </c>
      <c r="H63" s="1070"/>
      <c r="I63" s="1070"/>
      <c r="J63" s="1071"/>
      <c r="K63" s="118"/>
      <c r="L63" s="1069" t="s">
        <v>1611</v>
      </c>
      <c r="M63" s="1070"/>
      <c r="N63" s="1070"/>
      <c r="O63" s="1071"/>
      <c r="P63" s="118"/>
      <c r="Q63" s="1069" t="s">
        <v>1612</v>
      </c>
      <c r="R63" s="1070"/>
      <c r="S63" s="1070"/>
      <c r="T63" s="1071"/>
      <c r="W63" s="1069" t="s">
        <v>161</v>
      </c>
      <c r="X63" s="1070"/>
      <c r="Y63" s="1070"/>
      <c r="Z63" s="1071"/>
      <c r="AA63" s="118"/>
      <c r="AB63" s="1069" t="s">
        <v>156</v>
      </c>
      <c r="AC63" s="1070"/>
      <c r="AD63" s="1070"/>
      <c r="AE63" s="1071"/>
      <c r="AF63" s="118"/>
      <c r="AG63" s="1069" t="s">
        <v>1611</v>
      </c>
      <c r="AH63" s="1070"/>
      <c r="AI63" s="1070"/>
      <c r="AJ63" s="1071"/>
      <c r="AK63" s="118"/>
      <c r="AL63" s="1069" t="s">
        <v>1612</v>
      </c>
      <c r="AM63" s="1070"/>
      <c r="AN63" s="1070"/>
      <c r="AO63" s="1071"/>
      <c r="AR63" s="1069" t="s">
        <v>161</v>
      </c>
      <c r="AS63" s="1070"/>
      <c r="AT63" s="1070"/>
      <c r="AU63" s="1071"/>
      <c r="AV63" s="118"/>
      <c r="AW63" s="1069" t="s">
        <v>156</v>
      </c>
      <c r="AX63" s="1070"/>
      <c r="AY63" s="1070"/>
      <c r="AZ63" s="1071"/>
      <c r="BA63" s="118"/>
      <c r="BB63" s="1069" t="s">
        <v>1611</v>
      </c>
      <c r="BC63" s="1070"/>
      <c r="BD63" s="1070"/>
      <c r="BE63" s="1071"/>
      <c r="BF63" s="118"/>
      <c r="BG63" s="1069" t="s">
        <v>1612</v>
      </c>
      <c r="BH63" s="1070"/>
      <c r="BI63" s="1070"/>
      <c r="BJ63" s="1071"/>
    </row>
    <row r="64" spans="2:62" s="141" customFormat="1">
      <c r="B64" s="359"/>
      <c r="C64" s="359" t="s">
        <v>8</v>
      </c>
      <c r="D64" s="359" t="s">
        <v>1314</v>
      </c>
      <c r="E64" s="359" t="s">
        <v>164</v>
      </c>
      <c r="G64" s="359"/>
      <c r="H64" s="359" t="s">
        <v>8</v>
      </c>
      <c r="I64" s="359" t="s">
        <v>1314</v>
      </c>
      <c r="J64" s="359" t="s">
        <v>164</v>
      </c>
      <c r="L64" s="359"/>
      <c r="M64" s="359" t="s">
        <v>8</v>
      </c>
      <c r="N64" s="359" t="s">
        <v>1314</v>
      </c>
      <c r="O64" s="359" t="s">
        <v>164</v>
      </c>
      <c r="Q64" s="359"/>
      <c r="R64" s="359" t="s">
        <v>8</v>
      </c>
      <c r="S64" s="359" t="s">
        <v>1314</v>
      </c>
      <c r="T64" s="359" t="s">
        <v>164</v>
      </c>
      <c r="W64" s="359"/>
      <c r="X64" s="359" t="s">
        <v>8</v>
      </c>
      <c r="Y64" s="359" t="s">
        <v>1314</v>
      </c>
      <c r="Z64" s="359" t="s">
        <v>164</v>
      </c>
      <c r="AB64" s="359"/>
      <c r="AC64" s="359" t="s">
        <v>8</v>
      </c>
      <c r="AD64" s="359" t="s">
        <v>1314</v>
      </c>
      <c r="AE64" s="359" t="s">
        <v>164</v>
      </c>
      <c r="AG64" s="359"/>
      <c r="AH64" s="359" t="s">
        <v>8</v>
      </c>
      <c r="AI64" s="359" t="s">
        <v>1314</v>
      </c>
      <c r="AJ64" s="359" t="s">
        <v>164</v>
      </c>
      <c r="AL64" s="359"/>
      <c r="AM64" s="359" t="s">
        <v>8</v>
      </c>
      <c r="AN64" s="359" t="s">
        <v>1314</v>
      </c>
      <c r="AO64" s="359" t="s">
        <v>164</v>
      </c>
      <c r="AR64" s="359"/>
      <c r="AS64" s="359" t="s">
        <v>8</v>
      </c>
      <c r="AT64" s="359" t="s">
        <v>1314</v>
      </c>
      <c r="AU64" s="359" t="s">
        <v>164</v>
      </c>
      <c r="AW64" s="359"/>
      <c r="AX64" s="359" t="s">
        <v>8</v>
      </c>
      <c r="AY64" s="359" t="s">
        <v>1314</v>
      </c>
      <c r="AZ64" s="359" t="s">
        <v>164</v>
      </c>
      <c r="BB64" s="359"/>
      <c r="BC64" s="359" t="s">
        <v>8</v>
      </c>
      <c r="BD64" s="359" t="s">
        <v>1314</v>
      </c>
      <c r="BE64" s="359" t="s">
        <v>164</v>
      </c>
      <c r="BG64" s="359"/>
      <c r="BH64" s="359" t="s">
        <v>8</v>
      </c>
      <c r="BI64" s="359" t="s">
        <v>1314</v>
      </c>
      <c r="BJ64" s="359" t="s">
        <v>164</v>
      </c>
    </row>
    <row r="65" spans="2:62" ht="19">
      <c r="B65" s="511">
        <v>1</v>
      </c>
      <c r="C65" s="511" t="s">
        <v>165</v>
      </c>
      <c r="D65" s="511" t="s">
        <v>1354</v>
      </c>
      <c r="E65" s="511">
        <v>51</v>
      </c>
      <c r="F65" s="119"/>
      <c r="G65" s="119">
        <v>1</v>
      </c>
      <c r="H65" s="119" t="s">
        <v>165</v>
      </c>
      <c r="I65" s="119" t="s">
        <v>1354</v>
      </c>
      <c r="J65" s="119">
        <v>14</v>
      </c>
      <c r="K65" s="119"/>
      <c r="L65" s="511">
        <v>1</v>
      </c>
      <c r="M65" s="511" t="s">
        <v>1171</v>
      </c>
      <c r="N65" s="511" t="s">
        <v>1486</v>
      </c>
      <c r="O65" s="511">
        <v>13</v>
      </c>
      <c r="P65" s="119"/>
      <c r="Q65" s="511">
        <v>1</v>
      </c>
      <c r="R65" s="511" t="s">
        <v>1171</v>
      </c>
      <c r="S65" s="511" t="s">
        <v>1543</v>
      </c>
      <c r="T65" s="511">
        <v>25</v>
      </c>
      <c r="W65" s="506">
        <v>1</v>
      </c>
      <c r="X65" s="506" t="s">
        <v>266</v>
      </c>
      <c r="Y65" s="506" t="s">
        <v>1462</v>
      </c>
      <c r="Z65" s="506">
        <v>41</v>
      </c>
      <c r="AA65" s="119"/>
      <c r="AB65" s="119">
        <v>1</v>
      </c>
      <c r="AC65" s="119" t="s">
        <v>1139</v>
      </c>
      <c r="AD65" s="119" t="s">
        <v>1499</v>
      </c>
      <c r="AE65" s="511">
        <v>15</v>
      </c>
      <c r="AF65" s="119"/>
      <c r="AG65" s="119">
        <v>1</v>
      </c>
      <c r="AH65" s="119" t="s">
        <v>266</v>
      </c>
      <c r="AI65" s="119" t="s">
        <v>1541</v>
      </c>
      <c r="AJ65" s="119">
        <v>12</v>
      </c>
      <c r="AK65" s="119"/>
      <c r="AL65" s="119">
        <v>1</v>
      </c>
      <c r="AM65" s="119" t="s">
        <v>266</v>
      </c>
      <c r="AN65" s="119" t="s">
        <v>1462</v>
      </c>
      <c r="AO65" s="119">
        <v>22</v>
      </c>
      <c r="AR65" s="119">
        <v>1</v>
      </c>
      <c r="AS65" s="119" t="s">
        <v>685</v>
      </c>
      <c r="AT65" s="119" t="s">
        <v>1581</v>
      </c>
      <c r="AU65" s="119">
        <v>42</v>
      </c>
      <c r="AV65" s="119"/>
      <c r="AW65" s="119">
        <v>1</v>
      </c>
      <c r="AX65" s="119" t="s">
        <v>685</v>
      </c>
      <c r="AY65" s="119" t="s">
        <v>1581</v>
      </c>
      <c r="AZ65" s="119">
        <v>14</v>
      </c>
      <c r="BA65" s="119"/>
      <c r="BB65" s="511">
        <v>1</v>
      </c>
      <c r="BC65" s="511" t="s">
        <v>770</v>
      </c>
      <c r="BD65" s="511" t="s">
        <v>1545</v>
      </c>
      <c r="BE65" s="511">
        <v>13</v>
      </c>
      <c r="BF65" s="119"/>
      <c r="BG65" s="119">
        <v>1</v>
      </c>
      <c r="BH65" s="119" t="s">
        <v>580</v>
      </c>
      <c r="BI65" s="119" t="s">
        <v>1521</v>
      </c>
      <c r="BJ65" s="119">
        <v>23</v>
      </c>
    </row>
    <row r="66" spans="2:62" ht="19">
      <c r="B66">
        <v>2</v>
      </c>
      <c r="C66" s="504" t="s">
        <v>165</v>
      </c>
      <c r="D66" s="504" t="s">
        <v>1471</v>
      </c>
      <c r="E66" s="504">
        <v>37</v>
      </c>
      <c r="G66">
        <v>2</v>
      </c>
      <c r="H66" t="s">
        <v>165</v>
      </c>
      <c r="I66" t="s">
        <v>1471</v>
      </c>
      <c r="J66">
        <v>10</v>
      </c>
      <c r="L66">
        <v>2</v>
      </c>
      <c r="M66" t="s">
        <v>165</v>
      </c>
      <c r="N66" t="s">
        <v>1354</v>
      </c>
      <c r="O66">
        <v>12</v>
      </c>
      <c r="Q66">
        <v>2</v>
      </c>
      <c r="R66" t="s">
        <v>165</v>
      </c>
      <c r="S66" t="s">
        <v>1354</v>
      </c>
      <c r="T66">
        <v>23</v>
      </c>
      <c r="W66">
        <v>2</v>
      </c>
      <c r="X66" t="s">
        <v>266</v>
      </c>
      <c r="Y66" t="s">
        <v>1560</v>
      </c>
      <c r="Z66">
        <v>33</v>
      </c>
      <c r="AB66">
        <v>2</v>
      </c>
      <c r="AC66" t="s">
        <v>266</v>
      </c>
      <c r="AD66" t="s">
        <v>1584</v>
      </c>
      <c r="AE66">
        <v>13</v>
      </c>
      <c r="AG66">
        <v>2</v>
      </c>
      <c r="AH66" t="s">
        <v>266</v>
      </c>
      <c r="AI66" t="s">
        <v>1466</v>
      </c>
      <c r="AJ66">
        <v>11</v>
      </c>
      <c r="AL66">
        <v>2</v>
      </c>
      <c r="AM66" t="s">
        <v>226</v>
      </c>
      <c r="AN66" t="s">
        <v>1434</v>
      </c>
      <c r="AO66">
        <v>20</v>
      </c>
      <c r="AR66">
        <v>2</v>
      </c>
      <c r="AS66" t="s">
        <v>685</v>
      </c>
      <c r="AT66" t="s">
        <v>1344</v>
      </c>
      <c r="AU66">
        <v>30</v>
      </c>
      <c r="AW66">
        <v>2</v>
      </c>
      <c r="AX66" t="s">
        <v>770</v>
      </c>
      <c r="AY66" t="s">
        <v>1527</v>
      </c>
      <c r="AZ66">
        <v>12</v>
      </c>
      <c r="BB66">
        <v>2</v>
      </c>
      <c r="BC66" t="s">
        <v>770</v>
      </c>
      <c r="BD66" t="s">
        <v>1527</v>
      </c>
      <c r="BE66">
        <v>12</v>
      </c>
      <c r="BG66">
        <v>2</v>
      </c>
      <c r="BH66" t="s">
        <v>770</v>
      </c>
      <c r="BI66" t="s">
        <v>1545</v>
      </c>
      <c r="BJ66">
        <v>19</v>
      </c>
    </row>
    <row r="67" spans="2:62">
      <c r="B67">
        <v>3</v>
      </c>
      <c r="C67" t="s">
        <v>1171</v>
      </c>
      <c r="D67" t="s">
        <v>1543</v>
      </c>
      <c r="E67">
        <v>35</v>
      </c>
      <c r="H67" t="s">
        <v>165</v>
      </c>
      <c r="I67" t="s">
        <v>1341</v>
      </c>
      <c r="J67">
        <v>10</v>
      </c>
      <c r="L67">
        <v>3</v>
      </c>
      <c r="M67" t="s">
        <v>1171</v>
      </c>
      <c r="N67" t="s">
        <v>1543</v>
      </c>
      <c r="O67">
        <v>11</v>
      </c>
      <c r="Q67">
        <v>3</v>
      </c>
      <c r="R67" t="s">
        <v>165</v>
      </c>
      <c r="S67" t="s">
        <v>1471</v>
      </c>
      <c r="T67">
        <v>22</v>
      </c>
      <c r="W67">
        <v>3</v>
      </c>
      <c r="X67" t="s">
        <v>266</v>
      </c>
      <c r="Y67" t="s">
        <v>1584</v>
      </c>
      <c r="Z67">
        <v>31</v>
      </c>
      <c r="AC67" t="s">
        <v>266</v>
      </c>
      <c r="AD67" t="s">
        <v>1462</v>
      </c>
      <c r="AE67">
        <v>11</v>
      </c>
      <c r="AH67" t="s">
        <v>1139</v>
      </c>
      <c r="AI67" t="s">
        <v>1647</v>
      </c>
      <c r="AJ67">
        <v>10</v>
      </c>
      <c r="AL67">
        <v>3</v>
      </c>
      <c r="AM67" t="s">
        <v>266</v>
      </c>
      <c r="AN67" t="s">
        <v>1466</v>
      </c>
      <c r="AO67">
        <v>19</v>
      </c>
      <c r="AR67">
        <v>3</v>
      </c>
      <c r="AS67" t="s">
        <v>770</v>
      </c>
      <c r="AT67" t="s">
        <v>1582</v>
      </c>
      <c r="AU67">
        <v>29</v>
      </c>
      <c r="AX67" t="s">
        <v>770</v>
      </c>
      <c r="AY67" t="s">
        <v>1332</v>
      </c>
      <c r="AZ67">
        <v>12</v>
      </c>
      <c r="BC67" t="s">
        <v>770</v>
      </c>
      <c r="BD67" t="s">
        <v>1582</v>
      </c>
      <c r="BE67">
        <v>12</v>
      </c>
      <c r="BG67">
        <v>3</v>
      </c>
      <c r="BH67" t="s">
        <v>580</v>
      </c>
      <c r="BI67" t="s">
        <v>1468</v>
      </c>
      <c r="BJ67">
        <v>18</v>
      </c>
    </row>
    <row r="68" spans="2:62">
      <c r="B68">
        <v>4</v>
      </c>
      <c r="C68" t="s">
        <v>1171</v>
      </c>
      <c r="D68" t="s">
        <v>1486</v>
      </c>
      <c r="E68">
        <v>34</v>
      </c>
      <c r="H68" t="s">
        <v>1171</v>
      </c>
      <c r="I68" t="s">
        <v>1543</v>
      </c>
      <c r="J68">
        <v>10</v>
      </c>
      <c r="L68">
        <v>4</v>
      </c>
      <c r="M68" t="s">
        <v>835</v>
      </c>
      <c r="N68" t="s">
        <v>1555</v>
      </c>
      <c r="O68">
        <v>10</v>
      </c>
      <c r="Q68">
        <v>4</v>
      </c>
      <c r="R68" t="s">
        <v>1171</v>
      </c>
      <c r="S68" t="s">
        <v>1486</v>
      </c>
      <c r="T68">
        <v>20</v>
      </c>
      <c r="W68">
        <v>4</v>
      </c>
      <c r="X68" s="505" t="s">
        <v>1139</v>
      </c>
      <c r="Y68" s="505" t="s">
        <v>1499</v>
      </c>
      <c r="Z68" s="505">
        <v>30</v>
      </c>
      <c r="AB68">
        <v>4</v>
      </c>
      <c r="AC68" t="s">
        <v>1171</v>
      </c>
      <c r="AD68" t="s">
        <v>1355</v>
      </c>
      <c r="AE68">
        <v>10</v>
      </c>
      <c r="AG68">
        <v>4</v>
      </c>
      <c r="AH68" t="s">
        <v>1139</v>
      </c>
      <c r="AI68" t="s">
        <v>1499</v>
      </c>
      <c r="AJ68">
        <v>9</v>
      </c>
      <c r="AN68" t="s">
        <v>1614</v>
      </c>
      <c r="AO68">
        <v>16</v>
      </c>
      <c r="AR68">
        <v>4</v>
      </c>
      <c r="AS68" t="s">
        <v>580</v>
      </c>
      <c r="AT68" t="s">
        <v>1468</v>
      </c>
      <c r="AU68">
        <v>28</v>
      </c>
      <c r="AW68">
        <v>4</v>
      </c>
      <c r="AX68" t="s">
        <v>1062</v>
      </c>
      <c r="AY68" t="s">
        <v>1497</v>
      </c>
      <c r="AZ68">
        <v>11</v>
      </c>
      <c r="BB68">
        <v>4</v>
      </c>
      <c r="BC68" t="s">
        <v>580</v>
      </c>
      <c r="BD68" t="s">
        <v>1476</v>
      </c>
      <c r="BE68">
        <v>10</v>
      </c>
      <c r="BH68" t="s">
        <v>770</v>
      </c>
      <c r="BI68" t="s">
        <v>1443</v>
      </c>
      <c r="BJ68">
        <v>18</v>
      </c>
    </row>
    <row r="69" spans="2:62">
      <c r="C69" t="s">
        <v>165</v>
      </c>
      <c r="D69" t="s">
        <v>1341</v>
      </c>
      <c r="E69">
        <v>34</v>
      </c>
      <c r="I69" t="s">
        <v>1614</v>
      </c>
      <c r="J69">
        <v>10</v>
      </c>
      <c r="L69">
        <v>5</v>
      </c>
      <c r="N69" t="s">
        <v>1614</v>
      </c>
      <c r="O69">
        <v>9</v>
      </c>
      <c r="Q69">
        <v>5</v>
      </c>
      <c r="S69" t="s">
        <v>1614</v>
      </c>
      <c r="T69">
        <v>18</v>
      </c>
      <c r="W69">
        <v>5</v>
      </c>
      <c r="X69" s="505" t="s">
        <v>226</v>
      </c>
      <c r="Y69" s="505" t="s">
        <v>1374</v>
      </c>
      <c r="Z69" s="505">
        <v>30</v>
      </c>
      <c r="AB69">
        <v>5</v>
      </c>
      <c r="AC69" t="s">
        <v>226</v>
      </c>
      <c r="AD69" t="s">
        <v>1550</v>
      </c>
      <c r="AE69">
        <v>9</v>
      </c>
      <c r="AG69">
        <v>5</v>
      </c>
      <c r="AI69" t="s">
        <v>1627</v>
      </c>
      <c r="AJ69">
        <v>8</v>
      </c>
      <c r="AS69" t="s">
        <v>580</v>
      </c>
      <c r="AT69" t="s">
        <v>1547</v>
      </c>
      <c r="AU69">
        <v>28</v>
      </c>
      <c r="AW69">
        <v>5</v>
      </c>
      <c r="AX69" t="s">
        <v>580</v>
      </c>
      <c r="AY69" t="s">
        <v>1476</v>
      </c>
      <c r="AZ69">
        <v>10</v>
      </c>
      <c r="BB69">
        <v>5</v>
      </c>
      <c r="BC69" t="s">
        <v>770</v>
      </c>
      <c r="BD69" t="s">
        <v>1542</v>
      </c>
      <c r="BE69">
        <v>9</v>
      </c>
      <c r="BG69">
        <v>5</v>
      </c>
      <c r="BI69" t="s">
        <v>1615</v>
      </c>
      <c r="BJ69">
        <v>17</v>
      </c>
    </row>
    <row r="71" spans="2:62" ht="19">
      <c r="B71" s="1069" t="s">
        <v>155</v>
      </c>
      <c r="C71" s="1070"/>
      <c r="D71" s="1070"/>
      <c r="E71" s="1071"/>
      <c r="F71" s="118"/>
      <c r="G71" s="1069" t="s">
        <v>153</v>
      </c>
      <c r="H71" s="1070"/>
      <c r="I71" s="1070"/>
      <c r="J71" s="1071"/>
      <c r="K71" s="118"/>
      <c r="L71" s="1069" t="s">
        <v>154</v>
      </c>
      <c r="M71" s="1070"/>
      <c r="N71" s="1070"/>
      <c r="O71" s="1071"/>
      <c r="P71" s="118"/>
      <c r="Q71" s="1069" t="s">
        <v>157</v>
      </c>
      <c r="R71" s="1070"/>
      <c r="S71" s="1070"/>
      <c r="T71" s="1071"/>
      <c r="W71" s="1069" t="s">
        <v>155</v>
      </c>
      <c r="X71" s="1070"/>
      <c r="Y71" s="1070"/>
      <c r="Z71" s="1071"/>
      <c r="AA71" s="118"/>
      <c r="AB71" s="1069" t="s">
        <v>153</v>
      </c>
      <c r="AC71" s="1070"/>
      <c r="AD71" s="1070"/>
      <c r="AE71" s="1071"/>
      <c r="AF71" s="118"/>
      <c r="AG71" s="1069" t="s">
        <v>154</v>
      </c>
      <c r="AH71" s="1070"/>
      <c r="AI71" s="1070"/>
      <c r="AJ71" s="1071"/>
      <c r="AK71" s="118"/>
      <c r="AL71" s="1069" t="s">
        <v>157</v>
      </c>
      <c r="AM71" s="1070"/>
      <c r="AN71" s="1070"/>
      <c r="AO71" s="1071"/>
      <c r="AR71" s="1069" t="s">
        <v>155</v>
      </c>
      <c r="AS71" s="1070"/>
      <c r="AT71" s="1070"/>
      <c r="AU71" s="1071"/>
      <c r="AV71" s="118"/>
      <c r="AW71" s="1069" t="s">
        <v>153</v>
      </c>
      <c r="AX71" s="1070"/>
      <c r="AY71" s="1070"/>
      <c r="AZ71" s="1071"/>
      <c r="BA71" s="118"/>
      <c r="BB71" s="1069" t="s">
        <v>154</v>
      </c>
      <c r="BC71" s="1070"/>
      <c r="BD71" s="1070"/>
      <c r="BE71" s="1071"/>
      <c r="BF71" s="118"/>
      <c r="BG71" s="1069" t="s">
        <v>157</v>
      </c>
      <c r="BH71" s="1070"/>
      <c r="BI71" s="1070"/>
      <c r="BJ71" s="1071"/>
    </row>
    <row r="72" spans="2:62" s="141" customFormat="1">
      <c r="B72" s="359"/>
      <c r="C72" s="359" t="s">
        <v>8</v>
      </c>
      <c r="D72" s="359" t="s">
        <v>1314</v>
      </c>
      <c r="E72" s="359" t="s">
        <v>164</v>
      </c>
      <c r="G72" s="359"/>
      <c r="H72" s="359" t="s">
        <v>8</v>
      </c>
      <c r="I72" s="359" t="s">
        <v>1314</v>
      </c>
      <c r="J72" s="359" t="s">
        <v>164</v>
      </c>
      <c r="L72" s="359"/>
      <c r="M72" s="359" t="s">
        <v>8</v>
      </c>
      <c r="N72" s="359" t="s">
        <v>1314</v>
      </c>
      <c r="O72" s="359" t="s">
        <v>164</v>
      </c>
      <c r="Q72" s="359"/>
      <c r="R72" s="359" t="s">
        <v>8</v>
      </c>
      <c r="S72" s="359" t="s">
        <v>1314</v>
      </c>
      <c r="T72" s="359" t="s">
        <v>164</v>
      </c>
      <c r="W72" s="359"/>
      <c r="X72" s="359" t="s">
        <v>8</v>
      </c>
      <c r="Y72" s="359" t="s">
        <v>1314</v>
      </c>
      <c r="Z72" s="359" t="s">
        <v>164</v>
      </c>
      <c r="AB72" s="359"/>
      <c r="AC72" s="359" t="s">
        <v>8</v>
      </c>
      <c r="AD72" s="359" t="s">
        <v>1314</v>
      </c>
      <c r="AE72" s="359" t="s">
        <v>164</v>
      </c>
      <c r="AG72" s="359"/>
      <c r="AH72" s="359" t="s">
        <v>8</v>
      </c>
      <c r="AI72" s="359" t="s">
        <v>1314</v>
      </c>
      <c r="AJ72" s="359" t="s">
        <v>164</v>
      </c>
      <c r="AL72" s="359"/>
      <c r="AM72" s="359" t="s">
        <v>8</v>
      </c>
      <c r="AN72" s="359" t="s">
        <v>1314</v>
      </c>
      <c r="AO72" s="359" t="s">
        <v>164</v>
      </c>
      <c r="AR72" s="359"/>
      <c r="AS72" s="359" t="s">
        <v>8</v>
      </c>
      <c r="AT72" s="359" t="s">
        <v>1314</v>
      </c>
      <c r="AU72" s="359" t="s">
        <v>164</v>
      </c>
      <c r="AW72" s="359"/>
      <c r="AX72" s="359" t="s">
        <v>8</v>
      </c>
      <c r="AY72" s="359" t="s">
        <v>1314</v>
      </c>
      <c r="AZ72" s="359" t="s">
        <v>164</v>
      </c>
      <c r="BB72" s="359"/>
      <c r="BC72" s="359" t="s">
        <v>8</v>
      </c>
      <c r="BD72" s="359" t="s">
        <v>1314</v>
      </c>
      <c r="BE72" s="359" t="s">
        <v>164</v>
      </c>
      <c r="BG72" s="359"/>
      <c r="BH72" s="359" t="s">
        <v>8</v>
      </c>
      <c r="BI72" s="359" t="s">
        <v>1314</v>
      </c>
      <c r="BJ72" s="359" t="s">
        <v>164</v>
      </c>
    </row>
    <row r="73" spans="2:62" ht="19">
      <c r="B73" s="511">
        <v>1</v>
      </c>
      <c r="C73" s="511" t="s">
        <v>165</v>
      </c>
      <c r="D73" s="511" t="s">
        <v>1354</v>
      </c>
      <c r="E73" s="511">
        <v>8</v>
      </c>
      <c r="F73" s="119"/>
      <c r="G73" s="511">
        <v>1</v>
      </c>
      <c r="H73" s="511" t="s">
        <v>1171</v>
      </c>
      <c r="I73" s="511" t="s">
        <v>1543</v>
      </c>
      <c r="J73" s="511">
        <v>7</v>
      </c>
      <c r="K73" s="119"/>
      <c r="L73" s="119">
        <v>1</v>
      </c>
      <c r="M73" s="119" t="s">
        <v>1171</v>
      </c>
      <c r="N73" s="119" t="s">
        <v>1525</v>
      </c>
      <c r="O73" s="511">
        <v>2</v>
      </c>
      <c r="P73" s="119"/>
      <c r="Q73" s="119">
        <v>1</v>
      </c>
      <c r="R73" s="119" t="s">
        <v>1171</v>
      </c>
      <c r="S73" s="119" t="s">
        <v>1467</v>
      </c>
      <c r="T73" s="119">
        <v>12</v>
      </c>
      <c r="W73" s="119">
        <v>1</v>
      </c>
      <c r="X73" s="119" t="s">
        <v>266</v>
      </c>
      <c r="Y73" s="119" t="s">
        <v>1560</v>
      </c>
      <c r="Z73" s="119">
        <v>5</v>
      </c>
      <c r="AA73" s="119"/>
      <c r="AB73" s="511">
        <v>1</v>
      </c>
      <c r="AC73" s="511" t="s">
        <v>266</v>
      </c>
      <c r="AD73" s="511" t="s">
        <v>1462</v>
      </c>
      <c r="AE73" s="511">
        <v>7</v>
      </c>
      <c r="AF73" s="119"/>
      <c r="AG73" s="119">
        <v>1</v>
      </c>
      <c r="AH73" s="119" t="s">
        <v>1139</v>
      </c>
      <c r="AI73" s="119" t="s">
        <v>1568</v>
      </c>
      <c r="AJ73" s="511">
        <v>2</v>
      </c>
      <c r="AK73" s="119"/>
      <c r="AL73" s="119">
        <v>1</v>
      </c>
      <c r="AM73" s="119" t="s">
        <v>266</v>
      </c>
      <c r="AN73" s="119" t="s">
        <v>1541</v>
      </c>
      <c r="AO73" s="119">
        <v>12</v>
      </c>
      <c r="AR73" s="119">
        <v>1</v>
      </c>
      <c r="AS73" s="119" t="s">
        <v>685</v>
      </c>
      <c r="AT73" s="119" t="s">
        <v>1581</v>
      </c>
      <c r="AU73" s="119">
        <v>7</v>
      </c>
      <c r="AV73" s="119"/>
      <c r="AW73" s="119">
        <v>1</v>
      </c>
      <c r="AX73" s="119" t="s">
        <v>539</v>
      </c>
      <c r="AY73" s="119" t="s">
        <v>1563</v>
      </c>
      <c r="AZ73" s="119">
        <v>6</v>
      </c>
      <c r="BA73" s="119"/>
      <c r="BB73" s="119">
        <v>1</v>
      </c>
      <c r="BC73" s="119"/>
      <c r="BD73" s="119" t="s">
        <v>1648</v>
      </c>
      <c r="BE73" s="119">
        <v>1</v>
      </c>
      <c r="BF73" s="119"/>
      <c r="BG73" s="511">
        <v>1</v>
      </c>
      <c r="BH73" s="511" t="s">
        <v>770</v>
      </c>
      <c r="BI73" s="511" t="s">
        <v>1545</v>
      </c>
      <c r="BJ73" s="511">
        <v>16</v>
      </c>
    </row>
    <row r="74" spans="2:62" ht="19">
      <c r="B74">
        <v>2</v>
      </c>
      <c r="C74" t="s">
        <v>165</v>
      </c>
      <c r="D74" t="s">
        <v>1341</v>
      </c>
      <c r="E74">
        <v>5</v>
      </c>
      <c r="G74">
        <v>2</v>
      </c>
      <c r="H74" s="505" t="s">
        <v>1171</v>
      </c>
      <c r="I74" s="505" t="s">
        <v>1486</v>
      </c>
      <c r="J74" s="505">
        <v>5</v>
      </c>
      <c r="L74">
        <v>2</v>
      </c>
      <c r="M74" t="s">
        <v>165</v>
      </c>
      <c r="N74" t="s">
        <v>1471</v>
      </c>
      <c r="O74">
        <v>1</v>
      </c>
      <c r="R74" s="506" t="s">
        <v>165</v>
      </c>
      <c r="S74" s="506" t="s">
        <v>1593</v>
      </c>
      <c r="T74" s="506">
        <v>12</v>
      </c>
      <c r="W74">
        <v>2</v>
      </c>
      <c r="X74" t="s">
        <v>266</v>
      </c>
      <c r="Y74" t="s">
        <v>1462</v>
      </c>
      <c r="Z74">
        <v>4</v>
      </c>
      <c r="AB74" s="119"/>
      <c r="AC74" s="511" t="s">
        <v>226</v>
      </c>
      <c r="AD74" s="511" t="s">
        <v>1374</v>
      </c>
      <c r="AE74" s="511">
        <v>7</v>
      </c>
      <c r="AI74" t="s">
        <v>1615</v>
      </c>
      <c r="AJ74">
        <v>1</v>
      </c>
      <c r="AL74">
        <v>2</v>
      </c>
      <c r="AM74" t="s">
        <v>266</v>
      </c>
      <c r="AN74" t="s">
        <v>1560</v>
      </c>
      <c r="AO74">
        <v>8</v>
      </c>
      <c r="AR74">
        <v>2</v>
      </c>
      <c r="AS74" t="s">
        <v>770</v>
      </c>
      <c r="AT74" t="s">
        <v>1582</v>
      </c>
      <c r="AU74">
        <v>5</v>
      </c>
      <c r="AX74" s="119" t="s">
        <v>770</v>
      </c>
      <c r="AY74" s="119" t="s">
        <v>1545</v>
      </c>
      <c r="AZ74" s="119">
        <v>6</v>
      </c>
      <c r="BG74">
        <v>2</v>
      </c>
      <c r="BH74" t="s">
        <v>685</v>
      </c>
      <c r="BI74" t="s">
        <v>1512</v>
      </c>
      <c r="BJ74">
        <v>11</v>
      </c>
    </row>
    <row r="75" spans="2:62">
      <c r="B75">
        <v>3</v>
      </c>
      <c r="C75" t="s">
        <v>165</v>
      </c>
      <c r="D75" t="s">
        <v>1471</v>
      </c>
      <c r="E75">
        <v>4</v>
      </c>
      <c r="H75" t="s">
        <v>165</v>
      </c>
      <c r="I75" t="s">
        <v>1580</v>
      </c>
      <c r="J75">
        <v>5</v>
      </c>
      <c r="M75" t="s">
        <v>1171</v>
      </c>
      <c r="N75" t="s">
        <v>1355</v>
      </c>
      <c r="O75">
        <v>1</v>
      </c>
      <c r="Q75">
        <v>3</v>
      </c>
      <c r="R75" t="s">
        <v>1171</v>
      </c>
      <c r="S75" t="s">
        <v>1355</v>
      </c>
      <c r="T75">
        <v>9</v>
      </c>
      <c r="X75" t="s">
        <v>266</v>
      </c>
      <c r="Y75" t="s">
        <v>1584</v>
      </c>
      <c r="Z75">
        <v>4</v>
      </c>
      <c r="AB75">
        <v>3</v>
      </c>
      <c r="AC75" t="s">
        <v>226</v>
      </c>
      <c r="AD75" t="s">
        <v>1434</v>
      </c>
      <c r="AE75">
        <v>5</v>
      </c>
      <c r="AM75" t="s">
        <v>266</v>
      </c>
      <c r="AN75" t="s">
        <v>1621</v>
      </c>
      <c r="AO75">
        <v>8</v>
      </c>
      <c r="AS75" t="s">
        <v>685</v>
      </c>
      <c r="AT75" t="s">
        <v>1344</v>
      </c>
      <c r="AU75">
        <v>5</v>
      </c>
      <c r="AW75">
        <v>3</v>
      </c>
      <c r="AX75" t="s">
        <v>226</v>
      </c>
      <c r="AY75" t="s">
        <v>1453</v>
      </c>
      <c r="AZ75">
        <v>5</v>
      </c>
      <c r="BH75" t="s">
        <v>580</v>
      </c>
      <c r="BI75" t="s">
        <v>1468</v>
      </c>
      <c r="BJ75">
        <v>11</v>
      </c>
    </row>
    <row r="76" spans="2:62">
      <c r="C76" t="s">
        <v>1171</v>
      </c>
      <c r="D76" t="s">
        <v>1467</v>
      </c>
      <c r="E76">
        <v>4</v>
      </c>
      <c r="H76" t="s">
        <v>580</v>
      </c>
      <c r="I76" t="s">
        <v>1547</v>
      </c>
      <c r="J76">
        <v>5</v>
      </c>
      <c r="M76" t="s">
        <v>1171</v>
      </c>
      <c r="N76" t="s">
        <v>1649</v>
      </c>
      <c r="O76">
        <v>1</v>
      </c>
      <c r="Q76">
        <v>4</v>
      </c>
      <c r="R76" t="s">
        <v>1171</v>
      </c>
      <c r="S76" t="s">
        <v>1650</v>
      </c>
      <c r="T76">
        <v>8</v>
      </c>
      <c r="X76" t="s">
        <v>1171</v>
      </c>
      <c r="Y76" t="s">
        <v>1355</v>
      </c>
      <c r="Z76">
        <v>4</v>
      </c>
      <c r="AC76" t="s">
        <v>226</v>
      </c>
      <c r="AD76" t="s">
        <v>1482</v>
      </c>
      <c r="AE76">
        <v>5</v>
      </c>
      <c r="AN76" t="s">
        <v>1613</v>
      </c>
      <c r="AO76">
        <v>7</v>
      </c>
      <c r="AS76" t="s">
        <v>1139</v>
      </c>
      <c r="AT76" t="s">
        <v>1499</v>
      </c>
      <c r="AU76">
        <v>5</v>
      </c>
      <c r="AW76">
        <v>4</v>
      </c>
      <c r="AY76" t="s">
        <v>1615</v>
      </c>
      <c r="AZ76">
        <v>4</v>
      </c>
      <c r="BH76" t="s">
        <v>770</v>
      </c>
      <c r="BI76" t="s">
        <v>1527</v>
      </c>
      <c r="BJ76">
        <v>11</v>
      </c>
    </row>
    <row r="77" spans="2:62">
      <c r="B77">
        <v>5</v>
      </c>
      <c r="C77" t="s">
        <v>835</v>
      </c>
      <c r="D77" t="s">
        <v>1590</v>
      </c>
      <c r="E77">
        <v>3</v>
      </c>
      <c r="H77" t="s">
        <v>835</v>
      </c>
      <c r="I77" t="s">
        <v>1401</v>
      </c>
      <c r="J77">
        <v>5</v>
      </c>
      <c r="M77" t="s">
        <v>835</v>
      </c>
      <c r="N77" t="s">
        <v>1651</v>
      </c>
      <c r="O77">
        <v>1</v>
      </c>
      <c r="R77" t="s">
        <v>580</v>
      </c>
      <c r="S77" t="s">
        <v>1325</v>
      </c>
      <c r="T77">
        <v>8</v>
      </c>
      <c r="Y77" t="s">
        <v>1652</v>
      </c>
      <c r="Z77">
        <v>3</v>
      </c>
      <c r="AB77">
        <v>5</v>
      </c>
      <c r="AD77" t="s">
        <v>1615</v>
      </c>
      <c r="AE77">
        <v>4</v>
      </c>
      <c r="AS77" t="s">
        <v>952</v>
      </c>
      <c r="AT77" t="s">
        <v>1342</v>
      </c>
      <c r="AU77">
        <v>5</v>
      </c>
      <c r="BG77">
        <v>5</v>
      </c>
      <c r="BI77" t="s">
        <v>1614</v>
      </c>
      <c r="BJ77">
        <v>10</v>
      </c>
    </row>
    <row r="79" spans="2:62" ht="19">
      <c r="B79" s="1069" t="s">
        <v>150</v>
      </c>
      <c r="C79" s="1070"/>
      <c r="D79" s="1070"/>
      <c r="E79" s="1071"/>
      <c r="F79" s="118"/>
      <c r="G79" s="1069" t="s">
        <v>1631</v>
      </c>
      <c r="H79" s="1070"/>
      <c r="I79" s="1070"/>
      <c r="J79" s="1071"/>
      <c r="K79" s="118"/>
      <c r="L79" s="1069" t="s">
        <v>160</v>
      </c>
      <c r="M79" s="1070"/>
      <c r="N79" s="1070"/>
      <c r="O79" s="1071"/>
      <c r="P79" s="118"/>
      <c r="Q79" s="1069" t="s">
        <v>159</v>
      </c>
      <c r="R79" s="1070"/>
      <c r="S79" s="1070"/>
      <c r="T79" s="1071"/>
      <c r="W79" s="1069" t="s">
        <v>150</v>
      </c>
      <c r="X79" s="1070"/>
      <c r="Y79" s="1070"/>
      <c r="Z79" s="1071"/>
      <c r="AA79" s="118"/>
      <c r="AB79" s="1069" t="s">
        <v>1631</v>
      </c>
      <c r="AC79" s="1070"/>
      <c r="AD79" s="1070"/>
      <c r="AE79" s="1071"/>
      <c r="AF79" s="118"/>
      <c r="AG79" s="1069" t="s">
        <v>160</v>
      </c>
      <c r="AH79" s="1070"/>
      <c r="AI79" s="1070"/>
      <c r="AJ79" s="1071"/>
      <c r="AK79" s="118"/>
      <c r="AL79" s="1069" t="s">
        <v>159</v>
      </c>
      <c r="AM79" s="1070"/>
      <c r="AN79" s="1070"/>
      <c r="AO79" s="1071"/>
      <c r="AR79" s="1069" t="s">
        <v>150</v>
      </c>
      <c r="AS79" s="1070"/>
      <c r="AT79" s="1070"/>
      <c r="AU79" s="1071"/>
      <c r="AV79" s="118"/>
      <c r="AW79" s="1069" t="s">
        <v>1631</v>
      </c>
      <c r="AX79" s="1070"/>
      <c r="AY79" s="1070"/>
      <c r="AZ79" s="1071"/>
      <c r="BA79" s="118"/>
      <c r="BB79" s="1069" t="s">
        <v>160</v>
      </c>
      <c r="BC79" s="1070"/>
      <c r="BD79" s="1070"/>
      <c r="BE79" s="1071"/>
      <c r="BF79" s="118"/>
      <c r="BG79" s="1069" t="s">
        <v>159</v>
      </c>
      <c r="BH79" s="1070"/>
      <c r="BI79" s="1070"/>
      <c r="BJ79" s="1071"/>
    </row>
    <row r="80" spans="2:62" s="141" customFormat="1">
      <c r="B80" s="359"/>
      <c r="C80" s="359" t="s">
        <v>8</v>
      </c>
      <c r="D80" s="359" t="s">
        <v>1314</v>
      </c>
      <c r="E80" s="359" t="s">
        <v>164</v>
      </c>
      <c r="G80" s="359"/>
      <c r="H80" s="359" t="s">
        <v>8</v>
      </c>
      <c r="I80" s="359" t="s">
        <v>1314</v>
      </c>
      <c r="J80" s="359" t="s">
        <v>164</v>
      </c>
      <c r="L80" s="359"/>
      <c r="M80" s="359" t="s">
        <v>8</v>
      </c>
      <c r="N80" s="359" t="s">
        <v>1314</v>
      </c>
      <c r="O80" s="359" t="s">
        <v>164</v>
      </c>
      <c r="Q80" s="359"/>
      <c r="R80" s="359" t="s">
        <v>8</v>
      </c>
      <c r="S80" s="359" t="s">
        <v>1314</v>
      </c>
      <c r="T80" s="359" t="s">
        <v>164</v>
      </c>
      <c r="W80" s="359"/>
      <c r="X80" s="359" t="s">
        <v>8</v>
      </c>
      <c r="Y80" s="359" t="s">
        <v>1314</v>
      </c>
      <c r="Z80" s="359" t="s">
        <v>164</v>
      </c>
      <c r="AB80" s="359"/>
      <c r="AC80" s="359" t="s">
        <v>8</v>
      </c>
      <c r="AD80" s="359" t="s">
        <v>1314</v>
      </c>
      <c r="AE80" s="359" t="s">
        <v>164</v>
      </c>
      <c r="AG80" s="359"/>
      <c r="AH80" s="359" t="s">
        <v>8</v>
      </c>
      <c r="AI80" s="359" t="s">
        <v>1314</v>
      </c>
      <c r="AJ80" s="359" t="s">
        <v>164</v>
      </c>
      <c r="AL80" s="359"/>
      <c r="AM80" s="359" t="s">
        <v>8</v>
      </c>
      <c r="AN80" s="359" t="s">
        <v>1314</v>
      </c>
      <c r="AO80" s="359" t="s">
        <v>164</v>
      </c>
      <c r="AR80" s="359"/>
      <c r="AS80" s="359" t="s">
        <v>8</v>
      </c>
      <c r="AT80" s="359" t="s">
        <v>1314</v>
      </c>
      <c r="AU80" s="359" t="s">
        <v>164</v>
      </c>
      <c r="AW80" s="359"/>
      <c r="AX80" s="359" t="s">
        <v>8</v>
      </c>
      <c r="AY80" s="359" t="s">
        <v>1314</v>
      </c>
      <c r="AZ80" s="359" t="s">
        <v>164</v>
      </c>
      <c r="BB80" s="359"/>
      <c r="BC80" s="359" t="s">
        <v>8</v>
      </c>
      <c r="BD80" s="359" t="s">
        <v>1314</v>
      </c>
      <c r="BE80" s="359" t="s">
        <v>164</v>
      </c>
      <c r="BG80" s="359"/>
      <c r="BH80" s="359" t="s">
        <v>8</v>
      </c>
      <c r="BI80" s="359" t="s">
        <v>1314</v>
      </c>
      <c r="BJ80" s="359" t="s">
        <v>164</v>
      </c>
    </row>
    <row r="81" spans="2:62" ht="19">
      <c r="B81" s="511">
        <v>1</v>
      </c>
      <c r="C81" s="511" t="s">
        <v>165</v>
      </c>
      <c r="D81" s="511" t="s">
        <v>1471</v>
      </c>
      <c r="E81" s="511">
        <v>79</v>
      </c>
      <c r="F81" s="119"/>
      <c r="G81" s="511">
        <v>1</v>
      </c>
      <c r="H81" s="511" t="s">
        <v>165</v>
      </c>
      <c r="I81" s="511" t="s">
        <v>1341</v>
      </c>
      <c r="J81" s="511">
        <v>29</v>
      </c>
      <c r="K81" s="119"/>
      <c r="L81" s="119">
        <v>1</v>
      </c>
      <c r="M81" s="119" t="s">
        <v>165</v>
      </c>
      <c r="N81" s="119" t="s">
        <v>1506</v>
      </c>
      <c r="O81" s="119">
        <v>11</v>
      </c>
      <c r="P81" s="119"/>
      <c r="Q81" s="511">
        <v>1</v>
      </c>
      <c r="R81" s="511" t="s">
        <v>1171</v>
      </c>
      <c r="S81" s="511" t="s">
        <v>1486</v>
      </c>
      <c r="T81" s="511">
        <v>11</v>
      </c>
      <c r="W81" s="119">
        <v>1</v>
      </c>
      <c r="X81" s="119" t="s">
        <v>1139</v>
      </c>
      <c r="Y81" s="119" t="s">
        <v>1647</v>
      </c>
      <c r="Z81" s="119">
        <v>65</v>
      </c>
      <c r="AA81" s="119"/>
      <c r="AB81" s="119">
        <v>1</v>
      </c>
      <c r="AC81" s="119" t="s">
        <v>266</v>
      </c>
      <c r="AD81" s="119" t="s">
        <v>1638</v>
      </c>
      <c r="AE81" s="119">
        <v>26</v>
      </c>
      <c r="AF81" s="119"/>
      <c r="AG81" s="119">
        <v>1</v>
      </c>
      <c r="AH81" s="119" t="s">
        <v>266</v>
      </c>
      <c r="AI81" s="119" t="s">
        <v>1584</v>
      </c>
      <c r="AJ81" s="119">
        <v>11</v>
      </c>
      <c r="AK81" s="119"/>
      <c r="AL81" s="119">
        <v>1</v>
      </c>
      <c r="AM81" s="119" t="s">
        <v>1171</v>
      </c>
      <c r="AN81" s="119" t="s">
        <v>1486</v>
      </c>
      <c r="AO81" s="119">
        <v>6</v>
      </c>
      <c r="AR81" s="119">
        <v>1</v>
      </c>
      <c r="AS81" s="119" t="s">
        <v>770</v>
      </c>
      <c r="AT81" s="119" t="s">
        <v>1582</v>
      </c>
      <c r="AU81" s="119">
        <v>62</v>
      </c>
      <c r="AV81" s="119"/>
      <c r="AW81" s="119">
        <v>1</v>
      </c>
      <c r="AX81" s="119" t="s">
        <v>685</v>
      </c>
      <c r="AY81" s="119" t="s">
        <v>1344</v>
      </c>
      <c r="AZ81" s="119">
        <v>27</v>
      </c>
      <c r="BA81" s="119"/>
      <c r="BB81" s="119">
        <v>1</v>
      </c>
      <c r="BC81" s="119" t="s">
        <v>685</v>
      </c>
      <c r="BD81" s="119" t="s">
        <v>1581</v>
      </c>
      <c r="BE81" s="119">
        <v>9</v>
      </c>
      <c r="BF81" s="119"/>
      <c r="BG81" s="119">
        <v>1</v>
      </c>
      <c r="BH81" s="119" t="s">
        <v>770</v>
      </c>
      <c r="BI81" s="119" t="s">
        <v>1545</v>
      </c>
      <c r="BJ81" s="119">
        <v>6</v>
      </c>
    </row>
    <row r="82" spans="2:62" ht="19">
      <c r="B82">
        <v>2</v>
      </c>
      <c r="C82" t="s">
        <v>165</v>
      </c>
      <c r="D82" t="s">
        <v>1354</v>
      </c>
      <c r="E82">
        <v>77</v>
      </c>
      <c r="G82">
        <v>2</v>
      </c>
      <c r="H82" t="s">
        <v>165</v>
      </c>
      <c r="I82" t="s">
        <v>1354</v>
      </c>
      <c r="J82">
        <v>28</v>
      </c>
      <c r="L82">
        <v>2</v>
      </c>
      <c r="M82" s="505" t="s">
        <v>580</v>
      </c>
      <c r="N82" s="505" t="s">
        <v>1442</v>
      </c>
      <c r="O82" s="505">
        <v>9</v>
      </c>
      <c r="Q82">
        <v>2</v>
      </c>
      <c r="R82" t="s">
        <v>835</v>
      </c>
      <c r="S82" t="s">
        <v>1555</v>
      </c>
      <c r="T82">
        <v>6</v>
      </c>
      <c r="W82">
        <v>2</v>
      </c>
      <c r="X82" t="s">
        <v>1139</v>
      </c>
      <c r="Y82" t="s">
        <v>1568</v>
      </c>
      <c r="Z82">
        <v>64</v>
      </c>
      <c r="AB82">
        <v>2</v>
      </c>
      <c r="AC82" t="s">
        <v>1139</v>
      </c>
      <c r="AD82" t="s">
        <v>1647</v>
      </c>
      <c r="AE82">
        <v>23</v>
      </c>
      <c r="AH82" s="119" t="s">
        <v>226</v>
      </c>
      <c r="AI82" s="119" t="s">
        <v>1434</v>
      </c>
      <c r="AJ82" s="119">
        <v>11</v>
      </c>
      <c r="AL82">
        <v>2</v>
      </c>
      <c r="AM82" t="s">
        <v>266</v>
      </c>
      <c r="AN82" t="s">
        <v>1466</v>
      </c>
      <c r="AO82">
        <v>2</v>
      </c>
      <c r="AS82" s="119" t="s">
        <v>770</v>
      </c>
      <c r="AT82" s="119" t="s">
        <v>1542</v>
      </c>
      <c r="AU82" s="119">
        <v>62</v>
      </c>
      <c r="AW82">
        <v>2</v>
      </c>
      <c r="AX82" t="s">
        <v>770</v>
      </c>
      <c r="AY82" t="s">
        <v>1542</v>
      </c>
      <c r="AZ82">
        <v>26</v>
      </c>
      <c r="BC82" s="119" t="s">
        <v>770</v>
      </c>
      <c r="BD82" s="119" t="s">
        <v>1545</v>
      </c>
      <c r="BE82" s="119">
        <v>9</v>
      </c>
      <c r="BG82">
        <v>2</v>
      </c>
      <c r="BH82" t="s">
        <v>580</v>
      </c>
      <c r="BI82" t="s">
        <v>1468</v>
      </c>
      <c r="BJ82">
        <v>2</v>
      </c>
    </row>
    <row r="83" spans="2:62" ht="19">
      <c r="B83">
        <v>3</v>
      </c>
      <c r="C83" t="s">
        <v>165</v>
      </c>
      <c r="D83" t="s">
        <v>1583</v>
      </c>
      <c r="E83">
        <v>76</v>
      </c>
      <c r="G83">
        <v>3</v>
      </c>
      <c r="H83" t="s">
        <v>1171</v>
      </c>
      <c r="I83" t="s">
        <v>1649</v>
      </c>
      <c r="J83">
        <v>27</v>
      </c>
      <c r="M83" t="s">
        <v>835</v>
      </c>
      <c r="N83" t="s">
        <v>1555</v>
      </c>
      <c r="O83">
        <v>9</v>
      </c>
      <c r="Q83">
        <v>3</v>
      </c>
      <c r="R83" t="s">
        <v>165</v>
      </c>
      <c r="S83" t="s">
        <v>1593</v>
      </c>
      <c r="T83">
        <v>5</v>
      </c>
      <c r="W83">
        <v>3</v>
      </c>
      <c r="X83" t="s">
        <v>266</v>
      </c>
      <c r="Y83" t="s">
        <v>1462</v>
      </c>
      <c r="Z83">
        <v>61</v>
      </c>
      <c r="AB83">
        <v>3</v>
      </c>
      <c r="AC83" t="s">
        <v>1139</v>
      </c>
      <c r="AD83" t="s">
        <v>1568</v>
      </c>
      <c r="AE83">
        <v>19</v>
      </c>
      <c r="AG83">
        <v>3</v>
      </c>
      <c r="AH83" t="s">
        <v>1139</v>
      </c>
      <c r="AI83" t="s">
        <v>1653</v>
      </c>
      <c r="AJ83">
        <v>8</v>
      </c>
      <c r="AM83" t="s">
        <v>429</v>
      </c>
      <c r="AN83" t="s">
        <v>1319</v>
      </c>
      <c r="AO83">
        <v>2</v>
      </c>
      <c r="AR83">
        <v>3</v>
      </c>
      <c r="AS83" t="s">
        <v>580</v>
      </c>
      <c r="AT83" t="s">
        <v>1547</v>
      </c>
      <c r="AU83">
        <v>60</v>
      </c>
      <c r="AW83">
        <v>3</v>
      </c>
      <c r="AX83" t="s">
        <v>770</v>
      </c>
      <c r="AY83" t="s">
        <v>1527</v>
      </c>
      <c r="AZ83">
        <v>24</v>
      </c>
      <c r="BC83" s="119" t="s">
        <v>580</v>
      </c>
      <c r="BD83" s="119" t="s">
        <v>1521</v>
      </c>
      <c r="BE83" s="119">
        <v>9</v>
      </c>
      <c r="BG83">
        <v>3</v>
      </c>
      <c r="BI83" t="s">
        <v>1615</v>
      </c>
      <c r="BJ83">
        <v>1</v>
      </c>
    </row>
    <row r="84" spans="2:62">
      <c r="B84">
        <v>4</v>
      </c>
      <c r="C84" t="s">
        <v>1171</v>
      </c>
      <c r="D84" t="s">
        <v>1486</v>
      </c>
      <c r="E84">
        <v>72</v>
      </c>
      <c r="G84">
        <v>4</v>
      </c>
      <c r="H84" t="s">
        <v>1171</v>
      </c>
      <c r="I84" t="s">
        <v>1525</v>
      </c>
      <c r="J84">
        <v>26</v>
      </c>
      <c r="L84">
        <v>4</v>
      </c>
      <c r="M84" t="s">
        <v>165</v>
      </c>
      <c r="N84" t="s">
        <v>1354</v>
      </c>
      <c r="O84">
        <v>8</v>
      </c>
      <c r="Q84">
        <v>4</v>
      </c>
      <c r="R84" t="s">
        <v>1171</v>
      </c>
      <c r="S84" t="s">
        <v>1543</v>
      </c>
      <c r="T84">
        <v>4</v>
      </c>
      <c r="X84" t="s">
        <v>266</v>
      </c>
      <c r="Y84" t="s">
        <v>1466</v>
      </c>
      <c r="Z84">
        <v>61</v>
      </c>
      <c r="AB84">
        <v>4</v>
      </c>
      <c r="AC84" t="s">
        <v>266</v>
      </c>
      <c r="AD84" t="s">
        <v>1541</v>
      </c>
      <c r="AE84">
        <v>19</v>
      </c>
      <c r="AG84">
        <v>4</v>
      </c>
      <c r="AI84" t="s">
        <v>1615</v>
      </c>
      <c r="AJ84">
        <v>7</v>
      </c>
      <c r="AL84">
        <v>4</v>
      </c>
      <c r="AM84" t="s">
        <v>1171</v>
      </c>
      <c r="AN84" t="s">
        <v>1543</v>
      </c>
      <c r="AO84">
        <v>1</v>
      </c>
      <c r="AS84" t="s">
        <v>770</v>
      </c>
      <c r="AT84" t="s">
        <v>1443</v>
      </c>
      <c r="AU84">
        <v>60</v>
      </c>
      <c r="AW84">
        <v>4</v>
      </c>
      <c r="AX84" t="s">
        <v>770</v>
      </c>
      <c r="AY84" t="s">
        <v>1654</v>
      </c>
      <c r="AZ84">
        <v>23</v>
      </c>
      <c r="BB84">
        <v>4</v>
      </c>
      <c r="BD84" t="s">
        <v>1614</v>
      </c>
      <c r="BE84">
        <v>8</v>
      </c>
    </row>
    <row r="85" spans="2:62">
      <c r="B85">
        <v>5</v>
      </c>
      <c r="C85" t="s">
        <v>165</v>
      </c>
      <c r="D85" t="s">
        <v>1341</v>
      </c>
      <c r="E85">
        <v>71</v>
      </c>
      <c r="G85">
        <v>5</v>
      </c>
      <c r="H85" t="s">
        <v>1171</v>
      </c>
      <c r="I85" t="s">
        <v>1650</v>
      </c>
      <c r="J85">
        <v>25</v>
      </c>
      <c r="M85" t="s">
        <v>165</v>
      </c>
      <c r="N85" t="s">
        <v>1580</v>
      </c>
      <c r="O85">
        <v>8</v>
      </c>
      <c r="R85" t="s">
        <v>300</v>
      </c>
      <c r="S85" t="s">
        <v>1392</v>
      </c>
      <c r="T85">
        <v>4</v>
      </c>
      <c r="W85">
        <v>5</v>
      </c>
      <c r="X85" t="s">
        <v>1139</v>
      </c>
      <c r="Y85" t="s">
        <v>1499</v>
      </c>
      <c r="Z85">
        <v>60</v>
      </c>
      <c r="AB85">
        <v>5</v>
      </c>
      <c r="AC85" t="s">
        <v>1139</v>
      </c>
      <c r="AD85" t="s">
        <v>1320</v>
      </c>
      <c r="AE85">
        <v>18</v>
      </c>
      <c r="AM85" t="s">
        <v>990</v>
      </c>
      <c r="AN85" t="s">
        <v>1461</v>
      </c>
      <c r="AO85">
        <v>1</v>
      </c>
      <c r="AR85">
        <v>5</v>
      </c>
      <c r="AS85" t="s">
        <v>770</v>
      </c>
      <c r="AT85" t="s">
        <v>1654</v>
      </c>
      <c r="AU85">
        <v>59</v>
      </c>
      <c r="AW85">
        <v>5</v>
      </c>
      <c r="AY85" t="s">
        <v>1614</v>
      </c>
      <c r="AZ85">
        <v>22</v>
      </c>
    </row>
  </sheetData>
  <mergeCells count="102">
    <mergeCell ref="AW71:AZ71"/>
    <mergeCell ref="BB71:BE71"/>
    <mergeCell ref="BG71:BJ71"/>
    <mergeCell ref="W79:Z79"/>
    <mergeCell ref="AB79:AE79"/>
    <mergeCell ref="AG79:AJ79"/>
    <mergeCell ref="AL79:AO79"/>
    <mergeCell ref="AR79:AU79"/>
    <mergeCell ref="AW79:AZ79"/>
    <mergeCell ref="BB79:BE79"/>
    <mergeCell ref="BG79:BJ79"/>
    <mergeCell ref="W71:Z71"/>
    <mergeCell ref="AB71:AE71"/>
    <mergeCell ref="AG71:AJ71"/>
    <mergeCell ref="AL71:AO71"/>
    <mergeCell ref="AR71:AU71"/>
    <mergeCell ref="AW55:AZ55"/>
    <mergeCell ref="BB55:BE55"/>
    <mergeCell ref="BG55:BJ55"/>
    <mergeCell ref="W63:Z63"/>
    <mergeCell ref="AB63:AE63"/>
    <mergeCell ref="AG63:AJ63"/>
    <mergeCell ref="AL63:AO63"/>
    <mergeCell ref="AR63:AU63"/>
    <mergeCell ref="AW63:AZ63"/>
    <mergeCell ref="BB63:BE63"/>
    <mergeCell ref="BG63:BJ63"/>
    <mergeCell ref="W55:Z55"/>
    <mergeCell ref="AB55:AE55"/>
    <mergeCell ref="AG55:AJ55"/>
    <mergeCell ref="AL55:AO55"/>
    <mergeCell ref="AR55:AU55"/>
    <mergeCell ref="AW41:AZ41"/>
    <mergeCell ref="BB41:BE41"/>
    <mergeCell ref="BG41:BJ41"/>
    <mergeCell ref="W54:AO54"/>
    <mergeCell ref="AR54:BJ54"/>
    <mergeCell ref="W41:Z41"/>
    <mergeCell ref="AB41:AE41"/>
    <mergeCell ref="AG41:AJ41"/>
    <mergeCell ref="AL41:AO41"/>
    <mergeCell ref="AR41:AU41"/>
    <mergeCell ref="W28:Z28"/>
    <mergeCell ref="AB28:AE28"/>
    <mergeCell ref="AG28:AJ28"/>
    <mergeCell ref="AL28:AO28"/>
    <mergeCell ref="AR28:AU28"/>
    <mergeCell ref="AW28:AZ28"/>
    <mergeCell ref="BB28:BE28"/>
    <mergeCell ref="BG28:BJ28"/>
    <mergeCell ref="W15:Z15"/>
    <mergeCell ref="AB15:AE15"/>
    <mergeCell ref="AG15:AJ15"/>
    <mergeCell ref="AL15:AO15"/>
    <mergeCell ref="B15:E15"/>
    <mergeCell ref="G15:J15"/>
    <mergeCell ref="L15:O15"/>
    <mergeCell ref="Q15:T15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W1:AO1"/>
    <mergeCell ref="AR15:AU15"/>
    <mergeCell ref="AW15:AZ15"/>
    <mergeCell ref="B1:T1"/>
    <mergeCell ref="B2:E2"/>
    <mergeCell ref="G2:J2"/>
    <mergeCell ref="L2:O2"/>
    <mergeCell ref="Q2:T2"/>
    <mergeCell ref="BB15:BE15"/>
    <mergeCell ref="BG15:BJ15"/>
    <mergeCell ref="B28:E28"/>
    <mergeCell ref="G28:J28"/>
    <mergeCell ref="L28:O28"/>
    <mergeCell ref="Q28:T28"/>
    <mergeCell ref="B41:E41"/>
    <mergeCell ref="G41:J41"/>
    <mergeCell ref="L41:O41"/>
    <mergeCell ref="Q41:T41"/>
    <mergeCell ref="B54:T54"/>
    <mergeCell ref="B71:E71"/>
    <mergeCell ref="G71:J71"/>
    <mergeCell ref="L71:O71"/>
    <mergeCell ref="Q71:T71"/>
    <mergeCell ref="B55:E55"/>
    <mergeCell ref="G55:J55"/>
    <mergeCell ref="L55:O55"/>
    <mergeCell ref="Q55:T55"/>
    <mergeCell ref="B79:E79"/>
    <mergeCell ref="G79:J79"/>
    <mergeCell ref="L79:O79"/>
    <mergeCell ref="Q79:T79"/>
    <mergeCell ref="B63:E63"/>
    <mergeCell ref="G63:J63"/>
    <mergeCell ref="L63:O63"/>
    <mergeCell ref="Q63:T6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BJ77"/>
  <sheetViews>
    <sheetView workbookViewId="0">
      <pane ySplit="1" topLeftCell="A2" activePane="bottomLeft" state="frozenSplit"/>
      <selection pane="bottomLeft" activeCell="I74" sqref="I74"/>
    </sheetView>
  </sheetViews>
  <sheetFormatPr baseColWidth="10" defaultRowHeight="16"/>
  <cols>
    <col min="1" max="2" width="3.1640625" customWidth="1"/>
    <col min="3" max="3" width="5.83203125" customWidth="1"/>
    <col min="4" max="4" width="15.1640625" customWidth="1"/>
    <col min="5" max="5" width="6.5" customWidth="1"/>
    <col min="6" max="7" width="3.1640625" customWidth="1"/>
    <col min="8" max="8" width="5.5" customWidth="1"/>
    <col min="9" max="9" width="14.33203125" customWidth="1"/>
    <col min="10" max="10" width="6.5" customWidth="1"/>
    <col min="11" max="12" width="3.1640625" customWidth="1"/>
    <col min="13" max="13" width="6" customWidth="1"/>
    <col min="14" max="14" width="15.1640625" customWidth="1"/>
    <col min="15" max="15" width="6.5" customWidth="1"/>
    <col min="16" max="17" width="3.1640625" customWidth="1"/>
    <col min="18" max="18" width="5.5" customWidth="1"/>
    <col min="19" max="19" width="14.33203125" customWidth="1"/>
    <col min="20" max="20" width="5" customWidth="1"/>
    <col min="21" max="23" width="3.1640625" customWidth="1"/>
    <col min="24" max="24" width="5.5" customWidth="1"/>
    <col min="25" max="25" width="16" customWidth="1"/>
    <col min="26" max="26" width="6.5" customWidth="1"/>
    <col min="27" max="28" width="3.1640625" customWidth="1"/>
    <col min="29" max="29" width="5.6640625" customWidth="1"/>
    <col min="30" max="30" width="15.1640625" customWidth="1"/>
    <col min="31" max="31" width="6.5" customWidth="1"/>
    <col min="32" max="33" width="3.1640625" customWidth="1"/>
    <col min="34" max="34" width="6" customWidth="1"/>
    <col min="35" max="35" width="17" customWidth="1"/>
    <col min="36" max="36" width="6.5" customWidth="1"/>
    <col min="37" max="38" width="3.1640625" customWidth="1"/>
    <col min="39" max="39" width="5.5" customWidth="1"/>
    <col min="40" max="40" width="14.83203125" customWidth="1"/>
    <col min="41" max="41" width="5.83203125" customWidth="1"/>
    <col min="42" max="44" width="3.1640625" customWidth="1"/>
    <col min="45" max="45" width="6" customWidth="1"/>
    <col min="46" max="46" width="18" customWidth="1"/>
    <col min="47" max="47" width="5.6640625" customWidth="1"/>
    <col min="48" max="49" width="3.1640625" customWidth="1"/>
    <col min="50" max="50" width="6.1640625" customWidth="1"/>
    <col min="51" max="51" width="17" customWidth="1"/>
    <col min="52" max="52" width="6.5" customWidth="1"/>
    <col min="53" max="54" width="3.1640625" customWidth="1"/>
    <col min="55" max="55" width="6.1640625" customWidth="1"/>
    <col min="56" max="56" width="16" customWidth="1"/>
    <col min="57" max="57" width="5.6640625" customWidth="1"/>
    <col min="58" max="59" width="3.1640625" customWidth="1"/>
    <col min="60" max="60" width="5.83203125" customWidth="1"/>
    <col min="61" max="61" width="16" customWidth="1"/>
    <col min="62" max="62" width="5" customWidth="1"/>
    <col min="63" max="63" width="2.83203125" customWidth="1"/>
  </cols>
  <sheetData>
    <row r="1" spans="2:62" ht="27">
      <c r="B1" s="1075" t="s">
        <v>1655</v>
      </c>
      <c r="C1" s="1076"/>
      <c r="D1" s="1076"/>
      <c r="E1" s="1076"/>
      <c r="F1" s="1076"/>
      <c r="G1" s="1076"/>
      <c r="H1" s="1076"/>
      <c r="I1" s="1076"/>
      <c r="J1" s="1076"/>
      <c r="K1" s="1076"/>
      <c r="L1" s="1076"/>
      <c r="M1" s="1076"/>
      <c r="N1" s="1076"/>
      <c r="O1" s="1076"/>
      <c r="P1" s="1076"/>
      <c r="Q1" s="1076"/>
      <c r="R1" s="1076"/>
      <c r="S1" s="1076"/>
      <c r="T1" s="1077"/>
      <c r="W1" s="1075" t="s">
        <v>1656</v>
      </c>
      <c r="X1" s="1076"/>
      <c r="Y1" s="1076"/>
      <c r="Z1" s="1076"/>
      <c r="AA1" s="1076"/>
      <c r="AB1" s="1076"/>
      <c r="AC1" s="1076"/>
      <c r="AD1" s="1076"/>
      <c r="AE1" s="1076"/>
      <c r="AF1" s="1076"/>
      <c r="AG1" s="1076"/>
      <c r="AH1" s="1076"/>
      <c r="AI1" s="1076"/>
      <c r="AJ1" s="1076"/>
      <c r="AK1" s="1076"/>
      <c r="AL1" s="1076"/>
      <c r="AM1" s="1076"/>
      <c r="AN1" s="1076"/>
      <c r="AO1" s="1077"/>
      <c r="AR1" s="1075" t="s">
        <v>1657</v>
      </c>
      <c r="AS1" s="1076"/>
      <c r="AT1" s="1076"/>
      <c r="AU1" s="1076"/>
      <c r="AV1" s="1076"/>
      <c r="AW1" s="1076"/>
      <c r="AX1" s="1076"/>
      <c r="AY1" s="1076"/>
      <c r="AZ1" s="1076"/>
      <c r="BA1" s="1076"/>
      <c r="BB1" s="1076"/>
      <c r="BC1" s="1076"/>
      <c r="BD1" s="1076"/>
      <c r="BE1" s="1076"/>
      <c r="BF1" s="1076"/>
      <c r="BG1" s="1076"/>
      <c r="BH1" s="1076"/>
      <c r="BI1" s="1076"/>
      <c r="BJ1" s="1077"/>
    </row>
    <row r="2" spans="2:62">
      <c r="B2" s="1084" t="s">
        <v>1658</v>
      </c>
      <c r="C2" s="1085"/>
      <c r="D2" s="1085"/>
      <c r="E2" s="1086"/>
      <c r="G2" s="1084" t="s">
        <v>196</v>
      </c>
      <c r="H2" s="1085"/>
      <c r="I2" s="1085"/>
      <c r="J2" s="1086"/>
      <c r="L2" s="1084" t="s">
        <v>1659</v>
      </c>
      <c r="M2" s="1085"/>
      <c r="N2" s="1085"/>
      <c r="O2" s="1086"/>
      <c r="Q2" s="1084" t="s">
        <v>1660</v>
      </c>
      <c r="R2" s="1085"/>
      <c r="S2" s="1085"/>
      <c r="T2" s="1086"/>
      <c r="W2" s="1084" t="s">
        <v>1658</v>
      </c>
      <c r="X2" s="1085"/>
      <c r="Y2" s="1085"/>
      <c r="Z2" s="1086"/>
      <c r="AB2" s="1084" t="s">
        <v>196</v>
      </c>
      <c r="AC2" s="1085"/>
      <c r="AD2" s="1085"/>
      <c r="AE2" s="1086"/>
      <c r="AG2" s="1084" t="s">
        <v>1659</v>
      </c>
      <c r="AH2" s="1085"/>
      <c r="AI2" s="1085"/>
      <c r="AJ2" s="1086"/>
      <c r="AL2" s="1084" t="s">
        <v>1660</v>
      </c>
      <c r="AM2" s="1085"/>
      <c r="AN2" s="1085"/>
      <c r="AO2" s="1086"/>
      <c r="AR2" s="1084" t="s">
        <v>1658</v>
      </c>
      <c r="AS2" s="1085"/>
      <c r="AT2" s="1085"/>
      <c r="AU2" s="1086"/>
      <c r="AW2" s="1084" t="s">
        <v>196</v>
      </c>
      <c r="AX2" s="1085"/>
      <c r="AY2" s="1085"/>
      <c r="AZ2" s="1086"/>
      <c r="BB2" s="1084" t="s">
        <v>1659</v>
      </c>
      <c r="BC2" s="1085"/>
      <c r="BD2" s="1085"/>
      <c r="BE2" s="1086"/>
      <c r="BG2" s="1084" t="s">
        <v>1660</v>
      </c>
      <c r="BH2" s="1085"/>
      <c r="BI2" s="1085"/>
      <c r="BJ2" s="1086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580</v>
      </c>
      <c r="D4" s="119" t="s">
        <v>1327</v>
      </c>
      <c r="E4" s="125">
        <v>7</v>
      </c>
      <c r="G4" s="119">
        <v>1</v>
      </c>
      <c r="H4" s="119" t="s">
        <v>1171</v>
      </c>
      <c r="I4" s="119" t="s">
        <v>1328</v>
      </c>
      <c r="J4" s="121">
        <v>1.6027397260273972</v>
      </c>
      <c r="L4" s="119">
        <v>1</v>
      </c>
      <c r="M4" s="119" t="s">
        <v>804</v>
      </c>
      <c r="N4" s="119" t="s">
        <v>1337</v>
      </c>
      <c r="O4" s="121">
        <v>0.80613188846306327</v>
      </c>
      <c r="Q4" s="119">
        <v>1</v>
      </c>
      <c r="R4" s="119" t="s">
        <v>835</v>
      </c>
      <c r="S4" s="119" t="s">
        <v>1318</v>
      </c>
      <c r="T4" s="125">
        <v>112</v>
      </c>
      <c r="W4" s="119">
        <v>1</v>
      </c>
      <c r="X4" s="511" t="s">
        <v>266</v>
      </c>
      <c r="Y4" s="511" t="s">
        <v>1350</v>
      </c>
      <c r="Z4" s="533">
        <v>8</v>
      </c>
      <c r="AB4" s="119">
        <v>1</v>
      </c>
      <c r="AC4" s="511" t="s">
        <v>835</v>
      </c>
      <c r="AD4" s="511" t="s">
        <v>1318</v>
      </c>
      <c r="AE4" s="528">
        <v>1.26</v>
      </c>
      <c r="AG4" s="119">
        <v>1</v>
      </c>
      <c r="AH4" s="511" t="s">
        <v>804</v>
      </c>
      <c r="AI4" s="511" t="s">
        <v>1337</v>
      </c>
      <c r="AJ4" s="528">
        <v>0.8</v>
      </c>
      <c r="AL4" s="119">
        <v>1</v>
      </c>
      <c r="AM4" s="511" t="s">
        <v>835</v>
      </c>
      <c r="AN4" s="511" t="s">
        <v>1318</v>
      </c>
      <c r="AO4" s="533">
        <v>116</v>
      </c>
      <c r="AR4" s="119">
        <v>1</v>
      </c>
      <c r="AS4" s="511" t="s">
        <v>869</v>
      </c>
      <c r="AT4" s="511" t="s">
        <v>1324</v>
      </c>
      <c r="AU4" s="533">
        <v>8</v>
      </c>
      <c r="AW4" s="119">
        <v>1</v>
      </c>
      <c r="AX4" s="119" t="s">
        <v>869</v>
      </c>
      <c r="AY4" s="119" t="s">
        <v>1343</v>
      </c>
      <c r="AZ4" s="121">
        <v>1.52</v>
      </c>
      <c r="BB4" s="119">
        <v>1</v>
      </c>
      <c r="BC4" s="119" t="s">
        <v>580</v>
      </c>
      <c r="BD4" s="119" t="s">
        <v>1327</v>
      </c>
      <c r="BE4" s="121">
        <v>0.82</v>
      </c>
      <c r="BG4" s="119">
        <v>1</v>
      </c>
      <c r="BH4" s="119" t="s">
        <v>804</v>
      </c>
      <c r="BI4" s="119" t="s">
        <v>1337</v>
      </c>
      <c r="BJ4" s="125">
        <v>102</v>
      </c>
    </row>
    <row r="5" spans="2:62" ht="19">
      <c r="C5" s="119" t="s">
        <v>165</v>
      </c>
      <c r="D5" s="119" t="s">
        <v>1317</v>
      </c>
      <c r="E5" s="125">
        <v>7</v>
      </c>
      <c r="G5">
        <v>2</v>
      </c>
      <c r="H5" t="s">
        <v>835</v>
      </c>
      <c r="I5" t="s">
        <v>1318</v>
      </c>
      <c r="J5" s="123">
        <v>1.7103298493280847</v>
      </c>
      <c r="L5">
        <v>2</v>
      </c>
      <c r="M5" s="505" t="s">
        <v>580</v>
      </c>
      <c r="N5" s="505" t="s">
        <v>1327</v>
      </c>
      <c r="O5" s="507">
        <v>0.90269480950484537</v>
      </c>
      <c r="Q5">
        <v>2</v>
      </c>
      <c r="R5" t="s">
        <v>804</v>
      </c>
      <c r="S5" t="s">
        <v>1337</v>
      </c>
      <c r="T5" s="126">
        <v>105</v>
      </c>
      <c r="X5" s="511" t="s">
        <v>394</v>
      </c>
      <c r="Y5" s="511" t="s">
        <v>1359</v>
      </c>
      <c r="Z5" s="533">
        <v>8</v>
      </c>
      <c r="AB5">
        <v>2</v>
      </c>
      <c r="AC5" t="s">
        <v>165</v>
      </c>
      <c r="AD5" t="s">
        <v>1317</v>
      </c>
      <c r="AE5" s="123">
        <v>1.49</v>
      </c>
      <c r="AG5">
        <v>2</v>
      </c>
      <c r="AH5" t="s">
        <v>580</v>
      </c>
      <c r="AI5" t="s">
        <v>1327</v>
      </c>
      <c r="AJ5" s="123">
        <v>0.83</v>
      </c>
      <c r="AL5">
        <v>2</v>
      </c>
      <c r="AM5" t="s">
        <v>685</v>
      </c>
      <c r="AN5" t="s">
        <v>1340</v>
      </c>
      <c r="AO5" s="126">
        <v>101</v>
      </c>
      <c r="AS5" s="511" t="s">
        <v>226</v>
      </c>
      <c r="AT5" s="511" t="s">
        <v>1353</v>
      </c>
      <c r="AU5" s="533">
        <v>8</v>
      </c>
      <c r="AW5">
        <v>2</v>
      </c>
      <c r="AX5" t="s">
        <v>869</v>
      </c>
      <c r="AY5" t="s">
        <v>1324</v>
      </c>
      <c r="AZ5" s="123">
        <v>1.61</v>
      </c>
      <c r="BB5">
        <v>2</v>
      </c>
      <c r="BC5" t="s">
        <v>770</v>
      </c>
      <c r="BD5" t="s">
        <v>1333</v>
      </c>
      <c r="BE5" s="123">
        <v>0.83</v>
      </c>
      <c r="BG5">
        <v>2</v>
      </c>
      <c r="BH5" t="s">
        <v>339</v>
      </c>
      <c r="BI5" t="s">
        <v>1323</v>
      </c>
      <c r="BJ5" s="126">
        <v>97</v>
      </c>
    </row>
    <row r="6" spans="2:62" ht="19">
      <c r="C6" s="119" t="s">
        <v>835</v>
      </c>
      <c r="D6" s="119" t="s">
        <v>1661</v>
      </c>
      <c r="E6" s="125">
        <v>7</v>
      </c>
      <c r="G6">
        <v>3</v>
      </c>
      <c r="H6" t="s">
        <v>1062</v>
      </c>
      <c r="I6" t="s">
        <v>1356</v>
      </c>
      <c r="J6" s="123">
        <v>2.0248987550622468</v>
      </c>
      <c r="L6">
        <v>3</v>
      </c>
      <c r="M6" t="s">
        <v>835</v>
      </c>
      <c r="N6" t="s">
        <v>1318</v>
      </c>
      <c r="O6" s="123">
        <v>0.92303515678023618</v>
      </c>
      <c r="Q6">
        <v>3</v>
      </c>
      <c r="R6" s="505" t="s">
        <v>339</v>
      </c>
      <c r="S6" s="505" t="s">
        <v>1323</v>
      </c>
      <c r="T6" s="508">
        <v>99</v>
      </c>
      <c r="X6" s="511" t="s">
        <v>1139</v>
      </c>
      <c r="Y6" s="511" t="s">
        <v>1600</v>
      </c>
      <c r="Z6" s="533">
        <v>8</v>
      </c>
      <c r="AB6">
        <v>3</v>
      </c>
      <c r="AC6" t="s">
        <v>804</v>
      </c>
      <c r="AD6" t="s">
        <v>1337</v>
      </c>
      <c r="AE6">
        <v>1.51</v>
      </c>
      <c r="AG6">
        <v>3</v>
      </c>
      <c r="AH6" t="s">
        <v>165</v>
      </c>
      <c r="AI6" t="s">
        <v>1317</v>
      </c>
      <c r="AJ6" s="123">
        <v>0.84</v>
      </c>
      <c r="AL6">
        <v>3</v>
      </c>
      <c r="AM6" t="s">
        <v>1200</v>
      </c>
      <c r="AN6" t="s">
        <v>1331</v>
      </c>
      <c r="AO6" s="126">
        <v>97</v>
      </c>
      <c r="AS6" s="511" t="s">
        <v>429</v>
      </c>
      <c r="AT6" s="511" t="s">
        <v>1662</v>
      </c>
      <c r="AU6" s="533">
        <v>8</v>
      </c>
      <c r="AW6">
        <v>3</v>
      </c>
      <c r="AX6" t="s">
        <v>770</v>
      </c>
      <c r="AY6" t="s">
        <v>1333</v>
      </c>
      <c r="AZ6" s="123">
        <v>1.73</v>
      </c>
      <c r="BB6">
        <v>3</v>
      </c>
      <c r="BC6" t="s">
        <v>804</v>
      </c>
      <c r="BD6" t="s">
        <v>1663</v>
      </c>
      <c r="BE6" s="123">
        <v>0.85</v>
      </c>
      <c r="BG6">
        <v>3</v>
      </c>
      <c r="BH6" t="s">
        <v>869</v>
      </c>
      <c r="BI6" t="s">
        <v>1324</v>
      </c>
      <c r="BJ6" s="126">
        <v>95</v>
      </c>
    </row>
    <row r="7" spans="2:62">
      <c r="B7">
        <v>4</v>
      </c>
      <c r="C7" t="s">
        <v>1200</v>
      </c>
      <c r="D7" t="s">
        <v>1331</v>
      </c>
      <c r="E7" s="126">
        <v>6</v>
      </c>
      <c r="G7">
        <v>4</v>
      </c>
      <c r="H7" t="s">
        <v>903</v>
      </c>
      <c r="I7" t="s">
        <v>1347</v>
      </c>
      <c r="J7" s="123">
        <v>2.0864584753852449</v>
      </c>
      <c r="L7">
        <v>4</v>
      </c>
      <c r="M7" t="s">
        <v>903</v>
      </c>
      <c r="N7" t="s">
        <v>1347</v>
      </c>
      <c r="O7" s="123">
        <v>0.9273148779489977</v>
      </c>
      <c r="Q7">
        <v>4</v>
      </c>
      <c r="R7" t="s">
        <v>226</v>
      </c>
      <c r="S7" t="s">
        <v>1353</v>
      </c>
      <c r="T7" s="126">
        <v>93</v>
      </c>
      <c r="W7">
        <v>4</v>
      </c>
      <c r="X7" t="s">
        <v>1025</v>
      </c>
      <c r="Y7" t="s">
        <v>1351</v>
      </c>
      <c r="Z7" s="126">
        <v>7</v>
      </c>
      <c r="AB7">
        <v>4</v>
      </c>
      <c r="AC7" t="s">
        <v>580</v>
      </c>
      <c r="AD7" t="s">
        <v>1327</v>
      </c>
      <c r="AE7" s="123">
        <v>1.52</v>
      </c>
      <c r="AG7">
        <v>4</v>
      </c>
      <c r="AH7" t="s">
        <v>869</v>
      </c>
      <c r="AI7" t="s">
        <v>1324</v>
      </c>
      <c r="AJ7" s="123">
        <v>0.91</v>
      </c>
      <c r="AL7">
        <v>4</v>
      </c>
      <c r="AM7" t="s">
        <v>903</v>
      </c>
      <c r="AN7" t="s">
        <v>1347</v>
      </c>
      <c r="AO7" s="126">
        <v>91</v>
      </c>
      <c r="AR7">
        <v>4</v>
      </c>
      <c r="AS7" t="s">
        <v>339</v>
      </c>
      <c r="AT7" t="s">
        <v>1323</v>
      </c>
      <c r="AU7" s="126">
        <v>7</v>
      </c>
      <c r="AW7">
        <v>4</v>
      </c>
      <c r="AX7" t="s">
        <v>339</v>
      </c>
      <c r="AY7" t="s">
        <v>1323</v>
      </c>
      <c r="AZ7" s="123">
        <v>1.97</v>
      </c>
      <c r="BB7">
        <v>4</v>
      </c>
      <c r="BC7" t="s">
        <v>869</v>
      </c>
      <c r="BD7" t="s">
        <v>1324</v>
      </c>
      <c r="BE7" s="123">
        <v>0.88</v>
      </c>
      <c r="BG7">
        <v>4</v>
      </c>
      <c r="BH7" t="s">
        <v>226</v>
      </c>
      <c r="BI7" t="s">
        <v>1353</v>
      </c>
      <c r="BJ7" s="126">
        <v>93</v>
      </c>
    </row>
    <row r="8" spans="2:62">
      <c r="C8" t="s">
        <v>990</v>
      </c>
      <c r="D8" t="s">
        <v>1664</v>
      </c>
      <c r="E8" s="126">
        <v>6</v>
      </c>
      <c r="G8">
        <v>5</v>
      </c>
      <c r="H8" t="s">
        <v>804</v>
      </c>
      <c r="I8" t="s">
        <v>1337</v>
      </c>
      <c r="J8" s="123">
        <v>2.1408748513281353</v>
      </c>
      <c r="L8">
        <v>5</v>
      </c>
      <c r="M8" t="s">
        <v>990</v>
      </c>
      <c r="N8" t="s">
        <v>1664</v>
      </c>
      <c r="O8" s="123">
        <v>0.94029850746268662</v>
      </c>
      <c r="Q8">
        <v>5</v>
      </c>
      <c r="R8" t="s">
        <v>165</v>
      </c>
      <c r="S8" t="s">
        <v>1317</v>
      </c>
      <c r="T8" s="126">
        <v>90</v>
      </c>
      <c r="X8" t="s">
        <v>1200</v>
      </c>
      <c r="Y8" t="s">
        <v>1331</v>
      </c>
      <c r="Z8" s="126">
        <v>7</v>
      </c>
      <c r="AB8">
        <v>5</v>
      </c>
      <c r="AC8" t="s">
        <v>1200</v>
      </c>
      <c r="AD8" t="s">
        <v>1331</v>
      </c>
      <c r="AE8">
        <v>1.55</v>
      </c>
      <c r="AH8" t="s">
        <v>1139</v>
      </c>
      <c r="AI8" t="s">
        <v>1665</v>
      </c>
      <c r="AJ8" s="123">
        <v>0.91</v>
      </c>
      <c r="AM8" t="s">
        <v>1139</v>
      </c>
      <c r="AN8" t="s">
        <v>1666</v>
      </c>
      <c r="AO8" s="126">
        <v>91</v>
      </c>
      <c r="AS8" t="s">
        <v>1171</v>
      </c>
      <c r="AT8" t="s">
        <v>1579</v>
      </c>
      <c r="AU8" s="126">
        <v>7</v>
      </c>
      <c r="AW8">
        <v>5</v>
      </c>
      <c r="AX8" t="s">
        <v>1171</v>
      </c>
      <c r="AY8" t="s">
        <v>1328</v>
      </c>
      <c r="AZ8" s="123">
        <v>2.06</v>
      </c>
      <c r="BB8">
        <v>5</v>
      </c>
      <c r="BC8" t="s">
        <v>165</v>
      </c>
      <c r="BD8" t="s">
        <v>1667</v>
      </c>
      <c r="BE8" s="123">
        <v>0.93</v>
      </c>
      <c r="BG8">
        <v>5</v>
      </c>
      <c r="BH8" t="s">
        <v>869</v>
      </c>
      <c r="BI8" t="s">
        <v>1343</v>
      </c>
      <c r="BJ8" s="126">
        <v>92</v>
      </c>
    </row>
    <row r="9" spans="2:62">
      <c r="C9" t="s">
        <v>1171</v>
      </c>
      <c r="D9" t="s">
        <v>1668</v>
      </c>
      <c r="E9" s="126">
        <v>6</v>
      </c>
      <c r="G9">
        <v>6</v>
      </c>
      <c r="H9" t="s">
        <v>952</v>
      </c>
      <c r="I9" t="s">
        <v>1669</v>
      </c>
      <c r="J9" s="123">
        <v>2.2391336162739646</v>
      </c>
      <c r="L9">
        <v>6</v>
      </c>
      <c r="M9" t="s">
        <v>770</v>
      </c>
      <c r="N9" t="s">
        <v>1670</v>
      </c>
      <c r="O9" s="123">
        <v>1.019367991845056</v>
      </c>
      <c r="Q9">
        <v>6</v>
      </c>
      <c r="R9" t="s">
        <v>903</v>
      </c>
      <c r="S9" t="s">
        <v>1347</v>
      </c>
      <c r="T9" s="126">
        <v>89</v>
      </c>
      <c r="X9" t="s">
        <v>835</v>
      </c>
      <c r="Y9" t="s">
        <v>1318</v>
      </c>
      <c r="Z9" s="126">
        <v>7</v>
      </c>
      <c r="AB9">
        <v>6</v>
      </c>
      <c r="AC9" t="s">
        <v>869</v>
      </c>
      <c r="AD9" t="s">
        <v>1324</v>
      </c>
      <c r="AE9">
        <v>2.09</v>
      </c>
      <c r="AG9">
        <v>6</v>
      </c>
      <c r="AH9" t="s">
        <v>1200</v>
      </c>
      <c r="AI9" t="s">
        <v>1331</v>
      </c>
      <c r="AJ9">
        <v>0.93</v>
      </c>
      <c r="AM9" t="s">
        <v>394</v>
      </c>
      <c r="AN9" t="s">
        <v>1359</v>
      </c>
      <c r="AO9" s="126">
        <v>91</v>
      </c>
      <c r="AS9" t="s">
        <v>1200</v>
      </c>
      <c r="AT9" t="s">
        <v>1671</v>
      </c>
      <c r="AU9" s="126">
        <v>7</v>
      </c>
      <c r="AW9">
        <v>6</v>
      </c>
      <c r="AX9" t="s">
        <v>685</v>
      </c>
      <c r="AY9" t="s">
        <v>1340</v>
      </c>
      <c r="AZ9" s="123">
        <v>2.12</v>
      </c>
      <c r="BB9">
        <v>6</v>
      </c>
      <c r="BC9" t="s">
        <v>165</v>
      </c>
      <c r="BD9" t="s">
        <v>1317</v>
      </c>
      <c r="BE9" s="123">
        <v>0.98</v>
      </c>
      <c r="BH9" t="s">
        <v>165</v>
      </c>
      <c r="BI9" t="s">
        <v>1317</v>
      </c>
      <c r="BJ9" s="126">
        <v>92</v>
      </c>
    </row>
    <row r="10" spans="2:62">
      <c r="C10" t="s">
        <v>804</v>
      </c>
      <c r="D10" t="s">
        <v>1411</v>
      </c>
      <c r="E10" s="126">
        <v>6</v>
      </c>
      <c r="G10">
        <v>7</v>
      </c>
      <c r="H10" t="s">
        <v>1200</v>
      </c>
      <c r="I10" t="s">
        <v>1331</v>
      </c>
      <c r="J10" s="123">
        <v>2.2711341651479042</v>
      </c>
      <c r="M10" t="s">
        <v>952</v>
      </c>
      <c r="N10" t="s">
        <v>1672</v>
      </c>
      <c r="O10" s="123">
        <v>1.019367991845056</v>
      </c>
      <c r="Q10">
        <v>7</v>
      </c>
      <c r="R10" t="s">
        <v>580</v>
      </c>
      <c r="S10" t="s">
        <v>1327</v>
      </c>
      <c r="T10" s="126">
        <v>87</v>
      </c>
      <c r="X10" t="s">
        <v>266</v>
      </c>
      <c r="Y10" t="s">
        <v>1662</v>
      </c>
      <c r="Z10" s="126">
        <v>7</v>
      </c>
      <c r="AB10">
        <v>7</v>
      </c>
      <c r="AC10" t="s">
        <v>300</v>
      </c>
      <c r="AD10" t="s">
        <v>1673</v>
      </c>
      <c r="AE10" s="123">
        <v>2.1</v>
      </c>
      <c r="AG10">
        <v>7</v>
      </c>
      <c r="AH10" t="s">
        <v>1171</v>
      </c>
      <c r="AI10" t="s">
        <v>1328</v>
      </c>
      <c r="AJ10" s="123">
        <v>0.95</v>
      </c>
      <c r="AL10">
        <v>7</v>
      </c>
      <c r="AM10" t="s">
        <v>804</v>
      </c>
      <c r="AN10" t="s">
        <v>1337</v>
      </c>
      <c r="AO10" s="126">
        <v>89</v>
      </c>
      <c r="AS10" t="s">
        <v>685</v>
      </c>
      <c r="AT10" t="s">
        <v>1674</v>
      </c>
      <c r="AU10" s="126">
        <v>7</v>
      </c>
      <c r="AW10">
        <v>7</v>
      </c>
      <c r="AX10" t="s">
        <v>903</v>
      </c>
      <c r="AY10" t="s">
        <v>1347</v>
      </c>
      <c r="AZ10" s="123">
        <v>2.2999999999999998</v>
      </c>
      <c r="BB10">
        <v>7</v>
      </c>
      <c r="BC10" t="s">
        <v>611</v>
      </c>
      <c r="BD10" t="s">
        <v>1675</v>
      </c>
      <c r="BE10" s="123">
        <v>0.99</v>
      </c>
      <c r="BG10">
        <v>7</v>
      </c>
      <c r="BH10" t="s">
        <v>1062</v>
      </c>
      <c r="BI10" t="s">
        <v>1676</v>
      </c>
      <c r="BJ10" s="126">
        <v>89</v>
      </c>
    </row>
    <row r="11" spans="2:62">
      <c r="C11" t="s">
        <v>429</v>
      </c>
      <c r="D11" t="s">
        <v>1394</v>
      </c>
      <c r="E11" s="126">
        <v>6</v>
      </c>
      <c r="G11">
        <v>8</v>
      </c>
      <c r="H11" s="505" t="s">
        <v>165</v>
      </c>
      <c r="I11" s="505" t="s">
        <v>1317</v>
      </c>
      <c r="J11" s="507">
        <v>2.3641642472003319</v>
      </c>
      <c r="L11">
        <v>8</v>
      </c>
      <c r="M11" t="s">
        <v>1171</v>
      </c>
      <c r="N11" t="s">
        <v>1328</v>
      </c>
      <c r="O11" s="123">
        <v>1.0273972602739727</v>
      </c>
      <c r="Q11">
        <v>8</v>
      </c>
      <c r="R11" t="s">
        <v>463</v>
      </c>
      <c r="S11" t="s">
        <v>1677</v>
      </c>
      <c r="T11" s="126">
        <v>84</v>
      </c>
      <c r="W11">
        <v>8</v>
      </c>
      <c r="X11" t="s">
        <v>165</v>
      </c>
      <c r="Y11" t="s">
        <v>1317</v>
      </c>
      <c r="Z11" s="126">
        <v>6</v>
      </c>
      <c r="AB11">
        <v>8</v>
      </c>
      <c r="AC11" t="s">
        <v>266</v>
      </c>
      <c r="AD11" t="s">
        <v>1350</v>
      </c>
      <c r="AE11" s="123">
        <v>2.23</v>
      </c>
      <c r="AG11">
        <v>8</v>
      </c>
      <c r="AH11" t="s">
        <v>1171</v>
      </c>
      <c r="AI11" t="s">
        <v>1678</v>
      </c>
      <c r="AJ11" s="123">
        <v>0.98</v>
      </c>
      <c r="AM11" t="s">
        <v>266</v>
      </c>
      <c r="AN11" t="s">
        <v>1679</v>
      </c>
      <c r="AO11" s="126">
        <v>89</v>
      </c>
      <c r="AS11" t="s">
        <v>226</v>
      </c>
      <c r="AT11" t="s">
        <v>1680</v>
      </c>
      <c r="AU11" s="126">
        <v>7</v>
      </c>
      <c r="AX11" t="s">
        <v>1096</v>
      </c>
      <c r="AY11" t="s">
        <v>1681</v>
      </c>
      <c r="AZ11" s="123">
        <v>2.2999999999999998</v>
      </c>
      <c r="BB11">
        <v>8</v>
      </c>
      <c r="BC11" t="s">
        <v>1171</v>
      </c>
      <c r="BD11" t="s">
        <v>1328</v>
      </c>
      <c r="BE11" s="123">
        <v>1</v>
      </c>
      <c r="BG11">
        <v>8</v>
      </c>
      <c r="BH11" t="s">
        <v>394</v>
      </c>
      <c r="BI11" t="s">
        <v>1682</v>
      </c>
      <c r="BJ11" s="126">
        <v>89</v>
      </c>
    </row>
    <row r="12" spans="2:62">
      <c r="C12" t="s">
        <v>611</v>
      </c>
      <c r="D12" t="s">
        <v>1346</v>
      </c>
      <c r="E12" s="126">
        <v>6</v>
      </c>
      <c r="G12">
        <v>9</v>
      </c>
      <c r="H12" t="s">
        <v>580</v>
      </c>
      <c r="I12" t="s">
        <v>1327</v>
      </c>
      <c r="J12" s="123">
        <v>2.6284348864994027</v>
      </c>
      <c r="L12">
        <v>9</v>
      </c>
      <c r="M12" t="s">
        <v>611</v>
      </c>
      <c r="N12" t="s">
        <v>1336</v>
      </c>
      <c r="O12" s="123">
        <v>1.0499475026248688</v>
      </c>
      <c r="Q12">
        <v>9</v>
      </c>
      <c r="R12" t="s">
        <v>1062</v>
      </c>
      <c r="S12" t="s">
        <v>1683</v>
      </c>
      <c r="T12" s="126">
        <v>83</v>
      </c>
      <c r="X12" t="s">
        <v>580</v>
      </c>
      <c r="Y12" t="s">
        <v>1327</v>
      </c>
      <c r="Z12" s="126">
        <v>6</v>
      </c>
      <c r="AB12">
        <v>9</v>
      </c>
      <c r="AC12" t="s">
        <v>1025</v>
      </c>
      <c r="AD12" t="s">
        <v>1351</v>
      </c>
      <c r="AE12" s="123">
        <v>2.25</v>
      </c>
      <c r="AG12">
        <v>9</v>
      </c>
      <c r="AH12" t="s">
        <v>300</v>
      </c>
      <c r="AI12" t="s">
        <v>1673</v>
      </c>
      <c r="AJ12" s="123">
        <v>1</v>
      </c>
      <c r="AL12">
        <v>9</v>
      </c>
      <c r="AM12" t="s">
        <v>580</v>
      </c>
      <c r="AN12" t="s">
        <v>1327</v>
      </c>
      <c r="AO12" s="126">
        <v>88</v>
      </c>
      <c r="AR12">
        <v>9</v>
      </c>
      <c r="AS12" t="s">
        <v>770</v>
      </c>
      <c r="AT12" t="s">
        <v>1333</v>
      </c>
      <c r="AU12" s="126">
        <v>6</v>
      </c>
      <c r="AW12">
        <v>9</v>
      </c>
      <c r="AX12" t="s">
        <v>580</v>
      </c>
      <c r="AY12" t="s">
        <v>1327</v>
      </c>
      <c r="AZ12" s="123">
        <v>2.4500000000000002</v>
      </c>
      <c r="BB12">
        <v>9</v>
      </c>
      <c r="BC12" t="s">
        <v>804</v>
      </c>
      <c r="BD12" t="s">
        <v>1337</v>
      </c>
      <c r="BE12" s="123">
        <v>1.04</v>
      </c>
      <c r="BH12" t="s">
        <v>539</v>
      </c>
      <c r="BI12" t="s">
        <v>1666</v>
      </c>
      <c r="BJ12" s="126">
        <v>89</v>
      </c>
    </row>
    <row r="13" spans="2:62">
      <c r="C13" t="s">
        <v>502</v>
      </c>
      <c r="D13" t="s">
        <v>1684</v>
      </c>
      <c r="E13" s="126">
        <v>6</v>
      </c>
      <c r="G13">
        <v>10</v>
      </c>
      <c r="H13" t="s">
        <v>611</v>
      </c>
      <c r="I13" t="s">
        <v>1346</v>
      </c>
      <c r="J13" s="123">
        <v>2.6441935982681306</v>
      </c>
      <c r="L13">
        <v>10</v>
      </c>
      <c r="M13" t="s">
        <v>165</v>
      </c>
      <c r="N13" t="s">
        <v>1317</v>
      </c>
      <c r="O13" s="123">
        <v>1.0783907092492742</v>
      </c>
      <c r="Q13">
        <v>10</v>
      </c>
      <c r="R13" t="s">
        <v>1139</v>
      </c>
      <c r="S13" t="s">
        <v>1666</v>
      </c>
      <c r="T13" s="126">
        <v>82</v>
      </c>
      <c r="Y13" t="s">
        <v>1685</v>
      </c>
      <c r="Z13" s="126">
        <v>6</v>
      </c>
      <c r="AB13">
        <v>10</v>
      </c>
      <c r="AC13" t="s">
        <v>685</v>
      </c>
      <c r="AD13" t="s">
        <v>1340</v>
      </c>
      <c r="AE13" s="123">
        <v>2.29</v>
      </c>
      <c r="AG13">
        <v>10</v>
      </c>
      <c r="AH13" t="s">
        <v>685</v>
      </c>
      <c r="AI13" t="s">
        <v>1340</v>
      </c>
      <c r="AJ13" s="123">
        <v>1.02</v>
      </c>
      <c r="AL13">
        <v>10</v>
      </c>
      <c r="AN13" t="s">
        <v>1610</v>
      </c>
      <c r="AO13" s="126">
        <v>86</v>
      </c>
      <c r="AT13" t="s">
        <v>1613</v>
      </c>
      <c r="AU13" s="126">
        <v>6</v>
      </c>
      <c r="AW13">
        <v>10</v>
      </c>
      <c r="AX13" t="s">
        <v>804</v>
      </c>
      <c r="AY13" t="s">
        <v>1663</v>
      </c>
      <c r="AZ13" s="123">
        <v>2.6</v>
      </c>
      <c r="BC13" t="s">
        <v>869</v>
      </c>
      <c r="BD13" t="s">
        <v>1343</v>
      </c>
      <c r="BE13" s="123">
        <v>1.04</v>
      </c>
      <c r="BG13">
        <v>10</v>
      </c>
      <c r="BH13" t="s">
        <v>1062</v>
      </c>
      <c r="BI13" t="s">
        <v>1683</v>
      </c>
      <c r="BJ13" s="126">
        <v>88</v>
      </c>
    </row>
    <row r="14" spans="2:62">
      <c r="E14" s="126"/>
      <c r="Z14" s="126"/>
      <c r="AU14" s="126"/>
    </row>
    <row r="15" spans="2:62">
      <c r="B15" s="1084" t="s">
        <v>2175</v>
      </c>
      <c r="C15" s="1085"/>
      <c r="D15" s="1085"/>
      <c r="E15" s="1086"/>
      <c r="G15" s="1084" t="s">
        <v>1687</v>
      </c>
      <c r="H15" s="1085"/>
      <c r="I15" s="1085"/>
      <c r="J15" s="1086"/>
      <c r="L15" s="1084" t="s">
        <v>1688</v>
      </c>
      <c r="M15" s="1085"/>
      <c r="N15" s="1085"/>
      <c r="O15" s="1086"/>
      <c r="Q15" s="1084" t="s">
        <v>1689</v>
      </c>
      <c r="R15" s="1085"/>
      <c r="S15" s="1085"/>
      <c r="T15" s="1086"/>
      <c r="W15" s="1084" t="s">
        <v>2175</v>
      </c>
      <c r="X15" s="1085"/>
      <c r="Y15" s="1085"/>
      <c r="Z15" s="1086"/>
      <c r="AB15" s="1084" t="s">
        <v>1687</v>
      </c>
      <c r="AC15" s="1085"/>
      <c r="AD15" s="1085"/>
      <c r="AE15" s="1086"/>
      <c r="AG15" s="1084" t="s">
        <v>1688</v>
      </c>
      <c r="AH15" s="1085"/>
      <c r="AI15" s="1085"/>
      <c r="AJ15" s="1086"/>
      <c r="AL15" s="1084" t="s">
        <v>1689</v>
      </c>
      <c r="AM15" s="1085"/>
      <c r="AN15" s="1085"/>
      <c r="AO15" s="1086"/>
      <c r="AR15" s="1084" t="s">
        <v>2175</v>
      </c>
      <c r="AS15" s="1085"/>
      <c r="AT15" s="1085"/>
      <c r="AU15" s="1086"/>
      <c r="AW15" s="1084" t="s">
        <v>1687</v>
      </c>
      <c r="AX15" s="1085"/>
      <c r="AY15" s="1085"/>
      <c r="AZ15" s="1086"/>
      <c r="BB15" s="1084" t="s">
        <v>1688</v>
      </c>
      <c r="BC15" s="1085"/>
      <c r="BD15" s="1085"/>
      <c r="BE15" s="1086"/>
      <c r="BG15" s="1084" t="s">
        <v>1689</v>
      </c>
      <c r="BH15" s="1085"/>
      <c r="BI15" s="1085"/>
      <c r="BJ15" s="1086"/>
    </row>
    <row r="16" spans="2:62" s="141" customFormat="1">
      <c r="B16" s="359"/>
      <c r="C16" s="360" t="s">
        <v>8</v>
      </c>
      <c r="D16" s="360" t="s">
        <v>1314</v>
      </c>
      <c r="E16" s="360" t="s">
        <v>164</v>
      </c>
      <c r="G16" s="359"/>
      <c r="H16" s="360" t="s">
        <v>8</v>
      </c>
      <c r="I16" s="360" t="s">
        <v>1314</v>
      </c>
      <c r="J16" s="360" t="s">
        <v>164</v>
      </c>
      <c r="L16" s="359"/>
      <c r="M16" s="360" t="s">
        <v>8</v>
      </c>
      <c r="N16" s="360" t="s">
        <v>1314</v>
      </c>
      <c r="O16" s="360" t="s">
        <v>164</v>
      </c>
      <c r="Q16" s="359"/>
      <c r="R16" s="360" t="s">
        <v>8</v>
      </c>
      <c r="S16" s="360" t="s">
        <v>1314</v>
      </c>
      <c r="T16" s="359" t="s">
        <v>164</v>
      </c>
      <c r="W16" s="359"/>
      <c r="X16" s="360" t="s">
        <v>8</v>
      </c>
      <c r="Y16" s="360" t="s">
        <v>1314</v>
      </c>
      <c r="Z16" s="360" t="s">
        <v>164</v>
      </c>
      <c r="AB16" s="359"/>
      <c r="AC16" s="360" t="s">
        <v>8</v>
      </c>
      <c r="AD16" s="360" t="s">
        <v>1314</v>
      </c>
      <c r="AE16" s="360" t="s">
        <v>164</v>
      </c>
      <c r="AG16" s="359"/>
      <c r="AH16" s="360" t="s">
        <v>8</v>
      </c>
      <c r="AI16" s="360" t="s">
        <v>1314</v>
      </c>
      <c r="AJ16" s="360" t="s">
        <v>164</v>
      </c>
      <c r="AL16" s="359"/>
      <c r="AM16" s="360" t="s">
        <v>8</v>
      </c>
      <c r="AN16" s="360" t="s">
        <v>1314</v>
      </c>
      <c r="AO16" s="359" t="s">
        <v>164</v>
      </c>
      <c r="AR16" s="359"/>
      <c r="AS16" s="360" t="s">
        <v>8</v>
      </c>
      <c r="AT16" s="360" t="s">
        <v>1314</v>
      </c>
      <c r="AU16" s="360" t="s">
        <v>164</v>
      </c>
      <c r="AW16" s="359"/>
      <c r="AX16" s="360" t="s">
        <v>8</v>
      </c>
      <c r="AY16" s="360" t="s">
        <v>1314</v>
      </c>
      <c r="AZ16" s="360" t="s">
        <v>164</v>
      </c>
      <c r="BB16" s="359"/>
      <c r="BC16" s="360" t="s">
        <v>8</v>
      </c>
      <c r="BD16" s="360" t="s">
        <v>1314</v>
      </c>
      <c r="BE16" s="360" t="s">
        <v>164</v>
      </c>
      <c r="BG16" s="359"/>
      <c r="BH16" s="360" t="s">
        <v>8</v>
      </c>
      <c r="BI16" s="360" t="s">
        <v>1314</v>
      </c>
      <c r="BJ16" s="359" t="s">
        <v>164</v>
      </c>
    </row>
    <row r="17" spans="2:62" s="119" customFormat="1" ht="19">
      <c r="B17" s="119">
        <v>1</v>
      </c>
      <c r="C17" s="119" t="s">
        <v>804</v>
      </c>
      <c r="D17" s="119" t="s">
        <v>1337</v>
      </c>
      <c r="E17" s="127">
        <v>75.67</v>
      </c>
      <c r="G17" s="119">
        <v>1</v>
      </c>
      <c r="H17" s="511" t="s">
        <v>835</v>
      </c>
      <c r="I17" s="511" t="s">
        <v>1318</v>
      </c>
      <c r="J17" s="511">
        <v>10</v>
      </c>
      <c r="L17" s="119">
        <v>1</v>
      </c>
      <c r="M17" s="119" t="s">
        <v>1171</v>
      </c>
      <c r="N17" s="119" t="s">
        <v>1328</v>
      </c>
      <c r="O17" s="119">
        <v>7</v>
      </c>
      <c r="Q17" s="119">
        <v>1</v>
      </c>
      <c r="R17" s="511" t="s">
        <v>835</v>
      </c>
      <c r="S17" s="511" t="s">
        <v>1318</v>
      </c>
      <c r="T17" s="511">
        <v>3</v>
      </c>
      <c r="W17" s="119">
        <v>1</v>
      </c>
      <c r="X17" s="511" t="s">
        <v>685</v>
      </c>
      <c r="Y17" s="511" t="s">
        <v>1340</v>
      </c>
      <c r="Z17" s="532">
        <v>78.67</v>
      </c>
      <c r="AB17" s="119">
        <v>1</v>
      </c>
      <c r="AC17" s="511" t="s">
        <v>580</v>
      </c>
      <c r="AD17" s="511" t="s">
        <v>1327</v>
      </c>
      <c r="AE17" s="511">
        <v>10</v>
      </c>
      <c r="AG17" s="119">
        <v>1</v>
      </c>
      <c r="AH17" s="119" t="s">
        <v>835</v>
      </c>
      <c r="AI17" s="119" t="s">
        <v>1318</v>
      </c>
      <c r="AJ17" s="119">
        <v>8</v>
      </c>
      <c r="AL17" s="119">
        <v>1</v>
      </c>
      <c r="AM17" s="511" t="s">
        <v>1025</v>
      </c>
      <c r="AN17" s="511" t="s">
        <v>1351</v>
      </c>
      <c r="AO17" s="511">
        <v>3</v>
      </c>
      <c r="AR17" s="119">
        <v>1</v>
      </c>
      <c r="AS17" s="119" t="s">
        <v>869</v>
      </c>
      <c r="AT17" s="119" t="s">
        <v>1324</v>
      </c>
      <c r="AU17" s="127">
        <v>78.33</v>
      </c>
      <c r="AW17" s="119">
        <v>1</v>
      </c>
      <c r="AX17" s="511" t="s">
        <v>869</v>
      </c>
      <c r="AY17" s="511" t="s">
        <v>1324</v>
      </c>
      <c r="AZ17" s="511">
        <v>10</v>
      </c>
      <c r="BB17" s="119">
        <v>1</v>
      </c>
      <c r="BC17" s="511" t="s">
        <v>869</v>
      </c>
      <c r="BD17" s="511" t="s">
        <v>1324</v>
      </c>
      <c r="BE17" s="511">
        <v>9</v>
      </c>
      <c r="BG17" s="119">
        <v>1</v>
      </c>
      <c r="BH17" s="511" t="s">
        <v>770</v>
      </c>
      <c r="BI17" s="511" t="s">
        <v>1333</v>
      </c>
      <c r="BJ17" s="511">
        <v>3</v>
      </c>
    </row>
    <row r="18" spans="2:62" ht="19">
      <c r="B18">
        <v>2</v>
      </c>
      <c r="C18" s="505" t="s">
        <v>580</v>
      </c>
      <c r="D18" s="505" t="s">
        <v>1327</v>
      </c>
      <c r="E18" s="509">
        <v>75.33</v>
      </c>
      <c r="H18" s="511" t="s">
        <v>1171</v>
      </c>
      <c r="I18" s="511" t="s">
        <v>1328</v>
      </c>
      <c r="J18" s="511">
        <v>10</v>
      </c>
      <c r="M18" s="119" t="s">
        <v>903</v>
      </c>
      <c r="N18" s="119" t="s">
        <v>1347</v>
      </c>
      <c r="O18" s="119">
        <v>7</v>
      </c>
      <c r="Q18">
        <v>2</v>
      </c>
      <c r="R18" s="505" t="s">
        <v>165</v>
      </c>
      <c r="S18" s="505" t="s">
        <v>1317</v>
      </c>
      <c r="T18" s="505">
        <v>2</v>
      </c>
      <c r="W18">
        <v>2</v>
      </c>
      <c r="X18" t="s">
        <v>165</v>
      </c>
      <c r="Y18" t="s">
        <v>1317</v>
      </c>
      <c r="Z18" s="128">
        <v>78.33</v>
      </c>
      <c r="AC18" s="511" t="s">
        <v>1200</v>
      </c>
      <c r="AD18" s="511" t="s">
        <v>1331</v>
      </c>
      <c r="AE18" s="511">
        <v>10</v>
      </c>
      <c r="AH18" s="119" t="s">
        <v>685</v>
      </c>
      <c r="AI18" s="119" t="s">
        <v>1340</v>
      </c>
      <c r="AJ18" s="119">
        <v>8</v>
      </c>
      <c r="AL18">
        <v>2</v>
      </c>
      <c r="AM18" t="s">
        <v>804</v>
      </c>
      <c r="AN18" t="s">
        <v>1337</v>
      </c>
      <c r="AO18">
        <v>2</v>
      </c>
      <c r="AS18" s="119" t="s">
        <v>903</v>
      </c>
      <c r="AT18" s="119" t="s">
        <v>1347</v>
      </c>
      <c r="AU18" s="127">
        <v>78.33</v>
      </c>
      <c r="AW18">
        <v>2</v>
      </c>
      <c r="AX18" t="s">
        <v>869</v>
      </c>
      <c r="AY18" t="s">
        <v>1343</v>
      </c>
      <c r="AZ18">
        <v>9</v>
      </c>
      <c r="BB18">
        <v>2</v>
      </c>
      <c r="BC18" t="s">
        <v>770</v>
      </c>
      <c r="BD18" t="s">
        <v>1333</v>
      </c>
      <c r="BE18">
        <v>8</v>
      </c>
      <c r="BG18">
        <v>2</v>
      </c>
      <c r="BH18" t="s">
        <v>869</v>
      </c>
      <c r="BI18" t="s">
        <v>1324</v>
      </c>
      <c r="BJ18">
        <v>2</v>
      </c>
    </row>
    <row r="19" spans="2:62" ht="19">
      <c r="B19">
        <v>3</v>
      </c>
      <c r="C19" t="s">
        <v>835</v>
      </c>
      <c r="D19" t="s">
        <v>1318</v>
      </c>
      <c r="E19" s="128">
        <v>73.67</v>
      </c>
      <c r="G19">
        <v>3</v>
      </c>
      <c r="H19" s="505" t="s">
        <v>611</v>
      </c>
      <c r="I19" s="505" t="s">
        <v>1336</v>
      </c>
      <c r="J19" s="505">
        <v>9</v>
      </c>
      <c r="M19" s="119" t="s">
        <v>165</v>
      </c>
      <c r="N19" s="119" t="s">
        <v>1317</v>
      </c>
      <c r="O19" s="119">
        <v>7</v>
      </c>
      <c r="Q19">
        <v>3</v>
      </c>
      <c r="R19" t="s">
        <v>1171</v>
      </c>
      <c r="S19" t="s">
        <v>1328</v>
      </c>
      <c r="T19">
        <v>2</v>
      </c>
      <c r="W19">
        <v>3</v>
      </c>
      <c r="X19" t="s">
        <v>804</v>
      </c>
      <c r="Y19" t="s">
        <v>1337</v>
      </c>
      <c r="Z19" s="128">
        <v>77.3</v>
      </c>
      <c r="AC19" s="511" t="s">
        <v>835</v>
      </c>
      <c r="AD19" s="511" t="s">
        <v>1318</v>
      </c>
      <c r="AE19" s="511">
        <v>10</v>
      </c>
      <c r="AH19" s="119" t="s">
        <v>869</v>
      </c>
      <c r="AI19" s="119" t="s">
        <v>1324</v>
      </c>
      <c r="AJ19" s="119">
        <v>8</v>
      </c>
      <c r="AM19" t="s">
        <v>903</v>
      </c>
      <c r="AN19" t="s">
        <v>1347</v>
      </c>
      <c r="AO19">
        <v>2</v>
      </c>
      <c r="AR19">
        <v>3</v>
      </c>
      <c r="AS19" t="s">
        <v>770</v>
      </c>
      <c r="AT19" t="s">
        <v>1333</v>
      </c>
      <c r="AU19" s="128">
        <v>78</v>
      </c>
      <c r="AX19" t="s">
        <v>339</v>
      </c>
      <c r="AY19" t="s">
        <v>1323</v>
      </c>
      <c r="AZ19">
        <v>9</v>
      </c>
      <c r="BB19">
        <v>3</v>
      </c>
      <c r="BC19" t="s">
        <v>869</v>
      </c>
      <c r="BD19" t="s">
        <v>1343</v>
      </c>
      <c r="BE19">
        <v>7</v>
      </c>
      <c r="BH19" t="s">
        <v>869</v>
      </c>
      <c r="BI19" t="s">
        <v>1343</v>
      </c>
      <c r="BJ19">
        <v>2</v>
      </c>
    </row>
    <row r="20" spans="2:62">
      <c r="B20">
        <v>4</v>
      </c>
      <c r="C20" t="s">
        <v>903</v>
      </c>
      <c r="D20" t="s">
        <v>1347</v>
      </c>
      <c r="E20" s="128">
        <v>73.33</v>
      </c>
      <c r="H20" s="505" t="s">
        <v>226</v>
      </c>
      <c r="I20" s="505" t="s">
        <v>1690</v>
      </c>
      <c r="J20" s="505">
        <v>9</v>
      </c>
      <c r="L20">
        <v>4</v>
      </c>
      <c r="M20" t="s">
        <v>952</v>
      </c>
      <c r="N20" t="s">
        <v>1669</v>
      </c>
      <c r="O20">
        <v>6</v>
      </c>
      <c r="Q20">
        <v>4</v>
      </c>
      <c r="R20" t="s">
        <v>952</v>
      </c>
      <c r="S20" t="s">
        <v>1669</v>
      </c>
      <c r="T20">
        <v>2</v>
      </c>
      <c r="W20">
        <v>4</v>
      </c>
      <c r="X20" t="s">
        <v>580</v>
      </c>
      <c r="Y20" t="s">
        <v>1327</v>
      </c>
      <c r="Z20" s="128">
        <v>77</v>
      </c>
      <c r="AB20">
        <v>4</v>
      </c>
      <c r="AC20" t="s">
        <v>804</v>
      </c>
      <c r="AD20" t="s">
        <v>1337</v>
      </c>
      <c r="AE20">
        <v>9</v>
      </c>
      <c r="AG20">
        <v>4</v>
      </c>
      <c r="AH20" t="s">
        <v>580</v>
      </c>
      <c r="AI20" t="s">
        <v>1327</v>
      </c>
      <c r="AJ20">
        <v>7</v>
      </c>
      <c r="AM20" t="s">
        <v>1171</v>
      </c>
      <c r="AN20" t="s">
        <v>1328</v>
      </c>
      <c r="AO20">
        <v>2</v>
      </c>
      <c r="AS20" t="s">
        <v>611</v>
      </c>
      <c r="AT20" t="s">
        <v>1362</v>
      </c>
      <c r="AU20" s="128">
        <v>78</v>
      </c>
      <c r="AX20" t="s">
        <v>1171</v>
      </c>
      <c r="AY20" t="s">
        <v>1328</v>
      </c>
      <c r="AZ20">
        <v>9</v>
      </c>
      <c r="BC20" t="s">
        <v>1171</v>
      </c>
      <c r="BD20" t="s">
        <v>1328</v>
      </c>
      <c r="BE20">
        <v>7</v>
      </c>
      <c r="BH20" t="s">
        <v>339</v>
      </c>
      <c r="BI20" t="s">
        <v>1323</v>
      </c>
      <c r="BJ20">
        <v>2</v>
      </c>
    </row>
    <row r="21" spans="2:62">
      <c r="B21">
        <v>5</v>
      </c>
      <c r="C21" t="s">
        <v>1171</v>
      </c>
      <c r="D21" t="s">
        <v>1328</v>
      </c>
      <c r="E21" s="128">
        <v>73</v>
      </c>
      <c r="H21" t="s">
        <v>903</v>
      </c>
      <c r="I21" t="s">
        <v>1347</v>
      </c>
      <c r="J21">
        <v>9</v>
      </c>
      <c r="M21" t="s">
        <v>804</v>
      </c>
      <c r="N21" t="s">
        <v>1337</v>
      </c>
      <c r="O21">
        <v>6</v>
      </c>
      <c r="Q21">
        <v>5</v>
      </c>
      <c r="R21" t="s">
        <v>804</v>
      </c>
      <c r="S21" t="s">
        <v>1337</v>
      </c>
      <c r="T21">
        <v>2</v>
      </c>
      <c r="W21">
        <v>5</v>
      </c>
      <c r="X21" t="s">
        <v>1025</v>
      </c>
      <c r="Y21" t="s">
        <v>1351</v>
      </c>
      <c r="Z21" s="128">
        <v>76</v>
      </c>
      <c r="AC21" t="s">
        <v>1171</v>
      </c>
      <c r="AD21" t="s">
        <v>1579</v>
      </c>
      <c r="AE21">
        <v>9</v>
      </c>
      <c r="AH21" t="s">
        <v>394</v>
      </c>
      <c r="AI21" t="s">
        <v>1359</v>
      </c>
      <c r="AJ21">
        <v>7</v>
      </c>
      <c r="AM21" t="s">
        <v>165</v>
      </c>
      <c r="AN21" t="s">
        <v>1317</v>
      </c>
      <c r="AO21">
        <v>2</v>
      </c>
      <c r="AR21">
        <v>5</v>
      </c>
      <c r="AS21" t="s">
        <v>869</v>
      </c>
      <c r="AT21" t="s">
        <v>1343</v>
      </c>
      <c r="AU21" s="128">
        <v>77</v>
      </c>
      <c r="AX21" t="s">
        <v>903</v>
      </c>
      <c r="AY21" t="s">
        <v>1347</v>
      </c>
      <c r="AZ21">
        <v>9</v>
      </c>
      <c r="BC21" t="s">
        <v>903</v>
      </c>
      <c r="BD21" t="s">
        <v>1347</v>
      </c>
      <c r="BE21">
        <v>7</v>
      </c>
      <c r="BH21" t="s">
        <v>580</v>
      </c>
      <c r="BI21" t="s">
        <v>1327</v>
      </c>
      <c r="BJ21">
        <v>2</v>
      </c>
    </row>
    <row r="22" spans="2:62">
      <c r="B22">
        <v>6</v>
      </c>
      <c r="C22" t="s">
        <v>165</v>
      </c>
      <c r="D22" t="s">
        <v>1317</v>
      </c>
      <c r="E22" s="128">
        <v>72.33</v>
      </c>
      <c r="H22" t="s">
        <v>952</v>
      </c>
      <c r="I22" t="s">
        <v>1672</v>
      </c>
      <c r="J22">
        <v>9</v>
      </c>
      <c r="M22" t="s">
        <v>1200</v>
      </c>
      <c r="N22" t="s">
        <v>1331</v>
      </c>
      <c r="O22">
        <v>6</v>
      </c>
      <c r="Q22">
        <v>6</v>
      </c>
      <c r="R22" t="s">
        <v>1200</v>
      </c>
      <c r="S22" t="s">
        <v>1331</v>
      </c>
      <c r="T22">
        <v>2</v>
      </c>
      <c r="W22">
        <v>6</v>
      </c>
      <c r="X22" t="s">
        <v>1200</v>
      </c>
      <c r="Y22" t="s">
        <v>1331</v>
      </c>
      <c r="Z22" s="128">
        <v>75.33</v>
      </c>
      <c r="AC22" t="s">
        <v>1171</v>
      </c>
      <c r="AD22" t="s">
        <v>1678</v>
      </c>
      <c r="AE22">
        <v>9</v>
      </c>
      <c r="AH22" t="s">
        <v>1200</v>
      </c>
      <c r="AI22" t="s">
        <v>1331</v>
      </c>
      <c r="AJ22">
        <v>7</v>
      </c>
      <c r="AM22" t="s">
        <v>580</v>
      </c>
      <c r="AN22" t="s">
        <v>1327</v>
      </c>
      <c r="AO22">
        <v>2</v>
      </c>
      <c r="AR22">
        <v>6</v>
      </c>
      <c r="AS22" t="s">
        <v>1171</v>
      </c>
      <c r="AT22" t="s">
        <v>1328</v>
      </c>
      <c r="AU22" s="128">
        <v>74.33</v>
      </c>
      <c r="AX22" t="s">
        <v>717</v>
      </c>
      <c r="AY22" t="s">
        <v>1691</v>
      </c>
      <c r="AZ22">
        <v>9</v>
      </c>
      <c r="BC22" t="s">
        <v>611</v>
      </c>
      <c r="BD22" t="s">
        <v>1362</v>
      </c>
      <c r="BE22">
        <v>7</v>
      </c>
      <c r="BH22" t="s">
        <v>804</v>
      </c>
      <c r="BI22" t="s">
        <v>1663</v>
      </c>
      <c r="BJ22">
        <v>2</v>
      </c>
    </row>
    <row r="23" spans="2:62">
      <c r="B23">
        <v>7</v>
      </c>
      <c r="C23" t="s">
        <v>1200</v>
      </c>
      <c r="D23" t="s">
        <v>1331</v>
      </c>
      <c r="E23" s="128">
        <v>71.33</v>
      </c>
      <c r="H23" t="s">
        <v>770</v>
      </c>
      <c r="I23" t="s">
        <v>1670</v>
      </c>
      <c r="J23">
        <v>9</v>
      </c>
      <c r="M23" t="s">
        <v>1096</v>
      </c>
      <c r="N23" t="s">
        <v>1692</v>
      </c>
      <c r="O23">
        <v>6</v>
      </c>
      <c r="Q23">
        <v>7</v>
      </c>
      <c r="R23" t="s">
        <v>1265</v>
      </c>
      <c r="S23" t="s">
        <v>1693</v>
      </c>
      <c r="T23">
        <v>2</v>
      </c>
      <c r="W23">
        <v>7</v>
      </c>
      <c r="X23" t="s">
        <v>903</v>
      </c>
      <c r="Y23" t="s">
        <v>1347</v>
      </c>
      <c r="Z23" s="128">
        <v>74</v>
      </c>
      <c r="AC23" t="s">
        <v>685</v>
      </c>
      <c r="AD23" t="s">
        <v>1340</v>
      </c>
      <c r="AE23">
        <v>9</v>
      </c>
      <c r="AH23" t="s">
        <v>804</v>
      </c>
      <c r="AI23" t="s">
        <v>1337</v>
      </c>
      <c r="AJ23">
        <v>7</v>
      </c>
      <c r="AM23" t="s">
        <v>266</v>
      </c>
      <c r="AN23" t="s">
        <v>1350</v>
      </c>
      <c r="AO23">
        <v>2</v>
      </c>
      <c r="AR23">
        <v>7</v>
      </c>
      <c r="AS23" t="s">
        <v>580</v>
      </c>
      <c r="AT23" t="s">
        <v>1327</v>
      </c>
      <c r="AU23" s="128">
        <v>73.3</v>
      </c>
      <c r="AW23">
        <v>7</v>
      </c>
      <c r="AX23" t="s">
        <v>770</v>
      </c>
      <c r="AY23" t="s">
        <v>1333</v>
      </c>
      <c r="AZ23">
        <v>8</v>
      </c>
      <c r="BB23">
        <v>7</v>
      </c>
      <c r="BC23" t="s">
        <v>580</v>
      </c>
      <c r="BD23" t="s">
        <v>1327</v>
      </c>
      <c r="BE23">
        <v>6</v>
      </c>
      <c r="BH23" t="s">
        <v>611</v>
      </c>
      <c r="BI23" t="s">
        <v>1362</v>
      </c>
      <c r="BJ23">
        <v>2</v>
      </c>
    </row>
    <row r="24" spans="2:62">
      <c r="B24">
        <v>8</v>
      </c>
      <c r="C24" t="s">
        <v>463</v>
      </c>
      <c r="D24" t="s">
        <v>1677</v>
      </c>
      <c r="E24" s="128">
        <v>71</v>
      </c>
      <c r="H24" t="s">
        <v>952</v>
      </c>
      <c r="I24" t="s">
        <v>1669</v>
      </c>
      <c r="J24">
        <v>9</v>
      </c>
      <c r="M24" t="s">
        <v>580</v>
      </c>
      <c r="N24" t="s">
        <v>1327</v>
      </c>
      <c r="O24">
        <v>6</v>
      </c>
      <c r="Q24">
        <v>8</v>
      </c>
      <c r="R24" t="s">
        <v>770</v>
      </c>
      <c r="S24" t="s">
        <v>1694</v>
      </c>
      <c r="T24">
        <v>2</v>
      </c>
      <c r="W24">
        <v>8</v>
      </c>
      <c r="X24" t="s">
        <v>903</v>
      </c>
      <c r="Y24" t="s">
        <v>1695</v>
      </c>
      <c r="Z24" s="128">
        <v>73.67</v>
      </c>
      <c r="AC24" t="s">
        <v>165</v>
      </c>
      <c r="AD24" t="s">
        <v>1317</v>
      </c>
      <c r="AE24">
        <v>9</v>
      </c>
      <c r="AH24" t="s">
        <v>1171</v>
      </c>
      <c r="AI24" t="s">
        <v>1678</v>
      </c>
      <c r="AJ24">
        <v>7</v>
      </c>
      <c r="AM24" t="s">
        <v>539</v>
      </c>
      <c r="AN24" t="s">
        <v>1839</v>
      </c>
      <c r="AO24">
        <v>2</v>
      </c>
      <c r="AS24" t="s">
        <v>1139</v>
      </c>
      <c r="AT24" t="s">
        <v>1696</v>
      </c>
      <c r="AU24" s="128">
        <v>73.33</v>
      </c>
      <c r="AX24" t="s">
        <v>685</v>
      </c>
      <c r="AY24" t="s">
        <v>1340</v>
      </c>
      <c r="AZ24">
        <v>8</v>
      </c>
      <c r="BC24" t="s">
        <v>1139</v>
      </c>
      <c r="BD24" t="s">
        <v>1696</v>
      </c>
      <c r="BE24">
        <v>6</v>
      </c>
      <c r="BH24" t="s">
        <v>1139</v>
      </c>
      <c r="BI24" t="s">
        <v>1696</v>
      </c>
      <c r="BJ24">
        <v>2</v>
      </c>
    </row>
    <row r="25" spans="2:62">
      <c r="C25" t="s">
        <v>1096</v>
      </c>
      <c r="D25" t="s">
        <v>1692</v>
      </c>
      <c r="E25" s="128">
        <v>70</v>
      </c>
      <c r="G25">
        <v>9</v>
      </c>
      <c r="H25" t="s">
        <v>580</v>
      </c>
      <c r="I25" t="s">
        <v>1327</v>
      </c>
      <c r="J25">
        <v>8</v>
      </c>
      <c r="M25" t="s">
        <v>394</v>
      </c>
      <c r="N25" t="s">
        <v>1359</v>
      </c>
      <c r="O25">
        <v>6</v>
      </c>
      <c r="Q25">
        <v>9</v>
      </c>
      <c r="R25" t="s">
        <v>1265</v>
      </c>
      <c r="S25" t="s">
        <v>1697</v>
      </c>
      <c r="T25">
        <v>2</v>
      </c>
      <c r="W25">
        <v>9</v>
      </c>
      <c r="X25" t="s">
        <v>869</v>
      </c>
      <c r="Y25" t="s">
        <v>1324</v>
      </c>
      <c r="Z25" s="128">
        <v>73.33</v>
      </c>
      <c r="AC25" t="s">
        <v>611</v>
      </c>
      <c r="AD25" t="s">
        <v>1362</v>
      </c>
      <c r="AE25">
        <v>9</v>
      </c>
      <c r="AG25">
        <v>9</v>
      </c>
      <c r="AI25" t="s">
        <v>1685</v>
      </c>
      <c r="AJ25">
        <v>6</v>
      </c>
      <c r="AM25" t="s">
        <v>394</v>
      </c>
      <c r="AN25" t="s">
        <v>1682</v>
      </c>
      <c r="AO25">
        <v>2</v>
      </c>
      <c r="AR25">
        <v>9</v>
      </c>
      <c r="AS25" t="s">
        <v>339</v>
      </c>
      <c r="AT25" t="s">
        <v>1323</v>
      </c>
      <c r="AU25" s="128">
        <v>73</v>
      </c>
      <c r="AX25" t="s">
        <v>580</v>
      </c>
      <c r="AY25" t="s">
        <v>1327</v>
      </c>
      <c r="AZ25">
        <v>8</v>
      </c>
      <c r="BC25" t="s">
        <v>539</v>
      </c>
      <c r="BD25" t="s">
        <v>1603</v>
      </c>
      <c r="BE25">
        <v>6</v>
      </c>
      <c r="BH25" t="s">
        <v>165</v>
      </c>
      <c r="BI25" t="s">
        <v>1667</v>
      </c>
      <c r="BJ25">
        <v>2</v>
      </c>
    </row>
    <row r="26" spans="2:62">
      <c r="B26">
        <v>10</v>
      </c>
      <c r="C26" t="s">
        <v>394</v>
      </c>
      <c r="D26" t="s">
        <v>1359</v>
      </c>
      <c r="E26" s="128">
        <v>69.33</v>
      </c>
      <c r="H26" t="s">
        <v>394</v>
      </c>
      <c r="I26" t="s">
        <v>1359</v>
      </c>
      <c r="J26">
        <v>8</v>
      </c>
      <c r="M26" t="s">
        <v>429</v>
      </c>
      <c r="N26" t="s">
        <v>1394</v>
      </c>
      <c r="O26">
        <v>6</v>
      </c>
      <c r="Q26">
        <v>10</v>
      </c>
      <c r="R26" t="s">
        <v>990</v>
      </c>
      <c r="S26" t="s">
        <v>1698</v>
      </c>
      <c r="T26">
        <v>2</v>
      </c>
      <c r="W26">
        <v>10</v>
      </c>
      <c r="X26" t="s">
        <v>266</v>
      </c>
      <c r="Y26" t="s">
        <v>1350</v>
      </c>
      <c r="Z26" s="128">
        <v>72.67</v>
      </c>
      <c r="AD26" t="s">
        <v>1614</v>
      </c>
      <c r="AE26">
        <v>9</v>
      </c>
      <c r="AN26" t="s">
        <v>1627</v>
      </c>
      <c r="AO26">
        <v>2</v>
      </c>
      <c r="AR26">
        <v>10</v>
      </c>
      <c r="AS26" t="s">
        <v>804</v>
      </c>
      <c r="AT26" t="s">
        <v>1663</v>
      </c>
      <c r="AU26" s="128">
        <v>72.67</v>
      </c>
      <c r="AX26" t="s">
        <v>804</v>
      </c>
      <c r="AY26" t="s">
        <v>1663</v>
      </c>
      <c r="AZ26">
        <v>8</v>
      </c>
      <c r="BC26" t="s">
        <v>394</v>
      </c>
      <c r="BD26" t="s">
        <v>1359</v>
      </c>
      <c r="BE26">
        <v>6</v>
      </c>
      <c r="BH26" t="s">
        <v>685</v>
      </c>
      <c r="BI26" t="s">
        <v>1674</v>
      </c>
      <c r="BJ26">
        <v>2</v>
      </c>
    </row>
    <row r="28" spans="2:62">
      <c r="B28" s="1084" t="s">
        <v>1612</v>
      </c>
      <c r="C28" s="1085"/>
      <c r="D28" s="1085"/>
      <c r="E28" s="1086"/>
      <c r="G28" s="1084" t="s">
        <v>1611</v>
      </c>
      <c r="H28" s="1085"/>
      <c r="I28" s="1085"/>
      <c r="J28" s="1086"/>
      <c r="L28" s="1084" t="s">
        <v>1699</v>
      </c>
      <c r="M28" s="1085"/>
      <c r="N28" s="1085"/>
      <c r="O28" s="1086"/>
      <c r="Q28" s="1084" t="s">
        <v>1700</v>
      </c>
      <c r="R28" s="1085"/>
      <c r="S28" s="1085"/>
      <c r="T28" s="1086"/>
      <c r="W28" s="1084" t="s">
        <v>1612</v>
      </c>
      <c r="X28" s="1085"/>
      <c r="Y28" s="1085"/>
      <c r="Z28" s="1086"/>
      <c r="AB28" s="1084" t="s">
        <v>1611</v>
      </c>
      <c r="AC28" s="1085"/>
      <c r="AD28" s="1085"/>
      <c r="AE28" s="1086"/>
      <c r="AG28" s="1084" t="s">
        <v>1699</v>
      </c>
      <c r="AH28" s="1085"/>
      <c r="AI28" s="1085"/>
      <c r="AJ28" s="1086"/>
      <c r="AL28" s="1084" t="s">
        <v>1700</v>
      </c>
      <c r="AM28" s="1085"/>
      <c r="AN28" s="1085"/>
      <c r="AO28" s="1086"/>
      <c r="AR28" s="1084" t="s">
        <v>1612</v>
      </c>
      <c r="AS28" s="1085"/>
      <c r="AT28" s="1085"/>
      <c r="AU28" s="1086"/>
      <c r="AW28" s="1084" t="s">
        <v>1611</v>
      </c>
      <c r="AX28" s="1085"/>
      <c r="AY28" s="1085"/>
      <c r="AZ28" s="1086"/>
      <c r="BB28" s="1084" t="s">
        <v>1699</v>
      </c>
      <c r="BC28" s="1085"/>
      <c r="BD28" s="1085"/>
      <c r="BE28" s="1086"/>
      <c r="BG28" s="1084" t="s">
        <v>1700</v>
      </c>
      <c r="BH28" s="1085"/>
      <c r="BI28" s="1085"/>
      <c r="BJ28" s="1086"/>
    </row>
    <row r="29" spans="2:62" s="141" customFormat="1">
      <c r="B29" s="359"/>
      <c r="C29" s="360" t="s">
        <v>8</v>
      </c>
      <c r="D29" s="360" t="s">
        <v>1314</v>
      </c>
      <c r="E29" s="360" t="s">
        <v>164</v>
      </c>
      <c r="G29" s="359"/>
      <c r="H29" s="360" t="s">
        <v>8</v>
      </c>
      <c r="I29" s="360" t="s">
        <v>1314</v>
      </c>
      <c r="J29" s="360" t="s">
        <v>164</v>
      </c>
      <c r="L29" s="359"/>
      <c r="M29" s="360" t="s">
        <v>8</v>
      </c>
      <c r="N29" s="360" t="s">
        <v>1314</v>
      </c>
      <c r="O29" s="360" t="s">
        <v>164</v>
      </c>
      <c r="Q29" s="359"/>
      <c r="R29" s="360" t="s">
        <v>8</v>
      </c>
      <c r="S29" s="360" t="s">
        <v>1314</v>
      </c>
      <c r="T29" s="359" t="s">
        <v>164</v>
      </c>
      <c r="W29" s="359"/>
      <c r="X29" s="360" t="s">
        <v>8</v>
      </c>
      <c r="Y29" s="360" t="s">
        <v>1314</v>
      </c>
      <c r="Z29" s="360" t="s">
        <v>164</v>
      </c>
      <c r="AB29" s="359"/>
      <c r="AC29" s="360" t="s">
        <v>8</v>
      </c>
      <c r="AD29" s="360" t="s">
        <v>1314</v>
      </c>
      <c r="AE29" s="360" t="s">
        <v>164</v>
      </c>
      <c r="AG29" s="359"/>
      <c r="AH29" s="360" t="s">
        <v>8</v>
      </c>
      <c r="AI29" s="360" t="s">
        <v>1314</v>
      </c>
      <c r="AJ29" s="360" t="s">
        <v>164</v>
      </c>
      <c r="AL29" s="359"/>
      <c r="AM29" s="360" t="s">
        <v>8</v>
      </c>
      <c r="AN29" s="360" t="s">
        <v>1314</v>
      </c>
      <c r="AO29" s="359" t="s">
        <v>164</v>
      </c>
      <c r="AR29" s="359"/>
      <c r="AS29" s="360" t="s">
        <v>8</v>
      </c>
      <c r="AT29" s="360" t="s">
        <v>1314</v>
      </c>
      <c r="AU29" s="360" t="s">
        <v>164</v>
      </c>
      <c r="AW29" s="359"/>
      <c r="AX29" s="360" t="s">
        <v>8</v>
      </c>
      <c r="AY29" s="360" t="s">
        <v>1314</v>
      </c>
      <c r="AZ29" s="360" t="s">
        <v>164</v>
      </c>
      <c r="BB29" s="359"/>
      <c r="BC29" s="360" t="s">
        <v>8</v>
      </c>
      <c r="BD29" s="360" t="s">
        <v>1314</v>
      </c>
      <c r="BE29" s="360" t="s">
        <v>164</v>
      </c>
      <c r="BG29" s="359"/>
      <c r="BH29" s="360" t="s">
        <v>8</v>
      </c>
      <c r="BI29" s="360" t="s">
        <v>1314</v>
      </c>
      <c r="BJ29" s="359" t="s">
        <v>164</v>
      </c>
    </row>
    <row r="30" spans="2:62" s="119" customFormat="1" ht="19">
      <c r="B30" s="119">
        <v>1</v>
      </c>
      <c r="C30" s="511" t="s">
        <v>1229</v>
      </c>
      <c r="D30" s="511" t="s">
        <v>1701</v>
      </c>
      <c r="E30" s="511">
        <v>95</v>
      </c>
      <c r="G30" s="119">
        <v>1</v>
      </c>
      <c r="H30" s="511" t="s">
        <v>1229</v>
      </c>
      <c r="I30" s="511" t="s">
        <v>1701</v>
      </c>
      <c r="J30" s="511">
        <v>57</v>
      </c>
      <c r="L30" s="119">
        <v>1</v>
      </c>
      <c r="M30" s="119" t="s">
        <v>300</v>
      </c>
      <c r="N30" s="119" t="s">
        <v>1702</v>
      </c>
      <c r="O30" s="119">
        <v>37</v>
      </c>
      <c r="Q30" s="119">
        <v>1</v>
      </c>
      <c r="R30" s="119" t="s">
        <v>394</v>
      </c>
      <c r="S30" s="119" t="s">
        <v>1372</v>
      </c>
      <c r="T30" s="119">
        <v>26</v>
      </c>
      <c r="W30" s="119">
        <v>1</v>
      </c>
      <c r="X30" s="119" t="s">
        <v>1229</v>
      </c>
      <c r="Y30" s="119" t="s">
        <v>1703</v>
      </c>
      <c r="Z30" s="119">
        <v>81</v>
      </c>
      <c r="AB30" s="119">
        <v>1</v>
      </c>
      <c r="AC30" s="119" t="s">
        <v>502</v>
      </c>
      <c r="AD30" s="119" t="s">
        <v>1704</v>
      </c>
      <c r="AE30" s="119">
        <v>49</v>
      </c>
      <c r="AG30" s="119">
        <v>1</v>
      </c>
      <c r="AH30" s="119" t="s">
        <v>1096</v>
      </c>
      <c r="AI30" s="119" t="s">
        <v>1705</v>
      </c>
      <c r="AJ30" s="119">
        <v>38</v>
      </c>
      <c r="AL30" s="119">
        <v>1</v>
      </c>
      <c r="AM30" s="511" t="s">
        <v>226</v>
      </c>
      <c r="AN30" s="511" t="s">
        <v>1381</v>
      </c>
      <c r="AO30" s="511">
        <v>30</v>
      </c>
      <c r="AR30" s="119">
        <v>1</v>
      </c>
      <c r="AS30" s="119" t="s">
        <v>339</v>
      </c>
      <c r="AT30" s="119" t="s">
        <v>1706</v>
      </c>
      <c r="AU30" s="119">
        <v>86</v>
      </c>
      <c r="AW30" s="119">
        <v>1</v>
      </c>
      <c r="AX30" s="119" t="s">
        <v>463</v>
      </c>
      <c r="AY30" s="119" t="s">
        <v>1707</v>
      </c>
      <c r="AZ30" s="119">
        <v>53</v>
      </c>
      <c r="BB30" s="119">
        <v>1</v>
      </c>
      <c r="BC30" s="511" t="s">
        <v>1025</v>
      </c>
      <c r="BD30" s="511" t="s">
        <v>1351</v>
      </c>
      <c r="BE30" s="511">
        <v>39</v>
      </c>
      <c r="BG30" s="119">
        <v>1</v>
      </c>
      <c r="BH30" s="119" t="s">
        <v>1200</v>
      </c>
      <c r="BI30" s="119" t="s">
        <v>1708</v>
      </c>
      <c r="BJ30" s="119">
        <v>28</v>
      </c>
    </row>
    <row r="31" spans="2:62" ht="19">
      <c r="B31">
        <v>2</v>
      </c>
      <c r="C31" t="s">
        <v>1229</v>
      </c>
      <c r="D31" t="s">
        <v>1703</v>
      </c>
      <c r="E31">
        <v>84</v>
      </c>
      <c r="G31">
        <v>2</v>
      </c>
      <c r="H31" s="505" t="s">
        <v>429</v>
      </c>
      <c r="I31" s="505" t="s">
        <v>1709</v>
      </c>
      <c r="J31" s="505">
        <v>49</v>
      </c>
      <c r="M31" s="119" t="s">
        <v>869</v>
      </c>
      <c r="N31" s="119" t="s">
        <v>1710</v>
      </c>
      <c r="O31" s="119">
        <v>37</v>
      </c>
      <c r="Q31">
        <v>2</v>
      </c>
      <c r="R31" s="506" t="s">
        <v>300</v>
      </c>
      <c r="S31" s="506" t="s">
        <v>1399</v>
      </c>
      <c r="T31" s="506">
        <v>26</v>
      </c>
      <c r="W31">
        <v>2</v>
      </c>
      <c r="X31" t="s">
        <v>1265</v>
      </c>
      <c r="Y31" t="s">
        <v>1693</v>
      </c>
      <c r="Z31">
        <v>78</v>
      </c>
      <c r="AB31">
        <v>2</v>
      </c>
      <c r="AC31" t="s">
        <v>1229</v>
      </c>
      <c r="AD31" t="s">
        <v>1703</v>
      </c>
      <c r="AE31">
        <v>45</v>
      </c>
      <c r="AG31">
        <v>2</v>
      </c>
      <c r="AH31" t="s">
        <v>717</v>
      </c>
      <c r="AI31" t="s">
        <v>1711</v>
      </c>
      <c r="AJ31">
        <v>37</v>
      </c>
      <c r="AL31">
        <v>2</v>
      </c>
      <c r="AM31" t="s">
        <v>429</v>
      </c>
      <c r="AN31" t="s">
        <v>1383</v>
      </c>
      <c r="AO31">
        <v>28</v>
      </c>
      <c r="AR31">
        <v>2</v>
      </c>
      <c r="AS31" t="s">
        <v>1229</v>
      </c>
      <c r="AT31" t="s">
        <v>1712</v>
      </c>
      <c r="AU31">
        <v>85</v>
      </c>
      <c r="AW31">
        <v>2</v>
      </c>
      <c r="AX31" t="s">
        <v>1096</v>
      </c>
      <c r="AY31" t="s">
        <v>1713</v>
      </c>
      <c r="AZ31">
        <v>46</v>
      </c>
      <c r="BB31">
        <v>2</v>
      </c>
      <c r="BC31" t="s">
        <v>903</v>
      </c>
      <c r="BD31" t="s">
        <v>1695</v>
      </c>
      <c r="BE31">
        <v>37</v>
      </c>
      <c r="BH31" s="124" t="s">
        <v>165</v>
      </c>
      <c r="BI31" s="124" t="s">
        <v>1714</v>
      </c>
      <c r="BJ31" s="124">
        <v>28</v>
      </c>
    </row>
    <row r="32" spans="2:62">
      <c r="B32">
        <v>3</v>
      </c>
      <c r="C32" s="505" t="s">
        <v>266</v>
      </c>
      <c r="D32" s="505" t="s">
        <v>1715</v>
      </c>
      <c r="E32" s="505">
        <v>82</v>
      </c>
      <c r="G32">
        <v>3</v>
      </c>
      <c r="H32" t="s">
        <v>717</v>
      </c>
      <c r="I32" t="s">
        <v>1716</v>
      </c>
      <c r="J32">
        <v>45</v>
      </c>
      <c r="L32">
        <v>3</v>
      </c>
      <c r="M32" t="s">
        <v>717</v>
      </c>
      <c r="N32" t="s">
        <v>1711</v>
      </c>
      <c r="O32">
        <v>36</v>
      </c>
      <c r="Q32">
        <v>3</v>
      </c>
      <c r="R32" t="s">
        <v>502</v>
      </c>
      <c r="S32" t="s">
        <v>1717</v>
      </c>
      <c r="T32">
        <v>25</v>
      </c>
      <c r="W32">
        <v>3</v>
      </c>
      <c r="X32" t="s">
        <v>165</v>
      </c>
      <c r="Y32" t="s">
        <v>1667</v>
      </c>
      <c r="Z32">
        <v>76</v>
      </c>
      <c r="AB32">
        <v>3</v>
      </c>
      <c r="AC32" t="s">
        <v>903</v>
      </c>
      <c r="AD32" t="s">
        <v>1718</v>
      </c>
      <c r="AE32">
        <v>43</v>
      </c>
      <c r="AG32">
        <v>3</v>
      </c>
      <c r="AH32" t="s">
        <v>1265</v>
      </c>
      <c r="AI32" t="s">
        <v>1697</v>
      </c>
      <c r="AJ32">
        <v>36</v>
      </c>
      <c r="AL32">
        <v>3</v>
      </c>
      <c r="AM32" t="s">
        <v>266</v>
      </c>
      <c r="AN32" t="s">
        <v>1410</v>
      </c>
      <c r="AO32">
        <v>27</v>
      </c>
      <c r="AR32">
        <v>3</v>
      </c>
      <c r="AS32" t="s">
        <v>650</v>
      </c>
      <c r="AT32" t="s">
        <v>1856</v>
      </c>
      <c r="AU32">
        <v>84</v>
      </c>
      <c r="AX32" t="s">
        <v>685</v>
      </c>
      <c r="AY32" t="s">
        <v>1720</v>
      </c>
      <c r="AZ32">
        <v>46</v>
      </c>
      <c r="BB32">
        <v>3</v>
      </c>
      <c r="BC32" t="s">
        <v>580</v>
      </c>
      <c r="BD32" t="s">
        <v>1721</v>
      </c>
      <c r="BE32">
        <v>36</v>
      </c>
      <c r="BG32">
        <v>3</v>
      </c>
      <c r="BH32" t="s">
        <v>804</v>
      </c>
      <c r="BI32" t="s">
        <v>1369</v>
      </c>
      <c r="BJ32">
        <v>27</v>
      </c>
    </row>
    <row r="33" spans="2:62">
      <c r="B33">
        <v>4</v>
      </c>
      <c r="C33" t="s">
        <v>1229</v>
      </c>
      <c r="D33" t="s">
        <v>1712</v>
      </c>
      <c r="E33">
        <v>80</v>
      </c>
      <c r="G33">
        <v>4</v>
      </c>
      <c r="H33" t="s">
        <v>685</v>
      </c>
      <c r="I33" t="s">
        <v>1722</v>
      </c>
      <c r="J33">
        <v>44</v>
      </c>
      <c r="L33">
        <v>4</v>
      </c>
      <c r="M33" t="s">
        <v>1200</v>
      </c>
      <c r="N33" t="s">
        <v>1723</v>
      </c>
      <c r="O33">
        <v>35</v>
      </c>
      <c r="Q33">
        <v>4</v>
      </c>
      <c r="R33" t="s">
        <v>717</v>
      </c>
      <c r="S33" t="s">
        <v>1370</v>
      </c>
      <c r="T33">
        <v>25</v>
      </c>
      <c r="W33">
        <v>4</v>
      </c>
      <c r="X33" t="s">
        <v>1229</v>
      </c>
      <c r="Y33" t="s">
        <v>1701</v>
      </c>
      <c r="Z33">
        <v>74</v>
      </c>
      <c r="AC33" t="s">
        <v>463</v>
      </c>
      <c r="AD33" t="s">
        <v>1724</v>
      </c>
      <c r="AE33">
        <v>43</v>
      </c>
      <c r="AH33" t="s">
        <v>835</v>
      </c>
      <c r="AI33" t="s">
        <v>1725</v>
      </c>
      <c r="AJ33">
        <v>36</v>
      </c>
      <c r="AM33" t="s">
        <v>300</v>
      </c>
      <c r="AN33" t="s">
        <v>1399</v>
      </c>
      <c r="AO33">
        <v>27</v>
      </c>
      <c r="AR33">
        <v>4</v>
      </c>
      <c r="AS33" t="s">
        <v>463</v>
      </c>
      <c r="AT33" t="s">
        <v>1707</v>
      </c>
      <c r="AU33">
        <v>79</v>
      </c>
      <c r="AW33">
        <v>4</v>
      </c>
      <c r="AX33" t="s">
        <v>394</v>
      </c>
      <c r="AY33" t="s">
        <v>1726</v>
      </c>
      <c r="AZ33">
        <v>45</v>
      </c>
      <c r="BC33" t="s">
        <v>1062</v>
      </c>
      <c r="BD33" t="s">
        <v>1683</v>
      </c>
      <c r="BE33">
        <v>36</v>
      </c>
      <c r="BH33" t="s">
        <v>1062</v>
      </c>
      <c r="BI33" t="s">
        <v>1727</v>
      </c>
      <c r="BJ33">
        <v>27</v>
      </c>
    </row>
    <row r="34" spans="2:62">
      <c r="B34">
        <v>5</v>
      </c>
      <c r="C34" t="s">
        <v>611</v>
      </c>
      <c r="D34" s="505" t="s">
        <v>1362</v>
      </c>
      <c r="E34">
        <v>78</v>
      </c>
      <c r="H34" t="s">
        <v>1229</v>
      </c>
      <c r="I34" t="s">
        <v>1712</v>
      </c>
      <c r="J34">
        <v>44</v>
      </c>
      <c r="L34">
        <v>5</v>
      </c>
      <c r="M34" t="s">
        <v>1025</v>
      </c>
      <c r="N34" t="s">
        <v>1728</v>
      </c>
      <c r="O34">
        <v>33</v>
      </c>
      <c r="Q34">
        <v>5</v>
      </c>
      <c r="R34" s="505" t="s">
        <v>1062</v>
      </c>
      <c r="S34" s="505" t="s">
        <v>1727</v>
      </c>
      <c r="T34" s="505">
        <v>24</v>
      </c>
      <c r="X34" t="s">
        <v>1229</v>
      </c>
      <c r="Y34" t="s">
        <v>1712</v>
      </c>
      <c r="Z34">
        <v>74</v>
      </c>
      <c r="AC34" t="s">
        <v>650</v>
      </c>
      <c r="AD34" t="s">
        <v>1729</v>
      </c>
      <c r="AE34">
        <v>43</v>
      </c>
      <c r="AG34">
        <v>5</v>
      </c>
      <c r="AH34" t="s">
        <v>717</v>
      </c>
      <c r="AI34" t="s">
        <v>1730</v>
      </c>
      <c r="AJ34">
        <v>35</v>
      </c>
      <c r="AM34" t="s">
        <v>539</v>
      </c>
      <c r="AN34" t="s">
        <v>1406</v>
      </c>
      <c r="AO34">
        <v>27</v>
      </c>
      <c r="AR34">
        <v>5</v>
      </c>
      <c r="AS34" t="s">
        <v>903</v>
      </c>
      <c r="AT34" t="s">
        <v>1731</v>
      </c>
      <c r="AU34">
        <v>78</v>
      </c>
      <c r="AW34">
        <v>5</v>
      </c>
      <c r="AX34" t="s">
        <v>300</v>
      </c>
      <c r="AY34" t="s">
        <v>1732</v>
      </c>
      <c r="AZ34">
        <v>43</v>
      </c>
      <c r="BB34">
        <v>5</v>
      </c>
      <c r="BC34" t="s">
        <v>1096</v>
      </c>
      <c r="BD34" t="s">
        <v>1713</v>
      </c>
      <c r="BE34">
        <v>35</v>
      </c>
      <c r="BG34">
        <v>5</v>
      </c>
      <c r="BH34" t="s">
        <v>1025</v>
      </c>
      <c r="BI34" t="s">
        <v>1733</v>
      </c>
      <c r="BJ34">
        <v>25</v>
      </c>
    </row>
    <row r="35" spans="2:62">
      <c r="B35">
        <v>6</v>
      </c>
      <c r="C35" t="s">
        <v>339</v>
      </c>
      <c r="D35" t="s">
        <v>1706</v>
      </c>
      <c r="E35">
        <v>75</v>
      </c>
      <c r="G35">
        <v>6</v>
      </c>
      <c r="H35" t="s">
        <v>1025</v>
      </c>
      <c r="I35" t="s">
        <v>1728</v>
      </c>
      <c r="J35">
        <v>41</v>
      </c>
      <c r="L35">
        <v>6</v>
      </c>
      <c r="M35" t="s">
        <v>580</v>
      </c>
      <c r="N35" t="s">
        <v>1721</v>
      </c>
      <c r="O35">
        <v>32</v>
      </c>
      <c r="Q35">
        <v>6</v>
      </c>
      <c r="R35" s="505" t="s">
        <v>1171</v>
      </c>
      <c r="S35" s="505" t="s">
        <v>1378</v>
      </c>
      <c r="T35" s="505">
        <v>24</v>
      </c>
      <c r="X35" t="s">
        <v>502</v>
      </c>
      <c r="Y35" t="s">
        <v>1684</v>
      </c>
      <c r="Z35">
        <v>74</v>
      </c>
      <c r="AB35">
        <v>6</v>
      </c>
      <c r="AC35" t="s">
        <v>463</v>
      </c>
      <c r="AD35" t="s">
        <v>1677</v>
      </c>
      <c r="AE35">
        <v>42</v>
      </c>
      <c r="AG35">
        <v>6</v>
      </c>
      <c r="AH35" t="s">
        <v>502</v>
      </c>
      <c r="AI35" t="s">
        <v>1734</v>
      </c>
      <c r="AJ35">
        <v>34</v>
      </c>
      <c r="AM35" t="s">
        <v>952</v>
      </c>
      <c r="AN35" t="s">
        <v>1382</v>
      </c>
      <c r="AO35">
        <v>27</v>
      </c>
      <c r="AR35">
        <v>6</v>
      </c>
      <c r="AS35" t="s">
        <v>394</v>
      </c>
      <c r="AT35" t="s">
        <v>1735</v>
      </c>
      <c r="AU35">
        <v>76</v>
      </c>
      <c r="AX35" t="s">
        <v>990</v>
      </c>
      <c r="AY35" t="s">
        <v>1736</v>
      </c>
      <c r="AZ35">
        <v>43</v>
      </c>
      <c r="BC35" t="s">
        <v>1265</v>
      </c>
      <c r="BD35" t="s">
        <v>1737</v>
      </c>
      <c r="BE35">
        <v>35</v>
      </c>
      <c r="BH35" t="s">
        <v>903</v>
      </c>
      <c r="BI35" t="s">
        <v>1738</v>
      </c>
      <c r="BJ35">
        <v>25</v>
      </c>
    </row>
    <row r="36" spans="2:62">
      <c r="B36">
        <v>7</v>
      </c>
      <c r="C36" t="s">
        <v>300</v>
      </c>
      <c r="D36" t="s">
        <v>1739</v>
      </c>
      <c r="E36">
        <v>74</v>
      </c>
      <c r="H36" t="s">
        <v>539</v>
      </c>
      <c r="I36" t="s">
        <v>1740</v>
      </c>
      <c r="J36">
        <v>41</v>
      </c>
      <c r="L36">
        <v>7</v>
      </c>
      <c r="M36" t="s">
        <v>835</v>
      </c>
      <c r="N36" t="s">
        <v>1741</v>
      </c>
      <c r="O36">
        <v>31</v>
      </c>
      <c r="Q36">
        <v>7</v>
      </c>
      <c r="R36" s="505" t="s">
        <v>1062</v>
      </c>
      <c r="S36" s="505" t="s">
        <v>1407</v>
      </c>
      <c r="T36" s="505">
        <v>24</v>
      </c>
      <c r="X36" t="s">
        <v>226</v>
      </c>
      <c r="Y36" t="s">
        <v>1690</v>
      </c>
      <c r="Z36">
        <v>74</v>
      </c>
      <c r="AB36">
        <v>7</v>
      </c>
      <c r="AC36" t="s">
        <v>539</v>
      </c>
      <c r="AD36" t="s">
        <v>1740</v>
      </c>
      <c r="AE36">
        <v>41</v>
      </c>
      <c r="AH36" t="s">
        <v>1025</v>
      </c>
      <c r="AI36" t="s">
        <v>1742</v>
      </c>
      <c r="AJ36">
        <v>34</v>
      </c>
      <c r="AL36">
        <v>7</v>
      </c>
      <c r="AM36" t="s">
        <v>835</v>
      </c>
      <c r="AN36" t="s">
        <v>1743</v>
      </c>
      <c r="AO36">
        <v>26</v>
      </c>
      <c r="AS36" t="s">
        <v>869</v>
      </c>
      <c r="AT36" t="s">
        <v>1744</v>
      </c>
      <c r="AU36">
        <v>76</v>
      </c>
      <c r="AW36">
        <v>7</v>
      </c>
      <c r="AX36" t="s">
        <v>339</v>
      </c>
      <c r="AY36" t="s">
        <v>1745</v>
      </c>
      <c r="AZ36">
        <v>41</v>
      </c>
      <c r="BB36">
        <v>7</v>
      </c>
      <c r="BC36" t="s">
        <v>650</v>
      </c>
      <c r="BD36" t="s">
        <v>1729</v>
      </c>
      <c r="BE36">
        <v>33</v>
      </c>
      <c r="BH36" t="s">
        <v>804</v>
      </c>
      <c r="BI36" t="s">
        <v>1746</v>
      </c>
      <c r="BJ36">
        <v>25</v>
      </c>
    </row>
    <row r="37" spans="2:62">
      <c r="C37" t="s">
        <v>869</v>
      </c>
      <c r="D37" t="s">
        <v>1747</v>
      </c>
      <c r="E37">
        <v>74</v>
      </c>
      <c r="H37" t="s">
        <v>650</v>
      </c>
      <c r="I37" t="s">
        <v>1729</v>
      </c>
      <c r="J37">
        <v>41</v>
      </c>
      <c r="L37">
        <v>8</v>
      </c>
      <c r="M37" t="s">
        <v>804</v>
      </c>
      <c r="N37" t="s">
        <v>1411</v>
      </c>
      <c r="O37">
        <v>31</v>
      </c>
      <c r="Q37">
        <v>8</v>
      </c>
      <c r="R37" s="505" t="s">
        <v>869</v>
      </c>
      <c r="S37" s="505" t="s">
        <v>1748</v>
      </c>
      <c r="T37" s="505">
        <v>24</v>
      </c>
      <c r="W37">
        <v>8</v>
      </c>
      <c r="X37" t="s">
        <v>650</v>
      </c>
      <c r="Y37" t="s">
        <v>1680</v>
      </c>
      <c r="Z37">
        <v>73</v>
      </c>
      <c r="AC37" t="s">
        <v>1265</v>
      </c>
      <c r="AD37" t="s">
        <v>1693</v>
      </c>
      <c r="AE37">
        <v>41</v>
      </c>
      <c r="AH37" t="s">
        <v>1200</v>
      </c>
      <c r="AI37" t="s">
        <v>1723</v>
      </c>
      <c r="AJ37">
        <v>34</v>
      </c>
      <c r="AM37" t="s">
        <v>502</v>
      </c>
      <c r="AN37" t="s">
        <v>1717</v>
      </c>
      <c r="AO37">
        <v>26</v>
      </c>
      <c r="AR37">
        <v>8</v>
      </c>
      <c r="AS37" t="s">
        <v>580</v>
      </c>
      <c r="AT37" t="s">
        <v>1749</v>
      </c>
      <c r="AU37">
        <v>75</v>
      </c>
      <c r="AX37" t="s">
        <v>804</v>
      </c>
      <c r="AY37" t="s">
        <v>1750</v>
      </c>
      <c r="AZ37">
        <v>41</v>
      </c>
      <c r="BC37" t="s">
        <v>1200</v>
      </c>
      <c r="BD37" t="s">
        <v>1723</v>
      </c>
      <c r="BE37">
        <v>33</v>
      </c>
      <c r="BG37">
        <v>8</v>
      </c>
      <c r="BH37" t="s">
        <v>1139</v>
      </c>
      <c r="BI37" t="s">
        <v>1377</v>
      </c>
      <c r="BJ37">
        <v>24</v>
      </c>
    </row>
    <row r="38" spans="2:62">
      <c r="B38">
        <v>9</v>
      </c>
      <c r="C38" t="s">
        <v>685</v>
      </c>
      <c r="D38" t="s">
        <v>1720</v>
      </c>
      <c r="E38">
        <v>73</v>
      </c>
      <c r="H38" t="s">
        <v>717</v>
      </c>
      <c r="I38" t="s">
        <v>1751</v>
      </c>
      <c r="J38">
        <v>41</v>
      </c>
      <c r="L38">
        <v>9</v>
      </c>
      <c r="M38" t="s">
        <v>339</v>
      </c>
      <c r="N38" t="s">
        <v>1752</v>
      </c>
      <c r="O38">
        <v>29</v>
      </c>
      <c r="Q38">
        <v>9</v>
      </c>
      <c r="R38" s="505" t="s">
        <v>1025</v>
      </c>
      <c r="S38" s="505" t="s">
        <v>1753</v>
      </c>
      <c r="T38" s="505">
        <v>24</v>
      </c>
      <c r="X38" t="s">
        <v>463</v>
      </c>
      <c r="Y38" t="s">
        <v>1724</v>
      </c>
      <c r="Z38">
        <v>73</v>
      </c>
      <c r="AB38">
        <v>9</v>
      </c>
      <c r="AD38" t="s">
        <v>1615</v>
      </c>
      <c r="AE38">
        <v>39</v>
      </c>
      <c r="AG38">
        <v>9</v>
      </c>
      <c r="AI38" t="s">
        <v>1614</v>
      </c>
      <c r="AJ38">
        <v>33</v>
      </c>
      <c r="AL38">
        <v>9</v>
      </c>
      <c r="AN38" t="s">
        <v>1614</v>
      </c>
      <c r="AO38">
        <v>25</v>
      </c>
      <c r="AS38" t="s">
        <v>990</v>
      </c>
      <c r="AT38" t="s">
        <v>1754</v>
      </c>
      <c r="AU38">
        <v>75</v>
      </c>
      <c r="AW38">
        <v>9</v>
      </c>
      <c r="AX38" t="s">
        <v>429</v>
      </c>
      <c r="AY38" t="s">
        <v>1755</v>
      </c>
      <c r="AZ38">
        <v>40</v>
      </c>
      <c r="BB38">
        <v>9</v>
      </c>
      <c r="BC38" t="s">
        <v>580</v>
      </c>
      <c r="BD38" t="s">
        <v>1749</v>
      </c>
      <c r="BE38">
        <v>32</v>
      </c>
      <c r="BH38" t="s">
        <v>394</v>
      </c>
      <c r="BI38" t="s">
        <v>1372</v>
      </c>
      <c r="BJ38">
        <v>24</v>
      </c>
    </row>
    <row r="39" spans="2:62">
      <c r="B39">
        <v>10</v>
      </c>
      <c r="C39" t="s">
        <v>804</v>
      </c>
      <c r="D39" t="s">
        <v>1324</v>
      </c>
      <c r="E39">
        <v>72</v>
      </c>
      <c r="G39">
        <v>10</v>
      </c>
      <c r="H39" t="s">
        <v>1096</v>
      </c>
      <c r="I39" t="s">
        <v>1713</v>
      </c>
      <c r="J39">
        <v>40</v>
      </c>
      <c r="L39">
        <v>10</v>
      </c>
      <c r="M39" t="s">
        <v>539</v>
      </c>
      <c r="N39" t="s">
        <v>1603</v>
      </c>
      <c r="O39">
        <v>29</v>
      </c>
      <c r="Q39">
        <v>10</v>
      </c>
      <c r="R39" s="505" t="s">
        <v>1025</v>
      </c>
      <c r="S39" s="505" t="s">
        <v>1373</v>
      </c>
      <c r="T39" s="505">
        <v>24</v>
      </c>
      <c r="W39">
        <v>10</v>
      </c>
      <c r="X39" t="s">
        <v>770</v>
      </c>
      <c r="Y39" t="s">
        <v>1333</v>
      </c>
      <c r="Z39">
        <v>72</v>
      </c>
      <c r="AR39">
        <v>10</v>
      </c>
      <c r="AS39" t="s">
        <v>502</v>
      </c>
      <c r="AT39" t="s">
        <v>1734</v>
      </c>
      <c r="AU39">
        <v>74</v>
      </c>
      <c r="AY39" t="s">
        <v>1614</v>
      </c>
      <c r="AZ39">
        <v>40</v>
      </c>
      <c r="BC39" t="s">
        <v>650</v>
      </c>
      <c r="BD39" t="s">
        <v>1756</v>
      </c>
      <c r="BE39">
        <v>32</v>
      </c>
      <c r="BH39" t="s">
        <v>463</v>
      </c>
      <c r="BI39" t="s">
        <v>1757</v>
      </c>
      <c r="BJ39">
        <v>24</v>
      </c>
    </row>
    <row r="41" spans="2:62">
      <c r="B41" s="1084" t="s">
        <v>1758</v>
      </c>
      <c r="C41" s="1085"/>
      <c r="D41" s="1085"/>
      <c r="E41" s="1086"/>
      <c r="G41" s="1084" t="s">
        <v>1759</v>
      </c>
      <c r="H41" s="1085"/>
      <c r="I41" s="1085"/>
      <c r="J41" s="1086"/>
      <c r="L41" s="1084" t="s">
        <v>1760</v>
      </c>
      <c r="M41" s="1085"/>
      <c r="N41" s="1085"/>
      <c r="O41" s="1086"/>
      <c r="Q41" s="1084" t="s">
        <v>1761</v>
      </c>
      <c r="R41" s="1085"/>
      <c r="S41" s="1085"/>
      <c r="T41" s="1086"/>
      <c r="W41" s="1084" t="s">
        <v>1758</v>
      </c>
      <c r="X41" s="1085"/>
      <c r="Y41" s="1085"/>
      <c r="Z41" s="1086"/>
      <c r="AB41" s="1084" t="s">
        <v>1759</v>
      </c>
      <c r="AC41" s="1085"/>
      <c r="AD41" s="1085"/>
      <c r="AE41" s="1086"/>
      <c r="AG41" s="1084" t="s">
        <v>1760</v>
      </c>
      <c r="AH41" s="1085"/>
      <c r="AI41" s="1085"/>
      <c r="AJ41" s="1086"/>
      <c r="AL41" s="1084" t="s">
        <v>1761</v>
      </c>
      <c r="AM41" s="1085"/>
      <c r="AN41" s="1085"/>
      <c r="AO41" s="1086"/>
      <c r="AR41" s="1084" t="s">
        <v>1758</v>
      </c>
      <c r="AS41" s="1085"/>
      <c r="AT41" s="1085"/>
      <c r="AU41" s="1086"/>
      <c r="AW41" s="1084" t="s">
        <v>1759</v>
      </c>
      <c r="AX41" s="1085"/>
      <c r="AY41" s="1085"/>
      <c r="AZ41" s="1086"/>
      <c r="BB41" s="1084" t="s">
        <v>1760</v>
      </c>
      <c r="BC41" s="1085"/>
      <c r="BD41" s="1085"/>
      <c r="BE41" s="1086"/>
      <c r="BG41" s="1084" t="s">
        <v>1761</v>
      </c>
      <c r="BH41" s="1085"/>
      <c r="BI41" s="1085"/>
      <c r="BJ41" s="1086"/>
    </row>
    <row r="42" spans="2:62" s="141" customFormat="1">
      <c r="B42" s="359"/>
      <c r="C42" s="360" t="s">
        <v>8</v>
      </c>
      <c r="D42" s="360" t="s">
        <v>1314</v>
      </c>
      <c r="E42" s="360" t="s">
        <v>164</v>
      </c>
      <c r="G42" s="359"/>
      <c r="H42" s="360" t="s">
        <v>8</v>
      </c>
      <c r="I42" s="360" t="s">
        <v>1314</v>
      </c>
      <c r="J42" s="360" t="s">
        <v>164</v>
      </c>
      <c r="L42" s="359"/>
      <c r="M42" s="360" t="s">
        <v>8</v>
      </c>
      <c r="N42" s="360" t="s">
        <v>1314</v>
      </c>
      <c r="O42" s="360" t="s">
        <v>164</v>
      </c>
      <c r="Q42" s="359"/>
      <c r="R42" s="360" t="s">
        <v>8</v>
      </c>
      <c r="S42" s="360" t="s">
        <v>1314</v>
      </c>
      <c r="T42" s="360" t="s">
        <v>164</v>
      </c>
      <c r="W42" s="359"/>
      <c r="X42" s="360" t="s">
        <v>8</v>
      </c>
      <c r="Y42" s="360" t="s">
        <v>1314</v>
      </c>
      <c r="Z42" s="360" t="s">
        <v>164</v>
      </c>
      <c r="AB42" s="359"/>
      <c r="AC42" s="360" t="s">
        <v>8</v>
      </c>
      <c r="AD42" s="360" t="s">
        <v>1314</v>
      </c>
      <c r="AE42" s="360" t="s">
        <v>164</v>
      </c>
      <c r="AG42" s="359"/>
      <c r="AH42" s="360" t="s">
        <v>8</v>
      </c>
      <c r="AI42" s="360" t="s">
        <v>1314</v>
      </c>
      <c r="AJ42" s="360" t="s">
        <v>164</v>
      </c>
      <c r="AL42" s="359"/>
      <c r="AM42" s="360" t="s">
        <v>8</v>
      </c>
      <c r="AN42" s="360" t="s">
        <v>1314</v>
      </c>
      <c r="AO42" s="360" t="s">
        <v>164</v>
      </c>
      <c r="AR42" s="359"/>
      <c r="AS42" s="360" t="s">
        <v>8</v>
      </c>
      <c r="AT42" s="360" t="s">
        <v>1314</v>
      </c>
      <c r="AU42" s="360" t="s">
        <v>164</v>
      </c>
      <c r="AW42" s="359"/>
      <c r="AX42" s="360" t="s">
        <v>8</v>
      </c>
      <c r="AY42" s="360" t="s">
        <v>1314</v>
      </c>
      <c r="AZ42" s="360" t="s">
        <v>164</v>
      </c>
      <c r="BB42" s="359"/>
      <c r="BC42" s="360" t="s">
        <v>8</v>
      </c>
      <c r="BD42" s="360" t="s">
        <v>1314</v>
      </c>
      <c r="BE42" s="360" t="s">
        <v>164</v>
      </c>
      <c r="BG42" s="359"/>
      <c r="BH42" s="360" t="s">
        <v>8</v>
      </c>
      <c r="BI42" s="360" t="s">
        <v>1314</v>
      </c>
      <c r="BJ42" s="360" t="s">
        <v>164</v>
      </c>
    </row>
    <row r="43" spans="2:62" s="119" customFormat="1" ht="19">
      <c r="B43" s="119">
        <v>1</v>
      </c>
      <c r="C43" s="119" t="s">
        <v>804</v>
      </c>
      <c r="D43" s="119" t="s">
        <v>1369</v>
      </c>
      <c r="E43" s="119">
        <v>12</v>
      </c>
      <c r="G43" s="119">
        <v>1</v>
      </c>
      <c r="H43" s="119" t="s">
        <v>717</v>
      </c>
      <c r="I43" s="119" t="s">
        <v>1370</v>
      </c>
      <c r="J43" s="121">
        <v>0.98792535675082338</v>
      </c>
      <c r="L43" s="119">
        <v>1</v>
      </c>
      <c r="M43" s="119" t="s">
        <v>717</v>
      </c>
      <c r="N43" s="119" t="s">
        <v>1370</v>
      </c>
      <c r="O43" s="121">
        <v>0.65861690450054888</v>
      </c>
      <c r="Q43" s="119">
        <v>1</v>
      </c>
      <c r="R43" s="119" t="s">
        <v>1062</v>
      </c>
      <c r="S43" s="119" t="s">
        <v>1727</v>
      </c>
      <c r="T43" s="119">
        <v>49</v>
      </c>
      <c r="W43" s="119">
        <v>1</v>
      </c>
      <c r="X43" s="511" t="s">
        <v>266</v>
      </c>
      <c r="Y43" s="511" t="s">
        <v>1410</v>
      </c>
      <c r="Z43" s="511">
        <v>15</v>
      </c>
      <c r="AB43" s="119">
        <v>1</v>
      </c>
      <c r="AC43" s="506" t="s">
        <v>1025</v>
      </c>
      <c r="AD43" s="506" t="s">
        <v>1373</v>
      </c>
      <c r="AE43" s="527">
        <v>0.34</v>
      </c>
      <c r="AG43" s="119">
        <v>1</v>
      </c>
      <c r="AH43" s="511" t="s">
        <v>266</v>
      </c>
      <c r="AI43" s="511" t="s">
        <v>1762</v>
      </c>
      <c r="AJ43" s="528">
        <v>0.63</v>
      </c>
      <c r="AL43" s="119">
        <v>1</v>
      </c>
      <c r="AM43" s="511" t="s">
        <v>1062</v>
      </c>
      <c r="AN43" s="511" t="s">
        <v>1727</v>
      </c>
      <c r="AO43" s="511">
        <v>52</v>
      </c>
      <c r="AR43" s="119">
        <v>1</v>
      </c>
      <c r="AS43" s="119" t="s">
        <v>1171</v>
      </c>
      <c r="AT43" s="119" t="s">
        <v>1378</v>
      </c>
      <c r="AU43" s="119">
        <v>13</v>
      </c>
      <c r="AW43" s="119">
        <v>1</v>
      </c>
      <c r="AX43" s="511" t="s">
        <v>394</v>
      </c>
      <c r="AY43" s="511" t="s">
        <v>1372</v>
      </c>
      <c r="AZ43" s="528">
        <v>0.33</v>
      </c>
      <c r="BB43" s="119">
        <v>1</v>
      </c>
      <c r="BC43" s="119" t="s">
        <v>1200</v>
      </c>
      <c r="BD43" s="119" t="s">
        <v>1763</v>
      </c>
      <c r="BE43" s="121">
        <v>0.75</v>
      </c>
      <c r="BG43" s="119">
        <v>1</v>
      </c>
      <c r="BH43" s="511" t="s">
        <v>1062</v>
      </c>
      <c r="BI43" s="511" t="s">
        <v>1727</v>
      </c>
      <c r="BJ43" s="511">
        <v>52</v>
      </c>
    </row>
    <row r="44" spans="2:62" ht="19">
      <c r="B44">
        <v>2</v>
      </c>
      <c r="C44" s="505" t="s">
        <v>394</v>
      </c>
      <c r="D44" s="505" t="s">
        <v>1372</v>
      </c>
      <c r="E44" s="505">
        <v>11</v>
      </c>
      <c r="G44">
        <v>2</v>
      </c>
      <c r="H44" s="505" t="s">
        <v>1265</v>
      </c>
      <c r="I44" s="505" t="s">
        <v>1764</v>
      </c>
      <c r="J44" s="507">
        <v>1.2459621596677433</v>
      </c>
      <c r="L44">
        <v>2</v>
      </c>
      <c r="M44" s="505" t="s">
        <v>1062</v>
      </c>
      <c r="N44" s="505" t="s">
        <v>1407</v>
      </c>
      <c r="O44" s="507">
        <v>0.81807557460070113</v>
      </c>
      <c r="Q44">
        <v>2</v>
      </c>
      <c r="R44" s="505" t="s">
        <v>339</v>
      </c>
      <c r="S44" s="505" t="s">
        <v>1765</v>
      </c>
      <c r="T44" s="505">
        <v>48</v>
      </c>
      <c r="X44" s="511" t="s">
        <v>226</v>
      </c>
      <c r="Y44" s="511" t="s">
        <v>1381</v>
      </c>
      <c r="Z44" s="511">
        <v>15</v>
      </c>
      <c r="AB44">
        <v>2</v>
      </c>
      <c r="AC44" t="s">
        <v>394</v>
      </c>
      <c r="AD44" t="s">
        <v>1372</v>
      </c>
      <c r="AE44" s="123">
        <v>0.83</v>
      </c>
      <c r="AG44">
        <v>2</v>
      </c>
      <c r="AH44" t="s">
        <v>952</v>
      </c>
      <c r="AI44" t="s">
        <v>1382</v>
      </c>
      <c r="AJ44" s="123">
        <v>0.69</v>
      </c>
      <c r="AL44">
        <v>2</v>
      </c>
      <c r="AM44" t="s">
        <v>611</v>
      </c>
      <c r="AN44" t="s">
        <v>1766</v>
      </c>
      <c r="AO44">
        <v>49</v>
      </c>
      <c r="AS44" s="119" t="s">
        <v>1062</v>
      </c>
      <c r="AT44" s="119" t="s">
        <v>1407</v>
      </c>
      <c r="AU44" s="119">
        <v>13</v>
      </c>
      <c r="AW44">
        <v>2</v>
      </c>
      <c r="AX44" t="s">
        <v>502</v>
      </c>
      <c r="AY44" t="s">
        <v>1767</v>
      </c>
      <c r="AZ44" s="123">
        <v>1.2</v>
      </c>
      <c r="BB44">
        <v>2</v>
      </c>
      <c r="BC44" t="s">
        <v>300</v>
      </c>
      <c r="BD44" t="s">
        <v>1768</v>
      </c>
      <c r="BE44" s="123">
        <v>0.86</v>
      </c>
      <c r="BG44">
        <v>2</v>
      </c>
      <c r="BH44" t="s">
        <v>804</v>
      </c>
      <c r="BI44" t="s">
        <v>1369</v>
      </c>
      <c r="BJ44">
        <v>51</v>
      </c>
    </row>
    <row r="45" spans="2:62" ht="19">
      <c r="B45">
        <v>3</v>
      </c>
      <c r="C45" s="505" t="s">
        <v>429</v>
      </c>
      <c r="D45" s="505" t="s">
        <v>1383</v>
      </c>
      <c r="E45" s="505">
        <v>11</v>
      </c>
      <c r="G45">
        <v>3</v>
      </c>
      <c r="H45" t="s">
        <v>804</v>
      </c>
      <c r="I45" t="s">
        <v>1769</v>
      </c>
      <c r="J45" s="123">
        <v>1.3062409288824381</v>
      </c>
      <c r="L45">
        <v>3</v>
      </c>
      <c r="M45" t="s">
        <v>539</v>
      </c>
      <c r="N45" t="s">
        <v>1406</v>
      </c>
      <c r="O45" s="123">
        <v>0.83333333333333337</v>
      </c>
      <c r="Q45">
        <v>3</v>
      </c>
      <c r="R45" t="s">
        <v>717</v>
      </c>
      <c r="S45" t="s">
        <v>1370</v>
      </c>
      <c r="T45">
        <v>46</v>
      </c>
      <c r="W45">
        <v>3</v>
      </c>
      <c r="X45" t="s">
        <v>429</v>
      </c>
      <c r="Y45" t="s">
        <v>1383</v>
      </c>
      <c r="Z45">
        <v>12</v>
      </c>
      <c r="AB45">
        <v>3</v>
      </c>
      <c r="AC45" t="s">
        <v>650</v>
      </c>
      <c r="AD45" t="s">
        <v>1770</v>
      </c>
      <c r="AE45" s="123">
        <v>0.92</v>
      </c>
      <c r="AH45" t="s">
        <v>394</v>
      </c>
      <c r="AI45" t="s">
        <v>1372</v>
      </c>
      <c r="AJ45" s="123">
        <v>0.69</v>
      </c>
      <c r="AL45">
        <v>3</v>
      </c>
      <c r="AM45" t="s">
        <v>835</v>
      </c>
      <c r="AN45" t="s">
        <v>1393</v>
      </c>
      <c r="AO45">
        <v>45</v>
      </c>
      <c r="AS45" s="119" t="s">
        <v>1200</v>
      </c>
      <c r="AT45" s="119" t="s">
        <v>1708</v>
      </c>
      <c r="AU45" s="119">
        <v>13</v>
      </c>
      <c r="AW45">
        <v>3</v>
      </c>
      <c r="AX45" t="s">
        <v>770</v>
      </c>
      <c r="AY45" t="s">
        <v>1375</v>
      </c>
      <c r="AZ45" s="123">
        <v>1.33</v>
      </c>
      <c r="BB45">
        <v>3</v>
      </c>
      <c r="BC45" t="s">
        <v>869</v>
      </c>
      <c r="BD45" t="s">
        <v>1403</v>
      </c>
      <c r="BE45" s="123">
        <v>0.92</v>
      </c>
      <c r="BG45">
        <v>3</v>
      </c>
      <c r="BH45" t="s">
        <v>835</v>
      </c>
      <c r="BI45" t="s">
        <v>1393</v>
      </c>
      <c r="BJ45">
        <v>46</v>
      </c>
    </row>
    <row r="46" spans="2:62">
      <c r="B46">
        <v>4</v>
      </c>
      <c r="C46" s="505" t="s">
        <v>611</v>
      </c>
      <c r="D46" s="505" t="s">
        <v>1771</v>
      </c>
      <c r="E46" s="505">
        <v>11</v>
      </c>
      <c r="G46">
        <v>4</v>
      </c>
      <c r="H46" t="s">
        <v>394</v>
      </c>
      <c r="I46" t="s">
        <v>1372</v>
      </c>
      <c r="J46" s="123">
        <v>1.5166835187057632</v>
      </c>
      <c r="L46">
        <v>4</v>
      </c>
      <c r="M46" t="s">
        <v>804</v>
      </c>
      <c r="N46" t="s">
        <v>1746</v>
      </c>
      <c r="O46" s="123">
        <v>0.82772891877909993</v>
      </c>
      <c r="Q46">
        <v>4</v>
      </c>
      <c r="R46" t="s">
        <v>804</v>
      </c>
      <c r="S46" t="s">
        <v>1369</v>
      </c>
      <c r="T46">
        <v>44</v>
      </c>
      <c r="W46">
        <v>4</v>
      </c>
      <c r="X46" t="s">
        <v>952</v>
      </c>
      <c r="Y46" t="s">
        <v>1382</v>
      </c>
      <c r="Z46">
        <v>11</v>
      </c>
      <c r="AB46">
        <v>4</v>
      </c>
      <c r="AC46" t="s">
        <v>1200</v>
      </c>
      <c r="AD46" t="s">
        <v>1391</v>
      </c>
      <c r="AE46">
        <v>1.1599999999999999</v>
      </c>
      <c r="AG46">
        <v>4</v>
      </c>
      <c r="AH46" t="s">
        <v>770</v>
      </c>
      <c r="AI46" t="s">
        <v>1772</v>
      </c>
      <c r="AJ46" s="123">
        <v>0.76</v>
      </c>
      <c r="AM46" t="s">
        <v>226</v>
      </c>
      <c r="AN46" t="s">
        <v>1381</v>
      </c>
      <c r="AO46">
        <v>45</v>
      </c>
      <c r="AR46">
        <v>4</v>
      </c>
      <c r="AS46" t="s">
        <v>580</v>
      </c>
      <c r="AT46" t="s">
        <v>1387</v>
      </c>
      <c r="AU46">
        <v>12</v>
      </c>
      <c r="AW46">
        <v>4</v>
      </c>
      <c r="AX46" t="s">
        <v>1200</v>
      </c>
      <c r="AY46" t="s">
        <v>1763</v>
      </c>
      <c r="AZ46" s="123">
        <v>1.35</v>
      </c>
      <c r="BB46">
        <v>4</v>
      </c>
      <c r="BC46" t="s">
        <v>770</v>
      </c>
      <c r="BD46" t="s">
        <v>1375</v>
      </c>
      <c r="BE46" s="123">
        <v>0.93</v>
      </c>
      <c r="BG46">
        <v>4</v>
      </c>
      <c r="BH46" t="s">
        <v>266</v>
      </c>
      <c r="BI46" t="s">
        <v>1410</v>
      </c>
      <c r="BJ46">
        <v>45</v>
      </c>
    </row>
    <row r="47" spans="2:62">
      <c r="B47">
        <v>5</v>
      </c>
      <c r="C47" s="505" t="s">
        <v>1171</v>
      </c>
      <c r="D47" s="505" t="s">
        <v>1378</v>
      </c>
      <c r="E47" s="505">
        <v>10</v>
      </c>
      <c r="G47">
        <v>5</v>
      </c>
      <c r="H47" t="s">
        <v>1062</v>
      </c>
      <c r="I47" t="s">
        <v>1727</v>
      </c>
      <c r="J47" s="123">
        <v>1.6071428571428572</v>
      </c>
      <c r="L47">
        <v>5</v>
      </c>
      <c r="M47" t="s">
        <v>300</v>
      </c>
      <c r="N47" t="s">
        <v>1379</v>
      </c>
      <c r="O47" s="123">
        <v>0.84715848923402759</v>
      </c>
      <c r="Q47">
        <v>5</v>
      </c>
      <c r="R47" t="s">
        <v>1200</v>
      </c>
      <c r="S47" t="s">
        <v>1391</v>
      </c>
      <c r="T47">
        <v>43</v>
      </c>
      <c r="X47" t="s">
        <v>1025</v>
      </c>
      <c r="Y47" t="s">
        <v>1373</v>
      </c>
      <c r="Z47">
        <v>11</v>
      </c>
      <c r="AB47">
        <v>5</v>
      </c>
      <c r="AC47" t="s">
        <v>165</v>
      </c>
      <c r="AD47" t="s">
        <v>1773</v>
      </c>
      <c r="AE47" s="123">
        <v>1.4</v>
      </c>
      <c r="AG47">
        <v>5</v>
      </c>
      <c r="AH47" t="s">
        <v>1200</v>
      </c>
      <c r="AI47" t="s">
        <v>1391</v>
      </c>
      <c r="AJ47" s="123">
        <v>0.81</v>
      </c>
      <c r="AL47">
        <v>5</v>
      </c>
      <c r="AM47" t="s">
        <v>717</v>
      </c>
      <c r="AN47" t="s">
        <v>1774</v>
      </c>
      <c r="AO47">
        <v>42</v>
      </c>
      <c r="AS47" t="s">
        <v>226</v>
      </c>
      <c r="AT47" t="s">
        <v>1775</v>
      </c>
      <c r="AU47">
        <v>12</v>
      </c>
      <c r="AW47">
        <v>5</v>
      </c>
      <c r="AX47" t="s">
        <v>502</v>
      </c>
      <c r="AY47" t="s">
        <v>1384</v>
      </c>
      <c r="AZ47" s="123">
        <v>1.46</v>
      </c>
      <c r="BC47" t="s">
        <v>502</v>
      </c>
      <c r="BD47" t="s">
        <v>1384</v>
      </c>
      <c r="BE47" s="123">
        <v>0.93</v>
      </c>
      <c r="BH47" t="s">
        <v>165</v>
      </c>
      <c r="BI47" t="s">
        <v>1714</v>
      </c>
      <c r="BJ47">
        <v>45</v>
      </c>
    </row>
    <row r="48" spans="2:62">
      <c r="B48">
        <v>6</v>
      </c>
      <c r="C48" s="505" t="s">
        <v>1139</v>
      </c>
      <c r="D48" s="505" t="s">
        <v>1377</v>
      </c>
      <c r="E48" s="505">
        <v>10</v>
      </c>
      <c r="G48">
        <v>6</v>
      </c>
      <c r="H48" t="s">
        <v>394</v>
      </c>
      <c r="I48" t="s">
        <v>1776</v>
      </c>
      <c r="J48" s="123">
        <v>1.741654571843251</v>
      </c>
      <c r="L48">
        <v>6</v>
      </c>
      <c r="M48" t="s">
        <v>804</v>
      </c>
      <c r="N48" t="s">
        <v>1769</v>
      </c>
      <c r="O48" s="123">
        <v>0.8708272859216255</v>
      </c>
      <c r="Q48">
        <v>6</v>
      </c>
      <c r="R48" t="s">
        <v>300</v>
      </c>
      <c r="S48" t="s">
        <v>1379</v>
      </c>
      <c r="T48">
        <v>40</v>
      </c>
      <c r="X48" t="s">
        <v>1171</v>
      </c>
      <c r="Y48" t="s">
        <v>1378</v>
      </c>
      <c r="Z48">
        <v>11</v>
      </c>
      <c r="AB48">
        <v>6</v>
      </c>
      <c r="AC48" t="s">
        <v>952</v>
      </c>
      <c r="AD48" t="s">
        <v>1382</v>
      </c>
      <c r="AE48">
        <v>1.55</v>
      </c>
      <c r="AG48">
        <v>6</v>
      </c>
      <c r="AH48" t="s">
        <v>1025</v>
      </c>
      <c r="AI48" t="s">
        <v>1373</v>
      </c>
      <c r="AJ48" s="123">
        <v>0.82</v>
      </c>
      <c r="AM48" t="s">
        <v>1200</v>
      </c>
      <c r="AN48" t="s">
        <v>1391</v>
      </c>
      <c r="AO48">
        <v>42</v>
      </c>
      <c r="AR48">
        <v>6</v>
      </c>
      <c r="AS48" t="s">
        <v>804</v>
      </c>
      <c r="AT48" t="s">
        <v>1369</v>
      </c>
      <c r="AU48">
        <v>11</v>
      </c>
      <c r="AX48" t="s">
        <v>1265</v>
      </c>
      <c r="AY48" t="s">
        <v>1764</v>
      </c>
      <c r="AZ48" s="123">
        <v>1.46</v>
      </c>
      <c r="BC48" t="s">
        <v>266</v>
      </c>
      <c r="BD48" t="s">
        <v>1410</v>
      </c>
      <c r="BE48" s="123">
        <v>0.93</v>
      </c>
      <c r="BG48">
        <v>6</v>
      </c>
      <c r="BH48" t="s">
        <v>1139</v>
      </c>
      <c r="BI48" t="s">
        <v>1377</v>
      </c>
      <c r="BJ48">
        <v>43</v>
      </c>
    </row>
    <row r="49" spans="2:62">
      <c r="B49">
        <v>7</v>
      </c>
      <c r="C49" s="505" t="s">
        <v>990</v>
      </c>
      <c r="D49" t="s">
        <v>1388</v>
      </c>
      <c r="E49">
        <v>10</v>
      </c>
      <c r="G49">
        <v>7</v>
      </c>
      <c r="H49" t="s">
        <v>394</v>
      </c>
      <c r="I49" t="s">
        <v>1777</v>
      </c>
      <c r="J49" s="123">
        <v>1.741654571843251</v>
      </c>
      <c r="L49">
        <v>7</v>
      </c>
      <c r="M49" t="s">
        <v>1265</v>
      </c>
      <c r="N49" t="s">
        <v>1764</v>
      </c>
      <c r="O49" s="123">
        <v>0.87678818643285639</v>
      </c>
      <c r="Q49">
        <v>7</v>
      </c>
      <c r="R49" t="s">
        <v>1062</v>
      </c>
      <c r="S49" t="s">
        <v>1407</v>
      </c>
      <c r="T49">
        <v>38</v>
      </c>
      <c r="W49">
        <v>7</v>
      </c>
      <c r="X49" t="s">
        <v>1139</v>
      </c>
      <c r="Y49" t="s">
        <v>1377</v>
      </c>
      <c r="Z49">
        <v>10</v>
      </c>
      <c r="AB49">
        <v>7</v>
      </c>
      <c r="AC49" t="s">
        <v>266</v>
      </c>
      <c r="AD49" t="s">
        <v>1762</v>
      </c>
      <c r="AE49" s="123">
        <v>1.56</v>
      </c>
      <c r="AG49">
        <v>7</v>
      </c>
      <c r="AH49" t="s">
        <v>650</v>
      </c>
      <c r="AI49" t="s">
        <v>1770</v>
      </c>
      <c r="AJ49" s="123">
        <v>0.86</v>
      </c>
      <c r="AL49">
        <v>7</v>
      </c>
      <c r="AM49" t="s">
        <v>1096</v>
      </c>
      <c r="AN49" t="s">
        <v>1778</v>
      </c>
      <c r="AO49">
        <v>41</v>
      </c>
      <c r="AS49" t="s">
        <v>539</v>
      </c>
      <c r="AT49" t="s">
        <v>1406</v>
      </c>
      <c r="AU49">
        <v>11</v>
      </c>
      <c r="AW49">
        <v>7</v>
      </c>
      <c r="AX49" t="s">
        <v>835</v>
      </c>
      <c r="AY49" t="s">
        <v>1393</v>
      </c>
      <c r="AZ49" s="123">
        <v>1.63</v>
      </c>
      <c r="BB49">
        <v>7</v>
      </c>
      <c r="BC49" t="s">
        <v>835</v>
      </c>
      <c r="BD49" t="s">
        <v>1393</v>
      </c>
      <c r="BE49" s="123">
        <v>0.94</v>
      </c>
      <c r="BG49">
        <v>7</v>
      </c>
      <c r="BH49" t="s">
        <v>1200</v>
      </c>
      <c r="BI49" t="s">
        <v>1708</v>
      </c>
      <c r="BJ49">
        <v>42</v>
      </c>
    </row>
    <row r="50" spans="2:62">
      <c r="B50">
        <v>8</v>
      </c>
      <c r="C50" t="s">
        <v>300</v>
      </c>
      <c r="D50" t="s">
        <v>1399</v>
      </c>
      <c r="E50">
        <v>10</v>
      </c>
      <c r="G50">
        <v>8</v>
      </c>
      <c r="H50" t="s">
        <v>869</v>
      </c>
      <c r="I50" t="s">
        <v>1748</v>
      </c>
      <c r="J50" s="123">
        <v>1.8240778273206322</v>
      </c>
      <c r="L50">
        <v>8</v>
      </c>
      <c r="M50" t="s">
        <v>165</v>
      </c>
      <c r="N50" t="s">
        <v>1779</v>
      </c>
      <c r="O50" s="123">
        <v>0.89076418190342244</v>
      </c>
      <c r="Q50">
        <v>8</v>
      </c>
      <c r="R50" t="s">
        <v>226</v>
      </c>
      <c r="S50" t="s">
        <v>1775</v>
      </c>
      <c r="T50">
        <v>37</v>
      </c>
      <c r="X50" t="s">
        <v>835</v>
      </c>
      <c r="Y50" t="s">
        <v>1393</v>
      </c>
      <c r="Z50">
        <v>10</v>
      </c>
      <c r="AB50">
        <v>8</v>
      </c>
      <c r="AC50" t="s">
        <v>1139</v>
      </c>
      <c r="AD50" t="s">
        <v>1780</v>
      </c>
      <c r="AE50" s="123">
        <v>1.8</v>
      </c>
      <c r="AG50">
        <v>8</v>
      </c>
      <c r="AH50" t="s">
        <v>952</v>
      </c>
      <c r="AI50" t="s">
        <v>1412</v>
      </c>
      <c r="AJ50" s="123">
        <v>0.89</v>
      </c>
      <c r="AM50" t="s">
        <v>539</v>
      </c>
      <c r="AN50" t="s">
        <v>1406</v>
      </c>
      <c r="AO50">
        <v>41</v>
      </c>
      <c r="AR50">
        <v>8</v>
      </c>
      <c r="AS50" t="s">
        <v>1139</v>
      </c>
      <c r="AT50" t="s">
        <v>1377</v>
      </c>
      <c r="AU50">
        <v>10</v>
      </c>
      <c r="AW50">
        <v>8</v>
      </c>
      <c r="AX50" t="s">
        <v>804</v>
      </c>
      <c r="AY50" t="s">
        <v>1369</v>
      </c>
      <c r="AZ50" s="123">
        <v>1.74</v>
      </c>
      <c r="BC50" t="s">
        <v>804</v>
      </c>
      <c r="BD50" t="s">
        <v>1369</v>
      </c>
      <c r="BE50" s="123">
        <v>0.94</v>
      </c>
      <c r="BG50">
        <v>8</v>
      </c>
      <c r="BH50" t="s">
        <v>226</v>
      </c>
      <c r="BI50" t="s">
        <v>1404</v>
      </c>
      <c r="BJ50">
        <v>39</v>
      </c>
    </row>
    <row r="51" spans="2:62">
      <c r="B51">
        <v>9</v>
      </c>
      <c r="C51" t="s">
        <v>539</v>
      </c>
      <c r="D51" t="s">
        <v>1406</v>
      </c>
      <c r="E51">
        <v>9</v>
      </c>
      <c r="G51">
        <v>9</v>
      </c>
      <c r="H51" t="s">
        <v>804</v>
      </c>
      <c r="I51" t="s">
        <v>1746</v>
      </c>
      <c r="J51" s="123">
        <v>1.8623900672529747</v>
      </c>
      <c r="L51">
        <v>9</v>
      </c>
      <c r="M51" t="s">
        <v>580</v>
      </c>
      <c r="N51" t="s">
        <v>1387</v>
      </c>
      <c r="O51" s="123">
        <v>0.95833333333333337</v>
      </c>
      <c r="Q51">
        <v>9</v>
      </c>
      <c r="R51" t="s">
        <v>1096</v>
      </c>
      <c r="S51" t="s">
        <v>1778</v>
      </c>
      <c r="T51">
        <v>36</v>
      </c>
      <c r="W51">
        <v>9</v>
      </c>
      <c r="X51" t="s">
        <v>300</v>
      </c>
      <c r="Y51" t="s">
        <v>1399</v>
      </c>
      <c r="Z51">
        <v>9</v>
      </c>
      <c r="AB51">
        <v>9</v>
      </c>
      <c r="AC51" t="s">
        <v>990</v>
      </c>
      <c r="AD51" t="s">
        <v>1388</v>
      </c>
      <c r="AE51">
        <v>1.82</v>
      </c>
      <c r="AG51">
        <v>9</v>
      </c>
      <c r="AH51" t="s">
        <v>1229</v>
      </c>
      <c r="AI51" t="s">
        <v>1781</v>
      </c>
      <c r="AJ51" s="123">
        <v>0.91</v>
      </c>
      <c r="AL51">
        <v>9</v>
      </c>
      <c r="AM51" t="s">
        <v>1062</v>
      </c>
      <c r="AN51" t="s">
        <v>1407</v>
      </c>
      <c r="AO51">
        <v>40</v>
      </c>
      <c r="AR51">
        <v>9</v>
      </c>
      <c r="AS51" t="s">
        <v>770</v>
      </c>
      <c r="AT51" t="s">
        <v>1375</v>
      </c>
      <c r="AU51">
        <v>9</v>
      </c>
      <c r="AX51" t="s">
        <v>717</v>
      </c>
      <c r="AY51" t="s">
        <v>1782</v>
      </c>
      <c r="AZ51" s="123">
        <v>1.74</v>
      </c>
      <c r="BB51">
        <v>9</v>
      </c>
      <c r="BC51" t="s">
        <v>539</v>
      </c>
      <c r="BD51" t="s">
        <v>1406</v>
      </c>
      <c r="BE51" s="123">
        <v>0.95</v>
      </c>
      <c r="BG51">
        <v>9</v>
      </c>
      <c r="BH51" t="s">
        <v>539</v>
      </c>
      <c r="BI51" t="s">
        <v>1406</v>
      </c>
      <c r="BJ51">
        <v>37</v>
      </c>
    </row>
    <row r="52" spans="2:62">
      <c r="B52">
        <v>10</v>
      </c>
      <c r="C52" s="505" t="s">
        <v>1200</v>
      </c>
      <c r="D52" t="s">
        <v>1391</v>
      </c>
      <c r="E52">
        <v>9</v>
      </c>
      <c r="G52">
        <v>10</v>
      </c>
      <c r="H52" t="s">
        <v>580</v>
      </c>
      <c r="I52" t="s">
        <v>1387</v>
      </c>
      <c r="J52" s="123">
        <v>1.875</v>
      </c>
      <c r="L52">
        <v>10</v>
      </c>
      <c r="M52" t="s">
        <v>990</v>
      </c>
      <c r="N52" t="s">
        <v>1388</v>
      </c>
      <c r="O52" s="123">
        <v>0.96</v>
      </c>
      <c r="Q52">
        <v>10</v>
      </c>
      <c r="R52" t="s">
        <v>429</v>
      </c>
      <c r="S52" t="s">
        <v>1383</v>
      </c>
      <c r="T52">
        <v>36</v>
      </c>
      <c r="W52">
        <v>10</v>
      </c>
      <c r="Y52" t="s">
        <v>1627</v>
      </c>
      <c r="Z52">
        <v>8</v>
      </c>
      <c r="AB52">
        <v>10</v>
      </c>
      <c r="AC52" t="s">
        <v>869</v>
      </c>
      <c r="AD52" t="s">
        <v>1403</v>
      </c>
      <c r="AE52">
        <v>1.98</v>
      </c>
      <c r="AG52">
        <v>10</v>
      </c>
      <c r="AH52" t="s">
        <v>539</v>
      </c>
      <c r="AI52" t="s">
        <v>1406</v>
      </c>
      <c r="AJ52" s="123">
        <v>0.92</v>
      </c>
      <c r="AM52" t="s">
        <v>1025</v>
      </c>
      <c r="AN52" t="s">
        <v>1753</v>
      </c>
      <c r="AO52">
        <v>40</v>
      </c>
      <c r="AT52" t="s">
        <v>1627</v>
      </c>
      <c r="AU52">
        <v>9</v>
      </c>
      <c r="AW52">
        <v>10</v>
      </c>
      <c r="AX52" t="s">
        <v>952</v>
      </c>
      <c r="AY52" t="s">
        <v>1412</v>
      </c>
      <c r="AZ52" s="123">
        <v>1.78</v>
      </c>
      <c r="BB52">
        <v>10</v>
      </c>
      <c r="BC52" t="s">
        <v>429</v>
      </c>
      <c r="BD52" t="s">
        <v>2182</v>
      </c>
      <c r="BE52" s="123">
        <v>0.97</v>
      </c>
      <c r="BH52" t="s">
        <v>1062</v>
      </c>
      <c r="BI52" t="s">
        <v>1407</v>
      </c>
      <c r="BJ52">
        <v>37</v>
      </c>
    </row>
    <row r="54" spans="2:62" ht="27">
      <c r="B54" s="1072" t="s">
        <v>1783</v>
      </c>
      <c r="C54" s="1073"/>
      <c r="D54" s="1073"/>
      <c r="E54" s="1073"/>
      <c r="F54" s="1073"/>
      <c r="G54" s="1073"/>
      <c r="H54" s="1073"/>
      <c r="I54" s="1073"/>
      <c r="J54" s="1073"/>
      <c r="K54" s="1073"/>
      <c r="L54" s="1073"/>
      <c r="M54" s="1073"/>
      <c r="N54" s="1073"/>
      <c r="O54" s="1073"/>
      <c r="P54" s="1073"/>
      <c r="Q54" s="1073"/>
      <c r="R54" s="1073"/>
      <c r="S54" s="1073"/>
      <c r="T54" s="1074"/>
      <c r="W54" s="1072" t="s">
        <v>1784</v>
      </c>
      <c r="X54" s="1073"/>
      <c r="Y54" s="1073"/>
      <c r="Z54" s="1073"/>
      <c r="AA54" s="1073"/>
      <c r="AB54" s="1073"/>
      <c r="AC54" s="1073"/>
      <c r="AD54" s="1073"/>
      <c r="AE54" s="1073"/>
      <c r="AF54" s="1073"/>
      <c r="AG54" s="1073"/>
      <c r="AH54" s="1073"/>
      <c r="AI54" s="1073"/>
      <c r="AJ54" s="1073"/>
      <c r="AK54" s="1073"/>
      <c r="AL54" s="1073"/>
      <c r="AM54" s="1073"/>
      <c r="AN54" s="1073"/>
      <c r="AO54" s="1074"/>
      <c r="AR54" s="1072" t="s">
        <v>1785</v>
      </c>
      <c r="AS54" s="1073"/>
      <c r="AT54" s="1073"/>
      <c r="AU54" s="1073"/>
      <c r="AV54" s="1073"/>
      <c r="AW54" s="1073"/>
      <c r="AX54" s="1073"/>
      <c r="AY54" s="1073"/>
      <c r="AZ54" s="1073"/>
      <c r="BA54" s="1073"/>
      <c r="BB54" s="1073"/>
      <c r="BC54" s="1073"/>
      <c r="BD54" s="1073"/>
      <c r="BE54" s="1073"/>
      <c r="BF54" s="1073"/>
      <c r="BG54" s="1073"/>
      <c r="BH54" s="1073"/>
      <c r="BI54" s="1073"/>
      <c r="BJ54" s="1074"/>
    </row>
    <row r="55" spans="2:62">
      <c r="B55" s="1084" t="s">
        <v>1658</v>
      </c>
      <c r="C55" s="1085"/>
      <c r="D55" s="1085"/>
      <c r="E55" s="1086"/>
      <c r="G55" s="1084" t="s">
        <v>1786</v>
      </c>
      <c r="H55" s="1085"/>
      <c r="I55" s="1085"/>
      <c r="J55" s="1086"/>
      <c r="L55" s="1084" t="s">
        <v>1787</v>
      </c>
      <c r="M55" s="1085"/>
      <c r="N55" s="1085"/>
      <c r="O55" s="1086"/>
      <c r="Q55" s="1084" t="s">
        <v>1660</v>
      </c>
      <c r="R55" s="1085"/>
      <c r="S55" s="1085"/>
      <c r="T55" s="1086"/>
      <c r="W55" s="1084" t="s">
        <v>1658</v>
      </c>
      <c r="X55" s="1085"/>
      <c r="Y55" s="1085"/>
      <c r="Z55" s="1086"/>
      <c r="AB55" s="1084" t="s">
        <v>1786</v>
      </c>
      <c r="AC55" s="1085"/>
      <c r="AD55" s="1085"/>
      <c r="AE55" s="1086"/>
      <c r="AG55" s="1084" t="s">
        <v>1787</v>
      </c>
      <c r="AH55" s="1085"/>
      <c r="AI55" s="1085"/>
      <c r="AJ55" s="1086"/>
      <c r="AL55" s="1084" t="s">
        <v>1660</v>
      </c>
      <c r="AM55" s="1085"/>
      <c r="AN55" s="1085"/>
      <c r="AO55" s="1086"/>
      <c r="AR55" s="1084" t="s">
        <v>1658</v>
      </c>
      <c r="AS55" s="1085"/>
      <c r="AT55" s="1085"/>
      <c r="AU55" s="1086"/>
      <c r="AW55" s="1084" t="s">
        <v>1786</v>
      </c>
      <c r="AX55" s="1085"/>
      <c r="AY55" s="1085"/>
      <c r="AZ55" s="1086"/>
      <c r="BB55" s="1084" t="s">
        <v>1787</v>
      </c>
      <c r="BC55" s="1085"/>
      <c r="BD55" s="1085"/>
      <c r="BE55" s="1086"/>
      <c r="BG55" s="1084" t="s">
        <v>1660</v>
      </c>
      <c r="BH55" s="1085"/>
      <c r="BI55" s="1085"/>
      <c r="BJ55" s="1086"/>
    </row>
    <row r="56" spans="2:62" s="361" customFormat="1" ht="19">
      <c r="B56" s="359"/>
      <c r="C56" s="359" t="s">
        <v>8</v>
      </c>
      <c r="D56" s="359" t="s">
        <v>1314</v>
      </c>
      <c r="E56" s="359" t="s">
        <v>164</v>
      </c>
      <c r="F56" s="141"/>
      <c r="G56" s="359"/>
      <c r="H56" s="359" t="s">
        <v>8</v>
      </c>
      <c r="I56" s="359" t="s">
        <v>1314</v>
      </c>
      <c r="J56" s="359" t="s">
        <v>164</v>
      </c>
      <c r="K56" s="141"/>
      <c r="L56" s="359"/>
      <c r="M56" s="359" t="s">
        <v>8</v>
      </c>
      <c r="N56" s="359" t="s">
        <v>1314</v>
      </c>
      <c r="O56" s="359" t="s">
        <v>164</v>
      </c>
      <c r="P56" s="141"/>
      <c r="Q56" s="359"/>
      <c r="R56" s="359" t="s">
        <v>8</v>
      </c>
      <c r="S56" s="359" t="s">
        <v>1314</v>
      </c>
      <c r="T56" s="359" t="s">
        <v>164</v>
      </c>
      <c r="W56" s="359"/>
      <c r="X56" s="359" t="s">
        <v>8</v>
      </c>
      <c r="Y56" s="359" t="s">
        <v>1314</v>
      </c>
      <c r="Z56" s="359" t="s">
        <v>164</v>
      </c>
      <c r="AA56" s="141"/>
      <c r="AB56" s="359"/>
      <c r="AC56" s="359" t="s">
        <v>8</v>
      </c>
      <c r="AD56" s="359" t="s">
        <v>1314</v>
      </c>
      <c r="AE56" s="359" t="s">
        <v>164</v>
      </c>
      <c r="AF56" s="141"/>
      <c r="AG56" s="359"/>
      <c r="AH56" s="359" t="s">
        <v>8</v>
      </c>
      <c r="AI56" s="359" t="s">
        <v>1314</v>
      </c>
      <c r="AJ56" s="359" t="s">
        <v>164</v>
      </c>
      <c r="AK56" s="141"/>
      <c r="AL56" s="359"/>
      <c r="AM56" s="359" t="s">
        <v>8</v>
      </c>
      <c r="AN56" s="359" t="s">
        <v>1314</v>
      </c>
      <c r="AO56" s="359" t="s">
        <v>164</v>
      </c>
      <c r="AR56" s="359"/>
      <c r="AS56" s="359" t="s">
        <v>8</v>
      </c>
      <c r="AT56" s="359" t="s">
        <v>1314</v>
      </c>
      <c r="AU56" s="359" t="s">
        <v>164</v>
      </c>
      <c r="AV56" s="141"/>
      <c r="AW56" s="359"/>
      <c r="AX56" s="359" t="s">
        <v>8</v>
      </c>
      <c r="AY56" s="359" t="s">
        <v>1314</v>
      </c>
      <c r="AZ56" s="359" t="s">
        <v>164</v>
      </c>
      <c r="BA56" s="141"/>
      <c r="BB56" s="359"/>
      <c r="BC56" s="359" t="s">
        <v>8</v>
      </c>
      <c r="BD56" s="359" t="s">
        <v>1314</v>
      </c>
      <c r="BE56" s="359" t="s">
        <v>164</v>
      </c>
      <c r="BF56" s="141"/>
      <c r="BG56" s="359"/>
      <c r="BH56" s="359" t="s">
        <v>8</v>
      </c>
      <c r="BI56" s="359" t="s">
        <v>1314</v>
      </c>
      <c r="BJ56" s="359" t="s">
        <v>164</v>
      </c>
    </row>
    <row r="57" spans="2:62" ht="19">
      <c r="B57" s="511">
        <v>1</v>
      </c>
      <c r="C57" s="511" t="s">
        <v>1171</v>
      </c>
      <c r="D57" s="511" t="s">
        <v>1579</v>
      </c>
      <c r="E57" s="511">
        <v>5</v>
      </c>
      <c r="F57" s="119"/>
      <c r="G57" s="511">
        <v>1</v>
      </c>
      <c r="H57" s="511" t="s">
        <v>770</v>
      </c>
      <c r="I57" s="511" t="s">
        <v>1333</v>
      </c>
      <c r="J57" s="528">
        <v>0.78260869565217395</v>
      </c>
      <c r="K57" s="119"/>
      <c r="L57" s="119">
        <v>1</v>
      </c>
      <c r="M57" s="119" t="s">
        <v>770</v>
      </c>
      <c r="N57" s="119" t="s">
        <v>1670</v>
      </c>
      <c r="O57" s="121">
        <v>0.7857142857142857</v>
      </c>
      <c r="P57" s="119"/>
      <c r="Q57" s="511">
        <v>1</v>
      </c>
      <c r="R57" s="511" t="s">
        <v>835</v>
      </c>
      <c r="S57" s="511" t="s">
        <v>1318</v>
      </c>
      <c r="T57" s="511">
        <v>55</v>
      </c>
      <c r="W57" s="119">
        <v>1</v>
      </c>
      <c r="X57" s="119" t="s">
        <v>266</v>
      </c>
      <c r="Y57" s="119" t="s">
        <v>1350</v>
      </c>
      <c r="Z57" s="119">
        <v>4</v>
      </c>
      <c r="AA57" s="119"/>
      <c r="AB57" s="119">
        <v>1</v>
      </c>
      <c r="AC57" s="119" t="s">
        <v>1025</v>
      </c>
      <c r="AD57" s="119" t="s">
        <v>1351</v>
      </c>
      <c r="AE57" s="121">
        <v>0.9</v>
      </c>
      <c r="AF57" s="119"/>
      <c r="AG57" s="511">
        <v>1</v>
      </c>
      <c r="AH57" s="511" t="s">
        <v>1171</v>
      </c>
      <c r="AI57" s="511" t="s">
        <v>1328</v>
      </c>
      <c r="AJ57" s="528">
        <v>0.7</v>
      </c>
      <c r="AK57" s="119"/>
      <c r="AL57" s="119">
        <v>1</v>
      </c>
      <c r="AM57" s="119" t="s">
        <v>226</v>
      </c>
      <c r="AN57" s="119" t="s">
        <v>1353</v>
      </c>
      <c r="AO57" s="119">
        <v>40</v>
      </c>
      <c r="AR57" s="119">
        <v>1</v>
      </c>
      <c r="AS57" s="119" t="s">
        <v>770</v>
      </c>
      <c r="AT57" s="119" t="s">
        <v>1601</v>
      </c>
      <c r="AU57" s="119">
        <v>3</v>
      </c>
      <c r="AV57" s="119"/>
      <c r="AW57" s="119">
        <v>1</v>
      </c>
      <c r="AX57" s="119" t="s">
        <v>1062</v>
      </c>
      <c r="AY57" s="119" t="s">
        <v>1356</v>
      </c>
      <c r="AZ57" s="121">
        <v>1.2</v>
      </c>
      <c r="BA57" s="119"/>
      <c r="BB57" s="119">
        <v>1</v>
      </c>
      <c r="BC57" s="119" t="s">
        <v>685</v>
      </c>
      <c r="BD57" s="119" t="s">
        <v>1340</v>
      </c>
      <c r="BE57" s="121">
        <v>0.95</v>
      </c>
      <c r="BF57" s="119"/>
      <c r="BG57" s="119">
        <v>1</v>
      </c>
      <c r="BH57" s="119" t="s">
        <v>580</v>
      </c>
      <c r="BI57" s="119" t="s">
        <v>1788</v>
      </c>
      <c r="BJ57" s="119">
        <v>46</v>
      </c>
    </row>
    <row r="58" spans="2:62" ht="19">
      <c r="B58">
        <v>2</v>
      </c>
      <c r="C58" s="505" t="s">
        <v>165</v>
      </c>
      <c r="D58" s="505" t="s">
        <v>1317</v>
      </c>
      <c r="E58" s="505">
        <v>4</v>
      </c>
      <c r="G58">
        <v>2</v>
      </c>
      <c r="H58" t="s">
        <v>1171</v>
      </c>
      <c r="I58" t="s">
        <v>1579</v>
      </c>
      <c r="J58" s="123">
        <v>1.6578947368421053</v>
      </c>
      <c r="L58">
        <v>2</v>
      </c>
      <c r="M58" t="s">
        <v>300</v>
      </c>
      <c r="N58" t="s">
        <v>1702</v>
      </c>
      <c r="O58" s="123">
        <v>0.95238095238095233</v>
      </c>
      <c r="Q58">
        <v>2</v>
      </c>
      <c r="R58" s="505" t="s">
        <v>165</v>
      </c>
      <c r="S58" s="505" t="s">
        <v>1317</v>
      </c>
      <c r="T58" s="505">
        <v>42</v>
      </c>
      <c r="X58" s="119" t="s">
        <v>266</v>
      </c>
      <c r="Y58" s="119" t="s">
        <v>1715</v>
      </c>
      <c r="Z58" s="119">
        <v>4</v>
      </c>
      <c r="AB58">
        <v>2</v>
      </c>
      <c r="AC58" t="s">
        <v>835</v>
      </c>
      <c r="AD58" t="s">
        <v>1318</v>
      </c>
      <c r="AE58" s="123">
        <v>1.23</v>
      </c>
      <c r="AG58">
        <v>2</v>
      </c>
      <c r="AH58" t="s">
        <v>1139</v>
      </c>
      <c r="AI58" t="s">
        <v>1600</v>
      </c>
      <c r="AJ58" s="123">
        <v>0.8</v>
      </c>
      <c r="AM58" s="119" t="s">
        <v>1139</v>
      </c>
      <c r="AN58" s="119" t="s">
        <v>1666</v>
      </c>
      <c r="AO58" s="119">
        <v>40</v>
      </c>
      <c r="AS58" s="450" t="s">
        <v>770</v>
      </c>
      <c r="AT58" s="450" t="s">
        <v>1333</v>
      </c>
      <c r="AU58" s="450">
        <v>3</v>
      </c>
      <c r="AW58">
        <v>2</v>
      </c>
      <c r="AX58" t="s">
        <v>1062</v>
      </c>
      <c r="AY58" t="s">
        <v>1683</v>
      </c>
      <c r="AZ58" s="123">
        <v>1.23</v>
      </c>
      <c r="BB58">
        <v>2</v>
      </c>
      <c r="BC58" t="s">
        <v>1062</v>
      </c>
      <c r="BD58" t="s">
        <v>1356</v>
      </c>
      <c r="BE58" s="123">
        <v>1</v>
      </c>
      <c r="BG58">
        <v>2</v>
      </c>
      <c r="BH58" t="s">
        <v>770</v>
      </c>
      <c r="BI58" t="s">
        <v>1601</v>
      </c>
      <c r="BJ58">
        <v>43</v>
      </c>
    </row>
    <row r="59" spans="2:62">
      <c r="B59">
        <v>3</v>
      </c>
      <c r="C59" t="s">
        <v>835</v>
      </c>
      <c r="D59" t="s">
        <v>1318</v>
      </c>
      <c r="E59">
        <v>2</v>
      </c>
      <c r="G59">
        <v>3</v>
      </c>
      <c r="H59" t="s">
        <v>165</v>
      </c>
      <c r="I59" s="505" t="s">
        <v>1317</v>
      </c>
      <c r="J59" s="123">
        <v>2.0930232558139537</v>
      </c>
      <c r="L59">
        <v>3</v>
      </c>
      <c r="M59" t="s">
        <v>1171</v>
      </c>
      <c r="N59" t="s">
        <v>1579</v>
      </c>
      <c r="O59" s="123">
        <v>0.97368421052631582</v>
      </c>
      <c r="Q59">
        <v>3</v>
      </c>
      <c r="R59" t="s">
        <v>1171</v>
      </c>
      <c r="S59" t="s">
        <v>1328</v>
      </c>
      <c r="T59">
        <v>41</v>
      </c>
      <c r="W59">
        <v>3</v>
      </c>
      <c r="X59" t="s">
        <v>1139</v>
      </c>
      <c r="Y59" t="s">
        <v>1600</v>
      </c>
      <c r="Z59">
        <v>3</v>
      </c>
      <c r="AB59">
        <v>3</v>
      </c>
      <c r="AC59" t="s">
        <v>1139</v>
      </c>
      <c r="AD59" t="s">
        <v>1600</v>
      </c>
      <c r="AE59" s="123">
        <v>1.4</v>
      </c>
      <c r="AG59">
        <v>3</v>
      </c>
      <c r="AH59" t="s">
        <v>835</v>
      </c>
      <c r="AI59" t="s">
        <v>1318</v>
      </c>
      <c r="AJ59" s="123">
        <v>0.82</v>
      </c>
      <c r="AL59">
        <v>3</v>
      </c>
      <c r="AM59" t="s">
        <v>266</v>
      </c>
      <c r="AN59" t="s">
        <v>1679</v>
      </c>
      <c r="AO59">
        <v>36</v>
      </c>
      <c r="AS59" s="450" t="s">
        <v>580</v>
      </c>
      <c r="AT59" s="450" t="s">
        <v>1789</v>
      </c>
      <c r="AU59" s="450">
        <v>3</v>
      </c>
      <c r="AW59">
        <v>3</v>
      </c>
      <c r="AX59" t="s">
        <v>539</v>
      </c>
      <c r="AY59" t="s">
        <v>1603</v>
      </c>
      <c r="AZ59" s="123">
        <v>1.27</v>
      </c>
      <c r="BB59">
        <v>3</v>
      </c>
      <c r="BC59" t="s">
        <v>1062</v>
      </c>
      <c r="BD59" t="s">
        <v>1683</v>
      </c>
      <c r="BE59" s="123">
        <v>1.02</v>
      </c>
      <c r="BG59">
        <v>3</v>
      </c>
      <c r="BH59" t="s">
        <v>580</v>
      </c>
      <c r="BI59" t="s">
        <v>1327</v>
      </c>
      <c r="BJ59">
        <v>41</v>
      </c>
    </row>
    <row r="60" spans="2:62">
      <c r="C60" t="s">
        <v>1171</v>
      </c>
      <c r="D60" t="s">
        <v>1328</v>
      </c>
      <c r="E60">
        <v>2</v>
      </c>
      <c r="G60">
        <v>4</v>
      </c>
      <c r="H60" t="s">
        <v>1171</v>
      </c>
      <c r="I60" t="s">
        <v>1328</v>
      </c>
      <c r="J60" s="123">
        <v>2.1</v>
      </c>
      <c r="L60">
        <v>4</v>
      </c>
      <c r="M60" t="s">
        <v>770</v>
      </c>
      <c r="N60" t="s">
        <v>1333</v>
      </c>
      <c r="O60" s="123">
        <v>1</v>
      </c>
      <c r="Q60">
        <v>4</v>
      </c>
      <c r="R60" t="s">
        <v>165</v>
      </c>
      <c r="S60" t="s">
        <v>1667</v>
      </c>
      <c r="T60">
        <v>40</v>
      </c>
      <c r="X60" t="s">
        <v>1139</v>
      </c>
      <c r="Y60" t="s">
        <v>1696</v>
      </c>
      <c r="Z60">
        <v>3</v>
      </c>
      <c r="AB60">
        <v>4</v>
      </c>
      <c r="AC60" t="s">
        <v>1171</v>
      </c>
      <c r="AD60" t="s">
        <v>1328</v>
      </c>
      <c r="AE60" s="123">
        <v>1.5</v>
      </c>
      <c r="AH60" t="s">
        <v>226</v>
      </c>
      <c r="AI60" t="s">
        <v>1404</v>
      </c>
      <c r="AJ60" s="123">
        <v>0.82</v>
      </c>
      <c r="AL60">
        <v>4</v>
      </c>
      <c r="AM60" t="s">
        <v>1171</v>
      </c>
      <c r="AN60" t="s">
        <v>1328</v>
      </c>
      <c r="AO60">
        <v>31</v>
      </c>
      <c r="AR60">
        <v>3</v>
      </c>
      <c r="AS60" t="s">
        <v>580</v>
      </c>
      <c r="AT60" t="s">
        <v>1327</v>
      </c>
      <c r="AU60">
        <v>2</v>
      </c>
      <c r="AW60">
        <v>4</v>
      </c>
      <c r="AX60" t="s">
        <v>1139</v>
      </c>
      <c r="AY60" t="s">
        <v>1600</v>
      </c>
      <c r="AZ60" s="123">
        <v>1.64</v>
      </c>
      <c r="BB60">
        <v>4</v>
      </c>
      <c r="BC60" t="s">
        <v>539</v>
      </c>
      <c r="BD60" t="s">
        <v>1603</v>
      </c>
      <c r="BE60" s="123">
        <v>1.03</v>
      </c>
      <c r="BG60">
        <v>4</v>
      </c>
      <c r="BH60" t="s">
        <v>685</v>
      </c>
      <c r="BI60" t="s">
        <v>1340</v>
      </c>
      <c r="BJ60">
        <v>40</v>
      </c>
    </row>
    <row r="61" spans="2:62">
      <c r="D61" t="s">
        <v>1613</v>
      </c>
      <c r="E61">
        <v>2</v>
      </c>
      <c r="G61">
        <v>5</v>
      </c>
      <c r="H61" t="s">
        <v>300</v>
      </c>
      <c r="I61" t="s">
        <v>1702</v>
      </c>
      <c r="J61" s="123">
        <v>2.1428571428571428</v>
      </c>
      <c r="M61" t="s">
        <v>804</v>
      </c>
      <c r="N61" t="s">
        <v>1337</v>
      </c>
      <c r="O61" s="123">
        <v>1</v>
      </c>
      <c r="Q61">
        <v>5</v>
      </c>
      <c r="R61" t="s">
        <v>165</v>
      </c>
      <c r="S61" t="s">
        <v>1790</v>
      </c>
      <c r="T61">
        <v>39</v>
      </c>
      <c r="X61" t="s">
        <v>1025</v>
      </c>
      <c r="Y61" t="s">
        <v>1351</v>
      </c>
      <c r="Z61">
        <v>3</v>
      </c>
      <c r="AB61">
        <v>5</v>
      </c>
      <c r="AC61" t="s">
        <v>1139</v>
      </c>
      <c r="AD61" t="s">
        <v>1696</v>
      </c>
      <c r="AE61" s="123">
        <v>1.54</v>
      </c>
      <c r="AG61">
        <v>5</v>
      </c>
      <c r="AH61" t="s">
        <v>429</v>
      </c>
      <c r="AI61" t="s">
        <v>1394</v>
      </c>
      <c r="AJ61" s="123">
        <v>1.03</v>
      </c>
      <c r="AL61">
        <v>5</v>
      </c>
      <c r="AN61" t="s">
        <v>1610</v>
      </c>
      <c r="AO61">
        <v>30</v>
      </c>
      <c r="AT61" t="s">
        <v>1791</v>
      </c>
      <c r="AU61">
        <v>2</v>
      </c>
      <c r="AW61">
        <v>5</v>
      </c>
      <c r="AX61" t="s">
        <v>770</v>
      </c>
      <c r="AY61" t="s">
        <v>1601</v>
      </c>
      <c r="AZ61" s="123">
        <v>1.95</v>
      </c>
      <c r="BB61">
        <v>5</v>
      </c>
      <c r="BC61" t="s">
        <v>770</v>
      </c>
      <c r="BD61" t="s">
        <v>1601</v>
      </c>
      <c r="BE61" s="123">
        <v>1.05</v>
      </c>
      <c r="BG61">
        <v>5</v>
      </c>
      <c r="BH61" t="s">
        <v>770</v>
      </c>
      <c r="BI61" t="s">
        <v>1333</v>
      </c>
      <c r="BJ61">
        <v>34</v>
      </c>
    </row>
    <row r="63" spans="2:62">
      <c r="B63" s="1084" t="s">
        <v>1686</v>
      </c>
      <c r="C63" s="1085"/>
      <c r="D63" s="1085"/>
      <c r="E63" s="1086"/>
      <c r="G63" s="1084" t="s">
        <v>1687</v>
      </c>
      <c r="H63" s="1085"/>
      <c r="I63" s="1085"/>
      <c r="J63" s="1086"/>
      <c r="L63" s="1084" t="s">
        <v>1688</v>
      </c>
      <c r="M63" s="1085"/>
      <c r="N63" s="1085"/>
      <c r="O63" s="1086"/>
      <c r="Q63" s="1084" t="s">
        <v>1689</v>
      </c>
      <c r="R63" s="1085"/>
      <c r="S63" s="1085"/>
      <c r="T63" s="1086"/>
      <c r="W63" s="1084" t="s">
        <v>1686</v>
      </c>
      <c r="X63" s="1085"/>
      <c r="Y63" s="1085"/>
      <c r="Z63" s="1086"/>
      <c r="AB63" s="1084" t="s">
        <v>1687</v>
      </c>
      <c r="AC63" s="1085"/>
      <c r="AD63" s="1085"/>
      <c r="AE63" s="1086"/>
      <c r="AG63" s="1084" t="s">
        <v>1688</v>
      </c>
      <c r="AH63" s="1085"/>
      <c r="AI63" s="1085"/>
      <c r="AJ63" s="1086"/>
      <c r="AL63" s="1084" t="s">
        <v>1689</v>
      </c>
      <c r="AM63" s="1085"/>
      <c r="AN63" s="1085"/>
      <c r="AO63" s="1086"/>
      <c r="AR63" s="1084" t="s">
        <v>1686</v>
      </c>
      <c r="AS63" s="1085"/>
      <c r="AT63" s="1085"/>
      <c r="AU63" s="1086"/>
      <c r="AW63" s="1084" t="s">
        <v>1687</v>
      </c>
      <c r="AX63" s="1085"/>
      <c r="AY63" s="1085"/>
      <c r="AZ63" s="1086"/>
      <c r="BB63" s="1084" t="s">
        <v>1688</v>
      </c>
      <c r="BC63" s="1085"/>
      <c r="BD63" s="1085"/>
      <c r="BE63" s="1086"/>
      <c r="BG63" s="1084" t="s">
        <v>1689</v>
      </c>
      <c r="BH63" s="1085"/>
      <c r="BI63" s="1085"/>
      <c r="BJ63" s="1086"/>
    </row>
    <row r="64" spans="2:62" s="141" customFormat="1">
      <c r="B64" s="359"/>
      <c r="C64" s="360" t="s">
        <v>8</v>
      </c>
      <c r="D64" s="360" t="s">
        <v>1314</v>
      </c>
      <c r="E64" s="360" t="s">
        <v>164</v>
      </c>
      <c r="G64" s="359"/>
      <c r="H64" s="360" t="s">
        <v>8</v>
      </c>
      <c r="I64" s="360" t="s">
        <v>1314</v>
      </c>
      <c r="J64" s="360" t="s">
        <v>164</v>
      </c>
      <c r="L64" s="359"/>
      <c r="M64" s="360" t="s">
        <v>8</v>
      </c>
      <c r="N64" s="360" t="s">
        <v>1314</v>
      </c>
      <c r="O64" s="360" t="s">
        <v>164</v>
      </c>
      <c r="Q64" s="359"/>
      <c r="R64" s="360" t="s">
        <v>8</v>
      </c>
      <c r="S64" s="360" t="s">
        <v>1314</v>
      </c>
      <c r="T64" s="359" t="s">
        <v>164</v>
      </c>
      <c r="W64" s="359"/>
      <c r="X64" s="360" t="s">
        <v>8</v>
      </c>
      <c r="Y64" s="360" t="s">
        <v>1314</v>
      </c>
      <c r="Z64" s="360" t="s">
        <v>164</v>
      </c>
      <c r="AB64" s="359"/>
      <c r="AC64" s="360" t="s">
        <v>8</v>
      </c>
      <c r="AD64" s="360" t="s">
        <v>1314</v>
      </c>
      <c r="AE64" s="360" t="s">
        <v>164</v>
      </c>
      <c r="AG64" s="359"/>
      <c r="AH64" s="360" t="s">
        <v>8</v>
      </c>
      <c r="AI64" s="360" t="s">
        <v>1314</v>
      </c>
      <c r="AJ64" s="360" t="s">
        <v>164</v>
      </c>
      <c r="AL64" s="359"/>
      <c r="AM64" s="360" t="s">
        <v>8</v>
      </c>
      <c r="AN64" s="360" t="s">
        <v>1314</v>
      </c>
      <c r="AO64" s="359" t="s">
        <v>164</v>
      </c>
      <c r="AR64" s="359"/>
      <c r="AS64" s="360" t="s">
        <v>8</v>
      </c>
      <c r="AT64" s="360" t="s">
        <v>1314</v>
      </c>
      <c r="AU64" s="360" t="s">
        <v>164</v>
      </c>
      <c r="AW64" s="359"/>
      <c r="AX64" s="360" t="s">
        <v>8</v>
      </c>
      <c r="AY64" s="360" t="s">
        <v>1314</v>
      </c>
      <c r="AZ64" s="360" t="s">
        <v>164</v>
      </c>
      <c r="BB64" s="359"/>
      <c r="BC64" s="360" t="s">
        <v>8</v>
      </c>
      <c r="BD64" s="360" t="s">
        <v>1314</v>
      </c>
      <c r="BE64" s="360" t="s">
        <v>164</v>
      </c>
      <c r="BG64" s="359"/>
      <c r="BH64" s="360" t="s">
        <v>8</v>
      </c>
      <c r="BI64" s="360" t="s">
        <v>1314</v>
      </c>
      <c r="BJ64" s="359" t="s">
        <v>164</v>
      </c>
    </row>
    <row r="65" spans="2:62" ht="19">
      <c r="B65" s="511">
        <v>1</v>
      </c>
      <c r="C65" s="511" t="s">
        <v>165</v>
      </c>
      <c r="D65" s="511" t="s">
        <v>1317</v>
      </c>
      <c r="E65" s="532">
        <v>43</v>
      </c>
      <c r="F65" s="119"/>
      <c r="G65" s="511">
        <v>1</v>
      </c>
      <c r="H65" s="511" t="s">
        <v>165</v>
      </c>
      <c r="I65" s="511" t="s">
        <v>1317</v>
      </c>
      <c r="J65" s="511">
        <v>6</v>
      </c>
      <c r="K65" s="119"/>
      <c r="L65" s="119">
        <v>1</v>
      </c>
      <c r="M65" s="119" t="s">
        <v>165</v>
      </c>
      <c r="N65" s="119" t="s">
        <v>1317</v>
      </c>
      <c r="O65" s="119">
        <v>4</v>
      </c>
      <c r="P65" s="119"/>
      <c r="Q65" s="119">
        <v>1</v>
      </c>
      <c r="R65" s="119" t="s">
        <v>394</v>
      </c>
      <c r="S65" s="119" t="s">
        <v>1359</v>
      </c>
      <c r="T65" s="119">
        <v>1</v>
      </c>
      <c r="W65" s="119">
        <v>1</v>
      </c>
      <c r="X65" s="119" t="s">
        <v>1139</v>
      </c>
      <c r="Y65" s="119" t="s">
        <v>1600</v>
      </c>
      <c r="Z65" s="127">
        <v>38.67</v>
      </c>
      <c r="AA65" s="119"/>
      <c r="AB65" s="119">
        <v>1</v>
      </c>
      <c r="AC65" s="119" t="s">
        <v>1139</v>
      </c>
      <c r="AD65" s="119" t="s">
        <v>1600</v>
      </c>
      <c r="AE65" s="119">
        <v>5</v>
      </c>
      <c r="AF65" s="119"/>
      <c r="AG65" s="119">
        <v>1</v>
      </c>
      <c r="AH65" s="119" t="s">
        <v>1139</v>
      </c>
      <c r="AI65" s="119" t="s">
        <v>1600</v>
      </c>
      <c r="AJ65" s="119">
        <v>4</v>
      </c>
      <c r="AK65" s="119"/>
      <c r="AL65" s="119">
        <v>1</v>
      </c>
      <c r="AM65" s="119" t="s">
        <v>1139</v>
      </c>
      <c r="AN65" s="119" t="s">
        <v>1600</v>
      </c>
      <c r="AO65" s="119">
        <v>1</v>
      </c>
      <c r="AR65" s="119">
        <v>1</v>
      </c>
      <c r="AS65" s="119" t="s">
        <v>770</v>
      </c>
      <c r="AT65" s="119" t="s">
        <v>1601</v>
      </c>
      <c r="AU65" s="127">
        <v>37</v>
      </c>
      <c r="AV65" s="119"/>
      <c r="AW65" s="119">
        <v>1</v>
      </c>
      <c r="AX65" s="119" t="s">
        <v>770</v>
      </c>
      <c r="AY65" s="119" t="s">
        <v>1601</v>
      </c>
      <c r="AZ65" s="119">
        <v>5</v>
      </c>
      <c r="BA65" s="119"/>
      <c r="BB65" s="119">
        <v>1</v>
      </c>
      <c r="BC65" s="119" t="s">
        <v>770</v>
      </c>
      <c r="BD65" s="119" t="s">
        <v>1601</v>
      </c>
      <c r="BE65" s="119">
        <v>3</v>
      </c>
      <c r="BF65" s="119"/>
      <c r="BG65" s="119">
        <v>1</v>
      </c>
      <c r="BH65" s="119" t="s">
        <v>1139</v>
      </c>
      <c r="BI65" s="119" t="s">
        <v>1600</v>
      </c>
      <c r="BJ65" s="119">
        <v>1</v>
      </c>
    </row>
    <row r="66" spans="2:62" ht="19">
      <c r="B66">
        <v>2</v>
      </c>
      <c r="C66" t="s">
        <v>165</v>
      </c>
      <c r="D66" t="s">
        <v>1667</v>
      </c>
      <c r="E66" s="128">
        <v>39.33</v>
      </c>
      <c r="G66">
        <v>2</v>
      </c>
      <c r="H66" t="s">
        <v>1171</v>
      </c>
      <c r="I66" t="s">
        <v>1579</v>
      </c>
      <c r="J66">
        <v>5</v>
      </c>
      <c r="M66" s="450" t="s">
        <v>1171</v>
      </c>
      <c r="N66" s="450" t="s">
        <v>1579</v>
      </c>
      <c r="O66" s="450">
        <v>4</v>
      </c>
      <c r="R66" s="124"/>
      <c r="S66" s="124"/>
      <c r="T66" s="124"/>
      <c r="W66">
        <v>2</v>
      </c>
      <c r="X66" t="s">
        <v>1139</v>
      </c>
      <c r="Y66" t="s">
        <v>1696</v>
      </c>
      <c r="Z66" s="128">
        <v>35</v>
      </c>
      <c r="AB66">
        <v>2</v>
      </c>
      <c r="AC66" t="s">
        <v>1139</v>
      </c>
      <c r="AD66" t="s">
        <v>1696</v>
      </c>
      <c r="AE66">
        <v>4</v>
      </c>
      <c r="AH66" s="119" t="s">
        <v>1139</v>
      </c>
      <c r="AI66" s="119" t="s">
        <v>1696</v>
      </c>
      <c r="AJ66" s="119">
        <v>4</v>
      </c>
      <c r="AM66" s="124"/>
      <c r="AN66" s="124"/>
      <c r="AO66" s="124"/>
      <c r="AR66">
        <v>2</v>
      </c>
      <c r="AS66" t="s">
        <v>770</v>
      </c>
      <c r="AT66" t="s">
        <v>1333</v>
      </c>
      <c r="AU66" s="128">
        <v>34.33</v>
      </c>
      <c r="AW66">
        <v>2</v>
      </c>
      <c r="AX66" t="s">
        <v>770</v>
      </c>
      <c r="AY66" t="s">
        <v>1333</v>
      </c>
      <c r="AZ66">
        <v>4</v>
      </c>
      <c r="BC66" s="119" t="s">
        <v>770</v>
      </c>
      <c r="BD66" s="119" t="s">
        <v>1333</v>
      </c>
      <c r="BE66" s="119">
        <v>3</v>
      </c>
      <c r="BH66" s="119" t="s">
        <v>685</v>
      </c>
      <c r="BI66" s="119" t="s">
        <v>1340</v>
      </c>
      <c r="BJ66" s="119">
        <v>1</v>
      </c>
    </row>
    <row r="67" spans="2:62" ht="19">
      <c r="B67">
        <v>3</v>
      </c>
      <c r="C67" t="s">
        <v>1171</v>
      </c>
      <c r="D67" t="s">
        <v>1579</v>
      </c>
      <c r="E67" s="128">
        <v>38</v>
      </c>
      <c r="H67" t="s">
        <v>1171</v>
      </c>
      <c r="I67" t="s">
        <v>1328</v>
      </c>
      <c r="J67">
        <v>5</v>
      </c>
      <c r="M67" s="450" t="s">
        <v>1171</v>
      </c>
      <c r="N67" s="450" t="s">
        <v>1328</v>
      </c>
      <c r="O67" s="450">
        <v>4</v>
      </c>
      <c r="W67">
        <v>3</v>
      </c>
      <c r="X67" t="s">
        <v>266</v>
      </c>
      <c r="Y67" t="s">
        <v>1679</v>
      </c>
      <c r="Z67" s="128">
        <v>32.33</v>
      </c>
      <c r="AC67" t="s">
        <v>1171</v>
      </c>
      <c r="AD67" t="s">
        <v>1328</v>
      </c>
      <c r="AE67">
        <v>4</v>
      </c>
      <c r="AH67" s="119" t="s">
        <v>1171</v>
      </c>
      <c r="AI67" s="119" t="s">
        <v>1328</v>
      </c>
      <c r="AJ67" s="119">
        <v>4</v>
      </c>
      <c r="AR67">
        <v>3</v>
      </c>
      <c r="AS67" t="s">
        <v>580</v>
      </c>
      <c r="AT67" t="s">
        <v>1788</v>
      </c>
      <c r="AU67" s="128">
        <v>31</v>
      </c>
      <c r="AX67" t="s">
        <v>685</v>
      </c>
      <c r="AY67" t="s">
        <v>1674</v>
      </c>
      <c r="AZ67">
        <v>4</v>
      </c>
      <c r="BC67" s="119" t="s">
        <v>539</v>
      </c>
      <c r="BD67" s="119" t="s">
        <v>1603</v>
      </c>
      <c r="BE67" s="119">
        <v>3</v>
      </c>
    </row>
    <row r="68" spans="2:62">
      <c r="B68">
        <v>4</v>
      </c>
      <c r="C68" t="s">
        <v>835</v>
      </c>
      <c r="D68" t="s">
        <v>1318</v>
      </c>
      <c r="E68" s="128">
        <v>36</v>
      </c>
      <c r="G68">
        <v>4</v>
      </c>
      <c r="H68" t="s">
        <v>165</v>
      </c>
      <c r="I68" t="s">
        <v>1667</v>
      </c>
      <c r="J68">
        <v>4</v>
      </c>
      <c r="L68">
        <v>4</v>
      </c>
      <c r="M68" t="s">
        <v>165</v>
      </c>
      <c r="N68" t="s">
        <v>1667</v>
      </c>
      <c r="O68">
        <v>3</v>
      </c>
      <c r="W68">
        <v>4</v>
      </c>
      <c r="X68" t="s">
        <v>266</v>
      </c>
      <c r="Y68" t="s">
        <v>1350</v>
      </c>
      <c r="Z68" s="128">
        <v>31.67</v>
      </c>
      <c r="AB68">
        <v>4</v>
      </c>
      <c r="AD68" t="s">
        <v>1627</v>
      </c>
      <c r="AE68">
        <v>3</v>
      </c>
      <c r="AG68">
        <v>4</v>
      </c>
      <c r="AI68" t="s">
        <v>1615</v>
      </c>
      <c r="AJ68">
        <v>2</v>
      </c>
      <c r="AS68" t="s">
        <v>580</v>
      </c>
      <c r="AT68" t="s">
        <v>1327</v>
      </c>
      <c r="AU68" s="128">
        <v>31</v>
      </c>
      <c r="AW68">
        <v>4</v>
      </c>
      <c r="AX68" t="s">
        <v>539</v>
      </c>
      <c r="AY68" t="s">
        <v>1603</v>
      </c>
      <c r="AZ68">
        <v>3</v>
      </c>
      <c r="BB68">
        <v>4</v>
      </c>
      <c r="BC68" t="s">
        <v>1139</v>
      </c>
      <c r="BD68" t="s">
        <v>1600</v>
      </c>
      <c r="BE68">
        <v>2</v>
      </c>
    </row>
    <row r="69" spans="2:62">
      <c r="B69">
        <v>5</v>
      </c>
      <c r="C69" t="s">
        <v>165</v>
      </c>
      <c r="D69" t="s">
        <v>1790</v>
      </c>
      <c r="E69" s="128">
        <v>34.33</v>
      </c>
      <c r="I69" t="s">
        <v>1610</v>
      </c>
      <c r="J69">
        <v>4</v>
      </c>
      <c r="M69" t="s">
        <v>580</v>
      </c>
      <c r="N69" t="s">
        <v>1327</v>
      </c>
      <c r="O69">
        <v>3</v>
      </c>
      <c r="W69">
        <v>5</v>
      </c>
      <c r="X69" t="s">
        <v>1139</v>
      </c>
      <c r="Y69" t="s">
        <v>1666</v>
      </c>
      <c r="Z69" s="128">
        <v>31.33</v>
      </c>
      <c r="AR69">
        <v>5</v>
      </c>
      <c r="AS69" t="s">
        <v>685</v>
      </c>
      <c r="AT69" t="s">
        <v>1340</v>
      </c>
      <c r="AU69" s="128">
        <v>29.33</v>
      </c>
      <c r="AY69" t="s">
        <v>1610</v>
      </c>
      <c r="AZ69">
        <v>3</v>
      </c>
      <c r="BD69" t="s">
        <v>1610</v>
      </c>
      <c r="BE69">
        <v>2</v>
      </c>
    </row>
    <row r="71" spans="2:62">
      <c r="B71" s="1084" t="s">
        <v>1758</v>
      </c>
      <c r="C71" s="1085"/>
      <c r="D71" s="1085"/>
      <c r="E71" s="1086"/>
      <c r="G71" s="1084" t="s">
        <v>1792</v>
      </c>
      <c r="H71" s="1085"/>
      <c r="I71" s="1085"/>
      <c r="J71" s="1086"/>
      <c r="L71" s="1084" t="s">
        <v>1793</v>
      </c>
      <c r="M71" s="1085"/>
      <c r="N71" s="1085"/>
      <c r="O71" s="1086"/>
      <c r="Q71" s="1084" t="s">
        <v>1761</v>
      </c>
      <c r="R71" s="1085"/>
      <c r="S71" s="1085"/>
      <c r="T71" s="1086"/>
      <c r="W71" s="1084" t="s">
        <v>1758</v>
      </c>
      <c r="X71" s="1085"/>
      <c r="Y71" s="1085"/>
      <c r="Z71" s="1086"/>
      <c r="AB71" s="1084" t="s">
        <v>1792</v>
      </c>
      <c r="AC71" s="1085"/>
      <c r="AD71" s="1085"/>
      <c r="AE71" s="1086"/>
      <c r="AG71" s="1084" t="s">
        <v>1793</v>
      </c>
      <c r="AH71" s="1085"/>
      <c r="AI71" s="1085"/>
      <c r="AJ71" s="1086"/>
      <c r="AL71" s="1084" t="s">
        <v>1761</v>
      </c>
      <c r="AM71" s="1085"/>
      <c r="AN71" s="1085"/>
      <c r="AO71" s="1086"/>
      <c r="AR71" s="1084" t="s">
        <v>1758</v>
      </c>
      <c r="AS71" s="1085"/>
      <c r="AT71" s="1085"/>
      <c r="AU71" s="1086"/>
      <c r="AW71" s="1084" t="s">
        <v>1792</v>
      </c>
      <c r="AX71" s="1085"/>
      <c r="AY71" s="1085"/>
      <c r="AZ71" s="1086"/>
      <c r="BB71" s="1084" t="s">
        <v>1793</v>
      </c>
      <c r="BC71" s="1085"/>
      <c r="BD71" s="1085"/>
      <c r="BE71" s="1086"/>
      <c r="BG71" s="1084" t="s">
        <v>1761</v>
      </c>
      <c r="BH71" s="1085"/>
      <c r="BI71" s="1085"/>
      <c r="BJ71" s="1086"/>
    </row>
    <row r="72" spans="2:62" s="141" customFormat="1">
      <c r="B72" s="359"/>
      <c r="C72" s="360" t="s">
        <v>8</v>
      </c>
      <c r="D72" s="360" t="s">
        <v>1314</v>
      </c>
      <c r="E72" s="360" t="s">
        <v>164</v>
      </c>
      <c r="G72" s="359"/>
      <c r="H72" s="360" t="s">
        <v>8</v>
      </c>
      <c r="I72" s="360" t="s">
        <v>1314</v>
      </c>
      <c r="J72" s="360" t="s">
        <v>164</v>
      </c>
      <c r="L72" s="359"/>
      <c r="M72" s="360" t="s">
        <v>8</v>
      </c>
      <c r="N72" s="360" t="s">
        <v>1314</v>
      </c>
      <c r="O72" s="360" t="s">
        <v>164</v>
      </c>
      <c r="Q72" s="359"/>
      <c r="R72" s="360" t="s">
        <v>8</v>
      </c>
      <c r="S72" s="360" t="s">
        <v>1314</v>
      </c>
      <c r="T72" s="360" t="s">
        <v>164</v>
      </c>
      <c r="W72" s="359"/>
      <c r="X72" s="360" t="s">
        <v>8</v>
      </c>
      <c r="Y72" s="360" t="s">
        <v>1314</v>
      </c>
      <c r="Z72" s="360" t="s">
        <v>164</v>
      </c>
      <c r="AB72" s="359"/>
      <c r="AC72" s="360" t="s">
        <v>8</v>
      </c>
      <c r="AD72" s="360" t="s">
        <v>1314</v>
      </c>
      <c r="AE72" s="360" t="s">
        <v>164</v>
      </c>
      <c r="AG72" s="359"/>
      <c r="AH72" s="360" t="s">
        <v>8</v>
      </c>
      <c r="AI72" s="360" t="s">
        <v>1314</v>
      </c>
      <c r="AJ72" s="360" t="s">
        <v>164</v>
      </c>
      <c r="AL72" s="359"/>
      <c r="AM72" s="360" t="s">
        <v>8</v>
      </c>
      <c r="AN72" s="360" t="s">
        <v>1314</v>
      </c>
      <c r="AO72" s="360" t="s">
        <v>164</v>
      </c>
      <c r="AR72" s="359"/>
      <c r="AS72" s="360" t="s">
        <v>8</v>
      </c>
      <c r="AT72" s="360" t="s">
        <v>1314</v>
      </c>
      <c r="AU72" s="360" t="s">
        <v>164</v>
      </c>
      <c r="AW72" s="359"/>
      <c r="AX72" s="360" t="s">
        <v>8</v>
      </c>
      <c r="AY72" s="360" t="s">
        <v>1314</v>
      </c>
      <c r="AZ72" s="360" t="s">
        <v>164</v>
      </c>
      <c r="BB72" s="359"/>
      <c r="BC72" s="360" t="s">
        <v>8</v>
      </c>
      <c r="BD72" s="360" t="s">
        <v>1314</v>
      </c>
      <c r="BE72" s="360" t="s">
        <v>164</v>
      </c>
      <c r="BG72" s="359"/>
      <c r="BH72" s="360" t="s">
        <v>8</v>
      </c>
      <c r="BI72" s="360" t="s">
        <v>1314</v>
      </c>
      <c r="BJ72" s="360" t="s">
        <v>164</v>
      </c>
    </row>
    <row r="73" spans="2:62" ht="19">
      <c r="B73" s="511">
        <v>1</v>
      </c>
      <c r="C73" s="511" t="s">
        <v>1171</v>
      </c>
      <c r="D73" s="511" t="s">
        <v>1378</v>
      </c>
      <c r="E73" s="511">
        <v>6</v>
      </c>
      <c r="F73" s="119"/>
      <c r="G73" s="119">
        <v>1</v>
      </c>
      <c r="H73" s="119" t="s">
        <v>580</v>
      </c>
      <c r="I73" s="119" t="s">
        <v>1387</v>
      </c>
      <c r="J73" s="121">
        <v>0</v>
      </c>
      <c r="K73" s="119"/>
      <c r="L73" s="511">
        <v>1</v>
      </c>
      <c r="M73" s="511" t="s">
        <v>770</v>
      </c>
      <c r="N73" s="511" t="s">
        <v>1794</v>
      </c>
      <c r="O73" s="528">
        <v>0.4287245444801715</v>
      </c>
      <c r="P73" s="119"/>
      <c r="Q73" s="511">
        <v>1</v>
      </c>
      <c r="R73" s="511" t="s">
        <v>1171</v>
      </c>
      <c r="S73" s="511" t="s">
        <v>1378</v>
      </c>
      <c r="T73" s="511">
        <v>29</v>
      </c>
      <c r="W73" s="119">
        <v>1</v>
      </c>
      <c r="X73" s="119" t="s">
        <v>266</v>
      </c>
      <c r="Y73" s="119" t="s">
        <v>1410</v>
      </c>
      <c r="Z73" s="119">
        <v>5</v>
      </c>
      <c r="AA73" s="119"/>
      <c r="AB73" s="119">
        <v>1</v>
      </c>
      <c r="AC73" s="119" t="s">
        <v>266</v>
      </c>
      <c r="AD73" s="119" t="s">
        <v>1410</v>
      </c>
      <c r="AE73" s="121">
        <v>0</v>
      </c>
      <c r="AF73" s="119"/>
      <c r="AG73" s="119">
        <v>1</v>
      </c>
      <c r="AH73" s="119" t="s">
        <v>226</v>
      </c>
      <c r="AI73" s="119" t="s">
        <v>1775</v>
      </c>
      <c r="AJ73" s="121">
        <v>0.67</v>
      </c>
      <c r="AK73" s="119"/>
      <c r="AL73" s="119">
        <v>1</v>
      </c>
      <c r="AM73" s="119" t="s">
        <v>1171</v>
      </c>
      <c r="AN73" s="119" t="s">
        <v>1378</v>
      </c>
      <c r="AO73" s="119">
        <v>19</v>
      </c>
      <c r="AR73" s="119">
        <v>1</v>
      </c>
      <c r="AS73" s="119" t="s">
        <v>580</v>
      </c>
      <c r="AT73" s="119" t="s">
        <v>1387</v>
      </c>
      <c r="AU73" s="119">
        <v>5</v>
      </c>
      <c r="AV73" s="119"/>
      <c r="AW73" s="119">
        <v>1</v>
      </c>
      <c r="AX73" s="119" t="s">
        <v>1062</v>
      </c>
      <c r="AY73" s="119" t="s">
        <v>1407</v>
      </c>
      <c r="AZ73" s="121">
        <v>0</v>
      </c>
      <c r="BA73" s="119"/>
      <c r="BB73" s="119">
        <v>1</v>
      </c>
      <c r="BC73" s="119" t="s">
        <v>580</v>
      </c>
      <c r="BD73" s="119" t="s">
        <v>1789</v>
      </c>
      <c r="BE73" s="121">
        <v>0.57999999999999996</v>
      </c>
      <c r="BF73" s="119"/>
      <c r="BG73" s="119">
        <v>1</v>
      </c>
      <c r="BH73" s="119" t="s">
        <v>580</v>
      </c>
      <c r="BI73" s="119" t="s">
        <v>1387</v>
      </c>
      <c r="BJ73" s="119">
        <v>20</v>
      </c>
    </row>
    <row r="74" spans="2:62">
      <c r="B74">
        <v>2</v>
      </c>
      <c r="C74" t="s">
        <v>580</v>
      </c>
      <c r="D74" t="s">
        <v>1387</v>
      </c>
      <c r="E74">
        <v>5</v>
      </c>
      <c r="H74" s="450" t="s">
        <v>770</v>
      </c>
      <c r="I74" s="450" t="s">
        <v>1794</v>
      </c>
      <c r="J74" s="562">
        <v>0</v>
      </c>
      <c r="L74">
        <v>2</v>
      </c>
      <c r="M74" t="s">
        <v>300</v>
      </c>
      <c r="N74" t="s">
        <v>1795</v>
      </c>
      <c r="O74" s="123">
        <v>0.59970014992503751</v>
      </c>
      <c r="Q74">
        <v>2</v>
      </c>
      <c r="R74" t="s">
        <v>835</v>
      </c>
      <c r="S74" t="s">
        <v>1393</v>
      </c>
      <c r="T74">
        <v>24</v>
      </c>
      <c r="W74">
        <v>2</v>
      </c>
      <c r="X74" t="s">
        <v>1139</v>
      </c>
      <c r="Y74" t="s">
        <v>1377</v>
      </c>
      <c r="Z74">
        <v>3</v>
      </c>
      <c r="AC74" s="450" t="s">
        <v>226</v>
      </c>
      <c r="AD74" s="450" t="s">
        <v>1775</v>
      </c>
      <c r="AE74" s="562">
        <v>0</v>
      </c>
      <c r="AG74">
        <v>2</v>
      </c>
      <c r="AH74" t="s">
        <v>226</v>
      </c>
      <c r="AI74" t="s">
        <v>1381</v>
      </c>
      <c r="AJ74" s="123">
        <v>0.7</v>
      </c>
      <c r="AL74">
        <v>2</v>
      </c>
      <c r="AM74" t="s">
        <v>266</v>
      </c>
      <c r="AN74" t="s">
        <v>1796</v>
      </c>
      <c r="AO74">
        <v>16</v>
      </c>
      <c r="AR74">
        <v>2</v>
      </c>
      <c r="AS74" t="s">
        <v>539</v>
      </c>
      <c r="AT74" t="s">
        <v>1406</v>
      </c>
      <c r="AU74">
        <v>4</v>
      </c>
      <c r="AX74" s="124" t="s">
        <v>539</v>
      </c>
      <c r="AY74" s="124" t="s">
        <v>1406</v>
      </c>
      <c r="AZ74" s="563">
        <v>0</v>
      </c>
      <c r="BB74">
        <v>2</v>
      </c>
      <c r="BC74" t="s">
        <v>952</v>
      </c>
      <c r="BD74" t="s">
        <v>1412</v>
      </c>
      <c r="BE74" s="123">
        <v>0.6</v>
      </c>
      <c r="BG74">
        <v>2</v>
      </c>
      <c r="BH74" t="s">
        <v>1062</v>
      </c>
      <c r="BI74" t="s">
        <v>1727</v>
      </c>
      <c r="BJ74">
        <v>17</v>
      </c>
    </row>
    <row r="75" spans="2:62">
      <c r="B75">
        <v>3</v>
      </c>
      <c r="C75" t="s">
        <v>300</v>
      </c>
      <c r="D75" t="s">
        <v>1399</v>
      </c>
      <c r="E75">
        <v>4</v>
      </c>
      <c r="G75">
        <v>3</v>
      </c>
      <c r="H75" t="s">
        <v>394</v>
      </c>
      <c r="I75" t="s">
        <v>1372</v>
      </c>
      <c r="J75" s="123">
        <v>1.3493253373313343</v>
      </c>
      <c r="L75">
        <v>3</v>
      </c>
      <c r="M75" t="s">
        <v>770</v>
      </c>
      <c r="N75" t="s">
        <v>1772</v>
      </c>
      <c r="O75" s="123">
        <v>0.8995502248875562</v>
      </c>
      <c r="Q75">
        <v>3</v>
      </c>
      <c r="R75" t="s">
        <v>165</v>
      </c>
      <c r="S75" t="s">
        <v>1773</v>
      </c>
      <c r="T75">
        <v>17</v>
      </c>
      <c r="W75">
        <v>3</v>
      </c>
      <c r="X75" t="s">
        <v>1171</v>
      </c>
      <c r="Y75" t="s">
        <v>1378</v>
      </c>
      <c r="Z75">
        <v>2</v>
      </c>
      <c r="AC75" s="450" t="s">
        <v>429</v>
      </c>
      <c r="AD75" s="450" t="s">
        <v>1383</v>
      </c>
      <c r="AE75" s="562">
        <v>0</v>
      </c>
      <c r="AG75">
        <v>3</v>
      </c>
      <c r="AH75" t="s">
        <v>266</v>
      </c>
      <c r="AI75" t="s">
        <v>1410</v>
      </c>
      <c r="AJ75" s="123">
        <v>0.75</v>
      </c>
      <c r="AL75">
        <v>3</v>
      </c>
      <c r="AM75" t="s">
        <v>226</v>
      </c>
      <c r="AN75" t="s">
        <v>1381</v>
      </c>
      <c r="AO75">
        <v>13</v>
      </c>
      <c r="AR75">
        <v>3</v>
      </c>
      <c r="AS75" t="s">
        <v>770</v>
      </c>
      <c r="AT75" t="s">
        <v>1375</v>
      </c>
      <c r="AU75">
        <v>2</v>
      </c>
      <c r="AX75" s="124" t="s">
        <v>952</v>
      </c>
      <c r="AY75" s="124" t="s">
        <v>1412</v>
      </c>
      <c r="AZ75" s="563">
        <v>0</v>
      </c>
      <c r="BB75">
        <v>3</v>
      </c>
      <c r="BC75" t="s">
        <v>770</v>
      </c>
      <c r="BD75" t="s">
        <v>1375</v>
      </c>
      <c r="BE75" s="123">
        <v>0.71</v>
      </c>
      <c r="BG75">
        <v>3</v>
      </c>
      <c r="BH75" t="s">
        <v>580</v>
      </c>
      <c r="BI75" t="s">
        <v>1789</v>
      </c>
      <c r="BJ75">
        <v>16</v>
      </c>
    </row>
    <row r="76" spans="2:62">
      <c r="B76">
        <v>4</v>
      </c>
      <c r="C76" t="s">
        <v>835</v>
      </c>
      <c r="D76" t="s">
        <v>1393</v>
      </c>
      <c r="E76">
        <v>2</v>
      </c>
      <c r="H76" t="s">
        <v>770</v>
      </c>
      <c r="I76" t="s">
        <v>1772</v>
      </c>
      <c r="J76" s="123">
        <v>1.3493253373313343</v>
      </c>
      <c r="L76">
        <v>4</v>
      </c>
      <c r="M76" t="s">
        <v>804</v>
      </c>
      <c r="N76" t="s">
        <v>1369</v>
      </c>
      <c r="O76" s="123">
        <v>0.93808630393996251</v>
      </c>
      <c r="Q76">
        <v>4</v>
      </c>
      <c r="R76" t="s">
        <v>580</v>
      </c>
      <c r="S76" t="s">
        <v>1387</v>
      </c>
      <c r="T76">
        <v>15</v>
      </c>
      <c r="X76" t="s">
        <v>1025</v>
      </c>
      <c r="Y76" t="s">
        <v>1373</v>
      </c>
      <c r="Z76">
        <v>2</v>
      </c>
      <c r="AC76" s="450" t="s">
        <v>1025</v>
      </c>
      <c r="AD76" s="450" t="s">
        <v>1733</v>
      </c>
      <c r="AE76" s="562">
        <v>0</v>
      </c>
      <c r="AG76">
        <v>4</v>
      </c>
      <c r="AH76" t="s">
        <v>1025</v>
      </c>
      <c r="AI76" t="s">
        <v>1733</v>
      </c>
      <c r="AJ76" s="123">
        <v>0.75</v>
      </c>
      <c r="AL76">
        <v>4</v>
      </c>
      <c r="AM76" t="s">
        <v>266</v>
      </c>
      <c r="AN76" t="s">
        <v>1410</v>
      </c>
      <c r="AO76">
        <v>11</v>
      </c>
      <c r="AS76" t="s">
        <v>1139</v>
      </c>
      <c r="AT76" t="s">
        <v>1377</v>
      </c>
      <c r="AU76">
        <v>2</v>
      </c>
      <c r="AW76">
        <v>4</v>
      </c>
      <c r="AX76" t="s">
        <v>1062</v>
      </c>
      <c r="AY76" t="s">
        <v>1727</v>
      </c>
      <c r="AZ76" s="123">
        <v>0.96</v>
      </c>
      <c r="BB76">
        <v>4</v>
      </c>
      <c r="BC76" t="s">
        <v>1062</v>
      </c>
      <c r="BD76" t="s">
        <v>1727</v>
      </c>
      <c r="BE76" s="123">
        <v>0.75</v>
      </c>
      <c r="BG76">
        <v>4</v>
      </c>
      <c r="BH76" t="s">
        <v>1139</v>
      </c>
      <c r="BI76" t="s">
        <v>1377</v>
      </c>
      <c r="BJ76">
        <v>15</v>
      </c>
    </row>
    <row r="77" spans="2:62">
      <c r="B77">
        <v>5</v>
      </c>
      <c r="C77" t="s">
        <v>165</v>
      </c>
      <c r="D77" t="s">
        <v>1773</v>
      </c>
      <c r="E77">
        <v>1</v>
      </c>
      <c r="H77" t="s">
        <v>300</v>
      </c>
      <c r="I77" t="s">
        <v>1795</v>
      </c>
      <c r="J77" s="123">
        <v>1.3493253373313343</v>
      </c>
      <c r="L77">
        <v>5</v>
      </c>
      <c r="M77" t="s">
        <v>300</v>
      </c>
      <c r="N77" t="s">
        <v>1399</v>
      </c>
      <c r="O77" s="123">
        <v>1</v>
      </c>
      <c r="Q77">
        <v>5</v>
      </c>
      <c r="R77" t="s">
        <v>770</v>
      </c>
      <c r="S77" t="s">
        <v>1794</v>
      </c>
      <c r="T77">
        <v>13</v>
      </c>
      <c r="X77" t="s">
        <v>429</v>
      </c>
      <c r="Y77" t="s">
        <v>1383</v>
      </c>
      <c r="Z77">
        <v>2</v>
      </c>
      <c r="AC77" s="450" t="s">
        <v>1025</v>
      </c>
      <c r="AD77" s="450" t="s">
        <v>1753</v>
      </c>
      <c r="AE77" s="562">
        <v>0</v>
      </c>
      <c r="AG77">
        <v>5</v>
      </c>
      <c r="AH77" t="s">
        <v>1171</v>
      </c>
      <c r="AI77" t="s">
        <v>1378</v>
      </c>
      <c r="AJ77" s="123">
        <v>0.97</v>
      </c>
      <c r="AL77">
        <v>5</v>
      </c>
      <c r="AN77" t="s">
        <v>1610</v>
      </c>
      <c r="AO77">
        <v>10</v>
      </c>
      <c r="AS77" t="s">
        <v>685</v>
      </c>
      <c r="AT77" t="s">
        <v>1871</v>
      </c>
      <c r="AU77">
        <v>2</v>
      </c>
      <c r="AW77">
        <v>5</v>
      </c>
      <c r="AX77" t="s">
        <v>770</v>
      </c>
      <c r="AY77" t="s">
        <v>1375</v>
      </c>
      <c r="AZ77" s="123">
        <v>1.29</v>
      </c>
      <c r="BB77">
        <v>5</v>
      </c>
      <c r="BC77" t="s">
        <v>1062</v>
      </c>
      <c r="BD77" t="s">
        <v>1407</v>
      </c>
      <c r="BE77" s="123">
        <v>0.86</v>
      </c>
      <c r="BG77">
        <v>5</v>
      </c>
      <c r="BH77" t="s">
        <v>770</v>
      </c>
      <c r="BI77" t="s">
        <v>1375</v>
      </c>
      <c r="BJ77">
        <v>14</v>
      </c>
    </row>
  </sheetData>
  <mergeCells count="90">
    <mergeCell ref="AW71:AZ71"/>
    <mergeCell ref="BB71:BE71"/>
    <mergeCell ref="BG71:BJ71"/>
    <mergeCell ref="W71:Z71"/>
    <mergeCell ref="AB71:AE71"/>
    <mergeCell ref="AG71:AJ71"/>
    <mergeCell ref="AL71:AO71"/>
    <mergeCell ref="AR71:AU71"/>
    <mergeCell ref="AW55:AZ55"/>
    <mergeCell ref="BB55:BE55"/>
    <mergeCell ref="BG55:BJ55"/>
    <mergeCell ref="W63:Z63"/>
    <mergeCell ref="AB63:AE63"/>
    <mergeCell ref="AG63:AJ63"/>
    <mergeCell ref="AL63:AO63"/>
    <mergeCell ref="AR63:AU63"/>
    <mergeCell ref="AW63:AZ63"/>
    <mergeCell ref="BB63:BE63"/>
    <mergeCell ref="BG63:BJ63"/>
    <mergeCell ref="W55:Z55"/>
    <mergeCell ref="AB55:AE55"/>
    <mergeCell ref="AG55:AJ55"/>
    <mergeCell ref="AL55:AO55"/>
    <mergeCell ref="AR55:AU55"/>
    <mergeCell ref="AW41:AZ41"/>
    <mergeCell ref="BB41:BE41"/>
    <mergeCell ref="BG41:BJ41"/>
    <mergeCell ref="W54:AO54"/>
    <mergeCell ref="AR54:BJ54"/>
    <mergeCell ref="W41:Z41"/>
    <mergeCell ref="AB41:AE41"/>
    <mergeCell ref="AG41:AJ41"/>
    <mergeCell ref="AL41:AO41"/>
    <mergeCell ref="AR41:AU41"/>
    <mergeCell ref="AR15:AU15"/>
    <mergeCell ref="AW15:AZ15"/>
    <mergeCell ref="BB15:BE15"/>
    <mergeCell ref="BG15:BJ15"/>
    <mergeCell ref="W28:Z28"/>
    <mergeCell ref="AB28:AE28"/>
    <mergeCell ref="AG28:AJ28"/>
    <mergeCell ref="AL28:AO28"/>
    <mergeCell ref="AR28:AU28"/>
    <mergeCell ref="AW28:AZ28"/>
    <mergeCell ref="BB28:BE28"/>
    <mergeCell ref="BG28:BJ28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B15:E15"/>
    <mergeCell ref="G15:J15"/>
    <mergeCell ref="L15:O15"/>
    <mergeCell ref="Q15:T15"/>
    <mergeCell ref="W1:AO1"/>
    <mergeCell ref="W15:Z15"/>
    <mergeCell ref="AB15:AE15"/>
    <mergeCell ref="AG15:AJ15"/>
    <mergeCell ref="AL15:AO15"/>
    <mergeCell ref="B1:T1"/>
    <mergeCell ref="B2:E2"/>
    <mergeCell ref="G2:J2"/>
    <mergeCell ref="L2:O2"/>
    <mergeCell ref="Q2:T2"/>
    <mergeCell ref="B28:E28"/>
    <mergeCell ref="G28:J28"/>
    <mergeCell ref="L28:O28"/>
    <mergeCell ref="Q28:T28"/>
    <mergeCell ref="B41:E41"/>
    <mergeCell ref="G41:J41"/>
    <mergeCell ref="L41:O41"/>
    <mergeCell ref="Q41:T41"/>
    <mergeCell ref="B71:E71"/>
    <mergeCell ref="G71:J71"/>
    <mergeCell ref="L71:O71"/>
    <mergeCell ref="Q71:T71"/>
    <mergeCell ref="B54:T54"/>
    <mergeCell ref="B55:E55"/>
    <mergeCell ref="G55:J55"/>
    <mergeCell ref="L55:O55"/>
    <mergeCell ref="Q55:T55"/>
    <mergeCell ref="B63:E63"/>
    <mergeCell ref="G63:J63"/>
    <mergeCell ref="L63:O63"/>
    <mergeCell ref="Q63:T6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B1:BJ65"/>
  <sheetViews>
    <sheetView workbookViewId="0">
      <pane ySplit="1" topLeftCell="A2" activePane="bottomLeft" state="frozenSplit"/>
      <selection pane="bottomLeft" activeCell="AI38" sqref="AI38"/>
    </sheetView>
  </sheetViews>
  <sheetFormatPr baseColWidth="10" defaultRowHeight="16"/>
  <cols>
    <col min="1" max="1" width="3.5" customWidth="1"/>
    <col min="2" max="2" width="3.1640625" customWidth="1"/>
    <col min="3" max="3" width="6" customWidth="1"/>
    <col min="4" max="4" width="15.6640625" customWidth="1"/>
    <col min="5" max="5" width="5.33203125" customWidth="1"/>
    <col min="6" max="6" width="3.5" customWidth="1"/>
    <col min="7" max="7" width="3.1640625" customWidth="1"/>
    <col min="8" max="8" width="6" customWidth="1"/>
    <col min="9" max="9" width="16.5" customWidth="1"/>
    <col min="10" max="10" width="5.6640625" customWidth="1"/>
    <col min="11" max="11" width="3.5" customWidth="1"/>
    <col min="12" max="12" width="3.1640625" customWidth="1"/>
    <col min="13" max="13" width="6" customWidth="1"/>
    <col min="14" max="14" width="16.5" customWidth="1"/>
    <col min="15" max="15" width="5.6640625" customWidth="1"/>
    <col min="16" max="16" width="3.5" customWidth="1"/>
    <col min="17" max="17" width="3.1640625" customWidth="1"/>
    <col min="18" max="18" width="6" customWidth="1"/>
    <col min="19" max="19" width="16" customWidth="1"/>
    <col min="20" max="20" width="7" customWidth="1"/>
    <col min="21" max="22" width="3.5" customWidth="1"/>
    <col min="23" max="23" width="3.1640625" customWidth="1"/>
    <col min="24" max="24" width="5.6640625" customWidth="1"/>
    <col min="25" max="25" width="15.6640625" customWidth="1"/>
    <col min="26" max="26" width="5.33203125" customWidth="1"/>
    <col min="27" max="27" width="3.5" customWidth="1"/>
    <col min="28" max="28" width="3.1640625" customWidth="1"/>
    <col min="29" max="29" width="5.6640625" customWidth="1"/>
    <col min="30" max="30" width="13.33203125" customWidth="1"/>
    <col min="31" max="31" width="5.33203125" customWidth="1"/>
    <col min="32" max="32" width="3.5" customWidth="1"/>
    <col min="33" max="33" width="3.1640625" customWidth="1"/>
    <col min="34" max="34" width="5.5" customWidth="1"/>
    <col min="35" max="35" width="15.6640625" customWidth="1"/>
    <col min="36" max="36" width="5.33203125" customWidth="1"/>
    <col min="37" max="37" width="3.5" customWidth="1"/>
    <col min="38" max="38" width="3.1640625" customWidth="1"/>
    <col min="39" max="39" width="6.1640625" customWidth="1"/>
    <col min="40" max="40" width="16.5" customWidth="1"/>
    <col min="41" max="41" width="6.5" customWidth="1"/>
    <col min="42" max="43" width="3.5" customWidth="1"/>
    <col min="44" max="44" width="3.1640625" customWidth="1"/>
    <col min="45" max="45" width="5.5" customWidth="1"/>
    <col min="46" max="46" width="14.33203125" customWidth="1"/>
    <col min="47" max="47" width="5.33203125" customWidth="1"/>
    <col min="48" max="48" width="3.5" customWidth="1"/>
    <col min="49" max="49" width="3.1640625" customWidth="1"/>
    <col min="50" max="50" width="5.5" customWidth="1"/>
    <col min="51" max="51" width="14" customWidth="1"/>
    <col min="52" max="52" width="5.33203125" customWidth="1"/>
    <col min="53" max="53" width="3.5" customWidth="1"/>
    <col min="54" max="54" width="3.1640625" customWidth="1"/>
    <col min="55" max="55" width="5.6640625" customWidth="1"/>
    <col min="56" max="56" width="14" customWidth="1"/>
    <col min="57" max="57" width="5.33203125" customWidth="1"/>
    <col min="58" max="58" width="3.5" customWidth="1"/>
    <col min="59" max="59" width="3.1640625" customWidth="1"/>
    <col min="60" max="60" width="5.5" customWidth="1"/>
    <col min="61" max="61" width="16.33203125" customWidth="1"/>
    <col min="62" max="62" width="6.5" customWidth="1"/>
    <col min="63" max="63" width="3.1640625" customWidth="1"/>
  </cols>
  <sheetData>
    <row r="1" spans="2:62" ht="27">
      <c r="B1" s="1075" t="s">
        <v>1798</v>
      </c>
      <c r="C1" s="1076"/>
      <c r="D1" s="1076"/>
      <c r="E1" s="1076"/>
      <c r="F1" s="1076"/>
      <c r="G1" s="1076"/>
      <c r="H1" s="1076"/>
      <c r="I1" s="1076"/>
      <c r="J1" s="1076"/>
      <c r="K1" s="1076"/>
      <c r="L1" s="1076"/>
      <c r="M1" s="1076"/>
      <c r="N1" s="1076"/>
      <c r="O1" s="1076"/>
      <c r="P1" s="1076"/>
      <c r="Q1" s="1076"/>
      <c r="R1" s="1076"/>
      <c r="S1" s="1076"/>
      <c r="T1" s="1077"/>
      <c r="W1" s="1075" t="s">
        <v>1799</v>
      </c>
      <c r="X1" s="1076"/>
      <c r="Y1" s="1076"/>
      <c r="Z1" s="1076"/>
      <c r="AA1" s="1076"/>
      <c r="AB1" s="1076"/>
      <c r="AC1" s="1076"/>
      <c r="AD1" s="1076"/>
      <c r="AE1" s="1076"/>
      <c r="AF1" s="1076"/>
      <c r="AG1" s="1076"/>
      <c r="AH1" s="1076"/>
      <c r="AI1" s="1076"/>
      <c r="AJ1" s="1076"/>
      <c r="AK1" s="1076"/>
      <c r="AL1" s="1076"/>
      <c r="AM1" s="1076"/>
      <c r="AN1" s="1076"/>
      <c r="AO1" s="1077"/>
      <c r="AR1" s="1075" t="s">
        <v>1800</v>
      </c>
      <c r="AS1" s="1076"/>
      <c r="AT1" s="1076"/>
      <c r="AU1" s="1076"/>
      <c r="AV1" s="1076"/>
      <c r="AW1" s="1076"/>
      <c r="AX1" s="1076"/>
      <c r="AY1" s="1076"/>
      <c r="AZ1" s="1076"/>
      <c r="BA1" s="1076"/>
      <c r="BB1" s="1076"/>
      <c r="BC1" s="1076"/>
      <c r="BD1" s="1076"/>
      <c r="BE1" s="1076"/>
      <c r="BF1" s="1076"/>
      <c r="BG1" s="1076"/>
      <c r="BH1" s="1076"/>
      <c r="BI1" s="1076"/>
      <c r="BJ1" s="1077"/>
    </row>
    <row r="2" spans="2:62" ht="17" thickBot="1">
      <c r="B2" s="1084" t="s">
        <v>146</v>
      </c>
      <c r="C2" s="1085"/>
      <c r="D2" s="1085"/>
      <c r="E2" s="1086"/>
      <c r="G2" s="1084" t="s">
        <v>147</v>
      </c>
      <c r="H2" s="1085"/>
      <c r="I2" s="1085"/>
      <c r="J2" s="1086"/>
      <c r="L2" s="1084" t="s">
        <v>148</v>
      </c>
      <c r="M2" s="1085"/>
      <c r="N2" s="1085"/>
      <c r="O2" s="1086"/>
      <c r="Q2" s="1084" t="s">
        <v>162</v>
      </c>
      <c r="R2" s="1085"/>
      <c r="S2" s="1085"/>
      <c r="T2" s="1086"/>
      <c r="W2" s="1084" t="s">
        <v>146</v>
      </c>
      <c r="X2" s="1085"/>
      <c r="Y2" s="1085"/>
      <c r="Z2" s="1086"/>
      <c r="AB2" s="1084" t="s">
        <v>147</v>
      </c>
      <c r="AC2" s="1085"/>
      <c r="AD2" s="1085"/>
      <c r="AE2" s="1086"/>
      <c r="AG2" s="1084" t="s">
        <v>148</v>
      </c>
      <c r="AH2" s="1085"/>
      <c r="AI2" s="1085"/>
      <c r="AJ2" s="1086"/>
      <c r="AL2" s="1084" t="s">
        <v>162</v>
      </c>
      <c r="AM2" s="1085"/>
      <c r="AN2" s="1085"/>
      <c r="AO2" s="1086"/>
      <c r="AR2" s="1084" t="s">
        <v>1605</v>
      </c>
      <c r="AS2" s="1085"/>
      <c r="AT2" s="1085"/>
      <c r="AU2" s="1086"/>
      <c r="AW2" s="1084" t="s">
        <v>147</v>
      </c>
      <c r="AX2" s="1085"/>
      <c r="AY2" s="1085"/>
      <c r="AZ2" s="1086"/>
      <c r="BB2" s="1084" t="s">
        <v>148</v>
      </c>
      <c r="BC2" s="1085"/>
      <c r="BD2" s="1085"/>
      <c r="BE2" s="1086"/>
      <c r="BG2" s="1084" t="s">
        <v>162</v>
      </c>
      <c r="BH2" s="1085"/>
      <c r="BI2" s="1085"/>
      <c r="BJ2" s="1086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266</v>
      </c>
      <c r="D4" s="119" t="s">
        <v>1466</v>
      </c>
      <c r="E4" s="120">
        <v>0.3772455089820359</v>
      </c>
      <c r="G4" s="119">
        <v>1</v>
      </c>
      <c r="H4" s="119" t="s">
        <v>539</v>
      </c>
      <c r="I4" s="119" t="s">
        <v>1563</v>
      </c>
      <c r="J4" s="120">
        <v>0.46590909090909088</v>
      </c>
      <c r="L4" s="119">
        <v>1</v>
      </c>
      <c r="M4" s="119" t="s">
        <v>685</v>
      </c>
      <c r="N4" s="119" t="s">
        <v>1344</v>
      </c>
      <c r="O4" s="120">
        <v>0.67741935483870963</v>
      </c>
      <c r="Q4" s="119">
        <v>1</v>
      </c>
      <c r="R4" s="119" t="s">
        <v>685</v>
      </c>
      <c r="S4" s="119" t="s">
        <v>1344</v>
      </c>
      <c r="T4" s="120">
        <v>1.1114852889046438</v>
      </c>
      <c r="W4" s="119">
        <v>1</v>
      </c>
      <c r="X4" s="119" t="s">
        <v>580</v>
      </c>
      <c r="Y4" s="119" t="s">
        <v>1570</v>
      </c>
      <c r="Z4" s="120">
        <v>0.36199999999999999</v>
      </c>
      <c r="AB4" s="119">
        <v>1</v>
      </c>
      <c r="AC4" s="119" t="s">
        <v>226</v>
      </c>
      <c r="AD4" s="119" t="s">
        <v>1374</v>
      </c>
      <c r="AE4" s="120">
        <v>0.42899999999999999</v>
      </c>
      <c r="AG4" s="119">
        <v>1</v>
      </c>
      <c r="AH4" s="119" t="s">
        <v>429</v>
      </c>
      <c r="AI4" s="119" t="s">
        <v>1319</v>
      </c>
      <c r="AJ4" s="120">
        <v>0.70699999999999996</v>
      </c>
      <c r="AL4" s="119">
        <v>1</v>
      </c>
      <c r="AM4" s="119" t="s">
        <v>429</v>
      </c>
      <c r="AN4" s="119" t="s">
        <v>1319</v>
      </c>
      <c r="AO4" s="120">
        <v>1.044</v>
      </c>
      <c r="AR4" s="119">
        <v>1</v>
      </c>
      <c r="AS4" s="119" t="s">
        <v>226</v>
      </c>
      <c r="AT4" s="119" t="s">
        <v>1463</v>
      </c>
      <c r="AU4" s="120">
        <v>0.40300000000000002</v>
      </c>
      <c r="AW4" s="119">
        <v>1</v>
      </c>
      <c r="AX4" s="119" t="s">
        <v>429</v>
      </c>
      <c r="AY4" s="119" t="s">
        <v>1423</v>
      </c>
      <c r="AZ4" s="120">
        <v>0.47099999999999997</v>
      </c>
      <c r="BB4" s="119">
        <v>1</v>
      </c>
      <c r="BC4" s="119" t="s">
        <v>429</v>
      </c>
      <c r="BD4" s="119" t="s">
        <v>1319</v>
      </c>
      <c r="BE4" s="120">
        <v>0.69299999999999995</v>
      </c>
      <c r="BG4" s="119">
        <v>1</v>
      </c>
      <c r="BH4" s="119" t="s">
        <v>429</v>
      </c>
      <c r="BI4" s="119" t="s">
        <v>1423</v>
      </c>
      <c r="BJ4" s="120">
        <v>1.111</v>
      </c>
    </row>
    <row r="5" spans="2:62">
      <c r="B5">
        <v>2</v>
      </c>
      <c r="C5" t="s">
        <v>539</v>
      </c>
      <c r="D5" t="s">
        <v>1563</v>
      </c>
      <c r="E5" s="122">
        <v>0.36912751677852351</v>
      </c>
      <c r="G5">
        <v>2</v>
      </c>
      <c r="H5" t="s">
        <v>463</v>
      </c>
      <c r="I5" t="s">
        <v>1557</v>
      </c>
      <c r="J5" s="122">
        <v>0.44198895027624308</v>
      </c>
      <c r="L5">
        <v>2</v>
      </c>
      <c r="M5" t="s">
        <v>611</v>
      </c>
      <c r="N5" t="s">
        <v>1334</v>
      </c>
      <c r="O5" s="122">
        <v>0.65454545454545454</v>
      </c>
      <c r="Q5">
        <v>2</v>
      </c>
      <c r="R5" t="s">
        <v>539</v>
      </c>
      <c r="S5" t="s">
        <v>1563</v>
      </c>
      <c r="T5" s="122">
        <v>1.1102043929225136</v>
      </c>
      <c r="W5">
        <v>2</v>
      </c>
      <c r="X5" t="s">
        <v>226</v>
      </c>
      <c r="Y5" t="s">
        <v>1550</v>
      </c>
      <c r="Z5" s="122">
        <v>0.35299999999999998</v>
      </c>
      <c r="AB5">
        <v>2</v>
      </c>
      <c r="AC5" t="s">
        <v>611</v>
      </c>
      <c r="AD5" t="s">
        <v>1567</v>
      </c>
      <c r="AE5" s="122">
        <v>0.42399999999999999</v>
      </c>
      <c r="AG5">
        <v>2</v>
      </c>
      <c r="AH5" t="s">
        <v>539</v>
      </c>
      <c r="AI5" t="s">
        <v>1357</v>
      </c>
      <c r="AJ5" s="122">
        <v>0.66900000000000004</v>
      </c>
      <c r="AL5">
        <v>2</v>
      </c>
      <c r="AM5" t="s">
        <v>580</v>
      </c>
      <c r="AN5" t="s">
        <v>1348</v>
      </c>
      <c r="AO5" s="122">
        <v>1.026</v>
      </c>
      <c r="AR5">
        <v>2</v>
      </c>
      <c r="AS5" t="s">
        <v>429</v>
      </c>
      <c r="AT5" t="s">
        <v>1423</v>
      </c>
      <c r="AU5" s="122">
        <v>0.39</v>
      </c>
      <c r="AW5">
        <v>2</v>
      </c>
      <c r="AX5" t="s">
        <v>226</v>
      </c>
      <c r="AY5" t="s">
        <v>1463</v>
      </c>
      <c r="AZ5" s="122">
        <v>0.44400000000000001</v>
      </c>
      <c r="BB5">
        <v>2</v>
      </c>
      <c r="BC5" t="s">
        <v>429</v>
      </c>
      <c r="BD5" t="s">
        <v>1352</v>
      </c>
      <c r="BE5" s="122">
        <v>0.68600000000000005</v>
      </c>
      <c r="BG5">
        <v>2</v>
      </c>
      <c r="BH5" t="s">
        <v>429</v>
      </c>
      <c r="BI5" t="s">
        <v>1352</v>
      </c>
      <c r="BJ5" s="122">
        <v>1.097</v>
      </c>
    </row>
    <row r="6" spans="2:62">
      <c r="B6">
        <v>3</v>
      </c>
      <c r="C6" t="s">
        <v>226</v>
      </c>
      <c r="D6" t="s">
        <v>1434</v>
      </c>
      <c r="E6" s="122">
        <v>0.36075949367088606</v>
      </c>
      <c r="G6">
        <v>3</v>
      </c>
      <c r="H6" t="s">
        <v>266</v>
      </c>
      <c r="I6" t="s">
        <v>1466</v>
      </c>
      <c r="J6" s="122">
        <v>0.44086021505376344</v>
      </c>
      <c r="L6">
        <v>3</v>
      </c>
      <c r="M6" t="s">
        <v>539</v>
      </c>
      <c r="N6" t="s">
        <v>1563</v>
      </c>
      <c r="O6" s="122">
        <v>0.64429530201342278</v>
      </c>
      <c r="Q6">
        <v>3</v>
      </c>
      <c r="R6" t="s">
        <v>611</v>
      </c>
      <c r="S6" t="s">
        <v>1334</v>
      </c>
      <c r="T6" s="122">
        <v>1.0316883116883118</v>
      </c>
      <c r="W6">
        <v>3</v>
      </c>
      <c r="X6" t="s">
        <v>611</v>
      </c>
      <c r="Y6" t="s">
        <v>1567</v>
      </c>
      <c r="Z6" s="122">
        <v>0.34200000000000003</v>
      </c>
      <c r="AB6">
        <v>3</v>
      </c>
      <c r="AC6" t="s">
        <v>502</v>
      </c>
      <c r="AD6" t="s">
        <v>1554</v>
      </c>
      <c r="AE6" s="122">
        <v>0.41299999999999998</v>
      </c>
      <c r="AG6">
        <v>3</v>
      </c>
      <c r="AH6" t="s">
        <v>580</v>
      </c>
      <c r="AI6" t="s">
        <v>1348</v>
      </c>
      <c r="AJ6" s="122">
        <v>0.61599999999999999</v>
      </c>
      <c r="AL6">
        <v>3</v>
      </c>
      <c r="AM6" t="s">
        <v>539</v>
      </c>
      <c r="AN6" t="s">
        <v>1357</v>
      </c>
      <c r="AO6" s="122">
        <v>1.006</v>
      </c>
      <c r="AR6">
        <v>3</v>
      </c>
      <c r="AS6" t="s">
        <v>429</v>
      </c>
      <c r="AT6" t="s">
        <v>1465</v>
      </c>
      <c r="AU6" s="122">
        <v>0.38100000000000001</v>
      </c>
      <c r="AW6">
        <v>3</v>
      </c>
      <c r="AX6" t="s">
        <v>429</v>
      </c>
      <c r="AY6" t="s">
        <v>1465</v>
      </c>
      <c r="AZ6" s="122">
        <v>0.41799999999999998</v>
      </c>
      <c r="BB6">
        <v>3</v>
      </c>
      <c r="BC6" t="s">
        <v>165</v>
      </c>
      <c r="BD6" t="s">
        <v>1341</v>
      </c>
      <c r="BE6" s="122">
        <v>0.68300000000000005</v>
      </c>
      <c r="BG6">
        <v>3</v>
      </c>
      <c r="BH6" t="s">
        <v>165</v>
      </c>
      <c r="BI6" t="s">
        <v>1341</v>
      </c>
      <c r="BJ6" s="122">
        <v>1.0680000000000001</v>
      </c>
    </row>
    <row r="7" spans="2:62">
      <c r="B7">
        <v>4</v>
      </c>
      <c r="C7" t="s">
        <v>300</v>
      </c>
      <c r="D7" t="s">
        <v>1315</v>
      </c>
      <c r="E7" s="122">
        <v>0.34337349397590361</v>
      </c>
      <c r="G7">
        <v>4</v>
      </c>
      <c r="H7" t="s">
        <v>685</v>
      </c>
      <c r="I7" t="s">
        <v>1344</v>
      </c>
      <c r="J7" s="122">
        <v>0.43406593406593408</v>
      </c>
      <c r="L7">
        <v>4</v>
      </c>
      <c r="M7" t="s">
        <v>580</v>
      </c>
      <c r="N7" t="s">
        <v>1325</v>
      </c>
      <c r="O7" s="122">
        <v>0.61538461538461542</v>
      </c>
      <c r="Q7">
        <v>4</v>
      </c>
      <c r="R7" t="s">
        <v>300</v>
      </c>
      <c r="S7" t="s">
        <v>1315</v>
      </c>
      <c r="T7" s="122">
        <v>0.99949518745372545</v>
      </c>
      <c r="W7">
        <v>4</v>
      </c>
      <c r="X7" t="s">
        <v>539</v>
      </c>
      <c r="Y7" t="s">
        <v>1536</v>
      </c>
      <c r="Z7" s="122">
        <v>0.33900000000000002</v>
      </c>
      <c r="AB7">
        <v>4</v>
      </c>
      <c r="AC7" t="s">
        <v>580</v>
      </c>
      <c r="AD7" t="s">
        <v>1348</v>
      </c>
      <c r="AE7" s="122">
        <v>0.41</v>
      </c>
      <c r="AG7">
        <v>4</v>
      </c>
      <c r="AH7" t="s">
        <v>717</v>
      </c>
      <c r="AI7" t="s">
        <v>1326</v>
      </c>
      <c r="AJ7" s="122">
        <v>0.61599999999999999</v>
      </c>
      <c r="AL7">
        <v>4</v>
      </c>
      <c r="AM7" t="s">
        <v>226</v>
      </c>
      <c r="AN7" t="s">
        <v>1338</v>
      </c>
      <c r="AO7" s="122">
        <v>0.98899999999999999</v>
      </c>
      <c r="AR7">
        <v>4</v>
      </c>
      <c r="AS7" t="s">
        <v>539</v>
      </c>
      <c r="AT7" t="s">
        <v>1490</v>
      </c>
      <c r="AU7" s="122">
        <v>0.36099999999999999</v>
      </c>
      <c r="AW7">
        <v>4</v>
      </c>
      <c r="AX7" t="s">
        <v>429</v>
      </c>
      <c r="AY7" t="s">
        <v>1352</v>
      </c>
      <c r="AZ7" s="122">
        <v>0.41099999999999998</v>
      </c>
      <c r="BB7">
        <v>4</v>
      </c>
      <c r="BC7" t="s">
        <v>226</v>
      </c>
      <c r="BD7" t="s">
        <v>1321</v>
      </c>
      <c r="BE7" s="122">
        <v>0.66900000000000004</v>
      </c>
      <c r="BG7">
        <v>4</v>
      </c>
      <c r="BH7" t="s">
        <v>429</v>
      </c>
      <c r="BI7" t="s">
        <v>1465</v>
      </c>
      <c r="BJ7" s="122">
        <v>1.0549999999999999</v>
      </c>
    </row>
    <row r="8" spans="2:62">
      <c r="B8">
        <v>5</v>
      </c>
      <c r="C8" t="s">
        <v>611</v>
      </c>
      <c r="D8" t="s">
        <v>1334</v>
      </c>
      <c r="E8" s="122">
        <v>0.33939393939393941</v>
      </c>
      <c r="G8">
        <v>5</v>
      </c>
      <c r="H8" t="s">
        <v>226</v>
      </c>
      <c r="I8" t="s">
        <v>1434</v>
      </c>
      <c r="J8" s="122">
        <v>0.41954022988505746</v>
      </c>
      <c r="L8">
        <v>5</v>
      </c>
      <c r="M8" t="s">
        <v>300</v>
      </c>
      <c r="N8" t="s">
        <v>1540</v>
      </c>
      <c r="O8" s="122">
        <v>0.61006289308176098</v>
      </c>
      <c r="Q8">
        <v>5</v>
      </c>
      <c r="R8" t="s">
        <v>394</v>
      </c>
      <c r="S8" t="s">
        <v>1564</v>
      </c>
      <c r="T8" s="122">
        <v>0.99831479609032692</v>
      </c>
      <c r="W8">
        <v>5</v>
      </c>
      <c r="X8" t="s">
        <v>463</v>
      </c>
      <c r="Y8" t="s">
        <v>1448</v>
      </c>
      <c r="Z8" s="122">
        <v>0.33800000000000002</v>
      </c>
      <c r="AB8">
        <v>5</v>
      </c>
      <c r="AC8" t="s">
        <v>226</v>
      </c>
      <c r="AD8" t="s">
        <v>1338</v>
      </c>
      <c r="AE8" s="122">
        <v>0.40799999999999997</v>
      </c>
      <c r="AG8">
        <v>5</v>
      </c>
      <c r="AH8" t="s">
        <v>226</v>
      </c>
      <c r="AI8" t="s">
        <v>1338</v>
      </c>
      <c r="AJ8" s="122">
        <v>0.58199999999999996</v>
      </c>
      <c r="AL8">
        <v>5</v>
      </c>
      <c r="AM8" t="s">
        <v>717</v>
      </c>
      <c r="AN8" t="s">
        <v>1326</v>
      </c>
      <c r="AO8" s="122">
        <v>0.98599999999999999</v>
      </c>
      <c r="AR8">
        <v>5</v>
      </c>
      <c r="AS8" t="s">
        <v>226</v>
      </c>
      <c r="AT8" t="s">
        <v>1434</v>
      </c>
      <c r="AU8" s="122">
        <v>0.34200000000000003</v>
      </c>
      <c r="AW8">
        <v>5</v>
      </c>
      <c r="AX8" t="s">
        <v>502</v>
      </c>
      <c r="AY8" t="s">
        <v>1554</v>
      </c>
      <c r="AZ8" s="122">
        <v>0.40899999999999997</v>
      </c>
      <c r="BB8">
        <v>5</v>
      </c>
      <c r="BC8" t="s">
        <v>429</v>
      </c>
      <c r="BD8" t="s">
        <v>1423</v>
      </c>
      <c r="BE8" s="122">
        <v>0.64</v>
      </c>
      <c r="BG8">
        <v>5</v>
      </c>
      <c r="BH8" t="s">
        <v>226</v>
      </c>
      <c r="BI8" t="s">
        <v>1321</v>
      </c>
      <c r="BJ8" s="122">
        <v>1.0329999999999999</v>
      </c>
    </row>
    <row r="9" spans="2:62">
      <c r="B9">
        <v>6</v>
      </c>
      <c r="C9" t="s">
        <v>165</v>
      </c>
      <c r="D9" t="s">
        <v>1500</v>
      </c>
      <c r="E9" s="122">
        <v>0.33566433566433568</v>
      </c>
      <c r="G9">
        <v>6</v>
      </c>
      <c r="H9" t="s">
        <v>394</v>
      </c>
      <c r="I9" t="s">
        <v>1564</v>
      </c>
      <c r="J9" s="122">
        <v>0.41860465116279072</v>
      </c>
      <c r="L9">
        <v>6</v>
      </c>
      <c r="M9" t="s">
        <v>300</v>
      </c>
      <c r="N9" t="s">
        <v>1315</v>
      </c>
      <c r="O9" s="122">
        <v>0.60843373493975905</v>
      </c>
      <c r="R9" t="s">
        <v>266</v>
      </c>
      <c r="S9" t="s">
        <v>1466</v>
      </c>
      <c r="T9" s="122">
        <v>0.99774644259867351</v>
      </c>
      <c r="W9">
        <v>6</v>
      </c>
      <c r="X9" t="s">
        <v>339</v>
      </c>
      <c r="Y9" t="s">
        <v>1503</v>
      </c>
      <c r="Z9" s="122">
        <v>0.33500000000000002</v>
      </c>
      <c r="AB9">
        <v>6</v>
      </c>
      <c r="AC9" t="s">
        <v>429</v>
      </c>
      <c r="AD9" t="s">
        <v>1423</v>
      </c>
      <c r="AE9" s="122">
        <v>0.40300000000000002</v>
      </c>
      <c r="AG9">
        <v>6</v>
      </c>
      <c r="AH9" t="s">
        <v>165</v>
      </c>
      <c r="AI9" t="s">
        <v>1475</v>
      </c>
      <c r="AJ9" s="122">
        <v>0.57999999999999996</v>
      </c>
      <c r="AL9">
        <v>6</v>
      </c>
      <c r="AM9" t="s">
        <v>611</v>
      </c>
      <c r="AN9" t="s">
        <v>1567</v>
      </c>
      <c r="AO9" s="122">
        <v>0.97899999999999998</v>
      </c>
      <c r="AR9">
        <v>6</v>
      </c>
      <c r="AS9" t="s">
        <v>429</v>
      </c>
      <c r="AT9" t="s">
        <v>1352</v>
      </c>
      <c r="AU9" s="122">
        <v>0.34</v>
      </c>
      <c r="AW9">
        <v>6</v>
      </c>
      <c r="AX9" t="s">
        <v>226</v>
      </c>
      <c r="AY9" t="s">
        <v>1434</v>
      </c>
      <c r="AZ9" s="122">
        <v>0.40799999999999997</v>
      </c>
      <c r="BB9">
        <v>6</v>
      </c>
      <c r="BC9" t="s">
        <v>429</v>
      </c>
      <c r="BD9" t="s">
        <v>1465</v>
      </c>
      <c r="BE9" s="122">
        <v>0.63800000000000001</v>
      </c>
      <c r="BG9">
        <v>6</v>
      </c>
      <c r="BH9" t="s">
        <v>429</v>
      </c>
      <c r="BI9" t="s">
        <v>1319</v>
      </c>
      <c r="BJ9" s="122">
        <v>1.014</v>
      </c>
    </row>
    <row r="10" spans="2:62">
      <c r="B10">
        <v>7</v>
      </c>
      <c r="C10" t="s">
        <v>685</v>
      </c>
      <c r="D10" t="s">
        <v>1344</v>
      </c>
      <c r="E10" s="122">
        <v>0.33548387096774196</v>
      </c>
      <c r="G10">
        <v>7</v>
      </c>
      <c r="H10" t="s">
        <v>226</v>
      </c>
      <c r="I10" t="s">
        <v>1463</v>
      </c>
      <c r="J10" s="122">
        <v>0.4098360655737705</v>
      </c>
      <c r="L10">
        <v>7</v>
      </c>
      <c r="M10" t="s">
        <v>165</v>
      </c>
      <c r="N10" t="s">
        <v>1354</v>
      </c>
      <c r="O10" s="122">
        <v>0.60624999999999996</v>
      </c>
      <c r="Q10">
        <v>7</v>
      </c>
      <c r="R10" t="s">
        <v>580</v>
      </c>
      <c r="S10" t="s">
        <v>1325</v>
      </c>
      <c r="T10" s="122">
        <v>0.97745358090185674</v>
      </c>
      <c r="W10">
        <v>7</v>
      </c>
      <c r="X10" t="s">
        <v>502</v>
      </c>
      <c r="Y10" t="s">
        <v>1554</v>
      </c>
      <c r="Z10" s="122">
        <v>0.33100000000000002</v>
      </c>
      <c r="AB10">
        <v>7</v>
      </c>
      <c r="AC10" t="s">
        <v>463</v>
      </c>
      <c r="AD10" t="s">
        <v>1448</v>
      </c>
      <c r="AE10" s="122">
        <v>0.40100000000000002</v>
      </c>
      <c r="AG10">
        <v>7</v>
      </c>
      <c r="AH10" t="s">
        <v>266</v>
      </c>
      <c r="AI10" t="s">
        <v>1462</v>
      </c>
      <c r="AJ10" s="122">
        <v>0.57899999999999996</v>
      </c>
      <c r="AL10">
        <v>7</v>
      </c>
      <c r="AM10" t="s">
        <v>502</v>
      </c>
      <c r="AN10" t="s">
        <v>1554</v>
      </c>
      <c r="AO10" s="122">
        <v>0.96199999999999997</v>
      </c>
      <c r="AR10">
        <v>7</v>
      </c>
      <c r="AS10" t="s">
        <v>502</v>
      </c>
      <c r="AT10" t="s">
        <v>1554</v>
      </c>
      <c r="AU10" s="122">
        <v>0.33600000000000002</v>
      </c>
      <c r="AW10">
        <v>7</v>
      </c>
      <c r="AX10" t="s">
        <v>539</v>
      </c>
      <c r="AY10" t="s">
        <v>1563</v>
      </c>
      <c r="AZ10" s="122">
        <v>0.40600000000000003</v>
      </c>
      <c r="BB10">
        <v>7</v>
      </c>
      <c r="BC10" t="s">
        <v>339</v>
      </c>
      <c r="BD10" t="s">
        <v>1360</v>
      </c>
      <c r="BE10" s="122">
        <v>0.63100000000000001</v>
      </c>
      <c r="BG10">
        <v>7</v>
      </c>
      <c r="BH10" t="s">
        <v>226</v>
      </c>
      <c r="BI10" t="s">
        <v>1338</v>
      </c>
      <c r="BJ10" s="122">
        <v>0.996</v>
      </c>
    </row>
    <row r="11" spans="2:62">
      <c r="B11">
        <v>8</v>
      </c>
      <c r="C11" t="s">
        <v>226</v>
      </c>
      <c r="D11" t="s">
        <v>1463</v>
      </c>
      <c r="E11" s="122">
        <v>0.33333333333333331</v>
      </c>
      <c r="G11">
        <v>8</v>
      </c>
      <c r="H11" t="s">
        <v>611</v>
      </c>
      <c r="I11" t="s">
        <v>1567</v>
      </c>
      <c r="J11" s="122">
        <v>0.40350877192982454</v>
      </c>
      <c r="L11">
        <v>8</v>
      </c>
      <c r="M11" t="s">
        <v>539</v>
      </c>
      <c r="N11" t="s">
        <v>1495</v>
      </c>
      <c r="O11" s="122">
        <v>0.59663865546218486</v>
      </c>
      <c r="Q11">
        <v>8</v>
      </c>
      <c r="R11" t="s">
        <v>165</v>
      </c>
      <c r="S11" t="s">
        <v>1354</v>
      </c>
      <c r="T11" s="122">
        <v>0.97237021857923489</v>
      </c>
      <c r="W11">
        <v>8</v>
      </c>
      <c r="X11" t="s">
        <v>226</v>
      </c>
      <c r="Y11" t="s">
        <v>1374</v>
      </c>
      <c r="Z11" s="122">
        <v>0.32400000000000001</v>
      </c>
      <c r="AB11">
        <v>8</v>
      </c>
      <c r="AC11" t="s">
        <v>650</v>
      </c>
      <c r="AD11" t="s">
        <v>1422</v>
      </c>
      <c r="AE11" s="122">
        <v>0.39600000000000002</v>
      </c>
      <c r="AG11">
        <v>8</v>
      </c>
      <c r="AH11" t="s">
        <v>339</v>
      </c>
      <c r="AI11" t="s">
        <v>1460</v>
      </c>
      <c r="AJ11" s="122">
        <v>0.56899999999999995</v>
      </c>
      <c r="AL11">
        <v>8</v>
      </c>
      <c r="AM11" t="s">
        <v>226</v>
      </c>
      <c r="AN11" t="s">
        <v>1374</v>
      </c>
      <c r="AO11" s="122">
        <v>0.94899999999999995</v>
      </c>
      <c r="AR11">
        <v>8</v>
      </c>
      <c r="AS11" t="s">
        <v>685</v>
      </c>
      <c r="AT11" t="s">
        <v>1344</v>
      </c>
      <c r="AU11" s="122">
        <v>0.33100000000000002</v>
      </c>
      <c r="AW11">
        <v>8</v>
      </c>
      <c r="AX11" t="s">
        <v>165</v>
      </c>
      <c r="AY11" t="s">
        <v>1471</v>
      </c>
      <c r="AZ11" s="122">
        <v>0.39900000000000002</v>
      </c>
      <c r="BB11">
        <v>8</v>
      </c>
      <c r="BC11" t="s">
        <v>226</v>
      </c>
      <c r="BD11" t="s">
        <v>1338</v>
      </c>
      <c r="BE11" s="122">
        <v>0.621</v>
      </c>
      <c r="BG11">
        <v>8</v>
      </c>
      <c r="BH11" t="s">
        <v>580</v>
      </c>
      <c r="BI11" t="s">
        <v>1468</v>
      </c>
      <c r="BJ11" s="122">
        <v>0.98699999999999999</v>
      </c>
    </row>
    <row r="12" spans="2:62">
      <c r="B12">
        <v>9</v>
      </c>
      <c r="C12" t="s">
        <v>611</v>
      </c>
      <c r="D12" t="s">
        <v>1567</v>
      </c>
      <c r="E12" s="122">
        <v>0.32894736842105265</v>
      </c>
      <c r="G12">
        <v>9</v>
      </c>
      <c r="H12" t="s">
        <v>717</v>
      </c>
      <c r="I12" t="s">
        <v>1342</v>
      </c>
      <c r="J12" s="122">
        <v>0.39772727272727271</v>
      </c>
      <c r="L12">
        <v>9</v>
      </c>
      <c r="M12" t="s">
        <v>300</v>
      </c>
      <c r="N12" t="s">
        <v>1392</v>
      </c>
      <c r="O12" s="122">
        <v>0.5864197530864198</v>
      </c>
      <c r="Q12">
        <v>9</v>
      </c>
      <c r="R12" t="s">
        <v>300</v>
      </c>
      <c r="S12" t="s">
        <v>1540</v>
      </c>
      <c r="T12" s="122">
        <v>0.96678803928059143</v>
      </c>
      <c r="W12">
        <v>9</v>
      </c>
      <c r="X12" t="s">
        <v>580</v>
      </c>
      <c r="Y12" t="s">
        <v>1348</v>
      </c>
      <c r="Z12" s="122">
        <v>0.32100000000000001</v>
      </c>
      <c r="AB12">
        <v>9</v>
      </c>
      <c r="AC12" t="s">
        <v>300</v>
      </c>
      <c r="AD12" t="s">
        <v>1315</v>
      </c>
      <c r="AE12" s="122">
        <v>0.39400000000000002</v>
      </c>
      <c r="AG12">
        <v>9</v>
      </c>
      <c r="AH12" t="s">
        <v>429</v>
      </c>
      <c r="AI12" t="s">
        <v>1539</v>
      </c>
      <c r="AJ12" s="122">
        <v>0.56599999999999995</v>
      </c>
      <c r="AL12">
        <v>9</v>
      </c>
      <c r="AM12" t="s">
        <v>339</v>
      </c>
      <c r="AN12" t="s">
        <v>1503</v>
      </c>
      <c r="AO12" s="122">
        <v>0.94499999999999995</v>
      </c>
      <c r="AR12">
        <v>9</v>
      </c>
      <c r="AS12" t="s">
        <v>394</v>
      </c>
      <c r="AT12" t="s">
        <v>1544</v>
      </c>
      <c r="AU12" s="122">
        <v>0.32700000000000001</v>
      </c>
      <c r="AW12">
        <v>9</v>
      </c>
      <c r="AX12" t="s">
        <v>717</v>
      </c>
      <c r="AY12" t="s">
        <v>1517</v>
      </c>
      <c r="AZ12" s="122">
        <v>0.39500000000000002</v>
      </c>
      <c r="BB12">
        <v>9</v>
      </c>
      <c r="BC12" t="s">
        <v>580</v>
      </c>
      <c r="BD12" t="s">
        <v>1468</v>
      </c>
      <c r="BE12" s="122">
        <v>0.59399999999999997</v>
      </c>
      <c r="BG12">
        <v>9</v>
      </c>
      <c r="BH12" t="s">
        <v>226</v>
      </c>
      <c r="BI12" t="s">
        <v>1463</v>
      </c>
      <c r="BJ12" s="122">
        <v>0.97899999999999998</v>
      </c>
    </row>
    <row r="13" spans="2:62">
      <c r="B13">
        <v>10</v>
      </c>
      <c r="C13" t="s">
        <v>463</v>
      </c>
      <c r="D13" t="s">
        <v>1480</v>
      </c>
      <c r="E13" s="122">
        <v>0.32666666666666666</v>
      </c>
      <c r="G13">
        <v>10</v>
      </c>
      <c r="H13" t="s">
        <v>300</v>
      </c>
      <c r="I13" t="s">
        <v>1315</v>
      </c>
      <c r="J13" s="122">
        <v>0.39106145251396646</v>
      </c>
      <c r="L13">
        <v>10</v>
      </c>
      <c r="M13" t="s">
        <v>502</v>
      </c>
      <c r="N13" t="s">
        <v>1376</v>
      </c>
      <c r="O13" s="122">
        <v>0.58490566037735847</v>
      </c>
      <c r="Q13">
        <v>10</v>
      </c>
      <c r="R13" t="s">
        <v>165</v>
      </c>
      <c r="S13" t="s">
        <v>1500</v>
      </c>
      <c r="T13" s="122">
        <v>0.95353034062711484</v>
      </c>
      <c r="W13">
        <v>10</v>
      </c>
      <c r="X13" t="s">
        <v>650</v>
      </c>
      <c r="Y13" t="s">
        <v>1422</v>
      </c>
      <c r="Z13" s="122">
        <v>0.32</v>
      </c>
      <c r="AB13">
        <v>10</v>
      </c>
      <c r="AD13" t="s">
        <v>1610</v>
      </c>
      <c r="AE13" s="122">
        <v>0.39200000000000002</v>
      </c>
      <c r="AG13">
        <v>10</v>
      </c>
      <c r="AH13" t="s">
        <v>339</v>
      </c>
      <c r="AI13" t="s">
        <v>1503</v>
      </c>
      <c r="AJ13" s="122">
        <v>0.56100000000000005</v>
      </c>
      <c r="AL13">
        <v>10</v>
      </c>
      <c r="AM13" t="s">
        <v>463</v>
      </c>
      <c r="AN13" t="s">
        <v>1448</v>
      </c>
      <c r="AO13" s="122">
        <v>0.94399999999999995</v>
      </c>
      <c r="AR13">
        <v>10</v>
      </c>
      <c r="AS13" t="s">
        <v>580</v>
      </c>
      <c r="AT13" t="s">
        <v>1468</v>
      </c>
      <c r="AU13" s="122">
        <v>0.32500000000000001</v>
      </c>
      <c r="AW13">
        <v>10</v>
      </c>
      <c r="AX13" t="s">
        <v>539</v>
      </c>
      <c r="AY13" t="s">
        <v>1436</v>
      </c>
      <c r="AZ13" s="122">
        <v>0.39400000000000002</v>
      </c>
      <c r="BB13">
        <v>10</v>
      </c>
      <c r="BC13" t="s">
        <v>580</v>
      </c>
      <c r="BD13" t="s">
        <v>1325</v>
      </c>
      <c r="BE13" s="122">
        <v>0.59099999999999997</v>
      </c>
      <c r="BG13">
        <v>10</v>
      </c>
      <c r="BH13" t="s">
        <v>339</v>
      </c>
      <c r="BI13" t="s">
        <v>1360</v>
      </c>
      <c r="BJ13" s="122">
        <v>0.96299999999999997</v>
      </c>
    </row>
    <row r="15" spans="2:62">
      <c r="B15" s="1084" t="s">
        <v>161</v>
      </c>
      <c r="C15" s="1085"/>
      <c r="D15" s="1085"/>
      <c r="E15" s="1086"/>
      <c r="G15" s="1084" t="s">
        <v>156</v>
      </c>
      <c r="H15" s="1085"/>
      <c r="I15" s="1085"/>
      <c r="J15" s="1086"/>
      <c r="L15" s="1084" t="s">
        <v>1611</v>
      </c>
      <c r="M15" s="1085"/>
      <c r="N15" s="1085"/>
      <c r="O15" s="1086"/>
      <c r="Q15" s="1084" t="s">
        <v>1612</v>
      </c>
      <c r="R15" s="1085"/>
      <c r="S15" s="1085"/>
      <c r="T15" s="1086"/>
      <c r="W15" s="1084" t="s">
        <v>161</v>
      </c>
      <c r="X15" s="1085"/>
      <c r="Y15" s="1085"/>
      <c r="Z15" s="1086"/>
      <c r="AB15" s="1084" t="s">
        <v>156</v>
      </c>
      <c r="AC15" s="1085"/>
      <c r="AD15" s="1085"/>
      <c r="AE15" s="1086"/>
      <c r="AG15" s="1084" t="s">
        <v>1611</v>
      </c>
      <c r="AH15" s="1085"/>
      <c r="AI15" s="1085"/>
      <c r="AJ15" s="1086"/>
      <c r="AL15" s="1084" t="s">
        <v>1612</v>
      </c>
      <c r="AM15" s="1085"/>
      <c r="AN15" s="1085"/>
      <c r="AO15" s="1086"/>
      <c r="AR15" s="1084" t="s">
        <v>161</v>
      </c>
      <c r="AS15" s="1085"/>
      <c r="AT15" s="1085"/>
      <c r="AU15" s="1086"/>
      <c r="AW15" s="1084" t="s">
        <v>156</v>
      </c>
      <c r="AX15" s="1085"/>
      <c r="AY15" s="1085"/>
      <c r="AZ15" s="1086"/>
      <c r="BB15" s="1084" t="s">
        <v>1611</v>
      </c>
      <c r="BC15" s="1085"/>
      <c r="BD15" s="1085"/>
      <c r="BE15" s="1086"/>
      <c r="BG15" s="1084" t="s">
        <v>1612</v>
      </c>
      <c r="BH15" s="1085"/>
      <c r="BI15" s="1085"/>
      <c r="BJ15" s="1086"/>
    </row>
    <row r="16" spans="2:62" s="141" customFormat="1">
      <c r="B16" s="359"/>
      <c r="C16" s="360" t="s">
        <v>8</v>
      </c>
      <c r="D16" s="360" t="s">
        <v>1314</v>
      </c>
      <c r="E16" s="360" t="s">
        <v>164</v>
      </c>
      <c r="G16" s="359"/>
      <c r="H16" s="360" t="s">
        <v>8</v>
      </c>
      <c r="I16" s="360" t="s">
        <v>1314</v>
      </c>
      <c r="J16" s="359" t="s">
        <v>164</v>
      </c>
      <c r="L16" s="359"/>
      <c r="M16" s="360" t="s">
        <v>8</v>
      </c>
      <c r="N16" s="360" t="s">
        <v>1314</v>
      </c>
      <c r="O16" s="360" t="s">
        <v>164</v>
      </c>
      <c r="Q16" s="359"/>
      <c r="R16" s="360" t="s">
        <v>8</v>
      </c>
      <c r="S16" s="360" t="s">
        <v>1314</v>
      </c>
      <c r="T16" s="360" t="s">
        <v>164</v>
      </c>
      <c r="W16" s="359"/>
      <c r="X16" s="360" t="s">
        <v>8</v>
      </c>
      <c r="Y16" s="360" t="s">
        <v>1314</v>
      </c>
      <c r="Z16" s="360" t="s">
        <v>164</v>
      </c>
      <c r="AB16" s="359"/>
      <c r="AC16" s="360" t="s">
        <v>8</v>
      </c>
      <c r="AD16" s="360" t="s">
        <v>1314</v>
      </c>
      <c r="AE16" s="359" t="s">
        <v>164</v>
      </c>
      <c r="AG16" s="359"/>
      <c r="AH16" s="360" t="s">
        <v>8</v>
      </c>
      <c r="AI16" s="360" t="s">
        <v>1314</v>
      </c>
      <c r="AJ16" s="360" t="s">
        <v>164</v>
      </c>
      <c r="AL16" s="359"/>
      <c r="AM16" s="360" t="s">
        <v>8</v>
      </c>
      <c r="AN16" s="360" t="s">
        <v>1314</v>
      </c>
      <c r="AO16" s="360" t="s">
        <v>164</v>
      </c>
      <c r="AR16" s="359"/>
      <c r="AS16" s="360" t="s">
        <v>8</v>
      </c>
      <c r="AT16" s="360" t="s">
        <v>1314</v>
      </c>
      <c r="AU16" s="360" t="s">
        <v>164</v>
      </c>
      <c r="AW16" s="359"/>
      <c r="AX16" s="360" t="s">
        <v>8</v>
      </c>
      <c r="AY16" s="360" t="s">
        <v>1314</v>
      </c>
      <c r="AZ16" s="359" t="s">
        <v>164</v>
      </c>
      <c r="BB16" s="359"/>
      <c r="BC16" s="360" t="s">
        <v>8</v>
      </c>
      <c r="BD16" s="360" t="s">
        <v>1314</v>
      </c>
      <c r="BE16" s="360" t="s">
        <v>164</v>
      </c>
      <c r="BG16" s="359"/>
      <c r="BH16" s="360" t="s">
        <v>8</v>
      </c>
      <c r="BI16" s="360" t="s">
        <v>1314</v>
      </c>
      <c r="BJ16" s="360" t="s">
        <v>164</v>
      </c>
    </row>
    <row r="17" spans="2:62" s="119" customFormat="1" ht="19">
      <c r="B17" s="119">
        <v>1</v>
      </c>
      <c r="C17" s="119" t="s">
        <v>611</v>
      </c>
      <c r="D17" s="119" t="s">
        <v>1334</v>
      </c>
      <c r="E17" s="119">
        <v>108</v>
      </c>
      <c r="G17" s="119">
        <v>1</v>
      </c>
      <c r="H17" s="119" t="s">
        <v>580</v>
      </c>
      <c r="I17" s="119" t="s">
        <v>1325</v>
      </c>
      <c r="J17" s="119">
        <v>36</v>
      </c>
      <c r="L17" s="119">
        <v>1</v>
      </c>
      <c r="M17" s="119" t="s">
        <v>685</v>
      </c>
      <c r="N17" s="119" t="s">
        <v>1340</v>
      </c>
      <c r="O17" s="119">
        <v>34</v>
      </c>
      <c r="Q17" s="119">
        <v>1</v>
      </c>
      <c r="R17" s="119" t="s">
        <v>266</v>
      </c>
      <c r="S17" s="119" t="s">
        <v>1466</v>
      </c>
      <c r="T17" s="119">
        <v>63</v>
      </c>
      <c r="W17" s="119">
        <v>1</v>
      </c>
      <c r="X17" s="119" t="s">
        <v>429</v>
      </c>
      <c r="Y17" s="119" t="s">
        <v>1319</v>
      </c>
      <c r="Z17" s="119">
        <v>128</v>
      </c>
      <c r="AB17" s="119">
        <v>1</v>
      </c>
      <c r="AC17" s="119" t="s">
        <v>502</v>
      </c>
      <c r="AD17" s="119" t="s">
        <v>1329</v>
      </c>
      <c r="AE17" s="119">
        <v>45</v>
      </c>
      <c r="AG17" s="119">
        <v>1</v>
      </c>
      <c r="AH17" s="119" t="s">
        <v>429</v>
      </c>
      <c r="AI17" s="119" t="s">
        <v>1319</v>
      </c>
      <c r="AJ17" s="119">
        <v>43</v>
      </c>
      <c r="AL17" s="119">
        <v>1</v>
      </c>
      <c r="AM17" s="119" t="s">
        <v>539</v>
      </c>
      <c r="AN17" s="119" t="s">
        <v>1536</v>
      </c>
      <c r="AO17" s="119">
        <v>59</v>
      </c>
      <c r="AR17" s="119">
        <v>1</v>
      </c>
      <c r="AS17" s="119" t="s">
        <v>429</v>
      </c>
      <c r="AT17" s="119" t="s">
        <v>1319</v>
      </c>
      <c r="AU17" s="119">
        <v>124</v>
      </c>
      <c r="AW17" s="119">
        <v>1</v>
      </c>
      <c r="AX17" s="119" t="s">
        <v>226</v>
      </c>
      <c r="AY17" s="119" t="s">
        <v>1321</v>
      </c>
      <c r="AZ17" s="119">
        <v>44</v>
      </c>
      <c r="BB17" s="119">
        <v>1</v>
      </c>
      <c r="BC17" s="119" t="s">
        <v>165</v>
      </c>
      <c r="BD17" s="119" t="s">
        <v>1341</v>
      </c>
      <c r="BE17" s="119">
        <v>37</v>
      </c>
      <c r="BG17" s="119">
        <v>1</v>
      </c>
      <c r="BH17" s="119" t="s">
        <v>226</v>
      </c>
      <c r="BI17" s="119" t="s">
        <v>1463</v>
      </c>
      <c r="BJ17" s="119">
        <v>64</v>
      </c>
    </row>
    <row r="18" spans="2:62" ht="19">
      <c r="B18">
        <v>2</v>
      </c>
      <c r="C18" t="s">
        <v>685</v>
      </c>
      <c r="D18" t="s">
        <v>1344</v>
      </c>
      <c r="E18">
        <v>105</v>
      </c>
      <c r="G18">
        <v>2</v>
      </c>
      <c r="H18" t="s">
        <v>300</v>
      </c>
      <c r="I18" t="s">
        <v>1315</v>
      </c>
      <c r="J18">
        <v>33</v>
      </c>
      <c r="M18" s="506" t="s">
        <v>611</v>
      </c>
      <c r="N18" s="506" t="s">
        <v>1334</v>
      </c>
      <c r="O18" s="506">
        <v>34</v>
      </c>
      <c r="Q18">
        <v>2</v>
      </c>
      <c r="R18" s="505" t="s">
        <v>300</v>
      </c>
      <c r="S18" s="505" t="s">
        <v>1315</v>
      </c>
      <c r="T18" s="505">
        <v>57</v>
      </c>
      <c r="W18">
        <v>2</v>
      </c>
      <c r="X18" t="s">
        <v>539</v>
      </c>
      <c r="Y18" t="s">
        <v>1357</v>
      </c>
      <c r="Z18">
        <v>109</v>
      </c>
      <c r="AB18">
        <v>2</v>
      </c>
      <c r="AC18" t="s">
        <v>429</v>
      </c>
      <c r="AD18" t="s">
        <v>1319</v>
      </c>
      <c r="AE18">
        <v>39</v>
      </c>
      <c r="AG18">
        <v>2</v>
      </c>
      <c r="AH18" t="s">
        <v>580</v>
      </c>
      <c r="AI18" t="s">
        <v>1468</v>
      </c>
      <c r="AJ18">
        <v>33</v>
      </c>
      <c r="AM18" s="119" t="s">
        <v>580</v>
      </c>
      <c r="AN18" s="119" t="s">
        <v>1570</v>
      </c>
      <c r="AO18" s="119">
        <v>59</v>
      </c>
      <c r="AR18">
        <v>2</v>
      </c>
      <c r="AS18" t="s">
        <v>226</v>
      </c>
      <c r="AT18" t="s">
        <v>1321</v>
      </c>
      <c r="AU18">
        <v>113</v>
      </c>
      <c r="AW18">
        <v>2</v>
      </c>
      <c r="AX18" t="s">
        <v>339</v>
      </c>
      <c r="AY18" t="s">
        <v>1360</v>
      </c>
      <c r="AZ18">
        <v>41</v>
      </c>
      <c r="BB18">
        <v>2</v>
      </c>
      <c r="BC18" t="s">
        <v>226</v>
      </c>
      <c r="BD18" t="s">
        <v>1321</v>
      </c>
      <c r="BE18">
        <v>36</v>
      </c>
      <c r="BG18">
        <v>2</v>
      </c>
      <c r="BH18" t="s">
        <v>429</v>
      </c>
      <c r="BI18" t="s">
        <v>1465</v>
      </c>
      <c r="BJ18">
        <v>61</v>
      </c>
    </row>
    <row r="19" spans="2:62">
      <c r="B19">
        <v>3</v>
      </c>
      <c r="C19" t="s">
        <v>300</v>
      </c>
      <c r="D19" t="s">
        <v>1315</v>
      </c>
      <c r="E19">
        <v>101</v>
      </c>
      <c r="G19">
        <v>3</v>
      </c>
      <c r="H19" t="s">
        <v>685</v>
      </c>
      <c r="I19" t="s">
        <v>1344</v>
      </c>
      <c r="J19">
        <v>32</v>
      </c>
      <c r="L19">
        <v>3</v>
      </c>
      <c r="M19" t="s">
        <v>580</v>
      </c>
      <c r="N19" t="s">
        <v>1325</v>
      </c>
      <c r="O19">
        <v>33</v>
      </c>
      <c r="R19" t="s">
        <v>226</v>
      </c>
      <c r="S19" t="s">
        <v>1434</v>
      </c>
      <c r="T19">
        <v>57</v>
      </c>
      <c r="W19">
        <v>3</v>
      </c>
      <c r="X19" t="s">
        <v>717</v>
      </c>
      <c r="Y19" t="s">
        <v>1326</v>
      </c>
      <c r="Z19">
        <v>101</v>
      </c>
      <c r="AB19">
        <v>3</v>
      </c>
      <c r="AC19" t="s">
        <v>226</v>
      </c>
      <c r="AD19" t="s">
        <v>1338</v>
      </c>
      <c r="AE19">
        <v>35</v>
      </c>
      <c r="AG19">
        <v>3</v>
      </c>
      <c r="AH19" t="s">
        <v>266</v>
      </c>
      <c r="AI19" t="s">
        <v>1541</v>
      </c>
      <c r="AJ19">
        <v>30</v>
      </c>
      <c r="AL19">
        <v>3</v>
      </c>
      <c r="AM19" t="s">
        <v>339</v>
      </c>
      <c r="AN19" t="s">
        <v>1503</v>
      </c>
      <c r="AO19">
        <v>55</v>
      </c>
      <c r="AR19">
        <v>3</v>
      </c>
      <c r="AS19" t="s">
        <v>429</v>
      </c>
      <c r="AT19" t="s">
        <v>1352</v>
      </c>
      <c r="AU19">
        <v>107</v>
      </c>
      <c r="AX19" t="s">
        <v>717</v>
      </c>
      <c r="AY19" t="s">
        <v>1425</v>
      </c>
      <c r="AZ19">
        <v>41</v>
      </c>
      <c r="BB19">
        <v>3</v>
      </c>
      <c r="BC19" t="s">
        <v>429</v>
      </c>
      <c r="BD19" t="s">
        <v>1319</v>
      </c>
      <c r="BE19">
        <v>35</v>
      </c>
      <c r="BG19">
        <v>3</v>
      </c>
      <c r="BH19" t="s">
        <v>226</v>
      </c>
      <c r="BI19" t="s">
        <v>1434</v>
      </c>
      <c r="BJ19">
        <v>55</v>
      </c>
    </row>
    <row r="20" spans="2:62">
      <c r="B20">
        <v>4</v>
      </c>
      <c r="C20" t="s">
        <v>685</v>
      </c>
      <c r="D20" t="s">
        <v>1340</v>
      </c>
      <c r="E20">
        <v>99</v>
      </c>
      <c r="H20" t="s">
        <v>611</v>
      </c>
      <c r="I20" t="s">
        <v>1567</v>
      </c>
      <c r="J20">
        <v>32</v>
      </c>
      <c r="L20">
        <v>4</v>
      </c>
      <c r="M20" t="s">
        <v>226</v>
      </c>
      <c r="N20" t="s">
        <v>1463</v>
      </c>
      <c r="O20">
        <v>32</v>
      </c>
      <c r="Q20">
        <v>4</v>
      </c>
      <c r="R20" t="s">
        <v>611</v>
      </c>
      <c r="S20" t="s">
        <v>1334</v>
      </c>
      <c r="T20">
        <v>56</v>
      </c>
      <c r="W20">
        <v>4</v>
      </c>
      <c r="X20" t="s">
        <v>580</v>
      </c>
      <c r="Y20" t="s">
        <v>1348</v>
      </c>
      <c r="Z20">
        <v>98</v>
      </c>
      <c r="AB20">
        <v>4</v>
      </c>
      <c r="AC20" t="s">
        <v>226</v>
      </c>
      <c r="AD20" t="s">
        <v>1321</v>
      </c>
      <c r="AE20">
        <v>34</v>
      </c>
      <c r="AG20">
        <v>4</v>
      </c>
      <c r="AH20" t="s">
        <v>394</v>
      </c>
      <c r="AI20" t="s">
        <v>1564</v>
      </c>
      <c r="AJ20">
        <v>29</v>
      </c>
      <c r="AM20" t="s">
        <v>226</v>
      </c>
      <c r="AN20" t="s">
        <v>1550</v>
      </c>
      <c r="AO20">
        <v>55</v>
      </c>
      <c r="AR20">
        <v>4</v>
      </c>
      <c r="AS20" t="s">
        <v>429</v>
      </c>
      <c r="AT20" t="s">
        <v>1465</v>
      </c>
      <c r="AU20">
        <v>102</v>
      </c>
      <c r="AW20">
        <v>4</v>
      </c>
      <c r="AX20" t="s">
        <v>165</v>
      </c>
      <c r="AY20" t="s">
        <v>1341</v>
      </c>
      <c r="AZ20">
        <v>36</v>
      </c>
      <c r="BB20">
        <v>4</v>
      </c>
      <c r="BC20" t="s">
        <v>685</v>
      </c>
      <c r="BD20" t="s">
        <v>1340</v>
      </c>
      <c r="BE20">
        <v>31</v>
      </c>
      <c r="BG20">
        <v>4</v>
      </c>
      <c r="BH20" t="s">
        <v>226</v>
      </c>
      <c r="BI20" t="s">
        <v>1321</v>
      </c>
      <c r="BJ20">
        <v>54</v>
      </c>
    </row>
    <row r="21" spans="2:62">
      <c r="B21">
        <v>5</v>
      </c>
      <c r="C21" t="s">
        <v>165</v>
      </c>
      <c r="D21" t="s">
        <v>1354</v>
      </c>
      <c r="E21">
        <v>97</v>
      </c>
      <c r="H21" t="s">
        <v>394</v>
      </c>
      <c r="I21" t="s">
        <v>1564</v>
      </c>
      <c r="J21">
        <v>32</v>
      </c>
      <c r="L21">
        <v>5</v>
      </c>
      <c r="M21" t="s">
        <v>165</v>
      </c>
      <c r="N21" t="s">
        <v>1354</v>
      </c>
      <c r="O21">
        <v>31</v>
      </c>
      <c r="Q21">
        <v>5</v>
      </c>
      <c r="R21" t="s">
        <v>539</v>
      </c>
      <c r="S21" t="s">
        <v>1563</v>
      </c>
      <c r="T21">
        <v>55</v>
      </c>
      <c r="W21">
        <v>5</v>
      </c>
      <c r="X21" t="s">
        <v>539</v>
      </c>
      <c r="Y21" t="s">
        <v>1536</v>
      </c>
      <c r="Z21">
        <v>97</v>
      </c>
      <c r="AB21">
        <v>5</v>
      </c>
      <c r="AC21" t="s">
        <v>394</v>
      </c>
      <c r="AD21" t="s">
        <v>1564</v>
      </c>
      <c r="AE21">
        <v>33</v>
      </c>
      <c r="AH21" t="s">
        <v>226</v>
      </c>
      <c r="AI21" t="s">
        <v>1374</v>
      </c>
      <c r="AJ21">
        <v>29</v>
      </c>
      <c r="AL21">
        <v>5</v>
      </c>
      <c r="AM21" t="s">
        <v>226</v>
      </c>
      <c r="AN21" t="s">
        <v>1321</v>
      </c>
      <c r="AO21">
        <v>53</v>
      </c>
      <c r="AR21">
        <v>5</v>
      </c>
      <c r="AS21" t="s">
        <v>339</v>
      </c>
      <c r="AT21" t="s">
        <v>1360</v>
      </c>
      <c r="AU21">
        <v>101</v>
      </c>
      <c r="AX21" t="s">
        <v>429</v>
      </c>
      <c r="AY21" t="s">
        <v>1319</v>
      </c>
      <c r="AZ21">
        <v>36</v>
      </c>
      <c r="BC21" t="s">
        <v>226</v>
      </c>
      <c r="BD21" t="s">
        <v>1463</v>
      </c>
      <c r="BE21">
        <v>31</v>
      </c>
      <c r="BG21">
        <v>5</v>
      </c>
      <c r="BH21" t="s">
        <v>539</v>
      </c>
      <c r="BI21" t="s">
        <v>1446</v>
      </c>
      <c r="BJ21">
        <v>53</v>
      </c>
    </row>
    <row r="22" spans="2:62">
      <c r="C22" t="s">
        <v>300</v>
      </c>
      <c r="D22" t="s">
        <v>1540</v>
      </c>
      <c r="E22">
        <v>97</v>
      </c>
      <c r="G22">
        <v>6</v>
      </c>
      <c r="H22" t="s">
        <v>685</v>
      </c>
      <c r="I22" t="s">
        <v>1340</v>
      </c>
      <c r="J22">
        <v>31</v>
      </c>
      <c r="L22">
        <v>6</v>
      </c>
      <c r="M22" t="s">
        <v>580</v>
      </c>
      <c r="N22" t="s">
        <v>1429</v>
      </c>
      <c r="O22">
        <v>30</v>
      </c>
      <c r="Q22">
        <v>6</v>
      </c>
      <c r="R22" t="s">
        <v>394</v>
      </c>
      <c r="S22" t="s">
        <v>1400</v>
      </c>
      <c r="T22">
        <v>54</v>
      </c>
      <c r="W22">
        <v>6</v>
      </c>
      <c r="X22" t="s">
        <v>266</v>
      </c>
      <c r="Y22" t="s">
        <v>1462</v>
      </c>
      <c r="Z22">
        <v>95</v>
      </c>
      <c r="AB22">
        <v>6</v>
      </c>
      <c r="AC22" t="s">
        <v>717</v>
      </c>
      <c r="AD22" t="s">
        <v>1326</v>
      </c>
      <c r="AE22">
        <v>32</v>
      </c>
      <c r="AG22">
        <v>6</v>
      </c>
      <c r="AH22" t="s">
        <v>717</v>
      </c>
      <c r="AI22" t="s">
        <v>1517</v>
      </c>
      <c r="AJ22">
        <v>28</v>
      </c>
      <c r="AM22" t="s">
        <v>429</v>
      </c>
      <c r="AN22" t="s">
        <v>1319</v>
      </c>
      <c r="AO22">
        <v>53</v>
      </c>
      <c r="AR22">
        <v>6</v>
      </c>
      <c r="AS22" t="s">
        <v>165</v>
      </c>
      <c r="AT22" t="s">
        <v>1341</v>
      </c>
      <c r="AU22">
        <v>99</v>
      </c>
      <c r="AW22">
        <v>6</v>
      </c>
      <c r="AX22" t="s">
        <v>394</v>
      </c>
      <c r="AY22" t="s">
        <v>1546</v>
      </c>
      <c r="AZ22">
        <v>35</v>
      </c>
      <c r="BB22">
        <v>6</v>
      </c>
      <c r="BC22" t="s">
        <v>394</v>
      </c>
      <c r="BD22" t="s">
        <v>1544</v>
      </c>
      <c r="BE22">
        <v>30</v>
      </c>
      <c r="BG22">
        <v>6</v>
      </c>
      <c r="BH22" t="s">
        <v>429</v>
      </c>
      <c r="BI22" t="s">
        <v>1352</v>
      </c>
      <c r="BJ22">
        <v>53</v>
      </c>
    </row>
    <row r="23" spans="2:62">
      <c r="B23">
        <v>7</v>
      </c>
      <c r="C23" t="s">
        <v>580</v>
      </c>
      <c r="D23" t="s">
        <v>1325</v>
      </c>
      <c r="E23">
        <v>96</v>
      </c>
      <c r="H23" t="s">
        <v>463</v>
      </c>
      <c r="I23" t="s">
        <v>1513</v>
      </c>
      <c r="J23">
        <v>31</v>
      </c>
      <c r="L23">
        <v>7</v>
      </c>
      <c r="M23" t="s">
        <v>300</v>
      </c>
      <c r="N23" t="s">
        <v>1636</v>
      </c>
      <c r="O23">
        <v>28</v>
      </c>
      <c r="R23" t="s">
        <v>226</v>
      </c>
      <c r="S23" t="s">
        <v>1463</v>
      </c>
      <c r="T23">
        <v>54</v>
      </c>
      <c r="W23">
        <v>7</v>
      </c>
      <c r="X23" t="s">
        <v>502</v>
      </c>
      <c r="Y23" t="s">
        <v>1329</v>
      </c>
      <c r="Z23">
        <v>93</v>
      </c>
      <c r="AC23" t="s">
        <v>339</v>
      </c>
      <c r="AD23" t="s">
        <v>1460</v>
      </c>
      <c r="AE23">
        <v>32</v>
      </c>
      <c r="AH23" t="s">
        <v>685</v>
      </c>
      <c r="AI23" t="s">
        <v>1344</v>
      </c>
      <c r="AJ23">
        <v>28</v>
      </c>
      <c r="AM23" t="s">
        <v>611</v>
      </c>
      <c r="AN23" t="s">
        <v>1567</v>
      </c>
      <c r="AO23">
        <v>53</v>
      </c>
      <c r="AR23">
        <v>7</v>
      </c>
      <c r="AS23" t="s">
        <v>580</v>
      </c>
      <c r="AT23" t="s">
        <v>1468</v>
      </c>
      <c r="AU23">
        <v>95</v>
      </c>
      <c r="AX23" t="s">
        <v>226</v>
      </c>
      <c r="AY23" t="s">
        <v>1338</v>
      </c>
      <c r="AZ23">
        <v>35</v>
      </c>
      <c r="BB23">
        <v>7</v>
      </c>
      <c r="BC23" t="s">
        <v>717</v>
      </c>
      <c r="BD23" t="s">
        <v>1517</v>
      </c>
      <c r="BE23">
        <v>28</v>
      </c>
      <c r="BG23">
        <v>7</v>
      </c>
      <c r="BH23" t="s">
        <v>429</v>
      </c>
      <c r="BI23" t="s">
        <v>1423</v>
      </c>
      <c r="BJ23">
        <v>53</v>
      </c>
    </row>
    <row r="24" spans="2:62">
      <c r="C24" t="s">
        <v>539</v>
      </c>
      <c r="D24" t="s">
        <v>1563</v>
      </c>
      <c r="E24">
        <v>96</v>
      </c>
      <c r="H24" t="s">
        <v>226</v>
      </c>
      <c r="I24" t="s">
        <v>1374</v>
      </c>
      <c r="J24">
        <v>31</v>
      </c>
      <c r="L24">
        <v>8</v>
      </c>
      <c r="M24" t="s">
        <v>394</v>
      </c>
      <c r="N24" t="s">
        <v>1509</v>
      </c>
      <c r="O24">
        <v>27</v>
      </c>
      <c r="Q24">
        <v>8</v>
      </c>
      <c r="R24" t="s">
        <v>685</v>
      </c>
      <c r="S24" t="s">
        <v>1344</v>
      </c>
      <c r="T24">
        <v>52</v>
      </c>
      <c r="W24">
        <v>8</v>
      </c>
      <c r="X24" t="s">
        <v>339</v>
      </c>
      <c r="Y24" t="s">
        <v>1503</v>
      </c>
      <c r="Z24">
        <v>92</v>
      </c>
      <c r="AB24">
        <v>8</v>
      </c>
      <c r="AC24" t="s">
        <v>394</v>
      </c>
      <c r="AD24" t="s">
        <v>1509</v>
      </c>
      <c r="AE24">
        <v>31</v>
      </c>
      <c r="AH24" t="s">
        <v>502</v>
      </c>
      <c r="AI24" t="s">
        <v>1376</v>
      </c>
      <c r="AJ24">
        <v>28</v>
      </c>
      <c r="AM24" t="s">
        <v>611</v>
      </c>
      <c r="AN24" t="s">
        <v>1334</v>
      </c>
      <c r="AO24">
        <v>53</v>
      </c>
      <c r="AR24">
        <v>8</v>
      </c>
      <c r="AS24" t="s">
        <v>394</v>
      </c>
      <c r="AT24" t="s">
        <v>1546</v>
      </c>
      <c r="AU24">
        <v>94</v>
      </c>
      <c r="AW24">
        <v>8</v>
      </c>
      <c r="AX24" t="s">
        <v>429</v>
      </c>
      <c r="AY24" t="s">
        <v>1641</v>
      </c>
      <c r="AZ24">
        <v>33</v>
      </c>
      <c r="BB24">
        <v>8</v>
      </c>
      <c r="BC24" t="s">
        <v>394</v>
      </c>
      <c r="BD24" t="s">
        <v>1546</v>
      </c>
      <c r="BE24">
        <v>27</v>
      </c>
      <c r="BG24">
        <v>8</v>
      </c>
      <c r="BH24" t="s">
        <v>717</v>
      </c>
      <c r="BI24" t="s">
        <v>1425</v>
      </c>
      <c r="BJ24">
        <v>52</v>
      </c>
    </row>
    <row r="25" spans="2:62">
      <c r="B25">
        <v>9</v>
      </c>
      <c r="C25" t="s">
        <v>300</v>
      </c>
      <c r="D25" t="s">
        <v>1392</v>
      </c>
      <c r="E25">
        <v>95</v>
      </c>
      <c r="G25">
        <v>9</v>
      </c>
      <c r="H25" t="s">
        <v>463</v>
      </c>
      <c r="I25" t="s">
        <v>1448</v>
      </c>
      <c r="J25">
        <v>30</v>
      </c>
      <c r="L25">
        <v>9</v>
      </c>
      <c r="M25" t="s">
        <v>539</v>
      </c>
      <c r="N25" t="s">
        <v>1489</v>
      </c>
      <c r="O25">
        <v>26</v>
      </c>
      <c r="R25" t="s">
        <v>463</v>
      </c>
      <c r="S25" t="s">
        <v>1427</v>
      </c>
      <c r="T25">
        <v>52</v>
      </c>
      <c r="W25">
        <v>9</v>
      </c>
      <c r="X25" t="s">
        <v>580</v>
      </c>
      <c r="Y25" t="s">
        <v>1570</v>
      </c>
      <c r="Z25">
        <v>90</v>
      </c>
      <c r="AC25" t="s">
        <v>580</v>
      </c>
      <c r="AD25" t="s">
        <v>1348</v>
      </c>
      <c r="AE25">
        <v>31</v>
      </c>
      <c r="AG25">
        <v>9</v>
      </c>
      <c r="AH25" t="s">
        <v>226</v>
      </c>
      <c r="AI25" t="s">
        <v>1338</v>
      </c>
      <c r="AJ25">
        <v>27</v>
      </c>
      <c r="AM25" t="s">
        <v>580</v>
      </c>
      <c r="AN25" t="s">
        <v>1468</v>
      </c>
      <c r="AO25">
        <v>53</v>
      </c>
      <c r="AR25">
        <v>9</v>
      </c>
      <c r="AS25" t="s">
        <v>717</v>
      </c>
      <c r="AT25" t="s">
        <v>1425</v>
      </c>
      <c r="AU25">
        <v>91</v>
      </c>
      <c r="AW25">
        <v>9</v>
      </c>
      <c r="AX25" t="s">
        <v>226</v>
      </c>
      <c r="AY25" t="s">
        <v>1434</v>
      </c>
      <c r="AZ25">
        <v>31</v>
      </c>
      <c r="BC25" t="s">
        <v>394</v>
      </c>
      <c r="BD25" t="s">
        <v>1509</v>
      </c>
      <c r="BE25">
        <v>27</v>
      </c>
      <c r="BG25">
        <v>9</v>
      </c>
      <c r="BH25" t="s">
        <v>580</v>
      </c>
      <c r="BI25" t="s">
        <v>1468</v>
      </c>
      <c r="BJ25">
        <v>52</v>
      </c>
    </row>
    <row r="26" spans="2:62">
      <c r="B26">
        <v>10</v>
      </c>
      <c r="C26" t="s">
        <v>463</v>
      </c>
      <c r="D26" t="s">
        <v>1513</v>
      </c>
      <c r="E26">
        <v>94</v>
      </c>
      <c r="I26" t="s">
        <v>1610</v>
      </c>
      <c r="J26">
        <v>30</v>
      </c>
      <c r="N26" t="s">
        <v>1639</v>
      </c>
      <c r="O26">
        <v>26</v>
      </c>
      <c r="Q26">
        <v>10</v>
      </c>
      <c r="S26" t="s">
        <v>1614</v>
      </c>
      <c r="T26">
        <v>50</v>
      </c>
      <c r="W26">
        <v>10</v>
      </c>
      <c r="Y26" t="s">
        <v>1610</v>
      </c>
      <c r="Z26">
        <v>89</v>
      </c>
      <c r="AB26">
        <v>10</v>
      </c>
      <c r="AC26" t="s">
        <v>339</v>
      </c>
      <c r="AD26" t="s">
        <v>1360</v>
      </c>
      <c r="AE26">
        <v>30</v>
      </c>
      <c r="AI26" t="s">
        <v>1615</v>
      </c>
      <c r="AJ26">
        <v>26</v>
      </c>
      <c r="AL26">
        <v>10</v>
      </c>
      <c r="AN26" t="s">
        <v>1613</v>
      </c>
      <c r="AO26">
        <v>51</v>
      </c>
      <c r="AR26">
        <v>10</v>
      </c>
      <c r="AT26" t="s">
        <v>1610</v>
      </c>
      <c r="AU26">
        <v>90</v>
      </c>
      <c r="AW26">
        <v>10</v>
      </c>
      <c r="AX26" t="s">
        <v>685</v>
      </c>
      <c r="AY26" t="s">
        <v>1316</v>
      </c>
      <c r="AZ26">
        <v>30</v>
      </c>
      <c r="BD26" t="s">
        <v>1614</v>
      </c>
      <c r="BE26">
        <v>27</v>
      </c>
      <c r="BG26">
        <v>10</v>
      </c>
      <c r="BH26" t="s">
        <v>539</v>
      </c>
      <c r="BI26" t="s">
        <v>1490</v>
      </c>
      <c r="BJ26">
        <v>52</v>
      </c>
    </row>
    <row r="27" spans="2:62" ht="17" thickBot="1"/>
    <row r="28" spans="2:62">
      <c r="B28" s="1084" t="s">
        <v>155</v>
      </c>
      <c r="C28" s="1085"/>
      <c r="D28" s="1085"/>
      <c r="E28" s="1086"/>
      <c r="G28" s="1084" t="s">
        <v>153</v>
      </c>
      <c r="H28" s="1085"/>
      <c r="I28" s="1085"/>
      <c r="J28" s="1086"/>
      <c r="L28" s="1084" t="s">
        <v>154</v>
      </c>
      <c r="M28" s="1085"/>
      <c r="N28" s="1085"/>
      <c r="O28" s="1086"/>
      <c r="Q28" s="1084" t="s">
        <v>157</v>
      </c>
      <c r="R28" s="1085"/>
      <c r="S28" s="1085"/>
      <c r="T28" s="1086"/>
      <c r="W28" s="1084" t="s">
        <v>155</v>
      </c>
      <c r="X28" s="1085"/>
      <c r="Y28" s="1085"/>
      <c r="Z28" s="1086"/>
      <c r="AB28" s="1084" t="s">
        <v>153</v>
      </c>
      <c r="AC28" s="1085"/>
      <c r="AD28" s="1085"/>
      <c r="AE28" s="1086"/>
      <c r="AG28" s="1084" t="s">
        <v>154</v>
      </c>
      <c r="AH28" s="1085"/>
      <c r="AI28" s="1085"/>
      <c r="AJ28" s="1086"/>
      <c r="AL28" s="1084" t="s">
        <v>157</v>
      </c>
      <c r="AM28" s="1085"/>
      <c r="AN28" s="1085"/>
      <c r="AO28" s="1086"/>
      <c r="AR28" s="1084" t="s">
        <v>155</v>
      </c>
      <c r="AS28" s="1085"/>
      <c r="AT28" s="1085"/>
      <c r="AU28" s="1086"/>
      <c r="AW28" s="1084" t="s">
        <v>153</v>
      </c>
      <c r="AX28" s="1085"/>
      <c r="AY28" s="1085"/>
      <c r="AZ28" s="1086"/>
      <c r="BB28" s="1084" t="s">
        <v>154</v>
      </c>
      <c r="BC28" s="1085"/>
      <c r="BD28" s="1085"/>
      <c r="BE28" s="1086"/>
      <c r="BG28" s="1084" t="s">
        <v>157</v>
      </c>
      <c r="BH28" s="1085"/>
      <c r="BI28" s="1085"/>
      <c r="BJ28" s="1086"/>
    </row>
    <row r="29" spans="2:62" s="141" customFormat="1">
      <c r="B29" s="359"/>
      <c r="C29" s="360" t="s">
        <v>8</v>
      </c>
      <c r="D29" s="360" t="s">
        <v>1314</v>
      </c>
      <c r="E29" s="360" t="s">
        <v>164</v>
      </c>
      <c r="G29" s="359"/>
      <c r="H29" s="360" t="s">
        <v>8</v>
      </c>
      <c r="I29" s="360" t="s">
        <v>1314</v>
      </c>
      <c r="J29" s="360" t="s">
        <v>164</v>
      </c>
      <c r="L29" s="359"/>
      <c r="M29" s="360" t="s">
        <v>8</v>
      </c>
      <c r="N29" s="360" t="s">
        <v>1314</v>
      </c>
      <c r="O29" s="360" t="s">
        <v>164</v>
      </c>
      <c r="Q29" s="359"/>
      <c r="R29" s="360" t="s">
        <v>8</v>
      </c>
      <c r="S29" s="360" t="s">
        <v>1314</v>
      </c>
      <c r="T29" s="360" t="s">
        <v>164</v>
      </c>
      <c r="W29" s="359"/>
      <c r="X29" s="360" t="s">
        <v>8</v>
      </c>
      <c r="Y29" s="360" t="s">
        <v>1314</v>
      </c>
      <c r="Z29" s="360" t="s">
        <v>164</v>
      </c>
      <c r="AB29" s="359"/>
      <c r="AC29" s="360" t="s">
        <v>8</v>
      </c>
      <c r="AD29" s="360" t="s">
        <v>1314</v>
      </c>
      <c r="AE29" s="360" t="s">
        <v>164</v>
      </c>
      <c r="AG29" s="359"/>
      <c r="AH29" s="360" t="s">
        <v>8</v>
      </c>
      <c r="AI29" s="360" t="s">
        <v>1314</v>
      </c>
      <c r="AJ29" s="360" t="s">
        <v>164</v>
      </c>
      <c r="AL29" s="359"/>
      <c r="AM29" s="360" t="s">
        <v>8</v>
      </c>
      <c r="AN29" s="360" t="s">
        <v>1314</v>
      </c>
      <c r="AO29" s="360" t="s">
        <v>164</v>
      </c>
      <c r="AR29" s="359"/>
      <c r="AS29" s="360" t="s">
        <v>8</v>
      </c>
      <c r="AT29" s="360" t="s">
        <v>1314</v>
      </c>
      <c r="AU29" s="360" t="s">
        <v>164</v>
      </c>
      <c r="AW29" s="359"/>
      <c r="AX29" s="360" t="s">
        <v>8</v>
      </c>
      <c r="AY29" s="360" t="s">
        <v>1314</v>
      </c>
      <c r="AZ29" s="360" t="s">
        <v>164</v>
      </c>
      <c r="BB29" s="359"/>
      <c r="BC29" s="360" t="s">
        <v>8</v>
      </c>
      <c r="BD29" s="360" t="s">
        <v>1314</v>
      </c>
      <c r="BE29" s="360" t="s">
        <v>164</v>
      </c>
      <c r="BG29" s="359"/>
      <c r="BH29" s="360" t="s">
        <v>8</v>
      </c>
      <c r="BI29" s="360" t="s">
        <v>1314</v>
      </c>
      <c r="BJ29" s="360" t="s">
        <v>164</v>
      </c>
    </row>
    <row r="30" spans="2:62" s="119" customFormat="1" ht="19">
      <c r="B30" s="119">
        <v>1</v>
      </c>
      <c r="C30" s="119" t="s">
        <v>165</v>
      </c>
      <c r="D30" s="119" t="s">
        <v>1354</v>
      </c>
      <c r="E30" s="119">
        <v>15</v>
      </c>
      <c r="F30" s="124"/>
      <c r="G30" s="119">
        <v>1</v>
      </c>
      <c r="H30" s="119" t="s">
        <v>539</v>
      </c>
      <c r="I30" s="119" t="s">
        <v>1563</v>
      </c>
      <c r="J30" s="119">
        <v>17</v>
      </c>
      <c r="L30" s="119">
        <v>1</v>
      </c>
      <c r="M30" s="119" t="s">
        <v>339</v>
      </c>
      <c r="N30" s="119" t="s">
        <v>1616</v>
      </c>
      <c r="O30" s="119">
        <v>6</v>
      </c>
      <c r="Q30" s="119">
        <v>1</v>
      </c>
      <c r="R30" s="119" t="s">
        <v>463</v>
      </c>
      <c r="S30" s="119" t="s">
        <v>1557</v>
      </c>
      <c r="T30" s="119">
        <v>40</v>
      </c>
      <c r="W30" s="119">
        <v>1</v>
      </c>
      <c r="X30" s="119" t="s">
        <v>429</v>
      </c>
      <c r="Y30" s="119" t="s">
        <v>1319</v>
      </c>
      <c r="Z30" s="119">
        <v>20</v>
      </c>
      <c r="AA30" s="124"/>
      <c r="AB30" s="119">
        <v>1</v>
      </c>
      <c r="AC30" s="119" t="s">
        <v>580</v>
      </c>
      <c r="AD30" s="119" t="s">
        <v>1570</v>
      </c>
      <c r="AE30" s="119">
        <v>19</v>
      </c>
      <c r="AG30" s="119">
        <v>1</v>
      </c>
      <c r="AH30" s="119" t="s">
        <v>394</v>
      </c>
      <c r="AI30" s="119" t="s">
        <v>1400</v>
      </c>
      <c r="AJ30" s="119">
        <v>6</v>
      </c>
      <c r="AL30" s="119">
        <v>1</v>
      </c>
      <c r="AM30" s="119" t="s">
        <v>226</v>
      </c>
      <c r="AN30" s="119" t="s">
        <v>1338</v>
      </c>
      <c r="AO30" s="119">
        <v>31</v>
      </c>
      <c r="AR30" s="119">
        <v>1</v>
      </c>
      <c r="AS30" s="119" t="s">
        <v>429</v>
      </c>
      <c r="AT30" s="119" t="s">
        <v>1319</v>
      </c>
      <c r="AU30" s="119">
        <v>18</v>
      </c>
      <c r="AV30" s="124"/>
      <c r="AW30" s="119">
        <v>1</v>
      </c>
      <c r="AX30" s="119" t="s">
        <v>226</v>
      </c>
      <c r="AY30" s="119" t="s">
        <v>1321</v>
      </c>
      <c r="AZ30" s="119">
        <v>17</v>
      </c>
      <c r="BB30" s="119">
        <v>1</v>
      </c>
      <c r="BC30" s="119" t="s">
        <v>580</v>
      </c>
      <c r="BD30" s="119" t="s">
        <v>1468</v>
      </c>
      <c r="BE30" s="119">
        <v>4</v>
      </c>
      <c r="BG30" s="119">
        <v>1</v>
      </c>
      <c r="BH30" s="119" t="s">
        <v>717</v>
      </c>
      <c r="BI30" s="119" t="s">
        <v>1517</v>
      </c>
      <c r="BJ30" s="119">
        <v>38</v>
      </c>
    </row>
    <row r="31" spans="2:62" ht="19">
      <c r="C31" s="506" t="s">
        <v>685</v>
      </c>
      <c r="D31" s="506" t="s">
        <v>1419</v>
      </c>
      <c r="E31" s="506">
        <v>15</v>
      </c>
      <c r="G31">
        <v>2</v>
      </c>
      <c r="H31" t="s">
        <v>611</v>
      </c>
      <c r="I31" t="s">
        <v>1334</v>
      </c>
      <c r="J31">
        <v>16</v>
      </c>
      <c r="L31">
        <v>2</v>
      </c>
      <c r="M31" s="505" t="s">
        <v>580</v>
      </c>
      <c r="N31" s="505" t="s">
        <v>1348</v>
      </c>
      <c r="O31" s="505">
        <v>5</v>
      </c>
      <c r="Q31">
        <v>2</v>
      </c>
      <c r="R31" s="505" t="s">
        <v>394</v>
      </c>
      <c r="S31" s="505" t="s">
        <v>1564</v>
      </c>
      <c r="T31" s="505">
        <v>34</v>
      </c>
      <c r="W31">
        <v>2</v>
      </c>
      <c r="X31" t="s">
        <v>502</v>
      </c>
      <c r="Y31" t="s">
        <v>1329</v>
      </c>
      <c r="Z31">
        <v>14</v>
      </c>
      <c r="AB31">
        <v>2</v>
      </c>
      <c r="AC31" t="s">
        <v>539</v>
      </c>
      <c r="AD31" t="s">
        <v>1357</v>
      </c>
      <c r="AE31">
        <v>16</v>
      </c>
      <c r="AH31" s="119" t="s">
        <v>502</v>
      </c>
      <c r="AI31" s="119" t="s">
        <v>1554</v>
      </c>
      <c r="AJ31" s="119">
        <v>6</v>
      </c>
      <c r="AM31" s="119" t="s">
        <v>300</v>
      </c>
      <c r="AN31" s="119" t="s">
        <v>1392</v>
      </c>
      <c r="AO31" s="119">
        <v>31</v>
      </c>
      <c r="AR31">
        <v>2</v>
      </c>
      <c r="AS31" t="s">
        <v>165</v>
      </c>
      <c r="AT31" t="s">
        <v>1341</v>
      </c>
      <c r="AU31">
        <v>17</v>
      </c>
      <c r="AW31">
        <v>2</v>
      </c>
      <c r="AX31" t="s">
        <v>394</v>
      </c>
      <c r="AY31" t="s">
        <v>1509</v>
      </c>
      <c r="AZ31">
        <v>16</v>
      </c>
      <c r="BC31" s="119" t="s">
        <v>300</v>
      </c>
      <c r="BD31" s="119" t="s">
        <v>1617</v>
      </c>
      <c r="BE31" s="119">
        <v>4</v>
      </c>
      <c r="BG31">
        <v>2</v>
      </c>
      <c r="BH31" t="s">
        <v>539</v>
      </c>
      <c r="BI31" t="s">
        <v>1563</v>
      </c>
      <c r="BJ31">
        <v>33</v>
      </c>
    </row>
    <row r="32" spans="2:62" ht="19">
      <c r="B32">
        <v>3</v>
      </c>
      <c r="C32" t="s">
        <v>580</v>
      </c>
      <c r="D32" t="s">
        <v>1325</v>
      </c>
      <c r="E32">
        <v>14</v>
      </c>
      <c r="H32" t="s">
        <v>226</v>
      </c>
      <c r="I32" t="s">
        <v>1383</v>
      </c>
      <c r="J32">
        <v>16</v>
      </c>
      <c r="L32">
        <v>3</v>
      </c>
      <c r="M32" t="s">
        <v>226</v>
      </c>
      <c r="N32" t="s">
        <v>1383</v>
      </c>
      <c r="O32" s="505">
        <v>4</v>
      </c>
      <c r="Q32">
        <v>3</v>
      </c>
      <c r="R32" t="s">
        <v>717</v>
      </c>
      <c r="S32" t="s">
        <v>1342</v>
      </c>
      <c r="T32">
        <v>33</v>
      </c>
      <c r="X32" t="s">
        <v>539</v>
      </c>
      <c r="Y32" t="s">
        <v>1357</v>
      </c>
      <c r="Z32">
        <v>14</v>
      </c>
      <c r="AC32" t="s">
        <v>611</v>
      </c>
      <c r="AD32" t="s">
        <v>1567</v>
      </c>
      <c r="AE32">
        <v>15</v>
      </c>
      <c r="AG32">
        <v>3</v>
      </c>
      <c r="AH32" t="s">
        <v>717</v>
      </c>
      <c r="AI32" t="s">
        <v>1517</v>
      </c>
      <c r="AJ32" s="124">
        <v>4</v>
      </c>
      <c r="AL32">
        <v>3</v>
      </c>
      <c r="AM32" t="s">
        <v>463</v>
      </c>
      <c r="AN32" t="s">
        <v>1557</v>
      </c>
      <c r="AO32">
        <v>29</v>
      </c>
      <c r="AR32">
        <v>3</v>
      </c>
      <c r="AS32" t="s">
        <v>339</v>
      </c>
      <c r="AT32" t="s">
        <v>1360</v>
      </c>
      <c r="AU32">
        <v>16</v>
      </c>
      <c r="AX32" t="s">
        <v>226</v>
      </c>
      <c r="AY32" t="s">
        <v>1338</v>
      </c>
      <c r="AZ32">
        <v>16</v>
      </c>
      <c r="BC32" s="119" t="s">
        <v>463</v>
      </c>
      <c r="BD32" s="119" t="s">
        <v>1620</v>
      </c>
      <c r="BE32" s="119">
        <v>4</v>
      </c>
      <c r="BG32">
        <v>3</v>
      </c>
      <c r="BH32" t="s">
        <v>685</v>
      </c>
      <c r="BI32" t="s">
        <v>1340</v>
      </c>
      <c r="BJ32">
        <v>27</v>
      </c>
    </row>
    <row r="33" spans="2:62">
      <c r="C33" t="s">
        <v>685</v>
      </c>
      <c r="D33" t="s">
        <v>1344</v>
      </c>
      <c r="E33">
        <v>14</v>
      </c>
      <c r="H33" t="s">
        <v>650</v>
      </c>
      <c r="I33" t="s">
        <v>1487</v>
      </c>
      <c r="J33">
        <v>16</v>
      </c>
      <c r="L33">
        <v>4</v>
      </c>
      <c r="M33" t="s">
        <v>502</v>
      </c>
      <c r="N33" t="s">
        <v>1376</v>
      </c>
      <c r="O33">
        <v>3</v>
      </c>
      <c r="Q33">
        <v>4</v>
      </c>
      <c r="R33" t="s">
        <v>266</v>
      </c>
      <c r="S33" t="s">
        <v>1621</v>
      </c>
      <c r="T33">
        <v>28</v>
      </c>
      <c r="W33">
        <v>4</v>
      </c>
      <c r="X33" t="s">
        <v>266</v>
      </c>
      <c r="Y33" t="s">
        <v>1462</v>
      </c>
      <c r="Z33">
        <v>12</v>
      </c>
      <c r="AB33">
        <v>4</v>
      </c>
      <c r="AC33" t="s">
        <v>226</v>
      </c>
      <c r="AD33" t="s">
        <v>1550</v>
      </c>
      <c r="AE33">
        <v>15</v>
      </c>
      <c r="AH33" t="s">
        <v>502</v>
      </c>
      <c r="AI33" t="s">
        <v>1504</v>
      </c>
      <c r="AJ33">
        <v>4</v>
      </c>
      <c r="AL33">
        <v>4</v>
      </c>
      <c r="AM33" t="s">
        <v>339</v>
      </c>
      <c r="AN33" t="s">
        <v>1622</v>
      </c>
      <c r="AO33">
        <v>28</v>
      </c>
      <c r="AR33">
        <v>4</v>
      </c>
      <c r="AS33" t="s">
        <v>394</v>
      </c>
      <c r="AT33" t="s">
        <v>1546</v>
      </c>
      <c r="AU33">
        <v>15</v>
      </c>
      <c r="AW33">
        <v>4</v>
      </c>
      <c r="AX33" t="s">
        <v>580</v>
      </c>
      <c r="AY33" t="s">
        <v>1468</v>
      </c>
      <c r="AZ33">
        <v>14</v>
      </c>
      <c r="BB33">
        <v>4</v>
      </c>
      <c r="BC33" t="s">
        <v>429</v>
      </c>
      <c r="BD33" t="s">
        <v>1319</v>
      </c>
      <c r="BE33">
        <v>3</v>
      </c>
      <c r="BG33">
        <v>4</v>
      </c>
      <c r="BH33" t="s">
        <v>539</v>
      </c>
      <c r="BI33" t="s">
        <v>1436</v>
      </c>
      <c r="BJ33">
        <v>25</v>
      </c>
    </row>
    <row r="34" spans="2:62">
      <c r="B34">
        <v>5</v>
      </c>
      <c r="C34" t="s">
        <v>685</v>
      </c>
      <c r="D34" t="s">
        <v>1340</v>
      </c>
      <c r="E34">
        <v>12</v>
      </c>
      <c r="G34">
        <v>5</v>
      </c>
      <c r="H34" t="s">
        <v>300</v>
      </c>
      <c r="I34" t="s">
        <v>1540</v>
      </c>
      <c r="J34">
        <v>15</v>
      </c>
      <c r="M34" t="s">
        <v>502</v>
      </c>
      <c r="N34" t="s">
        <v>1504</v>
      </c>
      <c r="O34">
        <v>3</v>
      </c>
      <c r="R34" t="s">
        <v>580</v>
      </c>
      <c r="S34" t="s">
        <v>1348</v>
      </c>
      <c r="T34">
        <v>28</v>
      </c>
      <c r="X34" t="s">
        <v>339</v>
      </c>
      <c r="Y34" t="s">
        <v>1460</v>
      </c>
      <c r="Z34">
        <v>12</v>
      </c>
      <c r="AC34" t="s">
        <v>580</v>
      </c>
      <c r="AD34" t="s">
        <v>1468</v>
      </c>
      <c r="AE34">
        <v>14</v>
      </c>
      <c r="AH34" t="s">
        <v>539</v>
      </c>
      <c r="AI34" t="s">
        <v>1490</v>
      </c>
      <c r="AJ34">
        <v>4</v>
      </c>
      <c r="AL34">
        <v>5</v>
      </c>
      <c r="AM34" t="s">
        <v>226</v>
      </c>
      <c r="AN34" t="s">
        <v>1374</v>
      </c>
      <c r="AO34">
        <v>27</v>
      </c>
      <c r="AS34" t="s">
        <v>429</v>
      </c>
      <c r="AT34" t="s">
        <v>1352</v>
      </c>
      <c r="AU34">
        <v>15</v>
      </c>
      <c r="AX34" t="s">
        <v>502</v>
      </c>
      <c r="AY34" t="s">
        <v>1626</v>
      </c>
      <c r="AZ34">
        <v>14</v>
      </c>
      <c r="BC34" t="s">
        <v>300</v>
      </c>
      <c r="BD34" t="s">
        <v>1636</v>
      </c>
      <c r="BE34">
        <v>3</v>
      </c>
      <c r="BG34">
        <v>5</v>
      </c>
      <c r="BH34" t="s">
        <v>266</v>
      </c>
      <c r="BI34" t="s">
        <v>1584</v>
      </c>
      <c r="BJ34">
        <v>24</v>
      </c>
    </row>
    <row r="35" spans="2:62">
      <c r="C35" t="s">
        <v>300</v>
      </c>
      <c r="D35" t="s">
        <v>1315</v>
      </c>
      <c r="E35">
        <v>12</v>
      </c>
      <c r="G35">
        <v>6</v>
      </c>
      <c r="H35" t="s">
        <v>502</v>
      </c>
      <c r="I35" t="s">
        <v>1376</v>
      </c>
      <c r="J35">
        <v>14</v>
      </c>
      <c r="M35" t="s">
        <v>300</v>
      </c>
      <c r="N35" t="s">
        <v>1801</v>
      </c>
      <c r="O35">
        <v>3</v>
      </c>
      <c r="Q35">
        <v>6</v>
      </c>
      <c r="R35" t="s">
        <v>685</v>
      </c>
      <c r="S35" t="s">
        <v>1344</v>
      </c>
      <c r="T35">
        <v>27</v>
      </c>
      <c r="X35" t="s">
        <v>165</v>
      </c>
      <c r="Y35" t="s">
        <v>1475</v>
      </c>
      <c r="Z35">
        <v>12</v>
      </c>
      <c r="AC35" t="s">
        <v>339</v>
      </c>
      <c r="AD35" t="s">
        <v>1503</v>
      </c>
      <c r="AE35">
        <v>13</v>
      </c>
      <c r="AG35">
        <v>6</v>
      </c>
      <c r="AI35" t="s">
        <v>1802</v>
      </c>
      <c r="AJ35">
        <v>3</v>
      </c>
      <c r="AL35">
        <v>6</v>
      </c>
      <c r="AM35" t="s">
        <v>394</v>
      </c>
      <c r="AN35" t="s">
        <v>1564</v>
      </c>
      <c r="AO35">
        <v>26</v>
      </c>
      <c r="AR35">
        <v>6</v>
      </c>
      <c r="AS35" t="s">
        <v>226</v>
      </c>
      <c r="AT35" t="s">
        <v>1321</v>
      </c>
      <c r="AU35">
        <v>14</v>
      </c>
      <c r="AX35" t="s">
        <v>429</v>
      </c>
      <c r="AY35" t="s">
        <v>1319</v>
      </c>
      <c r="AZ35">
        <v>14</v>
      </c>
      <c r="BC35" t="s">
        <v>580</v>
      </c>
      <c r="BD35" t="s">
        <v>1547</v>
      </c>
      <c r="BE35">
        <v>3</v>
      </c>
      <c r="BG35">
        <v>6</v>
      </c>
      <c r="BH35" t="s">
        <v>165</v>
      </c>
      <c r="BI35" t="s">
        <v>1471</v>
      </c>
      <c r="BJ35">
        <v>23</v>
      </c>
    </row>
    <row r="36" spans="2:62">
      <c r="C36" t="s">
        <v>611</v>
      </c>
      <c r="D36" t="s">
        <v>1334</v>
      </c>
      <c r="E36">
        <v>12</v>
      </c>
      <c r="H36" t="s">
        <v>685</v>
      </c>
      <c r="I36" t="s">
        <v>1803</v>
      </c>
      <c r="J36">
        <v>14</v>
      </c>
      <c r="M36" t="s">
        <v>266</v>
      </c>
      <c r="N36" t="s">
        <v>1541</v>
      </c>
      <c r="O36">
        <v>3</v>
      </c>
      <c r="R36" t="s">
        <v>539</v>
      </c>
      <c r="S36" t="s">
        <v>1563</v>
      </c>
      <c r="T36">
        <v>27</v>
      </c>
      <c r="W36">
        <v>7</v>
      </c>
      <c r="Y36" t="s">
        <v>1615</v>
      </c>
      <c r="Z36">
        <v>11</v>
      </c>
      <c r="AB36">
        <v>7</v>
      </c>
      <c r="AC36" t="s">
        <v>685</v>
      </c>
      <c r="AD36" t="s">
        <v>1340</v>
      </c>
      <c r="AE36">
        <v>13</v>
      </c>
      <c r="AM36" t="s">
        <v>429</v>
      </c>
      <c r="AN36" t="s">
        <v>1423</v>
      </c>
      <c r="AO36">
        <v>26</v>
      </c>
      <c r="AR36">
        <v>7</v>
      </c>
      <c r="AS36" t="s">
        <v>580</v>
      </c>
      <c r="AT36" t="s">
        <v>1325</v>
      </c>
      <c r="AU36">
        <v>13</v>
      </c>
      <c r="AW36">
        <v>7</v>
      </c>
      <c r="AX36" t="s">
        <v>226</v>
      </c>
      <c r="AY36" t="s">
        <v>1434</v>
      </c>
      <c r="AZ36">
        <v>13</v>
      </c>
      <c r="BC36" t="s">
        <v>539</v>
      </c>
      <c r="BD36" t="s">
        <v>1643</v>
      </c>
      <c r="BE36">
        <v>3</v>
      </c>
      <c r="BH36" t="s">
        <v>502</v>
      </c>
      <c r="BI36" t="s">
        <v>1626</v>
      </c>
      <c r="BJ36">
        <v>23</v>
      </c>
    </row>
    <row r="37" spans="2:62">
      <c r="C37" t="s">
        <v>463</v>
      </c>
      <c r="D37" t="s">
        <v>1513</v>
      </c>
      <c r="E37">
        <v>12</v>
      </c>
      <c r="G37">
        <v>8</v>
      </c>
      <c r="H37" t="s">
        <v>463</v>
      </c>
      <c r="I37" t="s">
        <v>1448</v>
      </c>
      <c r="J37">
        <v>13</v>
      </c>
      <c r="M37" t="s">
        <v>266</v>
      </c>
      <c r="N37" t="s">
        <v>1560</v>
      </c>
      <c r="O37">
        <v>3</v>
      </c>
      <c r="Q37">
        <v>8</v>
      </c>
      <c r="R37" t="s">
        <v>717</v>
      </c>
      <c r="S37" t="s">
        <v>1517</v>
      </c>
      <c r="T37">
        <v>26</v>
      </c>
      <c r="AC37" t="s">
        <v>429</v>
      </c>
      <c r="AD37" t="s">
        <v>1319</v>
      </c>
      <c r="AE37">
        <v>13</v>
      </c>
      <c r="AL37">
        <v>8</v>
      </c>
      <c r="AM37" t="s">
        <v>339</v>
      </c>
      <c r="AN37" t="s">
        <v>1460</v>
      </c>
      <c r="AO37">
        <v>25</v>
      </c>
      <c r="AS37" t="s">
        <v>394</v>
      </c>
      <c r="AT37" t="s">
        <v>1564</v>
      </c>
      <c r="AU37">
        <v>13</v>
      </c>
      <c r="AX37" t="s">
        <v>685</v>
      </c>
      <c r="AY37" t="s">
        <v>1316</v>
      </c>
      <c r="AZ37">
        <v>13</v>
      </c>
      <c r="BC37" t="s">
        <v>539</v>
      </c>
      <c r="BD37" t="s">
        <v>1490</v>
      </c>
      <c r="BE37">
        <v>3</v>
      </c>
      <c r="BH37" t="s">
        <v>394</v>
      </c>
      <c r="BI37" t="s">
        <v>1564</v>
      </c>
      <c r="BJ37">
        <v>23</v>
      </c>
    </row>
    <row r="38" spans="2:62">
      <c r="C38" t="s">
        <v>717</v>
      </c>
      <c r="D38" t="s">
        <v>1804</v>
      </c>
      <c r="E38">
        <v>12</v>
      </c>
      <c r="H38" t="s">
        <v>300</v>
      </c>
      <c r="I38" t="s">
        <v>1392</v>
      </c>
      <c r="J38">
        <v>13</v>
      </c>
      <c r="L38">
        <v>9</v>
      </c>
      <c r="M38" t="s">
        <v>685</v>
      </c>
      <c r="N38" t="s">
        <v>1340</v>
      </c>
      <c r="O38">
        <v>2</v>
      </c>
      <c r="R38" t="s">
        <v>394</v>
      </c>
      <c r="S38" t="s">
        <v>1509</v>
      </c>
      <c r="T38">
        <v>26</v>
      </c>
      <c r="AD38" t="s">
        <v>1629</v>
      </c>
      <c r="AE38">
        <v>12</v>
      </c>
      <c r="AL38">
        <v>9</v>
      </c>
      <c r="AN38" t="s">
        <v>1627</v>
      </c>
      <c r="AO38">
        <v>24</v>
      </c>
      <c r="AR38">
        <v>9</v>
      </c>
      <c r="AS38" t="s">
        <v>429</v>
      </c>
      <c r="AT38" t="s">
        <v>1641</v>
      </c>
      <c r="AU38">
        <v>12</v>
      </c>
      <c r="AX38" t="s">
        <v>580</v>
      </c>
      <c r="AY38" t="s">
        <v>1521</v>
      </c>
      <c r="AZ38">
        <v>13</v>
      </c>
      <c r="BB38">
        <v>9</v>
      </c>
      <c r="BD38" t="s">
        <v>1805</v>
      </c>
      <c r="BE38">
        <v>2</v>
      </c>
      <c r="BH38" t="s">
        <v>463</v>
      </c>
      <c r="BI38" t="s">
        <v>1806</v>
      </c>
      <c r="BJ38">
        <v>23</v>
      </c>
    </row>
    <row r="39" spans="2:62">
      <c r="C39" t="s">
        <v>394</v>
      </c>
      <c r="D39" t="s">
        <v>1564</v>
      </c>
      <c r="E39">
        <v>12</v>
      </c>
      <c r="H39" t="s">
        <v>502</v>
      </c>
      <c r="I39" t="s">
        <v>1329</v>
      </c>
      <c r="J39">
        <v>13</v>
      </c>
      <c r="N39" t="s">
        <v>1807</v>
      </c>
      <c r="O39">
        <v>2</v>
      </c>
      <c r="R39" t="s">
        <v>580</v>
      </c>
      <c r="S39" t="s">
        <v>1429</v>
      </c>
      <c r="T39">
        <v>26</v>
      </c>
      <c r="AB39">
        <v>10</v>
      </c>
      <c r="AS39" t="s">
        <v>502</v>
      </c>
      <c r="AT39" t="s">
        <v>1329</v>
      </c>
      <c r="AU39">
        <v>12</v>
      </c>
      <c r="AW39">
        <v>10</v>
      </c>
      <c r="AY39" t="s">
        <v>1791</v>
      </c>
      <c r="AZ39">
        <v>12</v>
      </c>
      <c r="BG39">
        <v>10</v>
      </c>
      <c r="BI39" t="s">
        <v>1614</v>
      </c>
      <c r="BJ39">
        <v>22</v>
      </c>
    </row>
    <row r="41" spans="2:62">
      <c r="B41" s="1084" t="s">
        <v>150</v>
      </c>
      <c r="C41" s="1085"/>
      <c r="D41" s="1085"/>
      <c r="E41" s="1086"/>
      <c r="G41" s="1084" t="s">
        <v>1631</v>
      </c>
      <c r="H41" s="1085"/>
      <c r="I41" s="1085"/>
      <c r="J41" s="1086"/>
      <c r="L41" s="1084" t="s">
        <v>160</v>
      </c>
      <c r="M41" s="1085"/>
      <c r="N41" s="1085"/>
      <c r="O41" s="1086"/>
      <c r="Q41" s="1084" t="s">
        <v>159</v>
      </c>
      <c r="R41" s="1085"/>
      <c r="S41" s="1085"/>
      <c r="T41" s="1086"/>
      <c r="W41" s="1084" t="s">
        <v>150</v>
      </c>
      <c r="X41" s="1085"/>
      <c r="Y41" s="1085"/>
      <c r="Z41" s="1086"/>
      <c r="AB41" s="1084" t="s">
        <v>1631</v>
      </c>
      <c r="AC41" s="1085"/>
      <c r="AD41" s="1085"/>
      <c r="AE41" s="1086"/>
      <c r="AG41" s="1084" t="s">
        <v>160</v>
      </c>
      <c r="AH41" s="1085"/>
      <c r="AI41" s="1085"/>
      <c r="AJ41" s="1086"/>
      <c r="AL41" s="1084" t="s">
        <v>159</v>
      </c>
      <c r="AM41" s="1085"/>
      <c r="AN41" s="1085"/>
      <c r="AO41" s="1086"/>
      <c r="AR41" s="1084" t="s">
        <v>150</v>
      </c>
      <c r="AS41" s="1085"/>
      <c r="AT41" s="1085"/>
      <c r="AU41" s="1086"/>
      <c r="AW41" s="1084" t="s">
        <v>1631</v>
      </c>
      <c r="AX41" s="1085"/>
      <c r="AY41" s="1085"/>
      <c r="AZ41" s="1086"/>
      <c r="BB41" s="1084" t="s">
        <v>160</v>
      </c>
      <c r="BC41" s="1085"/>
      <c r="BD41" s="1085"/>
      <c r="BE41" s="1086"/>
      <c r="BG41" s="1084" t="s">
        <v>159</v>
      </c>
      <c r="BH41" s="1085"/>
      <c r="BI41" s="1085"/>
      <c r="BJ41" s="1086"/>
    </row>
    <row r="42" spans="2:62" s="141" customFormat="1">
      <c r="B42" s="359"/>
      <c r="C42" s="360" t="s">
        <v>8</v>
      </c>
      <c r="D42" s="360" t="s">
        <v>1314</v>
      </c>
      <c r="E42" s="360" t="s">
        <v>164</v>
      </c>
      <c r="G42" s="359"/>
      <c r="H42" s="360" t="s">
        <v>8</v>
      </c>
      <c r="I42" s="360" t="s">
        <v>1314</v>
      </c>
      <c r="J42" s="359" t="s">
        <v>164</v>
      </c>
      <c r="L42" s="359"/>
      <c r="M42" s="360" t="s">
        <v>8</v>
      </c>
      <c r="N42" s="360" t="s">
        <v>1314</v>
      </c>
      <c r="O42" s="360" t="s">
        <v>164</v>
      </c>
      <c r="Q42" s="359"/>
      <c r="R42" s="360" t="s">
        <v>8</v>
      </c>
      <c r="S42" s="360" t="s">
        <v>1314</v>
      </c>
      <c r="T42" s="360" t="s">
        <v>164</v>
      </c>
      <c r="W42" s="359"/>
      <c r="X42" s="360" t="s">
        <v>8</v>
      </c>
      <c r="Y42" s="360" t="s">
        <v>1314</v>
      </c>
      <c r="Z42" s="360" t="s">
        <v>164</v>
      </c>
      <c r="AB42" s="359"/>
      <c r="AC42" s="360" t="s">
        <v>8</v>
      </c>
      <c r="AD42" s="360" t="s">
        <v>1314</v>
      </c>
      <c r="AE42" s="359" t="s">
        <v>164</v>
      </c>
      <c r="AG42" s="359"/>
      <c r="AH42" s="360" t="s">
        <v>8</v>
      </c>
      <c r="AI42" s="360" t="s">
        <v>1314</v>
      </c>
      <c r="AJ42" s="360" t="s">
        <v>164</v>
      </c>
      <c r="AL42" s="359"/>
      <c r="AM42" s="360" t="s">
        <v>8</v>
      </c>
      <c r="AN42" s="360" t="s">
        <v>1314</v>
      </c>
      <c r="AO42" s="360" t="s">
        <v>164</v>
      </c>
      <c r="AR42" s="359"/>
      <c r="AS42" s="360" t="s">
        <v>8</v>
      </c>
      <c r="AT42" s="360" t="s">
        <v>1314</v>
      </c>
      <c r="AU42" s="360" t="s">
        <v>164</v>
      </c>
      <c r="AW42" s="359"/>
      <c r="AX42" s="360" t="s">
        <v>8</v>
      </c>
      <c r="AY42" s="360" t="s">
        <v>1314</v>
      </c>
      <c r="AZ42" s="359" t="s">
        <v>164</v>
      </c>
      <c r="BB42" s="359"/>
      <c r="BC42" s="360" t="s">
        <v>8</v>
      </c>
      <c r="BD42" s="360" t="s">
        <v>1314</v>
      </c>
      <c r="BE42" s="360" t="s">
        <v>164</v>
      </c>
      <c r="BG42" s="359"/>
      <c r="BH42" s="360" t="s">
        <v>8</v>
      </c>
      <c r="BI42" s="360" t="s">
        <v>1314</v>
      </c>
      <c r="BJ42" s="360" t="s">
        <v>164</v>
      </c>
    </row>
    <row r="43" spans="2:62" s="119" customFormat="1" ht="19">
      <c r="B43" s="119">
        <v>1</v>
      </c>
      <c r="C43" s="119" t="s">
        <v>611</v>
      </c>
      <c r="D43" s="119" t="s">
        <v>1385</v>
      </c>
      <c r="E43" s="119">
        <v>180</v>
      </c>
      <c r="G43" s="119">
        <v>1</v>
      </c>
      <c r="H43" s="119" t="s">
        <v>463</v>
      </c>
      <c r="I43" s="119" t="s">
        <v>1632</v>
      </c>
      <c r="J43" s="119">
        <v>64</v>
      </c>
      <c r="L43" s="119">
        <v>1</v>
      </c>
      <c r="M43" s="119" t="s">
        <v>539</v>
      </c>
      <c r="N43" s="119" t="s">
        <v>1563</v>
      </c>
      <c r="O43" s="119">
        <v>19</v>
      </c>
      <c r="Q43" s="119">
        <v>1</v>
      </c>
      <c r="R43" s="119" t="s">
        <v>266</v>
      </c>
      <c r="S43" s="506" t="s">
        <v>1466</v>
      </c>
      <c r="T43" s="506">
        <v>23</v>
      </c>
      <c r="W43" s="119">
        <v>1</v>
      </c>
      <c r="X43" s="119" t="s">
        <v>429</v>
      </c>
      <c r="Y43" s="119" t="s">
        <v>1319</v>
      </c>
      <c r="Z43" s="119">
        <v>181</v>
      </c>
      <c r="AB43" s="119">
        <v>1</v>
      </c>
      <c r="AC43" s="119" t="s">
        <v>339</v>
      </c>
      <c r="AD43" s="119" t="s">
        <v>1633</v>
      </c>
      <c r="AE43" s="119">
        <v>60</v>
      </c>
      <c r="AG43" s="119">
        <v>1</v>
      </c>
      <c r="AH43" s="119" t="s">
        <v>165</v>
      </c>
      <c r="AI43" s="119" t="s">
        <v>1506</v>
      </c>
      <c r="AJ43" s="119">
        <v>19</v>
      </c>
      <c r="AL43" s="119">
        <v>1</v>
      </c>
      <c r="AM43" s="119" t="s">
        <v>717</v>
      </c>
      <c r="AN43" s="119" t="s">
        <v>1517</v>
      </c>
      <c r="AO43" s="119">
        <v>19</v>
      </c>
      <c r="AR43" s="119">
        <v>1</v>
      </c>
      <c r="AS43" s="119" t="s">
        <v>429</v>
      </c>
      <c r="AT43" s="119" t="s">
        <v>1319</v>
      </c>
      <c r="AU43" s="119">
        <v>179</v>
      </c>
      <c r="AW43" s="119">
        <v>1</v>
      </c>
      <c r="AX43" s="119" t="s">
        <v>502</v>
      </c>
      <c r="AY43" s="119" t="s">
        <v>1634</v>
      </c>
      <c r="AZ43" s="119">
        <v>70</v>
      </c>
      <c r="BB43" s="119">
        <v>1</v>
      </c>
      <c r="BC43" s="119" t="s">
        <v>226</v>
      </c>
      <c r="BD43" s="119" t="s">
        <v>1463</v>
      </c>
      <c r="BE43" s="119">
        <v>22</v>
      </c>
      <c r="BG43" s="119">
        <v>1</v>
      </c>
      <c r="BH43" s="119" t="s">
        <v>717</v>
      </c>
      <c r="BI43" s="119" t="s">
        <v>1517</v>
      </c>
      <c r="BJ43" s="119">
        <v>29</v>
      </c>
    </row>
    <row r="44" spans="2:62" ht="19">
      <c r="B44">
        <v>2</v>
      </c>
      <c r="C44" t="s">
        <v>539</v>
      </c>
      <c r="D44" t="s">
        <v>1489</v>
      </c>
      <c r="E44">
        <v>179</v>
      </c>
      <c r="G44">
        <v>2</v>
      </c>
      <c r="H44" t="s">
        <v>429</v>
      </c>
      <c r="I44" t="s">
        <v>1319</v>
      </c>
      <c r="J44">
        <v>63</v>
      </c>
      <c r="L44">
        <v>2</v>
      </c>
      <c r="M44" t="s">
        <v>339</v>
      </c>
      <c r="N44" t="s">
        <v>1635</v>
      </c>
      <c r="O44">
        <v>17</v>
      </c>
      <c r="R44" s="506" t="s">
        <v>717</v>
      </c>
      <c r="S44" s="506" t="s">
        <v>1517</v>
      </c>
      <c r="T44" s="506">
        <v>23</v>
      </c>
      <c r="W44">
        <v>2</v>
      </c>
      <c r="X44" t="s">
        <v>611</v>
      </c>
      <c r="Y44" t="s">
        <v>1385</v>
      </c>
      <c r="Z44">
        <v>178</v>
      </c>
      <c r="AB44">
        <v>2</v>
      </c>
      <c r="AC44" t="s">
        <v>394</v>
      </c>
      <c r="AD44" t="s">
        <v>1564</v>
      </c>
      <c r="AE44">
        <v>58</v>
      </c>
      <c r="AG44">
        <v>2</v>
      </c>
      <c r="AH44" t="s">
        <v>165</v>
      </c>
      <c r="AI44" t="s">
        <v>1471</v>
      </c>
      <c r="AJ44">
        <v>16</v>
      </c>
      <c r="AL44">
        <v>2</v>
      </c>
      <c r="AM44" t="s">
        <v>266</v>
      </c>
      <c r="AN44" t="s">
        <v>1466</v>
      </c>
      <c r="AO44">
        <v>12</v>
      </c>
      <c r="AR44">
        <v>2</v>
      </c>
      <c r="AS44" t="s">
        <v>394</v>
      </c>
      <c r="AT44" t="s">
        <v>1509</v>
      </c>
      <c r="AU44">
        <v>178</v>
      </c>
      <c r="AW44">
        <v>2</v>
      </c>
      <c r="AX44" t="s">
        <v>394</v>
      </c>
      <c r="AY44" t="s">
        <v>1546</v>
      </c>
      <c r="AZ44">
        <v>66</v>
      </c>
      <c r="BB44">
        <v>2</v>
      </c>
      <c r="BC44" t="s">
        <v>429</v>
      </c>
      <c r="BD44" t="s">
        <v>1319</v>
      </c>
      <c r="BE44">
        <v>17</v>
      </c>
      <c r="BG44">
        <v>2</v>
      </c>
      <c r="BH44" t="s">
        <v>266</v>
      </c>
      <c r="BI44" t="s">
        <v>1466</v>
      </c>
      <c r="BJ44">
        <v>21</v>
      </c>
    </row>
    <row r="45" spans="2:62">
      <c r="B45">
        <v>3</v>
      </c>
      <c r="C45" t="s">
        <v>300</v>
      </c>
      <c r="D45" t="s">
        <v>1636</v>
      </c>
      <c r="E45">
        <v>174</v>
      </c>
      <c r="G45">
        <v>3</v>
      </c>
      <c r="H45" t="s">
        <v>463</v>
      </c>
      <c r="I45" t="s">
        <v>1513</v>
      </c>
      <c r="J45">
        <v>60</v>
      </c>
      <c r="L45">
        <v>3</v>
      </c>
      <c r="M45" t="s">
        <v>226</v>
      </c>
      <c r="N45" t="s">
        <v>1434</v>
      </c>
      <c r="O45">
        <v>16</v>
      </c>
      <c r="Q45">
        <v>3</v>
      </c>
      <c r="R45" t="s">
        <v>394</v>
      </c>
      <c r="S45" t="s">
        <v>1400</v>
      </c>
      <c r="T45">
        <v>14</v>
      </c>
      <c r="W45">
        <v>3</v>
      </c>
      <c r="X45" t="s">
        <v>226</v>
      </c>
      <c r="Y45" t="s">
        <v>1321</v>
      </c>
      <c r="Z45">
        <v>177</v>
      </c>
      <c r="AB45">
        <v>3</v>
      </c>
      <c r="AC45" t="s">
        <v>165</v>
      </c>
      <c r="AD45" t="s">
        <v>1341</v>
      </c>
      <c r="AE45">
        <v>57</v>
      </c>
      <c r="AG45">
        <v>3</v>
      </c>
      <c r="AH45" t="s">
        <v>266</v>
      </c>
      <c r="AI45" t="s">
        <v>1462</v>
      </c>
      <c r="AJ45">
        <v>15</v>
      </c>
      <c r="AL45">
        <v>3</v>
      </c>
      <c r="AM45" t="s">
        <v>429</v>
      </c>
      <c r="AN45" t="s">
        <v>1319</v>
      </c>
      <c r="AO45">
        <v>9</v>
      </c>
      <c r="AR45">
        <v>3</v>
      </c>
      <c r="AS45" t="s">
        <v>539</v>
      </c>
      <c r="AT45" t="s">
        <v>1489</v>
      </c>
      <c r="AU45">
        <v>174</v>
      </c>
      <c r="AW45">
        <v>3</v>
      </c>
      <c r="AX45" t="s">
        <v>165</v>
      </c>
      <c r="AY45" t="s">
        <v>1354</v>
      </c>
      <c r="AZ45">
        <v>62</v>
      </c>
      <c r="BB45">
        <v>3</v>
      </c>
      <c r="BC45" t="s">
        <v>165</v>
      </c>
      <c r="BD45" t="s">
        <v>1341</v>
      </c>
      <c r="BE45">
        <v>16</v>
      </c>
      <c r="BG45">
        <v>3</v>
      </c>
      <c r="BH45" t="s">
        <v>685</v>
      </c>
      <c r="BI45" t="s">
        <v>1344</v>
      </c>
      <c r="BJ45">
        <v>16</v>
      </c>
    </row>
    <row r="46" spans="2:62">
      <c r="B46">
        <v>4</v>
      </c>
      <c r="C46" t="s">
        <v>463</v>
      </c>
      <c r="D46" t="s">
        <v>1632</v>
      </c>
      <c r="E46">
        <v>173</v>
      </c>
      <c r="G46">
        <v>4</v>
      </c>
      <c r="H46" t="s">
        <v>165</v>
      </c>
      <c r="I46" t="s">
        <v>1354</v>
      </c>
      <c r="J46">
        <v>58</v>
      </c>
      <c r="L46">
        <v>4</v>
      </c>
      <c r="M46" t="s">
        <v>266</v>
      </c>
      <c r="N46" t="s">
        <v>1466</v>
      </c>
      <c r="O46">
        <v>15</v>
      </c>
      <c r="Q46">
        <v>4</v>
      </c>
      <c r="R46" t="s">
        <v>429</v>
      </c>
      <c r="S46" t="s">
        <v>1319</v>
      </c>
      <c r="T46">
        <v>13</v>
      </c>
      <c r="X46" t="s">
        <v>580</v>
      </c>
      <c r="Y46" t="s">
        <v>1468</v>
      </c>
      <c r="Z46">
        <v>177</v>
      </c>
      <c r="AB46">
        <v>4</v>
      </c>
      <c r="AC46" t="s">
        <v>266</v>
      </c>
      <c r="AD46" t="s">
        <v>1638</v>
      </c>
      <c r="AE46">
        <v>56</v>
      </c>
      <c r="AG46">
        <v>4</v>
      </c>
      <c r="AH46" t="s">
        <v>429</v>
      </c>
      <c r="AI46" t="s">
        <v>1319</v>
      </c>
      <c r="AJ46">
        <v>14</v>
      </c>
      <c r="AM46" t="s">
        <v>502</v>
      </c>
      <c r="AN46" t="s">
        <v>1376</v>
      </c>
      <c r="AO46">
        <v>9</v>
      </c>
      <c r="AR46">
        <v>4</v>
      </c>
      <c r="AS46" t="s">
        <v>429</v>
      </c>
      <c r="AT46" t="s">
        <v>1511</v>
      </c>
      <c r="AU46">
        <v>172</v>
      </c>
      <c r="AW46">
        <v>4</v>
      </c>
      <c r="AX46" t="s">
        <v>685</v>
      </c>
      <c r="AY46" t="s">
        <v>1340</v>
      </c>
      <c r="AZ46">
        <v>58</v>
      </c>
      <c r="BC46" t="s">
        <v>685</v>
      </c>
      <c r="BD46" t="s">
        <v>1344</v>
      </c>
      <c r="BE46">
        <v>16</v>
      </c>
      <c r="BG46">
        <v>4</v>
      </c>
      <c r="BH46" t="s">
        <v>717</v>
      </c>
      <c r="BI46" t="s">
        <v>1642</v>
      </c>
      <c r="BJ46">
        <v>15</v>
      </c>
    </row>
    <row r="47" spans="2:62">
      <c r="C47" t="s">
        <v>539</v>
      </c>
      <c r="D47" t="s">
        <v>1536</v>
      </c>
      <c r="E47">
        <v>173</v>
      </c>
      <c r="G47">
        <v>5</v>
      </c>
      <c r="H47" t="s">
        <v>463</v>
      </c>
      <c r="I47" t="s">
        <v>1640</v>
      </c>
      <c r="J47">
        <v>57</v>
      </c>
      <c r="L47">
        <v>5</v>
      </c>
      <c r="M47" t="s">
        <v>611</v>
      </c>
      <c r="N47" t="s">
        <v>1444</v>
      </c>
      <c r="O47">
        <v>14</v>
      </c>
      <c r="R47" t="s">
        <v>394</v>
      </c>
      <c r="S47" t="s">
        <v>1509</v>
      </c>
      <c r="T47">
        <v>13</v>
      </c>
      <c r="X47" t="s">
        <v>539</v>
      </c>
      <c r="Y47" t="s">
        <v>1489</v>
      </c>
      <c r="Z47">
        <v>177</v>
      </c>
      <c r="AC47" t="s">
        <v>339</v>
      </c>
      <c r="AD47" t="s">
        <v>1460</v>
      </c>
      <c r="AE47">
        <v>56</v>
      </c>
      <c r="AH47" t="s">
        <v>339</v>
      </c>
      <c r="AI47" t="s">
        <v>1503</v>
      </c>
      <c r="AJ47">
        <v>14</v>
      </c>
      <c r="AM47" t="s">
        <v>502</v>
      </c>
      <c r="AN47" t="s">
        <v>1484</v>
      </c>
      <c r="AO47">
        <v>9</v>
      </c>
      <c r="AR47">
        <v>5</v>
      </c>
      <c r="AS47" t="s">
        <v>717</v>
      </c>
      <c r="AT47" t="s">
        <v>1642</v>
      </c>
      <c r="AU47">
        <v>170</v>
      </c>
      <c r="AX47" t="s">
        <v>717</v>
      </c>
      <c r="AY47" t="s">
        <v>1638</v>
      </c>
      <c r="AZ47">
        <v>58</v>
      </c>
      <c r="BB47">
        <v>5</v>
      </c>
      <c r="BC47" t="s">
        <v>226</v>
      </c>
      <c r="BD47" t="s">
        <v>1321</v>
      </c>
      <c r="BE47">
        <v>14</v>
      </c>
      <c r="BG47">
        <v>5</v>
      </c>
      <c r="BH47" t="s">
        <v>502</v>
      </c>
      <c r="BI47" t="s">
        <v>1484</v>
      </c>
      <c r="BJ47">
        <v>12</v>
      </c>
    </row>
    <row r="48" spans="2:62">
      <c r="B48">
        <v>6</v>
      </c>
      <c r="C48" t="s">
        <v>394</v>
      </c>
      <c r="D48" t="s">
        <v>1400</v>
      </c>
      <c r="E48">
        <v>172</v>
      </c>
      <c r="G48">
        <v>6</v>
      </c>
      <c r="H48" t="s">
        <v>165</v>
      </c>
      <c r="I48" t="s">
        <v>1341</v>
      </c>
      <c r="J48">
        <v>56</v>
      </c>
      <c r="M48" t="s">
        <v>685</v>
      </c>
      <c r="N48" t="s">
        <v>1526</v>
      </c>
      <c r="O48">
        <v>14</v>
      </c>
      <c r="Q48">
        <v>6</v>
      </c>
      <c r="R48" t="s">
        <v>502</v>
      </c>
      <c r="S48" t="s">
        <v>1376</v>
      </c>
      <c r="T48">
        <v>12</v>
      </c>
      <c r="W48">
        <v>6</v>
      </c>
      <c r="X48" t="s">
        <v>539</v>
      </c>
      <c r="Y48" t="s">
        <v>1536</v>
      </c>
      <c r="Z48">
        <v>174</v>
      </c>
      <c r="AC48" t="s">
        <v>165</v>
      </c>
      <c r="AD48" t="s">
        <v>1354</v>
      </c>
      <c r="AE48">
        <v>55</v>
      </c>
      <c r="AH48" t="s">
        <v>300</v>
      </c>
      <c r="AI48" t="s">
        <v>1540</v>
      </c>
      <c r="AJ48">
        <v>14</v>
      </c>
      <c r="AL48">
        <v>6</v>
      </c>
      <c r="AM48" t="s">
        <v>685</v>
      </c>
      <c r="AN48" t="s">
        <v>1340</v>
      </c>
      <c r="AO48">
        <v>7</v>
      </c>
      <c r="AR48">
        <v>6</v>
      </c>
      <c r="AS48" t="s">
        <v>226</v>
      </c>
      <c r="AT48" t="s">
        <v>1321</v>
      </c>
      <c r="AU48">
        <v>169</v>
      </c>
      <c r="AX48" t="s">
        <v>339</v>
      </c>
      <c r="AY48" t="s">
        <v>1503</v>
      </c>
      <c r="AZ48">
        <v>58</v>
      </c>
      <c r="BC48" t="s">
        <v>580</v>
      </c>
      <c r="BD48" t="s">
        <v>1468</v>
      </c>
      <c r="BE48">
        <v>14</v>
      </c>
      <c r="BG48">
        <v>6</v>
      </c>
      <c r="BH48" t="s">
        <v>429</v>
      </c>
      <c r="BI48" t="s">
        <v>1319</v>
      </c>
      <c r="BJ48">
        <v>9</v>
      </c>
    </row>
    <row r="49" spans="2:62">
      <c r="B49">
        <v>7</v>
      </c>
      <c r="C49" t="s">
        <v>266</v>
      </c>
      <c r="D49" t="s">
        <v>1462</v>
      </c>
      <c r="E49">
        <v>171</v>
      </c>
      <c r="G49">
        <v>7</v>
      </c>
      <c r="H49" t="s">
        <v>394</v>
      </c>
      <c r="I49" t="s">
        <v>1564</v>
      </c>
      <c r="J49">
        <v>55</v>
      </c>
      <c r="M49" t="s">
        <v>580</v>
      </c>
      <c r="N49" t="s">
        <v>1442</v>
      </c>
      <c r="O49">
        <v>14</v>
      </c>
      <c r="Q49">
        <v>7</v>
      </c>
      <c r="R49" t="s">
        <v>611</v>
      </c>
      <c r="S49" t="s">
        <v>1385</v>
      </c>
      <c r="T49">
        <v>8</v>
      </c>
      <c r="W49">
        <v>7</v>
      </c>
      <c r="X49" t="s">
        <v>394</v>
      </c>
      <c r="Y49" t="s">
        <v>1400</v>
      </c>
      <c r="Z49">
        <v>172</v>
      </c>
      <c r="AB49">
        <v>7</v>
      </c>
      <c r="AC49" t="s">
        <v>429</v>
      </c>
      <c r="AD49" t="s">
        <v>1641</v>
      </c>
      <c r="AE49">
        <v>55</v>
      </c>
      <c r="AG49">
        <v>7</v>
      </c>
      <c r="AH49" t="s">
        <v>502</v>
      </c>
      <c r="AI49" t="s">
        <v>1329</v>
      </c>
      <c r="AJ49">
        <v>14</v>
      </c>
      <c r="AM49" t="s">
        <v>165</v>
      </c>
      <c r="AN49" t="s">
        <v>1471</v>
      </c>
      <c r="AO49">
        <v>7</v>
      </c>
      <c r="AR49">
        <v>7</v>
      </c>
      <c r="AS49" t="s">
        <v>266</v>
      </c>
      <c r="AT49" t="s">
        <v>1466</v>
      </c>
      <c r="AU49">
        <v>165</v>
      </c>
      <c r="AW49">
        <v>7</v>
      </c>
      <c r="AX49" t="s">
        <v>339</v>
      </c>
      <c r="AY49" t="s">
        <v>1633</v>
      </c>
      <c r="AZ49">
        <v>57</v>
      </c>
      <c r="BB49">
        <v>7</v>
      </c>
      <c r="BC49" t="s">
        <v>226</v>
      </c>
      <c r="BD49" t="s">
        <v>1434</v>
      </c>
      <c r="BE49">
        <v>13</v>
      </c>
      <c r="BH49" t="s">
        <v>580</v>
      </c>
      <c r="BI49" t="s">
        <v>1468</v>
      </c>
      <c r="BJ49">
        <v>9</v>
      </c>
    </row>
    <row r="50" spans="2:62">
      <c r="B50">
        <v>8</v>
      </c>
      <c r="C50" t="s">
        <v>685</v>
      </c>
      <c r="D50" t="s">
        <v>1340</v>
      </c>
      <c r="E50">
        <v>170</v>
      </c>
      <c r="G50">
        <v>8</v>
      </c>
      <c r="H50" t="s">
        <v>339</v>
      </c>
      <c r="I50" t="s">
        <v>1460</v>
      </c>
      <c r="J50">
        <v>54</v>
      </c>
      <c r="L50">
        <v>8</v>
      </c>
      <c r="M50" t="s">
        <v>339</v>
      </c>
      <c r="N50" t="s">
        <v>1552</v>
      </c>
      <c r="O50">
        <v>13</v>
      </c>
      <c r="Q50">
        <v>8</v>
      </c>
      <c r="R50" t="s">
        <v>685</v>
      </c>
      <c r="S50" t="s">
        <v>1344</v>
      </c>
      <c r="T50">
        <v>7</v>
      </c>
      <c r="W50">
        <v>8</v>
      </c>
      <c r="Y50" t="s">
        <v>1615</v>
      </c>
      <c r="Z50">
        <v>171</v>
      </c>
      <c r="AB50">
        <v>8</v>
      </c>
      <c r="AC50" t="s">
        <v>429</v>
      </c>
      <c r="AD50" t="s">
        <v>1319</v>
      </c>
      <c r="AE50">
        <v>54</v>
      </c>
      <c r="AH50" t="s">
        <v>226</v>
      </c>
      <c r="AI50" t="s">
        <v>1338</v>
      </c>
      <c r="AJ50">
        <v>14</v>
      </c>
      <c r="AL50">
        <v>8</v>
      </c>
      <c r="AM50" t="s">
        <v>502</v>
      </c>
      <c r="AN50" t="s">
        <v>1634</v>
      </c>
      <c r="AO50">
        <v>6</v>
      </c>
      <c r="AS50" t="s">
        <v>502</v>
      </c>
      <c r="AT50" t="s">
        <v>1484</v>
      </c>
      <c r="AU50">
        <v>165</v>
      </c>
      <c r="AW50">
        <v>8</v>
      </c>
      <c r="AX50" t="s">
        <v>429</v>
      </c>
      <c r="AY50" t="s">
        <v>1319</v>
      </c>
      <c r="AZ50">
        <v>56</v>
      </c>
      <c r="BC50" t="s">
        <v>685</v>
      </c>
      <c r="BD50" t="s">
        <v>1316</v>
      </c>
      <c r="BE50">
        <v>13</v>
      </c>
      <c r="BH50" t="s">
        <v>539</v>
      </c>
      <c r="BI50" t="s">
        <v>1489</v>
      </c>
      <c r="BJ50">
        <v>9</v>
      </c>
    </row>
    <row r="51" spans="2:62">
      <c r="B51">
        <v>9</v>
      </c>
      <c r="C51" t="s">
        <v>429</v>
      </c>
      <c r="D51" t="s">
        <v>1319</v>
      </c>
      <c r="E51">
        <v>169</v>
      </c>
      <c r="H51" t="s">
        <v>502</v>
      </c>
      <c r="I51" t="s">
        <v>1626</v>
      </c>
      <c r="J51">
        <v>54</v>
      </c>
      <c r="M51" t="s">
        <v>539</v>
      </c>
      <c r="N51" t="s">
        <v>1446</v>
      </c>
      <c r="O51">
        <v>13</v>
      </c>
      <c r="Q51">
        <v>9</v>
      </c>
      <c r="R51" t="s">
        <v>539</v>
      </c>
      <c r="S51" t="s">
        <v>1489</v>
      </c>
      <c r="T51">
        <v>5</v>
      </c>
      <c r="AC51" t="s">
        <v>339</v>
      </c>
      <c r="AD51" t="s">
        <v>1360</v>
      </c>
      <c r="AE51">
        <v>54</v>
      </c>
      <c r="AG51">
        <v>9</v>
      </c>
      <c r="AH51" t="s">
        <v>650</v>
      </c>
      <c r="AI51" t="s">
        <v>1422</v>
      </c>
      <c r="AJ51">
        <v>14</v>
      </c>
      <c r="AL51">
        <v>9</v>
      </c>
      <c r="AM51" t="s">
        <v>580</v>
      </c>
      <c r="AN51" t="s">
        <v>1468</v>
      </c>
      <c r="AO51">
        <v>5</v>
      </c>
      <c r="AS51" t="s">
        <v>394</v>
      </c>
      <c r="AT51" t="s">
        <v>1546</v>
      </c>
      <c r="AU51">
        <v>165</v>
      </c>
      <c r="AX51" t="s">
        <v>539</v>
      </c>
      <c r="AY51" t="s">
        <v>1643</v>
      </c>
      <c r="AZ51">
        <v>56</v>
      </c>
      <c r="BB51">
        <v>9</v>
      </c>
      <c r="BD51" t="s">
        <v>1614</v>
      </c>
      <c r="BE51">
        <v>12</v>
      </c>
      <c r="BH51" t="s">
        <v>611</v>
      </c>
      <c r="BI51" t="s">
        <v>1385</v>
      </c>
      <c r="BJ51">
        <v>9</v>
      </c>
    </row>
    <row r="52" spans="2:62">
      <c r="B52">
        <v>10</v>
      </c>
      <c r="D52" t="s">
        <v>1610</v>
      </c>
      <c r="E52">
        <v>167</v>
      </c>
      <c r="G52">
        <v>10</v>
      </c>
      <c r="I52" t="s">
        <v>1627</v>
      </c>
      <c r="J52">
        <v>52</v>
      </c>
      <c r="M52" t="s">
        <v>611</v>
      </c>
      <c r="N52" t="s">
        <v>1808</v>
      </c>
      <c r="O52">
        <v>13</v>
      </c>
      <c r="S52" t="s">
        <v>1610</v>
      </c>
      <c r="T52">
        <v>5</v>
      </c>
      <c r="AB52">
        <v>10</v>
      </c>
      <c r="AD52" t="s">
        <v>1610</v>
      </c>
      <c r="AE52">
        <v>53</v>
      </c>
      <c r="AI52" t="s">
        <v>1614</v>
      </c>
      <c r="AJ52">
        <v>13</v>
      </c>
      <c r="AL52">
        <v>10</v>
      </c>
      <c r="AM52" t="s">
        <v>717</v>
      </c>
      <c r="AN52" t="s">
        <v>1642</v>
      </c>
      <c r="AO52">
        <v>5</v>
      </c>
      <c r="AS52" t="s">
        <v>539</v>
      </c>
      <c r="AT52" t="s">
        <v>1446</v>
      </c>
      <c r="AU52">
        <v>165</v>
      </c>
      <c r="AW52">
        <v>10</v>
      </c>
      <c r="AX52" t="s">
        <v>266</v>
      </c>
      <c r="AY52" t="s">
        <v>1560</v>
      </c>
      <c r="AZ52">
        <v>54</v>
      </c>
      <c r="BG52">
        <v>10</v>
      </c>
      <c r="BI52" t="s">
        <v>1614</v>
      </c>
      <c r="BJ52">
        <v>8</v>
      </c>
    </row>
    <row r="54" spans="2:62">
      <c r="B54" s="1084" t="s">
        <v>1809</v>
      </c>
      <c r="C54" s="1085"/>
      <c r="D54" s="1085"/>
      <c r="E54" s="1086"/>
      <c r="W54" s="1084" t="s">
        <v>1809</v>
      </c>
      <c r="X54" s="1085"/>
      <c r="Y54" s="1085"/>
      <c r="Z54" s="1086"/>
      <c r="AR54" s="1084" t="s">
        <v>1809</v>
      </c>
      <c r="AS54" s="1085"/>
      <c r="AT54" s="1085"/>
      <c r="AU54" s="1086"/>
    </row>
    <row r="55" spans="2:62" s="141" customFormat="1">
      <c r="B55" s="359"/>
      <c r="C55" s="360" t="s">
        <v>8</v>
      </c>
      <c r="D55" s="360" t="s">
        <v>1314</v>
      </c>
      <c r="E55" s="359" t="s">
        <v>164</v>
      </c>
      <c r="W55" s="359"/>
      <c r="X55" s="360" t="s">
        <v>8</v>
      </c>
      <c r="Y55" s="360" t="s">
        <v>1314</v>
      </c>
      <c r="Z55" s="359" t="s">
        <v>164</v>
      </c>
      <c r="AR55" s="359"/>
      <c r="AS55" s="360" t="s">
        <v>8</v>
      </c>
      <c r="AT55" s="360" t="s">
        <v>1314</v>
      </c>
      <c r="AU55" s="359" t="s">
        <v>164</v>
      </c>
    </row>
    <row r="56" spans="2:62" s="124" customFormat="1" ht="19">
      <c r="B56" s="119">
        <v>1</v>
      </c>
      <c r="C56" s="119" t="s">
        <v>300</v>
      </c>
      <c r="D56" s="119" t="s">
        <v>1315</v>
      </c>
      <c r="E56" s="119">
        <v>10</v>
      </c>
      <c r="W56" s="119">
        <v>1</v>
      </c>
      <c r="X56" s="119" t="s">
        <v>685</v>
      </c>
      <c r="Y56" s="119" t="s">
        <v>1344</v>
      </c>
      <c r="Z56" s="119">
        <v>7</v>
      </c>
      <c r="AR56" s="119">
        <v>1</v>
      </c>
      <c r="AS56" s="119" t="s">
        <v>226</v>
      </c>
      <c r="AT56" s="119" t="s">
        <v>1321</v>
      </c>
      <c r="AU56" s="119">
        <v>8</v>
      </c>
    </row>
    <row r="57" spans="2:62" ht="19">
      <c r="B57">
        <v>2</v>
      </c>
      <c r="C57" s="505" t="s">
        <v>165</v>
      </c>
      <c r="D57" s="505" t="s">
        <v>1354</v>
      </c>
      <c r="E57" s="119">
        <v>7</v>
      </c>
      <c r="X57" s="119" t="s">
        <v>300</v>
      </c>
      <c r="Y57" s="119" t="s">
        <v>1540</v>
      </c>
      <c r="Z57" s="119">
        <v>7</v>
      </c>
      <c r="AR57">
        <v>2</v>
      </c>
      <c r="AS57" t="s">
        <v>685</v>
      </c>
      <c r="AT57" t="s">
        <v>1340</v>
      </c>
      <c r="AU57">
        <v>7</v>
      </c>
    </row>
    <row r="58" spans="2:62">
      <c r="B58">
        <v>3</v>
      </c>
      <c r="C58" t="s">
        <v>300</v>
      </c>
      <c r="D58" t="s">
        <v>1636</v>
      </c>
      <c r="E58">
        <v>6</v>
      </c>
      <c r="W58">
        <v>3</v>
      </c>
      <c r="X58" t="s">
        <v>429</v>
      </c>
      <c r="Y58" t="s">
        <v>1319</v>
      </c>
      <c r="Z58">
        <v>6</v>
      </c>
      <c r="AR58">
        <v>3</v>
      </c>
      <c r="AS58" t="s">
        <v>611</v>
      </c>
      <c r="AT58" t="s">
        <v>1551</v>
      </c>
      <c r="AU58">
        <v>6</v>
      </c>
    </row>
    <row r="59" spans="2:62">
      <c r="C59" t="s">
        <v>502</v>
      </c>
      <c r="D59" t="s">
        <v>1376</v>
      </c>
      <c r="E59">
        <v>6</v>
      </c>
      <c r="X59" t="s">
        <v>429</v>
      </c>
      <c r="Y59" t="s">
        <v>1511</v>
      </c>
      <c r="Z59">
        <v>6</v>
      </c>
      <c r="AS59" t="s">
        <v>394</v>
      </c>
      <c r="AT59" t="s">
        <v>1546</v>
      </c>
      <c r="AU59">
        <v>6</v>
      </c>
    </row>
    <row r="60" spans="2:62">
      <c r="C60" t="s">
        <v>580</v>
      </c>
      <c r="D60" t="s">
        <v>1325</v>
      </c>
      <c r="E60">
        <v>6</v>
      </c>
      <c r="X60" t="s">
        <v>394</v>
      </c>
      <c r="Y60" t="s">
        <v>1564</v>
      </c>
      <c r="Z60">
        <v>6</v>
      </c>
      <c r="AS60" t="s">
        <v>502</v>
      </c>
      <c r="AT60" t="s">
        <v>1504</v>
      </c>
      <c r="AU60">
        <v>6</v>
      </c>
    </row>
    <row r="61" spans="2:62">
      <c r="B61">
        <v>6</v>
      </c>
      <c r="C61" t="s">
        <v>539</v>
      </c>
      <c r="D61" t="s">
        <v>1536</v>
      </c>
      <c r="E61">
        <v>5</v>
      </c>
      <c r="X61" t="s">
        <v>266</v>
      </c>
      <c r="Y61" t="s">
        <v>1541</v>
      </c>
      <c r="Z61">
        <v>6</v>
      </c>
      <c r="AS61" t="s">
        <v>266</v>
      </c>
      <c r="AT61" t="s">
        <v>1560</v>
      </c>
      <c r="AU61">
        <v>6</v>
      </c>
    </row>
    <row r="62" spans="2:62">
      <c r="C62" t="s">
        <v>685</v>
      </c>
      <c r="D62" t="s">
        <v>1344</v>
      </c>
      <c r="E62">
        <v>5</v>
      </c>
      <c r="X62" t="s">
        <v>165</v>
      </c>
      <c r="Y62" t="s">
        <v>1475</v>
      </c>
      <c r="Z62">
        <v>6</v>
      </c>
      <c r="AR62">
        <v>7</v>
      </c>
      <c r="AT62" t="s">
        <v>1629</v>
      </c>
      <c r="AU62">
        <v>5</v>
      </c>
    </row>
    <row r="63" spans="2:62">
      <c r="C63" t="s">
        <v>429</v>
      </c>
      <c r="D63" t="s">
        <v>1476</v>
      </c>
      <c r="E63">
        <v>5</v>
      </c>
      <c r="W63">
        <v>8</v>
      </c>
      <c r="Y63" t="s">
        <v>1791</v>
      </c>
      <c r="Z63">
        <v>5</v>
      </c>
    </row>
    <row r="64" spans="2:62">
      <c r="C64" t="s">
        <v>429</v>
      </c>
      <c r="D64" t="s">
        <v>1539</v>
      </c>
      <c r="E64">
        <v>5</v>
      </c>
    </row>
    <row r="65" spans="4:5">
      <c r="D65" t="s">
        <v>1627</v>
      </c>
      <c r="E65">
        <v>5</v>
      </c>
    </row>
  </sheetData>
  <mergeCells count="54">
    <mergeCell ref="AW41:AZ41"/>
    <mergeCell ref="BB41:BE41"/>
    <mergeCell ref="BG41:BJ41"/>
    <mergeCell ref="W54:Z54"/>
    <mergeCell ref="AR54:AU54"/>
    <mergeCell ref="W41:Z41"/>
    <mergeCell ref="AB41:AE41"/>
    <mergeCell ref="AG41:AJ41"/>
    <mergeCell ref="AL41:AO41"/>
    <mergeCell ref="AR41:AU41"/>
    <mergeCell ref="AR15:AU15"/>
    <mergeCell ref="AW15:AZ15"/>
    <mergeCell ref="BB15:BE15"/>
    <mergeCell ref="BG15:BJ15"/>
    <mergeCell ref="W28:Z28"/>
    <mergeCell ref="AB28:AE28"/>
    <mergeCell ref="AG28:AJ28"/>
    <mergeCell ref="AL28:AO28"/>
    <mergeCell ref="AR28:AU28"/>
    <mergeCell ref="AW28:AZ28"/>
    <mergeCell ref="BB28:BE28"/>
    <mergeCell ref="BG28:BJ28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B15:E15"/>
    <mergeCell ref="G15:J15"/>
    <mergeCell ref="L15:O15"/>
    <mergeCell ref="Q15:T15"/>
    <mergeCell ref="W1:AO1"/>
    <mergeCell ref="W15:Z15"/>
    <mergeCell ref="AB15:AE15"/>
    <mergeCell ref="AG15:AJ15"/>
    <mergeCell ref="AL15:AO15"/>
    <mergeCell ref="B1:T1"/>
    <mergeCell ref="B2:E2"/>
    <mergeCell ref="G2:J2"/>
    <mergeCell ref="L2:O2"/>
    <mergeCell ref="Q2:T2"/>
    <mergeCell ref="B54:E54"/>
    <mergeCell ref="B28:E28"/>
    <mergeCell ref="G28:J28"/>
    <mergeCell ref="L28:O28"/>
    <mergeCell ref="Q28:T28"/>
    <mergeCell ref="B41:E41"/>
    <mergeCell ref="G41:J41"/>
    <mergeCell ref="L41:O41"/>
    <mergeCell ref="Q41:T4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B1:BJ65"/>
  <sheetViews>
    <sheetView workbookViewId="0">
      <pane ySplit="1" topLeftCell="A2" activePane="bottomLeft" state="frozenSplit"/>
      <selection pane="bottomLeft" activeCell="H36" sqref="H36"/>
    </sheetView>
  </sheetViews>
  <sheetFormatPr baseColWidth="10" defaultRowHeight="16"/>
  <cols>
    <col min="1" max="1" width="3.5" customWidth="1"/>
    <col min="2" max="2" width="3.1640625" customWidth="1"/>
    <col min="3" max="3" width="6" customWidth="1"/>
    <col min="4" max="4" width="17.6640625" customWidth="1"/>
    <col min="5" max="5" width="5.6640625" customWidth="1"/>
    <col min="6" max="6" width="3.5" customWidth="1"/>
    <col min="7" max="7" width="3.1640625" customWidth="1"/>
    <col min="8" max="8" width="6" customWidth="1"/>
    <col min="9" max="9" width="15.33203125" customWidth="1"/>
    <col min="10" max="10" width="5.6640625" customWidth="1"/>
    <col min="11" max="11" width="3.5" customWidth="1"/>
    <col min="12" max="12" width="3.1640625" customWidth="1"/>
    <col min="13" max="13" width="6" customWidth="1"/>
    <col min="14" max="14" width="17.5" customWidth="1"/>
    <col min="15" max="15" width="5.6640625" customWidth="1"/>
    <col min="16" max="16" width="3.5" customWidth="1"/>
    <col min="17" max="17" width="3.1640625" customWidth="1"/>
    <col min="18" max="18" width="6" customWidth="1"/>
    <col min="19" max="19" width="17.6640625" customWidth="1"/>
    <col min="20" max="20" width="7" customWidth="1"/>
    <col min="21" max="22" width="3.5" customWidth="1"/>
    <col min="23" max="23" width="3.1640625" customWidth="1"/>
    <col min="24" max="24" width="5.6640625" customWidth="1"/>
    <col min="25" max="25" width="15.33203125" customWidth="1"/>
    <col min="26" max="26" width="5.33203125" customWidth="1"/>
    <col min="27" max="27" width="3.5" customWidth="1"/>
    <col min="28" max="28" width="3.1640625" customWidth="1"/>
    <col min="29" max="29" width="5.5" customWidth="1"/>
    <col min="30" max="30" width="14.6640625" customWidth="1"/>
    <col min="31" max="31" width="5.33203125" customWidth="1"/>
    <col min="32" max="32" width="3.5" customWidth="1"/>
    <col min="33" max="33" width="3.1640625" customWidth="1"/>
    <col min="34" max="34" width="5.5" customWidth="1"/>
    <col min="35" max="35" width="18" customWidth="1"/>
    <col min="36" max="36" width="5.33203125" customWidth="1"/>
    <col min="37" max="37" width="3.5" customWidth="1"/>
    <col min="38" max="38" width="3.1640625" customWidth="1"/>
    <col min="39" max="39" width="6" customWidth="1"/>
    <col min="40" max="40" width="14.5" customWidth="1"/>
    <col min="41" max="41" width="5.33203125" customWidth="1"/>
    <col min="42" max="43" width="3.5" customWidth="1"/>
    <col min="44" max="44" width="3.1640625" customWidth="1"/>
    <col min="45" max="45" width="6" customWidth="1"/>
    <col min="46" max="46" width="18" customWidth="1"/>
    <col min="47" max="47" width="5.33203125" customWidth="1"/>
    <col min="48" max="48" width="3.5" customWidth="1"/>
    <col min="49" max="49" width="3.1640625" customWidth="1"/>
    <col min="50" max="50" width="5.5" customWidth="1"/>
    <col min="51" max="51" width="15.6640625" customWidth="1"/>
    <col min="52" max="52" width="5.33203125" customWidth="1"/>
    <col min="53" max="53" width="3.5" customWidth="1"/>
    <col min="54" max="54" width="3.1640625" customWidth="1"/>
    <col min="55" max="55" width="5.5" customWidth="1"/>
    <col min="56" max="56" width="16.6640625" customWidth="1"/>
    <col min="57" max="57" width="5.33203125" customWidth="1"/>
    <col min="58" max="58" width="3.5" customWidth="1"/>
    <col min="59" max="59" width="3.1640625" customWidth="1"/>
    <col min="60" max="60" width="5.5" customWidth="1"/>
    <col min="61" max="61" width="18" customWidth="1"/>
    <col min="62" max="62" width="6.5" customWidth="1"/>
    <col min="63" max="63" width="3.1640625" customWidth="1"/>
  </cols>
  <sheetData>
    <row r="1" spans="2:62" ht="27">
      <c r="B1" s="1075" t="s">
        <v>1810</v>
      </c>
      <c r="C1" s="1076"/>
      <c r="D1" s="1076"/>
      <c r="E1" s="1076"/>
      <c r="F1" s="1076"/>
      <c r="G1" s="1076"/>
      <c r="H1" s="1076"/>
      <c r="I1" s="1076"/>
      <c r="J1" s="1076"/>
      <c r="K1" s="1076"/>
      <c r="L1" s="1076"/>
      <c r="M1" s="1076"/>
      <c r="N1" s="1076"/>
      <c r="O1" s="1076"/>
      <c r="P1" s="1076"/>
      <c r="Q1" s="1076"/>
      <c r="R1" s="1076"/>
      <c r="S1" s="1076"/>
      <c r="T1" s="1077"/>
      <c r="W1" s="1075" t="s">
        <v>1811</v>
      </c>
      <c r="X1" s="1076"/>
      <c r="Y1" s="1076"/>
      <c r="Z1" s="1076"/>
      <c r="AA1" s="1076"/>
      <c r="AB1" s="1076"/>
      <c r="AC1" s="1076"/>
      <c r="AD1" s="1076"/>
      <c r="AE1" s="1076"/>
      <c r="AF1" s="1076"/>
      <c r="AG1" s="1076"/>
      <c r="AH1" s="1076"/>
      <c r="AI1" s="1076"/>
      <c r="AJ1" s="1076"/>
      <c r="AK1" s="1076"/>
      <c r="AL1" s="1076"/>
      <c r="AM1" s="1076"/>
      <c r="AN1" s="1076"/>
      <c r="AO1" s="1077"/>
      <c r="AR1" s="1075" t="s">
        <v>1812</v>
      </c>
      <c r="AS1" s="1076"/>
      <c r="AT1" s="1076"/>
      <c r="AU1" s="1076"/>
      <c r="AV1" s="1076"/>
      <c r="AW1" s="1076"/>
      <c r="AX1" s="1076"/>
      <c r="AY1" s="1076"/>
      <c r="AZ1" s="1076"/>
      <c r="BA1" s="1076"/>
      <c r="BB1" s="1076"/>
      <c r="BC1" s="1076"/>
      <c r="BD1" s="1076"/>
      <c r="BE1" s="1076"/>
      <c r="BF1" s="1076"/>
      <c r="BG1" s="1076"/>
      <c r="BH1" s="1076"/>
      <c r="BI1" s="1076"/>
      <c r="BJ1" s="1077"/>
    </row>
    <row r="2" spans="2:62">
      <c r="B2" s="1084" t="s">
        <v>146</v>
      </c>
      <c r="C2" s="1085"/>
      <c r="D2" s="1085"/>
      <c r="E2" s="1086"/>
      <c r="G2" s="1084" t="s">
        <v>147</v>
      </c>
      <c r="H2" s="1085"/>
      <c r="I2" s="1085"/>
      <c r="J2" s="1086"/>
      <c r="L2" s="1084" t="s">
        <v>148</v>
      </c>
      <c r="M2" s="1085"/>
      <c r="N2" s="1085"/>
      <c r="O2" s="1086"/>
      <c r="Q2" s="1084" t="s">
        <v>162</v>
      </c>
      <c r="R2" s="1085"/>
      <c r="S2" s="1085"/>
      <c r="T2" s="1086"/>
      <c r="W2" s="1084" t="s">
        <v>146</v>
      </c>
      <c r="X2" s="1085"/>
      <c r="Y2" s="1085"/>
      <c r="Z2" s="1086"/>
      <c r="AB2" s="1084" t="s">
        <v>147</v>
      </c>
      <c r="AC2" s="1085"/>
      <c r="AD2" s="1085"/>
      <c r="AE2" s="1086"/>
      <c r="AG2" s="1084" t="s">
        <v>148</v>
      </c>
      <c r="AH2" s="1085"/>
      <c r="AI2" s="1085"/>
      <c r="AJ2" s="1086"/>
      <c r="AL2" s="1084" t="s">
        <v>162</v>
      </c>
      <c r="AM2" s="1085"/>
      <c r="AN2" s="1085"/>
      <c r="AO2" s="1086"/>
      <c r="AR2" s="1084" t="s">
        <v>1605</v>
      </c>
      <c r="AS2" s="1085"/>
      <c r="AT2" s="1085"/>
      <c r="AU2" s="1086"/>
      <c r="AW2" s="1084" t="s">
        <v>147</v>
      </c>
      <c r="AX2" s="1085"/>
      <c r="AY2" s="1085"/>
      <c r="AZ2" s="1086"/>
      <c r="BB2" s="1084" t="s">
        <v>148</v>
      </c>
      <c r="BC2" s="1085"/>
      <c r="BD2" s="1085"/>
      <c r="BE2" s="1086"/>
      <c r="BG2" s="1084" t="s">
        <v>162</v>
      </c>
      <c r="BH2" s="1085"/>
      <c r="BI2" s="1085"/>
      <c r="BJ2" s="1086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1265</v>
      </c>
      <c r="D4" s="119" t="s">
        <v>1335</v>
      </c>
      <c r="E4" s="120">
        <v>0.35714285714285715</v>
      </c>
      <c r="G4" s="119">
        <v>1</v>
      </c>
      <c r="H4" s="119" t="s">
        <v>1265</v>
      </c>
      <c r="I4" s="119" t="s">
        <v>1335</v>
      </c>
      <c r="J4" s="120">
        <v>0.41935483870967744</v>
      </c>
      <c r="L4" s="119">
        <v>1</v>
      </c>
      <c r="M4" s="119" t="s">
        <v>952</v>
      </c>
      <c r="N4" s="119" t="s">
        <v>1316</v>
      </c>
      <c r="O4" s="120">
        <v>0.68944099378881984</v>
      </c>
      <c r="Q4" s="119">
        <v>1</v>
      </c>
      <c r="R4" s="119" t="s">
        <v>952</v>
      </c>
      <c r="S4" s="119" t="s">
        <v>1316</v>
      </c>
      <c r="T4" s="120">
        <v>1.0679720672351476</v>
      </c>
      <c r="W4" s="119">
        <v>1</v>
      </c>
      <c r="X4" s="119" t="s">
        <v>990</v>
      </c>
      <c r="Y4" s="119" t="s">
        <v>1358</v>
      </c>
      <c r="Z4" s="120">
        <v>0.34399999999999997</v>
      </c>
      <c r="AB4" s="119">
        <v>1</v>
      </c>
      <c r="AC4" s="119" t="s">
        <v>1229</v>
      </c>
      <c r="AD4" s="119" t="s">
        <v>1606</v>
      </c>
      <c r="AE4" s="120">
        <v>0.42299999999999999</v>
      </c>
      <c r="AG4" s="119">
        <v>1</v>
      </c>
      <c r="AH4" s="119" t="s">
        <v>804</v>
      </c>
      <c r="AI4" s="119" t="s">
        <v>1339</v>
      </c>
      <c r="AJ4" s="120">
        <v>0.622</v>
      </c>
      <c r="AL4" s="119">
        <v>1</v>
      </c>
      <c r="AM4" s="119" t="s">
        <v>804</v>
      </c>
      <c r="AN4" s="119" t="s">
        <v>1339</v>
      </c>
      <c r="AO4" s="120">
        <v>0.98099999999999998</v>
      </c>
      <c r="AR4" s="119">
        <v>1</v>
      </c>
      <c r="AS4" s="119" t="s">
        <v>1025</v>
      </c>
      <c r="AT4" s="119" t="s">
        <v>1361</v>
      </c>
      <c r="AU4" s="120">
        <v>0.32500000000000001</v>
      </c>
      <c r="AW4" s="119">
        <v>1</v>
      </c>
      <c r="AX4" s="119" t="s">
        <v>1139</v>
      </c>
      <c r="AY4" s="119" t="s">
        <v>1499</v>
      </c>
      <c r="AZ4" s="120">
        <v>0.44600000000000001</v>
      </c>
      <c r="BB4" s="119">
        <v>1</v>
      </c>
      <c r="BC4" s="119" t="s">
        <v>1139</v>
      </c>
      <c r="BD4" s="119" t="s">
        <v>1499</v>
      </c>
      <c r="BE4" s="120">
        <v>0.67400000000000004</v>
      </c>
      <c r="BG4" s="119">
        <v>1</v>
      </c>
      <c r="BH4" s="119" t="s">
        <v>1139</v>
      </c>
      <c r="BI4" s="119" t="s">
        <v>1499</v>
      </c>
      <c r="BJ4" s="120">
        <v>1.1200000000000001</v>
      </c>
    </row>
    <row r="5" spans="2:62">
      <c r="B5">
        <v>2</v>
      </c>
      <c r="C5" t="s">
        <v>903</v>
      </c>
      <c r="D5" t="s">
        <v>1449</v>
      </c>
      <c r="E5" s="122">
        <v>0.34567901234567899</v>
      </c>
      <c r="G5">
        <v>2</v>
      </c>
      <c r="H5" t="s">
        <v>1265</v>
      </c>
      <c r="I5" t="s">
        <v>1326</v>
      </c>
      <c r="J5" s="122">
        <v>0.41530054644808745</v>
      </c>
      <c r="L5">
        <v>2</v>
      </c>
      <c r="M5" t="s">
        <v>770</v>
      </c>
      <c r="N5" t="s">
        <v>1345</v>
      </c>
      <c r="O5" s="122">
        <v>0.62676056338028174</v>
      </c>
      <c r="Q5">
        <v>2</v>
      </c>
      <c r="R5" t="s">
        <v>770</v>
      </c>
      <c r="S5" t="s">
        <v>1345</v>
      </c>
      <c r="T5" s="122">
        <v>1.0388817755014939</v>
      </c>
      <c r="W5">
        <v>2</v>
      </c>
      <c r="X5" t="s">
        <v>1025</v>
      </c>
      <c r="Y5" t="s">
        <v>1608</v>
      </c>
      <c r="Z5" s="122">
        <v>0.33600000000000002</v>
      </c>
      <c r="AB5">
        <v>2</v>
      </c>
      <c r="AC5" t="s">
        <v>1025</v>
      </c>
      <c r="AD5" t="s">
        <v>1607</v>
      </c>
      <c r="AE5" s="122">
        <v>0.41299999999999998</v>
      </c>
      <c r="AG5">
        <v>2</v>
      </c>
      <c r="AH5" t="s">
        <v>990</v>
      </c>
      <c r="AI5" t="s">
        <v>1330</v>
      </c>
      <c r="AJ5" s="122">
        <v>0.61699999999999999</v>
      </c>
      <c r="AL5">
        <v>2</v>
      </c>
      <c r="AM5" t="s">
        <v>1139</v>
      </c>
      <c r="AN5" t="s">
        <v>1320</v>
      </c>
      <c r="AO5" s="122">
        <v>0.97799999999999998</v>
      </c>
      <c r="AR5">
        <v>2</v>
      </c>
      <c r="AS5" t="s">
        <v>770</v>
      </c>
      <c r="AT5" t="s">
        <v>1545</v>
      </c>
      <c r="AU5" s="122">
        <v>0.31900000000000001</v>
      </c>
      <c r="AW5">
        <v>2</v>
      </c>
      <c r="AX5" t="s">
        <v>869</v>
      </c>
      <c r="AY5" t="s">
        <v>1556</v>
      </c>
      <c r="AZ5" s="122">
        <v>0.42199999999999999</v>
      </c>
      <c r="BB5">
        <v>2</v>
      </c>
      <c r="BC5" t="s">
        <v>952</v>
      </c>
      <c r="BD5" t="s">
        <v>1342</v>
      </c>
      <c r="BE5" s="122">
        <v>0.66700000000000004</v>
      </c>
      <c r="BG5">
        <v>2</v>
      </c>
      <c r="BH5" t="s">
        <v>952</v>
      </c>
      <c r="BI5" t="s">
        <v>1342</v>
      </c>
      <c r="BJ5" s="122">
        <v>1.0629999999999999</v>
      </c>
    </row>
    <row r="6" spans="2:62">
      <c r="B6">
        <v>3</v>
      </c>
      <c r="C6" t="s">
        <v>1200</v>
      </c>
      <c r="D6" t="s">
        <v>1514</v>
      </c>
      <c r="E6" s="122">
        <v>0.3392857142857143</v>
      </c>
      <c r="G6">
        <v>3</v>
      </c>
      <c r="H6" t="s">
        <v>770</v>
      </c>
      <c r="I6" t="s">
        <v>1345</v>
      </c>
      <c r="J6" s="122">
        <v>0.41212121212121211</v>
      </c>
      <c r="L6">
        <v>3</v>
      </c>
      <c r="M6" t="s">
        <v>1265</v>
      </c>
      <c r="N6" t="s">
        <v>1326</v>
      </c>
      <c r="O6" s="122">
        <v>0.6149068322981367</v>
      </c>
      <c r="Q6">
        <v>3</v>
      </c>
      <c r="R6" t="s">
        <v>1265</v>
      </c>
      <c r="S6" t="s">
        <v>1326</v>
      </c>
      <c r="T6" s="122">
        <v>1.030207378746224</v>
      </c>
      <c r="W6">
        <v>3</v>
      </c>
      <c r="X6" t="s">
        <v>1229</v>
      </c>
      <c r="Y6" t="s">
        <v>1606</v>
      </c>
      <c r="Z6" s="122">
        <v>0.32400000000000001</v>
      </c>
      <c r="AC6" t="s">
        <v>1171</v>
      </c>
      <c r="AD6" t="s">
        <v>1525</v>
      </c>
      <c r="AE6" s="122">
        <v>0.39700000000000002</v>
      </c>
      <c r="AG6">
        <v>3</v>
      </c>
      <c r="AH6" t="s">
        <v>1139</v>
      </c>
      <c r="AI6" t="s">
        <v>1320</v>
      </c>
      <c r="AJ6" s="122">
        <v>0.61299999999999999</v>
      </c>
      <c r="AL6">
        <v>3</v>
      </c>
      <c r="AM6" t="s">
        <v>1025</v>
      </c>
      <c r="AN6" t="s">
        <v>1607</v>
      </c>
      <c r="AO6" s="122">
        <v>0.96799999999999997</v>
      </c>
      <c r="AS6" t="s">
        <v>835</v>
      </c>
      <c r="AT6" t="s">
        <v>1510</v>
      </c>
      <c r="AU6" s="122">
        <v>0.31900000000000001</v>
      </c>
      <c r="AX6" t="s">
        <v>1265</v>
      </c>
      <c r="AY6" t="s">
        <v>1326</v>
      </c>
      <c r="AZ6" s="122">
        <v>0.42199999999999999</v>
      </c>
      <c r="BB6">
        <v>3</v>
      </c>
      <c r="BC6" t="s">
        <v>770</v>
      </c>
      <c r="BD6" t="s">
        <v>1332</v>
      </c>
      <c r="BE6" s="122">
        <v>0.65200000000000002</v>
      </c>
      <c r="BG6">
        <v>3</v>
      </c>
      <c r="BH6" t="s">
        <v>770</v>
      </c>
      <c r="BI6" t="s">
        <v>1332</v>
      </c>
      <c r="BJ6" s="122">
        <v>1.0349999999999999</v>
      </c>
    </row>
    <row r="7" spans="2:62">
      <c r="B7">
        <v>4</v>
      </c>
      <c r="C7" t="s">
        <v>1200</v>
      </c>
      <c r="D7" t="s">
        <v>1609</v>
      </c>
      <c r="E7" s="122">
        <v>0.33552631578947367</v>
      </c>
      <c r="G7">
        <v>4</v>
      </c>
      <c r="H7" t="s">
        <v>903</v>
      </c>
      <c r="I7" t="s">
        <v>1449</v>
      </c>
      <c r="J7" s="122">
        <v>0.4044943820224719</v>
      </c>
      <c r="L7">
        <v>4</v>
      </c>
      <c r="M7" t="s">
        <v>1171</v>
      </c>
      <c r="N7" t="s">
        <v>1355</v>
      </c>
      <c r="O7" s="122">
        <v>0.59627329192546585</v>
      </c>
      <c r="Q7">
        <v>4</v>
      </c>
      <c r="R7" t="s">
        <v>1171</v>
      </c>
      <c r="S7" t="s">
        <v>1355</v>
      </c>
      <c r="T7" s="122">
        <v>0.99627329192546588</v>
      </c>
      <c r="W7">
        <v>4</v>
      </c>
      <c r="X7" t="s">
        <v>1171</v>
      </c>
      <c r="Y7" t="s">
        <v>1543</v>
      </c>
      <c r="Z7" s="122">
        <v>0.31900000000000001</v>
      </c>
      <c r="AB7">
        <v>4</v>
      </c>
      <c r="AC7" t="s">
        <v>990</v>
      </c>
      <c r="AD7" t="s">
        <v>1358</v>
      </c>
      <c r="AE7" s="122">
        <v>0.39200000000000002</v>
      </c>
      <c r="AG7">
        <v>4</v>
      </c>
      <c r="AH7" t="s">
        <v>1171</v>
      </c>
      <c r="AI7" t="s">
        <v>1537</v>
      </c>
      <c r="AJ7" s="122">
        <v>0.61299999999999999</v>
      </c>
      <c r="AL7">
        <v>4</v>
      </c>
      <c r="AM7" t="s">
        <v>952</v>
      </c>
      <c r="AN7" t="s">
        <v>1349</v>
      </c>
      <c r="AO7" s="122">
        <v>0.96799999999999997</v>
      </c>
      <c r="AS7" t="s">
        <v>952</v>
      </c>
      <c r="AT7" t="s">
        <v>1464</v>
      </c>
      <c r="AU7" s="122">
        <v>0.31900000000000001</v>
      </c>
      <c r="AW7">
        <v>4</v>
      </c>
      <c r="AX7" t="s">
        <v>835</v>
      </c>
      <c r="AY7" t="s">
        <v>1510</v>
      </c>
      <c r="AZ7" s="122">
        <v>0.39800000000000002</v>
      </c>
      <c r="BB7">
        <v>4</v>
      </c>
      <c r="BC7" t="s">
        <v>1200</v>
      </c>
      <c r="BD7" t="s">
        <v>1469</v>
      </c>
      <c r="BE7" s="122">
        <v>0.61099999999999999</v>
      </c>
      <c r="BG7">
        <v>4</v>
      </c>
      <c r="BH7" t="s">
        <v>1200</v>
      </c>
      <c r="BI7" t="s">
        <v>1469</v>
      </c>
      <c r="BJ7" s="122">
        <v>0.96199999999999997</v>
      </c>
    </row>
    <row r="8" spans="2:62">
      <c r="B8">
        <v>5</v>
      </c>
      <c r="C8" t="s">
        <v>1265</v>
      </c>
      <c r="D8" t="s">
        <v>1326</v>
      </c>
      <c r="E8" s="122">
        <v>0.33540372670807456</v>
      </c>
      <c r="G8">
        <v>5</v>
      </c>
      <c r="H8" t="s">
        <v>1171</v>
      </c>
      <c r="I8" t="s">
        <v>1355</v>
      </c>
      <c r="J8" s="122">
        <v>0.4</v>
      </c>
      <c r="L8">
        <v>5</v>
      </c>
      <c r="M8" t="s">
        <v>804</v>
      </c>
      <c r="N8" t="s">
        <v>1339</v>
      </c>
      <c r="O8" s="122">
        <v>0.57718120805369133</v>
      </c>
      <c r="Q8">
        <v>5</v>
      </c>
      <c r="R8" t="s">
        <v>1265</v>
      </c>
      <c r="S8" t="s">
        <v>1335</v>
      </c>
      <c r="T8" s="122">
        <v>0.98483102918586796</v>
      </c>
      <c r="W8">
        <v>5</v>
      </c>
      <c r="X8" t="s">
        <v>1025</v>
      </c>
      <c r="Y8" t="s">
        <v>1607</v>
      </c>
      <c r="Z8" s="122">
        <v>0.308</v>
      </c>
      <c r="AB8">
        <v>5</v>
      </c>
      <c r="AC8" t="s">
        <v>1025</v>
      </c>
      <c r="AD8" t="s">
        <v>1608</v>
      </c>
      <c r="AE8" s="122">
        <v>0.38600000000000001</v>
      </c>
      <c r="AG8">
        <v>5</v>
      </c>
      <c r="AH8" t="s">
        <v>952</v>
      </c>
      <c r="AI8" t="s">
        <v>1349</v>
      </c>
      <c r="AJ8" s="122">
        <v>0.60299999999999998</v>
      </c>
      <c r="AL8">
        <v>5</v>
      </c>
      <c r="AM8" t="s">
        <v>1171</v>
      </c>
      <c r="AN8" t="s">
        <v>1537</v>
      </c>
      <c r="AO8" s="122">
        <v>0.96399999999999997</v>
      </c>
      <c r="AR8">
        <v>5</v>
      </c>
      <c r="AS8" t="s">
        <v>804</v>
      </c>
      <c r="AT8" t="s">
        <v>1813</v>
      </c>
      <c r="AU8" s="122">
        <v>0.318</v>
      </c>
      <c r="AW8">
        <v>5</v>
      </c>
      <c r="AX8" t="s">
        <v>952</v>
      </c>
      <c r="AY8" t="s">
        <v>1342</v>
      </c>
      <c r="AZ8" s="122">
        <v>0.39600000000000002</v>
      </c>
      <c r="BB8">
        <v>5</v>
      </c>
      <c r="BC8" t="s">
        <v>1025</v>
      </c>
      <c r="BD8" t="s">
        <v>1361</v>
      </c>
      <c r="BE8" s="122">
        <v>0.57199999999999995</v>
      </c>
      <c r="BG8">
        <v>5</v>
      </c>
      <c r="BH8" t="s">
        <v>1025</v>
      </c>
      <c r="BI8" t="s">
        <v>1361</v>
      </c>
      <c r="BJ8" s="122">
        <v>0.94</v>
      </c>
    </row>
    <row r="9" spans="2:62">
      <c r="B9">
        <v>6</v>
      </c>
      <c r="C9" t="s">
        <v>903</v>
      </c>
      <c r="D9" t="s">
        <v>1398</v>
      </c>
      <c r="E9" s="122">
        <v>0.32934131736526945</v>
      </c>
      <c r="G9">
        <v>6</v>
      </c>
      <c r="H9" t="s">
        <v>903</v>
      </c>
      <c r="I9" t="s">
        <v>1398</v>
      </c>
      <c r="J9" s="122">
        <v>0.39784946236559138</v>
      </c>
      <c r="M9" t="s">
        <v>1062</v>
      </c>
      <c r="N9" t="s">
        <v>1497</v>
      </c>
      <c r="O9" s="122">
        <v>0.57692307692307687</v>
      </c>
      <c r="Q9">
        <v>6</v>
      </c>
      <c r="R9" t="s">
        <v>804</v>
      </c>
      <c r="S9" t="s">
        <v>1565</v>
      </c>
      <c r="T9" s="122">
        <v>0.9313306536915591</v>
      </c>
      <c r="W9">
        <v>6</v>
      </c>
      <c r="X9" t="s">
        <v>903</v>
      </c>
      <c r="Y9" t="s">
        <v>2183</v>
      </c>
      <c r="Z9" s="122">
        <v>0.307</v>
      </c>
      <c r="AB9">
        <v>6</v>
      </c>
      <c r="AC9" t="s">
        <v>804</v>
      </c>
      <c r="AD9" t="s">
        <v>1502</v>
      </c>
      <c r="AE9" s="122">
        <v>0.379</v>
      </c>
      <c r="AG9">
        <v>6</v>
      </c>
      <c r="AH9" t="s">
        <v>1025</v>
      </c>
      <c r="AI9" t="s">
        <v>1608</v>
      </c>
      <c r="AJ9" s="122">
        <v>0.57399999999999995</v>
      </c>
      <c r="AL9">
        <v>6</v>
      </c>
      <c r="AM9" t="s">
        <v>990</v>
      </c>
      <c r="AN9" t="s">
        <v>1358</v>
      </c>
      <c r="AO9" s="122">
        <v>0.96299999999999997</v>
      </c>
      <c r="AR9">
        <v>6</v>
      </c>
      <c r="AS9" t="s">
        <v>770</v>
      </c>
      <c r="AT9" t="s">
        <v>1332</v>
      </c>
      <c r="AU9" s="122">
        <v>0.312</v>
      </c>
      <c r="AW9">
        <v>6</v>
      </c>
      <c r="AX9" t="s">
        <v>804</v>
      </c>
      <c r="AY9" t="s">
        <v>1813</v>
      </c>
      <c r="AZ9" s="122">
        <v>0.39500000000000002</v>
      </c>
      <c r="BB9">
        <v>6</v>
      </c>
      <c r="BC9" t="s">
        <v>952</v>
      </c>
      <c r="BD9" t="s">
        <v>1498</v>
      </c>
      <c r="BE9" s="122">
        <v>0.56299999999999994</v>
      </c>
      <c r="BG9">
        <v>6</v>
      </c>
      <c r="BH9" t="s">
        <v>1229</v>
      </c>
      <c r="BI9" t="s">
        <v>1472</v>
      </c>
      <c r="BJ9" s="122">
        <v>0.92800000000000005</v>
      </c>
    </row>
    <row r="10" spans="2:62">
      <c r="C10" t="s">
        <v>1171</v>
      </c>
      <c r="D10" t="s">
        <v>1355</v>
      </c>
      <c r="E10" s="122">
        <v>0.32919254658385094</v>
      </c>
      <c r="G10">
        <v>7</v>
      </c>
      <c r="H10" t="s">
        <v>804</v>
      </c>
      <c r="I10" t="s">
        <v>1565</v>
      </c>
      <c r="J10" s="122">
        <v>0.38650306748466257</v>
      </c>
      <c r="L10">
        <v>7</v>
      </c>
      <c r="M10" t="s">
        <v>770</v>
      </c>
      <c r="N10" t="s">
        <v>1332</v>
      </c>
      <c r="O10" s="122">
        <v>0.57046979865771807</v>
      </c>
      <c r="Q10">
        <v>7</v>
      </c>
      <c r="R10" t="s">
        <v>804</v>
      </c>
      <c r="S10" t="s">
        <v>1339</v>
      </c>
      <c r="T10" s="122">
        <v>0.92869635956884289</v>
      </c>
      <c r="X10" t="s">
        <v>1171</v>
      </c>
      <c r="Y10" t="s">
        <v>1525</v>
      </c>
      <c r="Z10" s="122">
        <v>0.307</v>
      </c>
      <c r="AB10">
        <v>7</v>
      </c>
      <c r="AC10" t="s">
        <v>1171</v>
      </c>
      <c r="AD10" t="s">
        <v>1543</v>
      </c>
      <c r="AE10" s="122">
        <v>0.377</v>
      </c>
      <c r="AG10">
        <v>7</v>
      </c>
      <c r="AH10" t="s">
        <v>990</v>
      </c>
      <c r="AI10" t="s">
        <v>1358</v>
      </c>
      <c r="AJ10" s="122">
        <v>0.57099999999999995</v>
      </c>
      <c r="AL10">
        <v>7</v>
      </c>
      <c r="AM10" t="s">
        <v>1025</v>
      </c>
      <c r="AN10" t="s">
        <v>1608</v>
      </c>
      <c r="AO10" s="122">
        <v>0.96</v>
      </c>
      <c r="AR10">
        <v>7</v>
      </c>
      <c r="AS10" t="s">
        <v>804</v>
      </c>
      <c r="AT10" t="s">
        <v>1459</v>
      </c>
      <c r="AU10" s="122">
        <v>0.31</v>
      </c>
      <c r="AW10">
        <v>7</v>
      </c>
      <c r="AX10" t="s">
        <v>952</v>
      </c>
      <c r="AY10" t="s">
        <v>1464</v>
      </c>
      <c r="AZ10" s="122">
        <v>0.38600000000000001</v>
      </c>
      <c r="BB10">
        <v>7</v>
      </c>
      <c r="BC10" t="s">
        <v>1229</v>
      </c>
      <c r="BD10" t="s">
        <v>1472</v>
      </c>
      <c r="BE10" s="122">
        <v>0.56000000000000005</v>
      </c>
      <c r="BG10">
        <v>7</v>
      </c>
      <c r="BH10" t="s">
        <v>804</v>
      </c>
      <c r="BI10" t="s">
        <v>1813</v>
      </c>
      <c r="BJ10" s="122">
        <v>0.92200000000000004</v>
      </c>
    </row>
    <row r="11" spans="2:62">
      <c r="B11">
        <v>8</v>
      </c>
      <c r="C11" t="s">
        <v>835</v>
      </c>
      <c r="D11" t="s">
        <v>1510</v>
      </c>
      <c r="E11" s="122">
        <v>0.32317073170731708</v>
      </c>
      <c r="G11">
        <v>8</v>
      </c>
      <c r="H11" t="s">
        <v>1171</v>
      </c>
      <c r="I11" t="s">
        <v>1467</v>
      </c>
      <c r="J11" s="122">
        <v>0.38562091503267976</v>
      </c>
      <c r="L11">
        <v>8</v>
      </c>
      <c r="M11" t="s">
        <v>1265</v>
      </c>
      <c r="N11" t="s">
        <v>1335</v>
      </c>
      <c r="O11" s="122">
        <v>0.56547619047619047</v>
      </c>
      <c r="Q11">
        <v>8</v>
      </c>
      <c r="R11" t="s">
        <v>1062</v>
      </c>
      <c r="S11" t="s">
        <v>1497</v>
      </c>
      <c r="T11" s="122">
        <v>0.9221611721611721</v>
      </c>
      <c r="W11">
        <v>8</v>
      </c>
      <c r="X11" t="s">
        <v>1139</v>
      </c>
      <c r="Y11" t="s">
        <v>1320</v>
      </c>
      <c r="Z11" s="122">
        <v>0.30599999999999999</v>
      </c>
      <c r="AB11">
        <v>8</v>
      </c>
      <c r="AC11" t="s">
        <v>1139</v>
      </c>
      <c r="AD11" t="s">
        <v>1320</v>
      </c>
      <c r="AE11" s="122">
        <v>0.36599999999999999</v>
      </c>
      <c r="AG11">
        <v>8</v>
      </c>
      <c r="AH11" t="s">
        <v>835</v>
      </c>
      <c r="AI11" t="s">
        <v>1421</v>
      </c>
      <c r="AJ11" s="122">
        <v>0.56499999999999995</v>
      </c>
      <c r="AL11">
        <v>8</v>
      </c>
      <c r="AM11" t="s">
        <v>990</v>
      </c>
      <c r="AN11" t="s">
        <v>1330</v>
      </c>
      <c r="AO11" s="122">
        <v>0.93300000000000005</v>
      </c>
      <c r="AS11" t="s">
        <v>1096</v>
      </c>
      <c r="AT11" t="s">
        <v>1553</v>
      </c>
      <c r="AU11" s="122">
        <v>0.31</v>
      </c>
      <c r="AW11">
        <v>8</v>
      </c>
      <c r="AX11" t="s">
        <v>770</v>
      </c>
      <c r="AY11" t="s">
        <v>1332</v>
      </c>
      <c r="AZ11" s="122">
        <v>0.38300000000000001</v>
      </c>
      <c r="BB11">
        <v>8</v>
      </c>
      <c r="BC11" t="s">
        <v>1062</v>
      </c>
      <c r="BD11" t="s">
        <v>1501</v>
      </c>
      <c r="BE11" s="122">
        <v>0.55600000000000005</v>
      </c>
      <c r="BG11">
        <v>8</v>
      </c>
      <c r="BH11" t="s">
        <v>869</v>
      </c>
      <c r="BI11" t="s">
        <v>1556</v>
      </c>
      <c r="BJ11" s="122">
        <v>0.91500000000000004</v>
      </c>
    </row>
    <row r="12" spans="2:62">
      <c r="B12">
        <v>9</v>
      </c>
      <c r="C12" t="s">
        <v>1229</v>
      </c>
      <c r="D12" t="s">
        <v>1534</v>
      </c>
      <c r="E12" s="122">
        <v>0.32098765432098764</v>
      </c>
      <c r="G12">
        <v>9</v>
      </c>
      <c r="H12" t="s">
        <v>1229</v>
      </c>
      <c r="I12" t="s">
        <v>1534</v>
      </c>
      <c r="J12" s="122">
        <v>0.38547486033519551</v>
      </c>
      <c r="L12">
        <v>9</v>
      </c>
      <c r="M12" t="s">
        <v>804</v>
      </c>
      <c r="N12" t="s">
        <v>1565</v>
      </c>
      <c r="O12" s="122">
        <v>0.54482758620689653</v>
      </c>
      <c r="Q12">
        <v>9</v>
      </c>
      <c r="R12" t="s">
        <v>1171</v>
      </c>
      <c r="S12" t="s">
        <v>1467</v>
      </c>
      <c r="T12" s="122">
        <v>0.91736694677871156</v>
      </c>
      <c r="W12">
        <v>9</v>
      </c>
      <c r="X12" t="s">
        <v>1139</v>
      </c>
      <c r="Y12" t="s">
        <v>1568</v>
      </c>
      <c r="Z12" s="122">
        <v>0.30499999999999999</v>
      </c>
      <c r="AB12">
        <v>9</v>
      </c>
      <c r="AC12" t="s">
        <v>952</v>
      </c>
      <c r="AD12" t="s">
        <v>1349</v>
      </c>
      <c r="AE12" s="122">
        <v>0.36499999999999999</v>
      </c>
      <c r="AG12">
        <v>9</v>
      </c>
      <c r="AH12" t="s">
        <v>1062</v>
      </c>
      <c r="AI12" t="s">
        <v>1497</v>
      </c>
      <c r="AJ12" s="122">
        <v>0.55900000000000005</v>
      </c>
      <c r="AL12">
        <v>9</v>
      </c>
      <c r="AM12" t="s">
        <v>1229</v>
      </c>
      <c r="AN12" t="s">
        <v>1606</v>
      </c>
      <c r="AO12" s="122">
        <v>0.92700000000000005</v>
      </c>
      <c r="AR12">
        <v>9</v>
      </c>
      <c r="AS12" t="s">
        <v>903</v>
      </c>
      <c r="AT12" t="s">
        <v>1470</v>
      </c>
      <c r="AU12" s="122">
        <v>0.308</v>
      </c>
      <c r="AW12">
        <v>9</v>
      </c>
      <c r="AX12" t="s">
        <v>770</v>
      </c>
      <c r="AY12" t="s">
        <v>1545</v>
      </c>
      <c r="AZ12" s="122">
        <v>0.38100000000000001</v>
      </c>
      <c r="BB12">
        <v>9</v>
      </c>
      <c r="BC12" t="s">
        <v>1062</v>
      </c>
      <c r="BD12" t="s">
        <v>1497</v>
      </c>
      <c r="BE12" s="122">
        <v>0.54900000000000004</v>
      </c>
      <c r="BG12">
        <v>9</v>
      </c>
      <c r="BH12" t="s">
        <v>1062</v>
      </c>
      <c r="BI12" t="s">
        <v>1497</v>
      </c>
      <c r="BJ12" s="122">
        <v>0.91200000000000003</v>
      </c>
    </row>
    <row r="13" spans="2:62">
      <c r="B13">
        <v>10</v>
      </c>
      <c r="C13" t="s">
        <v>770</v>
      </c>
      <c r="D13" t="s">
        <v>1345</v>
      </c>
      <c r="E13" s="122">
        <v>0.31690140845070425</v>
      </c>
      <c r="G13">
        <v>10</v>
      </c>
      <c r="H13" t="s">
        <v>1229</v>
      </c>
      <c r="I13" t="s">
        <v>1520</v>
      </c>
      <c r="J13" s="122">
        <v>0.38064516129032255</v>
      </c>
      <c r="L13">
        <v>10</v>
      </c>
      <c r="M13" t="s">
        <v>1200</v>
      </c>
      <c r="N13" t="s">
        <v>1469</v>
      </c>
      <c r="O13" s="122">
        <v>0.54054054054054057</v>
      </c>
      <c r="Q13">
        <v>10</v>
      </c>
      <c r="R13" t="s">
        <v>1229</v>
      </c>
      <c r="S13" t="s">
        <v>1534</v>
      </c>
      <c r="T13" s="122">
        <v>0.91016621835988687</v>
      </c>
      <c r="W13">
        <v>10</v>
      </c>
      <c r="X13" t="s">
        <v>804</v>
      </c>
      <c r="Y13" t="s">
        <v>1502</v>
      </c>
      <c r="Z13" s="122">
        <v>0.3</v>
      </c>
      <c r="AB13">
        <v>10</v>
      </c>
      <c r="AC13" t="s">
        <v>770</v>
      </c>
      <c r="AD13" t="s">
        <v>1545</v>
      </c>
      <c r="AE13" s="122">
        <v>0.36499999999999999</v>
      </c>
      <c r="AG13">
        <v>10</v>
      </c>
      <c r="AH13" t="s">
        <v>1025</v>
      </c>
      <c r="AI13" t="s">
        <v>1607</v>
      </c>
      <c r="AJ13" s="122">
        <v>0.55500000000000005</v>
      </c>
      <c r="AL13">
        <v>10</v>
      </c>
      <c r="AM13" t="s">
        <v>1171</v>
      </c>
      <c r="AN13" t="s">
        <v>1525</v>
      </c>
      <c r="AO13" s="122">
        <v>0.92300000000000004</v>
      </c>
      <c r="AS13" t="s">
        <v>1062</v>
      </c>
      <c r="AT13" t="s">
        <v>1501</v>
      </c>
      <c r="AU13" s="122">
        <v>0.30599999999999999</v>
      </c>
      <c r="AW13">
        <v>10</v>
      </c>
      <c r="AY13" t="s">
        <v>1610</v>
      </c>
      <c r="AZ13" s="122">
        <v>0.36799999999999999</v>
      </c>
      <c r="BB13">
        <v>10</v>
      </c>
      <c r="BC13" t="s">
        <v>1229</v>
      </c>
      <c r="BD13" t="s">
        <v>1426</v>
      </c>
      <c r="BE13" s="122">
        <v>0.54100000000000004</v>
      </c>
      <c r="BG13">
        <v>10</v>
      </c>
      <c r="BH13" t="s">
        <v>952</v>
      </c>
      <c r="BI13" t="s">
        <v>1498</v>
      </c>
      <c r="BJ13" s="122">
        <v>0.90800000000000003</v>
      </c>
    </row>
    <row r="15" spans="2:62">
      <c r="B15" s="1084" t="s">
        <v>161</v>
      </c>
      <c r="C15" s="1085"/>
      <c r="D15" s="1085"/>
      <c r="E15" s="1086"/>
      <c r="G15" s="1084" t="s">
        <v>156</v>
      </c>
      <c r="H15" s="1085"/>
      <c r="I15" s="1085"/>
      <c r="J15" s="1086"/>
      <c r="L15" s="1084" t="s">
        <v>1611</v>
      </c>
      <c r="M15" s="1085"/>
      <c r="N15" s="1085"/>
      <c r="O15" s="1086"/>
      <c r="Q15" s="1084" t="s">
        <v>1612</v>
      </c>
      <c r="R15" s="1085"/>
      <c r="S15" s="1085"/>
      <c r="T15" s="1086"/>
      <c r="W15" s="1084" t="s">
        <v>161</v>
      </c>
      <c r="X15" s="1085"/>
      <c r="Y15" s="1085"/>
      <c r="Z15" s="1086"/>
      <c r="AB15" s="1084" t="s">
        <v>156</v>
      </c>
      <c r="AC15" s="1085"/>
      <c r="AD15" s="1085"/>
      <c r="AE15" s="1086"/>
      <c r="AG15" s="1084" t="s">
        <v>1611</v>
      </c>
      <c r="AH15" s="1085"/>
      <c r="AI15" s="1085"/>
      <c r="AJ15" s="1086"/>
      <c r="AL15" s="1084" t="s">
        <v>1612</v>
      </c>
      <c r="AM15" s="1085"/>
      <c r="AN15" s="1085"/>
      <c r="AO15" s="1086"/>
      <c r="AR15" s="1084" t="s">
        <v>161</v>
      </c>
      <c r="AS15" s="1085"/>
      <c r="AT15" s="1085"/>
      <c r="AU15" s="1086"/>
      <c r="AW15" s="1084" t="s">
        <v>156</v>
      </c>
      <c r="AX15" s="1085"/>
      <c r="AY15" s="1085"/>
      <c r="AZ15" s="1086"/>
      <c r="BB15" s="1084" t="s">
        <v>1611</v>
      </c>
      <c r="BC15" s="1085"/>
      <c r="BD15" s="1085"/>
      <c r="BE15" s="1086"/>
      <c r="BG15" s="1084" t="s">
        <v>1612</v>
      </c>
      <c r="BH15" s="1085"/>
      <c r="BI15" s="1085"/>
      <c r="BJ15" s="1086"/>
    </row>
    <row r="16" spans="2:62" s="141" customFormat="1">
      <c r="B16" s="359"/>
      <c r="C16" s="360" t="s">
        <v>8</v>
      </c>
      <c r="D16" s="360" t="s">
        <v>1314</v>
      </c>
      <c r="E16" s="360" t="s">
        <v>164</v>
      </c>
      <c r="G16" s="359"/>
      <c r="H16" s="360" t="s">
        <v>8</v>
      </c>
      <c r="I16" s="360" t="s">
        <v>1314</v>
      </c>
      <c r="J16" s="360" t="s">
        <v>164</v>
      </c>
      <c r="L16" s="359"/>
      <c r="M16" s="360" t="s">
        <v>8</v>
      </c>
      <c r="N16" s="360" t="s">
        <v>1314</v>
      </c>
      <c r="O16" s="360" t="s">
        <v>164</v>
      </c>
      <c r="Q16" s="359"/>
      <c r="R16" s="360" t="s">
        <v>8</v>
      </c>
      <c r="S16" s="360" t="s">
        <v>1314</v>
      </c>
      <c r="T16" s="359" t="s">
        <v>164</v>
      </c>
      <c r="W16" s="359"/>
      <c r="X16" s="360" t="s">
        <v>8</v>
      </c>
      <c r="Y16" s="360" t="s">
        <v>1314</v>
      </c>
      <c r="Z16" s="360" t="s">
        <v>164</v>
      </c>
      <c r="AB16" s="359"/>
      <c r="AC16" s="360" t="s">
        <v>8</v>
      </c>
      <c r="AD16" s="360" t="s">
        <v>1314</v>
      </c>
      <c r="AE16" s="360" t="s">
        <v>164</v>
      </c>
      <c r="AG16" s="359"/>
      <c r="AH16" s="360" t="s">
        <v>8</v>
      </c>
      <c r="AI16" s="360" t="s">
        <v>1314</v>
      </c>
      <c r="AJ16" s="360" t="s">
        <v>164</v>
      </c>
      <c r="AL16" s="359"/>
      <c r="AM16" s="360" t="s">
        <v>8</v>
      </c>
      <c r="AN16" s="360" t="s">
        <v>1314</v>
      </c>
      <c r="AO16" s="359" t="s">
        <v>164</v>
      </c>
      <c r="AR16" s="359"/>
      <c r="AS16" s="360" t="s">
        <v>8</v>
      </c>
      <c r="AT16" s="360" t="s">
        <v>1314</v>
      </c>
      <c r="AU16" s="360" t="s">
        <v>164</v>
      </c>
      <c r="AW16" s="359"/>
      <c r="AX16" s="360" t="s">
        <v>8</v>
      </c>
      <c r="AY16" s="360" t="s">
        <v>1314</v>
      </c>
      <c r="AZ16" s="360" t="s">
        <v>164</v>
      </c>
      <c r="BB16" s="359"/>
      <c r="BC16" s="360" t="s">
        <v>8</v>
      </c>
      <c r="BD16" s="360" t="s">
        <v>1314</v>
      </c>
      <c r="BE16" s="360" t="s">
        <v>164</v>
      </c>
      <c r="BG16" s="359"/>
      <c r="BH16" s="360" t="s">
        <v>8</v>
      </c>
      <c r="BI16" s="360" t="s">
        <v>1314</v>
      </c>
      <c r="BJ16" s="359" t="s">
        <v>164</v>
      </c>
    </row>
    <row r="17" spans="2:62" s="119" customFormat="1" ht="19">
      <c r="B17" s="119">
        <v>1</v>
      </c>
      <c r="C17" s="119" t="s">
        <v>952</v>
      </c>
      <c r="D17" s="119" t="s">
        <v>1316</v>
      </c>
      <c r="E17" s="119">
        <v>111</v>
      </c>
      <c r="G17" s="119">
        <v>1</v>
      </c>
      <c r="H17" s="119" t="s">
        <v>952</v>
      </c>
      <c r="I17" s="119" t="s">
        <v>1316</v>
      </c>
      <c r="J17" s="119">
        <v>41</v>
      </c>
      <c r="L17" s="119">
        <v>1</v>
      </c>
      <c r="M17" s="119" t="s">
        <v>1265</v>
      </c>
      <c r="N17" s="119" t="s">
        <v>1326</v>
      </c>
      <c r="O17" s="119">
        <v>35</v>
      </c>
      <c r="Q17" s="119">
        <v>1</v>
      </c>
      <c r="R17" s="119" t="s">
        <v>1265</v>
      </c>
      <c r="S17" s="119" t="s">
        <v>1335</v>
      </c>
      <c r="T17" s="119">
        <v>60</v>
      </c>
      <c r="W17" s="119">
        <v>1</v>
      </c>
      <c r="X17" s="119" t="s">
        <v>990</v>
      </c>
      <c r="Y17" s="119" t="s">
        <v>1330</v>
      </c>
      <c r="Z17" s="119">
        <v>103</v>
      </c>
      <c r="AB17" s="119">
        <v>1</v>
      </c>
      <c r="AC17" s="119" t="s">
        <v>1139</v>
      </c>
      <c r="AD17" s="119" t="s">
        <v>1320</v>
      </c>
      <c r="AE17" s="119">
        <v>33</v>
      </c>
      <c r="AG17" s="119">
        <v>1</v>
      </c>
      <c r="AH17" s="119" t="s">
        <v>1139</v>
      </c>
      <c r="AI17" s="119" t="s">
        <v>1320</v>
      </c>
      <c r="AJ17" s="119">
        <v>30</v>
      </c>
      <c r="AL17" s="119">
        <v>1</v>
      </c>
      <c r="AM17" s="119" t="s">
        <v>990</v>
      </c>
      <c r="AN17" s="119" t="s">
        <v>1358</v>
      </c>
      <c r="AO17" s="119">
        <v>56</v>
      </c>
      <c r="AR17" s="119">
        <v>1</v>
      </c>
      <c r="AS17" s="119" t="s">
        <v>1200</v>
      </c>
      <c r="AT17" s="119" t="s">
        <v>1469</v>
      </c>
      <c r="AU17" s="119">
        <v>96</v>
      </c>
      <c r="AW17" s="119">
        <v>1</v>
      </c>
      <c r="AX17" s="119" t="s">
        <v>1139</v>
      </c>
      <c r="AY17" s="119" t="s">
        <v>1322</v>
      </c>
      <c r="AZ17" s="119">
        <v>42</v>
      </c>
      <c r="BB17" s="119">
        <v>1</v>
      </c>
      <c r="BC17" s="119" t="s">
        <v>1139</v>
      </c>
      <c r="BD17" s="119" t="s">
        <v>1499</v>
      </c>
      <c r="BE17" s="119">
        <v>34</v>
      </c>
      <c r="BG17" s="119">
        <v>1</v>
      </c>
      <c r="BH17" s="119" t="s">
        <v>1025</v>
      </c>
      <c r="BI17" s="119" t="s">
        <v>1361</v>
      </c>
      <c r="BJ17" s="119">
        <v>54</v>
      </c>
    </row>
    <row r="18" spans="2:62" ht="19">
      <c r="B18">
        <v>2</v>
      </c>
      <c r="C18" t="s">
        <v>1265</v>
      </c>
      <c r="D18" t="s">
        <v>1326</v>
      </c>
      <c r="E18">
        <v>99</v>
      </c>
      <c r="G18">
        <v>2</v>
      </c>
      <c r="H18" t="s">
        <v>1265</v>
      </c>
      <c r="I18" t="s">
        <v>1335</v>
      </c>
      <c r="J18">
        <v>33</v>
      </c>
      <c r="L18">
        <v>2</v>
      </c>
      <c r="M18" t="s">
        <v>1265</v>
      </c>
      <c r="N18" t="s">
        <v>1535</v>
      </c>
      <c r="O18">
        <v>34</v>
      </c>
      <c r="Q18">
        <v>2</v>
      </c>
      <c r="R18" t="s">
        <v>1200</v>
      </c>
      <c r="S18" t="s">
        <v>1514</v>
      </c>
      <c r="T18">
        <v>57</v>
      </c>
      <c r="W18">
        <v>2</v>
      </c>
      <c r="X18" t="s">
        <v>1139</v>
      </c>
      <c r="Y18" t="s">
        <v>1320</v>
      </c>
      <c r="Z18">
        <v>98</v>
      </c>
      <c r="AB18">
        <v>2</v>
      </c>
      <c r="AC18" t="s">
        <v>804</v>
      </c>
      <c r="AD18" t="s">
        <v>1339</v>
      </c>
      <c r="AE18">
        <v>32</v>
      </c>
      <c r="AG18">
        <v>2</v>
      </c>
      <c r="AH18" t="s">
        <v>804</v>
      </c>
      <c r="AI18" t="s">
        <v>1459</v>
      </c>
      <c r="AJ18">
        <v>29</v>
      </c>
      <c r="AL18">
        <v>2</v>
      </c>
      <c r="AM18" t="s">
        <v>804</v>
      </c>
      <c r="AN18" t="s">
        <v>1459</v>
      </c>
      <c r="AO18">
        <v>52</v>
      </c>
      <c r="AR18">
        <v>2</v>
      </c>
      <c r="AS18" t="s">
        <v>1025</v>
      </c>
      <c r="AT18" t="s">
        <v>1361</v>
      </c>
      <c r="AU18">
        <v>95</v>
      </c>
      <c r="AW18">
        <v>2</v>
      </c>
      <c r="AX18" t="s">
        <v>770</v>
      </c>
      <c r="AY18" t="s">
        <v>1332</v>
      </c>
      <c r="AZ18">
        <v>41</v>
      </c>
      <c r="BB18">
        <v>2</v>
      </c>
      <c r="BC18" t="s">
        <v>952</v>
      </c>
      <c r="BD18" t="s">
        <v>1342</v>
      </c>
      <c r="BE18">
        <v>31</v>
      </c>
      <c r="BH18" s="119" t="s">
        <v>804</v>
      </c>
      <c r="BI18" s="119" t="s">
        <v>1459</v>
      </c>
      <c r="BJ18" s="119">
        <v>54</v>
      </c>
    </row>
    <row r="19" spans="2:62">
      <c r="B19">
        <v>3</v>
      </c>
      <c r="C19" t="s">
        <v>1171</v>
      </c>
      <c r="D19" t="s">
        <v>1355</v>
      </c>
      <c r="E19">
        <v>96</v>
      </c>
      <c r="H19" t="s">
        <v>1265</v>
      </c>
      <c r="I19" t="s">
        <v>1326</v>
      </c>
      <c r="J19">
        <v>33</v>
      </c>
      <c r="L19">
        <v>3</v>
      </c>
      <c r="M19" t="s">
        <v>1265</v>
      </c>
      <c r="N19" t="s">
        <v>1335</v>
      </c>
      <c r="O19">
        <v>29</v>
      </c>
      <c r="Q19">
        <v>3</v>
      </c>
      <c r="R19" t="s">
        <v>903</v>
      </c>
      <c r="S19" t="s">
        <v>1449</v>
      </c>
      <c r="T19">
        <v>56</v>
      </c>
      <c r="W19">
        <v>3</v>
      </c>
      <c r="X19" t="s">
        <v>990</v>
      </c>
      <c r="Y19" t="s">
        <v>1358</v>
      </c>
      <c r="Z19">
        <v>93</v>
      </c>
      <c r="AB19">
        <v>3</v>
      </c>
      <c r="AC19" t="s">
        <v>835</v>
      </c>
      <c r="AD19" t="s">
        <v>1425</v>
      </c>
      <c r="AE19">
        <v>31</v>
      </c>
      <c r="AG19">
        <v>3</v>
      </c>
      <c r="AH19" t="s">
        <v>804</v>
      </c>
      <c r="AI19" t="s">
        <v>1549</v>
      </c>
      <c r="AJ19">
        <v>28</v>
      </c>
      <c r="AL19">
        <v>3</v>
      </c>
      <c r="AM19" t="s">
        <v>1171</v>
      </c>
      <c r="AN19" t="s">
        <v>1543</v>
      </c>
      <c r="AO19">
        <v>51</v>
      </c>
      <c r="AR19">
        <v>3</v>
      </c>
      <c r="AS19" t="s">
        <v>1229</v>
      </c>
      <c r="AT19" t="s">
        <v>1472</v>
      </c>
      <c r="AU19">
        <v>93</v>
      </c>
      <c r="AW19">
        <v>3</v>
      </c>
      <c r="AX19" t="s">
        <v>952</v>
      </c>
      <c r="AY19" t="s">
        <v>1342</v>
      </c>
      <c r="AZ19">
        <v>37</v>
      </c>
      <c r="BB19">
        <v>3</v>
      </c>
      <c r="BC19" t="s">
        <v>1200</v>
      </c>
      <c r="BD19" t="s">
        <v>1469</v>
      </c>
      <c r="BE19">
        <v>30</v>
      </c>
      <c r="BG19">
        <v>3</v>
      </c>
      <c r="BH19" t="s">
        <v>1096</v>
      </c>
      <c r="BI19" t="s">
        <v>1553</v>
      </c>
      <c r="BJ19">
        <v>52</v>
      </c>
    </row>
    <row r="20" spans="2:62">
      <c r="B20">
        <v>4</v>
      </c>
      <c r="C20" t="s">
        <v>1265</v>
      </c>
      <c r="D20" t="s">
        <v>1335</v>
      </c>
      <c r="E20">
        <v>95</v>
      </c>
      <c r="G20">
        <v>4</v>
      </c>
      <c r="H20" t="s">
        <v>770</v>
      </c>
      <c r="I20" t="s">
        <v>1332</v>
      </c>
      <c r="J20">
        <v>32</v>
      </c>
      <c r="M20" t="s">
        <v>804</v>
      </c>
      <c r="N20" t="s">
        <v>1502</v>
      </c>
      <c r="O20">
        <v>29</v>
      </c>
      <c r="Q20">
        <v>4</v>
      </c>
      <c r="R20" t="s">
        <v>903</v>
      </c>
      <c r="S20" t="s">
        <v>1398</v>
      </c>
      <c r="T20">
        <v>55</v>
      </c>
      <c r="W20">
        <v>4</v>
      </c>
      <c r="X20" t="s">
        <v>804</v>
      </c>
      <c r="Y20" t="s">
        <v>1339</v>
      </c>
      <c r="Z20">
        <v>92</v>
      </c>
      <c r="AB20">
        <v>4</v>
      </c>
      <c r="AC20" t="s">
        <v>990</v>
      </c>
      <c r="AD20" t="s">
        <v>1461</v>
      </c>
      <c r="AE20">
        <v>30</v>
      </c>
      <c r="AH20" t="s">
        <v>1062</v>
      </c>
      <c r="AI20" t="s">
        <v>1501</v>
      </c>
      <c r="AJ20">
        <v>28</v>
      </c>
      <c r="AM20" t="s">
        <v>903</v>
      </c>
      <c r="AN20" t="s">
        <v>2183</v>
      </c>
      <c r="AO20">
        <v>51</v>
      </c>
      <c r="AR20">
        <v>4</v>
      </c>
      <c r="AS20" t="s">
        <v>952</v>
      </c>
      <c r="AT20" t="s">
        <v>1342</v>
      </c>
      <c r="AU20">
        <v>92</v>
      </c>
      <c r="AW20">
        <v>4</v>
      </c>
      <c r="AX20" t="s">
        <v>1200</v>
      </c>
      <c r="AY20" t="s">
        <v>1469</v>
      </c>
      <c r="AZ20">
        <v>32</v>
      </c>
      <c r="BC20" t="s">
        <v>1096</v>
      </c>
      <c r="BD20" t="s">
        <v>1508</v>
      </c>
      <c r="BE20">
        <v>30</v>
      </c>
      <c r="BH20" t="s">
        <v>1096</v>
      </c>
      <c r="BI20" t="s">
        <v>1508</v>
      </c>
      <c r="BJ20">
        <v>52</v>
      </c>
    </row>
    <row r="21" spans="2:62">
      <c r="B21">
        <v>5</v>
      </c>
      <c r="C21" t="s">
        <v>1062</v>
      </c>
      <c r="D21" t="s">
        <v>1497</v>
      </c>
      <c r="E21">
        <v>90</v>
      </c>
      <c r="H21" t="s">
        <v>804</v>
      </c>
      <c r="I21" t="s">
        <v>1339</v>
      </c>
      <c r="J21">
        <v>32</v>
      </c>
      <c r="L21">
        <v>5</v>
      </c>
      <c r="M21" t="s">
        <v>1062</v>
      </c>
      <c r="N21" t="s">
        <v>1558</v>
      </c>
      <c r="O21">
        <v>27</v>
      </c>
      <c r="Q21">
        <v>5</v>
      </c>
      <c r="R21" t="s">
        <v>1265</v>
      </c>
      <c r="S21" t="s">
        <v>1326</v>
      </c>
      <c r="T21">
        <v>54</v>
      </c>
      <c r="W21">
        <v>5</v>
      </c>
      <c r="X21" t="s">
        <v>952</v>
      </c>
      <c r="Y21" t="s">
        <v>1349</v>
      </c>
      <c r="Z21">
        <v>91</v>
      </c>
      <c r="AB21">
        <v>5</v>
      </c>
      <c r="AC21" t="s">
        <v>1062</v>
      </c>
      <c r="AD21" t="s">
        <v>1497</v>
      </c>
      <c r="AE21">
        <v>30</v>
      </c>
      <c r="AH21" t="s">
        <v>952</v>
      </c>
      <c r="AI21" t="s">
        <v>1349</v>
      </c>
      <c r="AJ21">
        <v>28</v>
      </c>
      <c r="AL21">
        <v>5</v>
      </c>
      <c r="AM21" t="s">
        <v>990</v>
      </c>
      <c r="AN21" t="s">
        <v>1461</v>
      </c>
      <c r="AO21">
        <v>50</v>
      </c>
      <c r="AR21">
        <v>5</v>
      </c>
      <c r="AS21" t="s">
        <v>1096</v>
      </c>
      <c r="AT21" t="s">
        <v>1508</v>
      </c>
      <c r="AU21">
        <v>91</v>
      </c>
      <c r="AW21">
        <v>5</v>
      </c>
      <c r="AX21" t="s">
        <v>1062</v>
      </c>
      <c r="AY21" t="s">
        <v>1497</v>
      </c>
      <c r="AZ21">
        <v>30</v>
      </c>
      <c r="BC21" t="s">
        <v>952</v>
      </c>
      <c r="BD21" t="s">
        <v>1498</v>
      </c>
      <c r="BE21">
        <v>30</v>
      </c>
      <c r="BG21">
        <v>5</v>
      </c>
      <c r="BH21" t="s">
        <v>770</v>
      </c>
      <c r="BI21" t="s">
        <v>1545</v>
      </c>
      <c r="BJ21">
        <v>51</v>
      </c>
    </row>
    <row r="22" spans="2:62">
      <c r="B22">
        <v>6</v>
      </c>
      <c r="C22" t="s">
        <v>1265</v>
      </c>
      <c r="D22" t="s">
        <v>1535</v>
      </c>
      <c r="E22">
        <v>89</v>
      </c>
      <c r="H22" t="s">
        <v>1200</v>
      </c>
      <c r="I22" t="s">
        <v>1469</v>
      </c>
      <c r="J22">
        <v>32</v>
      </c>
      <c r="L22">
        <v>6</v>
      </c>
      <c r="M22" t="s">
        <v>804</v>
      </c>
      <c r="N22" t="s">
        <v>1459</v>
      </c>
      <c r="O22">
        <v>26</v>
      </c>
      <c r="Q22">
        <v>6</v>
      </c>
      <c r="R22" t="s">
        <v>835</v>
      </c>
      <c r="S22" t="s">
        <v>1510</v>
      </c>
      <c r="T22">
        <v>53</v>
      </c>
      <c r="W22">
        <v>6</v>
      </c>
      <c r="X22" t="s">
        <v>1062</v>
      </c>
      <c r="Y22" t="s">
        <v>1497</v>
      </c>
      <c r="Z22">
        <v>90</v>
      </c>
      <c r="AB22">
        <v>6</v>
      </c>
      <c r="AC22" t="s">
        <v>869</v>
      </c>
      <c r="AD22" t="s">
        <v>1439</v>
      </c>
      <c r="AE22">
        <v>28</v>
      </c>
      <c r="AG22">
        <v>6</v>
      </c>
      <c r="AH22" t="s">
        <v>1139</v>
      </c>
      <c r="AI22" t="s">
        <v>1568</v>
      </c>
      <c r="AJ22">
        <v>27</v>
      </c>
      <c r="AM22" t="s">
        <v>1139</v>
      </c>
      <c r="AN22" t="s">
        <v>1320</v>
      </c>
      <c r="AO22">
        <v>49</v>
      </c>
      <c r="AR22">
        <v>6</v>
      </c>
      <c r="AS22" t="s">
        <v>770</v>
      </c>
      <c r="AT22" t="s">
        <v>1332</v>
      </c>
      <c r="AU22">
        <v>90</v>
      </c>
      <c r="AX22" t="s">
        <v>1200</v>
      </c>
      <c r="AY22" t="s">
        <v>1505</v>
      </c>
      <c r="AZ22">
        <v>30</v>
      </c>
      <c r="BB22">
        <v>6</v>
      </c>
      <c r="BC22" t="s">
        <v>804</v>
      </c>
      <c r="BD22" t="s">
        <v>1565</v>
      </c>
      <c r="BE22">
        <v>29</v>
      </c>
      <c r="BH22" t="s">
        <v>835</v>
      </c>
      <c r="BI22" t="s">
        <v>1510</v>
      </c>
      <c r="BJ22">
        <v>51</v>
      </c>
    </row>
    <row r="23" spans="2:62">
      <c r="C23" t="s">
        <v>770</v>
      </c>
      <c r="D23" t="s">
        <v>1345</v>
      </c>
      <c r="E23">
        <v>89</v>
      </c>
      <c r="G23">
        <v>7</v>
      </c>
      <c r="H23" t="s">
        <v>1265</v>
      </c>
      <c r="I23" t="s">
        <v>1535</v>
      </c>
      <c r="J23">
        <v>31</v>
      </c>
      <c r="M23" t="s">
        <v>952</v>
      </c>
      <c r="N23" t="s">
        <v>1316</v>
      </c>
      <c r="O23">
        <v>26</v>
      </c>
      <c r="R23" t="s">
        <v>1171</v>
      </c>
      <c r="S23" t="s">
        <v>1355</v>
      </c>
      <c r="T23">
        <v>53</v>
      </c>
      <c r="X23" t="s">
        <v>835</v>
      </c>
      <c r="Y23" t="s">
        <v>1566</v>
      </c>
      <c r="Z23">
        <v>89</v>
      </c>
      <c r="AC23" t="s">
        <v>770</v>
      </c>
      <c r="AD23" t="s">
        <v>1542</v>
      </c>
      <c r="AE23">
        <v>28</v>
      </c>
      <c r="AH23" t="s">
        <v>1025</v>
      </c>
      <c r="AI23" t="s">
        <v>1548</v>
      </c>
      <c r="AJ23">
        <v>27</v>
      </c>
      <c r="AL23">
        <v>7</v>
      </c>
      <c r="AM23" t="s">
        <v>835</v>
      </c>
      <c r="AN23" t="s">
        <v>1510</v>
      </c>
      <c r="AO23">
        <v>49</v>
      </c>
      <c r="AS23" t="s">
        <v>952</v>
      </c>
      <c r="AT23" t="s">
        <v>1498</v>
      </c>
      <c r="AU23">
        <v>90</v>
      </c>
      <c r="AX23" t="s">
        <v>1062</v>
      </c>
      <c r="AY23" t="s">
        <v>1479</v>
      </c>
      <c r="AZ23">
        <v>30</v>
      </c>
      <c r="BC23" t="s">
        <v>770</v>
      </c>
      <c r="BD23" t="s">
        <v>1542</v>
      </c>
      <c r="BE23">
        <v>29</v>
      </c>
      <c r="BG23">
        <v>7</v>
      </c>
      <c r="BH23" t="s">
        <v>1265</v>
      </c>
      <c r="BI23" t="s">
        <v>1335</v>
      </c>
      <c r="BJ23">
        <v>50</v>
      </c>
    </row>
    <row r="24" spans="2:62">
      <c r="B24">
        <v>8</v>
      </c>
      <c r="C24" t="s">
        <v>804</v>
      </c>
      <c r="D24" t="s">
        <v>1459</v>
      </c>
      <c r="E24">
        <v>87</v>
      </c>
      <c r="H24" t="s">
        <v>1171</v>
      </c>
      <c r="I24" t="s">
        <v>1355</v>
      </c>
      <c r="J24">
        <v>31</v>
      </c>
      <c r="M24" t="s">
        <v>804</v>
      </c>
      <c r="N24" t="s">
        <v>1565</v>
      </c>
      <c r="O24">
        <v>26</v>
      </c>
      <c r="Q24">
        <v>8</v>
      </c>
      <c r="R24" t="s">
        <v>804</v>
      </c>
      <c r="S24" t="s">
        <v>1459</v>
      </c>
      <c r="T24">
        <v>52</v>
      </c>
      <c r="W24">
        <v>8</v>
      </c>
      <c r="X24" t="s">
        <v>804</v>
      </c>
      <c r="Y24" t="s">
        <v>1459</v>
      </c>
      <c r="Z24">
        <v>86</v>
      </c>
      <c r="AC24" t="s">
        <v>903</v>
      </c>
      <c r="AD24" t="s">
        <v>1470</v>
      </c>
      <c r="AE24">
        <v>28</v>
      </c>
      <c r="AG24">
        <v>8</v>
      </c>
      <c r="AH24" t="s">
        <v>1171</v>
      </c>
      <c r="AI24" t="s">
        <v>1355</v>
      </c>
      <c r="AJ24">
        <v>26</v>
      </c>
      <c r="AL24">
        <v>8</v>
      </c>
      <c r="AM24" t="s">
        <v>1200</v>
      </c>
      <c r="AN24" t="s">
        <v>1514</v>
      </c>
      <c r="AO24">
        <v>48</v>
      </c>
      <c r="AR24">
        <v>8</v>
      </c>
      <c r="AS24" t="s">
        <v>1139</v>
      </c>
      <c r="AT24" t="s">
        <v>1499</v>
      </c>
      <c r="AU24">
        <v>89</v>
      </c>
      <c r="AW24">
        <v>8</v>
      </c>
      <c r="AX24" t="s">
        <v>1025</v>
      </c>
      <c r="AY24" t="s">
        <v>1361</v>
      </c>
      <c r="AZ24">
        <v>28</v>
      </c>
      <c r="BB24">
        <v>8</v>
      </c>
      <c r="BD24" t="s">
        <v>1615</v>
      </c>
      <c r="BE24">
        <v>28</v>
      </c>
      <c r="BG24">
        <v>8</v>
      </c>
      <c r="BH24" t="s">
        <v>1062</v>
      </c>
      <c r="BI24" t="s">
        <v>1501</v>
      </c>
      <c r="BJ24">
        <v>49</v>
      </c>
    </row>
    <row r="25" spans="2:62">
      <c r="B25">
        <v>9</v>
      </c>
      <c r="C25" t="s">
        <v>804</v>
      </c>
      <c r="D25" t="s">
        <v>1339</v>
      </c>
      <c r="E25">
        <v>86</v>
      </c>
      <c r="G25">
        <v>9</v>
      </c>
      <c r="H25" t="s">
        <v>1062</v>
      </c>
      <c r="I25" t="s">
        <v>1497</v>
      </c>
      <c r="J25">
        <v>29</v>
      </c>
      <c r="L25">
        <v>9</v>
      </c>
      <c r="M25" t="s">
        <v>1229</v>
      </c>
      <c r="N25" t="s">
        <v>1472</v>
      </c>
      <c r="O25">
        <v>25</v>
      </c>
      <c r="R25" t="s">
        <v>1229</v>
      </c>
      <c r="S25" t="s">
        <v>1534</v>
      </c>
      <c r="T25">
        <v>52</v>
      </c>
      <c r="W25">
        <v>9</v>
      </c>
      <c r="Y25" t="s">
        <v>1614</v>
      </c>
      <c r="Z25">
        <v>85</v>
      </c>
      <c r="AC25" t="s">
        <v>1062</v>
      </c>
      <c r="AD25" t="s">
        <v>1814</v>
      </c>
      <c r="AE25">
        <v>28</v>
      </c>
      <c r="AG25">
        <v>9</v>
      </c>
      <c r="AI25" t="s">
        <v>1614</v>
      </c>
      <c r="AJ25">
        <v>25</v>
      </c>
      <c r="AL25">
        <v>9</v>
      </c>
      <c r="AN25" t="s">
        <v>1614</v>
      </c>
      <c r="AO25">
        <v>47</v>
      </c>
      <c r="AS25" t="s">
        <v>1062</v>
      </c>
      <c r="AT25" t="s">
        <v>1501</v>
      </c>
      <c r="AU25">
        <v>89</v>
      </c>
      <c r="AW25">
        <v>9</v>
      </c>
      <c r="AY25" t="s">
        <v>1614</v>
      </c>
      <c r="AZ25">
        <v>27</v>
      </c>
      <c r="BH25" t="s">
        <v>1229</v>
      </c>
      <c r="BI25" t="s">
        <v>1472</v>
      </c>
      <c r="BJ25">
        <v>49</v>
      </c>
    </row>
    <row r="26" spans="2:62">
      <c r="D26" t="s">
        <v>1610</v>
      </c>
      <c r="I26" t="s">
        <v>1610</v>
      </c>
      <c r="J26">
        <v>29</v>
      </c>
      <c r="N26" t="s">
        <v>1610</v>
      </c>
      <c r="O26">
        <v>25</v>
      </c>
      <c r="Q26">
        <v>10</v>
      </c>
      <c r="S26" t="s">
        <v>1614</v>
      </c>
      <c r="T26">
        <v>51</v>
      </c>
      <c r="AB26">
        <v>10</v>
      </c>
      <c r="AD26" t="s">
        <v>1614</v>
      </c>
      <c r="AE26">
        <v>27</v>
      </c>
      <c r="AR26">
        <v>10</v>
      </c>
      <c r="AS26" t="s">
        <v>804</v>
      </c>
      <c r="AT26" t="s">
        <v>1565</v>
      </c>
      <c r="AU26">
        <v>86</v>
      </c>
      <c r="BG26">
        <v>10</v>
      </c>
      <c r="BI26" t="s">
        <v>1610</v>
      </c>
      <c r="BJ26">
        <v>48</v>
      </c>
    </row>
    <row r="28" spans="2:62">
      <c r="B28" s="1084" t="s">
        <v>155</v>
      </c>
      <c r="C28" s="1085"/>
      <c r="D28" s="1085"/>
      <c r="E28" s="1086"/>
      <c r="G28" s="1084" t="s">
        <v>153</v>
      </c>
      <c r="H28" s="1085"/>
      <c r="I28" s="1085"/>
      <c r="J28" s="1086"/>
      <c r="L28" s="1084" t="s">
        <v>154</v>
      </c>
      <c r="M28" s="1085"/>
      <c r="N28" s="1085"/>
      <c r="O28" s="1086"/>
      <c r="Q28" s="1084" t="s">
        <v>157</v>
      </c>
      <c r="R28" s="1085"/>
      <c r="S28" s="1085"/>
      <c r="T28" s="1086"/>
      <c r="W28" s="1084" t="s">
        <v>155</v>
      </c>
      <c r="X28" s="1085"/>
      <c r="Y28" s="1085"/>
      <c r="Z28" s="1086"/>
      <c r="AB28" s="1084" t="s">
        <v>153</v>
      </c>
      <c r="AC28" s="1085"/>
      <c r="AD28" s="1085"/>
      <c r="AE28" s="1086"/>
      <c r="AG28" s="1084" t="s">
        <v>154</v>
      </c>
      <c r="AH28" s="1085"/>
      <c r="AI28" s="1085"/>
      <c r="AJ28" s="1086"/>
      <c r="AL28" s="1084" t="s">
        <v>157</v>
      </c>
      <c r="AM28" s="1085"/>
      <c r="AN28" s="1085"/>
      <c r="AO28" s="1086"/>
      <c r="AR28" s="1084" t="s">
        <v>155</v>
      </c>
      <c r="AS28" s="1085"/>
      <c r="AT28" s="1085"/>
      <c r="AU28" s="1086"/>
      <c r="AW28" s="1084" t="s">
        <v>153</v>
      </c>
      <c r="AX28" s="1085"/>
      <c r="AY28" s="1085"/>
      <c r="AZ28" s="1086"/>
      <c r="BB28" s="1084" t="s">
        <v>154</v>
      </c>
      <c r="BC28" s="1085"/>
      <c r="BD28" s="1085"/>
      <c r="BE28" s="1086"/>
      <c r="BG28" s="1084" t="s">
        <v>157</v>
      </c>
      <c r="BH28" s="1085"/>
      <c r="BI28" s="1085"/>
      <c r="BJ28" s="1086"/>
    </row>
    <row r="29" spans="2:62" s="141" customFormat="1">
      <c r="B29" s="359"/>
      <c r="C29" s="360" t="s">
        <v>8</v>
      </c>
      <c r="D29" s="360" t="s">
        <v>1314</v>
      </c>
      <c r="E29" s="360" t="s">
        <v>164</v>
      </c>
      <c r="G29" s="359"/>
      <c r="H29" s="360" t="s">
        <v>8</v>
      </c>
      <c r="I29" s="360" t="s">
        <v>1314</v>
      </c>
      <c r="J29" s="360" t="s">
        <v>164</v>
      </c>
      <c r="L29" s="359"/>
      <c r="M29" s="360" t="s">
        <v>8</v>
      </c>
      <c r="N29" s="360" t="s">
        <v>1314</v>
      </c>
      <c r="O29" s="360" t="s">
        <v>164</v>
      </c>
      <c r="Q29" s="359"/>
      <c r="R29" s="360" t="s">
        <v>8</v>
      </c>
      <c r="S29" s="360" t="s">
        <v>1314</v>
      </c>
      <c r="T29" s="359" t="s">
        <v>164</v>
      </c>
      <c r="W29" s="359"/>
      <c r="X29" s="360" t="s">
        <v>8</v>
      </c>
      <c r="Y29" s="360" t="s">
        <v>1314</v>
      </c>
      <c r="Z29" s="360" t="s">
        <v>164</v>
      </c>
      <c r="AB29" s="359"/>
      <c r="AC29" s="360" t="s">
        <v>8</v>
      </c>
      <c r="AD29" s="360" t="s">
        <v>1314</v>
      </c>
      <c r="AE29" s="360" t="s">
        <v>164</v>
      </c>
      <c r="AG29" s="359"/>
      <c r="AH29" s="360" t="s">
        <v>8</v>
      </c>
      <c r="AI29" s="360" t="s">
        <v>1314</v>
      </c>
      <c r="AJ29" s="360" t="s">
        <v>164</v>
      </c>
      <c r="AL29" s="359"/>
      <c r="AM29" s="360" t="s">
        <v>8</v>
      </c>
      <c r="AN29" s="360" t="s">
        <v>1314</v>
      </c>
      <c r="AO29" s="359" t="s">
        <v>164</v>
      </c>
      <c r="AR29" s="359"/>
      <c r="AS29" s="360" t="s">
        <v>8</v>
      </c>
      <c r="AT29" s="360" t="s">
        <v>1314</v>
      </c>
      <c r="AU29" s="360" t="s">
        <v>164</v>
      </c>
      <c r="AW29" s="359"/>
      <c r="AX29" s="360" t="s">
        <v>8</v>
      </c>
      <c r="AY29" s="360" t="s">
        <v>1314</v>
      </c>
      <c r="AZ29" s="360" t="s">
        <v>164</v>
      </c>
      <c r="BB29" s="359"/>
      <c r="BC29" s="360" t="s">
        <v>8</v>
      </c>
      <c r="BD29" s="360" t="s">
        <v>1314</v>
      </c>
      <c r="BE29" s="360" t="s">
        <v>164</v>
      </c>
      <c r="BG29" s="359"/>
      <c r="BH29" s="360" t="s">
        <v>8</v>
      </c>
      <c r="BI29" s="360" t="s">
        <v>1314</v>
      </c>
      <c r="BJ29" s="359" t="s">
        <v>164</v>
      </c>
    </row>
    <row r="30" spans="2:62" s="119" customFormat="1" ht="19">
      <c r="B30" s="119">
        <v>1</v>
      </c>
      <c r="C30" s="119" t="s">
        <v>952</v>
      </c>
      <c r="D30" s="119" t="s">
        <v>1316</v>
      </c>
      <c r="E30" s="119">
        <v>15</v>
      </c>
      <c r="G30" s="119">
        <v>1</v>
      </c>
      <c r="H30" s="119" t="s">
        <v>869</v>
      </c>
      <c r="I30" s="119" t="s">
        <v>1474</v>
      </c>
      <c r="J30" s="119">
        <v>16</v>
      </c>
      <c r="L30" s="119">
        <v>1</v>
      </c>
      <c r="M30" s="119" t="s">
        <v>903</v>
      </c>
      <c r="N30" s="119" t="s">
        <v>1398</v>
      </c>
      <c r="O30" s="119">
        <v>5</v>
      </c>
      <c r="Q30" s="119">
        <v>1</v>
      </c>
      <c r="R30" s="119" t="s">
        <v>869</v>
      </c>
      <c r="S30" s="119" t="s">
        <v>1556</v>
      </c>
      <c r="T30" s="119">
        <v>31</v>
      </c>
      <c r="W30" s="119">
        <v>1</v>
      </c>
      <c r="X30" s="119" t="s">
        <v>990</v>
      </c>
      <c r="Y30" s="119" t="s">
        <v>1330</v>
      </c>
      <c r="Z30" s="119">
        <v>18</v>
      </c>
      <c r="AB30" s="119">
        <v>1</v>
      </c>
      <c r="AC30" s="119" t="s">
        <v>1171</v>
      </c>
      <c r="AD30" s="119" t="s">
        <v>1543</v>
      </c>
      <c r="AE30" s="119">
        <v>17</v>
      </c>
      <c r="AG30" s="119">
        <v>1</v>
      </c>
      <c r="AH30" s="119" t="s">
        <v>1025</v>
      </c>
      <c r="AI30" s="119" t="s">
        <v>1361</v>
      </c>
      <c r="AJ30" s="119">
        <v>4</v>
      </c>
      <c r="AL30" s="119">
        <v>1</v>
      </c>
      <c r="AM30" s="119" t="s">
        <v>869</v>
      </c>
      <c r="AN30" s="119" t="s">
        <v>1556</v>
      </c>
      <c r="AO30" s="119">
        <v>33</v>
      </c>
      <c r="AR30" s="119">
        <v>1</v>
      </c>
      <c r="AS30" s="119" t="s">
        <v>952</v>
      </c>
      <c r="AT30" s="119" t="s">
        <v>1342</v>
      </c>
      <c r="AU30" s="119">
        <v>17</v>
      </c>
      <c r="AW30" s="119">
        <v>1</v>
      </c>
      <c r="AX30" s="119" t="s">
        <v>1096</v>
      </c>
      <c r="AY30" s="119" t="s">
        <v>1619</v>
      </c>
      <c r="AZ30" s="119">
        <v>15</v>
      </c>
      <c r="BB30" s="119">
        <v>1</v>
      </c>
      <c r="BC30" s="119" t="s">
        <v>1062</v>
      </c>
      <c r="BD30" s="119" t="s">
        <v>1479</v>
      </c>
      <c r="BE30" s="119">
        <v>5</v>
      </c>
      <c r="BG30" s="119">
        <v>1</v>
      </c>
      <c r="BH30" s="119" t="s">
        <v>1139</v>
      </c>
      <c r="BI30" s="119" t="s">
        <v>1499</v>
      </c>
      <c r="BJ30" s="119">
        <v>34</v>
      </c>
    </row>
    <row r="31" spans="2:62" ht="19">
      <c r="B31">
        <v>2</v>
      </c>
      <c r="C31" t="s">
        <v>770</v>
      </c>
      <c r="D31" t="s">
        <v>1332</v>
      </c>
      <c r="E31">
        <v>13</v>
      </c>
      <c r="H31" s="506" t="s">
        <v>835</v>
      </c>
      <c r="I31" s="506" t="s">
        <v>1473</v>
      </c>
      <c r="J31" s="506">
        <v>16</v>
      </c>
      <c r="L31">
        <v>2</v>
      </c>
      <c r="M31" t="s">
        <v>1139</v>
      </c>
      <c r="N31" t="s">
        <v>1618</v>
      </c>
      <c r="O31">
        <v>4</v>
      </c>
      <c r="Q31">
        <v>2</v>
      </c>
      <c r="R31" t="s">
        <v>1171</v>
      </c>
      <c r="S31" t="s">
        <v>1467</v>
      </c>
      <c r="T31">
        <v>27</v>
      </c>
      <c r="W31">
        <v>2</v>
      </c>
      <c r="X31" t="s">
        <v>804</v>
      </c>
      <c r="Y31" t="s">
        <v>1339</v>
      </c>
      <c r="Z31">
        <v>13</v>
      </c>
      <c r="AB31">
        <v>2</v>
      </c>
      <c r="AC31" t="s">
        <v>990</v>
      </c>
      <c r="AD31" t="s">
        <v>1358</v>
      </c>
      <c r="AE31">
        <v>16</v>
      </c>
      <c r="AG31">
        <v>2</v>
      </c>
      <c r="AH31" t="s">
        <v>804</v>
      </c>
      <c r="AI31" t="s">
        <v>1502</v>
      </c>
      <c r="AJ31">
        <v>3</v>
      </c>
      <c r="AL31">
        <v>2</v>
      </c>
      <c r="AM31" t="s">
        <v>952</v>
      </c>
      <c r="AN31" t="s">
        <v>1342</v>
      </c>
      <c r="AO31">
        <v>27</v>
      </c>
      <c r="AR31">
        <v>2</v>
      </c>
      <c r="AS31" t="s">
        <v>1139</v>
      </c>
      <c r="AT31" t="s">
        <v>1499</v>
      </c>
      <c r="AU31">
        <v>14</v>
      </c>
      <c r="AW31">
        <v>2</v>
      </c>
      <c r="AX31" t="s">
        <v>804</v>
      </c>
      <c r="AY31" t="s">
        <v>1565</v>
      </c>
      <c r="AZ31">
        <v>14</v>
      </c>
      <c r="BB31">
        <v>2</v>
      </c>
      <c r="BC31" t="s">
        <v>952</v>
      </c>
      <c r="BD31" t="s">
        <v>1623</v>
      </c>
      <c r="BE31">
        <v>4</v>
      </c>
      <c r="BH31" s="124" t="s">
        <v>869</v>
      </c>
      <c r="BI31" s="124" t="s">
        <v>1556</v>
      </c>
      <c r="BJ31" s="124">
        <v>34</v>
      </c>
    </row>
    <row r="32" spans="2:62" ht="19">
      <c r="B32">
        <v>3</v>
      </c>
      <c r="C32" t="s">
        <v>1062</v>
      </c>
      <c r="D32" t="s">
        <v>1497</v>
      </c>
      <c r="E32">
        <v>12</v>
      </c>
      <c r="H32" s="506" t="s">
        <v>770</v>
      </c>
      <c r="I32" s="506" t="s">
        <v>1542</v>
      </c>
      <c r="J32" s="506">
        <v>16</v>
      </c>
      <c r="M32" t="s">
        <v>1096</v>
      </c>
      <c r="N32" t="s">
        <v>1386</v>
      </c>
      <c r="O32">
        <v>4</v>
      </c>
      <c r="Q32">
        <v>3</v>
      </c>
      <c r="R32" t="s">
        <v>770</v>
      </c>
      <c r="S32" t="s">
        <v>1345</v>
      </c>
      <c r="T32">
        <v>23</v>
      </c>
      <c r="X32" t="s">
        <v>1139</v>
      </c>
      <c r="Y32" t="s">
        <v>1320</v>
      </c>
      <c r="Z32">
        <v>13</v>
      </c>
      <c r="AB32">
        <v>3</v>
      </c>
      <c r="AC32" t="s">
        <v>903</v>
      </c>
      <c r="AD32" t="s">
        <v>1449</v>
      </c>
      <c r="AE32">
        <v>14</v>
      </c>
      <c r="AH32" t="s">
        <v>1229</v>
      </c>
      <c r="AI32" t="s">
        <v>1534</v>
      </c>
      <c r="AJ32">
        <v>3</v>
      </c>
      <c r="AM32" t="s">
        <v>1171</v>
      </c>
      <c r="AN32" t="s">
        <v>1467</v>
      </c>
      <c r="AO32">
        <v>27</v>
      </c>
      <c r="AS32" t="s">
        <v>1200</v>
      </c>
      <c r="AT32" t="s">
        <v>1469</v>
      </c>
      <c r="AU32">
        <v>14</v>
      </c>
      <c r="AW32">
        <v>3</v>
      </c>
      <c r="AX32" t="s">
        <v>1229</v>
      </c>
      <c r="AY32" t="s">
        <v>1472</v>
      </c>
      <c r="AZ32">
        <v>13</v>
      </c>
      <c r="BC32" t="s">
        <v>1265</v>
      </c>
      <c r="BD32" t="s">
        <v>1624</v>
      </c>
      <c r="BE32">
        <v>4</v>
      </c>
      <c r="BG32">
        <v>3</v>
      </c>
      <c r="BH32" t="s">
        <v>770</v>
      </c>
      <c r="BI32" t="s">
        <v>1582</v>
      </c>
      <c r="BJ32">
        <v>33</v>
      </c>
    </row>
    <row r="33" spans="2:62">
      <c r="C33" t="s">
        <v>1200</v>
      </c>
      <c r="D33" t="s">
        <v>1469</v>
      </c>
      <c r="E33">
        <v>12</v>
      </c>
      <c r="G33">
        <v>4</v>
      </c>
      <c r="H33" t="s">
        <v>1265</v>
      </c>
      <c r="I33" t="s">
        <v>1326</v>
      </c>
      <c r="J33">
        <v>15</v>
      </c>
      <c r="L33">
        <v>4</v>
      </c>
      <c r="M33" t="s">
        <v>1265</v>
      </c>
      <c r="N33" t="s">
        <v>1535</v>
      </c>
      <c r="O33">
        <v>3</v>
      </c>
      <c r="Q33">
        <v>4</v>
      </c>
      <c r="R33" t="s">
        <v>1265</v>
      </c>
      <c r="S33" t="s">
        <v>1326</v>
      </c>
      <c r="T33">
        <v>22</v>
      </c>
      <c r="X33" t="s">
        <v>1096</v>
      </c>
      <c r="Y33" t="s">
        <v>1445</v>
      </c>
      <c r="Z33">
        <v>13</v>
      </c>
      <c r="AC33" t="s">
        <v>869</v>
      </c>
      <c r="AD33" t="s">
        <v>1439</v>
      </c>
      <c r="AE33">
        <v>14</v>
      </c>
      <c r="AH33" t="s">
        <v>1229</v>
      </c>
      <c r="AI33" t="s">
        <v>1815</v>
      </c>
      <c r="AJ33">
        <v>3</v>
      </c>
      <c r="AM33" t="s">
        <v>1139</v>
      </c>
      <c r="AN33" t="s">
        <v>1447</v>
      </c>
      <c r="AO33">
        <v>27</v>
      </c>
      <c r="AR33">
        <v>4</v>
      </c>
      <c r="AS33" t="s">
        <v>770</v>
      </c>
      <c r="AT33" t="s">
        <v>1332</v>
      </c>
      <c r="AU33">
        <v>12</v>
      </c>
      <c r="AX33" t="s">
        <v>1171</v>
      </c>
      <c r="AY33" t="s">
        <v>1543</v>
      </c>
      <c r="AZ33">
        <v>13</v>
      </c>
      <c r="BC33" t="s">
        <v>1096</v>
      </c>
      <c r="BD33" t="s">
        <v>1553</v>
      </c>
      <c r="BE33">
        <v>4</v>
      </c>
      <c r="BG33">
        <v>4</v>
      </c>
      <c r="BH33" t="s">
        <v>952</v>
      </c>
      <c r="BI33" t="s">
        <v>1342</v>
      </c>
      <c r="BJ33">
        <v>31</v>
      </c>
    </row>
    <row r="34" spans="2:62">
      <c r="B34">
        <v>5</v>
      </c>
      <c r="C34" t="s">
        <v>804</v>
      </c>
      <c r="D34" t="s">
        <v>1339</v>
      </c>
      <c r="E34">
        <v>11</v>
      </c>
      <c r="H34" t="s">
        <v>1171</v>
      </c>
      <c r="I34" t="s">
        <v>1507</v>
      </c>
      <c r="J34">
        <v>15</v>
      </c>
      <c r="M34" t="s">
        <v>1062</v>
      </c>
      <c r="N34" t="s">
        <v>1479</v>
      </c>
      <c r="O34">
        <v>3</v>
      </c>
      <c r="R34" t="s">
        <v>1229</v>
      </c>
      <c r="S34" t="s">
        <v>1488</v>
      </c>
      <c r="T34">
        <v>22</v>
      </c>
      <c r="W34">
        <v>5</v>
      </c>
      <c r="X34" t="s">
        <v>835</v>
      </c>
      <c r="Y34" t="s">
        <v>1421</v>
      </c>
      <c r="Z34">
        <v>12</v>
      </c>
      <c r="AB34">
        <v>5</v>
      </c>
      <c r="AC34" t="s">
        <v>1265</v>
      </c>
      <c r="AD34" t="s">
        <v>1335</v>
      </c>
      <c r="AE34">
        <v>13</v>
      </c>
      <c r="AH34" t="s">
        <v>835</v>
      </c>
      <c r="AI34" t="s">
        <v>1816</v>
      </c>
      <c r="AJ34">
        <v>3</v>
      </c>
      <c r="AL34">
        <v>5</v>
      </c>
      <c r="AM34" t="s">
        <v>1025</v>
      </c>
      <c r="AN34" t="s">
        <v>1607</v>
      </c>
      <c r="AO34">
        <v>26</v>
      </c>
      <c r="AR34">
        <v>5</v>
      </c>
      <c r="AS34" t="s">
        <v>1062</v>
      </c>
      <c r="AT34" t="s">
        <v>1501</v>
      </c>
      <c r="AU34">
        <v>11</v>
      </c>
      <c r="AX34" t="s">
        <v>804</v>
      </c>
      <c r="AY34" t="s">
        <v>1459</v>
      </c>
      <c r="AZ34">
        <v>13</v>
      </c>
      <c r="BC34" t="s">
        <v>1096</v>
      </c>
      <c r="BD34" t="s">
        <v>1628</v>
      </c>
      <c r="BE34">
        <v>4</v>
      </c>
      <c r="BG34">
        <v>5</v>
      </c>
      <c r="BH34" t="s">
        <v>1265</v>
      </c>
      <c r="BI34" t="s">
        <v>1326</v>
      </c>
      <c r="BJ34">
        <v>30</v>
      </c>
    </row>
    <row r="35" spans="2:62">
      <c r="B35">
        <v>6</v>
      </c>
      <c r="C35" t="s">
        <v>1265</v>
      </c>
      <c r="D35" t="s">
        <v>1326</v>
      </c>
      <c r="E35">
        <v>10</v>
      </c>
      <c r="G35">
        <v>6</v>
      </c>
      <c r="H35" t="s">
        <v>903</v>
      </c>
      <c r="I35" t="s">
        <v>1449</v>
      </c>
      <c r="J35">
        <v>14</v>
      </c>
      <c r="M35" t="s">
        <v>1062</v>
      </c>
      <c r="N35" t="s">
        <v>1501</v>
      </c>
      <c r="O35">
        <v>3</v>
      </c>
      <c r="R35" t="s">
        <v>952</v>
      </c>
      <c r="S35" t="s">
        <v>1498</v>
      </c>
      <c r="T35">
        <v>22</v>
      </c>
      <c r="W35">
        <v>6</v>
      </c>
      <c r="X35" t="s">
        <v>770</v>
      </c>
      <c r="Y35" t="s">
        <v>1599</v>
      </c>
      <c r="Z35">
        <v>11</v>
      </c>
      <c r="AC35" t="s">
        <v>1229</v>
      </c>
      <c r="AD35" t="s">
        <v>1606</v>
      </c>
      <c r="AE35">
        <v>13</v>
      </c>
      <c r="AH35" t="s">
        <v>835</v>
      </c>
      <c r="AI35" t="s">
        <v>1473</v>
      </c>
      <c r="AJ35">
        <v>3</v>
      </c>
      <c r="AL35">
        <v>6</v>
      </c>
      <c r="AM35" t="s">
        <v>1139</v>
      </c>
      <c r="AN35" t="s">
        <v>1647</v>
      </c>
      <c r="AO35">
        <v>25</v>
      </c>
      <c r="AR35">
        <v>6</v>
      </c>
      <c r="AS35" t="s">
        <v>952</v>
      </c>
      <c r="AT35" t="s">
        <v>1498</v>
      </c>
      <c r="AU35">
        <v>10</v>
      </c>
      <c r="AW35">
        <v>6</v>
      </c>
      <c r="AX35" t="s">
        <v>952</v>
      </c>
      <c r="AY35" t="s">
        <v>1498</v>
      </c>
      <c r="AZ35">
        <v>12</v>
      </c>
      <c r="BB35">
        <v>6</v>
      </c>
      <c r="BC35" t="s">
        <v>1229</v>
      </c>
      <c r="BD35" t="s">
        <v>1817</v>
      </c>
      <c r="BE35">
        <v>3</v>
      </c>
      <c r="BG35">
        <v>6</v>
      </c>
      <c r="BH35" t="s">
        <v>1171</v>
      </c>
      <c r="BI35" t="s">
        <v>1467</v>
      </c>
      <c r="BJ35">
        <v>24</v>
      </c>
    </row>
    <row r="36" spans="2:62">
      <c r="C36" t="s">
        <v>770</v>
      </c>
      <c r="D36" t="s">
        <v>1345</v>
      </c>
      <c r="E36">
        <v>10</v>
      </c>
      <c r="H36" t="s">
        <v>1171</v>
      </c>
      <c r="I36" t="s">
        <v>1355</v>
      </c>
      <c r="J36">
        <v>14</v>
      </c>
      <c r="M36" t="s">
        <v>869</v>
      </c>
      <c r="N36" t="s">
        <v>1818</v>
      </c>
      <c r="O36">
        <v>3</v>
      </c>
      <c r="R36" t="s">
        <v>1200</v>
      </c>
      <c r="S36" t="s">
        <v>1469</v>
      </c>
      <c r="T36">
        <v>22</v>
      </c>
      <c r="X36" t="s">
        <v>1062</v>
      </c>
      <c r="Y36" t="s">
        <v>1497</v>
      </c>
      <c r="Z36">
        <v>11</v>
      </c>
      <c r="AC36" t="s">
        <v>835</v>
      </c>
      <c r="AD36" t="s">
        <v>1566</v>
      </c>
      <c r="AE36">
        <v>13</v>
      </c>
      <c r="AH36" t="s">
        <v>952</v>
      </c>
      <c r="AI36" t="s">
        <v>1349</v>
      </c>
      <c r="AJ36">
        <v>3</v>
      </c>
      <c r="AL36">
        <v>7</v>
      </c>
      <c r="AM36" t="s">
        <v>1229</v>
      </c>
      <c r="AN36" t="s">
        <v>1606</v>
      </c>
      <c r="AO36">
        <v>24</v>
      </c>
      <c r="AS36" t="s">
        <v>1062</v>
      </c>
      <c r="AT36" t="s">
        <v>1497</v>
      </c>
      <c r="AU36">
        <v>10</v>
      </c>
      <c r="AX36" t="s">
        <v>1096</v>
      </c>
      <c r="AY36" t="s">
        <v>1508</v>
      </c>
      <c r="AZ36">
        <v>12</v>
      </c>
      <c r="BC36" t="s">
        <v>903</v>
      </c>
      <c r="BD36" t="s">
        <v>1819</v>
      </c>
      <c r="BE36">
        <v>3</v>
      </c>
      <c r="BG36">
        <v>7</v>
      </c>
      <c r="BH36" t="s">
        <v>1025</v>
      </c>
      <c r="BI36" t="s">
        <v>1607</v>
      </c>
      <c r="BJ36">
        <v>23</v>
      </c>
    </row>
    <row r="37" spans="2:62">
      <c r="C37" t="s">
        <v>1171</v>
      </c>
      <c r="D37" t="s">
        <v>1467</v>
      </c>
      <c r="E37">
        <v>10</v>
      </c>
      <c r="G37">
        <v>8</v>
      </c>
      <c r="H37" t="s">
        <v>1200</v>
      </c>
      <c r="I37" t="s">
        <v>1409</v>
      </c>
      <c r="J37">
        <v>13</v>
      </c>
      <c r="M37" t="s">
        <v>1265</v>
      </c>
      <c r="N37" t="s">
        <v>1820</v>
      </c>
      <c r="O37">
        <v>3</v>
      </c>
      <c r="R37" t="s">
        <v>903</v>
      </c>
      <c r="S37" t="s">
        <v>1821</v>
      </c>
      <c r="T37">
        <v>22</v>
      </c>
      <c r="X37" t="s">
        <v>952</v>
      </c>
      <c r="Y37" t="s">
        <v>1349</v>
      </c>
      <c r="Z37">
        <v>11</v>
      </c>
      <c r="AB37">
        <v>8</v>
      </c>
      <c r="AD37" t="s">
        <v>1627</v>
      </c>
      <c r="AE37">
        <v>12</v>
      </c>
      <c r="AH37" t="s">
        <v>952</v>
      </c>
      <c r="AI37" t="s">
        <v>1498</v>
      </c>
      <c r="AJ37">
        <v>3</v>
      </c>
      <c r="AL37">
        <v>8</v>
      </c>
      <c r="AM37" t="s">
        <v>1025</v>
      </c>
      <c r="AN37" t="s">
        <v>1548</v>
      </c>
      <c r="AO37">
        <v>23</v>
      </c>
      <c r="AS37" t="s">
        <v>1200</v>
      </c>
      <c r="AT37" t="s">
        <v>1505</v>
      </c>
      <c r="AU37">
        <v>10</v>
      </c>
      <c r="AX37" t="s">
        <v>869</v>
      </c>
      <c r="AY37" t="s">
        <v>1439</v>
      </c>
      <c r="AZ37">
        <v>12</v>
      </c>
      <c r="BC37" t="s">
        <v>1200</v>
      </c>
      <c r="BD37" t="s">
        <v>1485</v>
      </c>
      <c r="BE37">
        <v>3</v>
      </c>
      <c r="BH37" t="s">
        <v>869</v>
      </c>
      <c r="BI37" t="s">
        <v>1571</v>
      </c>
      <c r="BJ37">
        <v>23</v>
      </c>
    </row>
    <row r="38" spans="2:62">
      <c r="B38">
        <v>9</v>
      </c>
      <c r="C38" t="s">
        <v>804</v>
      </c>
      <c r="D38" t="s">
        <v>1459</v>
      </c>
      <c r="E38">
        <v>9</v>
      </c>
      <c r="H38" t="s">
        <v>1229</v>
      </c>
      <c r="I38" t="s">
        <v>1472</v>
      </c>
      <c r="J38">
        <v>13</v>
      </c>
      <c r="M38" t="s">
        <v>1096</v>
      </c>
      <c r="N38" t="s">
        <v>1619</v>
      </c>
      <c r="O38">
        <v>3</v>
      </c>
      <c r="R38" t="s">
        <v>869</v>
      </c>
      <c r="S38" t="s">
        <v>1571</v>
      </c>
      <c r="T38">
        <v>22</v>
      </c>
      <c r="W38">
        <v>9</v>
      </c>
      <c r="Y38" t="s">
        <v>1791</v>
      </c>
      <c r="Z38">
        <v>10</v>
      </c>
      <c r="AH38" t="s">
        <v>1096</v>
      </c>
      <c r="AI38" t="s">
        <v>1538</v>
      </c>
      <c r="AJ38">
        <v>3</v>
      </c>
      <c r="AL38">
        <v>9</v>
      </c>
      <c r="AM38" t="s">
        <v>835</v>
      </c>
      <c r="AN38" t="s">
        <v>1555</v>
      </c>
      <c r="AO38">
        <v>22</v>
      </c>
      <c r="AS38" t="s">
        <v>1096</v>
      </c>
      <c r="AT38" t="s">
        <v>1538</v>
      </c>
      <c r="AU38">
        <v>10</v>
      </c>
      <c r="AX38" t="s">
        <v>770</v>
      </c>
      <c r="AY38" t="s">
        <v>1542</v>
      </c>
      <c r="AZ38">
        <v>12</v>
      </c>
      <c r="BC38" t="s">
        <v>1644</v>
      </c>
      <c r="BD38" t="s">
        <v>1330</v>
      </c>
      <c r="BE38">
        <v>3</v>
      </c>
      <c r="BH38" t="s">
        <v>804</v>
      </c>
      <c r="BI38" t="s">
        <v>1339</v>
      </c>
      <c r="BJ38">
        <v>23</v>
      </c>
    </row>
    <row r="39" spans="2:62">
      <c r="D39" t="s">
        <v>1613</v>
      </c>
      <c r="E39">
        <v>9</v>
      </c>
      <c r="I39" t="s">
        <v>1610</v>
      </c>
      <c r="J39">
        <v>13</v>
      </c>
      <c r="N39" t="s">
        <v>1615</v>
      </c>
      <c r="O39">
        <v>3</v>
      </c>
      <c r="R39" t="s">
        <v>770</v>
      </c>
      <c r="S39" t="s">
        <v>1599</v>
      </c>
      <c r="T39">
        <v>22</v>
      </c>
      <c r="AH39" t="s">
        <v>1265</v>
      </c>
      <c r="AI39" t="s">
        <v>1335</v>
      </c>
      <c r="AJ39">
        <v>3</v>
      </c>
      <c r="AM39" t="s">
        <v>903</v>
      </c>
      <c r="AN39" t="s">
        <v>1822</v>
      </c>
      <c r="AO39">
        <v>22</v>
      </c>
      <c r="AS39" t="s">
        <v>1025</v>
      </c>
      <c r="AT39" t="s">
        <v>1361</v>
      </c>
      <c r="AU39">
        <v>10</v>
      </c>
      <c r="AX39" t="s">
        <v>952</v>
      </c>
      <c r="AY39" t="s">
        <v>1464</v>
      </c>
      <c r="AZ39">
        <v>12</v>
      </c>
      <c r="BB39">
        <v>10</v>
      </c>
      <c r="BD39" t="s">
        <v>1823</v>
      </c>
      <c r="BE39">
        <v>2</v>
      </c>
      <c r="BG39">
        <v>10</v>
      </c>
      <c r="BH39" t="s">
        <v>770</v>
      </c>
      <c r="BI39" t="s">
        <v>1527</v>
      </c>
      <c r="BJ39">
        <v>22</v>
      </c>
    </row>
    <row r="41" spans="2:62">
      <c r="B41" s="1084" t="s">
        <v>150</v>
      </c>
      <c r="C41" s="1085"/>
      <c r="D41" s="1085"/>
      <c r="E41" s="1086"/>
      <c r="G41" s="1084" t="s">
        <v>1631</v>
      </c>
      <c r="H41" s="1085"/>
      <c r="I41" s="1085"/>
      <c r="J41" s="1086"/>
      <c r="L41" s="1084" t="s">
        <v>160</v>
      </c>
      <c r="M41" s="1085"/>
      <c r="N41" s="1085"/>
      <c r="O41" s="1086"/>
      <c r="Q41" s="1084" t="s">
        <v>159</v>
      </c>
      <c r="R41" s="1085"/>
      <c r="S41" s="1085"/>
      <c r="T41" s="1086"/>
      <c r="W41" s="1084" t="s">
        <v>150</v>
      </c>
      <c r="X41" s="1085"/>
      <c r="Y41" s="1085"/>
      <c r="Z41" s="1086"/>
      <c r="AB41" s="1084" t="s">
        <v>1631</v>
      </c>
      <c r="AC41" s="1085"/>
      <c r="AD41" s="1085"/>
      <c r="AE41" s="1086"/>
      <c r="AG41" s="1084" t="s">
        <v>160</v>
      </c>
      <c r="AH41" s="1085"/>
      <c r="AI41" s="1085"/>
      <c r="AJ41" s="1086"/>
      <c r="AL41" s="1084" t="s">
        <v>159</v>
      </c>
      <c r="AM41" s="1085"/>
      <c r="AN41" s="1085"/>
      <c r="AO41" s="1086"/>
      <c r="AR41" s="1084" t="s">
        <v>150</v>
      </c>
      <c r="AS41" s="1085"/>
      <c r="AT41" s="1085"/>
      <c r="AU41" s="1086"/>
      <c r="AW41" s="1084" t="s">
        <v>1631</v>
      </c>
      <c r="AX41" s="1085"/>
      <c r="AY41" s="1085"/>
      <c r="AZ41" s="1086"/>
      <c r="BB41" s="1084" t="s">
        <v>160</v>
      </c>
      <c r="BC41" s="1085"/>
      <c r="BD41" s="1085"/>
      <c r="BE41" s="1086"/>
      <c r="BG41" s="1084" t="s">
        <v>159</v>
      </c>
      <c r="BH41" s="1085"/>
      <c r="BI41" s="1085"/>
      <c r="BJ41" s="1086"/>
    </row>
    <row r="42" spans="2:62" s="141" customFormat="1">
      <c r="B42" s="359"/>
      <c r="C42" s="360" t="s">
        <v>8</v>
      </c>
      <c r="D42" s="360" t="s">
        <v>1314</v>
      </c>
      <c r="E42" s="360" t="s">
        <v>164</v>
      </c>
      <c r="G42" s="359"/>
      <c r="H42" s="360" t="s">
        <v>8</v>
      </c>
      <c r="I42" s="360" t="s">
        <v>1314</v>
      </c>
      <c r="J42" s="360" t="s">
        <v>164</v>
      </c>
      <c r="L42" s="359"/>
      <c r="M42" s="360" t="s">
        <v>8</v>
      </c>
      <c r="N42" s="360" t="s">
        <v>1314</v>
      </c>
      <c r="O42" s="360" t="s">
        <v>164</v>
      </c>
      <c r="Q42" s="359"/>
      <c r="R42" s="360" t="s">
        <v>8</v>
      </c>
      <c r="S42" s="360" t="s">
        <v>1314</v>
      </c>
      <c r="T42" s="359" t="s">
        <v>164</v>
      </c>
      <c r="W42" s="359"/>
      <c r="X42" s="360" t="s">
        <v>8</v>
      </c>
      <c r="Y42" s="360" t="s">
        <v>1314</v>
      </c>
      <c r="Z42" s="360" t="s">
        <v>164</v>
      </c>
      <c r="AB42" s="359"/>
      <c r="AC42" s="360" t="s">
        <v>8</v>
      </c>
      <c r="AD42" s="360" t="s">
        <v>1314</v>
      </c>
      <c r="AE42" s="360" t="s">
        <v>164</v>
      </c>
      <c r="AG42" s="359"/>
      <c r="AH42" s="360" t="s">
        <v>8</v>
      </c>
      <c r="AI42" s="360" t="s">
        <v>1314</v>
      </c>
      <c r="AJ42" s="360" t="s">
        <v>164</v>
      </c>
      <c r="AL42" s="359"/>
      <c r="AM42" s="360" t="s">
        <v>8</v>
      </c>
      <c r="AN42" s="360" t="s">
        <v>1314</v>
      </c>
      <c r="AO42" s="359" t="s">
        <v>164</v>
      </c>
      <c r="AR42" s="359"/>
      <c r="AS42" s="360" t="s">
        <v>8</v>
      </c>
      <c r="AT42" s="360" t="s">
        <v>1314</v>
      </c>
      <c r="AU42" s="360" t="s">
        <v>164</v>
      </c>
      <c r="AW42" s="359"/>
      <c r="AX42" s="360" t="s">
        <v>8</v>
      </c>
      <c r="AY42" s="360" t="s">
        <v>1314</v>
      </c>
      <c r="AZ42" s="360" t="s">
        <v>164</v>
      </c>
      <c r="BB42" s="359"/>
      <c r="BC42" s="360" t="s">
        <v>8</v>
      </c>
      <c r="BD42" s="360" t="s">
        <v>1314</v>
      </c>
      <c r="BE42" s="360" t="s">
        <v>164</v>
      </c>
      <c r="BG42" s="359"/>
      <c r="BH42" s="360" t="s">
        <v>8</v>
      </c>
      <c r="BI42" s="360" t="s">
        <v>1314</v>
      </c>
      <c r="BJ42" s="359" t="s">
        <v>164</v>
      </c>
    </row>
    <row r="43" spans="2:62" s="119" customFormat="1" ht="19">
      <c r="B43" s="119">
        <v>1</v>
      </c>
      <c r="C43" s="119" t="s">
        <v>804</v>
      </c>
      <c r="D43" s="119" t="s">
        <v>1459</v>
      </c>
      <c r="E43" s="119">
        <v>176</v>
      </c>
      <c r="G43" s="119">
        <v>1</v>
      </c>
      <c r="H43" s="119" t="s">
        <v>903</v>
      </c>
      <c r="I43" s="119" t="s">
        <v>1470</v>
      </c>
      <c r="J43" s="119">
        <v>63</v>
      </c>
      <c r="L43" s="119">
        <v>1</v>
      </c>
      <c r="M43" s="119" t="s">
        <v>770</v>
      </c>
      <c r="N43" s="119" t="s">
        <v>1545</v>
      </c>
      <c r="O43" s="119">
        <v>17</v>
      </c>
      <c r="Q43" s="119">
        <v>1</v>
      </c>
      <c r="R43" s="119" t="s">
        <v>1265</v>
      </c>
      <c r="S43" s="119" t="s">
        <v>1535</v>
      </c>
      <c r="T43" s="119">
        <v>25</v>
      </c>
      <c r="W43" s="119">
        <v>1</v>
      </c>
      <c r="X43" s="119" t="s">
        <v>990</v>
      </c>
      <c r="Y43" s="119" t="s">
        <v>1461</v>
      </c>
      <c r="Z43" s="119">
        <v>179</v>
      </c>
      <c r="AB43" s="119">
        <v>1</v>
      </c>
      <c r="AC43" s="119" t="s">
        <v>1200</v>
      </c>
      <c r="AD43" s="119" t="s">
        <v>1469</v>
      </c>
      <c r="AE43" s="119">
        <v>60</v>
      </c>
      <c r="AG43" s="119">
        <v>1</v>
      </c>
      <c r="AH43" s="119" t="s">
        <v>1025</v>
      </c>
      <c r="AI43" s="119" t="s">
        <v>1608</v>
      </c>
      <c r="AJ43" s="119">
        <v>16</v>
      </c>
      <c r="AL43" s="119">
        <v>1</v>
      </c>
      <c r="AM43" s="119" t="s">
        <v>835</v>
      </c>
      <c r="AN43" s="119" t="s">
        <v>1555</v>
      </c>
      <c r="AO43" s="119">
        <v>19</v>
      </c>
      <c r="AR43" s="119">
        <v>1</v>
      </c>
      <c r="AS43" s="119" t="s">
        <v>869</v>
      </c>
      <c r="AT43" s="119" t="s">
        <v>1486</v>
      </c>
      <c r="AU43" s="119">
        <v>176</v>
      </c>
      <c r="AW43" s="119">
        <v>1</v>
      </c>
      <c r="AX43" s="119" t="s">
        <v>835</v>
      </c>
      <c r="AY43" s="119" t="s">
        <v>1555</v>
      </c>
      <c r="AZ43" s="119">
        <v>55</v>
      </c>
      <c r="BB43" s="119">
        <v>1</v>
      </c>
      <c r="BC43" s="119" t="s">
        <v>952</v>
      </c>
      <c r="BD43" s="119" t="s">
        <v>1438</v>
      </c>
      <c r="BE43" s="119">
        <v>15</v>
      </c>
      <c r="BG43" s="119">
        <v>1</v>
      </c>
      <c r="BH43" s="119" t="s">
        <v>903</v>
      </c>
      <c r="BI43" s="119" t="s">
        <v>2183</v>
      </c>
      <c r="BJ43" s="119">
        <v>27</v>
      </c>
    </row>
    <row r="44" spans="2:62" ht="19">
      <c r="B44">
        <v>2</v>
      </c>
      <c r="C44" t="s">
        <v>1265</v>
      </c>
      <c r="D44" t="s">
        <v>1535</v>
      </c>
      <c r="E44">
        <v>172</v>
      </c>
      <c r="G44">
        <v>2</v>
      </c>
      <c r="H44" t="s">
        <v>1229</v>
      </c>
      <c r="I44" t="s">
        <v>1520</v>
      </c>
      <c r="J44">
        <v>59</v>
      </c>
      <c r="L44">
        <v>2</v>
      </c>
      <c r="M44" t="s">
        <v>903</v>
      </c>
      <c r="N44" t="s">
        <v>1398</v>
      </c>
      <c r="O44">
        <v>15</v>
      </c>
      <c r="Q44">
        <v>2</v>
      </c>
      <c r="R44" t="s">
        <v>903</v>
      </c>
      <c r="S44" t="s">
        <v>1398</v>
      </c>
      <c r="T44">
        <v>24</v>
      </c>
      <c r="W44">
        <v>2</v>
      </c>
      <c r="X44" t="s">
        <v>804</v>
      </c>
      <c r="Y44" t="s">
        <v>1459</v>
      </c>
      <c r="Z44">
        <v>175</v>
      </c>
      <c r="AB44">
        <v>2</v>
      </c>
      <c r="AC44" t="s">
        <v>770</v>
      </c>
      <c r="AD44" t="s">
        <v>1599</v>
      </c>
      <c r="AE44">
        <v>55</v>
      </c>
      <c r="AH44" t="s">
        <v>1062</v>
      </c>
      <c r="AI44" t="s">
        <v>1501</v>
      </c>
      <c r="AJ44">
        <v>15</v>
      </c>
      <c r="AL44">
        <v>2</v>
      </c>
      <c r="AM44" t="s">
        <v>903</v>
      </c>
      <c r="AN44" t="s">
        <v>2183</v>
      </c>
      <c r="AO44">
        <v>16</v>
      </c>
      <c r="AR44">
        <v>2</v>
      </c>
      <c r="AS44" t="s">
        <v>804</v>
      </c>
      <c r="AT44" t="s">
        <v>1459</v>
      </c>
      <c r="AU44">
        <v>174</v>
      </c>
      <c r="AW44">
        <v>2</v>
      </c>
      <c r="AX44" t="s">
        <v>1200</v>
      </c>
      <c r="AY44" t="s">
        <v>1469</v>
      </c>
      <c r="AZ44">
        <v>54</v>
      </c>
      <c r="BC44" s="119" t="s">
        <v>952</v>
      </c>
      <c r="BD44" s="119" t="s">
        <v>1464</v>
      </c>
      <c r="BE44" s="119">
        <v>15</v>
      </c>
      <c r="BG44">
        <v>2</v>
      </c>
      <c r="BH44" t="s">
        <v>869</v>
      </c>
      <c r="BI44" t="s">
        <v>1486</v>
      </c>
      <c r="BJ44">
        <v>22</v>
      </c>
    </row>
    <row r="45" spans="2:62">
      <c r="C45" t="s">
        <v>1062</v>
      </c>
      <c r="D45" t="s">
        <v>1479</v>
      </c>
      <c r="E45">
        <v>172</v>
      </c>
      <c r="G45">
        <v>3</v>
      </c>
      <c r="H45" t="s">
        <v>1229</v>
      </c>
      <c r="I45" t="s">
        <v>1472</v>
      </c>
      <c r="J45">
        <v>58</v>
      </c>
      <c r="L45">
        <v>3</v>
      </c>
      <c r="M45" t="s">
        <v>770</v>
      </c>
      <c r="N45" t="s">
        <v>1481</v>
      </c>
      <c r="O45">
        <v>14</v>
      </c>
      <c r="Q45">
        <v>3</v>
      </c>
      <c r="R45" t="s">
        <v>1025</v>
      </c>
      <c r="S45" t="s">
        <v>1548</v>
      </c>
      <c r="T45">
        <v>18</v>
      </c>
      <c r="W45">
        <v>3</v>
      </c>
      <c r="X45" t="s">
        <v>1096</v>
      </c>
      <c r="Y45" t="s">
        <v>1553</v>
      </c>
      <c r="Z45">
        <v>172</v>
      </c>
      <c r="AC45" t="s">
        <v>835</v>
      </c>
      <c r="AD45" t="s">
        <v>1566</v>
      </c>
      <c r="AE45">
        <v>55</v>
      </c>
      <c r="AG45">
        <v>3</v>
      </c>
      <c r="AH45" t="s">
        <v>1096</v>
      </c>
      <c r="AI45" t="s">
        <v>1508</v>
      </c>
      <c r="AJ45">
        <v>14</v>
      </c>
      <c r="AL45">
        <v>3</v>
      </c>
      <c r="AM45" t="s">
        <v>1171</v>
      </c>
      <c r="AN45" t="s">
        <v>1486</v>
      </c>
      <c r="AO45">
        <v>14</v>
      </c>
      <c r="AR45">
        <v>3</v>
      </c>
      <c r="AS45" t="s">
        <v>1096</v>
      </c>
      <c r="AT45" t="s">
        <v>1508</v>
      </c>
      <c r="AU45">
        <v>172</v>
      </c>
      <c r="AX45" t="s">
        <v>869</v>
      </c>
      <c r="AY45" t="s">
        <v>1824</v>
      </c>
      <c r="AZ45">
        <v>54</v>
      </c>
      <c r="BB45">
        <v>3</v>
      </c>
      <c r="BC45" t="s">
        <v>1644</v>
      </c>
      <c r="BD45" t="s">
        <v>1461</v>
      </c>
      <c r="BE45">
        <v>14</v>
      </c>
      <c r="BG45">
        <v>3</v>
      </c>
      <c r="BH45" t="s">
        <v>770</v>
      </c>
      <c r="BI45" t="s">
        <v>1545</v>
      </c>
      <c r="BJ45">
        <v>18</v>
      </c>
    </row>
    <row r="46" spans="2:62">
      <c r="B46">
        <v>4</v>
      </c>
      <c r="C46" t="s">
        <v>770</v>
      </c>
      <c r="D46" t="s">
        <v>1545</v>
      </c>
      <c r="E46">
        <v>171</v>
      </c>
      <c r="G46">
        <v>4</v>
      </c>
      <c r="H46" t="s">
        <v>1025</v>
      </c>
      <c r="I46" t="s">
        <v>1825</v>
      </c>
      <c r="J46">
        <v>52</v>
      </c>
      <c r="M46" t="s">
        <v>1229</v>
      </c>
      <c r="N46" t="s">
        <v>1472</v>
      </c>
      <c r="O46">
        <v>14</v>
      </c>
      <c r="Q46">
        <v>4</v>
      </c>
      <c r="R46" t="s">
        <v>869</v>
      </c>
      <c r="S46" t="s">
        <v>1474</v>
      </c>
      <c r="T46">
        <v>13</v>
      </c>
      <c r="W46">
        <v>4</v>
      </c>
      <c r="X46" t="s">
        <v>1229</v>
      </c>
      <c r="Y46" t="s">
        <v>1472</v>
      </c>
      <c r="Z46">
        <v>170</v>
      </c>
      <c r="AB46">
        <v>4</v>
      </c>
      <c r="AC46" t="s">
        <v>990</v>
      </c>
      <c r="AD46" t="s">
        <v>2186</v>
      </c>
      <c r="AE46">
        <v>54</v>
      </c>
      <c r="AH46" t="s">
        <v>1265</v>
      </c>
      <c r="AI46" t="s">
        <v>1820</v>
      </c>
      <c r="AJ46">
        <v>14</v>
      </c>
      <c r="AL46">
        <v>4</v>
      </c>
      <c r="AM46" t="s">
        <v>1265</v>
      </c>
      <c r="AN46" t="s">
        <v>1535</v>
      </c>
      <c r="AO46">
        <v>13</v>
      </c>
      <c r="AR46">
        <v>4</v>
      </c>
      <c r="AS46" t="s">
        <v>1062</v>
      </c>
      <c r="AT46" t="s">
        <v>1479</v>
      </c>
      <c r="AU46">
        <v>169</v>
      </c>
      <c r="AW46">
        <v>4</v>
      </c>
      <c r="AX46" t="s">
        <v>952</v>
      </c>
      <c r="AY46" t="s">
        <v>1435</v>
      </c>
      <c r="AZ46">
        <v>53</v>
      </c>
      <c r="BC46" t="s">
        <v>1265</v>
      </c>
      <c r="BD46" t="s">
        <v>1405</v>
      </c>
      <c r="BE46">
        <v>14</v>
      </c>
      <c r="BG46">
        <v>4</v>
      </c>
      <c r="BH46" t="s">
        <v>903</v>
      </c>
      <c r="BI46" t="s">
        <v>1529</v>
      </c>
      <c r="BJ46">
        <v>16</v>
      </c>
    </row>
    <row r="47" spans="2:62">
      <c r="B47">
        <v>5</v>
      </c>
      <c r="C47" t="s">
        <v>990</v>
      </c>
      <c r="D47" t="s">
        <v>1461</v>
      </c>
      <c r="E47">
        <v>169</v>
      </c>
      <c r="H47" t="s">
        <v>903</v>
      </c>
      <c r="I47" t="s">
        <v>1826</v>
      </c>
      <c r="J47">
        <v>52</v>
      </c>
      <c r="M47" t="s">
        <v>869</v>
      </c>
      <c r="N47" t="s">
        <v>1474</v>
      </c>
      <c r="O47">
        <v>14</v>
      </c>
      <c r="R47" t="s">
        <v>770</v>
      </c>
      <c r="S47" t="s">
        <v>1545</v>
      </c>
      <c r="T47">
        <v>13</v>
      </c>
      <c r="X47" t="s">
        <v>1025</v>
      </c>
      <c r="Y47" t="s">
        <v>1361</v>
      </c>
      <c r="Z47">
        <v>170</v>
      </c>
      <c r="AC47" t="s">
        <v>1229</v>
      </c>
      <c r="AD47" t="s">
        <v>1472</v>
      </c>
      <c r="AE47">
        <v>53</v>
      </c>
      <c r="AG47">
        <v>5</v>
      </c>
      <c r="AH47" t="s">
        <v>990</v>
      </c>
      <c r="AI47" t="s">
        <v>1522</v>
      </c>
      <c r="AJ47">
        <v>12</v>
      </c>
      <c r="AL47">
        <v>5</v>
      </c>
      <c r="AM47" t="s">
        <v>1025</v>
      </c>
      <c r="AN47" t="s">
        <v>1548</v>
      </c>
      <c r="AO47">
        <v>9</v>
      </c>
      <c r="AR47">
        <v>5</v>
      </c>
      <c r="AS47" t="s">
        <v>1096</v>
      </c>
      <c r="AT47" t="s">
        <v>1553</v>
      </c>
      <c r="AU47">
        <v>168</v>
      </c>
      <c r="AX47" t="s">
        <v>770</v>
      </c>
      <c r="AY47" t="s">
        <v>1542</v>
      </c>
      <c r="AZ47">
        <v>53</v>
      </c>
      <c r="BB47">
        <v>5</v>
      </c>
      <c r="BC47" t="s">
        <v>1229</v>
      </c>
      <c r="BD47" t="s">
        <v>1472</v>
      </c>
      <c r="BE47">
        <v>13</v>
      </c>
      <c r="BG47">
        <v>5</v>
      </c>
      <c r="BH47" t="s">
        <v>835</v>
      </c>
      <c r="BI47" t="s">
        <v>1555</v>
      </c>
      <c r="BJ47">
        <v>14</v>
      </c>
    </row>
    <row r="48" spans="2:62">
      <c r="C48" t="s">
        <v>1200</v>
      </c>
      <c r="D48" t="s">
        <v>1409</v>
      </c>
      <c r="E48">
        <v>169</v>
      </c>
      <c r="H48" t="s">
        <v>1096</v>
      </c>
      <c r="I48" t="s">
        <v>1386</v>
      </c>
      <c r="J48">
        <v>52</v>
      </c>
      <c r="M48" t="s">
        <v>1139</v>
      </c>
      <c r="N48" t="s">
        <v>1645</v>
      </c>
      <c r="O48">
        <v>14</v>
      </c>
      <c r="Q48">
        <v>6</v>
      </c>
      <c r="R48" t="s">
        <v>903</v>
      </c>
      <c r="S48" t="s">
        <v>1470</v>
      </c>
      <c r="T48">
        <v>10</v>
      </c>
      <c r="W48">
        <v>6</v>
      </c>
      <c r="X48" t="s">
        <v>952</v>
      </c>
      <c r="Y48" t="s">
        <v>1498</v>
      </c>
      <c r="Z48">
        <v>169</v>
      </c>
      <c r="AC48" t="s">
        <v>1096</v>
      </c>
      <c r="AD48" t="s">
        <v>1386</v>
      </c>
      <c r="AE48">
        <v>53</v>
      </c>
      <c r="AH48" t="s">
        <v>903</v>
      </c>
      <c r="AI48" t="s">
        <v>1449</v>
      </c>
      <c r="AJ48">
        <v>12</v>
      </c>
      <c r="AM48" t="s">
        <v>835</v>
      </c>
      <c r="AN48" t="s">
        <v>1816</v>
      </c>
      <c r="AO48">
        <v>8</v>
      </c>
      <c r="AR48">
        <v>6</v>
      </c>
      <c r="AS48" t="s">
        <v>1025</v>
      </c>
      <c r="AT48" t="s">
        <v>1483</v>
      </c>
      <c r="AU48">
        <v>167</v>
      </c>
      <c r="AX48" t="s">
        <v>804</v>
      </c>
      <c r="AY48" t="s">
        <v>1549</v>
      </c>
      <c r="AZ48">
        <v>53</v>
      </c>
      <c r="BC48" t="s">
        <v>1025</v>
      </c>
      <c r="BD48" t="s">
        <v>1361</v>
      </c>
      <c r="BE48">
        <v>13</v>
      </c>
      <c r="BH48" t="s">
        <v>903</v>
      </c>
      <c r="BI48" t="s">
        <v>1470</v>
      </c>
      <c r="BJ48">
        <v>14</v>
      </c>
    </row>
    <row r="49" spans="2:62">
      <c r="B49">
        <v>7</v>
      </c>
      <c r="C49" t="s">
        <v>770</v>
      </c>
      <c r="D49" t="s">
        <v>1481</v>
      </c>
      <c r="E49">
        <v>168</v>
      </c>
      <c r="H49" t="s">
        <v>1025</v>
      </c>
      <c r="I49" t="s">
        <v>1548</v>
      </c>
      <c r="J49">
        <v>52</v>
      </c>
      <c r="L49">
        <v>7</v>
      </c>
      <c r="M49" t="s">
        <v>1062</v>
      </c>
      <c r="N49" t="s">
        <v>1479</v>
      </c>
      <c r="O49">
        <v>12</v>
      </c>
      <c r="R49" t="s">
        <v>835</v>
      </c>
      <c r="S49" t="s">
        <v>1555</v>
      </c>
      <c r="T49">
        <v>10</v>
      </c>
      <c r="W49">
        <v>7</v>
      </c>
      <c r="X49" t="s">
        <v>990</v>
      </c>
      <c r="Y49" t="s">
        <v>1330</v>
      </c>
      <c r="Z49">
        <v>167</v>
      </c>
      <c r="AB49">
        <v>7</v>
      </c>
      <c r="AC49" t="s">
        <v>990</v>
      </c>
      <c r="AD49" t="s">
        <v>1330</v>
      </c>
      <c r="AE49">
        <v>52</v>
      </c>
      <c r="AG49">
        <v>7</v>
      </c>
      <c r="AI49" t="s">
        <v>1685</v>
      </c>
      <c r="AJ49">
        <v>11</v>
      </c>
      <c r="AL49">
        <v>7</v>
      </c>
      <c r="AM49" t="s">
        <v>990</v>
      </c>
      <c r="AN49" t="s">
        <v>1461</v>
      </c>
      <c r="AO49">
        <v>6</v>
      </c>
      <c r="AR49">
        <v>7</v>
      </c>
      <c r="AS49" t="s">
        <v>1229</v>
      </c>
      <c r="AT49" t="s">
        <v>1472</v>
      </c>
      <c r="AU49">
        <v>166</v>
      </c>
      <c r="AW49">
        <v>7</v>
      </c>
      <c r="AX49" t="s">
        <v>770</v>
      </c>
      <c r="AY49" t="s">
        <v>1443</v>
      </c>
      <c r="AZ49">
        <v>52</v>
      </c>
      <c r="BC49" t="s">
        <v>903</v>
      </c>
      <c r="BD49" t="s">
        <v>2183</v>
      </c>
      <c r="BE49">
        <v>13</v>
      </c>
      <c r="BG49">
        <v>7</v>
      </c>
      <c r="BH49" t="s">
        <v>1062</v>
      </c>
      <c r="BI49" t="s">
        <v>1516</v>
      </c>
      <c r="BJ49">
        <v>12</v>
      </c>
    </row>
    <row r="50" spans="2:62">
      <c r="C50" t="s">
        <v>1265</v>
      </c>
      <c r="D50" t="s">
        <v>1335</v>
      </c>
      <c r="E50">
        <v>168</v>
      </c>
      <c r="G50">
        <v>8</v>
      </c>
      <c r="H50" t="s">
        <v>990</v>
      </c>
      <c r="I50" t="s">
        <v>1827</v>
      </c>
      <c r="J50">
        <v>50</v>
      </c>
      <c r="M50" t="s">
        <v>1265</v>
      </c>
      <c r="N50" t="s">
        <v>1335</v>
      </c>
      <c r="O50">
        <v>12</v>
      </c>
      <c r="R50" t="s">
        <v>1025</v>
      </c>
      <c r="S50" t="s">
        <v>1825</v>
      </c>
      <c r="T50">
        <v>10</v>
      </c>
      <c r="W50">
        <v>8</v>
      </c>
      <c r="X50" t="s">
        <v>835</v>
      </c>
      <c r="Y50" t="s">
        <v>1510</v>
      </c>
      <c r="Z50">
        <v>166</v>
      </c>
      <c r="AC50" t="s">
        <v>804</v>
      </c>
      <c r="AD50" t="s">
        <v>1828</v>
      </c>
      <c r="AE50">
        <v>52</v>
      </c>
      <c r="AM50" t="s">
        <v>1171</v>
      </c>
      <c r="AN50" t="s">
        <v>1543</v>
      </c>
      <c r="AO50">
        <v>6</v>
      </c>
      <c r="AS50" t="s">
        <v>1025</v>
      </c>
      <c r="AT50" t="s">
        <v>1361</v>
      </c>
      <c r="AU50">
        <v>166</v>
      </c>
      <c r="AX50" t="s">
        <v>1025</v>
      </c>
      <c r="AY50" t="s">
        <v>1829</v>
      </c>
      <c r="AZ50">
        <v>52</v>
      </c>
      <c r="BB50">
        <v>8</v>
      </c>
      <c r="BC50" t="s">
        <v>1200</v>
      </c>
      <c r="BD50" t="s">
        <v>1469</v>
      </c>
      <c r="BE50">
        <v>12</v>
      </c>
      <c r="BH50" t="s">
        <v>1171</v>
      </c>
      <c r="BI50" t="s">
        <v>1543</v>
      </c>
      <c r="BJ50">
        <v>12</v>
      </c>
    </row>
    <row r="51" spans="2:62">
      <c r="C51" t="s">
        <v>1200</v>
      </c>
      <c r="D51" t="s">
        <v>1514</v>
      </c>
      <c r="E51">
        <v>168</v>
      </c>
      <c r="G51">
        <v>9</v>
      </c>
      <c r="H51" t="s">
        <v>1229</v>
      </c>
      <c r="I51" t="s">
        <v>1426</v>
      </c>
      <c r="J51">
        <v>49</v>
      </c>
      <c r="M51" t="s">
        <v>1096</v>
      </c>
      <c r="N51" t="s">
        <v>1553</v>
      </c>
      <c r="O51">
        <v>12</v>
      </c>
      <c r="Q51">
        <v>9</v>
      </c>
      <c r="R51" t="s">
        <v>770</v>
      </c>
      <c r="S51" t="s">
        <v>1481</v>
      </c>
      <c r="T51">
        <v>9</v>
      </c>
      <c r="X51" t="s">
        <v>903</v>
      </c>
      <c r="Y51" t="s">
        <v>2183</v>
      </c>
      <c r="Z51">
        <v>166</v>
      </c>
      <c r="AB51">
        <v>9</v>
      </c>
      <c r="AD51" t="s">
        <v>1614</v>
      </c>
      <c r="AE51">
        <v>51</v>
      </c>
      <c r="AL51">
        <v>9</v>
      </c>
      <c r="AM51" t="s">
        <v>1025</v>
      </c>
      <c r="AN51" t="s">
        <v>1483</v>
      </c>
      <c r="AO51">
        <v>6</v>
      </c>
      <c r="AR51">
        <v>9</v>
      </c>
      <c r="AT51" t="s">
        <v>1614</v>
      </c>
      <c r="AU51">
        <v>165</v>
      </c>
      <c r="AW51">
        <v>9</v>
      </c>
      <c r="AY51" t="s">
        <v>1614</v>
      </c>
      <c r="AZ51">
        <v>51</v>
      </c>
      <c r="BC51" t="s">
        <v>835</v>
      </c>
      <c r="BD51" t="s">
        <v>1510</v>
      </c>
      <c r="BE51">
        <v>12</v>
      </c>
      <c r="BG51">
        <v>9</v>
      </c>
      <c r="BH51" t="s">
        <v>835</v>
      </c>
      <c r="BI51" t="s">
        <v>1816</v>
      </c>
      <c r="BJ51">
        <v>10</v>
      </c>
    </row>
    <row r="52" spans="2:62">
      <c r="B52">
        <v>10</v>
      </c>
      <c r="C52" t="s">
        <v>903</v>
      </c>
      <c r="D52" t="s">
        <v>1398</v>
      </c>
      <c r="E52">
        <v>167</v>
      </c>
      <c r="H52" t="s">
        <v>903</v>
      </c>
      <c r="I52" t="s">
        <v>1830</v>
      </c>
      <c r="J52">
        <v>49</v>
      </c>
      <c r="N52" t="s">
        <v>1615</v>
      </c>
      <c r="O52">
        <v>12</v>
      </c>
      <c r="S52" t="s">
        <v>1627</v>
      </c>
      <c r="W52">
        <v>10</v>
      </c>
      <c r="X52" t="s">
        <v>1171</v>
      </c>
      <c r="Y52" t="s">
        <v>1486</v>
      </c>
      <c r="Z52">
        <v>165</v>
      </c>
      <c r="AL52">
        <v>10</v>
      </c>
      <c r="AN52" t="s">
        <v>1610</v>
      </c>
      <c r="AO52">
        <v>6</v>
      </c>
      <c r="BB52">
        <v>10</v>
      </c>
      <c r="BD52" t="s">
        <v>1613</v>
      </c>
      <c r="BE52">
        <v>11</v>
      </c>
      <c r="BG52">
        <v>10</v>
      </c>
      <c r="BH52" t="s">
        <v>1229</v>
      </c>
      <c r="BI52" t="s">
        <v>1831</v>
      </c>
      <c r="BJ52">
        <v>9</v>
      </c>
    </row>
    <row r="54" spans="2:62">
      <c r="B54" s="1084" t="s">
        <v>1809</v>
      </c>
      <c r="C54" s="1085"/>
      <c r="D54" s="1085"/>
      <c r="E54" s="1086"/>
      <c r="W54" s="1084" t="s">
        <v>1809</v>
      </c>
      <c r="X54" s="1085"/>
      <c r="Y54" s="1085"/>
      <c r="Z54" s="1086"/>
      <c r="AR54" s="1084" t="s">
        <v>1809</v>
      </c>
      <c r="AS54" s="1085"/>
      <c r="AT54" s="1085"/>
      <c r="AU54" s="1086"/>
    </row>
    <row r="55" spans="2:62" s="141" customFormat="1">
      <c r="B55" s="359"/>
      <c r="C55" s="360" t="s">
        <v>8</v>
      </c>
      <c r="D55" s="360" t="s">
        <v>1314</v>
      </c>
      <c r="E55" s="359" t="s">
        <v>164</v>
      </c>
      <c r="W55" s="359"/>
      <c r="X55" s="360" t="s">
        <v>8</v>
      </c>
      <c r="Y55" s="360" t="s">
        <v>1314</v>
      </c>
      <c r="Z55" s="359" t="s">
        <v>164</v>
      </c>
      <c r="AR55" s="359"/>
      <c r="AS55" s="360" t="s">
        <v>8</v>
      </c>
      <c r="AT55" s="360" t="s">
        <v>1314</v>
      </c>
      <c r="AU55" s="359" t="s">
        <v>164</v>
      </c>
    </row>
    <row r="56" spans="2:62" s="124" customFormat="1" ht="19">
      <c r="B56" s="119">
        <v>1</v>
      </c>
      <c r="C56" s="119" t="s">
        <v>952</v>
      </c>
      <c r="D56" s="119" t="s">
        <v>1316</v>
      </c>
      <c r="E56" s="119">
        <v>6</v>
      </c>
      <c r="W56" s="119">
        <v>1</v>
      </c>
      <c r="X56" s="119" t="s">
        <v>990</v>
      </c>
      <c r="Y56" s="119" t="s">
        <v>1461</v>
      </c>
      <c r="Z56" s="119">
        <v>6</v>
      </c>
      <c r="AR56" s="119">
        <v>1</v>
      </c>
      <c r="AS56" s="119" t="s">
        <v>1139</v>
      </c>
      <c r="AT56" s="119" t="s">
        <v>1499</v>
      </c>
      <c r="AU56" s="119">
        <v>9</v>
      </c>
    </row>
    <row r="57" spans="2:62">
      <c r="B57" s="450"/>
      <c r="C57" s="450" t="s">
        <v>1096</v>
      </c>
      <c r="D57" s="450" t="s">
        <v>1508</v>
      </c>
      <c r="E57" s="450">
        <v>6</v>
      </c>
      <c r="W57">
        <v>2</v>
      </c>
      <c r="X57" t="s">
        <v>1139</v>
      </c>
      <c r="Y57" t="s">
        <v>1320</v>
      </c>
      <c r="Z57">
        <v>5</v>
      </c>
      <c r="AR57">
        <v>2</v>
      </c>
      <c r="AS57" t="s">
        <v>770</v>
      </c>
      <c r="AT57" t="s">
        <v>1332</v>
      </c>
      <c r="AU57">
        <v>8</v>
      </c>
    </row>
    <row r="58" spans="2:62">
      <c r="B58" s="450"/>
      <c r="C58" s="450" t="s">
        <v>1200</v>
      </c>
      <c r="D58" s="450" t="s">
        <v>1482</v>
      </c>
      <c r="E58" s="450">
        <v>6</v>
      </c>
      <c r="X58" t="s">
        <v>804</v>
      </c>
      <c r="Y58" t="s">
        <v>1549</v>
      </c>
      <c r="Z58">
        <v>5</v>
      </c>
      <c r="AR58">
        <v>3</v>
      </c>
      <c r="AS58" t="s">
        <v>804</v>
      </c>
      <c r="AT58" t="s">
        <v>1565</v>
      </c>
      <c r="AU58">
        <v>7</v>
      </c>
    </row>
    <row r="59" spans="2:62">
      <c r="B59" s="450"/>
      <c r="C59" s="450" t="s">
        <v>770</v>
      </c>
      <c r="D59" s="450" t="s">
        <v>1332</v>
      </c>
      <c r="E59" s="450">
        <v>6</v>
      </c>
      <c r="X59" t="s">
        <v>990</v>
      </c>
      <c r="Y59" t="s">
        <v>1330</v>
      </c>
      <c r="Z59">
        <v>5</v>
      </c>
      <c r="AR59">
        <v>4</v>
      </c>
      <c r="AS59" t="s">
        <v>1171</v>
      </c>
      <c r="AT59" t="s">
        <v>1487</v>
      </c>
      <c r="AU59">
        <v>6</v>
      </c>
    </row>
    <row r="60" spans="2:62">
      <c r="B60">
        <v>5</v>
      </c>
      <c r="C60" t="s">
        <v>1062</v>
      </c>
      <c r="D60" t="s">
        <v>1497</v>
      </c>
      <c r="E60">
        <v>5</v>
      </c>
      <c r="X60" t="s">
        <v>1025</v>
      </c>
      <c r="Y60" t="s">
        <v>1548</v>
      </c>
      <c r="Z60">
        <v>5</v>
      </c>
      <c r="AS60" t="s">
        <v>869</v>
      </c>
      <c r="AT60" t="s">
        <v>1439</v>
      </c>
      <c r="AU60">
        <v>6</v>
      </c>
    </row>
    <row r="61" spans="2:62">
      <c r="C61" t="s">
        <v>804</v>
      </c>
      <c r="D61" t="s">
        <v>1339</v>
      </c>
      <c r="E61">
        <v>5</v>
      </c>
      <c r="X61" t="s">
        <v>770</v>
      </c>
      <c r="Y61" t="s">
        <v>1527</v>
      </c>
      <c r="Z61">
        <v>5</v>
      </c>
      <c r="AR61">
        <v>6</v>
      </c>
      <c r="AS61" t="s">
        <v>1200</v>
      </c>
      <c r="AT61" t="s">
        <v>1469</v>
      </c>
      <c r="AU61">
        <v>5</v>
      </c>
    </row>
    <row r="62" spans="2:62">
      <c r="C62" t="s">
        <v>1200</v>
      </c>
      <c r="D62" t="s">
        <v>1469</v>
      </c>
      <c r="E62">
        <v>5</v>
      </c>
      <c r="X62" t="s">
        <v>770</v>
      </c>
      <c r="Y62" t="s">
        <v>1542</v>
      </c>
      <c r="Z62">
        <v>5</v>
      </c>
      <c r="AS62" t="s">
        <v>1062</v>
      </c>
      <c r="AT62" t="s">
        <v>1501</v>
      </c>
      <c r="AU62">
        <v>5</v>
      </c>
    </row>
    <row r="63" spans="2:62">
      <c r="C63" t="s">
        <v>835</v>
      </c>
      <c r="D63" t="s">
        <v>1401</v>
      </c>
      <c r="E63">
        <v>5</v>
      </c>
      <c r="X63" t="s">
        <v>835</v>
      </c>
      <c r="Y63" t="s">
        <v>1510</v>
      </c>
      <c r="Z63">
        <v>5</v>
      </c>
      <c r="AS63" t="s">
        <v>952</v>
      </c>
      <c r="AT63" t="s">
        <v>1342</v>
      </c>
      <c r="AU63">
        <v>5</v>
      </c>
    </row>
    <row r="64" spans="2:62">
      <c r="B64">
        <v>9</v>
      </c>
      <c r="C64" t="s">
        <v>990</v>
      </c>
      <c r="D64" t="s">
        <v>1461</v>
      </c>
      <c r="E64">
        <v>4</v>
      </c>
      <c r="X64" t="s">
        <v>835</v>
      </c>
      <c r="Y64" t="s">
        <v>1566</v>
      </c>
      <c r="Z64">
        <v>5</v>
      </c>
      <c r="AR64">
        <v>9</v>
      </c>
      <c r="AT64" t="s">
        <v>1648</v>
      </c>
      <c r="AU64">
        <v>4</v>
      </c>
    </row>
    <row r="65" spans="4:26">
      <c r="D65" t="s">
        <v>1802</v>
      </c>
      <c r="E65">
        <v>4</v>
      </c>
      <c r="Y65" t="s">
        <v>1614</v>
      </c>
      <c r="Z65">
        <v>5</v>
      </c>
    </row>
  </sheetData>
  <mergeCells count="54">
    <mergeCell ref="AW41:AZ41"/>
    <mergeCell ref="BB41:BE41"/>
    <mergeCell ref="BG41:BJ41"/>
    <mergeCell ref="W54:Z54"/>
    <mergeCell ref="AR54:AU54"/>
    <mergeCell ref="W41:Z41"/>
    <mergeCell ref="AB41:AE41"/>
    <mergeCell ref="AG41:AJ41"/>
    <mergeCell ref="AL41:AO41"/>
    <mergeCell ref="AR41:AU41"/>
    <mergeCell ref="AR15:AU15"/>
    <mergeCell ref="AW15:AZ15"/>
    <mergeCell ref="BB15:BE15"/>
    <mergeCell ref="BG15:BJ15"/>
    <mergeCell ref="W28:Z28"/>
    <mergeCell ref="AB28:AE28"/>
    <mergeCell ref="AG28:AJ28"/>
    <mergeCell ref="AL28:AO28"/>
    <mergeCell ref="AR28:AU28"/>
    <mergeCell ref="AW28:AZ28"/>
    <mergeCell ref="BB28:BE28"/>
    <mergeCell ref="BG28:BJ28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B15:E15"/>
    <mergeCell ref="G15:J15"/>
    <mergeCell ref="L15:O15"/>
    <mergeCell ref="Q15:T15"/>
    <mergeCell ref="W1:AO1"/>
    <mergeCell ref="W15:Z15"/>
    <mergeCell ref="AB15:AE15"/>
    <mergeCell ref="AG15:AJ15"/>
    <mergeCell ref="AL15:AO15"/>
    <mergeCell ref="B1:T1"/>
    <mergeCell ref="B2:E2"/>
    <mergeCell ref="G2:J2"/>
    <mergeCell ref="L2:O2"/>
    <mergeCell ref="Q2:T2"/>
    <mergeCell ref="B54:E54"/>
    <mergeCell ref="B28:E28"/>
    <mergeCell ref="G28:J28"/>
    <mergeCell ref="L28:O28"/>
    <mergeCell ref="Q28:T28"/>
    <mergeCell ref="B41:E41"/>
    <mergeCell ref="G41:J41"/>
    <mergeCell ref="L41:O41"/>
    <mergeCell ref="Q41:T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B1:BJ65"/>
  <sheetViews>
    <sheetView zoomScale="110" zoomScaleNormal="110" workbookViewId="0">
      <pane ySplit="1" topLeftCell="A2" activePane="bottomLeft" state="frozenSplit"/>
      <selection pane="bottomLeft" activeCell="AD13" sqref="AD13"/>
    </sheetView>
  </sheetViews>
  <sheetFormatPr baseColWidth="10" defaultRowHeight="16"/>
  <cols>
    <col min="1" max="1" width="3.5" customWidth="1"/>
    <col min="2" max="2" width="3.1640625" customWidth="1"/>
    <col min="3" max="3" width="6" customWidth="1"/>
    <col min="4" max="4" width="17.5" customWidth="1"/>
    <col min="5" max="5" width="5.33203125" customWidth="1"/>
    <col min="6" max="6" width="3.5" customWidth="1"/>
    <col min="7" max="7" width="3.1640625" customWidth="1"/>
    <col min="8" max="8" width="6" customWidth="1"/>
    <col min="9" max="9" width="15" customWidth="1"/>
    <col min="10" max="10" width="5.33203125" customWidth="1"/>
    <col min="11" max="11" width="3.5" customWidth="1"/>
    <col min="12" max="12" width="3.1640625" customWidth="1"/>
    <col min="13" max="13" width="6" customWidth="1"/>
    <col min="14" max="14" width="15.5" customWidth="1"/>
    <col min="15" max="15" width="5.83203125" customWidth="1"/>
    <col min="16" max="16" width="3.5" customWidth="1"/>
    <col min="17" max="17" width="3.1640625" customWidth="1"/>
    <col min="18" max="18" width="6" customWidth="1"/>
    <col min="19" max="19" width="15" customWidth="1"/>
    <col min="20" max="20" width="4.6640625" customWidth="1"/>
    <col min="21" max="22" width="3.5" customWidth="1"/>
    <col min="23" max="23" width="3.1640625" customWidth="1"/>
    <col min="24" max="24" width="6.1640625" customWidth="1"/>
    <col min="25" max="25" width="15" customWidth="1"/>
    <col min="26" max="26" width="5.33203125" customWidth="1"/>
    <col min="27" max="27" width="3.5" customWidth="1"/>
    <col min="28" max="28" width="3.1640625" customWidth="1"/>
    <col min="29" max="29" width="5.6640625" customWidth="1"/>
    <col min="30" max="30" width="15" customWidth="1"/>
    <col min="31" max="31" width="5.33203125" customWidth="1"/>
    <col min="32" max="32" width="3.5" customWidth="1"/>
    <col min="33" max="33" width="3.1640625" customWidth="1"/>
    <col min="34" max="34" width="5.6640625" customWidth="1"/>
    <col min="35" max="35" width="15" customWidth="1"/>
    <col min="36" max="36" width="5.33203125" customWidth="1"/>
    <col min="37" max="37" width="3.5" customWidth="1"/>
    <col min="38" max="38" width="3.1640625" customWidth="1"/>
    <col min="39" max="39" width="6.1640625" customWidth="1"/>
    <col min="40" max="40" width="17" customWidth="1"/>
    <col min="41" max="41" width="4.6640625" customWidth="1"/>
    <col min="42" max="43" width="3.5" customWidth="1"/>
    <col min="44" max="44" width="3.1640625" customWidth="1"/>
    <col min="45" max="45" width="5.6640625" customWidth="1"/>
    <col min="46" max="46" width="18" customWidth="1"/>
    <col min="47" max="47" width="5.33203125" customWidth="1"/>
    <col min="48" max="48" width="3.5" customWidth="1"/>
    <col min="49" max="49" width="3.1640625" customWidth="1"/>
    <col min="50" max="50" width="5.5" customWidth="1"/>
    <col min="51" max="51" width="13.6640625" customWidth="1"/>
    <col min="52" max="52" width="5.33203125" customWidth="1"/>
    <col min="53" max="53" width="3.5" customWidth="1"/>
    <col min="54" max="54" width="3.1640625" customWidth="1"/>
    <col min="55" max="55" width="5.6640625" customWidth="1"/>
    <col min="56" max="56" width="15.6640625" customWidth="1"/>
    <col min="57" max="57" width="5.33203125" customWidth="1"/>
    <col min="58" max="58" width="3.5" customWidth="1"/>
    <col min="59" max="59" width="3.1640625" customWidth="1"/>
    <col min="60" max="60" width="5.6640625" customWidth="1"/>
    <col min="61" max="61" width="15.6640625" customWidth="1"/>
    <col min="62" max="62" width="3.5" customWidth="1"/>
    <col min="63" max="63" width="3.1640625" customWidth="1"/>
  </cols>
  <sheetData>
    <row r="1" spans="2:62" ht="27">
      <c r="B1" s="1075" t="s">
        <v>1832</v>
      </c>
      <c r="C1" s="1076"/>
      <c r="D1" s="1076"/>
      <c r="E1" s="1076"/>
      <c r="F1" s="1076"/>
      <c r="G1" s="1076"/>
      <c r="H1" s="1076"/>
      <c r="I1" s="1076"/>
      <c r="J1" s="1076"/>
      <c r="K1" s="1076"/>
      <c r="L1" s="1076"/>
      <c r="M1" s="1076"/>
      <c r="N1" s="1076"/>
      <c r="O1" s="1076"/>
      <c r="P1" s="1076"/>
      <c r="Q1" s="1076"/>
      <c r="R1" s="1076"/>
      <c r="S1" s="1076"/>
      <c r="T1" s="1077"/>
      <c r="W1" s="1075" t="s">
        <v>1833</v>
      </c>
      <c r="X1" s="1076"/>
      <c r="Y1" s="1076"/>
      <c r="Z1" s="1076"/>
      <c r="AA1" s="1076"/>
      <c r="AB1" s="1076"/>
      <c r="AC1" s="1076"/>
      <c r="AD1" s="1076"/>
      <c r="AE1" s="1076"/>
      <c r="AF1" s="1076"/>
      <c r="AG1" s="1076"/>
      <c r="AH1" s="1076"/>
      <c r="AI1" s="1076"/>
      <c r="AJ1" s="1076"/>
      <c r="AK1" s="1076"/>
      <c r="AL1" s="1076"/>
      <c r="AM1" s="1076"/>
      <c r="AN1" s="1076"/>
      <c r="AO1" s="1077"/>
      <c r="AR1" s="1075" t="s">
        <v>1834</v>
      </c>
      <c r="AS1" s="1076"/>
      <c r="AT1" s="1076"/>
      <c r="AU1" s="1076"/>
      <c r="AV1" s="1076"/>
      <c r="AW1" s="1076"/>
      <c r="AX1" s="1076"/>
      <c r="AY1" s="1076"/>
      <c r="AZ1" s="1076"/>
      <c r="BA1" s="1076"/>
      <c r="BB1" s="1076"/>
      <c r="BC1" s="1076"/>
      <c r="BD1" s="1076"/>
      <c r="BE1" s="1076"/>
      <c r="BF1" s="1076"/>
      <c r="BG1" s="1076"/>
      <c r="BH1" s="1076"/>
      <c r="BI1" s="1076"/>
      <c r="BJ1" s="1077"/>
    </row>
    <row r="2" spans="2:62" s="118" customFormat="1" ht="19">
      <c r="B2" s="1069" t="s">
        <v>1658</v>
      </c>
      <c r="C2" s="1070"/>
      <c r="D2" s="1070"/>
      <c r="E2" s="1071"/>
      <c r="G2" s="1069" t="s">
        <v>196</v>
      </c>
      <c r="H2" s="1070"/>
      <c r="I2" s="1070"/>
      <c r="J2" s="1071"/>
      <c r="L2" s="1069" t="s">
        <v>1659</v>
      </c>
      <c r="M2" s="1070"/>
      <c r="N2" s="1070"/>
      <c r="O2" s="1071"/>
      <c r="Q2" s="1069" t="s">
        <v>1660</v>
      </c>
      <c r="R2" s="1070"/>
      <c r="S2" s="1070"/>
      <c r="T2" s="1071"/>
      <c r="W2" s="1069" t="s">
        <v>1658</v>
      </c>
      <c r="X2" s="1070"/>
      <c r="Y2" s="1070"/>
      <c r="Z2" s="1071"/>
      <c r="AB2" s="1069" t="s">
        <v>196</v>
      </c>
      <c r="AC2" s="1070"/>
      <c r="AD2" s="1070"/>
      <c r="AE2" s="1071"/>
      <c r="AG2" s="1069" t="s">
        <v>1659</v>
      </c>
      <c r="AH2" s="1070"/>
      <c r="AI2" s="1070"/>
      <c r="AJ2" s="1071"/>
      <c r="AL2" s="1069" t="s">
        <v>1660</v>
      </c>
      <c r="AM2" s="1070"/>
      <c r="AN2" s="1070"/>
      <c r="AO2" s="1071"/>
      <c r="AR2" s="1069" t="s">
        <v>1658</v>
      </c>
      <c r="AS2" s="1070"/>
      <c r="AT2" s="1070"/>
      <c r="AU2" s="1071"/>
      <c r="AW2" s="1069" t="s">
        <v>196</v>
      </c>
      <c r="AX2" s="1070"/>
      <c r="AY2" s="1070"/>
      <c r="AZ2" s="1071"/>
      <c r="BB2" s="1069" t="s">
        <v>1659</v>
      </c>
      <c r="BC2" s="1070"/>
      <c r="BD2" s="1070"/>
      <c r="BE2" s="1071"/>
      <c r="BG2" s="1069" t="s">
        <v>1660</v>
      </c>
      <c r="BH2" s="1070"/>
      <c r="BI2" s="1070"/>
      <c r="BJ2" s="1071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580</v>
      </c>
      <c r="D4" s="119" t="s">
        <v>1327</v>
      </c>
      <c r="E4" s="125">
        <v>7</v>
      </c>
      <c r="G4" s="119">
        <v>1</v>
      </c>
      <c r="H4" s="119" t="s">
        <v>165</v>
      </c>
      <c r="I4" s="119" t="s">
        <v>1317</v>
      </c>
      <c r="J4" s="121">
        <v>2.3641642472003319</v>
      </c>
      <c r="L4" s="119">
        <v>1</v>
      </c>
      <c r="M4" s="119" t="s">
        <v>580</v>
      </c>
      <c r="N4" s="119" t="s">
        <v>1327</v>
      </c>
      <c r="O4" s="121">
        <v>0.90269480950484537</v>
      </c>
      <c r="Q4" s="119">
        <v>1</v>
      </c>
      <c r="R4" s="119" t="s">
        <v>339</v>
      </c>
      <c r="S4" s="119" t="s">
        <v>1323</v>
      </c>
      <c r="T4" s="125">
        <v>99</v>
      </c>
      <c r="W4" s="119">
        <v>1</v>
      </c>
      <c r="X4" s="119" t="s">
        <v>266</v>
      </c>
      <c r="Y4" s="119" t="s">
        <v>1350</v>
      </c>
      <c r="Z4" s="125">
        <v>8</v>
      </c>
      <c r="AB4" s="119">
        <v>1</v>
      </c>
      <c r="AC4" s="119" t="s">
        <v>165</v>
      </c>
      <c r="AD4" s="119" t="s">
        <v>1317</v>
      </c>
      <c r="AE4" s="121">
        <v>1.49</v>
      </c>
      <c r="AG4" s="119">
        <v>1</v>
      </c>
      <c r="AH4" s="119" t="s">
        <v>580</v>
      </c>
      <c r="AI4" s="119" t="s">
        <v>1327</v>
      </c>
      <c r="AJ4" s="121">
        <v>0.83</v>
      </c>
      <c r="AL4" s="119">
        <v>1</v>
      </c>
      <c r="AM4" s="119" t="s">
        <v>165</v>
      </c>
      <c r="AN4" s="119" t="s">
        <v>1317</v>
      </c>
      <c r="AO4" s="125">
        <v>103</v>
      </c>
      <c r="AR4" s="119">
        <v>1</v>
      </c>
      <c r="AS4" s="119" t="s">
        <v>226</v>
      </c>
      <c r="AT4" s="119" t="s">
        <v>1353</v>
      </c>
      <c r="AU4" s="125">
        <v>8</v>
      </c>
      <c r="AW4" s="119">
        <v>1</v>
      </c>
      <c r="AX4" s="119" t="s">
        <v>339</v>
      </c>
      <c r="AY4" s="119" t="s">
        <v>1323</v>
      </c>
      <c r="AZ4" s="121">
        <v>1.97</v>
      </c>
      <c r="BB4" s="119">
        <v>1</v>
      </c>
      <c r="BC4" s="119" t="s">
        <v>580</v>
      </c>
      <c r="BD4" s="119" t="s">
        <v>1327</v>
      </c>
      <c r="BE4" s="121">
        <v>0.82</v>
      </c>
      <c r="BG4" s="119">
        <v>1</v>
      </c>
      <c r="BH4" s="119" t="s">
        <v>339</v>
      </c>
      <c r="BI4" s="119" t="s">
        <v>1323</v>
      </c>
      <c r="BJ4" s="125">
        <v>97</v>
      </c>
    </row>
    <row r="5" spans="2:62" ht="19">
      <c r="C5" s="119" t="s">
        <v>165</v>
      </c>
      <c r="D5" s="119" t="s">
        <v>1317</v>
      </c>
      <c r="E5" s="125">
        <v>7</v>
      </c>
      <c r="G5">
        <v>2</v>
      </c>
      <c r="H5" t="s">
        <v>580</v>
      </c>
      <c r="I5" t="s">
        <v>1327</v>
      </c>
      <c r="J5" s="123">
        <v>2.6284348864994027</v>
      </c>
      <c r="L5">
        <v>2</v>
      </c>
      <c r="M5" t="s">
        <v>611</v>
      </c>
      <c r="N5" t="s">
        <v>1336</v>
      </c>
      <c r="O5" s="123">
        <v>1.0499475026248688</v>
      </c>
      <c r="Q5">
        <v>2</v>
      </c>
      <c r="R5" t="s">
        <v>226</v>
      </c>
      <c r="S5" t="s">
        <v>1353</v>
      </c>
      <c r="T5" s="126">
        <v>93</v>
      </c>
      <c r="X5" s="119" t="s">
        <v>394</v>
      </c>
      <c r="Y5" s="119" t="s">
        <v>1359</v>
      </c>
      <c r="Z5" s="125">
        <v>8</v>
      </c>
      <c r="AB5">
        <v>2</v>
      </c>
      <c r="AC5" t="s">
        <v>580</v>
      </c>
      <c r="AD5" t="s">
        <v>1327</v>
      </c>
      <c r="AE5" s="123">
        <v>1.52</v>
      </c>
      <c r="AG5">
        <v>2</v>
      </c>
      <c r="AH5" t="s">
        <v>165</v>
      </c>
      <c r="AI5" t="s">
        <v>1317</v>
      </c>
      <c r="AJ5" s="123">
        <v>0.84</v>
      </c>
      <c r="AL5">
        <v>2</v>
      </c>
      <c r="AM5" t="s">
        <v>685</v>
      </c>
      <c r="AN5" t="s">
        <v>1340</v>
      </c>
      <c r="AO5" s="126">
        <v>101</v>
      </c>
      <c r="AS5" s="119" t="s">
        <v>429</v>
      </c>
      <c r="AT5" s="119" t="s">
        <v>1662</v>
      </c>
      <c r="AU5" s="125">
        <v>8</v>
      </c>
      <c r="AW5">
        <v>2</v>
      </c>
      <c r="AX5" t="s">
        <v>685</v>
      </c>
      <c r="AY5" t="s">
        <v>1340</v>
      </c>
      <c r="AZ5" s="123">
        <v>2.12</v>
      </c>
      <c r="BB5">
        <v>2</v>
      </c>
      <c r="BC5" t="s">
        <v>165</v>
      </c>
      <c r="BD5" t="s">
        <v>1667</v>
      </c>
      <c r="BE5" s="123">
        <v>0.93</v>
      </c>
      <c r="BG5">
        <v>2</v>
      </c>
      <c r="BH5" t="s">
        <v>226</v>
      </c>
      <c r="BI5" t="s">
        <v>1353</v>
      </c>
      <c r="BJ5" s="126">
        <v>93</v>
      </c>
    </row>
    <row r="6" spans="2:62">
      <c r="B6">
        <v>3</v>
      </c>
      <c r="C6" t="s">
        <v>429</v>
      </c>
      <c r="D6" t="s">
        <v>1394</v>
      </c>
      <c r="E6" s="126">
        <v>6</v>
      </c>
      <c r="G6">
        <v>3</v>
      </c>
      <c r="H6" t="s">
        <v>611</v>
      </c>
      <c r="I6" t="s">
        <v>1346</v>
      </c>
      <c r="J6" s="123">
        <v>2.6441935982681306</v>
      </c>
      <c r="L6">
        <v>3</v>
      </c>
      <c r="M6" t="s">
        <v>165</v>
      </c>
      <c r="N6" t="s">
        <v>1317</v>
      </c>
      <c r="O6" s="123">
        <v>1.0783907092492742</v>
      </c>
      <c r="Q6">
        <v>3</v>
      </c>
      <c r="R6" t="s">
        <v>165</v>
      </c>
      <c r="S6" t="s">
        <v>1317</v>
      </c>
      <c r="T6" s="126">
        <v>90</v>
      </c>
      <c r="W6">
        <v>3</v>
      </c>
      <c r="X6" t="s">
        <v>266</v>
      </c>
      <c r="Y6" t="s">
        <v>1662</v>
      </c>
      <c r="Z6" s="126">
        <v>7</v>
      </c>
      <c r="AB6">
        <v>3</v>
      </c>
      <c r="AC6" t="s">
        <v>300</v>
      </c>
      <c r="AD6" t="s">
        <v>1673</v>
      </c>
      <c r="AE6" s="123">
        <v>2.1</v>
      </c>
      <c r="AG6">
        <v>3</v>
      </c>
      <c r="AH6" t="s">
        <v>300</v>
      </c>
      <c r="AI6" t="s">
        <v>1673</v>
      </c>
      <c r="AJ6" s="123">
        <v>1</v>
      </c>
      <c r="AL6">
        <v>3</v>
      </c>
      <c r="AM6" t="s">
        <v>394</v>
      </c>
      <c r="AN6" t="s">
        <v>1359</v>
      </c>
      <c r="AO6" s="126">
        <v>91</v>
      </c>
      <c r="AR6">
        <v>3</v>
      </c>
      <c r="AS6" t="s">
        <v>339</v>
      </c>
      <c r="AT6" t="s">
        <v>1323</v>
      </c>
      <c r="AU6" s="126">
        <v>7</v>
      </c>
      <c r="AW6">
        <v>3</v>
      </c>
      <c r="AX6" t="s">
        <v>580</v>
      </c>
      <c r="AY6" t="s">
        <v>1327</v>
      </c>
      <c r="AZ6" s="123">
        <v>2.4500000000000002</v>
      </c>
      <c r="BB6">
        <v>3</v>
      </c>
      <c r="BC6" t="s">
        <v>165</v>
      </c>
      <c r="BD6" t="s">
        <v>1317</v>
      </c>
      <c r="BE6" s="123">
        <v>0.98</v>
      </c>
      <c r="BG6">
        <v>3</v>
      </c>
      <c r="BH6" t="s">
        <v>165</v>
      </c>
      <c r="BI6" t="s">
        <v>1317</v>
      </c>
      <c r="BJ6" s="126">
        <v>92</v>
      </c>
    </row>
    <row r="7" spans="2:62">
      <c r="C7" t="s">
        <v>611</v>
      </c>
      <c r="D7" t="s">
        <v>1346</v>
      </c>
      <c r="E7" s="126">
        <v>6</v>
      </c>
      <c r="G7">
        <v>4</v>
      </c>
      <c r="H7" t="s">
        <v>611</v>
      </c>
      <c r="I7" t="s">
        <v>1336</v>
      </c>
      <c r="J7" s="123">
        <v>2.6998650067496626</v>
      </c>
      <c r="L7">
        <v>4</v>
      </c>
      <c r="M7" t="s">
        <v>539</v>
      </c>
      <c r="N7" t="s">
        <v>1835</v>
      </c>
      <c r="O7" s="123">
        <v>1.113916530521313</v>
      </c>
      <c r="Q7">
        <v>4</v>
      </c>
      <c r="R7" t="s">
        <v>580</v>
      </c>
      <c r="S7" t="s">
        <v>1327</v>
      </c>
      <c r="T7" s="126">
        <v>87</v>
      </c>
      <c r="W7">
        <v>4</v>
      </c>
      <c r="X7" t="s">
        <v>266</v>
      </c>
      <c r="Y7" t="s">
        <v>1679</v>
      </c>
      <c r="Z7" s="126">
        <v>6</v>
      </c>
      <c r="AB7">
        <v>4</v>
      </c>
      <c r="AC7" t="s">
        <v>266</v>
      </c>
      <c r="AD7" t="s">
        <v>1350</v>
      </c>
      <c r="AE7" s="123">
        <v>2.23</v>
      </c>
      <c r="AG7">
        <v>4</v>
      </c>
      <c r="AH7" t="s">
        <v>685</v>
      </c>
      <c r="AI7" t="s">
        <v>1340</v>
      </c>
      <c r="AJ7" s="123">
        <v>1.02</v>
      </c>
      <c r="AL7">
        <v>4</v>
      </c>
      <c r="AM7" t="s">
        <v>266</v>
      </c>
      <c r="AN7" t="s">
        <v>1679</v>
      </c>
      <c r="AO7" s="126">
        <v>89</v>
      </c>
      <c r="AS7" t="s">
        <v>685</v>
      </c>
      <c r="AT7" t="s">
        <v>1674</v>
      </c>
      <c r="AU7" s="126">
        <v>7</v>
      </c>
      <c r="AW7">
        <v>4</v>
      </c>
      <c r="AX7" t="s">
        <v>226</v>
      </c>
      <c r="AY7" t="s">
        <v>1353</v>
      </c>
      <c r="AZ7" s="123">
        <v>2.7</v>
      </c>
      <c r="BB7">
        <v>4</v>
      </c>
      <c r="BC7" t="s">
        <v>611</v>
      </c>
      <c r="BD7" t="s">
        <v>1675</v>
      </c>
      <c r="BE7" s="123">
        <v>0.99</v>
      </c>
      <c r="BG7">
        <v>4</v>
      </c>
      <c r="BH7" t="s">
        <v>394</v>
      </c>
      <c r="BI7" t="s">
        <v>1682</v>
      </c>
      <c r="BJ7" s="126">
        <v>89</v>
      </c>
    </row>
    <row r="8" spans="2:62">
      <c r="C8" t="s">
        <v>502</v>
      </c>
      <c r="D8" t="s">
        <v>1684</v>
      </c>
      <c r="E8" s="126">
        <v>6</v>
      </c>
      <c r="G8">
        <v>5</v>
      </c>
      <c r="H8" t="s">
        <v>226</v>
      </c>
      <c r="I8" t="s">
        <v>1353</v>
      </c>
      <c r="J8" s="123">
        <v>2.7929658637505539</v>
      </c>
      <c r="M8" t="s">
        <v>429</v>
      </c>
      <c r="N8" t="s">
        <v>1394</v>
      </c>
      <c r="O8" s="123">
        <v>1.113916530521313</v>
      </c>
      <c r="Q8">
        <v>5</v>
      </c>
      <c r="R8" t="s">
        <v>463</v>
      </c>
      <c r="S8" t="s">
        <v>1677</v>
      </c>
      <c r="T8" s="126">
        <v>84</v>
      </c>
      <c r="X8" t="s">
        <v>226</v>
      </c>
      <c r="Y8" t="s">
        <v>1836</v>
      </c>
      <c r="Z8" s="126">
        <v>6</v>
      </c>
      <c r="AB8">
        <v>5</v>
      </c>
      <c r="AC8" t="s">
        <v>685</v>
      </c>
      <c r="AD8" t="s">
        <v>1340</v>
      </c>
      <c r="AE8" s="123">
        <v>2.29</v>
      </c>
      <c r="AG8">
        <v>5</v>
      </c>
      <c r="AH8" t="s">
        <v>165</v>
      </c>
      <c r="AI8" t="s">
        <v>1790</v>
      </c>
      <c r="AJ8" s="123">
        <v>1.02</v>
      </c>
      <c r="AL8">
        <v>5</v>
      </c>
      <c r="AM8" t="s">
        <v>580</v>
      </c>
      <c r="AN8" t="s">
        <v>1327</v>
      </c>
      <c r="AO8" s="126">
        <v>88</v>
      </c>
      <c r="AS8" t="s">
        <v>226</v>
      </c>
      <c r="AT8" t="s">
        <v>1680</v>
      </c>
      <c r="AU8" s="126">
        <v>7</v>
      </c>
      <c r="AW8">
        <v>5</v>
      </c>
      <c r="AX8" t="s">
        <v>611</v>
      </c>
      <c r="AY8" t="s">
        <v>1362</v>
      </c>
      <c r="AZ8" s="123">
        <v>2.77</v>
      </c>
      <c r="BB8">
        <v>5</v>
      </c>
      <c r="BC8" t="s">
        <v>611</v>
      </c>
      <c r="BD8" t="s">
        <v>1362</v>
      </c>
      <c r="BE8" s="123">
        <v>1.06</v>
      </c>
      <c r="BH8" t="s">
        <v>539</v>
      </c>
      <c r="BI8" t="s">
        <v>1666</v>
      </c>
      <c r="BJ8" s="126">
        <v>89</v>
      </c>
    </row>
    <row r="9" spans="2:62">
      <c r="C9" t="s">
        <v>300</v>
      </c>
      <c r="D9" t="s">
        <v>1673</v>
      </c>
      <c r="E9" s="126">
        <v>6</v>
      </c>
      <c r="G9">
        <v>6</v>
      </c>
      <c r="H9" t="s">
        <v>394</v>
      </c>
      <c r="I9" t="s">
        <v>1359</v>
      </c>
      <c r="J9" s="123">
        <v>2.8559065339679792</v>
      </c>
      <c r="L9">
        <v>6</v>
      </c>
      <c r="M9" t="s">
        <v>339</v>
      </c>
      <c r="N9" t="s">
        <v>1323</v>
      </c>
      <c r="O9" s="123">
        <v>1.1230973843653023</v>
      </c>
      <c r="Q9">
        <v>6</v>
      </c>
      <c r="R9" t="s">
        <v>539</v>
      </c>
      <c r="S9" t="s">
        <v>1835</v>
      </c>
      <c r="T9" s="126">
        <v>82</v>
      </c>
      <c r="X9" t="s">
        <v>580</v>
      </c>
      <c r="Y9" t="s">
        <v>1327</v>
      </c>
      <c r="Z9" s="126">
        <v>6</v>
      </c>
      <c r="AB9">
        <v>6</v>
      </c>
      <c r="AC9" t="s">
        <v>339</v>
      </c>
      <c r="AD9" t="s">
        <v>1323</v>
      </c>
      <c r="AE9" s="123">
        <v>2.65</v>
      </c>
      <c r="AG9">
        <v>6</v>
      </c>
      <c r="AH9" t="s">
        <v>394</v>
      </c>
      <c r="AI9" t="s">
        <v>1359</v>
      </c>
      <c r="AJ9" s="123">
        <v>1.03</v>
      </c>
      <c r="AL9">
        <v>6</v>
      </c>
      <c r="AM9" t="s">
        <v>339</v>
      </c>
      <c r="AN9" t="s">
        <v>1323</v>
      </c>
      <c r="AO9" s="126">
        <v>85</v>
      </c>
      <c r="AR9">
        <v>6</v>
      </c>
      <c r="AS9" t="s">
        <v>685</v>
      </c>
      <c r="AT9" t="s">
        <v>1340</v>
      </c>
      <c r="AU9" s="126">
        <v>6</v>
      </c>
      <c r="AW9">
        <v>6</v>
      </c>
      <c r="AX9" t="s">
        <v>394</v>
      </c>
      <c r="AY9" t="s">
        <v>1359</v>
      </c>
      <c r="AZ9" s="123">
        <v>2.94</v>
      </c>
      <c r="BB9">
        <v>6</v>
      </c>
      <c r="BC9" t="s">
        <v>685</v>
      </c>
      <c r="BD9" t="s">
        <v>1340</v>
      </c>
      <c r="BE9" s="123">
        <v>1.07</v>
      </c>
      <c r="BG9">
        <v>6</v>
      </c>
      <c r="BH9" t="s">
        <v>580</v>
      </c>
      <c r="BI9" t="s">
        <v>1788</v>
      </c>
      <c r="BJ9" s="126">
        <v>86</v>
      </c>
    </row>
    <row r="10" spans="2:62">
      <c r="C10" t="s">
        <v>463</v>
      </c>
      <c r="D10" t="s">
        <v>1837</v>
      </c>
      <c r="E10" s="126">
        <v>6</v>
      </c>
      <c r="G10">
        <v>7</v>
      </c>
      <c r="H10" t="s">
        <v>539</v>
      </c>
      <c r="I10" t="s">
        <v>1835</v>
      </c>
      <c r="J10" s="123">
        <v>2.940739640576266</v>
      </c>
      <c r="L10">
        <v>7</v>
      </c>
      <c r="M10" t="s">
        <v>226</v>
      </c>
      <c r="N10" t="s">
        <v>1353</v>
      </c>
      <c r="O10" s="123">
        <v>1.1378749815280036</v>
      </c>
      <c r="R10" t="s">
        <v>394</v>
      </c>
      <c r="S10" t="s">
        <v>1359</v>
      </c>
      <c r="T10" s="126">
        <v>82</v>
      </c>
      <c r="X10" t="s">
        <v>165</v>
      </c>
      <c r="Y10" t="s">
        <v>1838</v>
      </c>
      <c r="Z10" s="126">
        <v>6</v>
      </c>
      <c r="AB10">
        <v>7</v>
      </c>
      <c r="AC10" t="s">
        <v>165</v>
      </c>
      <c r="AD10" t="s">
        <v>1790</v>
      </c>
      <c r="AE10" s="123">
        <v>2.66</v>
      </c>
      <c r="AG10">
        <v>7</v>
      </c>
      <c r="AH10" t="s">
        <v>266</v>
      </c>
      <c r="AI10" t="s">
        <v>1350</v>
      </c>
      <c r="AJ10" s="123">
        <v>1.07</v>
      </c>
      <c r="AL10">
        <v>7</v>
      </c>
      <c r="AM10" t="s">
        <v>539</v>
      </c>
      <c r="AN10" t="s">
        <v>1839</v>
      </c>
      <c r="AO10" s="126">
        <v>81</v>
      </c>
      <c r="AS10" t="s">
        <v>165</v>
      </c>
      <c r="AT10" t="s">
        <v>1667</v>
      </c>
      <c r="AU10" s="126">
        <v>6</v>
      </c>
      <c r="AW10">
        <v>7</v>
      </c>
      <c r="AX10" t="s">
        <v>539</v>
      </c>
      <c r="AY10" t="s">
        <v>1603</v>
      </c>
      <c r="AZ10" s="123">
        <v>2.96</v>
      </c>
      <c r="BB10">
        <v>7</v>
      </c>
      <c r="BC10" t="s">
        <v>394</v>
      </c>
      <c r="BD10" t="s">
        <v>1359</v>
      </c>
      <c r="BE10" s="123">
        <v>1.0900000000000001</v>
      </c>
      <c r="BG10">
        <v>7</v>
      </c>
      <c r="BH10" t="s">
        <v>539</v>
      </c>
      <c r="BI10" t="s">
        <v>1603</v>
      </c>
      <c r="BJ10" s="126">
        <v>80</v>
      </c>
    </row>
    <row r="11" spans="2:62">
      <c r="C11" t="s">
        <v>394</v>
      </c>
      <c r="D11" t="s">
        <v>1735</v>
      </c>
      <c r="E11" s="126">
        <v>6</v>
      </c>
      <c r="G11">
        <v>8</v>
      </c>
      <c r="H11" t="s">
        <v>429</v>
      </c>
      <c r="I11" t="s">
        <v>1394</v>
      </c>
      <c r="J11" s="123">
        <v>3.2080796079013814</v>
      </c>
      <c r="M11" t="s">
        <v>165</v>
      </c>
      <c r="N11" t="s">
        <v>1840</v>
      </c>
      <c r="O11" s="123">
        <v>1.1437095972153157</v>
      </c>
      <c r="Q11">
        <v>8</v>
      </c>
      <c r="R11" t="s">
        <v>580</v>
      </c>
      <c r="S11" t="s">
        <v>1788</v>
      </c>
      <c r="T11" s="126">
        <v>80</v>
      </c>
      <c r="X11" t="s">
        <v>339</v>
      </c>
      <c r="Y11" t="s">
        <v>1841</v>
      </c>
      <c r="Z11" s="126">
        <v>6</v>
      </c>
      <c r="AB11">
        <v>8</v>
      </c>
      <c r="AC11" t="s">
        <v>339</v>
      </c>
      <c r="AD11" t="s">
        <v>1706</v>
      </c>
      <c r="AE11" s="123">
        <v>2.7</v>
      </c>
      <c r="AG11">
        <v>8</v>
      </c>
      <c r="AH11" t="s">
        <v>339</v>
      </c>
      <c r="AI11" t="s">
        <v>1323</v>
      </c>
      <c r="AJ11" s="123">
        <v>1.07</v>
      </c>
      <c r="AL11">
        <v>8</v>
      </c>
      <c r="AM11" t="s">
        <v>339</v>
      </c>
      <c r="AN11" t="s">
        <v>1706</v>
      </c>
      <c r="AO11" s="126">
        <v>78</v>
      </c>
      <c r="AS11" t="s">
        <v>165</v>
      </c>
      <c r="AT11" t="s">
        <v>1842</v>
      </c>
      <c r="AU11" s="126">
        <v>6</v>
      </c>
      <c r="AW11">
        <v>8</v>
      </c>
      <c r="AX11" t="s">
        <v>165</v>
      </c>
      <c r="AY11" t="s">
        <v>1317</v>
      </c>
      <c r="AZ11" s="123">
        <v>3.18</v>
      </c>
      <c r="BB11">
        <v>8</v>
      </c>
      <c r="BC11" t="s">
        <v>226</v>
      </c>
      <c r="BD11" t="s">
        <v>1353</v>
      </c>
      <c r="BE11" s="123">
        <v>1.1000000000000001</v>
      </c>
      <c r="BH11" t="s">
        <v>580</v>
      </c>
      <c r="BI11" t="s">
        <v>1721</v>
      </c>
      <c r="BJ11" s="126">
        <v>80</v>
      </c>
    </row>
    <row r="12" spans="2:62">
      <c r="C12" t="s">
        <v>226</v>
      </c>
      <c r="D12" t="s">
        <v>1843</v>
      </c>
      <c r="E12" s="126">
        <v>6</v>
      </c>
      <c r="G12">
        <v>9</v>
      </c>
      <c r="H12" t="s">
        <v>502</v>
      </c>
      <c r="I12" t="s">
        <v>1684</v>
      </c>
      <c r="J12" s="123">
        <v>3.2857142857142856</v>
      </c>
      <c r="L12">
        <v>9</v>
      </c>
      <c r="M12" t="s">
        <v>394</v>
      </c>
      <c r="N12" t="s">
        <v>1359</v>
      </c>
      <c r="O12" s="123">
        <v>1.1683254002596279</v>
      </c>
      <c r="R12" t="s">
        <v>611</v>
      </c>
      <c r="S12" t="s">
        <v>1737</v>
      </c>
      <c r="T12" s="126">
        <v>80</v>
      </c>
      <c r="X12" t="s">
        <v>300</v>
      </c>
      <c r="Y12" t="s">
        <v>1768</v>
      </c>
      <c r="Z12" s="126">
        <v>6</v>
      </c>
      <c r="AB12">
        <v>9</v>
      </c>
      <c r="AC12" t="s">
        <v>394</v>
      </c>
      <c r="AD12" t="s">
        <v>1682</v>
      </c>
      <c r="AE12" s="123">
        <v>2.78</v>
      </c>
      <c r="AG12">
        <v>9</v>
      </c>
      <c r="AH12" t="s">
        <v>394</v>
      </c>
      <c r="AI12" t="s">
        <v>1682</v>
      </c>
      <c r="AJ12" s="123">
        <v>1.08</v>
      </c>
      <c r="AL12">
        <v>9</v>
      </c>
      <c r="AM12" t="s">
        <v>539</v>
      </c>
      <c r="AN12" t="s">
        <v>1603</v>
      </c>
      <c r="AO12" s="126">
        <v>75</v>
      </c>
      <c r="AR12">
        <v>9</v>
      </c>
      <c r="AS12" t="s">
        <v>580</v>
      </c>
      <c r="AT12" t="s">
        <v>1327</v>
      </c>
      <c r="AU12" s="126">
        <v>5</v>
      </c>
      <c r="AX12" t="s">
        <v>165</v>
      </c>
      <c r="AY12" t="s">
        <v>1667</v>
      </c>
      <c r="AZ12" s="123">
        <v>3.18</v>
      </c>
      <c r="BB12">
        <v>9</v>
      </c>
      <c r="BC12" t="s">
        <v>339</v>
      </c>
      <c r="BD12" t="s">
        <v>1323</v>
      </c>
      <c r="BE12" s="123">
        <v>1.1100000000000001</v>
      </c>
      <c r="BG12">
        <v>9</v>
      </c>
      <c r="BH12" t="s">
        <v>580</v>
      </c>
      <c r="BI12" t="s">
        <v>1327</v>
      </c>
      <c r="BJ12" s="126">
        <v>79</v>
      </c>
    </row>
    <row r="13" spans="2:62">
      <c r="D13" t="s">
        <v>1614</v>
      </c>
      <c r="E13" s="126">
        <v>6</v>
      </c>
      <c r="G13">
        <v>10</v>
      </c>
      <c r="H13" t="s">
        <v>580</v>
      </c>
      <c r="I13" t="s">
        <v>1788</v>
      </c>
      <c r="J13" s="123">
        <v>3.3417495915639388</v>
      </c>
      <c r="L13">
        <v>10</v>
      </c>
      <c r="M13" t="s">
        <v>580</v>
      </c>
      <c r="N13" t="s">
        <v>1788</v>
      </c>
      <c r="O13" s="123">
        <v>1.1881776325560671</v>
      </c>
      <c r="Q13">
        <v>10</v>
      </c>
      <c r="R13" t="s">
        <v>394</v>
      </c>
      <c r="S13" t="s">
        <v>1682</v>
      </c>
      <c r="T13" s="126">
        <v>78</v>
      </c>
      <c r="W13">
        <v>10</v>
      </c>
      <c r="Y13" t="s">
        <v>1791</v>
      </c>
      <c r="Z13" s="126">
        <v>5</v>
      </c>
      <c r="AB13">
        <v>10</v>
      </c>
      <c r="AC13" t="s">
        <v>266</v>
      </c>
      <c r="AD13" t="s">
        <v>1679</v>
      </c>
      <c r="AE13" s="123">
        <v>2.8</v>
      </c>
      <c r="AG13">
        <v>10</v>
      </c>
      <c r="AH13" t="s">
        <v>539</v>
      </c>
      <c r="AI13" t="s">
        <v>1839</v>
      </c>
      <c r="AJ13" s="123">
        <v>1.0900000000000001</v>
      </c>
      <c r="AL13">
        <v>10</v>
      </c>
      <c r="AN13" t="s">
        <v>1614</v>
      </c>
      <c r="AO13" s="126">
        <v>73</v>
      </c>
      <c r="AT13" t="s">
        <v>1613</v>
      </c>
      <c r="AU13" s="126">
        <v>5</v>
      </c>
      <c r="AW13">
        <v>10</v>
      </c>
      <c r="AX13" t="s">
        <v>685</v>
      </c>
      <c r="AY13" t="s">
        <v>1674</v>
      </c>
      <c r="AZ13" s="123">
        <v>3.23</v>
      </c>
      <c r="BC13" t="s">
        <v>611</v>
      </c>
      <c r="BD13" t="s">
        <v>1844</v>
      </c>
      <c r="BE13" s="123">
        <v>1.1100000000000001</v>
      </c>
      <c r="BG13">
        <v>10</v>
      </c>
      <c r="BH13" t="s">
        <v>394</v>
      </c>
      <c r="BI13" t="s">
        <v>1359</v>
      </c>
      <c r="BJ13" s="126">
        <v>78</v>
      </c>
    </row>
    <row r="15" spans="2:62" s="118" customFormat="1" ht="19">
      <c r="B15" s="1069" t="s">
        <v>2175</v>
      </c>
      <c r="C15" s="1070"/>
      <c r="D15" s="1070"/>
      <c r="E15" s="1071"/>
      <c r="G15" s="1069" t="s">
        <v>1687</v>
      </c>
      <c r="H15" s="1070"/>
      <c r="I15" s="1070"/>
      <c r="J15" s="1071"/>
      <c r="L15" s="1069" t="s">
        <v>1688</v>
      </c>
      <c r="M15" s="1070"/>
      <c r="N15" s="1070"/>
      <c r="O15" s="1071"/>
      <c r="Q15" s="1069" t="s">
        <v>1689</v>
      </c>
      <c r="R15" s="1070"/>
      <c r="S15" s="1070"/>
      <c r="T15" s="1071"/>
      <c r="W15" s="1069" t="s">
        <v>2175</v>
      </c>
      <c r="X15" s="1070"/>
      <c r="Y15" s="1070"/>
      <c r="Z15" s="1071"/>
      <c r="AB15" s="1069" t="s">
        <v>1687</v>
      </c>
      <c r="AC15" s="1070"/>
      <c r="AD15" s="1070"/>
      <c r="AE15" s="1071"/>
      <c r="AG15" s="1069" t="s">
        <v>1688</v>
      </c>
      <c r="AH15" s="1070"/>
      <c r="AI15" s="1070"/>
      <c r="AJ15" s="1071"/>
      <c r="AL15" s="1069" t="s">
        <v>1689</v>
      </c>
      <c r="AM15" s="1070"/>
      <c r="AN15" s="1070"/>
      <c r="AO15" s="1071"/>
      <c r="AR15" s="1069" t="s">
        <v>2175</v>
      </c>
      <c r="AS15" s="1070"/>
      <c r="AT15" s="1070"/>
      <c r="AU15" s="1071"/>
      <c r="AW15" s="1069" t="s">
        <v>1687</v>
      </c>
      <c r="AX15" s="1070"/>
      <c r="AY15" s="1070"/>
      <c r="AZ15" s="1071"/>
      <c r="BB15" s="1069" t="s">
        <v>1688</v>
      </c>
      <c r="BC15" s="1070"/>
      <c r="BD15" s="1070"/>
      <c r="BE15" s="1071"/>
      <c r="BG15" s="1069" t="s">
        <v>1689</v>
      </c>
      <c r="BH15" s="1070"/>
      <c r="BI15" s="1070"/>
      <c r="BJ15" s="1071"/>
    </row>
    <row r="16" spans="2:62" s="141" customFormat="1">
      <c r="B16" s="359"/>
      <c r="C16" s="360" t="s">
        <v>8</v>
      </c>
      <c r="D16" s="360" t="s">
        <v>1314</v>
      </c>
      <c r="E16" s="360" t="s">
        <v>164</v>
      </c>
      <c r="G16" s="359"/>
      <c r="H16" s="360" t="s">
        <v>8</v>
      </c>
      <c r="I16" s="360" t="s">
        <v>1314</v>
      </c>
      <c r="J16" s="360" t="s">
        <v>164</v>
      </c>
      <c r="L16" s="359"/>
      <c r="M16" s="360" t="s">
        <v>8</v>
      </c>
      <c r="N16" s="360" t="s">
        <v>1314</v>
      </c>
      <c r="O16" s="360" t="s">
        <v>164</v>
      </c>
      <c r="Q16" s="359"/>
      <c r="R16" s="360" t="s">
        <v>8</v>
      </c>
      <c r="S16" s="360" t="s">
        <v>1314</v>
      </c>
      <c r="T16" s="359" t="s">
        <v>164</v>
      </c>
      <c r="W16" s="359"/>
      <c r="X16" s="360" t="s">
        <v>8</v>
      </c>
      <c r="Y16" s="360" t="s">
        <v>1314</v>
      </c>
      <c r="Z16" s="360" t="s">
        <v>164</v>
      </c>
      <c r="AB16" s="359"/>
      <c r="AC16" s="360" t="s">
        <v>8</v>
      </c>
      <c r="AD16" s="360" t="s">
        <v>1314</v>
      </c>
      <c r="AE16" s="360" t="s">
        <v>164</v>
      </c>
      <c r="AG16" s="359"/>
      <c r="AH16" s="360" t="s">
        <v>8</v>
      </c>
      <c r="AI16" s="360" t="s">
        <v>1314</v>
      </c>
      <c r="AJ16" s="360" t="s">
        <v>164</v>
      </c>
      <c r="AL16" s="359"/>
      <c r="AM16" s="360" t="s">
        <v>8</v>
      </c>
      <c r="AN16" s="360" t="s">
        <v>1314</v>
      </c>
      <c r="AO16" s="359" t="s">
        <v>164</v>
      </c>
      <c r="AR16" s="359"/>
      <c r="AS16" s="360" t="s">
        <v>8</v>
      </c>
      <c r="AT16" s="360" t="s">
        <v>1314</v>
      </c>
      <c r="AU16" s="360" t="s">
        <v>164</v>
      </c>
      <c r="AW16" s="359"/>
      <c r="AX16" s="360" t="s">
        <v>8</v>
      </c>
      <c r="AY16" s="360" t="s">
        <v>1314</v>
      </c>
      <c r="AZ16" s="360" t="s">
        <v>164</v>
      </c>
      <c r="BB16" s="359"/>
      <c r="BC16" s="360" t="s">
        <v>8</v>
      </c>
      <c r="BD16" s="360" t="s">
        <v>1314</v>
      </c>
      <c r="BE16" s="360" t="s">
        <v>164</v>
      </c>
      <c r="BG16" s="359"/>
      <c r="BH16" s="360" t="s">
        <v>8</v>
      </c>
      <c r="BI16" s="360" t="s">
        <v>1314</v>
      </c>
      <c r="BJ16" s="359" t="s">
        <v>164</v>
      </c>
    </row>
    <row r="17" spans="2:62" s="119" customFormat="1" ht="19">
      <c r="B17" s="119">
        <v>1</v>
      </c>
      <c r="C17" s="119" t="s">
        <v>580</v>
      </c>
      <c r="D17" s="119" t="s">
        <v>1327</v>
      </c>
      <c r="E17" s="127">
        <v>75.33</v>
      </c>
      <c r="G17" s="119">
        <v>1</v>
      </c>
      <c r="H17" s="119" t="s">
        <v>611</v>
      </c>
      <c r="I17" s="119" t="s">
        <v>1336</v>
      </c>
      <c r="J17" s="119">
        <v>9</v>
      </c>
      <c r="L17" s="119">
        <v>1</v>
      </c>
      <c r="M17" s="119" t="s">
        <v>165</v>
      </c>
      <c r="N17" s="119" t="s">
        <v>1317</v>
      </c>
      <c r="O17" s="119">
        <v>7</v>
      </c>
      <c r="Q17" s="119">
        <v>1</v>
      </c>
      <c r="R17" s="119" t="s">
        <v>165</v>
      </c>
      <c r="S17" s="119" t="s">
        <v>1317</v>
      </c>
      <c r="T17" s="119">
        <v>2</v>
      </c>
      <c r="W17" s="119">
        <v>1</v>
      </c>
      <c r="X17" s="119" t="s">
        <v>685</v>
      </c>
      <c r="Y17" s="119" t="s">
        <v>1340</v>
      </c>
      <c r="Z17" s="127">
        <v>78.67</v>
      </c>
      <c r="AB17" s="119">
        <v>1</v>
      </c>
      <c r="AC17" s="119" t="s">
        <v>580</v>
      </c>
      <c r="AD17" s="119" t="s">
        <v>1327</v>
      </c>
      <c r="AE17" s="119">
        <v>10</v>
      </c>
      <c r="AG17" s="119">
        <v>1</v>
      </c>
      <c r="AH17" s="119" t="s">
        <v>685</v>
      </c>
      <c r="AI17" s="119" t="s">
        <v>1340</v>
      </c>
      <c r="AJ17" s="119">
        <v>8</v>
      </c>
      <c r="AL17" s="119">
        <v>1</v>
      </c>
      <c r="AM17" s="119" t="s">
        <v>165</v>
      </c>
      <c r="AN17" s="119" t="s">
        <v>1317</v>
      </c>
      <c r="AO17" s="119">
        <v>2</v>
      </c>
      <c r="AR17" s="119">
        <v>1</v>
      </c>
      <c r="AS17" s="119" t="s">
        <v>611</v>
      </c>
      <c r="AT17" s="119" t="s">
        <v>1362</v>
      </c>
      <c r="AU17" s="127">
        <v>78</v>
      </c>
      <c r="AW17" s="119">
        <v>1</v>
      </c>
      <c r="AX17" s="119" t="s">
        <v>339</v>
      </c>
      <c r="AY17" s="119" t="s">
        <v>1323</v>
      </c>
      <c r="AZ17" s="119">
        <v>9</v>
      </c>
      <c r="BB17" s="119">
        <v>1</v>
      </c>
      <c r="BC17" s="119" t="s">
        <v>611</v>
      </c>
      <c r="BD17" s="119" t="s">
        <v>1362</v>
      </c>
      <c r="BE17" s="119">
        <v>7</v>
      </c>
      <c r="BG17" s="119">
        <v>1</v>
      </c>
      <c r="BH17" s="119" t="s">
        <v>339</v>
      </c>
      <c r="BI17" s="119" t="s">
        <v>1323</v>
      </c>
      <c r="BJ17" s="119">
        <v>2</v>
      </c>
    </row>
    <row r="18" spans="2:62" ht="19">
      <c r="B18">
        <v>2</v>
      </c>
      <c r="C18" t="s">
        <v>165</v>
      </c>
      <c r="D18" t="s">
        <v>1317</v>
      </c>
      <c r="E18" s="128">
        <v>72.33</v>
      </c>
      <c r="G18" s="506"/>
      <c r="H18" s="506" t="s">
        <v>226</v>
      </c>
      <c r="I18" s="506" t="s">
        <v>1690</v>
      </c>
      <c r="J18" s="506">
        <v>9</v>
      </c>
      <c r="L18">
        <v>2</v>
      </c>
      <c r="M18" t="s">
        <v>580</v>
      </c>
      <c r="N18" t="s">
        <v>1327</v>
      </c>
      <c r="O18">
        <v>6</v>
      </c>
      <c r="Q18">
        <v>2</v>
      </c>
      <c r="R18" s="505" t="s">
        <v>580</v>
      </c>
      <c r="S18" t="s">
        <v>1327</v>
      </c>
      <c r="T18" s="504">
        <v>1</v>
      </c>
      <c r="W18">
        <v>2</v>
      </c>
      <c r="X18" t="s">
        <v>165</v>
      </c>
      <c r="Y18" t="s">
        <v>1317</v>
      </c>
      <c r="Z18" s="128">
        <v>78.33</v>
      </c>
      <c r="AB18">
        <v>2</v>
      </c>
      <c r="AC18" t="s">
        <v>685</v>
      </c>
      <c r="AD18" t="s">
        <v>1340</v>
      </c>
      <c r="AE18">
        <v>9</v>
      </c>
      <c r="AG18">
        <v>2</v>
      </c>
      <c r="AH18" t="s">
        <v>580</v>
      </c>
      <c r="AI18" t="s">
        <v>1327</v>
      </c>
      <c r="AJ18">
        <v>7</v>
      </c>
      <c r="AM18" s="119" t="s">
        <v>580</v>
      </c>
      <c r="AN18" s="119" t="s">
        <v>1327</v>
      </c>
      <c r="AO18" s="119">
        <v>2</v>
      </c>
      <c r="AR18">
        <v>2</v>
      </c>
      <c r="AS18" t="s">
        <v>580</v>
      </c>
      <c r="AT18" t="s">
        <v>1327</v>
      </c>
      <c r="AU18" s="128">
        <v>73.3</v>
      </c>
      <c r="AX18" s="119" t="s">
        <v>717</v>
      </c>
      <c r="AY18" s="119" t="s">
        <v>1691</v>
      </c>
      <c r="AZ18" s="119">
        <v>9</v>
      </c>
      <c r="BB18">
        <v>2</v>
      </c>
      <c r="BC18" t="s">
        <v>580</v>
      </c>
      <c r="BD18" t="s">
        <v>1327</v>
      </c>
      <c r="BE18">
        <v>6</v>
      </c>
      <c r="BH18" s="119" t="s">
        <v>580</v>
      </c>
      <c r="BI18" s="119" t="s">
        <v>1327</v>
      </c>
      <c r="BJ18" s="119">
        <v>2</v>
      </c>
    </row>
    <row r="19" spans="2:62" ht="19">
      <c r="B19">
        <v>3</v>
      </c>
      <c r="C19" t="s">
        <v>463</v>
      </c>
      <c r="D19" t="s">
        <v>1677</v>
      </c>
      <c r="E19" s="128">
        <v>71</v>
      </c>
      <c r="G19">
        <v>3</v>
      </c>
      <c r="H19" t="s">
        <v>580</v>
      </c>
      <c r="I19" t="s">
        <v>1327</v>
      </c>
      <c r="J19">
        <v>8</v>
      </c>
      <c r="M19" t="s">
        <v>394</v>
      </c>
      <c r="N19" t="s">
        <v>1359</v>
      </c>
      <c r="O19">
        <v>6</v>
      </c>
      <c r="R19" s="505" t="s">
        <v>463</v>
      </c>
      <c r="S19" t="s">
        <v>1677</v>
      </c>
      <c r="T19" s="504">
        <v>1</v>
      </c>
      <c r="W19">
        <v>3</v>
      </c>
      <c r="X19" t="s">
        <v>580</v>
      </c>
      <c r="Y19" t="s">
        <v>1327</v>
      </c>
      <c r="Z19" s="128">
        <v>77</v>
      </c>
      <c r="AC19" t="s">
        <v>165</v>
      </c>
      <c r="AD19" t="s">
        <v>1317</v>
      </c>
      <c r="AE19">
        <v>9</v>
      </c>
      <c r="AH19" t="s">
        <v>394</v>
      </c>
      <c r="AI19" t="s">
        <v>1359</v>
      </c>
      <c r="AJ19">
        <v>7</v>
      </c>
      <c r="AM19" s="119" t="s">
        <v>266</v>
      </c>
      <c r="AN19" s="119" t="s">
        <v>1350</v>
      </c>
      <c r="AO19" s="119">
        <v>2</v>
      </c>
      <c r="AR19">
        <v>3</v>
      </c>
      <c r="AS19" t="s">
        <v>339</v>
      </c>
      <c r="AT19" t="s">
        <v>1323</v>
      </c>
      <c r="AU19" s="128">
        <v>73</v>
      </c>
      <c r="AW19">
        <v>3</v>
      </c>
      <c r="AX19" t="s">
        <v>685</v>
      </c>
      <c r="AY19" t="s">
        <v>1340</v>
      </c>
      <c r="AZ19">
        <v>8</v>
      </c>
      <c r="BC19" t="s">
        <v>394</v>
      </c>
      <c r="BD19" t="s">
        <v>1359</v>
      </c>
      <c r="BE19">
        <v>6</v>
      </c>
      <c r="BH19" s="119" t="s">
        <v>611</v>
      </c>
      <c r="BI19" s="119" t="s">
        <v>1362</v>
      </c>
      <c r="BJ19" s="119">
        <v>2</v>
      </c>
    </row>
    <row r="20" spans="2:62" ht="19">
      <c r="B20">
        <v>4</v>
      </c>
      <c r="C20" t="s">
        <v>394</v>
      </c>
      <c r="D20" t="s">
        <v>1359</v>
      </c>
      <c r="E20" s="128">
        <v>69.33</v>
      </c>
      <c r="H20" t="s">
        <v>394</v>
      </c>
      <c r="I20" t="s">
        <v>1359</v>
      </c>
      <c r="J20">
        <v>8</v>
      </c>
      <c r="M20" t="s">
        <v>429</v>
      </c>
      <c r="N20" t="s">
        <v>1394</v>
      </c>
      <c r="O20">
        <v>6</v>
      </c>
      <c r="R20" s="505" t="s">
        <v>339</v>
      </c>
      <c r="S20" t="s">
        <v>1323</v>
      </c>
      <c r="T20" s="504">
        <v>1</v>
      </c>
      <c r="W20">
        <v>4</v>
      </c>
      <c r="X20" t="s">
        <v>266</v>
      </c>
      <c r="Y20" t="s">
        <v>1350</v>
      </c>
      <c r="Z20" s="128">
        <v>72.67</v>
      </c>
      <c r="AC20" t="s">
        <v>339</v>
      </c>
      <c r="AD20" t="s">
        <v>1706</v>
      </c>
      <c r="AE20">
        <v>9</v>
      </c>
      <c r="AG20">
        <v>4</v>
      </c>
      <c r="AH20" t="s">
        <v>165</v>
      </c>
      <c r="AI20" t="s">
        <v>1317</v>
      </c>
      <c r="AJ20">
        <v>6</v>
      </c>
      <c r="AM20" s="119" t="s">
        <v>539</v>
      </c>
      <c r="AN20" s="119" t="s">
        <v>1839</v>
      </c>
      <c r="AO20" s="119">
        <v>2</v>
      </c>
      <c r="AR20">
        <v>4</v>
      </c>
      <c r="AS20" t="s">
        <v>165</v>
      </c>
      <c r="AT20" t="s">
        <v>1317</v>
      </c>
      <c r="AU20" s="128">
        <v>70.67</v>
      </c>
      <c r="AX20" t="s">
        <v>580</v>
      </c>
      <c r="AY20" t="s">
        <v>1327</v>
      </c>
      <c r="AZ20">
        <v>8</v>
      </c>
      <c r="BC20" t="s">
        <v>539</v>
      </c>
      <c r="BD20" t="s">
        <v>1603</v>
      </c>
      <c r="BE20">
        <v>6</v>
      </c>
      <c r="BH20" s="119" t="s">
        <v>165</v>
      </c>
      <c r="BI20" s="119" t="s">
        <v>1667</v>
      </c>
      <c r="BJ20" s="119">
        <v>2</v>
      </c>
    </row>
    <row r="21" spans="2:62" ht="19">
      <c r="B21">
        <v>5</v>
      </c>
      <c r="C21" t="s">
        <v>339</v>
      </c>
      <c r="D21" t="s">
        <v>1323</v>
      </c>
      <c r="E21" s="128">
        <v>67.67</v>
      </c>
      <c r="H21" t="s">
        <v>339</v>
      </c>
      <c r="I21" t="s">
        <v>1323</v>
      </c>
      <c r="J21">
        <v>8</v>
      </c>
      <c r="L21">
        <v>5</v>
      </c>
      <c r="M21" t="s">
        <v>611</v>
      </c>
      <c r="N21" t="s">
        <v>1336</v>
      </c>
      <c r="O21">
        <v>5</v>
      </c>
      <c r="R21" s="505" t="s">
        <v>226</v>
      </c>
      <c r="S21" t="s">
        <v>1353</v>
      </c>
      <c r="T21" s="504">
        <v>1</v>
      </c>
      <c r="W21">
        <v>5</v>
      </c>
      <c r="X21" t="s">
        <v>394</v>
      </c>
      <c r="Y21" t="s">
        <v>1682</v>
      </c>
      <c r="Z21" s="128">
        <v>71.33</v>
      </c>
      <c r="AC21" t="s">
        <v>611</v>
      </c>
      <c r="AD21" t="s">
        <v>1362</v>
      </c>
      <c r="AE21">
        <v>9</v>
      </c>
      <c r="AH21" t="s">
        <v>339</v>
      </c>
      <c r="AI21" t="s">
        <v>1706</v>
      </c>
      <c r="AJ21">
        <v>6</v>
      </c>
      <c r="AM21" s="119" t="s">
        <v>339</v>
      </c>
      <c r="AN21" s="119" t="s">
        <v>1845</v>
      </c>
      <c r="AO21" s="119">
        <v>2</v>
      </c>
      <c r="AR21">
        <v>5</v>
      </c>
      <c r="AS21" t="s">
        <v>394</v>
      </c>
      <c r="AT21" t="s">
        <v>1359</v>
      </c>
      <c r="AU21" s="128">
        <v>70.33</v>
      </c>
      <c r="AX21" t="s">
        <v>226</v>
      </c>
      <c r="AY21" t="s">
        <v>1353</v>
      </c>
      <c r="AZ21">
        <v>8</v>
      </c>
      <c r="BB21">
        <v>5</v>
      </c>
      <c r="BC21" t="s">
        <v>339</v>
      </c>
      <c r="BD21" t="s">
        <v>1323</v>
      </c>
      <c r="BE21">
        <v>5</v>
      </c>
      <c r="BH21" s="119" t="s">
        <v>685</v>
      </c>
      <c r="BI21" s="119" t="s">
        <v>1674</v>
      </c>
      <c r="BJ21" s="119">
        <v>2</v>
      </c>
    </row>
    <row r="22" spans="2:62" ht="19">
      <c r="C22" t="s">
        <v>226</v>
      </c>
      <c r="D22" t="s">
        <v>1353</v>
      </c>
      <c r="E22" s="128">
        <v>67.67</v>
      </c>
      <c r="H22" t="s">
        <v>226</v>
      </c>
      <c r="I22" t="s">
        <v>1353</v>
      </c>
      <c r="J22">
        <v>8</v>
      </c>
      <c r="M22" t="s">
        <v>339</v>
      </c>
      <c r="N22" t="s">
        <v>1323</v>
      </c>
      <c r="O22">
        <v>5</v>
      </c>
      <c r="R22" s="505" t="s">
        <v>539</v>
      </c>
      <c r="S22" t="s">
        <v>1835</v>
      </c>
      <c r="T22" s="504">
        <v>1</v>
      </c>
      <c r="W22">
        <v>6</v>
      </c>
      <c r="X22" t="s">
        <v>539</v>
      </c>
      <c r="Y22" t="s">
        <v>1839</v>
      </c>
      <c r="Z22" s="128">
        <v>70.33</v>
      </c>
      <c r="AC22" t="s">
        <v>165</v>
      </c>
      <c r="AD22" t="s">
        <v>1790</v>
      </c>
      <c r="AE22">
        <v>9</v>
      </c>
      <c r="AH22" t="s">
        <v>266</v>
      </c>
      <c r="AI22" t="s">
        <v>1350</v>
      </c>
      <c r="AJ22">
        <v>6</v>
      </c>
      <c r="AM22" s="119" t="s">
        <v>394</v>
      </c>
      <c r="AN22" s="119" t="s">
        <v>1682</v>
      </c>
      <c r="AO22" s="119">
        <v>2</v>
      </c>
      <c r="AR22">
        <v>6</v>
      </c>
      <c r="AS22" t="s">
        <v>226</v>
      </c>
      <c r="AT22" t="s">
        <v>1353</v>
      </c>
      <c r="AU22" s="128">
        <v>70</v>
      </c>
      <c r="AX22" t="s">
        <v>394</v>
      </c>
      <c r="AY22" t="s">
        <v>1359</v>
      </c>
      <c r="AZ22">
        <v>8</v>
      </c>
      <c r="BC22" t="s">
        <v>685</v>
      </c>
      <c r="BD22" t="s">
        <v>1340</v>
      </c>
      <c r="BE22">
        <v>5</v>
      </c>
      <c r="BG22">
        <v>2</v>
      </c>
      <c r="BH22" t="s">
        <v>685</v>
      </c>
      <c r="BI22" t="s">
        <v>1340</v>
      </c>
      <c r="BJ22">
        <v>1</v>
      </c>
    </row>
    <row r="23" spans="2:62" ht="19">
      <c r="B23">
        <v>7</v>
      </c>
      <c r="C23" t="s">
        <v>539</v>
      </c>
      <c r="D23" t="s">
        <v>1835</v>
      </c>
      <c r="E23" s="128">
        <v>67.33</v>
      </c>
      <c r="H23" t="s">
        <v>580</v>
      </c>
      <c r="I23" t="s">
        <v>1788</v>
      </c>
      <c r="J23">
        <v>8</v>
      </c>
      <c r="M23" t="s">
        <v>226</v>
      </c>
      <c r="N23" t="s">
        <v>1353</v>
      </c>
      <c r="O23">
        <v>5</v>
      </c>
      <c r="R23" s="505" t="s">
        <v>611</v>
      </c>
      <c r="S23" t="s">
        <v>1336</v>
      </c>
      <c r="T23" s="504">
        <v>1</v>
      </c>
      <c r="W23">
        <v>7</v>
      </c>
      <c r="X23" t="s">
        <v>394</v>
      </c>
      <c r="Y23" t="s">
        <v>1359</v>
      </c>
      <c r="Z23" s="128">
        <v>70</v>
      </c>
      <c r="AC23" t="s">
        <v>266</v>
      </c>
      <c r="AD23" t="s">
        <v>1715</v>
      </c>
      <c r="AE23">
        <v>9</v>
      </c>
      <c r="AH23" t="s">
        <v>539</v>
      </c>
      <c r="AI23" t="s">
        <v>1839</v>
      </c>
      <c r="AJ23">
        <v>6</v>
      </c>
      <c r="AM23" s="119" t="s">
        <v>539</v>
      </c>
      <c r="AN23" s="119" t="s">
        <v>1603</v>
      </c>
      <c r="AO23" s="119">
        <v>2</v>
      </c>
      <c r="AR23">
        <v>7</v>
      </c>
      <c r="AS23" t="s">
        <v>685</v>
      </c>
      <c r="AT23" t="s">
        <v>1674</v>
      </c>
      <c r="AU23" s="128">
        <v>69.67</v>
      </c>
      <c r="AX23" t="s">
        <v>165</v>
      </c>
      <c r="AY23" t="s">
        <v>1667</v>
      </c>
      <c r="AZ23">
        <v>8</v>
      </c>
      <c r="BC23" t="s">
        <v>226</v>
      </c>
      <c r="BD23" t="s">
        <v>1353</v>
      </c>
      <c r="BE23">
        <v>5</v>
      </c>
      <c r="BH23" t="s">
        <v>226</v>
      </c>
      <c r="BI23" t="s">
        <v>1353</v>
      </c>
      <c r="BJ23">
        <v>1</v>
      </c>
    </row>
    <row r="24" spans="2:62" ht="19">
      <c r="C24" t="s">
        <v>580</v>
      </c>
      <c r="D24" t="s">
        <v>1788</v>
      </c>
      <c r="E24" s="128">
        <v>67.33</v>
      </c>
      <c r="H24" t="s">
        <v>429</v>
      </c>
      <c r="I24" t="s">
        <v>1394</v>
      </c>
      <c r="J24">
        <v>8</v>
      </c>
      <c r="M24" t="s">
        <v>650</v>
      </c>
      <c r="N24" t="s">
        <v>1841</v>
      </c>
      <c r="O24">
        <v>5</v>
      </c>
      <c r="R24" s="505" t="s">
        <v>611</v>
      </c>
      <c r="S24" s="505" t="s">
        <v>1362</v>
      </c>
      <c r="T24" s="504">
        <v>1</v>
      </c>
      <c r="W24">
        <v>8</v>
      </c>
      <c r="X24" t="s">
        <v>339</v>
      </c>
      <c r="Y24" t="s">
        <v>1706</v>
      </c>
      <c r="Z24" s="128">
        <v>70</v>
      </c>
      <c r="AB24">
        <v>8</v>
      </c>
      <c r="AD24" t="s">
        <v>1613</v>
      </c>
      <c r="AE24">
        <v>8</v>
      </c>
      <c r="AH24" t="s">
        <v>300</v>
      </c>
      <c r="AI24" t="s">
        <v>1673</v>
      </c>
      <c r="AJ24">
        <v>6</v>
      </c>
      <c r="AL24">
        <v>8</v>
      </c>
      <c r="AN24" t="s">
        <v>1823</v>
      </c>
      <c r="AO24">
        <v>1</v>
      </c>
      <c r="AR24">
        <v>8</v>
      </c>
      <c r="AS24" t="s">
        <v>685</v>
      </c>
      <c r="AT24" t="s">
        <v>1340</v>
      </c>
      <c r="AU24" s="128">
        <v>68</v>
      </c>
      <c r="AX24" t="s">
        <v>685</v>
      </c>
      <c r="AY24" t="s">
        <v>1674</v>
      </c>
      <c r="AZ24">
        <v>8</v>
      </c>
      <c r="BC24" t="s">
        <v>165</v>
      </c>
      <c r="BD24" t="s">
        <v>1317</v>
      </c>
      <c r="BE24">
        <v>5</v>
      </c>
      <c r="BH24" t="s">
        <v>165</v>
      </c>
      <c r="BI24" t="s">
        <v>1317</v>
      </c>
      <c r="BJ24">
        <v>1</v>
      </c>
    </row>
    <row r="25" spans="2:62">
      <c r="B25">
        <v>9</v>
      </c>
      <c r="C25" t="s">
        <v>429</v>
      </c>
      <c r="D25" t="s">
        <v>1394</v>
      </c>
      <c r="E25" s="128">
        <v>67.33</v>
      </c>
      <c r="H25" t="s">
        <v>300</v>
      </c>
      <c r="I25" t="s">
        <v>1673</v>
      </c>
      <c r="J25">
        <v>8</v>
      </c>
      <c r="M25" t="s">
        <v>502</v>
      </c>
      <c r="N25" t="s">
        <v>1684</v>
      </c>
      <c r="O25">
        <v>5</v>
      </c>
      <c r="R25" s="505" t="s">
        <v>685</v>
      </c>
      <c r="S25" t="s">
        <v>1340</v>
      </c>
      <c r="T25" s="505">
        <v>1</v>
      </c>
      <c r="W25">
        <v>9</v>
      </c>
      <c r="X25" t="s">
        <v>611</v>
      </c>
      <c r="Y25" t="s">
        <v>1362</v>
      </c>
      <c r="Z25" s="128">
        <v>69.67</v>
      </c>
      <c r="AH25" t="s">
        <v>300</v>
      </c>
      <c r="AI25" t="s">
        <v>1739</v>
      </c>
      <c r="AJ25">
        <v>6</v>
      </c>
      <c r="AS25" t="s">
        <v>165</v>
      </c>
      <c r="AT25" t="s">
        <v>1667</v>
      </c>
      <c r="AU25" s="128">
        <v>68</v>
      </c>
      <c r="AX25" t="s">
        <v>429</v>
      </c>
      <c r="AY25" t="s">
        <v>1662</v>
      </c>
      <c r="AZ25">
        <v>8</v>
      </c>
      <c r="BC25" t="s">
        <v>165</v>
      </c>
      <c r="BD25" t="s">
        <v>1667</v>
      </c>
      <c r="BE25">
        <v>5</v>
      </c>
      <c r="BH25" t="s">
        <v>429</v>
      </c>
      <c r="BI25" t="s">
        <v>1662</v>
      </c>
      <c r="BJ25">
        <v>1</v>
      </c>
    </row>
    <row r="26" spans="2:62" ht="19">
      <c r="B26">
        <v>10</v>
      </c>
      <c r="C26" t="s">
        <v>611</v>
      </c>
      <c r="D26" t="s">
        <v>1336</v>
      </c>
      <c r="E26" s="128">
        <v>66.67</v>
      </c>
      <c r="G26">
        <v>10</v>
      </c>
      <c r="I26" t="s">
        <v>1629</v>
      </c>
      <c r="J26">
        <v>7</v>
      </c>
      <c r="N26" t="s">
        <v>1614</v>
      </c>
      <c r="O26">
        <v>5</v>
      </c>
      <c r="S26" t="s">
        <v>1614</v>
      </c>
      <c r="T26" s="504">
        <v>1</v>
      </c>
      <c r="W26">
        <v>10</v>
      </c>
      <c r="X26" t="s">
        <v>300</v>
      </c>
      <c r="Y26" t="s">
        <v>1673</v>
      </c>
      <c r="Z26" s="128">
        <v>68.67</v>
      </c>
      <c r="AG26">
        <v>10</v>
      </c>
      <c r="AI26" t="s">
        <v>1614</v>
      </c>
      <c r="AJ26">
        <v>5</v>
      </c>
      <c r="AR26">
        <v>10</v>
      </c>
      <c r="AT26" t="s">
        <v>1627</v>
      </c>
      <c r="AU26" s="128">
        <v>67.33</v>
      </c>
      <c r="AY26" t="s">
        <v>1614</v>
      </c>
      <c r="AZ26">
        <v>8</v>
      </c>
      <c r="BD26" t="s">
        <v>1614</v>
      </c>
      <c r="BE26">
        <v>5</v>
      </c>
      <c r="BI26" t="s">
        <v>1685</v>
      </c>
      <c r="BJ26">
        <v>1</v>
      </c>
    </row>
    <row r="28" spans="2:62" s="118" customFormat="1" ht="19">
      <c r="B28" s="1069" t="s">
        <v>1612</v>
      </c>
      <c r="C28" s="1070"/>
      <c r="D28" s="1070"/>
      <c r="E28" s="1071"/>
      <c r="G28" s="1069" t="s">
        <v>1611</v>
      </c>
      <c r="H28" s="1070"/>
      <c r="I28" s="1070"/>
      <c r="J28" s="1071"/>
      <c r="L28" s="1069" t="s">
        <v>1699</v>
      </c>
      <c r="M28" s="1070"/>
      <c r="N28" s="1070"/>
      <c r="O28" s="1071"/>
      <c r="Q28" s="1069" t="s">
        <v>1700</v>
      </c>
      <c r="R28" s="1070"/>
      <c r="S28" s="1070"/>
      <c r="T28" s="1071"/>
      <c r="W28" s="1069" t="s">
        <v>1612</v>
      </c>
      <c r="X28" s="1070"/>
      <c r="Y28" s="1070"/>
      <c r="Z28" s="1071"/>
      <c r="AB28" s="1069" t="s">
        <v>1611</v>
      </c>
      <c r="AC28" s="1070"/>
      <c r="AD28" s="1070"/>
      <c r="AE28" s="1071"/>
      <c r="AG28" s="1069" t="s">
        <v>1699</v>
      </c>
      <c r="AH28" s="1070"/>
      <c r="AI28" s="1070"/>
      <c r="AJ28" s="1071"/>
      <c r="AL28" s="1069" t="s">
        <v>1700</v>
      </c>
      <c r="AM28" s="1070"/>
      <c r="AN28" s="1070"/>
      <c r="AO28" s="1071"/>
      <c r="AR28" s="1069" t="s">
        <v>1612</v>
      </c>
      <c r="AS28" s="1070"/>
      <c r="AT28" s="1070"/>
      <c r="AU28" s="1071"/>
      <c r="AW28" s="1069" t="s">
        <v>1611</v>
      </c>
      <c r="AX28" s="1070"/>
      <c r="AY28" s="1070"/>
      <c r="AZ28" s="1071"/>
      <c r="BB28" s="1069" t="s">
        <v>1699</v>
      </c>
      <c r="BC28" s="1070"/>
      <c r="BD28" s="1070"/>
      <c r="BE28" s="1071"/>
      <c r="BG28" s="1069" t="s">
        <v>1700</v>
      </c>
      <c r="BH28" s="1070"/>
      <c r="BI28" s="1070"/>
      <c r="BJ28" s="1071"/>
    </row>
    <row r="29" spans="2:62" s="141" customFormat="1">
      <c r="B29" s="359"/>
      <c r="C29" s="360" t="s">
        <v>8</v>
      </c>
      <c r="D29" s="360" t="s">
        <v>1314</v>
      </c>
      <c r="E29" s="360" t="s">
        <v>164</v>
      </c>
      <c r="G29" s="359"/>
      <c r="H29" s="360" t="s">
        <v>8</v>
      </c>
      <c r="I29" s="360" t="s">
        <v>1314</v>
      </c>
      <c r="J29" s="360" t="s">
        <v>164</v>
      </c>
      <c r="L29" s="359"/>
      <c r="M29" s="360" t="s">
        <v>8</v>
      </c>
      <c r="N29" s="360" t="s">
        <v>1314</v>
      </c>
      <c r="O29" s="360" t="s">
        <v>164</v>
      </c>
      <c r="Q29" s="359"/>
      <c r="R29" s="360" t="s">
        <v>8</v>
      </c>
      <c r="S29" s="360" t="s">
        <v>1314</v>
      </c>
      <c r="T29" s="359" t="s">
        <v>164</v>
      </c>
      <c r="W29" s="359"/>
      <c r="X29" s="360" t="s">
        <v>8</v>
      </c>
      <c r="Y29" s="360" t="s">
        <v>1314</v>
      </c>
      <c r="Z29" s="360" t="s">
        <v>164</v>
      </c>
      <c r="AB29" s="359"/>
      <c r="AC29" s="360" t="s">
        <v>8</v>
      </c>
      <c r="AD29" s="360" t="s">
        <v>1314</v>
      </c>
      <c r="AE29" s="360" t="s">
        <v>164</v>
      </c>
      <c r="AG29" s="359"/>
      <c r="AH29" s="360" t="s">
        <v>8</v>
      </c>
      <c r="AI29" s="360" t="s">
        <v>1314</v>
      </c>
      <c r="AJ29" s="360" t="s">
        <v>164</v>
      </c>
      <c r="AL29" s="359"/>
      <c r="AM29" s="360" t="s">
        <v>8</v>
      </c>
      <c r="AN29" s="360" t="s">
        <v>1314</v>
      </c>
      <c r="AO29" s="359" t="s">
        <v>164</v>
      </c>
      <c r="AR29" s="359"/>
      <c r="AS29" s="360" t="s">
        <v>8</v>
      </c>
      <c r="AT29" s="360" t="s">
        <v>1314</v>
      </c>
      <c r="AU29" s="360" t="s">
        <v>164</v>
      </c>
      <c r="AW29" s="359"/>
      <c r="AX29" s="360" t="s">
        <v>8</v>
      </c>
      <c r="AY29" s="360" t="s">
        <v>1314</v>
      </c>
      <c r="AZ29" s="360" t="s">
        <v>164</v>
      </c>
      <c r="BB29" s="359"/>
      <c r="BC29" s="360" t="s">
        <v>8</v>
      </c>
      <c r="BD29" s="360" t="s">
        <v>1314</v>
      </c>
      <c r="BE29" s="360" t="s">
        <v>164</v>
      </c>
      <c r="BG29" s="359"/>
      <c r="BH29" s="360" t="s">
        <v>8</v>
      </c>
      <c r="BI29" s="360" t="s">
        <v>1314</v>
      </c>
      <c r="BJ29" s="359" t="s">
        <v>164</v>
      </c>
    </row>
    <row r="30" spans="2:62" s="119" customFormat="1" ht="19">
      <c r="B30" s="119">
        <v>1</v>
      </c>
      <c r="C30" s="119" t="s">
        <v>266</v>
      </c>
      <c r="D30" s="119" t="s">
        <v>1715</v>
      </c>
      <c r="E30" s="119">
        <v>82</v>
      </c>
      <c r="G30" s="119">
        <v>1</v>
      </c>
      <c r="H30" s="119" t="s">
        <v>429</v>
      </c>
      <c r="I30" s="119" t="s">
        <v>1709</v>
      </c>
      <c r="J30" s="119">
        <v>49</v>
      </c>
      <c r="L30" s="119">
        <v>1</v>
      </c>
      <c r="M30" s="119" t="s">
        <v>300</v>
      </c>
      <c r="N30" s="119" t="s">
        <v>1702</v>
      </c>
      <c r="O30" s="119">
        <v>37</v>
      </c>
      <c r="Q30" s="119">
        <v>1</v>
      </c>
      <c r="R30" s="119" t="s">
        <v>394</v>
      </c>
      <c r="S30" s="119" t="s">
        <v>1372</v>
      </c>
      <c r="T30" s="119">
        <v>26</v>
      </c>
      <c r="W30" s="119">
        <v>1</v>
      </c>
      <c r="X30" s="119" t="s">
        <v>165</v>
      </c>
      <c r="Y30" s="119" t="s">
        <v>1667</v>
      </c>
      <c r="Z30" s="119">
        <v>76</v>
      </c>
      <c r="AB30" s="119">
        <v>1</v>
      </c>
      <c r="AC30" s="119" t="s">
        <v>502</v>
      </c>
      <c r="AD30" s="119" t="s">
        <v>1704</v>
      </c>
      <c r="AE30" s="119">
        <v>49</v>
      </c>
      <c r="AG30" s="119">
        <v>1</v>
      </c>
      <c r="AH30" s="119" t="s">
        <v>717</v>
      </c>
      <c r="AI30" s="119" t="s">
        <v>1711</v>
      </c>
      <c r="AJ30" s="119">
        <v>37</v>
      </c>
      <c r="AL30" s="119">
        <v>1</v>
      </c>
      <c r="AM30" s="119" t="s">
        <v>226</v>
      </c>
      <c r="AN30" s="119" t="s">
        <v>1381</v>
      </c>
      <c r="AO30" s="119">
        <v>30</v>
      </c>
      <c r="AR30" s="119">
        <v>1</v>
      </c>
      <c r="AS30" s="119" t="s">
        <v>339</v>
      </c>
      <c r="AT30" s="119" t="s">
        <v>1706</v>
      </c>
      <c r="AU30" s="119">
        <v>86</v>
      </c>
      <c r="AW30" s="119">
        <v>1</v>
      </c>
      <c r="AX30" s="119" t="s">
        <v>463</v>
      </c>
      <c r="AY30" s="119" t="s">
        <v>1707</v>
      </c>
      <c r="AZ30" s="119">
        <v>53</v>
      </c>
      <c r="BB30" s="119">
        <v>1</v>
      </c>
      <c r="BC30" s="119" t="s">
        <v>580</v>
      </c>
      <c r="BD30" s="119" t="s">
        <v>1721</v>
      </c>
      <c r="BE30" s="119">
        <v>36</v>
      </c>
      <c r="BG30" s="119">
        <v>1</v>
      </c>
      <c r="BH30" s="119" t="s">
        <v>165</v>
      </c>
      <c r="BI30" s="119" t="s">
        <v>1714</v>
      </c>
      <c r="BJ30" s="119">
        <v>28</v>
      </c>
    </row>
    <row r="31" spans="2:62" ht="19">
      <c r="B31">
        <v>2</v>
      </c>
      <c r="C31" t="s">
        <v>611</v>
      </c>
      <c r="D31" s="505" t="s">
        <v>1362</v>
      </c>
      <c r="E31">
        <v>78</v>
      </c>
      <c r="G31">
        <v>2</v>
      </c>
      <c r="H31" t="s">
        <v>717</v>
      </c>
      <c r="I31" t="s">
        <v>1716</v>
      </c>
      <c r="J31">
        <v>45</v>
      </c>
      <c r="L31">
        <v>2</v>
      </c>
      <c r="M31" t="s">
        <v>717</v>
      </c>
      <c r="N31" t="s">
        <v>1711</v>
      </c>
      <c r="O31">
        <v>36</v>
      </c>
      <c r="Q31" s="506">
        <v>2</v>
      </c>
      <c r="R31" s="506" t="s">
        <v>300</v>
      </c>
      <c r="S31" s="506" t="s">
        <v>1399</v>
      </c>
      <c r="T31" s="506">
        <v>26</v>
      </c>
      <c r="W31">
        <v>2</v>
      </c>
      <c r="X31" t="s">
        <v>502</v>
      </c>
      <c r="Y31" t="s">
        <v>1684</v>
      </c>
      <c r="Z31">
        <v>74</v>
      </c>
      <c r="AB31">
        <v>2</v>
      </c>
      <c r="AC31" t="s">
        <v>463</v>
      </c>
      <c r="AD31" t="s">
        <v>1724</v>
      </c>
      <c r="AE31">
        <v>43</v>
      </c>
      <c r="AG31">
        <v>2</v>
      </c>
      <c r="AH31" t="s">
        <v>717</v>
      </c>
      <c r="AI31" t="s">
        <v>1730</v>
      </c>
      <c r="AJ31">
        <v>35</v>
      </c>
      <c r="AL31">
        <v>2</v>
      </c>
      <c r="AM31" t="s">
        <v>429</v>
      </c>
      <c r="AN31" t="s">
        <v>1383</v>
      </c>
      <c r="AO31">
        <v>28</v>
      </c>
      <c r="AR31">
        <v>2</v>
      </c>
      <c r="AS31" t="s">
        <v>650</v>
      </c>
      <c r="AT31" t="s">
        <v>1856</v>
      </c>
      <c r="AU31">
        <v>84</v>
      </c>
      <c r="AW31">
        <v>2</v>
      </c>
      <c r="AX31" t="s">
        <v>685</v>
      </c>
      <c r="AY31" t="s">
        <v>1720</v>
      </c>
      <c r="AZ31">
        <v>46</v>
      </c>
      <c r="BB31">
        <v>2</v>
      </c>
      <c r="BC31" t="s">
        <v>650</v>
      </c>
      <c r="BD31" t="s">
        <v>1729</v>
      </c>
      <c r="BE31">
        <v>33</v>
      </c>
      <c r="BG31">
        <v>2</v>
      </c>
      <c r="BH31" t="s">
        <v>394</v>
      </c>
      <c r="BI31" t="s">
        <v>1372</v>
      </c>
      <c r="BJ31">
        <v>24</v>
      </c>
    </row>
    <row r="32" spans="2:62">
      <c r="B32">
        <v>3</v>
      </c>
      <c r="C32" t="s">
        <v>339</v>
      </c>
      <c r="D32" t="s">
        <v>1706</v>
      </c>
      <c r="E32">
        <v>75</v>
      </c>
      <c r="G32">
        <v>3</v>
      </c>
      <c r="H32" t="s">
        <v>685</v>
      </c>
      <c r="I32" t="s">
        <v>1722</v>
      </c>
      <c r="J32">
        <v>44</v>
      </c>
      <c r="L32">
        <v>3</v>
      </c>
      <c r="M32" t="s">
        <v>580</v>
      </c>
      <c r="N32" t="s">
        <v>1721</v>
      </c>
      <c r="O32">
        <v>32</v>
      </c>
      <c r="Q32">
        <v>3</v>
      </c>
      <c r="R32" t="s">
        <v>502</v>
      </c>
      <c r="S32" t="s">
        <v>1717</v>
      </c>
      <c r="T32">
        <v>25</v>
      </c>
      <c r="X32" t="s">
        <v>226</v>
      </c>
      <c r="Y32" t="s">
        <v>1690</v>
      </c>
      <c r="Z32">
        <v>74</v>
      </c>
      <c r="AC32" t="s">
        <v>650</v>
      </c>
      <c r="AD32" t="s">
        <v>1729</v>
      </c>
      <c r="AE32">
        <v>43</v>
      </c>
      <c r="AG32">
        <v>3</v>
      </c>
      <c r="AH32" t="s">
        <v>502</v>
      </c>
      <c r="AI32" t="s">
        <v>1734</v>
      </c>
      <c r="AJ32">
        <v>34</v>
      </c>
      <c r="AL32">
        <v>3</v>
      </c>
      <c r="AM32" t="s">
        <v>266</v>
      </c>
      <c r="AN32" t="s">
        <v>1410</v>
      </c>
      <c r="AO32">
        <v>27</v>
      </c>
      <c r="AR32">
        <v>3</v>
      </c>
      <c r="AS32" t="s">
        <v>463</v>
      </c>
      <c r="AT32" t="s">
        <v>1707</v>
      </c>
      <c r="AU32">
        <v>79</v>
      </c>
      <c r="AW32">
        <v>3</v>
      </c>
      <c r="AX32" t="s">
        <v>394</v>
      </c>
      <c r="AY32" t="s">
        <v>1726</v>
      </c>
      <c r="AZ32">
        <v>45</v>
      </c>
      <c r="BB32">
        <v>3</v>
      </c>
      <c r="BC32" t="s">
        <v>580</v>
      </c>
      <c r="BD32" t="s">
        <v>1749</v>
      </c>
      <c r="BE32">
        <v>32</v>
      </c>
      <c r="BH32" t="s">
        <v>463</v>
      </c>
      <c r="BI32" t="s">
        <v>1757</v>
      </c>
      <c r="BJ32">
        <v>24</v>
      </c>
    </row>
    <row r="33" spans="2:62">
      <c r="B33">
        <v>4</v>
      </c>
      <c r="C33" t="s">
        <v>300</v>
      </c>
      <c r="D33" t="s">
        <v>1739</v>
      </c>
      <c r="E33">
        <v>74</v>
      </c>
      <c r="G33">
        <v>4</v>
      </c>
      <c r="H33" t="s">
        <v>539</v>
      </c>
      <c r="I33" t="s">
        <v>1740</v>
      </c>
      <c r="J33">
        <v>41</v>
      </c>
      <c r="L33">
        <v>4</v>
      </c>
      <c r="M33" t="s">
        <v>339</v>
      </c>
      <c r="N33" t="s">
        <v>1752</v>
      </c>
      <c r="O33">
        <v>29</v>
      </c>
      <c r="R33" t="s">
        <v>717</v>
      </c>
      <c r="S33" t="s">
        <v>1370</v>
      </c>
      <c r="T33">
        <v>25</v>
      </c>
      <c r="W33">
        <v>4</v>
      </c>
      <c r="X33" t="s">
        <v>650</v>
      </c>
      <c r="Y33" t="s">
        <v>1680</v>
      </c>
      <c r="Z33">
        <v>73</v>
      </c>
      <c r="AB33">
        <v>4</v>
      </c>
      <c r="AC33" t="s">
        <v>463</v>
      </c>
      <c r="AD33" t="s">
        <v>1677</v>
      </c>
      <c r="AE33">
        <v>42</v>
      </c>
      <c r="AG33">
        <v>4</v>
      </c>
      <c r="AH33" t="s">
        <v>539</v>
      </c>
      <c r="AI33" t="s">
        <v>1839</v>
      </c>
      <c r="AJ33">
        <v>32</v>
      </c>
      <c r="AM33" t="s">
        <v>300</v>
      </c>
      <c r="AN33" t="s">
        <v>1399</v>
      </c>
      <c r="AO33">
        <v>27</v>
      </c>
      <c r="AR33">
        <v>4</v>
      </c>
      <c r="AS33" t="s">
        <v>394</v>
      </c>
      <c r="AT33" t="s">
        <v>1735</v>
      </c>
      <c r="AU33">
        <v>76</v>
      </c>
      <c r="AW33">
        <v>4</v>
      </c>
      <c r="AX33" t="s">
        <v>300</v>
      </c>
      <c r="AY33" t="s">
        <v>1732</v>
      </c>
      <c r="AZ33">
        <v>43</v>
      </c>
      <c r="BC33" t="s">
        <v>650</v>
      </c>
      <c r="BD33" t="s">
        <v>1756</v>
      </c>
      <c r="BE33">
        <v>32</v>
      </c>
      <c r="BH33" t="s">
        <v>650</v>
      </c>
      <c r="BI33" t="s">
        <v>1846</v>
      </c>
      <c r="BJ33">
        <v>24</v>
      </c>
    </row>
    <row r="34" spans="2:62">
      <c r="B34">
        <v>5</v>
      </c>
      <c r="C34" t="s">
        <v>685</v>
      </c>
      <c r="D34" t="s">
        <v>1720</v>
      </c>
      <c r="E34">
        <v>73</v>
      </c>
      <c r="H34" t="s">
        <v>650</v>
      </c>
      <c r="I34" t="s">
        <v>1729</v>
      </c>
      <c r="J34">
        <v>41</v>
      </c>
      <c r="M34" t="s">
        <v>539</v>
      </c>
      <c r="N34" t="s">
        <v>1603</v>
      </c>
      <c r="O34">
        <v>29</v>
      </c>
      <c r="Q34">
        <v>5</v>
      </c>
      <c r="R34" t="s">
        <v>717</v>
      </c>
      <c r="S34" t="s">
        <v>1774</v>
      </c>
      <c r="T34">
        <v>24</v>
      </c>
      <c r="X34" t="s">
        <v>463</v>
      </c>
      <c r="Y34" t="s">
        <v>1724</v>
      </c>
      <c r="Z34">
        <v>73</v>
      </c>
      <c r="AB34">
        <v>5</v>
      </c>
      <c r="AC34" t="s">
        <v>539</v>
      </c>
      <c r="AD34" t="s">
        <v>1740</v>
      </c>
      <c r="AE34">
        <v>41</v>
      </c>
      <c r="AG34">
        <v>5</v>
      </c>
      <c r="AH34" t="s">
        <v>463</v>
      </c>
      <c r="AI34" t="s">
        <v>1724</v>
      </c>
      <c r="AJ34">
        <v>29</v>
      </c>
      <c r="AM34" t="s">
        <v>539</v>
      </c>
      <c r="AN34" t="s">
        <v>1406</v>
      </c>
      <c r="AO34">
        <v>27</v>
      </c>
      <c r="AR34">
        <v>5</v>
      </c>
      <c r="AS34" t="s">
        <v>580</v>
      </c>
      <c r="AT34" t="s">
        <v>1749</v>
      </c>
      <c r="AU34">
        <v>75</v>
      </c>
      <c r="AW34">
        <v>5</v>
      </c>
      <c r="AX34" t="s">
        <v>339</v>
      </c>
      <c r="AY34" t="s">
        <v>1745</v>
      </c>
      <c r="AZ34">
        <v>41</v>
      </c>
      <c r="BB34">
        <v>5</v>
      </c>
      <c r="BC34" t="s">
        <v>300</v>
      </c>
      <c r="BD34" t="s">
        <v>1847</v>
      </c>
      <c r="BE34">
        <v>31</v>
      </c>
      <c r="BH34" t="s">
        <v>650</v>
      </c>
      <c r="BI34" t="s">
        <v>1848</v>
      </c>
      <c r="BJ34">
        <v>24</v>
      </c>
    </row>
    <row r="35" spans="2:62">
      <c r="B35">
        <v>6</v>
      </c>
      <c r="C35" t="s">
        <v>650</v>
      </c>
      <c r="D35" t="s">
        <v>1680</v>
      </c>
      <c r="E35">
        <v>71</v>
      </c>
      <c r="H35" t="s">
        <v>717</v>
      </c>
      <c r="I35" t="s">
        <v>1751</v>
      </c>
      <c r="J35">
        <v>41</v>
      </c>
      <c r="M35" t="s">
        <v>502</v>
      </c>
      <c r="N35" t="s">
        <v>1734</v>
      </c>
      <c r="O35">
        <v>29</v>
      </c>
      <c r="R35" t="s">
        <v>717</v>
      </c>
      <c r="S35" t="s">
        <v>1782</v>
      </c>
      <c r="T35">
        <v>24</v>
      </c>
      <c r="W35">
        <v>6</v>
      </c>
      <c r="X35" t="s">
        <v>717</v>
      </c>
      <c r="Y35" t="s">
        <v>1849</v>
      </c>
      <c r="Z35">
        <v>69</v>
      </c>
      <c r="AB35">
        <v>6</v>
      </c>
      <c r="AC35" t="s">
        <v>226</v>
      </c>
      <c r="AD35" t="s">
        <v>1690</v>
      </c>
      <c r="AE35">
        <v>39</v>
      </c>
      <c r="AG35">
        <v>6</v>
      </c>
      <c r="AH35" t="s">
        <v>502</v>
      </c>
      <c r="AI35" t="s">
        <v>1704</v>
      </c>
      <c r="AJ35">
        <v>28</v>
      </c>
      <c r="AL35">
        <v>6</v>
      </c>
      <c r="AM35" t="s">
        <v>502</v>
      </c>
      <c r="AN35" t="s">
        <v>1717</v>
      </c>
      <c r="AO35">
        <v>26</v>
      </c>
      <c r="AR35">
        <v>6</v>
      </c>
      <c r="AS35" t="s">
        <v>502</v>
      </c>
      <c r="AT35" t="s">
        <v>1734</v>
      </c>
      <c r="AU35">
        <v>74</v>
      </c>
      <c r="AW35">
        <v>6</v>
      </c>
      <c r="AX35" t="s">
        <v>717</v>
      </c>
      <c r="AY35" t="s">
        <v>1850</v>
      </c>
      <c r="AZ35">
        <v>40</v>
      </c>
      <c r="BC35" t="s">
        <v>266</v>
      </c>
      <c r="BD35" t="s">
        <v>1851</v>
      </c>
      <c r="BE35">
        <v>31</v>
      </c>
      <c r="BH35" t="s">
        <v>226</v>
      </c>
      <c r="BI35" t="s">
        <v>1381</v>
      </c>
      <c r="BJ35">
        <v>24</v>
      </c>
    </row>
    <row r="36" spans="2:62">
      <c r="C36" t="s">
        <v>717</v>
      </c>
      <c r="D36" t="s">
        <v>1716</v>
      </c>
      <c r="E36">
        <v>71</v>
      </c>
      <c r="G36">
        <v>7</v>
      </c>
      <c r="H36" t="s">
        <v>300</v>
      </c>
      <c r="I36" t="s">
        <v>1739</v>
      </c>
      <c r="J36">
        <v>40</v>
      </c>
      <c r="L36">
        <v>7</v>
      </c>
      <c r="M36" t="s">
        <v>429</v>
      </c>
      <c r="N36" t="s">
        <v>1709</v>
      </c>
      <c r="O36">
        <v>28</v>
      </c>
      <c r="Q36">
        <v>7</v>
      </c>
      <c r="R36" t="s">
        <v>300</v>
      </c>
      <c r="S36" t="s">
        <v>1379</v>
      </c>
      <c r="T36">
        <v>23</v>
      </c>
      <c r="W36">
        <v>7</v>
      </c>
      <c r="X36" t="s">
        <v>463</v>
      </c>
      <c r="Y36" t="s">
        <v>1677</v>
      </c>
      <c r="Z36">
        <v>68</v>
      </c>
      <c r="AC36" t="s">
        <v>429</v>
      </c>
      <c r="AD36" t="s">
        <v>1709</v>
      </c>
      <c r="AE36">
        <v>39</v>
      </c>
      <c r="AH36" t="s">
        <v>580</v>
      </c>
      <c r="AI36" t="s">
        <v>1721</v>
      </c>
      <c r="AJ36">
        <v>28</v>
      </c>
      <c r="AL36">
        <v>7</v>
      </c>
      <c r="AM36" t="s">
        <v>539</v>
      </c>
      <c r="AN36" t="s">
        <v>1835</v>
      </c>
      <c r="AO36">
        <v>25</v>
      </c>
      <c r="AR36">
        <v>7</v>
      </c>
      <c r="AS36" t="s">
        <v>339</v>
      </c>
      <c r="AT36" t="s">
        <v>1745</v>
      </c>
      <c r="AU36">
        <v>73</v>
      </c>
      <c r="AX36" t="s">
        <v>429</v>
      </c>
      <c r="AY36" t="s">
        <v>1755</v>
      </c>
      <c r="AZ36">
        <v>40</v>
      </c>
      <c r="BB36">
        <v>7</v>
      </c>
      <c r="BC36" t="s">
        <v>502</v>
      </c>
      <c r="BD36" t="s">
        <v>1852</v>
      </c>
      <c r="BE36">
        <v>30</v>
      </c>
      <c r="BG36">
        <v>7</v>
      </c>
      <c r="BH36" t="s">
        <v>165</v>
      </c>
      <c r="BI36" t="s">
        <v>1773</v>
      </c>
      <c r="BJ36">
        <v>23</v>
      </c>
    </row>
    <row r="37" spans="2:62">
      <c r="C37" t="s">
        <v>165</v>
      </c>
      <c r="D37" t="s">
        <v>1790</v>
      </c>
      <c r="E37">
        <v>71</v>
      </c>
      <c r="G37">
        <v>8</v>
      </c>
      <c r="H37" t="s">
        <v>266</v>
      </c>
      <c r="I37" t="s">
        <v>1350</v>
      </c>
      <c r="J37">
        <v>38</v>
      </c>
      <c r="M37" t="s">
        <v>717</v>
      </c>
      <c r="N37" t="s">
        <v>1751</v>
      </c>
      <c r="O37">
        <v>28</v>
      </c>
      <c r="R37" t="s">
        <v>266</v>
      </c>
      <c r="S37" t="s">
        <v>1410</v>
      </c>
      <c r="T37">
        <v>23</v>
      </c>
      <c r="X37" t="s">
        <v>502</v>
      </c>
      <c r="Y37" t="s">
        <v>1704</v>
      </c>
      <c r="Z37">
        <v>68</v>
      </c>
      <c r="AC37" t="s">
        <v>685</v>
      </c>
      <c r="AD37" t="s">
        <v>1853</v>
      </c>
      <c r="AE37">
        <v>39</v>
      </c>
      <c r="AH37" t="s">
        <v>539</v>
      </c>
      <c r="AI37" t="s">
        <v>1740</v>
      </c>
      <c r="AJ37">
        <v>28</v>
      </c>
      <c r="AM37" t="s">
        <v>463</v>
      </c>
      <c r="AN37" t="s">
        <v>1854</v>
      </c>
      <c r="AO37">
        <v>25</v>
      </c>
      <c r="AS37" t="s">
        <v>429</v>
      </c>
      <c r="AT37" t="s">
        <v>1394</v>
      </c>
      <c r="AU37">
        <v>73</v>
      </c>
      <c r="AW37">
        <v>8</v>
      </c>
      <c r="AX37" t="s">
        <v>502</v>
      </c>
      <c r="AY37" t="s">
        <v>1734</v>
      </c>
      <c r="AZ37">
        <v>39</v>
      </c>
      <c r="BB37">
        <v>8</v>
      </c>
      <c r="BC37" t="s">
        <v>463</v>
      </c>
      <c r="BD37" t="s">
        <v>1724</v>
      </c>
      <c r="BE37">
        <v>29</v>
      </c>
      <c r="BH37" t="s">
        <v>266</v>
      </c>
      <c r="BI37" t="s">
        <v>1410</v>
      </c>
      <c r="BJ37">
        <v>23</v>
      </c>
    </row>
    <row r="38" spans="2:62">
      <c r="C38" t="s">
        <v>463</v>
      </c>
      <c r="D38" t="s">
        <v>1707</v>
      </c>
      <c r="E38">
        <v>71</v>
      </c>
      <c r="G38">
        <v>9</v>
      </c>
      <c r="H38" t="s">
        <v>394</v>
      </c>
      <c r="I38" t="s">
        <v>1855</v>
      </c>
      <c r="J38">
        <v>37</v>
      </c>
      <c r="M38" t="s">
        <v>685</v>
      </c>
      <c r="N38" t="s">
        <v>1674</v>
      </c>
      <c r="O38">
        <v>28</v>
      </c>
      <c r="R38" t="s">
        <v>611</v>
      </c>
      <c r="S38" t="s">
        <v>1766</v>
      </c>
      <c r="T38">
        <v>23</v>
      </c>
      <c r="X38" t="s">
        <v>650</v>
      </c>
      <c r="Y38" t="s">
        <v>1856</v>
      </c>
      <c r="Z38">
        <v>68</v>
      </c>
      <c r="AC38" t="s">
        <v>394</v>
      </c>
      <c r="AD38" t="s">
        <v>1855</v>
      </c>
      <c r="AE38">
        <v>39</v>
      </c>
      <c r="AH38" t="s">
        <v>429</v>
      </c>
      <c r="AI38" t="s">
        <v>1709</v>
      </c>
      <c r="AJ38">
        <v>28</v>
      </c>
      <c r="AL38">
        <v>9</v>
      </c>
      <c r="AM38" t="s">
        <v>339</v>
      </c>
      <c r="AN38" t="s">
        <v>1765</v>
      </c>
      <c r="AO38">
        <v>24</v>
      </c>
      <c r="AR38">
        <v>9</v>
      </c>
      <c r="AS38" t="s">
        <v>463</v>
      </c>
      <c r="AT38" t="s">
        <v>1724</v>
      </c>
      <c r="AU38">
        <v>72</v>
      </c>
      <c r="AX38" t="s">
        <v>580</v>
      </c>
      <c r="AY38" t="s">
        <v>1749</v>
      </c>
      <c r="AZ38">
        <v>39</v>
      </c>
      <c r="BC38" t="s">
        <v>394</v>
      </c>
      <c r="BD38" t="s">
        <v>1359</v>
      </c>
      <c r="BE38">
        <v>29</v>
      </c>
      <c r="BH38" t="s">
        <v>539</v>
      </c>
      <c r="BI38" t="s">
        <v>1406</v>
      </c>
      <c r="BJ38">
        <v>23</v>
      </c>
    </row>
    <row r="39" spans="2:62">
      <c r="C39" t="s">
        <v>685</v>
      </c>
      <c r="D39" t="s">
        <v>1722</v>
      </c>
      <c r="E39">
        <v>71</v>
      </c>
      <c r="G39">
        <v>10</v>
      </c>
      <c r="H39" t="s">
        <v>339</v>
      </c>
      <c r="I39" t="s">
        <v>1752</v>
      </c>
      <c r="J39">
        <v>36</v>
      </c>
      <c r="M39" t="s">
        <v>580</v>
      </c>
      <c r="N39" t="s">
        <v>1749</v>
      </c>
      <c r="O39">
        <v>28</v>
      </c>
      <c r="S39" t="s">
        <v>1627</v>
      </c>
      <c r="T39">
        <v>23</v>
      </c>
      <c r="W39">
        <v>10</v>
      </c>
      <c r="Y39" t="s">
        <v>1627</v>
      </c>
      <c r="Z39">
        <v>67</v>
      </c>
      <c r="AB39">
        <v>10</v>
      </c>
      <c r="AD39" t="s">
        <v>1614</v>
      </c>
      <c r="AE39">
        <v>38</v>
      </c>
      <c r="AH39" t="s">
        <v>685</v>
      </c>
      <c r="AI39" t="s">
        <v>1853</v>
      </c>
      <c r="AJ39">
        <v>28</v>
      </c>
      <c r="AM39" t="s">
        <v>429</v>
      </c>
      <c r="AN39" t="s">
        <v>1857</v>
      </c>
      <c r="AO39">
        <v>24</v>
      </c>
      <c r="AS39" t="s">
        <v>300</v>
      </c>
      <c r="AT39" t="s">
        <v>1739</v>
      </c>
      <c r="AU39">
        <v>72</v>
      </c>
      <c r="AX39" t="s">
        <v>300</v>
      </c>
      <c r="AY39" t="s">
        <v>1739</v>
      </c>
      <c r="AZ39">
        <v>39</v>
      </c>
      <c r="BB39">
        <v>10</v>
      </c>
      <c r="BD39" t="s">
        <v>1613</v>
      </c>
      <c r="BE39">
        <v>28</v>
      </c>
      <c r="BI39" t="s">
        <v>1610</v>
      </c>
      <c r="BJ39">
        <v>23</v>
      </c>
    </row>
    <row r="41" spans="2:62" s="118" customFormat="1" ht="19">
      <c r="B41" s="1069" t="s">
        <v>1758</v>
      </c>
      <c r="C41" s="1070"/>
      <c r="D41" s="1070"/>
      <c r="E41" s="1071"/>
      <c r="G41" s="1069" t="s">
        <v>1759</v>
      </c>
      <c r="H41" s="1070"/>
      <c r="I41" s="1070"/>
      <c r="J41" s="1071"/>
      <c r="L41" s="1069" t="s">
        <v>1760</v>
      </c>
      <c r="M41" s="1070"/>
      <c r="N41" s="1070"/>
      <c r="O41" s="1071"/>
      <c r="Q41" s="1069" t="s">
        <v>1761</v>
      </c>
      <c r="R41" s="1070"/>
      <c r="S41" s="1070"/>
      <c r="T41" s="1071"/>
      <c r="W41" s="1069" t="s">
        <v>1758</v>
      </c>
      <c r="X41" s="1070"/>
      <c r="Y41" s="1070"/>
      <c r="Z41" s="1071"/>
      <c r="AB41" s="1069" t="s">
        <v>1759</v>
      </c>
      <c r="AC41" s="1070"/>
      <c r="AD41" s="1070"/>
      <c r="AE41" s="1071"/>
      <c r="AG41" s="1069" t="s">
        <v>1760</v>
      </c>
      <c r="AH41" s="1070"/>
      <c r="AI41" s="1070"/>
      <c r="AJ41" s="1071"/>
      <c r="AL41" s="1069" t="s">
        <v>1761</v>
      </c>
      <c r="AM41" s="1070"/>
      <c r="AN41" s="1070"/>
      <c r="AO41" s="1071"/>
      <c r="AR41" s="1069" t="s">
        <v>1758</v>
      </c>
      <c r="AS41" s="1070"/>
      <c r="AT41" s="1070"/>
      <c r="AU41" s="1071"/>
      <c r="AW41" s="1069" t="s">
        <v>1759</v>
      </c>
      <c r="AX41" s="1070"/>
      <c r="AY41" s="1070"/>
      <c r="AZ41" s="1071"/>
      <c r="BB41" s="1069" t="s">
        <v>1760</v>
      </c>
      <c r="BC41" s="1070"/>
      <c r="BD41" s="1070"/>
      <c r="BE41" s="1071"/>
      <c r="BG41" s="1069" t="s">
        <v>1761</v>
      </c>
      <c r="BH41" s="1070"/>
      <c r="BI41" s="1070"/>
      <c r="BJ41" s="1071"/>
    </row>
    <row r="42" spans="2:62" s="141" customFormat="1">
      <c r="B42" s="359"/>
      <c r="C42" s="360" t="s">
        <v>8</v>
      </c>
      <c r="D42" s="360" t="s">
        <v>1314</v>
      </c>
      <c r="E42" s="360" t="s">
        <v>164</v>
      </c>
      <c r="G42" s="359"/>
      <c r="H42" s="360" t="s">
        <v>8</v>
      </c>
      <c r="I42" s="360" t="s">
        <v>1314</v>
      </c>
      <c r="J42" s="360" t="s">
        <v>164</v>
      </c>
      <c r="L42" s="359"/>
      <c r="M42" s="360" t="s">
        <v>8</v>
      </c>
      <c r="N42" s="360" t="s">
        <v>1314</v>
      </c>
      <c r="O42" s="360" t="s">
        <v>164</v>
      </c>
      <c r="Q42" s="359"/>
      <c r="R42" s="360" t="s">
        <v>8</v>
      </c>
      <c r="S42" s="360" t="s">
        <v>1314</v>
      </c>
      <c r="T42" s="360" t="s">
        <v>164</v>
      </c>
      <c r="W42" s="359"/>
      <c r="X42" s="360" t="s">
        <v>8</v>
      </c>
      <c r="Y42" s="360" t="s">
        <v>1314</v>
      </c>
      <c r="Z42" s="360" t="s">
        <v>164</v>
      </c>
      <c r="AB42" s="359"/>
      <c r="AC42" s="360" t="s">
        <v>8</v>
      </c>
      <c r="AD42" s="360" t="s">
        <v>1314</v>
      </c>
      <c r="AE42" s="360" t="s">
        <v>164</v>
      </c>
      <c r="AG42" s="359"/>
      <c r="AH42" s="360" t="s">
        <v>8</v>
      </c>
      <c r="AI42" s="360" t="s">
        <v>1314</v>
      </c>
      <c r="AJ42" s="360" t="s">
        <v>164</v>
      </c>
      <c r="AL42" s="359"/>
      <c r="AM42" s="360" t="s">
        <v>8</v>
      </c>
      <c r="AN42" s="360" t="s">
        <v>1314</v>
      </c>
      <c r="AO42" s="360" t="s">
        <v>164</v>
      </c>
      <c r="AR42" s="359"/>
      <c r="AS42" s="360" t="s">
        <v>8</v>
      </c>
      <c r="AT42" s="360" t="s">
        <v>1314</v>
      </c>
      <c r="AU42" s="360" t="s">
        <v>164</v>
      </c>
      <c r="AW42" s="359"/>
      <c r="AX42" s="360" t="s">
        <v>8</v>
      </c>
      <c r="AY42" s="360" t="s">
        <v>1314</v>
      </c>
      <c r="AZ42" s="360" t="s">
        <v>164</v>
      </c>
      <c r="BB42" s="359"/>
      <c r="BC42" s="360" t="s">
        <v>8</v>
      </c>
      <c r="BD42" s="360" t="s">
        <v>1314</v>
      </c>
      <c r="BE42" s="360" t="s">
        <v>164</v>
      </c>
      <c r="BG42" s="359"/>
      <c r="BH42" s="360" t="s">
        <v>8</v>
      </c>
      <c r="BI42" s="360" t="s">
        <v>1314</v>
      </c>
      <c r="BJ42" s="360" t="s">
        <v>164</v>
      </c>
    </row>
    <row r="43" spans="2:62" s="119" customFormat="1" ht="19">
      <c r="B43" s="119">
        <v>1</v>
      </c>
      <c r="C43" s="119" t="s">
        <v>394</v>
      </c>
      <c r="D43" s="119" t="s">
        <v>1372</v>
      </c>
      <c r="E43" s="119">
        <v>11</v>
      </c>
      <c r="G43" s="119">
        <v>1</v>
      </c>
      <c r="H43" s="119" t="s">
        <v>717</v>
      </c>
      <c r="I43" s="119" t="s">
        <v>1370</v>
      </c>
      <c r="J43" s="121">
        <v>0.98792535675082338</v>
      </c>
      <c r="L43" s="119">
        <v>1</v>
      </c>
      <c r="M43" s="119" t="s">
        <v>717</v>
      </c>
      <c r="N43" s="119" t="s">
        <v>1370</v>
      </c>
      <c r="O43" s="121">
        <v>0.65861690450054888</v>
      </c>
      <c r="Q43" s="119">
        <v>1</v>
      </c>
      <c r="R43" s="119" t="s">
        <v>339</v>
      </c>
      <c r="S43" s="119" t="s">
        <v>1765</v>
      </c>
      <c r="T43" s="119">
        <v>48</v>
      </c>
      <c r="W43" s="119">
        <v>1</v>
      </c>
      <c r="X43" s="119" t="s">
        <v>266</v>
      </c>
      <c r="Y43" s="119" t="s">
        <v>1410</v>
      </c>
      <c r="Z43" s="119">
        <v>15</v>
      </c>
      <c r="AB43" s="119">
        <v>1</v>
      </c>
      <c r="AC43" s="119" t="s">
        <v>394</v>
      </c>
      <c r="AD43" s="119" t="s">
        <v>1372</v>
      </c>
      <c r="AE43" s="121">
        <v>0.83</v>
      </c>
      <c r="AG43" s="119">
        <v>1</v>
      </c>
      <c r="AH43" s="119" t="s">
        <v>266</v>
      </c>
      <c r="AI43" s="119" t="s">
        <v>1762</v>
      </c>
      <c r="AJ43" s="121">
        <v>0.63</v>
      </c>
      <c r="AL43" s="119">
        <v>1</v>
      </c>
      <c r="AM43" s="119" t="s">
        <v>611</v>
      </c>
      <c r="AN43" s="119" t="s">
        <v>1766</v>
      </c>
      <c r="AO43" s="119">
        <v>49</v>
      </c>
      <c r="AR43" s="119">
        <v>1</v>
      </c>
      <c r="AS43" s="119" t="s">
        <v>580</v>
      </c>
      <c r="AT43" s="119" t="s">
        <v>1387</v>
      </c>
      <c r="AU43" s="119">
        <v>12</v>
      </c>
      <c r="AW43" s="119">
        <v>1</v>
      </c>
      <c r="AX43" s="119" t="s">
        <v>394</v>
      </c>
      <c r="AY43" s="119" t="s">
        <v>1372</v>
      </c>
      <c r="AZ43" s="121">
        <v>0.33</v>
      </c>
      <c r="BB43" s="119">
        <v>1</v>
      </c>
      <c r="BC43" s="119" t="s">
        <v>300</v>
      </c>
      <c r="BD43" s="119" t="s">
        <v>1768</v>
      </c>
      <c r="BE43" s="121">
        <v>0.86</v>
      </c>
      <c r="BG43" s="119">
        <v>1</v>
      </c>
      <c r="BH43" s="119" t="s">
        <v>165</v>
      </c>
      <c r="BI43" s="119" t="s">
        <v>1714</v>
      </c>
      <c r="BJ43" s="119">
        <v>45</v>
      </c>
    </row>
    <row r="44" spans="2:62" ht="19">
      <c r="C44" s="506" t="s">
        <v>429</v>
      </c>
      <c r="D44" s="506" t="s">
        <v>1383</v>
      </c>
      <c r="E44" s="506">
        <v>11</v>
      </c>
      <c r="G44">
        <v>2</v>
      </c>
      <c r="H44" t="s">
        <v>394</v>
      </c>
      <c r="I44" t="s">
        <v>1372</v>
      </c>
      <c r="J44" s="123">
        <v>1.5166835187057632</v>
      </c>
      <c r="L44">
        <v>2</v>
      </c>
      <c r="M44" t="s">
        <v>539</v>
      </c>
      <c r="N44" t="s">
        <v>1406</v>
      </c>
      <c r="O44" s="123">
        <v>0.83333333333333337</v>
      </c>
      <c r="Q44">
        <v>2</v>
      </c>
      <c r="R44" t="s">
        <v>717</v>
      </c>
      <c r="S44" t="s">
        <v>1370</v>
      </c>
      <c r="T44">
        <v>46</v>
      </c>
      <c r="X44" s="119" t="s">
        <v>226</v>
      </c>
      <c r="Y44" s="119" t="s">
        <v>1381</v>
      </c>
      <c r="Z44" s="119">
        <v>15</v>
      </c>
      <c r="AB44">
        <v>2</v>
      </c>
      <c r="AC44" t="s">
        <v>650</v>
      </c>
      <c r="AD44" t="s">
        <v>1770</v>
      </c>
      <c r="AE44" s="123">
        <v>0.92</v>
      </c>
      <c r="AG44">
        <v>2</v>
      </c>
      <c r="AH44" t="s">
        <v>394</v>
      </c>
      <c r="AI44" t="s">
        <v>1372</v>
      </c>
      <c r="AJ44" s="123">
        <v>0.69</v>
      </c>
      <c r="AL44">
        <v>2</v>
      </c>
      <c r="AM44" t="s">
        <v>226</v>
      </c>
      <c r="AN44" t="s">
        <v>1381</v>
      </c>
      <c r="AO44">
        <v>45</v>
      </c>
      <c r="AS44" s="119" t="s">
        <v>226</v>
      </c>
      <c r="AT44" s="119" t="s">
        <v>1775</v>
      </c>
      <c r="AU44" s="119">
        <v>12</v>
      </c>
      <c r="AW44">
        <v>2</v>
      </c>
      <c r="AX44" t="s">
        <v>502</v>
      </c>
      <c r="AY44" t="s">
        <v>1767</v>
      </c>
      <c r="AZ44" s="123">
        <v>1.2</v>
      </c>
      <c r="BB44">
        <v>2</v>
      </c>
      <c r="BC44" t="s">
        <v>502</v>
      </c>
      <c r="BD44" t="s">
        <v>1384</v>
      </c>
      <c r="BE44" s="123">
        <v>0.93</v>
      </c>
      <c r="BH44" s="119" t="s">
        <v>266</v>
      </c>
      <c r="BI44" s="119" t="s">
        <v>1410</v>
      </c>
      <c r="BJ44" s="119">
        <v>45</v>
      </c>
    </row>
    <row r="45" spans="2:62" ht="19">
      <c r="C45" s="506" t="s">
        <v>611</v>
      </c>
      <c r="D45" s="506" t="s">
        <v>1771</v>
      </c>
      <c r="E45" s="506">
        <v>11</v>
      </c>
      <c r="G45">
        <v>3</v>
      </c>
      <c r="H45" t="s">
        <v>394</v>
      </c>
      <c r="I45" t="s">
        <v>1776</v>
      </c>
      <c r="J45" s="123">
        <v>1.741654571843251</v>
      </c>
      <c r="L45">
        <v>3</v>
      </c>
      <c r="M45" t="s">
        <v>300</v>
      </c>
      <c r="N45" t="s">
        <v>1379</v>
      </c>
      <c r="O45" s="123">
        <v>0.84715848923402759</v>
      </c>
      <c r="Q45">
        <v>3</v>
      </c>
      <c r="R45" t="s">
        <v>300</v>
      </c>
      <c r="S45" t="s">
        <v>1379</v>
      </c>
      <c r="T45">
        <v>40</v>
      </c>
      <c r="W45">
        <v>3</v>
      </c>
      <c r="X45" t="s">
        <v>429</v>
      </c>
      <c r="Y45" t="s">
        <v>1383</v>
      </c>
      <c r="Z45">
        <v>12</v>
      </c>
      <c r="AB45">
        <v>3</v>
      </c>
      <c r="AC45" t="s">
        <v>165</v>
      </c>
      <c r="AD45" t="s">
        <v>1773</v>
      </c>
      <c r="AE45" s="123">
        <v>1.4</v>
      </c>
      <c r="AH45" t="s">
        <v>650</v>
      </c>
      <c r="AI45" t="s">
        <v>1770</v>
      </c>
      <c r="AJ45" s="123">
        <v>0.86</v>
      </c>
      <c r="AL45">
        <v>3</v>
      </c>
      <c r="AM45" t="s">
        <v>717</v>
      </c>
      <c r="AN45" t="s">
        <v>1774</v>
      </c>
      <c r="AO45">
        <v>42</v>
      </c>
      <c r="AR45">
        <v>3</v>
      </c>
      <c r="AS45" t="s">
        <v>539</v>
      </c>
      <c r="AT45" t="s">
        <v>1406</v>
      </c>
      <c r="AU45">
        <v>11</v>
      </c>
      <c r="AW45">
        <v>3</v>
      </c>
      <c r="AX45" t="s">
        <v>502</v>
      </c>
      <c r="AY45" t="s">
        <v>1384</v>
      </c>
      <c r="AZ45" s="123">
        <v>1.46</v>
      </c>
      <c r="BC45" t="s">
        <v>266</v>
      </c>
      <c r="BD45" t="s">
        <v>1410</v>
      </c>
      <c r="BE45" s="123">
        <v>0.93</v>
      </c>
      <c r="BG45">
        <v>3</v>
      </c>
      <c r="BH45" t="s">
        <v>226</v>
      </c>
      <c r="BI45" t="s">
        <v>1404</v>
      </c>
      <c r="BJ45">
        <v>39</v>
      </c>
    </row>
    <row r="46" spans="2:62">
      <c r="B46">
        <v>4</v>
      </c>
      <c r="C46" t="s">
        <v>300</v>
      </c>
      <c r="D46" t="s">
        <v>1399</v>
      </c>
      <c r="E46">
        <v>10</v>
      </c>
      <c r="H46" t="s">
        <v>394</v>
      </c>
      <c r="I46" t="s">
        <v>1777</v>
      </c>
      <c r="J46" s="123">
        <v>1.741654571843251</v>
      </c>
      <c r="L46">
        <v>4</v>
      </c>
      <c r="M46" t="s">
        <v>165</v>
      </c>
      <c r="N46" t="s">
        <v>1779</v>
      </c>
      <c r="O46" s="123">
        <v>0.89076418190342244</v>
      </c>
      <c r="Q46">
        <v>4</v>
      </c>
      <c r="R46" t="s">
        <v>226</v>
      </c>
      <c r="S46" t="s">
        <v>1775</v>
      </c>
      <c r="T46">
        <v>37</v>
      </c>
      <c r="W46">
        <v>4</v>
      </c>
      <c r="X46" t="s">
        <v>300</v>
      </c>
      <c r="Y46" t="s">
        <v>1399</v>
      </c>
      <c r="Z46">
        <v>9</v>
      </c>
      <c r="AB46">
        <v>4</v>
      </c>
      <c r="AC46" t="s">
        <v>266</v>
      </c>
      <c r="AD46" t="s">
        <v>1762</v>
      </c>
      <c r="AE46" s="123">
        <v>1.56</v>
      </c>
      <c r="AG46">
        <v>4</v>
      </c>
      <c r="AH46" t="s">
        <v>539</v>
      </c>
      <c r="AI46" t="s">
        <v>1406</v>
      </c>
      <c r="AJ46" s="123">
        <v>0.92</v>
      </c>
      <c r="AL46">
        <v>4</v>
      </c>
      <c r="AM46" t="s">
        <v>539</v>
      </c>
      <c r="AN46" t="s">
        <v>1406</v>
      </c>
      <c r="AO46">
        <v>41</v>
      </c>
      <c r="AR46">
        <v>4</v>
      </c>
      <c r="AS46" t="s">
        <v>502</v>
      </c>
      <c r="AT46" t="s">
        <v>1384</v>
      </c>
      <c r="AU46">
        <v>9</v>
      </c>
      <c r="AW46">
        <v>4</v>
      </c>
      <c r="AX46" t="s">
        <v>717</v>
      </c>
      <c r="AY46" t="s">
        <v>1782</v>
      </c>
      <c r="AZ46" s="123">
        <v>1.74</v>
      </c>
      <c r="BB46">
        <v>4</v>
      </c>
      <c r="BC46" t="s">
        <v>539</v>
      </c>
      <c r="BD46" t="s">
        <v>1406</v>
      </c>
      <c r="BE46" s="123">
        <v>0.95</v>
      </c>
      <c r="BG46">
        <v>4</v>
      </c>
      <c r="BH46" t="s">
        <v>539</v>
      </c>
      <c r="BI46" t="s">
        <v>1406</v>
      </c>
      <c r="BJ46">
        <v>37</v>
      </c>
    </row>
    <row r="47" spans="2:62">
      <c r="B47">
        <v>5</v>
      </c>
      <c r="C47" t="s">
        <v>539</v>
      </c>
      <c r="D47" t="s">
        <v>1406</v>
      </c>
      <c r="E47">
        <v>9</v>
      </c>
      <c r="G47">
        <v>5</v>
      </c>
      <c r="H47" t="s">
        <v>580</v>
      </c>
      <c r="I47" t="s">
        <v>1387</v>
      </c>
      <c r="J47" s="123">
        <v>1.875</v>
      </c>
      <c r="L47">
        <v>5</v>
      </c>
      <c r="M47" t="s">
        <v>580</v>
      </c>
      <c r="N47" t="s">
        <v>1387</v>
      </c>
      <c r="O47" s="123">
        <v>0.95833333333333337</v>
      </c>
      <c r="Q47">
        <v>5</v>
      </c>
      <c r="R47" t="s">
        <v>429</v>
      </c>
      <c r="S47" t="s">
        <v>1383</v>
      </c>
      <c r="T47">
        <v>36</v>
      </c>
      <c r="X47" t="s">
        <v>339</v>
      </c>
      <c r="Y47" t="s">
        <v>1765</v>
      </c>
      <c r="Z47">
        <v>7</v>
      </c>
      <c r="AB47">
        <v>5</v>
      </c>
      <c r="AC47" t="s">
        <v>539</v>
      </c>
      <c r="AD47" t="s">
        <v>1835</v>
      </c>
      <c r="AE47" s="123">
        <v>2.02</v>
      </c>
      <c r="AG47">
        <v>5</v>
      </c>
      <c r="AH47" t="s">
        <v>429</v>
      </c>
      <c r="AI47" t="s">
        <v>1383</v>
      </c>
      <c r="AJ47" s="123">
        <v>0.93</v>
      </c>
      <c r="AL47">
        <v>5</v>
      </c>
      <c r="AM47" t="s">
        <v>717</v>
      </c>
      <c r="AN47" t="s">
        <v>1858</v>
      </c>
      <c r="AO47">
        <v>39</v>
      </c>
      <c r="AS47" t="s">
        <v>339</v>
      </c>
      <c r="AT47" t="s">
        <v>1859</v>
      </c>
      <c r="AU47">
        <v>9</v>
      </c>
      <c r="AW47">
        <v>5</v>
      </c>
      <c r="AX47" t="s">
        <v>580</v>
      </c>
      <c r="AY47" t="s">
        <v>1387</v>
      </c>
      <c r="AZ47" s="123">
        <v>1.8</v>
      </c>
      <c r="BB47">
        <v>5</v>
      </c>
      <c r="BC47" t="s">
        <v>429</v>
      </c>
      <c r="BD47" t="s">
        <v>2182</v>
      </c>
      <c r="BE47" s="123">
        <v>0.97</v>
      </c>
      <c r="BG47">
        <v>5</v>
      </c>
      <c r="BH47" t="s">
        <v>226</v>
      </c>
      <c r="BI47" t="s">
        <v>1775</v>
      </c>
      <c r="BJ47">
        <v>35</v>
      </c>
    </row>
    <row r="48" spans="2:62">
      <c r="B48">
        <v>6</v>
      </c>
      <c r="C48" t="s">
        <v>580</v>
      </c>
      <c r="D48" t="s">
        <v>1387</v>
      </c>
      <c r="E48">
        <v>8</v>
      </c>
      <c r="G48">
        <v>6</v>
      </c>
      <c r="H48" t="s">
        <v>300</v>
      </c>
      <c r="I48" t="s">
        <v>1379</v>
      </c>
      <c r="J48" s="123">
        <v>1.9061066007765621</v>
      </c>
      <c r="L48">
        <v>6</v>
      </c>
      <c r="M48" t="s">
        <v>394</v>
      </c>
      <c r="N48" t="s">
        <v>1777</v>
      </c>
      <c r="O48" s="123">
        <v>0.96758587324625056</v>
      </c>
      <c r="Q48">
        <v>6</v>
      </c>
      <c r="R48" t="s">
        <v>539</v>
      </c>
      <c r="S48" t="s">
        <v>1406</v>
      </c>
      <c r="T48">
        <v>34</v>
      </c>
      <c r="X48" t="s">
        <v>611</v>
      </c>
      <c r="Y48" t="s">
        <v>1860</v>
      </c>
      <c r="Z48">
        <v>7</v>
      </c>
      <c r="AB48">
        <v>6</v>
      </c>
      <c r="AC48" t="s">
        <v>226</v>
      </c>
      <c r="AD48" t="s">
        <v>1381</v>
      </c>
      <c r="AE48" s="123">
        <v>2.15</v>
      </c>
      <c r="AG48">
        <v>6</v>
      </c>
      <c r="AH48" t="s">
        <v>580</v>
      </c>
      <c r="AI48" t="s">
        <v>1861</v>
      </c>
      <c r="AJ48" s="123">
        <v>0.98</v>
      </c>
      <c r="AL48">
        <v>6</v>
      </c>
      <c r="AM48" t="s">
        <v>165</v>
      </c>
      <c r="AN48" t="s">
        <v>1773</v>
      </c>
      <c r="AO48">
        <v>38</v>
      </c>
      <c r="AR48">
        <v>6</v>
      </c>
      <c r="AS48" t="s">
        <v>394</v>
      </c>
      <c r="AT48" t="s">
        <v>1372</v>
      </c>
      <c r="AU48">
        <v>8</v>
      </c>
      <c r="AW48">
        <v>6</v>
      </c>
      <c r="AX48" t="s">
        <v>717</v>
      </c>
      <c r="AY48" t="s">
        <v>1402</v>
      </c>
      <c r="AZ48" s="123">
        <v>1.82</v>
      </c>
      <c r="BB48">
        <v>6</v>
      </c>
      <c r="BC48" t="s">
        <v>685</v>
      </c>
      <c r="BD48" t="s">
        <v>1853</v>
      </c>
      <c r="BE48" s="123">
        <v>1.01</v>
      </c>
      <c r="BG48">
        <v>6</v>
      </c>
      <c r="BH48" t="s">
        <v>165</v>
      </c>
      <c r="BI48" t="s">
        <v>1773</v>
      </c>
      <c r="BJ48">
        <v>34</v>
      </c>
    </row>
    <row r="49" spans="2:62">
      <c r="B49">
        <v>7</v>
      </c>
      <c r="C49" t="s">
        <v>502</v>
      </c>
      <c r="D49" t="s">
        <v>1717</v>
      </c>
      <c r="E49">
        <v>7</v>
      </c>
      <c r="G49">
        <v>7</v>
      </c>
      <c r="H49" t="s">
        <v>717</v>
      </c>
      <c r="I49" t="s">
        <v>1862</v>
      </c>
      <c r="J49" s="123">
        <v>2.0454545454545454</v>
      </c>
      <c r="L49">
        <v>7</v>
      </c>
      <c r="M49" t="s">
        <v>717</v>
      </c>
      <c r="N49" t="s">
        <v>1782</v>
      </c>
      <c r="O49" s="123">
        <v>0.97578604987350914</v>
      </c>
      <c r="R49" t="s">
        <v>266</v>
      </c>
      <c r="S49" t="s">
        <v>1796</v>
      </c>
      <c r="T49">
        <v>34</v>
      </c>
      <c r="X49" t="s">
        <v>717</v>
      </c>
      <c r="Y49" t="s">
        <v>1782</v>
      </c>
      <c r="Z49">
        <v>7</v>
      </c>
      <c r="AB49">
        <v>7</v>
      </c>
      <c r="AC49" t="s">
        <v>502</v>
      </c>
      <c r="AD49" t="s">
        <v>1863</v>
      </c>
      <c r="AE49" s="123">
        <v>2.37</v>
      </c>
      <c r="AG49">
        <v>7</v>
      </c>
      <c r="AH49" t="s">
        <v>685</v>
      </c>
      <c r="AI49" t="s">
        <v>1864</v>
      </c>
      <c r="AJ49" s="123">
        <v>1.08</v>
      </c>
      <c r="AM49" t="s">
        <v>339</v>
      </c>
      <c r="AN49" t="s">
        <v>1765</v>
      </c>
      <c r="AO49">
        <v>38</v>
      </c>
      <c r="AS49" t="s">
        <v>717</v>
      </c>
      <c r="AT49" t="s">
        <v>1402</v>
      </c>
      <c r="AU49">
        <v>8</v>
      </c>
      <c r="AW49">
        <v>7</v>
      </c>
      <c r="AX49" t="s">
        <v>165</v>
      </c>
      <c r="AY49" t="s">
        <v>1773</v>
      </c>
      <c r="AZ49" s="123">
        <v>2.35</v>
      </c>
      <c r="BB49">
        <v>7</v>
      </c>
      <c r="BC49" t="s">
        <v>717</v>
      </c>
      <c r="BD49" t="s">
        <v>1782</v>
      </c>
      <c r="BE49" s="123">
        <v>1.02</v>
      </c>
      <c r="BG49">
        <v>7</v>
      </c>
      <c r="BH49" t="s">
        <v>394</v>
      </c>
      <c r="BI49" t="s">
        <v>1776</v>
      </c>
      <c r="BJ49">
        <v>33</v>
      </c>
    </row>
    <row r="50" spans="2:62">
      <c r="C50" t="s">
        <v>165</v>
      </c>
      <c r="D50" t="s">
        <v>1773</v>
      </c>
      <c r="E50">
        <v>7</v>
      </c>
      <c r="G50">
        <v>8</v>
      </c>
      <c r="H50" t="s">
        <v>611</v>
      </c>
      <c r="I50" t="s">
        <v>1771</v>
      </c>
      <c r="J50" s="123">
        <v>2.1318594551914729</v>
      </c>
      <c r="L50">
        <v>8</v>
      </c>
      <c r="M50" t="s">
        <v>463</v>
      </c>
      <c r="N50" t="s">
        <v>1865</v>
      </c>
      <c r="O50" s="123">
        <v>1.0346611484738748</v>
      </c>
      <c r="R50" t="s">
        <v>611</v>
      </c>
      <c r="S50" t="s">
        <v>1766</v>
      </c>
      <c r="T50">
        <v>34</v>
      </c>
      <c r="W50">
        <v>8</v>
      </c>
      <c r="Y50" t="s">
        <v>1627</v>
      </c>
      <c r="Z50">
        <v>6</v>
      </c>
      <c r="AB50">
        <v>8</v>
      </c>
      <c r="AC50" t="s">
        <v>300</v>
      </c>
      <c r="AD50" t="s">
        <v>1399</v>
      </c>
      <c r="AE50" s="123">
        <v>2.5099999999999998</v>
      </c>
      <c r="AG50">
        <v>8</v>
      </c>
      <c r="AH50" t="s">
        <v>226</v>
      </c>
      <c r="AI50" t="s">
        <v>1381</v>
      </c>
      <c r="AJ50" s="123">
        <v>1.0900000000000001</v>
      </c>
      <c r="AM50" t="s">
        <v>463</v>
      </c>
      <c r="AN50" t="s">
        <v>1866</v>
      </c>
      <c r="AO50">
        <v>38</v>
      </c>
      <c r="AR50">
        <v>8</v>
      </c>
      <c r="AS50" t="s">
        <v>685</v>
      </c>
      <c r="AT50" t="s">
        <v>1871</v>
      </c>
      <c r="AU50">
        <v>7</v>
      </c>
      <c r="AW50">
        <v>8</v>
      </c>
      <c r="AX50" t="s">
        <v>685</v>
      </c>
      <c r="AY50" t="s">
        <v>1871</v>
      </c>
      <c r="AZ50" s="123">
        <v>2.4500000000000002</v>
      </c>
      <c r="BB50">
        <v>8</v>
      </c>
      <c r="BC50" t="s">
        <v>394</v>
      </c>
      <c r="BD50" t="s">
        <v>1372</v>
      </c>
      <c r="BE50" s="123">
        <v>1.04</v>
      </c>
      <c r="BG50">
        <v>8</v>
      </c>
      <c r="BH50" t="s">
        <v>502</v>
      </c>
      <c r="BI50" t="s">
        <v>1384</v>
      </c>
      <c r="BJ50">
        <v>31</v>
      </c>
    </row>
    <row r="51" spans="2:62">
      <c r="C51" t="s">
        <v>463</v>
      </c>
      <c r="D51" t="s">
        <v>1867</v>
      </c>
      <c r="E51">
        <v>7</v>
      </c>
      <c r="H51" t="s">
        <v>165</v>
      </c>
      <c r="I51" t="s">
        <v>1868</v>
      </c>
      <c r="J51" s="123">
        <v>2.1318594551914729</v>
      </c>
      <c r="L51">
        <v>9</v>
      </c>
      <c r="M51" t="s">
        <v>394</v>
      </c>
      <c r="N51" t="s">
        <v>1372</v>
      </c>
      <c r="O51" s="123">
        <v>1.0448264239973035</v>
      </c>
      <c r="Q51">
        <v>9</v>
      </c>
      <c r="R51" t="s">
        <v>394</v>
      </c>
      <c r="S51" t="s">
        <v>1372</v>
      </c>
      <c r="T51">
        <v>33</v>
      </c>
      <c r="AB51">
        <v>9</v>
      </c>
      <c r="AC51" t="s">
        <v>539</v>
      </c>
      <c r="AD51" t="s">
        <v>1869</v>
      </c>
      <c r="AE51" s="123">
        <v>2.63</v>
      </c>
      <c r="AH51" t="s">
        <v>300</v>
      </c>
      <c r="AI51" t="s">
        <v>1870</v>
      </c>
      <c r="AJ51" s="123">
        <v>1.0900000000000001</v>
      </c>
      <c r="AL51">
        <v>9</v>
      </c>
      <c r="AM51" t="s">
        <v>266</v>
      </c>
      <c r="AN51" t="s">
        <v>1410</v>
      </c>
      <c r="AO51">
        <v>37</v>
      </c>
      <c r="AS51" t="s">
        <v>266</v>
      </c>
      <c r="AT51" t="s">
        <v>1410</v>
      </c>
      <c r="AU51">
        <v>7</v>
      </c>
      <c r="AW51">
        <v>9</v>
      </c>
      <c r="AX51" t="s">
        <v>266</v>
      </c>
      <c r="AY51" t="s">
        <v>1410</v>
      </c>
      <c r="AZ51" s="123">
        <v>2.7</v>
      </c>
      <c r="BB51">
        <v>9</v>
      </c>
      <c r="BC51" t="s">
        <v>717</v>
      </c>
      <c r="BD51" t="s">
        <v>1402</v>
      </c>
      <c r="BE51" s="123">
        <v>1.05</v>
      </c>
      <c r="BH51" t="s">
        <v>650</v>
      </c>
      <c r="BI51" t="s">
        <v>1846</v>
      </c>
      <c r="BJ51">
        <v>31</v>
      </c>
    </row>
    <row r="52" spans="2:62">
      <c r="B52">
        <v>10</v>
      </c>
      <c r="C52" t="s">
        <v>685</v>
      </c>
      <c r="D52" t="s">
        <v>1871</v>
      </c>
      <c r="E52">
        <v>6</v>
      </c>
      <c r="G52">
        <v>10</v>
      </c>
      <c r="H52" t="s">
        <v>539</v>
      </c>
      <c r="I52" t="s">
        <v>1406</v>
      </c>
      <c r="J52" s="123">
        <v>2.25</v>
      </c>
      <c r="L52">
        <v>10</v>
      </c>
      <c r="M52" t="s">
        <v>717</v>
      </c>
      <c r="N52" t="s">
        <v>1862</v>
      </c>
      <c r="O52" s="123">
        <v>1.0454545454545454</v>
      </c>
      <c r="Q52">
        <v>10</v>
      </c>
      <c r="R52" t="s">
        <v>502</v>
      </c>
      <c r="S52" t="s">
        <v>1872</v>
      </c>
      <c r="T52">
        <v>32</v>
      </c>
      <c r="AB52">
        <v>10</v>
      </c>
      <c r="AC52" t="s">
        <v>463</v>
      </c>
      <c r="AD52" t="s">
        <v>1854</v>
      </c>
      <c r="AE52" s="123">
        <v>2.68</v>
      </c>
      <c r="AG52">
        <v>10</v>
      </c>
      <c r="AI52" t="s">
        <v>1610</v>
      </c>
      <c r="AJ52" s="123">
        <v>1.1000000000000001</v>
      </c>
      <c r="AL52">
        <v>10</v>
      </c>
      <c r="AN52" t="s">
        <v>1614</v>
      </c>
      <c r="AO52">
        <v>34</v>
      </c>
      <c r="AT52" t="s">
        <v>1610</v>
      </c>
      <c r="AU52">
        <v>7</v>
      </c>
      <c r="AW52">
        <v>10</v>
      </c>
      <c r="AX52" t="s">
        <v>539</v>
      </c>
      <c r="AY52" t="s">
        <v>1406</v>
      </c>
      <c r="AZ52" s="123">
        <v>2.73</v>
      </c>
      <c r="BB52">
        <v>10</v>
      </c>
      <c r="BC52" t="s">
        <v>650</v>
      </c>
      <c r="BD52" t="s">
        <v>1770</v>
      </c>
      <c r="BE52" s="123">
        <v>1.1000000000000001</v>
      </c>
      <c r="BG52">
        <v>10</v>
      </c>
      <c r="BI52" t="s">
        <v>1614</v>
      </c>
      <c r="BJ52">
        <v>29</v>
      </c>
    </row>
    <row r="54" spans="2:62" s="118" customFormat="1" ht="19">
      <c r="B54" s="1069" t="s">
        <v>1873</v>
      </c>
      <c r="C54" s="1070"/>
      <c r="D54" s="1070"/>
      <c r="E54" s="1071"/>
      <c r="W54" s="1069" t="s">
        <v>1873</v>
      </c>
      <c r="X54" s="1070"/>
      <c r="Y54" s="1070"/>
      <c r="Z54" s="1071"/>
      <c r="AR54" s="1069" t="s">
        <v>1873</v>
      </c>
      <c r="AS54" s="1070"/>
      <c r="AT54" s="1070"/>
      <c r="AU54" s="1071"/>
    </row>
    <row r="55" spans="2:62" s="141" customFormat="1">
      <c r="B55" s="359"/>
      <c r="C55" s="360" t="s">
        <v>8</v>
      </c>
      <c r="D55" s="360" t="s">
        <v>1314</v>
      </c>
      <c r="E55" s="360" t="s">
        <v>164</v>
      </c>
      <c r="W55" s="359"/>
      <c r="X55" s="360" t="s">
        <v>8</v>
      </c>
      <c r="Y55" s="360" t="s">
        <v>1314</v>
      </c>
      <c r="Z55" s="360" t="s">
        <v>164</v>
      </c>
      <c r="AR55" s="359"/>
      <c r="AS55" s="360" t="s">
        <v>8</v>
      </c>
      <c r="AT55" s="360" t="s">
        <v>1314</v>
      </c>
      <c r="AU55" s="360" t="s">
        <v>164</v>
      </c>
    </row>
    <row r="56" spans="2:62" s="119" customFormat="1" ht="19">
      <c r="B56" s="119">
        <v>1</v>
      </c>
      <c r="C56" s="119" t="s">
        <v>429</v>
      </c>
      <c r="D56" s="119" t="s">
        <v>1709</v>
      </c>
      <c r="E56" s="119">
        <v>7</v>
      </c>
      <c r="W56" s="119">
        <v>1</v>
      </c>
      <c r="X56" s="119" t="s">
        <v>539</v>
      </c>
      <c r="Y56" s="119" t="s">
        <v>1740</v>
      </c>
      <c r="Z56" s="119">
        <v>8</v>
      </c>
      <c r="AR56" s="119">
        <v>1</v>
      </c>
      <c r="AS56" s="119" t="s">
        <v>339</v>
      </c>
      <c r="AT56" s="119" t="s">
        <v>1745</v>
      </c>
      <c r="AU56" s="119">
        <v>7</v>
      </c>
    </row>
    <row r="57" spans="2:62" ht="19">
      <c r="B57">
        <v>2</v>
      </c>
      <c r="C57" t="s">
        <v>685</v>
      </c>
      <c r="D57" t="s">
        <v>1340</v>
      </c>
      <c r="E57">
        <v>6</v>
      </c>
      <c r="W57">
        <v>2</v>
      </c>
      <c r="X57" t="s">
        <v>339</v>
      </c>
      <c r="Y57" t="s">
        <v>1845</v>
      </c>
      <c r="Z57">
        <v>6</v>
      </c>
      <c r="AS57" s="119" t="s">
        <v>685</v>
      </c>
      <c r="AT57" s="119" t="s">
        <v>1720</v>
      </c>
      <c r="AU57" s="119">
        <v>7</v>
      </c>
    </row>
    <row r="58" spans="2:62" ht="19">
      <c r="C58" t="s">
        <v>266</v>
      </c>
      <c r="D58" t="s">
        <v>1679</v>
      </c>
      <c r="E58">
        <v>6</v>
      </c>
      <c r="X58" t="s">
        <v>300</v>
      </c>
      <c r="Y58" t="s">
        <v>1739</v>
      </c>
      <c r="Z58">
        <v>6</v>
      </c>
      <c r="AS58" s="119" t="s">
        <v>650</v>
      </c>
      <c r="AT58" s="119" t="s">
        <v>1756</v>
      </c>
      <c r="AU58" s="119">
        <v>7</v>
      </c>
    </row>
    <row r="59" spans="2:62">
      <c r="C59" t="s">
        <v>339</v>
      </c>
      <c r="D59" t="s">
        <v>1874</v>
      </c>
      <c r="E59">
        <v>6</v>
      </c>
      <c r="X59" t="s">
        <v>580</v>
      </c>
      <c r="Y59" t="s">
        <v>1721</v>
      </c>
      <c r="Z59">
        <v>6</v>
      </c>
      <c r="AR59">
        <v>4</v>
      </c>
      <c r="AS59" t="s">
        <v>300</v>
      </c>
      <c r="AT59" t="s">
        <v>1732</v>
      </c>
      <c r="AU59">
        <v>6</v>
      </c>
    </row>
    <row r="60" spans="2:62">
      <c r="C60" t="s">
        <v>717</v>
      </c>
      <c r="D60" t="s">
        <v>1716</v>
      </c>
      <c r="E60">
        <v>6</v>
      </c>
      <c r="X60" t="s">
        <v>463</v>
      </c>
      <c r="Y60" t="s">
        <v>1724</v>
      </c>
      <c r="Z60">
        <v>6</v>
      </c>
      <c r="AS60" t="s">
        <v>717</v>
      </c>
      <c r="AT60" t="s">
        <v>1850</v>
      </c>
      <c r="AU60">
        <v>6</v>
      </c>
    </row>
    <row r="61" spans="2:62">
      <c r="C61" t="s">
        <v>650</v>
      </c>
      <c r="D61" t="s">
        <v>1729</v>
      </c>
      <c r="E61">
        <v>6</v>
      </c>
      <c r="X61" t="s">
        <v>650</v>
      </c>
      <c r="Y61" t="s">
        <v>1680</v>
      </c>
      <c r="Z61">
        <v>6</v>
      </c>
      <c r="AS61" t="s">
        <v>463</v>
      </c>
      <c r="AT61" t="s">
        <v>1677</v>
      </c>
      <c r="AU61">
        <v>6</v>
      </c>
    </row>
    <row r="62" spans="2:62">
      <c r="C62" t="s">
        <v>717</v>
      </c>
      <c r="D62" t="s">
        <v>1751</v>
      </c>
      <c r="E62">
        <v>6</v>
      </c>
      <c r="W62">
        <v>7</v>
      </c>
      <c r="Y62" t="s">
        <v>1807</v>
      </c>
      <c r="Z62">
        <v>5</v>
      </c>
      <c r="AS62" t="s">
        <v>463</v>
      </c>
      <c r="AT62" t="s">
        <v>1724</v>
      </c>
      <c r="AU62">
        <v>6</v>
      </c>
    </row>
    <row r="63" spans="2:62">
      <c r="B63">
        <v>8</v>
      </c>
      <c r="C63" t="s">
        <v>226</v>
      </c>
      <c r="D63" t="s">
        <v>1353</v>
      </c>
      <c r="E63">
        <v>5</v>
      </c>
      <c r="AS63" t="s">
        <v>300</v>
      </c>
      <c r="AT63" t="s">
        <v>1739</v>
      </c>
      <c r="AU63">
        <v>6</v>
      </c>
    </row>
    <row r="64" spans="2:62">
      <c r="C64" t="s">
        <v>650</v>
      </c>
      <c r="D64" t="s">
        <v>1680</v>
      </c>
      <c r="E64">
        <v>5</v>
      </c>
      <c r="AS64" t="s">
        <v>650</v>
      </c>
      <c r="AT64" t="s">
        <v>1729</v>
      </c>
      <c r="AU64">
        <v>6</v>
      </c>
    </row>
    <row r="65" spans="4:47">
      <c r="D65" t="s">
        <v>1613</v>
      </c>
      <c r="E65">
        <v>5</v>
      </c>
      <c r="AR65">
        <v>10</v>
      </c>
      <c r="AT65" t="s">
        <v>1802</v>
      </c>
      <c r="AU65">
        <v>5</v>
      </c>
    </row>
  </sheetData>
  <mergeCells count="54">
    <mergeCell ref="AW41:AZ41"/>
    <mergeCell ref="BB41:BE41"/>
    <mergeCell ref="BG41:BJ41"/>
    <mergeCell ref="W54:Z54"/>
    <mergeCell ref="AR54:AU54"/>
    <mergeCell ref="W41:Z41"/>
    <mergeCell ref="AB41:AE41"/>
    <mergeCell ref="AG41:AJ41"/>
    <mergeCell ref="AL41:AO41"/>
    <mergeCell ref="AR41:AU41"/>
    <mergeCell ref="AR15:AU15"/>
    <mergeCell ref="AW15:AZ15"/>
    <mergeCell ref="BB15:BE15"/>
    <mergeCell ref="BG15:BJ15"/>
    <mergeCell ref="W28:Z28"/>
    <mergeCell ref="AB28:AE28"/>
    <mergeCell ref="AG28:AJ28"/>
    <mergeCell ref="AL28:AO28"/>
    <mergeCell ref="AR28:AU28"/>
    <mergeCell ref="AW28:AZ28"/>
    <mergeCell ref="BB28:BE28"/>
    <mergeCell ref="BG28:BJ28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B15:E15"/>
    <mergeCell ref="G15:J15"/>
    <mergeCell ref="L15:O15"/>
    <mergeCell ref="Q15:T15"/>
    <mergeCell ref="W1:AO1"/>
    <mergeCell ref="W15:Z15"/>
    <mergeCell ref="AB15:AE15"/>
    <mergeCell ref="AG15:AJ15"/>
    <mergeCell ref="AL15:AO15"/>
    <mergeCell ref="B1:T1"/>
    <mergeCell ref="B2:E2"/>
    <mergeCell ref="G2:J2"/>
    <mergeCell ref="L2:O2"/>
    <mergeCell ref="Q2:T2"/>
    <mergeCell ref="B54:E54"/>
    <mergeCell ref="B28:E28"/>
    <mergeCell ref="G28:J28"/>
    <mergeCell ref="L28:O28"/>
    <mergeCell ref="Q28:T28"/>
    <mergeCell ref="B41:E41"/>
    <mergeCell ref="G41:J41"/>
    <mergeCell ref="L41:O41"/>
    <mergeCell ref="Q41:T4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B1:BJ65"/>
  <sheetViews>
    <sheetView zoomScale="110" zoomScaleNormal="110" workbookViewId="0">
      <pane ySplit="1" topLeftCell="A2" activePane="bottomLeft" state="frozenSplit"/>
      <selection pane="bottomLeft" activeCell="AY38" sqref="AY38"/>
    </sheetView>
  </sheetViews>
  <sheetFormatPr baseColWidth="10" defaultRowHeight="16"/>
  <cols>
    <col min="1" max="2" width="3.1640625" customWidth="1"/>
    <col min="3" max="3" width="6" customWidth="1"/>
    <col min="4" max="4" width="16.33203125" customWidth="1"/>
    <col min="5" max="5" width="5.6640625" customWidth="1"/>
    <col min="6" max="7" width="3.1640625" customWidth="1"/>
    <col min="8" max="8" width="6" customWidth="1"/>
    <col min="9" max="9" width="16.6640625" customWidth="1"/>
    <col min="10" max="10" width="6" customWidth="1"/>
    <col min="11" max="12" width="3.1640625" customWidth="1"/>
    <col min="13" max="13" width="6" customWidth="1"/>
    <col min="14" max="14" width="16.33203125" customWidth="1"/>
    <col min="15" max="15" width="5.83203125" customWidth="1"/>
    <col min="16" max="17" width="3.1640625" customWidth="1"/>
    <col min="18" max="18" width="6" customWidth="1"/>
    <col min="19" max="19" width="16.33203125" customWidth="1"/>
    <col min="20" max="20" width="4.6640625" customWidth="1"/>
    <col min="21" max="23" width="3.1640625" customWidth="1"/>
    <col min="24" max="24" width="5.5" customWidth="1"/>
    <col min="25" max="25" width="15.6640625" customWidth="1"/>
    <col min="26" max="26" width="5.33203125" customWidth="1"/>
    <col min="27" max="28" width="3.1640625" customWidth="1"/>
    <col min="29" max="29" width="5.5" customWidth="1"/>
    <col min="30" max="30" width="15.6640625" customWidth="1"/>
    <col min="31" max="31" width="6" customWidth="1"/>
    <col min="32" max="33" width="3.1640625" customWidth="1"/>
    <col min="34" max="34" width="6" customWidth="1"/>
    <col min="35" max="35" width="14.5" customWidth="1"/>
    <col min="36" max="36" width="5.33203125" customWidth="1"/>
    <col min="37" max="38" width="3.1640625" customWidth="1"/>
    <col min="39" max="39" width="5.5" customWidth="1"/>
    <col min="40" max="40" width="13.5" customWidth="1"/>
    <col min="41" max="41" width="4.6640625" customWidth="1"/>
    <col min="42" max="44" width="3.1640625" customWidth="1"/>
    <col min="45" max="45" width="6" customWidth="1"/>
    <col min="46" max="46" width="16" customWidth="1"/>
    <col min="47" max="47" width="5.33203125" customWidth="1"/>
    <col min="48" max="49" width="3.1640625" customWidth="1"/>
    <col min="50" max="50" width="6" customWidth="1"/>
    <col min="51" max="51" width="17" customWidth="1"/>
    <col min="52" max="52" width="6" customWidth="1"/>
    <col min="53" max="54" width="3.1640625" customWidth="1"/>
    <col min="55" max="55" width="6" customWidth="1"/>
    <col min="56" max="56" width="16" customWidth="1"/>
    <col min="57" max="57" width="5.33203125" customWidth="1"/>
    <col min="58" max="59" width="3.1640625" customWidth="1"/>
    <col min="60" max="60" width="5.5" customWidth="1"/>
    <col min="61" max="61" width="16" customWidth="1"/>
    <col min="62" max="62" width="4.6640625" customWidth="1"/>
    <col min="63" max="63" width="2.83203125" customWidth="1"/>
  </cols>
  <sheetData>
    <row r="1" spans="2:62" ht="27">
      <c r="B1" s="1075" t="s">
        <v>1875</v>
      </c>
      <c r="C1" s="1076"/>
      <c r="D1" s="1076"/>
      <c r="E1" s="1076"/>
      <c r="F1" s="1076"/>
      <c r="G1" s="1076"/>
      <c r="H1" s="1076"/>
      <c r="I1" s="1076"/>
      <c r="J1" s="1076"/>
      <c r="K1" s="1076"/>
      <c r="L1" s="1076"/>
      <c r="M1" s="1076"/>
      <c r="N1" s="1076"/>
      <c r="O1" s="1076"/>
      <c r="P1" s="1076"/>
      <c r="Q1" s="1076"/>
      <c r="R1" s="1076"/>
      <c r="S1" s="1076"/>
      <c r="T1" s="1077"/>
      <c r="W1" s="1075" t="s">
        <v>1876</v>
      </c>
      <c r="X1" s="1076"/>
      <c r="Y1" s="1076"/>
      <c r="Z1" s="1076"/>
      <c r="AA1" s="1076"/>
      <c r="AB1" s="1076"/>
      <c r="AC1" s="1076"/>
      <c r="AD1" s="1076"/>
      <c r="AE1" s="1076"/>
      <c r="AF1" s="1076"/>
      <c r="AG1" s="1076"/>
      <c r="AH1" s="1076"/>
      <c r="AI1" s="1076"/>
      <c r="AJ1" s="1076"/>
      <c r="AK1" s="1076"/>
      <c r="AL1" s="1076"/>
      <c r="AM1" s="1076"/>
      <c r="AN1" s="1076"/>
      <c r="AO1" s="1077"/>
      <c r="AR1" s="1075" t="s">
        <v>1877</v>
      </c>
      <c r="AS1" s="1076"/>
      <c r="AT1" s="1076"/>
      <c r="AU1" s="1076"/>
      <c r="AV1" s="1076"/>
      <c r="AW1" s="1076"/>
      <c r="AX1" s="1076"/>
      <c r="AY1" s="1076"/>
      <c r="AZ1" s="1076"/>
      <c r="BA1" s="1076"/>
      <c r="BB1" s="1076"/>
      <c r="BC1" s="1076"/>
      <c r="BD1" s="1076"/>
      <c r="BE1" s="1076"/>
      <c r="BF1" s="1076"/>
      <c r="BG1" s="1076"/>
      <c r="BH1" s="1076"/>
      <c r="BI1" s="1076"/>
      <c r="BJ1" s="1077"/>
    </row>
    <row r="2" spans="2:62">
      <c r="B2" s="1084" t="s">
        <v>1658</v>
      </c>
      <c r="C2" s="1085"/>
      <c r="D2" s="1085"/>
      <c r="E2" s="1086"/>
      <c r="G2" s="1084" t="s">
        <v>196</v>
      </c>
      <c r="H2" s="1085"/>
      <c r="I2" s="1085"/>
      <c r="J2" s="1086"/>
      <c r="L2" s="1084" t="s">
        <v>1659</v>
      </c>
      <c r="M2" s="1085"/>
      <c r="N2" s="1085"/>
      <c r="O2" s="1086"/>
      <c r="Q2" s="1084" t="s">
        <v>1660</v>
      </c>
      <c r="R2" s="1085"/>
      <c r="S2" s="1085"/>
      <c r="T2" s="1086"/>
      <c r="W2" s="1084" t="s">
        <v>1658</v>
      </c>
      <c r="X2" s="1085"/>
      <c r="Y2" s="1085"/>
      <c r="Z2" s="1086"/>
      <c r="AB2" s="1084" t="s">
        <v>196</v>
      </c>
      <c r="AC2" s="1085"/>
      <c r="AD2" s="1085"/>
      <c r="AE2" s="1086"/>
      <c r="AG2" s="1084" t="s">
        <v>1659</v>
      </c>
      <c r="AH2" s="1085"/>
      <c r="AI2" s="1085"/>
      <c r="AJ2" s="1086"/>
      <c r="AL2" s="1084" t="s">
        <v>1660</v>
      </c>
      <c r="AM2" s="1085"/>
      <c r="AN2" s="1085"/>
      <c r="AO2" s="1086"/>
      <c r="AR2" s="1084" t="s">
        <v>1658</v>
      </c>
      <c r="AS2" s="1085"/>
      <c r="AT2" s="1085"/>
      <c r="AU2" s="1086"/>
      <c r="AW2" s="1084" t="s">
        <v>196</v>
      </c>
      <c r="AX2" s="1085"/>
      <c r="AY2" s="1085"/>
      <c r="AZ2" s="1086"/>
      <c r="BB2" s="1084" t="s">
        <v>1659</v>
      </c>
      <c r="BC2" s="1085"/>
      <c r="BD2" s="1085"/>
      <c r="BE2" s="1086"/>
      <c r="BG2" s="1084" t="s">
        <v>1660</v>
      </c>
      <c r="BH2" s="1085"/>
      <c r="BI2" s="1085"/>
      <c r="BJ2" s="1086"/>
    </row>
    <row r="3" spans="2:62" s="141" customFormat="1">
      <c r="B3" s="359"/>
      <c r="C3" s="359" t="s">
        <v>8</v>
      </c>
      <c r="D3" s="359" t="s">
        <v>1314</v>
      </c>
      <c r="E3" s="359" t="s">
        <v>164</v>
      </c>
      <c r="G3" s="359"/>
      <c r="H3" s="359" t="s">
        <v>8</v>
      </c>
      <c r="I3" s="359" t="s">
        <v>1314</v>
      </c>
      <c r="J3" s="359" t="s">
        <v>164</v>
      </c>
      <c r="L3" s="359"/>
      <c r="M3" s="359" t="s">
        <v>8</v>
      </c>
      <c r="N3" s="359" t="s">
        <v>1314</v>
      </c>
      <c r="O3" s="359" t="s">
        <v>164</v>
      </c>
      <c r="Q3" s="359"/>
      <c r="R3" s="359" t="s">
        <v>8</v>
      </c>
      <c r="S3" s="359" t="s">
        <v>1314</v>
      </c>
      <c r="T3" s="359" t="s">
        <v>164</v>
      </c>
      <c r="W3" s="359"/>
      <c r="X3" s="359" t="s">
        <v>8</v>
      </c>
      <c r="Y3" s="359" t="s">
        <v>1314</v>
      </c>
      <c r="Z3" s="359" t="s">
        <v>164</v>
      </c>
      <c r="AB3" s="359"/>
      <c r="AC3" s="359" t="s">
        <v>8</v>
      </c>
      <c r="AD3" s="359" t="s">
        <v>1314</v>
      </c>
      <c r="AE3" s="359" t="s">
        <v>164</v>
      </c>
      <c r="AG3" s="359"/>
      <c r="AH3" s="359" t="s">
        <v>8</v>
      </c>
      <c r="AI3" s="359" t="s">
        <v>1314</v>
      </c>
      <c r="AJ3" s="359" t="s">
        <v>164</v>
      </c>
      <c r="AL3" s="359"/>
      <c r="AM3" s="359" t="s">
        <v>8</v>
      </c>
      <c r="AN3" s="359" t="s">
        <v>1314</v>
      </c>
      <c r="AO3" s="359" t="s">
        <v>164</v>
      </c>
      <c r="AR3" s="359"/>
      <c r="AS3" s="359" t="s">
        <v>8</v>
      </c>
      <c r="AT3" s="359" t="s">
        <v>1314</v>
      </c>
      <c r="AU3" s="359" t="s">
        <v>164</v>
      </c>
      <c r="AW3" s="359"/>
      <c r="AX3" s="359" t="s">
        <v>8</v>
      </c>
      <c r="AY3" s="359" t="s">
        <v>1314</v>
      </c>
      <c r="AZ3" s="359" t="s">
        <v>164</v>
      </c>
      <c r="BB3" s="359"/>
      <c r="BC3" s="359" t="s">
        <v>8</v>
      </c>
      <c r="BD3" s="359" t="s">
        <v>1314</v>
      </c>
      <c r="BE3" s="359" t="s">
        <v>164</v>
      </c>
      <c r="BG3" s="359"/>
      <c r="BH3" s="359" t="s">
        <v>8</v>
      </c>
      <c r="BI3" s="359" t="s">
        <v>1314</v>
      </c>
      <c r="BJ3" s="359" t="s">
        <v>164</v>
      </c>
    </row>
    <row r="4" spans="2:62" s="119" customFormat="1" ht="19">
      <c r="B4" s="119">
        <v>1</v>
      </c>
      <c r="C4" s="119" t="s">
        <v>835</v>
      </c>
      <c r="D4" s="119" t="s">
        <v>1661</v>
      </c>
      <c r="E4" s="125">
        <v>7</v>
      </c>
      <c r="G4" s="119">
        <v>1</v>
      </c>
      <c r="H4" s="119" t="s">
        <v>1171</v>
      </c>
      <c r="I4" s="119" t="s">
        <v>1328</v>
      </c>
      <c r="J4" s="121">
        <v>1.6027397260273972</v>
      </c>
      <c r="L4" s="119">
        <v>1</v>
      </c>
      <c r="M4" s="119" t="s">
        <v>804</v>
      </c>
      <c r="N4" s="119" t="s">
        <v>1337</v>
      </c>
      <c r="O4" s="121">
        <v>0.80613188846306327</v>
      </c>
      <c r="Q4" s="119">
        <v>1</v>
      </c>
      <c r="R4" s="119" t="s">
        <v>835</v>
      </c>
      <c r="S4" s="119" t="s">
        <v>1318</v>
      </c>
      <c r="T4" s="125">
        <v>112</v>
      </c>
      <c r="W4" s="119">
        <v>1</v>
      </c>
      <c r="X4" s="119" t="s">
        <v>1139</v>
      </c>
      <c r="Y4" s="119" t="s">
        <v>1600</v>
      </c>
      <c r="Z4" s="125">
        <v>8</v>
      </c>
      <c r="AB4" s="119">
        <v>1</v>
      </c>
      <c r="AC4" s="119" t="s">
        <v>835</v>
      </c>
      <c r="AD4" s="119" t="s">
        <v>1318</v>
      </c>
      <c r="AE4" s="121">
        <v>1.26</v>
      </c>
      <c r="AG4" s="119">
        <v>1</v>
      </c>
      <c r="AH4" s="119" t="s">
        <v>804</v>
      </c>
      <c r="AI4" s="119" t="s">
        <v>1337</v>
      </c>
      <c r="AJ4" s="121">
        <v>0.8</v>
      </c>
      <c r="AL4" s="119">
        <v>1</v>
      </c>
      <c r="AM4" s="119" t="s">
        <v>835</v>
      </c>
      <c r="AN4" s="119" t="s">
        <v>1318</v>
      </c>
      <c r="AO4" s="125">
        <v>116</v>
      </c>
      <c r="AR4" s="119">
        <v>1</v>
      </c>
      <c r="AS4" s="119" t="s">
        <v>869</v>
      </c>
      <c r="AT4" s="119" t="s">
        <v>1324</v>
      </c>
      <c r="AU4" s="125">
        <v>8</v>
      </c>
      <c r="AW4" s="119">
        <v>1</v>
      </c>
      <c r="AX4" s="119" t="s">
        <v>869</v>
      </c>
      <c r="AY4" s="119" t="s">
        <v>1343</v>
      </c>
      <c r="AZ4" s="121">
        <v>1.52</v>
      </c>
      <c r="BB4" s="119">
        <v>1</v>
      </c>
      <c r="BC4" s="119" t="s">
        <v>770</v>
      </c>
      <c r="BD4" s="119" t="s">
        <v>1333</v>
      </c>
      <c r="BE4" s="121">
        <v>0.83</v>
      </c>
      <c r="BG4" s="119">
        <v>1</v>
      </c>
      <c r="BH4" s="119" t="s">
        <v>804</v>
      </c>
      <c r="BI4" s="119" t="s">
        <v>1337</v>
      </c>
      <c r="BJ4" s="125">
        <v>102</v>
      </c>
    </row>
    <row r="5" spans="2:62">
      <c r="B5">
        <v>2</v>
      </c>
      <c r="C5" t="s">
        <v>1200</v>
      </c>
      <c r="D5" t="s">
        <v>1331</v>
      </c>
      <c r="E5" s="126">
        <v>6</v>
      </c>
      <c r="G5">
        <v>2</v>
      </c>
      <c r="H5" t="s">
        <v>835</v>
      </c>
      <c r="I5" t="s">
        <v>1318</v>
      </c>
      <c r="J5" s="123">
        <v>1.7103298493280847</v>
      </c>
      <c r="L5">
        <v>2</v>
      </c>
      <c r="M5" t="s">
        <v>835</v>
      </c>
      <c r="N5" t="s">
        <v>1318</v>
      </c>
      <c r="O5" s="123">
        <v>0.92303515678023618</v>
      </c>
      <c r="Q5">
        <v>2</v>
      </c>
      <c r="R5" t="s">
        <v>804</v>
      </c>
      <c r="S5" t="s">
        <v>1337</v>
      </c>
      <c r="T5" s="126">
        <v>105</v>
      </c>
      <c r="W5">
        <v>2</v>
      </c>
      <c r="X5" t="s">
        <v>1025</v>
      </c>
      <c r="Y5" t="s">
        <v>1351</v>
      </c>
      <c r="Z5" s="126">
        <v>7</v>
      </c>
      <c r="AB5">
        <v>2</v>
      </c>
      <c r="AC5" t="s">
        <v>804</v>
      </c>
      <c r="AD5" t="s">
        <v>1337</v>
      </c>
      <c r="AE5" s="123">
        <v>1.51</v>
      </c>
      <c r="AG5">
        <v>2</v>
      </c>
      <c r="AH5" t="s">
        <v>869</v>
      </c>
      <c r="AI5" t="s">
        <v>1324</v>
      </c>
      <c r="AJ5" s="123">
        <v>0.91</v>
      </c>
      <c r="AL5">
        <v>2</v>
      </c>
      <c r="AM5" t="s">
        <v>1200</v>
      </c>
      <c r="AN5" t="s">
        <v>1331</v>
      </c>
      <c r="AO5" s="126">
        <v>97</v>
      </c>
      <c r="AR5">
        <v>2</v>
      </c>
      <c r="AS5" t="s">
        <v>1171</v>
      </c>
      <c r="AT5" t="s">
        <v>1579</v>
      </c>
      <c r="AU5" s="126">
        <v>7</v>
      </c>
      <c r="AW5">
        <v>2</v>
      </c>
      <c r="AX5" t="s">
        <v>869</v>
      </c>
      <c r="AY5" t="s">
        <v>1324</v>
      </c>
      <c r="AZ5" s="123">
        <v>1.61</v>
      </c>
      <c r="BB5">
        <v>2</v>
      </c>
      <c r="BC5" t="s">
        <v>804</v>
      </c>
      <c r="BD5" t="s">
        <v>1663</v>
      </c>
      <c r="BE5" s="123">
        <v>0.85</v>
      </c>
      <c r="BG5">
        <v>2</v>
      </c>
      <c r="BH5" t="s">
        <v>869</v>
      </c>
      <c r="BI5" t="s">
        <v>1324</v>
      </c>
      <c r="BJ5" s="126">
        <v>95</v>
      </c>
    </row>
    <row r="6" spans="2:62">
      <c r="C6" t="s">
        <v>990</v>
      </c>
      <c r="D6" t="s">
        <v>1664</v>
      </c>
      <c r="E6" s="126">
        <v>6</v>
      </c>
      <c r="G6">
        <v>3</v>
      </c>
      <c r="H6" t="s">
        <v>1062</v>
      </c>
      <c r="I6" t="s">
        <v>1356</v>
      </c>
      <c r="J6" s="123">
        <v>2.0248987550622468</v>
      </c>
      <c r="L6">
        <v>3</v>
      </c>
      <c r="M6" t="s">
        <v>903</v>
      </c>
      <c r="N6" t="s">
        <v>1347</v>
      </c>
      <c r="O6" s="123">
        <v>0.9273148779489977</v>
      </c>
      <c r="Q6">
        <v>3</v>
      </c>
      <c r="R6" t="s">
        <v>903</v>
      </c>
      <c r="S6" t="s">
        <v>1347</v>
      </c>
      <c r="T6" s="126">
        <v>89</v>
      </c>
      <c r="X6" t="s">
        <v>1200</v>
      </c>
      <c r="Y6" t="s">
        <v>1331</v>
      </c>
      <c r="Z6" s="126">
        <v>7</v>
      </c>
      <c r="AB6">
        <v>3</v>
      </c>
      <c r="AC6" t="s">
        <v>1200</v>
      </c>
      <c r="AD6" t="s">
        <v>1331</v>
      </c>
      <c r="AE6" s="123">
        <v>1.55</v>
      </c>
      <c r="AH6" t="s">
        <v>1139</v>
      </c>
      <c r="AI6" t="s">
        <v>1665</v>
      </c>
      <c r="AJ6" s="123">
        <v>0.91</v>
      </c>
      <c r="AL6">
        <v>3</v>
      </c>
      <c r="AM6" t="s">
        <v>903</v>
      </c>
      <c r="AN6" t="s">
        <v>1347</v>
      </c>
      <c r="AO6" s="126">
        <v>91</v>
      </c>
      <c r="AS6" t="s">
        <v>1200</v>
      </c>
      <c r="AT6" t="s">
        <v>1671</v>
      </c>
      <c r="AU6" s="126">
        <v>7</v>
      </c>
      <c r="AW6">
        <v>3</v>
      </c>
      <c r="AX6" t="s">
        <v>770</v>
      </c>
      <c r="AY6" t="s">
        <v>1333</v>
      </c>
      <c r="AZ6" s="123">
        <v>1.73</v>
      </c>
      <c r="BB6">
        <v>3</v>
      </c>
      <c r="BC6" t="s">
        <v>869</v>
      </c>
      <c r="BD6" t="s">
        <v>1324</v>
      </c>
      <c r="BE6" s="123">
        <v>0.88</v>
      </c>
      <c r="BG6">
        <v>3</v>
      </c>
      <c r="BH6" t="s">
        <v>869</v>
      </c>
      <c r="BI6" t="s">
        <v>1343</v>
      </c>
      <c r="BJ6" s="126">
        <v>92</v>
      </c>
    </row>
    <row r="7" spans="2:62">
      <c r="C7" t="s">
        <v>1171</v>
      </c>
      <c r="D7" t="s">
        <v>1668</v>
      </c>
      <c r="E7" s="126">
        <v>6</v>
      </c>
      <c r="G7">
        <v>4</v>
      </c>
      <c r="H7" t="s">
        <v>903</v>
      </c>
      <c r="I7" t="s">
        <v>1347</v>
      </c>
      <c r="J7" s="123">
        <v>2.0864584753852449</v>
      </c>
      <c r="L7">
        <v>4</v>
      </c>
      <c r="M7" t="s">
        <v>990</v>
      </c>
      <c r="N7" t="s">
        <v>1664</v>
      </c>
      <c r="O7">
        <v>0.94029850746268662</v>
      </c>
      <c r="Q7">
        <v>4</v>
      </c>
      <c r="R7" t="s">
        <v>1062</v>
      </c>
      <c r="S7" t="s">
        <v>1683</v>
      </c>
      <c r="T7" s="126">
        <v>83</v>
      </c>
      <c r="X7" t="s">
        <v>835</v>
      </c>
      <c r="Y7" t="s">
        <v>1318</v>
      </c>
      <c r="Z7" s="126">
        <v>7</v>
      </c>
      <c r="AB7">
        <v>4</v>
      </c>
      <c r="AC7" t="s">
        <v>869</v>
      </c>
      <c r="AD7" t="s">
        <v>1324</v>
      </c>
      <c r="AE7" s="123">
        <v>2.09</v>
      </c>
      <c r="AG7">
        <v>4</v>
      </c>
      <c r="AH7" t="s">
        <v>1200</v>
      </c>
      <c r="AI7" t="s">
        <v>1331</v>
      </c>
      <c r="AJ7">
        <v>0.93</v>
      </c>
      <c r="AM7" t="s">
        <v>1139</v>
      </c>
      <c r="AN7" t="s">
        <v>1666</v>
      </c>
      <c r="AO7" s="126">
        <v>91</v>
      </c>
      <c r="AR7">
        <v>4</v>
      </c>
      <c r="AS7" t="s">
        <v>770</v>
      </c>
      <c r="AT7" t="s">
        <v>1333</v>
      </c>
      <c r="AU7" s="126">
        <v>6</v>
      </c>
      <c r="AW7">
        <v>4</v>
      </c>
      <c r="AX7" t="s">
        <v>1171</v>
      </c>
      <c r="AY7" t="s">
        <v>1328</v>
      </c>
      <c r="AZ7" s="123">
        <v>2.06</v>
      </c>
      <c r="BB7">
        <v>4</v>
      </c>
      <c r="BC7" t="s">
        <v>1171</v>
      </c>
      <c r="BD7" t="s">
        <v>1328</v>
      </c>
      <c r="BE7" s="123">
        <v>1</v>
      </c>
      <c r="BG7">
        <v>4</v>
      </c>
      <c r="BH7" t="s">
        <v>1062</v>
      </c>
      <c r="BI7" t="s">
        <v>1676</v>
      </c>
      <c r="BJ7" s="126">
        <v>89</v>
      </c>
    </row>
    <row r="8" spans="2:62">
      <c r="C8" t="s">
        <v>804</v>
      </c>
      <c r="D8" t="s">
        <v>1411</v>
      </c>
      <c r="E8" s="126">
        <v>6</v>
      </c>
      <c r="G8">
        <v>5</v>
      </c>
      <c r="H8" t="s">
        <v>804</v>
      </c>
      <c r="I8" t="s">
        <v>1337</v>
      </c>
      <c r="J8" s="123">
        <v>2.1408748513281353</v>
      </c>
      <c r="L8">
        <v>5</v>
      </c>
      <c r="M8" t="s">
        <v>770</v>
      </c>
      <c r="N8" t="s">
        <v>1670</v>
      </c>
      <c r="O8" s="123">
        <v>1.019367991845056</v>
      </c>
      <c r="Q8">
        <v>5</v>
      </c>
      <c r="R8" t="s">
        <v>1139</v>
      </c>
      <c r="S8" t="s">
        <v>1666</v>
      </c>
      <c r="T8" s="126">
        <v>82</v>
      </c>
      <c r="W8">
        <v>5</v>
      </c>
      <c r="X8" t="s">
        <v>1171</v>
      </c>
      <c r="Y8" t="s">
        <v>1579</v>
      </c>
      <c r="Z8" s="126">
        <v>6</v>
      </c>
      <c r="AB8">
        <v>5</v>
      </c>
      <c r="AC8" t="s">
        <v>1025</v>
      </c>
      <c r="AD8" t="s">
        <v>1351</v>
      </c>
      <c r="AE8" s="123">
        <v>2.25</v>
      </c>
      <c r="AG8">
        <v>5</v>
      </c>
      <c r="AH8" t="s">
        <v>1171</v>
      </c>
      <c r="AI8" t="s">
        <v>1328</v>
      </c>
      <c r="AJ8" s="123">
        <v>0.95</v>
      </c>
      <c r="AL8">
        <v>5</v>
      </c>
      <c r="AM8" t="s">
        <v>804</v>
      </c>
      <c r="AN8" t="s">
        <v>1337</v>
      </c>
      <c r="AO8" s="126">
        <v>89</v>
      </c>
      <c r="AS8" t="s">
        <v>903</v>
      </c>
      <c r="AT8" t="s">
        <v>1347</v>
      </c>
      <c r="AU8" s="126">
        <v>6</v>
      </c>
      <c r="AW8">
        <v>5</v>
      </c>
      <c r="AX8" t="s">
        <v>903</v>
      </c>
      <c r="AY8" t="s">
        <v>1347</v>
      </c>
      <c r="AZ8" s="123">
        <v>2.2999999999999998</v>
      </c>
      <c r="BB8">
        <v>5</v>
      </c>
      <c r="BC8" t="s">
        <v>869</v>
      </c>
      <c r="BD8" t="s">
        <v>1343</v>
      </c>
      <c r="BE8" s="123">
        <v>1.04</v>
      </c>
      <c r="BG8">
        <v>5</v>
      </c>
      <c r="BH8" t="s">
        <v>1062</v>
      </c>
      <c r="BI8" t="s">
        <v>1683</v>
      </c>
      <c r="BJ8" s="126">
        <v>88</v>
      </c>
    </row>
    <row r="9" spans="2:62">
      <c r="B9">
        <v>6</v>
      </c>
      <c r="C9" t="s">
        <v>804</v>
      </c>
      <c r="D9" t="s">
        <v>1337</v>
      </c>
      <c r="E9" s="126">
        <v>5</v>
      </c>
      <c r="G9">
        <v>6</v>
      </c>
      <c r="H9" t="s">
        <v>952</v>
      </c>
      <c r="I9" t="s">
        <v>1669</v>
      </c>
      <c r="J9" s="123">
        <v>2.2391336162739646</v>
      </c>
      <c r="M9" t="s">
        <v>952</v>
      </c>
      <c r="N9" t="s">
        <v>1672</v>
      </c>
      <c r="O9" s="123">
        <v>1.019367991845056</v>
      </c>
      <c r="Q9">
        <v>6</v>
      </c>
      <c r="R9" t="s">
        <v>1171</v>
      </c>
      <c r="S9" t="s">
        <v>1328</v>
      </c>
      <c r="T9" s="126">
        <v>80</v>
      </c>
      <c r="X9" t="s">
        <v>1062</v>
      </c>
      <c r="Y9" t="s">
        <v>1356</v>
      </c>
      <c r="Z9" s="126">
        <v>6</v>
      </c>
      <c r="AB9">
        <v>6</v>
      </c>
      <c r="AC9" t="s">
        <v>1171</v>
      </c>
      <c r="AD9" t="s">
        <v>1579</v>
      </c>
      <c r="AE9" s="123">
        <v>2.2799999999999998</v>
      </c>
      <c r="AG9">
        <v>6</v>
      </c>
      <c r="AH9" t="s">
        <v>1171</v>
      </c>
      <c r="AI9" t="s">
        <v>1678</v>
      </c>
      <c r="AJ9" s="123">
        <v>0.98</v>
      </c>
      <c r="AL9">
        <v>6</v>
      </c>
      <c r="AM9" t="s">
        <v>869</v>
      </c>
      <c r="AN9" t="s">
        <v>1324</v>
      </c>
      <c r="AO9" s="126">
        <v>86</v>
      </c>
      <c r="AS9" t="s">
        <v>1139</v>
      </c>
      <c r="AT9" t="s">
        <v>1600</v>
      </c>
      <c r="AU9" s="126">
        <v>6</v>
      </c>
      <c r="AX9" t="s">
        <v>1096</v>
      </c>
      <c r="AY9" t="s">
        <v>1681</v>
      </c>
      <c r="AZ9" s="123">
        <v>2.2999999999999998</v>
      </c>
      <c r="BC9" t="s">
        <v>804</v>
      </c>
      <c r="BD9" t="s">
        <v>1337</v>
      </c>
      <c r="BE9" s="123">
        <v>1.04</v>
      </c>
      <c r="BG9">
        <v>6</v>
      </c>
      <c r="BH9" t="s">
        <v>1200</v>
      </c>
      <c r="BI9" t="s">
        <v>1331</v>
      </c>
      <c r="BJ9" s="126">
        <v>84</v>
      </c>
    </row>
    <row r="10" spans="2:62">
      <c r="C10" t="s">
        <v>835</v>
      </c>
      <c r="D10" t="s">
        <v>1318</v>
      </c>
      <c r="E10" s="126">
        <v>5</v>
      </c>
      <c r="G10">
        <v>7</v>
      </c>
      <c r="H10" t="s">
        <v>1200</v>
      </c>
      <c r="I10" t="s">
        <v>1331</v>
      </c>
      <c r="J10" s="123">
        <v>2.2711341651479042</v>
      </c>
      <c r="L10">
        <v>7</v>
      </c>
      <c r="M10" t="s">
        <v>1171</v>
      </c>
      <c r="N10" t="s">
        <v>1328</v>
      </c>
      <c r="O10" s="123">
        <v>1.0273972602739727</v>
      </c>
      <c r="Q10">
        <v>7</v>
      </c>
      <c r="R10" t="s">
        <v>1171</v>
      </c>
      <c r="S10" t="s">
        <v>1878</v>
      </c>
      <c r="T10" s="126">
        <v>79</v>
      </c>
      <c r="X10" t="s">
        <v>1171</v>
      </c>
      <c r="Y10" t="s">
        <v>1328</v>
      </c>
      <c r="Z10" s="126">
        <v>6</v>
      </c>
      <c r="AB10">
        <v>7</v>
      </c>
      <c r="AC10" t="s">
        <v>903</v>
      </c>
      <c r="AD10" t="s">
        <v>1347</v>
      </c>
      <c r="AE10" s="123">
        <v>2.31</v>
      </c>
      <c r="AG10">
        <v>7</v>
      </c>
      <c r="AH10" t="s">
        <v>903</v>
      </c>
      <c r="AI10" t="s">
        <v>1347</v>
      </c>
      <c r="AJ10" s="123">
        <v>1.04</v>
      </c>
      <c r="AM10" t="s">
        <v>1025</v>
      </c>
      <c r="AN10" t="s">
        <v>1351</v>
      </c>
      <c r="AO10" s="126">
        <v>86</v>
      </c>
      <c r="AS10" t="s">
        <v>770</v>
      </c>
      <c r="AT10" t="s">
        <v>1670</v>
      </c>
      <c r="AU10" s="126">
        <v>6</v>
      </c>
      <c r="AW10">
        <v>7</v>
      </c>
      <c r="AX10" t="s">
        <v>804</v>
      </c>
      <c r="AY10" t="s">
        <v>1663</v>
      </c>
      <c r="AZ10" s="123">
        <v>2.6</v>
      </c>
      <c r="BB10">
        <v>7</v>
      </c>
      <c r="BC10" t="s">
        <v>903</v>
      </c>
      <c r="BD10" t="s">
        <v>1347</v>
      </c>
      <c r="BE10" s="123">
        <v>1.05</v>
      </c>
      <c r="BG10">
        <v>7</v>
      </c>
      <c r="BH10" t="s">
        <v>1265</v>
      </c>
      <c r="BI10" t="s">
        <v>1737</v>
      </c>
      <c r="BJ10" s="126">
        <v>81</v>
      </c>
    </row>
    <row r="11" spans="2:62">
      <c r="C11" t="s">
        <v>1171</v>
      </c>
      <c r="D11" t="s">
        <v>1328</v>
      </c>
      <c r="E11" s="126">
        <v>5</v>
      </c>
      <c r="G11">
        <v>8</v>
      </c>
      <c r="H11" t="s">
        <v>835</v>
      </c>
      <c r="I11" t="s">
        <v>1661</v>
      </c>
      <c r="J11" s="123">
        <v>2.6581688170371525</v>
      </c>
      <c r="L11">
        <v>8</v>
      </c>
      <c r="M11" t="s">
        <v>1171</v>
      </c>
      <c r="N11" t="s">
        <v>1878</v>
      </c>
      <c r="O11" s="123">
        <v>1.0867901423542017</v>
      </c>
      <c r="R11" t="s">
        <v>903</v>
      </c>
      <c r="S11" t="s">
        <v>1718</v>
      </c>
      <c r="T11" s="126">
        <v>79</v>
      </c>
      <c r="X11" t="s">
        <v>1139</v>
      </c>
      <c r="Y11" t="s">
        <v>1665</v>
      </c>
      <c r="Z11" s="126">
        <v>6</v>
      </c>
      <c r="AB11">
        <v>8</v>
      </c>
      <c r="AC11" t="s">
        <v>1171</v>
      </c>
      <c r="AD11" t="s">
        <v>1328</v>
      </c>
      <c r="AE11" s="123">
        <v>2.36</v>
      </c>
      <c r="AG11">
        <v>8</v>
      </c>
      <c r="AH11" t="s">
        <v>1062</v>
      </c>
      <c r="AI11" t="s">
        <v>1356</v>
      </c>
      <c r="AJ11" s="123">
        <v>1.04</v>
      </c>
      <c r="AL11">
        <v>8</v>
      </c>
      <c r="AM11" t="s">
        <v>1062</v>
      </c>
      <c r="AN11" t="s">
        <v>1676</v>
      </c>
      <c r="AO11" s="126">
        <v>83</v>
      </c>
      <c r="AR11">
        <v>8</v>
      </c>
      <c r="AS11" t="s">
        <v>869</v>
      </c>
      <c r="AT11" t="s">
        <v>1343</v>
      </c>
      <c r="AU11" s="126">
        <v>5</v>
      </c>
      <c r="AW11">
        <v>8</v>
      </c>
      <c r="AX11" t="s">
        <v>952</v>
      </c>
      <c r="AY11" t="s">
        <v>1879</v>
      </c>
      <c r="AZ11" s="123">
        <v>2.8</v>
      </c>
      <c r="BB11">
        <v>8</v>
      </c>
      <c r="BC11" t="s">
        <v>1139</v>
      </c>
      <c r="BD11" t="s">
        <v>1696</v>
      </c>
      <c r="BE11" s="123">
        <v>1.06</v>
      </c>
      <c r="BG11">
        <v>8</v>
      </c>
      <c r="BH11" t="s">
        <v>903</v>
      </c>
      <c r="BI11" t="s">
        <v>1347</v>
      </c>
      <c r="BJ11" s="126">
        <v>80</v>
      </c>
    </row>
    <row r="12" spans="2:62">
      <c r="C12" t="s">
        <v>1139</v>
      </c>
      <c r="D12" t="s">
        <v>1666</v>
      </c>
      <c r="E12" s="126">
        <v>5</v>
      </c>
      <c r="G12">
        <v>9</v>
      </c>
      <c r="H12" t="s">
        <v>770</v>
      </c>
      <c r="I12" t="s">
        <v>1670</v>
      </c>
      <c r="J12" s="123">
        <v>2.7522935779816513</v>
      </c>
      <c r="L12">
        <v>9</v>
      </c>
      <c r="M12" t="s">
        <v>1265</v>
      </c>
      <c r="N12" t="s">
        <v>1880</v>
      </c>
      <c r="O12" s="123">
        <v>1.1036841287113321</v>
      </c>
      <c r="Q12">
        <v>9</v>
      </c>
      <c r="R12" t="s">
        <v>1096</v>
      </c>
      <c r="S12" t="s">
        <v>1692</v>
      </c>
      <c r="T12" s="126">
        <v>78</v>
      </c>
      <c r="X12" t="s">
        <v>990</v>
      </c>
      <c r="Y12" t="s">
        <v>1736</v>
      </c>
      <c r="Z12" s="126">
        <v>6</v>
      </c>
      <c r="AB12">
        <v>9</v>
      </c>
      <c r="AC12" t="s">
        <v>1139</v>
      </c>
      <c r="AD12" t="s">
        <v>1666</v>
      </c>
      <c r="AE12" s="123">
        <v>2.4700000000000002</v>
      </c>
      <c r="AG12">
        <v>9</v>
      </c>
      <c r="AH12" t="s">
        <v>1025</v>
      </c>
      <c r="AI12" t="s">
        <v>1351</v>
      </c>
      <c r="AJ12" s="123">
        <v>1.05</v>
      </c>
      <c r="AL12">
        <v>9</v>
      </c>
      <c r="AM12" t="s">
        <v>1062</v>
      </c>
      <c r="AN12" t="s">
        <v>1356</v>
      </c>
      <c r="AO12" s="126">
        <v>80</v>
      </c>
      <c r="AS12" t="s">
        <v>1171</v>
      </c>
      <c r="AT12" t="s">
        <v>1328</v>
      </c>
      <c r="AU12" s="126">
        <v>5</v>
      </c>
      <c r="AW12">
        <v>9</v>
      </c>
      <c r="AX12" t="s">
        <v>1139</v>
      </c>
      <c r="AY12" t="s">
        <v>1696</v>
      </c>
      <c r="AZ12" s="123">
        <v>2.82</v>
      </c>
      <c r="BB12">
        <v>9</v>
      </c>
      <c r="BC12" t="s">
        <v>990</v>
      </c>
      <c r="BD12" t="s">
        <v>1881</v>
      </c>
      <c r="BE12" s="123">
        <v>1.1200000000000001</v>
      </c>
      <c r="BH12" t="s">
        <v>1265</v>
      </c>
      <c r="BI12" t="s">
        <v>1697</v>
      </c>
      <c r="BJ12" s="126">
        <v>80</v>
      </c>
    </row>
    <row r="13" spans="2:62">
      <c r="D13" t="s">
        <v>1802</v>
      </c>
      <c r="E13" s="126">
        <v>5</v>
      </c>
      <c r="G13">
        <v>10</v>
      </c>
      <c r="I13" t="s">
        <v>1610</v>
      </c>
      <c r="J13" s="123">
        <v>2.8208955223880596</v>
      </c>
      <c r="L13">
        <v>10</v>
      </c>
      <c r="M13" t="s">
        <v>1265</v>
      </c>
      <c r="N13" t="s">
        <v>1693</v>
      </c>
      <c r="O13" s="123">
        <v>1.113916530521313</v>
      </c>
      <c r="S13" t="s">
        <v>1610</v>
      </c>
      <c r="T13" s="126">
        <v>78</v>
      </c>
      <c r="Y13" t="s">
        <v>1610</v>
      </c>
      <c r="Z13" s="126">
        <v>6</v>
      </c>
      <c r="AB13">
        <v>10</v>
      </c>
      <c r="AC13" t="s">
        <v>990</v>
      </c>
      <c r="AD13" t="s">
        <v>1736</v>
      </c>
      <c r="AE13" s="123">
        <v>2.48</v>
      </c>
      <c r="AG13">
        <v>10</v>
      </c>
      <c r="AH13" t="s">
        <v>835</v>
      </c>
      <c r="AI13" t="s">
        <v>1318</v>
      </c>
      <c r="AJ13" s="123">
        <v>1.06</v>
      </c>
      <c r="AL13">
        <v>10</v>
      </c>
      <c r="AN13" t="s">
        <v>1610</v>
      </c>
      <c r="AO13" s="126">
        <v>79</v>
      </c>
      <c r="AT13" t="s">
        <v>1802</v>
      </c>
      <c r="AU13" s="126">
        <v>5</v>
      </c>
      <c r="AW13">
        <v>10</v>
      </c>
      <c r="AX13" t="s">
        <v>1139</v>
      </c>
      <c r="AY13" t="s">
        <v>1600</v>
      </c>
      <c r="AZ13" s="123">
        <v>2.88</v>
      </c>
      <c r="BC13" t="s">
        <v>1025</v>
      </c>
      <c r="BD13" t="s">
        <v>1709</v>
      </c>
      <c r="BE13" s="123">
        <v>1.1200000000000001</v>
      </c>
      <c r="BG13">
        <v>10</v>
      </c>
      <c r="BH13" t="s">
        <v>1139</v>
      </c>
      <c r="BI13" t="s">
        <v>1679</v>
      </c>
      <c r="BJ13" s="126">
        <v>79</v>
      </c>
    </row>
    <row r="15" spans="2:62">
      <c r="B15" s="1087" t="s">
        <v>2175</v>
      </c>
      <c r="C15" s="1088"/>
      <c r="D15" s="1088"/>
      <c r="E15" s="1089"/>
      <c r="G15" s="1084" t="s">
        <v>1687</v>
      </c>
      <c r="H15" s="1085"/>
      <c r="I15" s="1085"/>
      <c r="J15" s="1086"/>
      <c r="L15" s="1084" t="s">
        <v>1688</v>
      </c>
      <c r="M15" s="1085"/>
      <c r="N15" s="1085"/>
      <c r="O15" s="1086"/>
      <c r="Q15" s="1084" t="s">
        <v>1689</v>
      </c>
      <c r="R15" s="1085"/>
      <c r="S15" s="1085"/>
      <c r="T15" s="1086"/>
      <c r="W15" s="1087" t="s">
        <v>2175</v>
      </c>
      <c r="X15" s="1088"/>
      <c r="Y15" s="1088"/>
      <c r="Z15" s="1089"/>
      <c r="AB15" s="1084" t="s">
        <v>1687</v>
      </c>
      <c r="AC15" s="1085"/>
      <c r="AD15" s="1085"/>
      <c r="AE15" s="1086"/>
      <c r="AG15" s="1084" t="s">
        <v>1688</v>
      </c>
      <c r="AH15" s="1085"/>
      <c r="AI15" s="1085"/>
      <c r="AJ15" s="1086"/>
      <c r="AL15" s="1084" t="s">
        <v>1689</v>
      </c>
      <c r="AM15" s="1085"/>
      <c r="AN15" s="1085"/>
      <c r="AO15" s="1086"/>
      <c r="AR15" s="1087" t="s">
        <v>2175</v>
      </c>
      <c r="AS15" s="1088"/>
      <c r="AT15" s="1088"/>
      <c r="AU15" s="1089"/>
      <c r="AW15" s="1084" t="s">
        <v>1687</v>
      </c>
      <c r="AX15" s="1085"/>
      <c r="AY15" s="1085"/>
      <c r="AZ15" s="1086"/>
      <c r="BB15" s="1084" t="s">
        <v>1688</v>
      </c>
      <c r="BC15" s="1085"/>
      <c r="BD15" s="1085"/>
      <c r="BE15" s="1086"/>
      <c r="BG15" s="1084" t="s">
        <v>1689</v>
      </c>
      <c r="BH15" s="1085"/>
      <c r="BI15" s="1085"/>
      <c r="BJ15" s="1086"/>
    </row>
    <row r="16" spans="2:62" s="141" customFormat="1">
      <c r="B16" s="359"/>
      <c r="C16" s="360" t="s">
        <v>8</v>
      </c>
      <c r="D16" s="360" t="s">
        <v>1314</v>
      </c>
      <c r="E16" s="360" t="s">
        <v>164</v>
      </c>
      <c r="G16" s="359"/>
      <c r="H16" s="360" t="s">
        <v>8</v>
      </c>
      <c r="I16" s="360" t="s">
        <v>1314</v>
      </c>
      <c r="J16" s="360" t="s">
        <v>164</v>
      </c>
      <c r="L16" s="359"/>
      <c r="M16" s="360" t="s">
        <v>8</v>
      </c>
      <c r="N16" s="360" t="s">
        <v>1314</v>
      </c>
      <c r="O16" s="360" t="s">
        <v>164</v>
      </c>
      <c r="Q16" s="359"/>
      <c r="R16" s="360" t="s">
        <v>8</v>
      </c>
      <c r="S16" s="360" t="s">
        <v>1314</v>
      </c>
      <c r="T16" s="359" t="s">
        <v>164</v>
      </c>
      <c r="W16" s="359"/>
      <c r="X16" s="360" t="s">
        <v>8</v>
      </c>
      <c r="Y16" s="360" t="s">
        <v>1314</v>
      </c>
      <c r="Z16" s="360" t="s">
        <v>164</v>
      </c>
      <c r="AB16" s="359"/>
      <c r="AC16" s="360" t="s">
        <v>8</v>
      </c>
      <c r="AD16" s="360" t="s">
        <v>1314</v>
      </c>
      <c r="AE16" s="360" t="s">
        <v>164</v>
      </c>
      <c r="AG16" s="359"/>
      <c r="AH16" s="360" t="s">
        <v>8</v>
      </c>
      <c r="AI16" s="360" t="s">
        <v>1314</v>
      </c>
      <c r="AJ16" s="360" t="s">
        <v>164</v>
      </c>
      <c r="AL16" s="359"/>
      <c r="AM16" s="360" t="s">
        <v>8</v>
      </c>
      <c r="AN16" s="360" t="s">
        <v>1314</v>
      </c>
      <c r="AO16" s="359" t="s">
        <v>164</v>
      </c>
      <c r="AR16" s="359"/>
      <c r="AS16" s="360" t="s">
        <v>8</v>
      </c>
      <c r="AT16" s="360" t="s">
        <v>1314</v>
      </c>
      <c r="AU16" s="360" t="s">
        <v>164</v>
      </c>
      <c r="AW16" s="359"/>
      <c r="AX16" s="360" t="s">
        <v>8</v>
      </c>
      <c r="AY16" s="360" t="s">
        <v>1314</v>
      </c>
      <c r="AZ16" s="360" t="s">
        <v>164</v>
      </c>
      <c r="BB16" s="359"/>
      <c r="BC16" s="360" t="s">
        <v>8</v>
      </c>
      <c r="BD16" s="360" t="s">
        <v>1314</v>
      </c>
      <c r="BE16" s="360" t="s">
        <v>164</v>
      </c>
      <c r="BG16" s="359"/>
      <c r="BH16" s="360" t="s">
        <v>8</v>
      </c>
      <c r="BI16" s="360" t="s">
        <v>1314</v>
      </c>
      <c r="BJ16" s="359" t="s">
        <v>164</v>
      </c>
    </row>
    <row r="17" spans="2:62" s="119" customFormat="1" ht="19">
      <c r="B17" s="119">
        <v>1</v>
      </c>
      <c r="C17" s="119" t="s">
        <v>804</v>
      </c>
      <c r="D17" s="119" t="s">
        <v>1337</v>
      </c>
      <c r="E17" s="127">
        <v>75.67</v>
      </c>
      <c r="G17" s="119">
        <v>1</v>
      </c>
      <c r="H17" s="119" t="s">
        <v>835</v>
      </c>
      <c r="I17" s="119" t="s">
        <v>1318</v>
      </c>
      <c r="J17" s="119">
        <v>10</v>
      </c>
      <c r="L17" s="119">
        <v>1</v>
      </c>
      <c r="M17" s="119" t="s">
        <v>1171</v>
      </c>
      <c r="N17" s="119" t="s">
        <v>1328</v>
      </c>
      <c r="O17" s="119">
        <v>7</v>
      </c>
      <c r="Q17" s="119">
        <v>1</v>
      </c>
      <c r="R17" s="119" t="s">
        <v>835</v>
      </c>
      <c r="S17" s="119" t="s">
        <v>1318</v>
      </c>
      <c r="T17" s="119">
        <v>3</v>
      </c>
      <c r="W17" s="119">
        <v>1</v>
      </c>
      <c r="X17" s="119" t="s">
        <v>804</v>
      </c>
      <c r="Y17" s="119" t="s">
        <v>1337</v>
      </c>
      <c r="Z17" s="127">
        <v>77.33</v>
      </c>
      <c r="AB17" s="119">
        <v>1</v>
      </c>
      <c r="AC17" s="119" t="s">
        <v>1200</v>
      </c>
      <c r="AD17" s="119" t="s">
        <v>1331</v>
      </c>
      <c r="AE17" s="119">
        <v>10</v>
      </c>
      <c r="AG17" s="119">
        <v>1</v>
      </c>
      <c r="AH17" s="119" t="s">
        <v>835</v>
      </c>
      <c r="AI17" s="119" t="s">
        <v>1318</v>
      </c>
      <c r="AJ17" s="119">
        <v>8</v>
      </c>
      <c r="AL17" s="119">
        <v>1</v>
      </c>
      <c r="AM17" s="119" t="s">
        <v>1025</v>
      </c>
      <c r="AN17" s="119" t="s">
        <v>1351</v>
      </c>
      <c r="AO17" s="119">
        <v>3</v>
      </c>
      <c r="AR17" s="119">
        <v>1</v>
      </c>
      <c r="AS17" s="119" t="s">
        <v>869</v>
      </c>
      <c r="AT17" s="119" t="s">
        <v>1324</v>
      </c>
      <c r="AU17" s="127">
        <v>78.33</v>
      </c>
      <c r="AW17" s="119">
        <v>1</v>
      </c>
      <c r="AX17" s="119" t="s">
        <v>869</v>
      </c>
      <c r="AY17" s="119" t="s">
        <v>1324</v>
      </c>
      <c r="AZ17" s="119">
        <v>10</v>
      </c>
      <c r="BB17" s="119">
        <v>1</v>
      </c>
      <c r="BC17" s="119" t="s">
        <v>869</v>
      </c>
      <c r="BD17" s="119" t="s">
        <v>1324</v>
      </c>
      <c r="BE17" s="119">
        <v>9</v>
      </c>
      <c r="BG17" s="119">
        <v>1</v>
      </c>
      <c r="BH17" s="119" t="s">
        <v>770</v>
      </c>
      <c r="BI17" s="119" t="s">
        <v>1333</v>
      </c>
      <c r="BJ17" s="119">
        <v>3</v>
      </c>
    </row>
    <row r="18" spans="2:62" ht="19">
      <c r="B18">
        <v>2</v>
      </c>
      <c r="C18" t="s">
        <v>835</v>
      </c>
      <c r="D18" t="s">
        <v>1318</v>
      </c>
      <c r="E18" s="128">
        <v>73.67</v>
      </c>
      <c r="H18" s="119" t="s">
        <v>1171</v>
      </c>
      <c r="I18" s="119" t="s">
        <v>1328</v>
      </c>
      <c r="J18" s="119">
        <v>10</v>
      </c>
      <c r="M18" s="119" t="s">
        <v>903</v>
      </c>
      <c r="N18" s="119" t="s">
        <v>1347</v>
      </c>
      <c r="O18" s="119">
        <v>7</v>
      </c>
      <c r="Q18">
        <v>2</v>
      </c>
      <c r="R18" t="s">
        <v>1171</v>
      </c>
      <c r="S18" t="s">
        <v>1328</v>
      </c>
      <c r="T18">
        <v>2</v>
      </c>
      <c r="W18">
        <v>2</v>
      </c>
      <c r="X18" t="s">
        <v>1025</v>
      </c>
      <c r="Y18" t="s">
        <v>1351</v>
      </c>
      <c r="Z18" s="128">
        <v>76</v>
      </c>
      <c r="AC18" s="119" t="s">
        <v>835</v>
      </c>
      <c r="AD18" s="119" t="s">
        <v>1318</v>
      </c>
      <c r="AE18" s="119">
        <v>10</v>
      </c>
      <c r="AG18">
        <v>2</v>
      </c>
      <c r="AH18" s="119" t="s">
        <v>869</v>
      </c>
      <c r="AI18" s="119" t="s">
        <v>1324</v>
      </c>
      <c r="AJ18" s="119">
        <v>8</v>
      </c>
      <c r="AL18">
        <v>2</v>
      </c>
      <c r="AM18" t="s">
        <v>804</v>
      </c>
      <c r="AN18" t="s">
        <v>1337</v>
      </c>
      <c r="AO18">
        <v>2</v>
      </c>
      <c r="AS18" s="119" t="s">
        <v>903</v>
      </c>
      <c r="AT18" s="119" t="s">
        <v>1347</v>
      </c>
      <c r="AU18" s="127">
        <v>78.33</v>
      </c>
      <c r="AW18">
        <v>2</v>
      </c>
      <c r="AX18" t="s">
        <v>869</v>
      </c>
      <c r="AY18" t="s">
        <v>1343</v>
      </c>
      <c r="AZ18">
        <v>9</v>
      </c>
      <c r="BB18">
        <v>2</v>
      </c>
      <c r="BC18" t="s">
        <v>770</v>
      </c>
      <c r="BD18" t="s">
        <v>1333</v>
      </c>
      <c r="BE18">
        <v>8</v>
      </c>
      <c r="BG18">
        <v>2</v>
      </c>
      <c r="BH18" t="s">
        <v>869</v>
      </c>
      <c r="BI18" t="s">
        <v>1343</v>
      </c>
      <c r="BJ18">
        <v>2</v>
      </c>
    </row>
    <row r="19" spans="2:62">
      <c r="B19">
        <v>3</v>
      </c>
      <c r="C19" t="s">
        <v>903</v>
      </c>
      <c r="D19" t="s">
        <v>1347</v>
      </c>
      <c r="E19" s="128">
        <v>73.33</v>
      </c>
      <c r="G19">
        <v>3</v>
      </c>
      <c r="H19" t="s">
        <v>903</v>
      </c>
      <c r="I19" t="s">
        <v>1347</v>
      </c>
      <c r="J19">
        <v>9</v>
      </c>
      <c r="L19">
        <v>3</v>
      </c>
      <c r="M19" t="s">
        <v>952</v>
      </c>
      <c r="N19" t="s">
        <v>1669</v>
      </c>
      <c r="O19">
        <v>6</v>
      </c>
      <c r="R19" t="s">
        <v>952</v>
      </c>
      <c r="S19" t="s">
        <v>1669</v>
      </c>
      <c r="T19">
        <v>2</v>
      </c>
      <c r="W19">
        <v>3</v>
      </c>
      <c r="X19" t="s">
        <v>1200</v>
      </c>
      <c r="Y19" t="s">
        <v>1331</v>
      </c>
      <c r="Z19" s="128">
        <v>75.33</v>
      </c>
      <c r="AB19">
        <v>3</v>
      </c>
      <c r="AC19" t="s">
        <v>804</v>
      </c>
      <c r="AD19" t="s">
        <v>1337</v>
      </c>
      <c r="AE19">
        <v>9</v>
      </c>
      <c r="AG19">
        <v>3</v>
      </c>
      <c r="AH19" t="s">
        <v>1200</v>
      </c>
      <c r="AI19" t="s">
        <v>1331</v>
      </c>
      <c r="AJ19">
        <v>7</v>
      </c>
      <c r="AM19" t="s">
        <v>903</v>
      </c>
      <c r="AN19" t="s">
        <v>1347</v>
      </c>
      <c r="AO19">
        <v>2</v>
      </c>
      <c r="AR19">
        <v>3</v>
      </c>
      <c r="AS19" t="s">
        <v>770</v>
      </c>
      <c r="AT19" t="s">
        <v>1333</v>
      </c>
      <c r="AU19" s="128">
        <v>78</v>
      </c>
      <c r="AX19" t="s">
        <v>1171</v>
      </c>
      <c r="AY19" t="s">
        <v>1328</v>
      </c>
      <c r="AZ19">
        <v>9</v>
      </c>
      <c r="BB19">
        <v>3</v>
      </c>
      <c r="BC19" t="s">
        <v>869</v>
      </c>
      <c r="BD19" t="s">
        <v>1343</v>
      </c>
      <c r="BE19">
        <v>7</v>
      </c>
      <c r="BH19" t="s">
        <v>869</v>
      </c>
      <c r="BI19" t="s">
        <v>1324</v>
      </c>
      <c r="BJ19">
        <v>2</v>
      </c>
    </row>
    <row r="20" spans="2:62">
      <c r="B20">
        <v>4</v>
      </c>
      <c r="C20" t="s">
        <v>1171</v>
      </c>
      <c r="D20" t="s">
        <v>1328</v>
      </c>
      <c r="E20" s="128">
        <v>73</v>
      </c>
      <c r="H20" t="s">
        <v>952</v>
      </c>
      <c r="I20" t="s">
        <v>1672</v>
      </c>
      <c r="J20">
        <v>9</v>
      </c>
      <c r="M20" t="s">
        <v>804</v>
      </c>
      <c r="N20" t="s">
        <v>1337</v>
      </c>
      <c r="O20">
        <v>6</v>
      </c>
      <c r="R20" t="s">
        <v>804</v>
      </c>
      <c r="S20" t="s">
        <v>1337</v>
      </c>
      <c r="T20">
        <v>2</v>
      </c>
      <c r="W20">
        <v>4</v>
      </c>
      <c r="X20" t="s">
        <v>903</v>
      </c>
      <c r="Y20" t="s">
        <v>1347</v>
      </c>
      <c r="Z20" s="128">
        <v>74</v>
      </c>
      <c r="AC20" t="s">
        <v>1171</v>
      </c>
      <c r="AD20" t="s">
        <v>1579</v>
      </c>
      <c r="AE20">
        <v>9</v>
      </c>
      <c r="AH20" t="s">
        <v>804</v>
      </c>
      <c r="AI20" t="s">
        <v>1337</v>
      </c>
      <c r="AJ20">
        <v>7</v>
      </c>
      <c r="AM20" t="s">
        <v>1171</v>
      </c>
      <c r="AN20" t="s">
        <v>1328</v>
      </c>
      <c r="AO20">
        <v>2</v>
      </c>
      <c r="AR20">
        <v>4</v>
      </c>
      <c r="AS20" t="s">
        <v>869</v>
      </c>
      <c r="AT20" t="s">
        <v>1343</v>
      </c>
      <c r="AU20" s="128">
        <v>77</v>
      </c>
      <c r="AX20" t="s">
        <v>903</v>
      </c>
      <c r="AY20" t="s">
        <v>1347</v>
      </c>
      <c r="AZ20">
        <v>9</v>
      </c>
      <c r="BC20" t="s">
        <v>1171</v>
      </c>
      <c r="BD20" t="s">
        <v>1328</v>
      </c>
      <c r="BE20">
        <v>7</v>
      </c>
      <c r="BH20" t="s">
        <v>804</v>
      </c>
      <c r="BI20" t="s">
        <v>1663</v>
      </c>
      <c r="BJ20">
        <v>2</v>
      </c>
    </row>
    <row r="21" spans="2:62">
      <c r="B21">
        <v>5</v>
      </c>
      <c r="C21" t="s">
        <v>1200</v>
      </c>
      <c r="D21" t="s">
        <v>1331</v>
      </c>
      <c r="E21" s="128">
        <v>71.33</v>
      </c>
      <c r="H21" t="s">
        <v>770</v>
      </c>
      <c r="I21" t="s">
        <v>1670</v>
      </c>
      <c r="J21">
        <v>9</v>
      </c>
      <c r="M21" t="s">
        <v>1200</v>
      </c>
      <c r="N21" t="s">
        <v>1331</v>
      </c>
      <c r="O21">
        <v>6</v>
      </c>
      <c r="R21" t="s">
        <v>1200</v>
      </c>
      <c r="S21" t="s">
        <v>1331</v>
      </c>
      <c r="T21">
        <v>2</v>
      </c>
      <c r="W21">
        <v>5</v>
      </c>
      <c r="X21" t="s">
        <v>903</v>
      </c>
      <c r="Y21" t="s">
        <v>1695</v>
      </c>
      <c r="Z21" s="128">
        <v>73.67</v>
      </c>
      <c r="AC21" t="s">
        <v>1171</v>
      </c>
      <c r="AD21" t="s">
        <v>1678</v>
      </c>
      <c r="AE21">
        <v>9</v>
      </c>
      <c r="AH21" t="s">
        <v>1171</v>
      </c>
      <c r="AI21" t="s">
        <v>1678</v>
      </c>
      <c r="AJ21">
        <v>7</v>
      </c>
      <c r="AM21" t="s">
        <v>1200</v>
      </c>
      <c r="AN21" t="s">
        <v>1723</v>
      </c>
      <c r="AO21">
        <v>2</v>
      </c>
      <c r="AR21">
        <v>5</v>
      </c>
      <c r="AS21" t="s">
        <v>1171</v>
      </c>
      <c r="AT21" t="s">
        <v>1328</v>
      </c>
      <c r="AU21" s="128">
        <v>74.33</v>
      </c>
      <c r="AW21">
        <v>5</v>
      </c>
      <c r="AX21" t="s">
        <v>770</v>
      </c>
      <c r="AY21" t="s">
        <v>1333</v>
      </c>
      <c r="AZ21">
        <v>8</v>
      </c>
      <c r="BC21" t="s">
        <v>903</v>
      </c>
      <c r="BD21" t="s">
        <v>1347</v>
      </c>
      <c r="BE21">
        <v>7</v>
      </c>
      <c r="BH21" t="s">
        <v>1139</v>
      </c>
      <c r="BI21" t="s">
        <v>1696</v>
      </c>
      <c r="BJ21">
        <v>2</v>
      </c>
    </row>
    <row r="22" spans="2:62">
      <c r="B22">
        <v>6</v>
      </c>
      <c r="C22" t="s">
        <v>1096</v>
      </c>
      <c r="D22" t="s">
        <v>1692</v>
      </c>
      <c r="E22" s="128">
        <v>70</v>
      </c>
      <c r="H22" t="s">
        <v>952</v>
      </c>
      <c r="I22" t="s">
        <v>1669</v>
      </c>
      <c r="J22">
        <v>9</v>
      </c>
      <c r="M22" t="s">
        <v>1096</v>
      </c>
      <c r="N22" t="s">
        <v>1692</v>
      </c>
      <c r="O22">
        <v>6</v>
      </c>
      <c r="R22" t="s">
        <v>1265</v>
      </c>
      <c r="S22" t="s">
        <v>1693</v>
      </c>
      <c r="T22">
        <v>2</v>
      </c>
      <c r="W22">
        <v>6</v>
      </c>
      <c r="X22" t="s">
        <v>869</v>
      </c>
      <c r="Y22" t="s">
        <v>1324</v>
      </c>
      <c r="Z22" s="128">
        <v>73.33</v>
      </c>
      <c r="AB22">
        <v>6</v>
      </c>
      <c r="AD22" t="s">
        <v>1629</v>
      </c>
      <c r="AE22">
        <v>8</v>
      </c>
      <c r="AG22">
        <v>6</v>
      </c>
      <c r="AH22" t="s">
        <v>1171</v>
      </c>
      <c r="AI22" t="s">
        <v>1579</v>
      </c>
      <c r="AJ22">
        <v>6</v>
      </c>
      <c r="AM22" t="s">
        <v>1139</v>
      </c>
      <c r="AN22" t="s">
        <v>1665</v>
      </c>
      <c r="AO22">
        <v>2</v>
      </c>
      <c r="AR22">
        <v>6</v>
      </c>
      <c r="AS22" t="s">
        <v>1139</v>
      </c>
      <c r="AT22" t="s">
        <v>1696</v>
      </c>
      <c r="AU22" s="128">
        <v>73.33</v>
      </c>
      <c r="AX22" t="s">
        <v>1096</v>
      </c>
      <c r="AY22" t="s">
        <v>1681</v>
      </c>
      <c r="AZ22">
        <v>8</v>
      </c>
      <c r="BB22">
        <v>6</v>
      </c>
      <c r="BC22" t="s">
        <v>1139</v>
      </c>
      <c r="BD22" t="s">
        <v>1696</v>
      </c>
      <c r="BE22">
        <v>6</v>
      </c>
      <c r="BH22" t="s">
        <v>1025</v>
      </c>
      <c r="BI22" t="s">
        <v>1351</v>
      </c>
      <c r="BJ22">
        <v>2</v>
      </c>
    </row>
    <row r="23" spans="2:62">
      <c r="B23">
        <v>7</v>
      </c>
      <c r="C23" t="s">
        <v>1139</v>
      </c>
      <c r="D23" t="s">
        <v>1666</v>
      </c>
      <c r="E23" s="128">
        <v>69</v>
      </c>
      <c r="G23">
        <v>7</v>
      </c>
      <c r="H23" t="s">
        <v>804</v>
      </c>
      <c r="I23" t="s">
        <v>1337</v>
      </c>
      <c r="J23">
        <v>8</v>
      </c>
      <c r="M23" t="s">
        <v>990</v>
      </c>
      <c r="N23" t="s">
        <v>1664</v>
      </c>
      <c r="O23">
        <v>6</v>
      </c>
      <c r="R23" t="s">
        <v>770</v>
      </c>
      <c r="S23" t="s">
        <v>1694</v>
      </c>
      <c r="T23">
        <v>2</v>
      </c>
      <c r="W23">
        <v>7</v>
      </c>
      <c r="X23" t="s">
        <v>835</v>
      </c>
      <c r="Y23" t="s">
        <v>1318</v>
      </c>
      <c r="Z23" s="128">
        <v>71.67</v>
      </c>
      <c r="AH23" t="s">
        <v>903</v>
      </c>
      <c r="AI23" t="s">
        <v>1347</v>
      </c>
      <c r="AJ23">
        <v>6</v>
      </c>
      <c r="AL23">
        <v>7</v>
      </c>
      <c r="AN23" t="s">
        <v>1882</v>
      </c>
      <c r="AO23">
        <v>1</v>
      </c>
      <c r="AR23">
        <v>7</v>
      </c>
      <c r="AS23" t="s">
        <v>804</v>
      </c>
      <c r="AT23" t="s">
        <v>1663</v>
      </c>
      <c r="AU23" s="128">
        <v>72.67</v>
      </c>
      <c r="AX23" t="s">
        <v>804</v>
      </c>
      <c r="AY23" t="s">
        <v>1663</v>
      </c>
      <c r="AZ23">
        <v>8</v>
      </c>
      <c r="BC23" t="s">
        <v>1139</v>
      </c>
      <c r="BD23" t="s">
        <v>1600</v>
      </c>
      <c r="BE23">
        <v>6</v>
      </c>
      <c r="BH23" t="s">
        <v>835</v>
      </c>
      <c r="BI23" t="s">
        <v>1883</v>
      </c>
      <c r="BJ23">
        <v>2</v>
      </c>
    </row>
    <row r="24" spans="2:62">
      <c r="B24">
        <v>8</v>
      </c>
      <c r="C24" t="s">
        <v>952</v>
      </c>
      <c r="D24" t="s">
        <v>1672</v>
      </c>
      <c r="E24" s="128">
        <v>68.67</v>
      </c>
      <c r="H24" t="s">
        <v>1200</v>
      </c>
      <c r="I24" t="s">
        <v>1331</v>
      </c>
      <c r="J24">
        <v>8</v>
      </c>
      <c r="M24" t="s">
        <v>1062</v>
      </c>
      <c r="N24" t="s">
        <v>1356</v>
      </c>
      <c r="O24">
        <v>6</v>
      </c>
      <c r="R24" t="s">
        <v>1265</v>
      </c>
      <c r="S24" t="s">
        <v>1697</v>
      </c>
      <c r="T24">
        <v>2</v>
      </c>
      <c r="W24">
        <v>8</v>
      </c>
      <c r="X24" t="s">
        <v>1171</v>
      </c>
      <c r="Y24" t="s">
        <v>1579</v>
      </c>
      <c r="Z24" s="128">
        <v>71</v>
      </c>
      <c r="AH24" t="s">
        <v>1025</v>
      </c>
      <c r="AI24" t="s">
        <v>1351</v>
      </c>
      <c r="AJ24">
        <v>6</v>
      </c>
      <c r="AR24">
        <v>8</v>
      </c>
      <c r="AS24" t="s">
        <v>903</v>
      </c>
      <c r="AT24" t="s">
        <v>1695</v>
      </c>
      <c r="AU24" s="128">
        <v>70.67</v>
      </c>
      <c r="AX24" t="s">
        <v>1139</v>
      </c>
      <c r="AY24" t="s">
        <v>1696</v>
      </c>
      <c r="AZ24">
        <v>8</v>
      </c>
      <c r="BC24" t="s">
        <v>804</v>
      </c>
      <c r="BD24" t="s">
        <v>1337</v>
      </c>
      <c r="BE24">
        <v>6</v>
      </c>
      <c r="BG24">
        <v>8</v>
      </c>
      <c r="BH24" t="s">
        <v>1171</v>
      </c>
      <c r="BI24" t="s">
        <v>1328</v>
      </c>
      <c r="BJ24">
        <v>1</v>
      </c>
    </row>
    <row r="25" spans="2:62">
      <c r="C25" t="s">
        <v>1025</v>
      </c>
      <c r="D25" t="s">
        <v>1351</v>
      </c>
      <c r="E25" s="128">
        <v>68.67</v>
      </c>
      <c r="H25" t="s">
        <v>1096</v>
      </c>
      <c r="I25" t="s">
        <v>1692</v>
      </c>
      <c r="J25">
        <v>8</v>
      </c>
      <c r="M25" t="s">
        <v>1062</v>
      </c>
      <c r="N25" t="s">
        <v>1683</v>
      </c>
      <c r="O25">
        <v>6</v>
      </c>
      <c r="R25" t="s">
        <v>990</v>
      </c>
      <c r="S25" t="s">
        <v>1698</v>
      </c>
      <c r="T25">
        <v>2</v>
      </c>
      <c r="W25">
        <v>9</v>
      </c>
      <c r="X25" t="s">
        <v>1139</v>
      </c>
      <c r="Y25" t="s">
        <v>1666</v>
      </c>
      <c r="Z25" s="128">
        <v>69.3</v>
      </c>
      <c r="AH25" t="s">
        <v>1139</v>
      </c>
      <c r="AI25" t="s">
        <v>1666</v>
      </c>
      <c r="AJ25">
        <v>6</v>
      </c>
      <c r="AR25">
        <v>9</v>
      </c>
      <c r="AS25" t="s">
        <v>1096</v>
      </c>
      <c r="AT25" t="s">
        <v>1681</v>
      </c>
      <c r="AU25" s="128">
        <v>70.33</v>
      </c>
      <c r="AX25" t="s">
        <v>1139</v>
      </c>
      <c r="AY25" t="s">
        <v>1600</v>
      </c>
      <c r="AZ25">
        <v>8</v>
      </c>
      <c r="BC25" t="s">
        <v>903</v>
      </c>
      <c r="BD25" t="s">
        <v>1695</v>
      </c>
      <c r="BE25">
        <v>6</v>
      </c>
      <c r="BH25" t="s">
        <v>903</v>
      </c>
      <c r="BI25" t="s">
        <v>1347</v>
      </c>
      <c r="BJ25">
        <v>1</v>
      </c>
    </row>
    <row r="26" spans="2:62">
      <c r="C26" t="s">
        <v>770</v>
      </c>
      <c r="D26" t="s">
        <v>1670</v>
      </c>
      <c r="E26" s="128">
        <v>68.67</v>
      </c>
      <c r="I26" t="s">
        <v>1615</v>
      </c>
      <c r="J26">
        <v>8</v>
      </c>
      <c r="L26">
        <v>10</v>
      </c>
      <c r="N26" t="s">
        <v>1639</v>
      </c>
      <c r="O26">
        <v>5</v>
      </c>
      <c r="Q26">
        <v>10</v>
      </c>
      <c r="S26" t="s">
        <v>1652</v>
      </c>
      <c r="T26">
        <v>1</v>
      </c>
      <c r="W26">
        <v>10</v>
      </c>
      <c r="X26" t="s">
        <v>1062</v>
      </c>
      <c r="Y26" t="s">
        <v>1356</v>
      </c>
      <c r="Z26" s="128">
        <v>69</v>
      </c>
      <c r="AH26" t="s">
        <v>1171</v>
      </c>
      <c r="AI26" t="s">
        <v>1328</v>
      </c>
      <c r="AJ26">
        <v>6</v>
      </c>
      <c r="AT26" t="s">
        <v>1610</v>
      </c>
      <c r="AU26" s="128">
        <v>70.33</v>
      </c>
      <c r="AY26" t="s">
        <v>1627</v>
      </c>
      <c r="AZ26">
        <v>8</v>
      </c>
      <c r="BB26">
        <v>10</v>
      </c>
      <c r="BC26" t="s">
        <v>804</v>
      </c>
      <c r="BD26" t="s">
        <v>1663</v>
      </c>
      <c r="BE26">
        <v>5</v>
      </c>
      <c r="BI26" t="s">
        <v>1884</v>
      </c>
      <c r="BJ26">
        <v>1</v>
      </c>
    </row>
    <row r="28" spans="2:62">
      <c r="B28" s="1084" t="s">
        <v>1612</v>
      </c>
      <c r="C28" s="1085"/>
      <c r="D28" s="1085"/>
      <c r="E28" s="1086"/>
      <c r="G28" s="1084" t="s">
        <v>1611</v>
      </c>
      <c r="H28" s="1085"/>
      <c r="I28" s="1085"/>
      <c r="J28" s="1086"/>
      <c r="L28" s="1084" t="s">
        <v>1699</v>
      </c>
      <c r="M28" s="1085"/>
      <c r="N28" s="1085"/>
      <c r="O28" s="1086"/>
      <c r="Q28" s="1084" t="s">
        <v>1700</v>
      </c>
      <c r="R28" s="1085"/>
      <c r="S28" s="1085"/>
      <c r="T28" s="1086"/>
      <c r="W28" s="1084" t="s">
        <v>1612</v>
      </c>
      <c r="X28" s="1085"/>
      <c r="Y28" s="1085"/>
      <c r="Z28" s="1086"/>
      <c r="AB28" s="1084" t="s">
        <v>1611</v>
      </c>
      <c r="AC28" s="1085"/>
      <c r="AD28" s="1085"/>
      <c r="AE28" s="1086"/>
      <c r="AG28" s="1084" t="s">
        <v>1699</v>
      </c>
      <c r="AH28" s="1085"/>
      <c r="AI28" s="1085"/>
      <c r="AJ28" s="1086"/>
      <c r="AL28" s="1084" t="s">
        <v>1700</v>
      </c>
      <c r="AM28" s="1085"/>
      <c r="AN28" s="1085"/>
      <c r="AO28" s="1086"/>
      <c r="AR28" s="1084" t="s">
        <v>1612</v>
      </c>
      <c r="AS28" s="1085"/>
      <c r="AT28" s="1085"/>
      <c r="AU28" s="1086"/>
      <c r="AW28" s="1084" t="s">
        <v>1611</v>
      </c>
      <c r="AX28" s="1085"/>
      <c r="AY28" s="1085"/>
      <c r="AZ28" s="1086"/>
      <c r="BB28" s="1084" t="s">
        <v>1699</v>
      </c>
      <c r="BC28" s="1085"/>
      <c r="BD28" s="1085"/>
      <c r="BE28" s="1086"/>
      <c r="BG28" s="1084" t="s">
        <v>1700</v>
      </c>
      <c r="BH28" s="1085"/>
      <c r="BI28" s="1085"/>
      <c r="BJ28" s="1086"/>
    </row>
    <row r="29" spans="2:62" s="141" customFormat="1">
      <c r="B29" s="359"/>
      <c r="C29" s="360" t="s">
        <v>8</v>
      </c>
      <c r="D29" s="360" t="s">
        <v>1314</v>
      </c>
      <c r="E29" s="360" t="s">
        <v>164</v>
      </c>
      <c r="G29" s="359"/>
      <c r="H29" s="360" t="s">
        <v>8</v>
      </c>
      <c r="I29" s="360" t="s">
        <v>1314</v>
      </c>
      <c r="J29" s="360" t="s">
        <v>164</v>
      </c>
      <c r="L29" s="359"/>
      <c r="M29" s="360" t="s">
        <v>8</v>
      </c>
      <c r="N29" s="360" t="s">
        <v>1314</v>
      </c>
      <c r="O29" s="360" t="s">
        <v>164</v>
      </c>
      <c r="Q29" s="359"/>
      <c r="R29" s="360" t="s">
        <v>8</v>
      </c>
      <c r="S29" s="360" t="s">
        <v>1314</v>
      </c>
      <c r="T29" s="359" t="s">
        <v>164</v>
      </c>
      <c r="W29" s="359"/>
      <c r="X29" s="360" t="s">
        <v>8</v>
      </c>
      <c r="Y29" s="360" t="s">
        <v>1314</v>
      </c>
      <c r="Z29" s="360" t="s">
        <v>164</v>
      </c>
      <c r="AB29" s="359"/>
      <c r="AC29" s="360" t="s">
        <v>8</v>
      </c>
      <c r="AD29" s="360" t="s">
        <v>1314</v>
      </c>
      <c r="AE29" s="360" t="s">
        <v>164</v>
      </c>
      <c r="AG29" s="359"/>
      <c r="AH29" s="360" t="s">
        <v>8</v>
      </c>
      <c r="AI29" s="360" t="s">
        <v>1314</v>
      </c>
      <c r="AJ29" s="360" t="s">
        <v>164</v>
      </c>
      <c r="AL29" s="359"/>
      <c r="AM29" s="360" t="s">
        <v>8</v>
      </c>
      <c r="AN29" s="360" t="s">
        <v>1314</v>
      </c>
      <c r="AO29" s="359" t="s">
        <v>164</v>
      </c>
      <c r="AR29" s="359"/>
      <c r="AS29" s="360" t="s">
        <v>8</v>
      </c>
      <c r="AT29" s="360" t="s">
        <v>1314</v>
      </c>
      <c r="AU29" s="360" t="s">
        <v>164</v>
      </c>
      <c r="AW29" s="359"/>
      <c r="AX29" s="360" t="s">
        <v>8</v>
      </c>
      <c r="AY29" s="360" t="s">
        <v>1314</v>
      </c>
      <c r="AZ29" s="360" t="s">
        <v>164</v>
      </c>
      <c r="BB29" s="359"/>
      <c r="BC29" s="360" t="s">
        <v>8</v>
      </c>
      <c r="BD29" s="360" t="s">
        <v>1314</v>
      </c>
      <c r="BE29" s="360" t="s">
        <v>164</v>
      </c>
      <c r="BG29" s="359"/>
      <c r="BH29" s="360" t="s">
        <v>8</v>
      </c>
      <c r="BI29" s="360" t="s">
        <v>1314</v>
      </c>
      <c r="BJ29" s="359" t="s">
        <v>164</v>
      </c>
    </row>
    <row r="30" spans="2:62" s="119" customFormat="1" ht="19">
      <c r="B30" s="119">
        <v>1</v>
      </c>
      <c r="C30" s="119" t="s">
        <v>1229</v>
      </c>
      <c r="D30" s="119" t="s">
        <v>1701</v>
      </c>
      <c r="E30" s="119">
        <v>95</v>
      </c>
      <c r="G30" s="119">
        <v>1</v>
      </c>
      <c r="H30" s="119" t="s">
        <v>1229</v>
      </c>
      <c r="I30" s="119" t="s">
        <v>1701</v>
      </c>
      <c r="J30" s="119">
        <v>57</v>
      </c>
      <c r="L30" s="119">
        <v>1</v>
      </c>
      <c r="M30" s="119" t="s">
        <v>869</v>
      </c>
      <c r="N30" s="119" t="s">
        <v>1710</v>
      </c>
      <c r="O30" s="119">
        <v>37</v>
      </c>
      <c r="Q30" s="119">
        <v>1</v>
      </c>
      <c r="R30" s="119" t="s">
        <v>1062</v>
      </c>
      <c r="S30" s="119" t="s">
        <v>1727</v>
      </c>
      <c r="T30" s="119">
        <v>24</v>
      </c>
      <c r="W30" s="119">
        <v>1</v>
      </c>
      <c r="X30" s="119" t="s">
        <v>1229</v>
      </c>
      <c r="Y30" s="119" t="s">
        <v>1703</v>
      </c>
      <c r="Z30" s="119">
        <v>81</v>
      </c>
      <c r="AB30" s="119">
        <v>1</v>
      </c>
      <c r="AC30" s="119" t="s">
        <v>1229</v>
      </c>
      <c r="AD30" s="119" t="s">
        <v>1703</v>
      </c>
      <c r="AE30" s="119">
        <v>45</v>
      </c>
      <c r="AG30" s="119">
        <v>1</v>
      </c>
      <c r="AH30" s="119" t="s">
        <v>1096</v>
      </c>
      <c r="AI30" s="119" t="s">
        <v>1705</v>
      </c>
      <c r="AJ30" s="119">
        <v>38</v>
      </c>
      <c r="AL30" s="119">
        <v>1</v>
      </c>
      <c r="AM30" s="119" t="s">
        <v>952</v>
      </c>
      <c r="AN30" s="119" t="s">
        <v>1382</v>
      </c>
      <c r="AO30" s="119">
        <v>27</v>
      </c>
      <c r="AR30" s="119">
        <v>1</v>
      </c>
      <c r="AS30" s="119" t="s">
        <v>1229</v>
      </c>
      <c r="AT30" s="119" t="s">
        <v>1712</v>
      </c>
      <c r="AU30" s="119">
        <v>85</v>
      </c>
      <c r="AW30" s="119">
        <v>1</v>
      </c>
      <c r="AX30" s="119" t="s">
        <v>1096</v>
      </c>
      <c r="AY30" s="119" t="s">
        <v>1713</v>
      </c>
      <c r="AZ30" s="119">
        <v>46</v>
      </c>
      <c r="BB30" s="119">
        <v>1</v>
      </c>
      <c r="BC30" s="119" t="s">
        <v>1025</v>
      </c>
      <c r="BD30" s="119" t="s">
        <v>1351</v>
      </c>
      <c r="BE30" s="119">
        <v>39</v>
      </c>
      <c r="BG30" s="119">
        <v>1</v>
      </c>
      <c r="BH30" s="119" t="s">
        <v>1200</v>
      </c>
      <c r="BI30" s="119" t="s">
        <v>1708</v>
      </c>
      <c r="BJ30" s="119">
        <v>28</v>
      </c>
    </row>
    <row r="31" spans="2:62">
      <c r="B31">
        <v>2</v>
      </c>
      <c r="C31" t="s">
        <v>1229</v>
      </c>
      <c r="D31" t="s">
        <v>1703</v>
      </c>
      <c r="E31">
        <v>84</v>
      </c>
      <c r="G31">
        <v>2</v>
      </c>
      <c r="H31" t="s">
        <v>1229</v>
      </c>
      <c r="I31" t="s">
        <v>1712</v>
      </c>
      <c r="J31">
        <v>44</v>
      </c>
      <c r="L31">
        <v>2</v>
      </c>
      <c r="M31" t="s">
        <v>1200</v>
      </c>
      <c r="N31" t="s">
        <v>1723</v>
      </c>
      <c r="O31">
        <v>35</v>
      </c>
      <c r="R31" s="450" t="s">
        <v>1171</v>
      </c>
      <c r="S31" s="450" t="s">
        <v>1378</v>
      </c>
      <c r="T31" s="450">
        <v>24</v>
      </c>
      <c r="W31">
        <v>2</v>
      </c>
      <c r="X31" t="s">
        <v>1265</v>
      </c>
      <c r="Y31" t="s">
        <v>1693</v>
      </c>
      <c r="Z31">
        <v>78</v>
      </c>
      <c r="AB31">
        <v>2</v>
      </c>
      <c r="AC31" t="s">
        <v>903</v>
      </c>
      <c r="AD31" t="s">
        <v>1718</v>
      </c>
      <c r="AE31">
        <v>43</v>
      </c>
      <c r="AG31">
        <v>2</v>
      </c>
      <c r="AH31" t="s">
        <v>1265</v>
      </c>
      <c r="AI31" t="s">
        <v>1697</v>
      </c>
      <c r="AJ31">
        <v>36</v>
      </c>
      <c r="AL31">
        <v>2</v>
      </c>
      <c r="AM31" t="s">
        <v>835</v>
      </c>
      <c r="AN31" t="s">
        <v>1743</v>
      </c>
      <c r="AO31">
        <v>26</v>
      </c>
      <c r="AR31">
        <v>2</v>
      </c>
      <c r="AS31" t="s">
        <v>903</v>
      </c>
      <c r="AT31" t="s">
        <v>1731</v>
      </c>
      <c r="AU31">
        <v>78</v>
      </c>
      <c r="AW31">
        <v>2</v>
      </c>
      <c r="AX31" t="s">
        <v>990</v>
      </c>
      <c r="AY31" t="s">
        <v>1736</v>
      </c>
      <c r="AZ31">
        <v>43</v>
      </c>
      <c r="BB31">
        <v>2</v>
      </c>
      <c r="BC31" t="s">
        <v>903</v>
      </c>
      <c r="BD31" t="s">
        <v>1695</v>
      </c>
      <c r="BE31">
        <v>37</v>
      </c>
      <c r="BG31">
        <v>2</v>
      </c>
      <c r="BH31" t="s">
        <v>804</v>
      </c>
      <c r="BI31" t="s">
        <v>1369</v>
      </c>
      <c r="BJ31">
        <v>27</v>
      </c>
    </row>
    <row r="32" spans="2:62">
      <c r="B32">
        <v>3</v>
      </c>
      <c r="C32" t="s">
        <v>1229</v>
      </c>
      <c r="D32" t="s">
        <v>1712</v>
      </c>
      <c r="E32">
        <v>80</v>
      </c>
      <c r="G32">
        <v>3</v>
      </c>
      <c r="H32" t="s">
        <v>1025</v>
      </c>
      <c r="I32" t="s">
        <v>1728</v>
      </c>
      <c r="J32">
        <v>41</v>
      </c>
      <c r="L32">
        <v>3</v>
      </c>
      <c r="M32" t="s">
        <v>1025</v>
      </c>
      <c r="N32" t="s">
        <v>1728</v>
      </c>
      <c r="O32">
        <v>33</v>
      </c>
      <c r="R32" s="450" t="s">
        <v>1062</v>
      </c>
      <c r="S32" s="450" t="s">
        <v>1407</v>
      </c>
      <c r="T32" s="450">
        <v>24</v>
      </c>
      <c r="W32">
        <v>3</v>
      </c>
      <c r="X32" t="s">
        <v>1229</v>
      </c>
      <c r="Y32" t="s">
        <v>1701</v>
      </c>
      <c r="Z32">
        <v>74</v>
      </c>
      <c r="AB32">
        <v>3</v>
      </c>
      <c r="AC32" t="s">
        <v>1265</v>
      </c>
      <c r="AD32" t="s">
        <v>1693</v>
      </c>
      <c r="AE32">
        <v>41</v>
      </c>
      <c r="AH32" t="s">
        <v>835</v>
      </c>
      <c r="AI32" t="s">
        <v>1725</v>
      </c>
      <c r="AJ32">
        <v>36</v>
      </c>
      <c r="AL32">
        <v>3</v>
      </c>
      <c r="AM32" t="s">
        <v>952</v>
      </c>
      <c r="AN32" t="s">
        <v>1412</v>
      </c>
      <c r="AO32">
        <v>25</v>
      </c>
      <c r="AS32" t="s">
        <v>1229</v>
      </c>
      <c r="AT32" t="s">
        <v>1701</v>
      </c>
      <c r="AU32">
        <v>78</v>
      </c>
      <c r="AW32">
        <v>3</v>
      </c>
      <c r="AX32" t="s">
        <v>804</v>
      </c>
      <c r="AY32" t="s">
        <v>1750</v>
      </c>
      <c r="AZ32">
        <v>41</v>
      </c>
      <c r="BB32">
        <v>3</v>
      </c>
      <c r="BC32" t="s">
        <v>1062</v>
      </c>
      <c r="BD32" t="s">
        <v>1683</v>
      </c>
      <c r="BE32">
        <v>36</v>
      </c>
      <c r="BH32" t="s">
        <v>1062</v>
      </c>
      <c r="BI32" t="s">
        <v>1727</v>
      </c>
      <c r="BJ32">
        <v>27</v>
      </c>
    </row>
    <row r="33" spans="2:62">
      <c r="B33">
        <v>4</v>
      </c>
      <c r="C33" t="s">
        <v>869</v>
      </c>
      <c r="D33" t="s">
        <v>1747</v>
      </c>
      <c r="E33">
        <v>74</v>
      </c>
      <c r="G33">
        <v>4</v>
      </c>
      <c r="H33" t="s">
        <v>1096</v>
      </c>
      <c r="I33" t="s">
        <v>1713</v>
      </c>
      <c r="J33">
        <v>40</v>
      </c>
      <c r="L33">
        <v>4</v>
      </c>
      <c r="M33" t="s">
        <v>835</v>
      </c>
      <c r="N33" t="s">
        <v>1741</v>
      </c>
      <c r="O33">
        <v>31</v>
      </c>
      <c r="R33" s="450" t="s">
        <v>869</v>
      </c>
      <c r="S33" s="450" t="s">
        <v>1748</v>
      </c>
      <c r="T33" s="450">
        <v>24</v>
      </c>
      <c r="X33" t="s">
        <v>1229</v>
      </c>
      <c r="Y33" t="s">
        <v>1712</v>
      </c>
      <c r="Z33">
        <v>74</v>
      </c>
      <c r="AB33">
        <v>4</v>
      </c>
      <c r="AC33" t="s">
        <v>1096</v>
      </c>
      <c r="AD33" t="s">
        <v>1713</v>
      </c>
      <c r="AE33">
        <v>39</v>
      </c>
      <c r="AG33">
        <v>4</v>
      </c>
      <c r="AH33" t="s">
        <v>1025</v>
      </c>
      <c r="AI33" t="s">
        <v>1742</v>
      </c>
      <c r="AJ33">
        <v>34</v>
      </c>
      <c r="AL33">
        <v>4</v>
      </c>
      <c r="AM33" t="s">
        <v>1025</v>
      </c>
      <c r="AN33" t="s">
        <v>1373</v>
      </c>
      <c r="AO33">
        <v>24</v>
      </c>
      <c r="AR33">
        <v>4</v>
      </c>
      <c r="AS33" t="s">
        <v>869</v>
      </c>
      <c r="AT33" t="s">
        <v>1744</v>
      </c>
      <c r="AU33">
        <v>76</v>
      </c>
      <c r="AW33">
        <v>4</v>
      </c>
      <c r="AX33" t="s">
        <v>869</v>
      </c>
      <c r="AY33" t="s">
        <v>1710</v>
      </c>
      <c r="AZ33">
        <v>40</v>
      </c>
      <c r="BB33">
        <v>4</v>
      </c>
      <c r="BC33" t="s">
        <v>1096</v>
      </c>
      <c r="BD33" t="s">
        <v>1713</v>
      </c>
      <c r="BE33">
        <v>35</v>
      </c>
      <c r="BG33">
        <v>4</v>
      </c>
      <c r="BH33" t="s">
        <v>804</v>
      </c>
      <c r="BI33" t="s">
        <v>1746</v>
      </c>
      <c r="BJ33">
        <v>25</v>
      </c>
    </row>
    <row r="34" spans="2:62">
      <c r="B34">
        <v>5</v>
      </c>
      <c r="C34" t="s">
        <v>804</v>
      </c>
      <c r="D34" t="s">
        <v>1324</v>
      </c>
      <c r="E34">
        <v>72</v>
      </c>
      <c r="G34">
        <v>5</v>
      </c>
      <c r="H34" t="s">
        <v>990</v>
      </c>
      <c r="I34" t="s">
        <v>1750</v>
      </c>
      <c r="J34">
        <v>39</v>
      </c>
      <c r="M34" t="s">
        <v>804</v>
      </c>
      <c r="N34" t="s">
        <v>1411</v>
      </c>
      <c r="O34">
        <v>31</v>
      </c>
      <c r="R34" s="450" t="s">
        <v>1025</v>
      </c>
      <c r="S34" s="450" t="s">
        <v>1753</v>
      </c>
      <c r="T34" s="450">
        <v>24</v>
      </c>
      <c r="W34">
        <v>5</v>
      </c>
      <c r="X34" t="s">
        <v>770</v>
      </c>
      <c r="Y34" t="s">
        <v>1333</v>
      </c>
      <c r="Z34">
        <v>72</v>
      </c>
      <c r="AB34">
        <v>5</v>
      </c>
      <c r="AC34" t="s">
        <v>770</v>
      </c>
      <c r="AD34" t="s">
        <v>1333</v>
      </c>
      <c r="AE34">
        <v>38</v>
      </c>
      <c r="AH34" t="s">
        <v>1200</v>
      </c>
      <c r="AI34" t="s">
        <v>1723</v>
      </c>
      <c r="AJ34">
        <v>34</v>
      </c>
      <c r="AM34" t="s">
        <v>1200</v>
      </c>
      <c r="AN34" t="s">
        <v>1391</v>
      </c>
      <c r="AO34">
        <v>24</v>
      </c>
      <c r="AR34">
        <v>5</v>
      </c>
      <c r="AS34" t="s">
        <v>990</v>
      </c>
      <c r="AT34" t="s">
        <v>1754</v>
      </c>
      <c r="AU34">
        <v>75</v>
      </c>
      <c r="AX34" t="s">
        <v>903</v>
      </c>
      <c r="AY34" t="s">
        <v>1731</v>
      </c>
      <c r="AZ34">
        <v>40</v>
      </c>
      <c r="BC34" t="s">
        <v>1265</v>
      </c>
      <c r="BD34" t="s">
        <v>1737</v>
      </c>
      <c r="BE34">
        <v>35</v>
      </c>
      <c r="BH34" t="s">
        <v>903</v>
      </c>
      <c r="BI34" t="s">
        <v>1738</v>
      </c>
      <c r="BJ34">
        <v>25</v>
      </c>
    </row>
    <row r="35" spans="2:62">
      <c r="B35">
        <v>6</v>
      </c>
      <c r="C35" t="s">
        <v>835</v>
      </c>
      <c r="D35" t="s">
        <v>1661</v>
      </c>
      <c r="E35">
        <v>71</v>
      </c>
      <c r="G35">
        <v>6</v>
      </c>
      <c r="H35" t="s">
        <v>1062</v>
      </c>
      <c r="I35" t="s">
        <v>1676</v>
      </c>
      <c r="J35">
        <v>38</v>
      </c>
      <c r="L35">
        <v>6</v>
      </c>
      <c r="M35" t="s">
        <v>1229</v>
      </c>
      <c r="N35" t="s">
        <v>2067</v>
      </c>
      <c r="O35">
        <v>29</v>
      </c>
      <c r="R35" s="450" t="s">
        <v>1025</v>
      </c>
      <c r="S35" s="450" t="s">
        <v>1373</v>
      </c>
      <c r="T35" s="450">
        <v>24</v>
      </c>
      <c r="W35">
        <v>6</v>
      </c>
      <c r="X35" t="s">
        <v>1096</v>
      </c>
      <c r="Y35" t="s">
        <v>1713</v>
      </c>
      <c r="Z35">
        <v>70</v>
      </c>
      <c r="AC35" t="s">
        <v>1200</v>
      </c>
      <c r="AD35" t="s">
        <v>1671</v>
      </c>
      <c r="AE35">
        <v>38</v>
      </c>
      <c r="AG35">
        <v>6</v>
      </c>
      <c r="AH35" t="s">
        <v>1025</v>
      </c>
      <c r="AI35" t="s">
        <v>1728</v>
      </c>
      <c r="AJ35">
        <v>33</v>
      </c>
      <c r="AM35" t="s">
        <v>1171</v>
      </c>
      <c r="AN35" t="s">
        <v>1378</v>
      </c>
      <c r="AO35">
        <v>24</v>
      </c>
      <c r="AR35">
        <v>6</v>
      </c>
      <c r="AS35" t="s">
        <v>1265</v>
      </c>
      <c r="AT35" t="s">
        <v>1693</v>
      </c>
      <c r="AU35">
        <v>73</v>
      </c>
      <c r="AW35">
        <v>6</v>
      </c>
      <c r="AX35" t="s">
        <v>1096</v>
      </c>
      <c r="AY35" t="s">
        <v>1705</v>
      </c>
      <c r="AZ35">
        <v>39</v>
      </c>
      <c r="BB35">
        <v>6</v>
      </c>
      <c r="BC35" t="s">
        <v>1200</v>
      </c>
      <c r="BD35" t="s">
        <v>1723</v>
      </c>
      <c r="BE35">
        <v>33</v>
      </c>
      <c r="BH35" t="s">
        <v>1025</v>
      </c>
      <c r="BI35" t="s">
        <v>1733</v>
      </c>
      <c r="BJ35">
        <v>25</v>
      </c>
    </row>
    <row r="36" spans="2:62">
      <c r="B36">
        <v>7</v>
      </c>
      <c r="C36" t="s">
        <v>770</v>
      </c>
      <c r="D36" t="s">
        <v>1694</v>
      </c>
      <c r="E36">
        <v>70</v>
      </c>
      <c r="H36" t="s">
        <v>1229</v>
      </c>
      <c r="I36" t="s">
        <v>2067</v>
      </c>
      <c r="J36">
        <v>38</v>
      </c>
      <c r="M36" t="s">
        <v>990</v>
      </c>
      <c r="N36" t="s">
        <v>1698</v>
      </c>
      <c r="O36">
        <v>29</v>
      </c>
      <c r="Q36">
        <v>7</v>
      </c>
      <c r="R36" t="s">
        <v>952</v>
      </c>
      <c r="S36" t="s">
        <v>1382</v>
      </c>
      <c r="T36">
        <v>23</v>
      </c>
      <c r="X36" t="s">
        <v>990</v>
      </c>
      <c r="Y36" t="s">
        <v>1754</v>
      </c>
      <c r="Z36">
        <v>70</v>
      </c>
      <c r="AB36">
        <v>7</v>
      </c>
      <c r="AC36" t="s">
        <v>1025</v>
      </c>
      <c r="AD36" t="s">
        <v>1885</v>
      </c>
      <c r="AE36">
        <v>37</v>
      </c>
      <c r="AG36">
        <v>7</v>
      </c>
      <c r="AH36" t="s">
        <v>1062</v>
      </c>
      <c r="AI36" t="s">
        <v>1676</v>
      </c>
      <c r="AJ36">
        <v>33</v>
      </c>
      <c r="AM36" t="s">
        <v>1139</v>
      </c>
      <c r="AN36" t="s">
        <v>1377</v>
      </c>
      <c r="AO36">
        <v>24</v>
      </c>
      <c r="AR36">
        <v>7</v>
      </c>
      <c r="AS36" t="s">
        <v>1139</v>
      </c>
      <c r="AT36" t="s">
        <v>1665</v>
      </c>
      <c r="AU36">
        <v>71</v>
      </c>
      <c r="AX36" t="s">
        <v>1229</v>
      </c>
      <c r="AY36" t="s">
        <v>1712</v>
      </c>
      <c r="AZ36">
        <v>39</v>
      </c>
      <c r="BB36">
        <v>7</v>
      </c>
      <c r="BC36" t="s">
        <v>804</v>
      </c>
      <c r="BD36" t="s">
        <v>1750</v>
      </c>
      <c r="BE36">
        <v>31</v>
      </c>
      <c r="BG36">
        <v>7</v>
      </c>
      <c r="BH36" t="s">
        <v>1265</v>
      </c>
      <c r="BI36" t="s">
        <v>1764</v>
      </c>
      <c r="BJ36">
        <v>24</v>
      </c>
    </row>
    <row r="37" spans="2:62">
      <c r="B37">
        <v>8</v>
      </c>
      <c r="C37" t="s">
        <v>1062</v>
      </c>
      <c r="D37" t="s">
        <v>1676</v>
      </c>
      <c r="E37">
        <v>69</v>
      </c>
      <c r="G37">
        <v>8</v>
      </c>
      <c r="H37" t="s">
        <v>1229</v>
      </c>
      <c r="I37" t="s">
        <v>1703</v>
      </c>
      <c r="J37">
        <v>37</v>
      </c>
      <c r="M37" t="s">
        <v>1025</v>
      </c>
      <c r="N37" t="s">
        <v>1742</v>
      </c>
      <c r="O37">
        <v>29</v>
      </c>
      <c r="R37" t="s">
        <v>804</v>
      </c>
      <c r="S37" t="s">
        <v>1369</v>
      </c>
      <c r="T37">
        <v>23</v>
      </c>
      <c r="W37">
        <v>8</v>
      </c>
      <c r="X37" t="s">
        <v>869</v>
      </c>
      <c r="Y37" t="s">
        <v>1744</v>
      </c>
      <c r="Z37">
        <v>69</v>
      </c>
      <c r="AC37" t="s">
        <v>1025</v>
      </c>
      <c r="AD37" t="s">
        <v>1728</v>
      </c>
      <c r="AE37">
        <v>37</v>
      </c>
      <c r="AH37" t="s">
        <v>835</v>
      </c>
      <c r="AI37" t="s">
        <v>1318</v>
      </c>
      <c r="AJ37">
        <v>33</v>
      </c>
      <c r="AM37" t="s">
        <v>1062</v>
      </c>
      <c r="AN37" t="s">
        <v>1727</v>
      </c>
      <c r="AO37">
        <v>24</v>
      </c>
      <c r="AS37" t="s">
        <v>952</v>
      </c>
      <c r="AT37" t="s">
        <v>1669</v>
      </c>
      <c r="AU37">
        <v>71</v>
      </c>
      <c r="AX37" t="s">
        <v>770</v>
      </c>
      <c r="AY37" t="s">
        <v>1694</v>
      </c>
      <c r="AZ37">
        <v>39</v>
      </c>
      <c r="BC37" t="s">
        <v>1265</v>
      </c>
      <c r="BD37" t="s">
        <v>1697</v>
      </c>
      <c r="BE37">
        <v>31</v>
      </c>
      <c r="BH37" t="s">
        <v>1062</v>
      </c>
      <c r="BI37" t="s">
        <v>1407</v>
      </c>
      <c r="BJ37">
        <v>24</v>
      </c>
    </row>
    <row r="38" spans="2:62">
      <c r="B38">
        <v>9</v>
      </c>
      <c r="C38" t="s">
        <v>1229</v>
      </c>
      <c r="D38" t="s">
        <v>2067</v>
      </c>
      <c r="E38">
        <v>68</v>
      </c>
      <c r="G38">
        <v>9</v>
      </c>
      <c r="H38" t="s">
        <v>990</v>
      </c>
      <c r="I38" t="s">
        <v>1698</v>
      </c>
      <c r="J38">
        <v>36</v>
      </c>
      <c r="M38" t="s">
        <v>903</v>
      </c>
      <c r="N38" t="s">
        <v>1695</v>
      </c>
      <c r="O38">
        <v>29</v>
      </c>
      <c r="R38" t="s">
        <v>1200</v>
      </c>
      <c r="S38" t="s">
        <v>1391</v>
      </c>
      <c r="T38">
        <v>23</v>
      </c>
      <c r="W38">
        <v>9</v>
      </c>
      <c r="X38" t="s">
        <v>1025</v>
      </c>
      <c r="Y38" t="s">
        <v>1885</v>
      </c>
      <c r="Z38">
        <v>68</v>
      </c>
      <c r="AB38">
        <v>9</v>
      </c>
      <c r="AD38" t="s">
        <v>1627</v>
      </c>
      <c r="AE38">
        <v>36</v>
      </c>
      <c r="AG38">
        <v>9</v>
      </c>
      <c r="AH38" t="s">
        <v>1096</v>
      </c>
      <c r="AI38" t="s">
        <v>1681</v>
      </c>
      <c r="AJ38">
        <v>31</v>
      </c>
      <c r="AL38">
        <v>9</v>
      </c>
      <c r="AM38" t="s">
        <v>1025</v>
      </c>
      <c r="AN38" t="s">
        <v>1733</v>
      </c>
      <c r="AO38">
        <v>23</v>
      </c>
      <c r="AR38">
        <v>9</v>
      </c>
      <c r="AS38" t="s">
        <v>1096</v>
      </c>
      <c r="AT38" t="s">
        <v>1713</v>
      </c>
      <c r="AU38">
        <v>70</v>
      </c>
      <c r="AX38" t="s">
        <v>1096</v>
      </c>
      <c r="AY38" t="s">
        <v>1887</v>
      </c>
      <c r="AZ38">
        <v>39</v>
      </c>
      <c r="BC38" t="s">
        <v>1096</v>
      </c>
      <c r="BD38" t="s">
        <v>1681</v>
      </c>
      <c r="BE38">
        <v>31</v>
      </c>
      <c r="BH38" t="s">
        <v>1139</v>
      </c>
      <c r="BI38" t="s">
        <v>1377</v>
      </c>
      <c r="BJ38">
        <v>24</v>
      </c>
    </row>
    <row r="39" spans="2:62">
      <c r="C39" t="s">
        <v>990</v>
      </c>
      <c r="D39" t="s">
        <v>1698</v>
      </c>
      <c r="E39">
        <v>68</v>
      </c>
      <c r="I39" t="s">
        <v>1610</v>
      </c>
      <c r="J39">
        <v>36</v>
      </c>
      <c r="M39" t="s">
        <v>1062</v>
      </c>
      <c r="N39" t="s">
        <v>1888</v>
      </c>
      <c r="O39">
        <v>29</v>
      </c>
      <c r="R39" t="s">
        <v>1265</v>
      </c>
      <c r="S39" t="s">
        <v>1889</v>
      </c>
      <c r="T39">
        <v>23</v>
      </c>
      <c r="Y39" t="s">
        <v>1610</v>
      </c>
      <c r="Z39">
        <v>67</v>
      </c>
      <c r="AG39">
        <v>10</v>
      </c>
      <c r="AI39" t="s">
        <v>1614</v>
      </c>
      <c r="AJ39">
        <v>29</v>
      </c>
      <c r="AM39" t="s">
        <v>1025</v>
      </c>
      <c r="AN39" t="s">
        <v>1753</v>
      </c>
      <c r="AO39">
        <v>23</v>
      </c>
      <c r="AT39" t="s">
        <v>1614</v>
      </c>
      <c r="AU39">
        <v>70</v>
      </c>
      <c r="AX39" t="s">
        <v>952</v>
      </c>
      <c r="AY39" t="s">
        <v>1669</v>
      </c>
      <c r="AZ39">
        <v>39</v>
      </c>
      <c r="BB39">
        <v>10</v>
      </c>
      <c r="BD39" t="s">
        <v>1614</v>
      </c>
      <c r="BE39">
        <v>30</v>
      </c>
      <c r="BG39">
        <v>10</v>
      </c>
      <c r="BI39" t="s">
        <v>1613</v>
      </c>
      <c r="BJ39">
        <v>23</v>
      </c>
    </row>
    <row r="41" spans="2:62">
      <c r="B41" s="1084" t="s">
        <v>1758</v>
      </c>
      <c r="C41" s="1085"/>
      <c r="D41" s="1085"/>
      <c r="E41" s="1086"/>
      <c r="G41" s="1084" t="s">
        <v>1759</v>
      </c>
      <c r="H41" s="1085"/>
      <c r="I41" s="1085"/>
      <c r="J41" s="1086"/>
      <c r="L41" s="1084" t="s">
        <v>1760</v>
      </c>
      <c r="M41" s="1085"/>
      <c r="N41" s="1085"/>
      <c r="O41" s="1086"/>
      <c r="Q41" s="1084" t="s">
        <v>1761</v>
      </c>
      <c r="R41" s="1085"/>
      <c r="S41" s="1085"/>
      <c r="T41" s="1086"/>
      <c r="W41" s="1084" t="s">
        <v>1758</v>
      </c>
      <c r="X41" s="1085"/>
      <c r="Y41" s="1085"/>
      <c r="Z41" s="1086"/>
      <c r="AB41" s="1084" t="s">
        <v>1759</v>
      </c>
      <c r="AC41" s="1085"/>
      <c r="AD41" s="1085"/>
      <c r="AE41" s="1086"/>
      <c r="AG41" s="1084" t="s">
        <v>1760</v>
      </c>
      <c r="AH41" s="1085"/>
      <c r="AI41" s="1085"/>
      <c r="AJ41" s="1086"/>
      <c r="AL41" s="1084" t="s">
        <v>1761</v>
      </c>
      <c r="AM41" s="1085"/>
      <c r="AN41" s="1085"/>
      <c r="AO41" s="1086"/>
      <c r="AR41" s="1084" t="s">
        <v>1758</v>
      </c>
      <c r="AS41" s="1085"/>
      <c r="AT41" s="1085"/>
      <c r="AU41" s="1086"/>
      <c r="AW41" s="1084" t="s">
        <v>1759</v>
      </c>
      <c r="AX41" s="1085"/>
      <c r="AY41" s="1085"/>
      <c r="AZ41" s="1086"/>
      <c r="BB41" s="1084" t="s">
        <v>1760</v>
      </c>
      <c r="BC41" s="1085"/>
      <c r="BD41" s="1085"/>
      <c r="BE41" s="1086"/>
      <c r="BG41" s="1084" t="s">
        <v>1761</v>
      </c>
      <c r="BH41" s="1085"/>
      <c r="BI41" s="1085"/>
      <c r="BJ41" s="1086"/>
    </row>
    <row r="42" spans="2:62" s="141" customFormat="1">
      <c r="B42" s="359"/>
      <c r="C42" s="360" t="s">
        <v>8</v>
      </c>
      <c r="D42" s="360" t="s">
        <v>1314</v>
      </c>
      <c r="E42" s="360" t="s">
        <v>164</v>
      </c>
      <c r="G42" s="359"/>
      <c r="H42" s="360" t="s">
        <v>8</v>
      </c>
      <c r="I42" s="360" t="s">
        <v>1314</v>
      </c>
      <c r="J42" s="360" t="s">
        <v>164</v>
      </c>
      <c r="L42" s="359"/>
      <c r="M42" s="360" t="s">
        <v>8</v>
      </c>
      <c r="N42" s="360" t="s">
        <v>1314</v>
      </c>
      <c r="O42" s="360" t="s">
        <v>164</v>
      </c>
      <c r="Q42" s="359"/>
      <c r="R42" s="360" t="s">
        <v>8</v>
      </c>
      <c r="S42" s="360" t="s">
        <v>1314</v>
      </c>
      <c r="T42" s="360" t="s">
        <v>164</v>
      </c>
      <c r="W42" s="359"/>
      <c r="X42" s="360" t="s">
        <v>8</v>
      </c>
      <c r="Y42" s="360" t="s">
        <v>1314</v>
      </c>
      <c r="Z42" s="360" t="s">
        <v>164</v>
      </c>
      <c r="AB42" s="359"/>
      <c r="AC42" s="360" t="s">
        <v>8</v>
      </c>
      <c r="AD42" s="360" t="s">
        <v>1314</v>
      </c>
      <c r="AE42" s="360" t="s">
        <v>164</v>
      </c>
      <c r="AG42" s="359"/>
      <c r="AH42" s="360" t="s">
        <v>8</v>
      </c>
      <c r="AI42" s="360" t="s">
        <v>1314</v>
      </c>
      <c r="AJ42" s="360" t="s">
        <v>164</v>
      </c>
      <c r="AL42" s="359"/>
      <c r="AM42" s="360" t="s">
        <v>8</v>
      </c>
      <c r="AN42" s="360" t="s">
        <v>1314</v>
      </c>
      <c r="AO42" s="360" t="s">
        <v>164</v>
      </c>
      <c r="AR42" s="359"/>
      <c r="AS42" s="360" t="s">
        <v>8</v>
      </c>
      <c r="AT42" s="360" t="s">
        <v>1314</v>
      </c>
      <c r="AU42" s="360" t="s">
        <v>164</v>
      </c>
      <c r="AW42" s="359"/>
      <c r="AX42" s="360" t="s">
        <v>8</v>
      </c>
      <c r="AY42" s="360" t="s">
        <v>1314</v>
      </c>
      <c r="AZ42" s="360" t="s">
        <v>164</v>
      </c>
      <c r="BB42" s="359"/>
      <c r="BC42" s="360" t="s">
        <v>8</v>
      </c>
      <c r="BD42" s="360" t="s">
        <v>1314</v>
      </c>
      <c r="BE42" s="360" t="s">
        <v>164</v>
      </c>
      <c r="BG42" s="359"/>
      <c r="BH42" s="360" t="s">
        <v>8</v>
      </c>
      <c r="BI42" s="360" t="s">
        <v>1314</v>
      </c>
      <c r="BJ42" s="360" t="s">
        <v>164</v>
      </c>
    </row>
    <row r="43" spans="2:62" s="119" customFormat="1" ht="19">
      <c r="B43" s="119">
        <v>1</v>
      </c>
      <c r="C43" s="119" t="s">
        <v>804</v>
      </c>
      <c r="D43" s="119" t="s">
        <v>1369</v>
      </c>
      <c r="E43" s="119">
        <v>12</v>
      </c>
      <c r="G43" s="119">
        <v>1</v>
      </c>
      <c r="H43" s="119" t="s">
        <v>1265</v>
      </c>
      <c r="I43" s="119" t="s">
        <v>1764</v>
      </c>
      <c r="J43" s="119">
        <v>1.2459621596677433</v>
      </c>
      <c r="L43" s="119">
        <v>1</v>
      </c>
      <c r="M43" s="119" t="s">
        <v>1062</v>
      </c>
      <c r="N43" s="119" t="s">
        <v>1407</v>
      </c>
      <c r="O43" s="121">
        <v>0.81807557460070113</v>
      </c>
      <c r="Q43" s="119">
        <v>1</v>
      </c>
      <c r="R43" s="119" t="s">
        <v>1062</v>
      </c>
      <c r="S43" s="119" t="s">
        <v>1727</v>
      </c>
      <c r="T43" s="119">
        <v>49</v>
      </c>
      <c r="W43" s="119">
        <v>1</v>
      </c>
      <c r="X43" s="119" t="s">
        <v>952</v>
      </c>
      <c r="Y43" s="119" t="s">
        <v>1382</v>
      </c>
      <c r="Z43" s="119">
        <v>11</v>
      </c>
      <c r="AB43" s="119">
        <v>1</v>
      </c>
      <c r="AC43" s="119" t="s">
        <v>1025</v>
      </c>
      <c r="AD43" s="119" t="s">
        <v>1373</v>
      </c>
      <c r="AE43" s="119">
        <v>0.34</v>
      </c>
      <c r="AG43" s="119">
        <v>1</v>
      </c>
      <c r="AH43" s="119" t="s">
        <v>952</v>
      </c>
      <c r="AI43" s="119" t="s">
        <v>1382</v>
      </c>
      <c r="AJ43" s="121">
        <v>0.69</v>
      </c>
      <c r="AL43" s="119">
        <v>1</v>
      </c>
      <c r="AM43" s="119" t="s">
        <v>1062</v>
      </c>
      <c r="AN43" s="119" t="s">
        <v>1727</v>
      </c>
      <c r="AO43" s="119">
        <v>52</v>
      </c>
      <c r="AR43" s="119">
        <v>1</v>
      </c>
      <c r="AS43" s="119" t="s">
        <v>1171</v>
      </c>
      <c r="AT43" s="119" t="s">
        <v>1378</v>
      </c>
      <c r="AU43" s="119">
        <v>13</v>
      </c>
      <c r="AW43" s="119">
        <v>1</v>
      </c>
      <c r="AX43" s="119" t="s">
        <v>770</v>
      </c>
      <c r="AY43" s="119" t="s">
        <v>1375</v>
      </c>
      <c r="AZ43" s="119">
        <v>1.33</v>
      </c>
      <c r="BB43" s="119">
        <v>1</v>
      </c>
      <c r="BC43" s="119" t="s">
        <v>1200</v>
      </c>
      <c r="BD43" s="119" t="s">
        <v>1763</v>
      </c>
      <c r="BE43" s="121">
        <v>0.75</v>
      </c>
      <c r="BG43" s="119">
        <v>1</v>
      </c>
      <c r="BH43" s="119" t="s">
        <v>1062</v>
      </c>
      <c r="BI43" s="119" t="s">
        <v>1727</v>
      </c>
      <c r="BJ43" s="119">
        <v>52</v>
      </c>
    </row>
    <row r="44" spans="2:62" ht="19">
      <c r="B44">
        <v>2</v>
      </c>
      <c r="C44" s="505" t="s">
        <v>1171</v>
      </c>
      <c r="D44" s="505" t="s">
        <v>1378</v>
      </c>
      <c r="E44" s="505">
        <v>10</v>
      </c>
      <c r="G44">
        <v>2</v>
      </c>
      <c r="H44" t="s">
        <v>804</v>
      </c>
      <c r="I44" t="s">
        <v>1769</v>
      </c>
      <c r="J44" s="123">
        <v>1.3062409288824381</v>
      </c>
      <c r="L44">
        <v>2</v>
      </c>
      <c r="M44" t="s">
        <v>804</v>
      </c>
      <c r="N44" t="s">
        <v>1746</v>
      </c>
      <c r="O44" s="123">
        <v>0.82772891877909993</v>
      </c>
      <c r="Q44">
        <v>2</v>
      </c>
      <c r="R44" t="s">
        <v>804</v>
      </c>
      <c r="S44" t="s">
        <v>1369</v>
      </c>
      <c r="T44">
        <v>44</v>
      </c>
      <c r="X44" s="119" t="s">
        <v>1025</v>
      </c>
      <c r="Y44" s="119" t="s">
        <v>1373</v>
      </c>
      <c r="Z44" s="119">
        <v>11</v>
      </c>
      <c r="AB44">
        <v>2</v>
      </c>
      <c r="AC44" t="s">
        <v>1200</v>
      </c>
      <c r="AD44" t="s">
        <v>1391</v>
      </c>
      <c r="AE44">
        <v>1.1599999999999999</v>
      </c>
      <c r="AG44">
        <v>2</v>
      </c>
      <c r="AH44" t="s">
        <v>770</v>
      </c>
      <c r="AI44" t="s">
        <v>1772</v>
      </c>
      <c r="AJ44" s="123">
        <v>0.76</v>
      </c>
      <c r="AL44">
        <v>2</v>
      </c>
      <c r="AM44" t="s">
        <v>835</v>
      </c>
      <c r="AN44" t="s">
        <v>1393</v>
      </c>
      <c r="AO44">
        <v>45</v>
      </c>
      <c r="AS44" s="119" t="s">
        <v>1062</v>
      </c>
      <c r="AT44" s="119" t="s">
        <v>1407</v>
      </c>
      <c r="AU44" s="119">
        <v>13</v>
      </c>
      <c r="AW44">
        <v>2</v>
      </c>
      <c r="AX44" t="s">
        <v>1200</v>
      </c>
      <c r="AY44" t="s">
        <v>1763</v>
      </c>
      <c r="AZ44">
        <v>1.35</v>
      </c>
      <c r="BB44">
        <v>2</v>
      </c>
      <c r="BC44" t="s">
        <v>869</v>
      </c>
      <c r="BD44" t="s">
        <v>1403</v>
      </c>
      <c r="BE44" s="123">
        <v>0.92</v>
      </c>
      <c r="BG44">
        <v>2</v>
      </c>
      <c r="BH44" t="s">
        <v>804</v>
      </c>
      <c r="BI44" t="s">
        <v>1369</v>
      </c>
      <c r="BJ44">
        <v>51</v>
      </c>
    </row>
    <row r="45" spans="2:62" ht="19">
      <c r="C45" s="505" t="s">
        <v>1139</v>
      </c>
      <c r="D45" s="505" t="s">
        <v>1377</v>
      </c>
      <c r="E45" s="505">
        <v>10</v>
      </c>
      <c r="G45">
        <v>3</v>
      </c>
      <c r="H45" t="s">
        <v>1062</v>
      </c>
      <c r="I45" t="s">
        <v>1727</v>
      </c>
      <c r="J45" s="123">
        <v>1.6071428571428572</v>
      </c>
      <c r="L45">
        <v>3</v>
      </c>
      <c r="M45" t="s">
        <v>804</v>
      </c>
      <c r="N45" t="s">
        <v>1769</v>
      </c>
      <c r="O45" s="123">
        <v>0.8708272859216255</v>
      </c>
      <c r="Q45">
        <v>3</v>
      </c>
      <c r="R45" t="s">
        <v>1200</v>
      </c>
      <c r="S45" t="s">
        <v>1391</v>
      </c>
      <c r="T45">
        <v>43</v>
      </c>
      <c r="X45" s="119" t="s">
        <v>1171</v>
      </c>
      <c r="Y45" s="119" t="s">
        <v>1378</v>
      </c>
      <c r="Z45" s="119">
        <v>11</v>
      </c>
      <c r="AB45">
        <v>3</v>
      </c>
      <c r="AC45" t="s">
        <v>952</v>
      </c>
      <c r="AD45" t="s">
        <v>1382</v>
      </c>
      <c r="AE45">
        <v>1.55</v>
      </c>
      <c r="AG45">
        <v>3</v>
      </c>
      <c r="AH45" t="s">
        <v>1200</v>
      </c>
      <c r="AI45" t="s">
        <v>1391</v>
      </c>
      <c r="AJ45" s="123">
        <v>0.81</v>
      </c>
      <c r="AL45">
        <v>3</v>
      </c>
      <c r="AM45" t="s">
        <v>1200</v>
      </c>
      <c r="AN45" t="s">
        <v>1391</v>
      </c>
      <c r="AO45">
        <v>42</v>
      </c>
      <c r="AS45" s="119" t="s">
        <v>1200</v>
      </c>
      <c r="AT45" s="119" t="s">
        <v>1708</v>
      </c>
      <c r="AU45" s="119">
        <v>13</v>
      </c>
      <c r="AW45">
        <v>3</v>
      </c>
      <c r="AX45" t="s">
        <v>1265</v>
      </c>
      <c r="AY45" t="s">
        <v>1764</v>
      </c>
      <c r="AZ45">
        <v>1.46</v>
      </c>
      <c r="BB45">
        <v>3</v>
      </c>
      <c r="BC45" t="s">
        <v>770</v>
      </c>
      <c r="BD45" t="s">
        <v>1375</v>
      </c>
      <c r="BE45" s="123">
        <v>0.93</v>
      </c>
      <c r="BG45">
        <v>3</v>
      </c>
      <c r="BH45" t="s">
        <v>835</v>
      </c>
      <c r="BI45" t="s">
        <v>1393</v>
      </c>
      <c r="BJ45">
        <v>46</v>
      </c>
    </row>
    <row r="46" spans="2:62" ht="19">
      <c r="C46" s="505" t="s">
        <v>990</v>
      </c>
      <c r="D46" t="s">
        <v>1388</v>
      </c>
      <c r="E46">
        <v>10</v>
      </c>
      <c r="G46">
        <v>4</v>
      </c>
      <c r="H46" t="s">
        <v>869</v>
      </c>
      <c r="I46" t="s">
        <v>1748</v>
      </c>
      <c r="J46" s="123">
        <v>1.8240778273206322</v>
      </c>
      <c r="L46">
        <v>4</v>
      </c>
      <c r="M46" t="s">
        <v>1265</v>
      </c>
      <c r="N46" t="s">
        <v>1764</v>
      </c>
      <c r="O46" s="123">
        <v>0.87678818643285639</v>
      </c>
      <c r="Q46">
        <v>4</v>
      </c>
      <c r="R46" t="s">
        <v>1062</v>
      </c>
      <c r="S46" t="s">
        <v>1407</v>
      </c>
      <c r="T46">
        <v>38</v>
      </c>
      <c r="W46">
        <v>4</v>
      </c>
      <c r="X46" t="s">
        <v>1139</v>
      </c>
      <c r="Y46" t="s">
        <v>1377</v>
      </c>
      <c r="Z46" s="118">
        <v>10</v>
      </c>
      <c r="AB46">
        <v>4</v>
      </c>
      <c r="AC46" t="s">
        <v>1139</v>
      </c>
      <c r="AD46" t="s">
        <v>1780</v>
      </c>
      <c r="AE46" s="123">
        <v>1.8</v>
      </c>
      <c r="AG46">
        <v>4</v>
      </c>
      <c r="AH46" t="s">
        <v>1025</v>
      </c>
      <c r="AI46" t="s">
        <v>1373</v>
      </c>
      <c r="AJ46" s="123">
        <v>0.82</v>
      </c>
      <c r="AL46">
        <v>4</v>
      </c>
      <c r="AM46" t="s">
        <v>1096</v>
      </c>
      <c r="AN46" t="s">
        <v>1778</v>
      </c>
      <c r="AO46">
        <v>41</v>
      </c>
      <c r="AR46">
        <v>4</v>
      </c>
      <c r="AS46" t="s">
        <v>804</v>
      </c>
      <c r="AT46" t="s">
        <v>1369</v>
      </c>
      <c r="AU46">
        <v>11</v>
      </c>
      <c r="AW46">
        <v>4</v>
      </c>
      <c r="AX46" t="s">
        <v>835</v>
      </c>
      <c r="AY46" t="s">
        <v>1393</v>
      </c>
      <c r="AZ46">
        <v>1.63</v>
      </c>
      <c r="BB46">
        <v>4</v>
      </c>
      <c r="BC46" t="s">
        <v>804</v>
      </c>
      <c r="BD46" t="s">
        <v>1369</v>
      </c>
      <c r="BE46" s="123">
        <v>0.94</v>
      </c>
      <c r="BG46">
        <v>4</v>
      </c>
      <c r="BH46" t="s">
        <v>1139</v>
      </c>
      <c r="BI46" t="s">
        <v>1377</v>
      </c>
      <c r="BJ46">
        <v>43</v>
      </c>
    </row>
    <row r="47" spans="2:62" ht="19">
      <c r="B47">
        <v>5</v>
      </c>
      <c r="C47" s="505" t="s">
        <v>1200</v>
      </c>
      <c r="D47" t="s">
        <v>1391</v>
      </c>
      <c r="E47">
        <v>9</v>
      </c>
      <c r="G47">
        <v>5</v>
      </c>
      <c r="H47" t="s">
        <v>804</v>
      </c>
      <c r="I47" t="s">
        <v>1746</v>
      </c>
      <c r="J47" s="123">
        <v>1.8623900672529747</v>
      </c>
      <c r="L47">
        <v>5</v>
      </c>
      <c r="M47" t="s">
        <v>990</v>
      </c>
      <c r="N47" t="s">
        <v>1388</v>
      </c>
      <c r="O47" s="123">
        <v>0.96</v>
      </c>
      <c r="Q47">
        <v>5</v>
      </c>
      <c r="R47" t="s">
        <v>1096</v>
      </c>
      <c r="S47" t="s">
        <v>1778</v>
      </c>
      <c r="T47">
        <v>36</v>
      </c>
      <c r="X47" t="s">
        <v>835</v>
      </c>
      <c r="Y47" t="s">
        <v>1393</v>
      </c>
      <c r="Z47" s="118">
        <v>10</v>
      </c>
      <c r="AB47">
        <v>5</v>
      </c>
      <c r="AC47" t="s">
        <v>990</v>
      </c>
      <c r="AD47" t="s">
        <v>1388</v>
      </c>
      <c r="AE47">
        <v>1.82</v>
      </c>
      <c r="AH47" t="s">
        <v>952</v>
      </c>
      <c r="AI47" t="s">
        <v>1412</v>
      </c>
      <c r="AJ47" s="123">
        <v>0.89</v>
      </c>
      <c r="AL47">
        <v>5</v>
      </c>
      <c r="AM47" t="s">
        <v>1062</v>
      </c>
      <c r="AN47" t="s">
        <v>1407</v>
      </c>
      <c r="AO47">
        <v>40</v>
      </c>
      <c r="AR47">
        <v>5</v>
      </c>
      <c r="AS47" t="s">
        <v>1139</v>
      </c>
      <c r="AT47" t="s">
        <v>1377</v>
      </c>
      <c r="AU47">
        <v>10</v>
      </c>
      <c r="AW47">
        <v>5</v>
      </c>
      <c r="AX47" t="s">
        <v>1139</v>
      </c>
      <c r="AY47" t="s">
        <v>1890</v>
      </c>
      <c r="AZ47">
        <v>1.72</v>
      </c>
      <c r="BC47" t="s">
        <v>835</v>
      </c>
      <c r="BD47" t="s">
        <v>1393</v>
      </c>
      <c r="BE47" s="123">
        <v>0.94</v>
      </c>
      <c r="BG47">
        <v>5</v>
      </c>
      <c r="BH47" t="s">
        <v>1200</v>
      </c>
      <c r="BI47" t="s">
        <v>1708</v>
      </c>
      <c r="BJ47">
        <v>42</v>
      </c>
    </row>
    <row r="48" spans="2:62">
      <c r="B48">
        <v>6</v>
      </c>
      <c r="C48" s="505" t="s">
        <v>1025</v>
      </c>
      <c r="D48" t="s">
        <v>1373</v>
      </c>
      <c r="E48">
        <v>8</v>
      </c>
      <c r="G48">
        <v>6</v>
      </c>
      <c r="H48" t="s">
        <v>1025</v>
      </c>
      <c r="I48" t="s">
        <v>1373</v>
      </c>
      <c r="J48" s="123">
        <v>1.9850022055580061</v>
      </c>
      <c r="L48">
        <v>6</v>
      </c>
      <c r="M48" t="s">
        <v>1171</v>
      </c>
      <c r="N48" t="s">
        <v>1378</v>
      </c>
      <c r="O48" s="123">
        <v>0.96296296296296291</v>
      </c>
      <c r="Q48">
        <v>6</v>
      </c>
      <c r="R48" t="s">
        <v>1139</v>
      </c>
      <c r="S48" t="s">
        <v>1377</v>
      </c>
      <c r="T48">
        <v>35</v>
      </c>
      <c r="W48">
        <v>6</v>
      </c>
      <c r="X48" t="s">
        <v>1265</v>
      </c>
      <c r="Y48" t="s">
        <v>1889</v>
      </c>
      <c r="Z48">
        <v>8</v>
      </c>
      <c r="AB48">
        <v>6</v>
      </c>
      <c r="AC48" t="s">
        <v>869</v>
      </c>
      <c r="AD48" t="s">
        <v>1403</v>
      </c>
      <c r="AE48">
        <v>1.98</v>
      </c>
      <c r="AG48">
        <v>6</v>
      </c>
      <c r="AH48" t="s">
        <v>1229</v>
      </c>
      <c r="AI48" t="s">
        <v>1781</v>
      </c>
      <c r="AJ48" s="123">
        <v>0.91</v>
      </c>
      <c r="AM48" t="s">
        <v>1025</v>
      </c>
      <c r="AN48" t="s">
        <v>1753</v>
      </c>
      <c r="AO48">
        <v>40</v>
      </c>
      <c r="AR48">
        <v>6</v>
      </c>
      <c r="AS48" t="s">
        <v>770</v>
      </c>
      <c r="AT48" t="s">
        <v>1375</v>
      </c>
      <c r="AU48">
        <v>9</v>
      </c>
      <c r="AW48">
        <v>6</v>
      </c>
      <c r="AX48" t="s">
        <v>804</v>
      </c>
      <c r="AY48" t="s">
        <v>1369</v>
      </c>
      <c r="AZ48">
        <v>1.74</v>
      </c>
      <c r="BB48">
        <v>6</v>
      </c>
      <c r="BC48" t="s">
        <v>1139</v>
      </c>
      <c r="BD48" t="s">
        <v>1890</v>
      </c>
      <c r="BE48" s="123">
        <v>1.02</v>
      </c>
      <c r="BG48">
        <v>6</v>
      </c>
      <c r="BH48" t="s">
        <v>1062</v>
      </c>
      <c r="BI48" t="s">
        <v>1407</v>
      </c>
      <c r="BJ48">
        <v>37</v>
      </c>
    </row>
    <row r="49" spans="2:62">
      <c r="B49">
        <v>7</v>
      </c>
      <c r="C49" s="505" t="s">
        <v>1265</v>
      </c>
      <c r="D49" t="s">
        <v>1889</v>
      </c>
      <c r="E49">
        <v>7</v>
      </c>
      <c r="G49">
        <v>7</v>
      </c>
      <c r="H49" t="s">
        <v>1062</v>
      </c>
      <c r="I49" t="s">
        <v>1407</v>
      </c>
      <c r="J49" s="123">
        <v>2.1036229061160885</v>
      </c>
      <c r="L49">
        <v>7</v>
      </c>
      <c r="M49" t="s">
        <v>869</v>
      </c>
      <c r="N49" t="s">
        <v>1748</v>
      </c>
      <c r="O49" s="123">
        <v>0.97284150790433721</v>
      </c>
      <c r="Q49">
        <v>7</v>
      </c>
      <c r="R49" t="s">
        <v>952</v>
      </c>
      <c r="S49" t="s">
        <v>1382</v>
      </c>
      <c r="T49">
        <v>33</v>
      </c>
      <c r="X49" t="s">
        <v>869</v>
      </c>
      <c r="Y49" t="s">
        <v>1403</v>
      </c>
      <c r="Z49">
        <v>8</v>
      </c>
      <c r="AB49">
        <v>7</v>
      </c>
      <c r="AC49" t="s">
        <v>1139</v>
      </c>
      <c r="AD49" t="s">
        <v>1377</v>
      </c>
      <c r="AE49" s="123">
        <v>2.1</v>
      </c>
      <c r="AG49">
        <v>7</v>
      </c>
      <c r="AH49" t="s">
        <v>1096</v>
      </c>
      <c r="AI49" t="s">
        <v>1891</v>
      </c>
      <c r="AJ49" s="123">
        <v>0.96</v>
      </c>
      <c r="AL49">
        <v>7</v>
      </c>
      <c r="AM49" t="s">
        <v>770</v>
      </c>
      <c r="AN49" t="s">
        <v>1892</v>
      </c>
      <c r="AO49">
        <v>39</v>
      </c>
      <c r="AS49" t="s">
        <v>952</v>
      </c>
      <c r="AT49" t="s">
        <v>1412</v>
      </c>
      <c r="AU49">
        <v>9</v>
      </c>
      <c r="AW49">
        <v>7</v>
      </c>
      <c r="AX49" t="s">
        <v>952</v>
      </c>
      <c r="AY49" t="s">
        <v>1412</v>
      </c>
      <c r="AZ49">
        <v>1.78</v>
      </c>
      <c r="BB49">
        <v>7</v>
      </c>
      <c r="BC49" t="s">
        <v>990</v>
      </c>
      <c r="BD49" t="s">
        <v>1893</v>
      </c>
      <c r="BE49" s="123">
        <v>1.1000000000000001</v>
      </c>
      <c r="BG49">
        <v>7</v>
      </c>
      <c r="BH49" t="s">
        <v>1025</v>
      </c>
      <c r="BI49" t="s">
        <v>1733</v>
      </c>
      <c r="BJ49">
        <v>36</v>
      </c>
    </row>
    <row r="50" spans="2:62">
      <c r="C50" s="505" t="s">
        <v>835</v>
      </c>
      <c r="D50" t="s">
        <v>1393</v>
      </c>
      <c r="E50">
        <v>7</v>
      </c>
      <c r="G50">
        <v>8</v>
      </c>
      <c r="H50" t="s">
        <v>990</v>
      </c>
      <c r="I50" t="s">
        <v>1893</v>
      </c>
      <c r="J50" s="123">
        <v>2.219482120838471</v>
      </c>
      <c r="L50">
        <v>8</v>
      </c>
      <c r="M50" t="s">
        <v>903</v>
      </c>
      <c r="N50" t="s">
        <v>2184</v>
      </c>
      <c r="O50" s="123">
        <v>0.98</v>
      </c>
      <c r="Q50">
        <v>8</v>
      </c>
      <c r="R50" t="s">
        <v>952</v>
      </c>
      <c r="S50" t="s">
        <v>1894</v>
      </c>
      <c r="T50">
        <v>32</v>
      </c>
      <c r="X50" t="s">
        <v>990</v>
      </c>
      <c r="Y50" t="s">
        <v>1388</v>
      </c>
      <c r="Z50">
        <v>8</v>
      </c>
      <c r="AB50">
        <v>8</v>
      </c>
      <c r="AC50" t="s">
        <v>1139</v>
      </c>
      <c r="AD50" t="s">
        <v>1895</v>
      </c>
      <c r="AE50" s="123">
        <v>2.2000000000000002</v>
      </c>
      <c r="AG50">
        <v>8</v>
      </c>
      <c r="AH50" t="s">
        <v>835</v>
      </c>
      <c r="AI50" t="s">
        <v>1393</v>
      </c>
      <c r="AJ50" s="123">
        <v>0.99</v>
      </c>
      <c r="AM50" t="s">
        <v>1025</v>
      </c>
      <c r="AN50" t="s">
        <v>1733</v>
      </c>
      <c r="AO50">
        <v>39</v>
      </c>
      <c r="AS50" t="s">
        <v>869</v>
      </c>
      <c r="AT50" t="s">
        <v>1403</v>
      </c>
      <c r="AU50">
        <v>9</v>
      </c>
      <c r="AW50">
        <v>8</v>
      </c>
      <c r="AX50" t="s">
        <v>869</v>
      </c>
      <c r="AY50" t="s">
        <v>1403</v>
      </c>
      <c r="AZ50">
        <v>1.88</v>
      </c>
      <c r="BB50">
        <v>8</v>
      </c>
      <c r="BC50" t="s">
        <v>1062</v>
      </c>
      <c r="BD50" t="s">
        <v>1727</v>
      </c>
      <c r="BE50" s="123">
        <v>1.1399999999999999</v>
      </c>
      <c r="BG50">
        <v>8</v>
      </c>
      <c r="BH50" t="s">
        <v>903</v>
      </c>
      <c r="BI50" t="s">
        <v>1738</v>
      </c>
      <c r="BJ50">
        <v>35</v>
      </c>
    </row>
    <row r="51" spans="2:62">
      <c r="B51">
        <v>9</v>
      </c>
      <c r="C51" s="505" t="s">
        <v>1096</v>
      </c>
      <c r="D51" t="s">
        <v>1778</v>
      </c>
      <c r="E51">
        <v>6</v>
      </c>
      <c r="G51">
        <v>9</v>
      </c>
      <c r="H51" t="s">
        <v>1096</v>
      </c>
      <c r="I51" t="s">
        <v>1778</v>
      </c>
      <c r="J51" s="123">
        <v>2.2813688212927756</v>
      </c>
      <c r="L51">
        <v>9</v>
      </c>
      <c r="M51" t="s">
        <v>1062</v>
      </c>
      <c r="N51" t="s">
        <v>1727</v>
      </c>
      <c r="O51" s="123">
        <v>1</v>
      </c>
      <c r="Q51">
        <v>9</v>
      </c>
      <c r="R51" t="s">
        <v>1171</v>
      </c>
      <c r="S51" s="505" t="s">
        <v>1378</v>
      </c>
      <c r="T51">
        <v>31</v>
      </c>
      <c r="X51" t="s">
        <v>770</v>
      </c>
      <c r="Y51" t="s">
        <v>1896</v>
      </c>
      <c r="Z51">
        <v>8</v>
      </c>
      <c r="AB51">
        <v>9</v>
      </c>
      <c r="AC51" t="s">
        <v>1062</v>
      </c>
      <c r="AD51" t="s">
        <v>1727</v>
      </c>
      <c r="AE51" s="123">
        <v>2.35</v>
      </c>
      <c r="AG51">
        <v>9</v>
      </c>
      <c r="AH51" t="s">
        <v>1139</v>
      </c>
      <c r="AI51" t="s">
        <v>1895</v>
      </c>
      <c r="AJ51" s="123">
        <v>1.04</v>
      </c>
      <c r="AL51">
        <v>9</v>
      </c>
      <c r="AM51" t="s">
        <v>952</v>
      </c>
      <c r="AN51" t="s">
        <v>1382</v>
      </c>
      <c r="AO51">
        <v>35</v>
      </c>
      <c r="AR51">
        <v>9</v>
      </c>
      <c r="AS51" t="s">
        <v>1025</v>
      </c>
      <c r="AT51" t="s">
        <v>1373</v>
      </c>
      <c r="AU51">
        <v>8</v>
      </c>
      <c r="AW51">
        <v>9</v>
      </c>
      <c r="AX51" t="s">
        <v>770</v>
      </c>
      <c r="AY51" t="s">
        <v>1897</v>
      </c>
      <c r="AZ51">
        <v>2.02</v>
      </c>
      <c r="BB51">
        <v>9</v>
      </c>
      <c r="BC51" t="s">
        <v>903</v>
      </c>
      <c r="BD51" t="s">
        <v>1738</v>
      </c>
      <c r="BE51" s="123">
        <v>1.1599999999999999</v>
      </c>
      <c r="BH51" t="s">
        <v>835</v>
      </c>
      <c r="BI51" t="s">
        <v>1743</v>
      </c>
      <c r="BJ51">
        <v>35</v>
      </c>
    </row>
    <row r="52" spans="2:62">
      <c r="C52" s="505" t="s">
        <v>869</v>
      </c>
      <c r="D52" t="s">
        <v>1403</v>
      </c>
      <c r="E52">
        <v>6</v>
      </c>
      <c r="G52">
        <v>10</v>
      </c>
      <c r="H52" t="s">
        <v>1171</v>
      </c>
      <c r="I52" s="505" t="s">
        <v>1378</v>
      </c>
      <c r="J52" s="123">
        <v>2.3333333333333335</v>
      </c>
      <c r="L52">
        <v>10</v>
      </c>
      <c r="N52" t="s">
        <v>1614</v>
      </c>
      <c r="O52" s="123">
        <v>1</v>
      </c>
      <c r="Q52">
        <v>10</v>
      </c>
      <c r="S52" t="s">
        <v>1614</v>
      </c>
      <c r="T52">
        <v>31</v>
      </c>
      <c r="W52">
        <v>10</v>
      </c>
      <c r="X52" t="s">
        <v>1200</v>
      </c>
      <c r="Y52" t="s">
        <v>1391</v>
      </c>
      <c r="Z52">
        <v>7</v>
      </c>
      <c r="AC52" t="s">
        <v>1229</v>
      </c>
      <c r="AD52" t="s">
        <v>1781</v>
      </c>
      <c r="AE52" s="123">
        <v>2.35</v>
      </c>
      <c r="AG52">
        <v>10</v>
      </c>
      <c r="AI52" t="s">
        <v>1614</v>
      </c>
      <c r="AJ52" s="123">
        <v>1.0900000000000001</v>
      </c>
      <c r="AL52">
        <v>10</v>
      </c>
      <c r="AN52" t="s">
        <v>1610</v>
      </c>
      <c r="AO52">
        <v>33</v>
      </c>
      <c r="AR52">
        <v>10</v>
      </c>
      <c r="AS52" t="s">
        <v>1096</v>
      </c>
      <c r="AT52" t="s">
        <v>1898</v>
      </c>
      <c r="AU52">
        <v>7</v>
      </c>
      <c r="AW52">
        <v>10</v>
      </c>
      <c r="AX52" t="s">
        <v>1171</v>
      </c>
      <c r="AY52" t="s">
        <v>1378</v>
      </c>
      <c r="AZ52">
        <v>2.25</v>
      </c>
      <c r="BC52" t="s">
        <v>990</v>
      </c>
      <c r="BD52" t="s">
        <v>1899</v>
      </c>
      <c r="BE52" s="123">
        <v>1.1599999999999999</v>
      </c>
      <c r="BG52">
        <v>10</v>
      </c>
      <c r="BH52" t="s">
        <v>770</v>
      </c>
      <c r="BI52" t="s">
        <v>1897</v>
      </c>
      <c r="BJ52">
        <v>33</v>
      </c>
    </row>
    <row r="54" spans="2:62">
      <c r="B54" s="1084" t="s">
        <v>1873</v>
      </c>
      <c r="C54" s="1085"/>
      <c r="D54" s="1085"/>
      <c r="E54" s="1086"/>
      <c r="W54" s="1084" t="s">
        <v>1873</v>
      </c>
      <c r="X54" s="1085"/>
      <c r="Y54" s="1085"/>
      <c r="Z54" s="1086"/>
      <c r="AR54" s="1084" t="s">
        <v>1873</v>
      </c>
      <c r="AS54" s="1085"/>
      <c r="AT54" s="1085"/>
      <c r="AU54" s="1086"/>
    </row>
    <row r="55" spans="2:62" s="141" customFormat="1">
      <c r="B55" s="359"/>
      <c r="C55" s="360" t="s">
        <v>8</v>
      </c>
      <c r="D55" s="360" t="s">
        <v>1314</v>
      </c>
      <c r="E55" s="360" t="s">
        <v>164</v>
      </c>
      <c r="W55" s="359"/>
      <c r="X55" s="360" t="s">
        <v>8</v>
      </c>
      <c r="Y55" s="360" t="s">
        <v>1314</v>
      </c>
      <c r="Z55" s="360" t="s">
        <v>164</v>
      </c>
      <c r="AR55" s="359"/>
      <c r="AS55" s="360" t="s">
        <v>8</v>
      </c>
      <c r="AT55" s="360" t="s">
        <v>1314</v>
      </c>
      <c r="AU55" s="360" t="s">
        <v>164</v>
      </c>
    </row>
    <row r="56" spans="2:62" s="119" customFormat="1" ht="19">
      <c r="B56" s="119">
        <v>1</v>
      </c>
      <c r="C56" s="119" t="s">
        <v>1229</v>
      </c>
      <c r="D56" s="119" t="s">
        <v>1701</v>
      </c>
      <c r="E56" s="119">
        <v>9</v>
      </c>
      <c r="W56" s="119">
        <v>1</v>
      </c>
      <c r="X56" s="119" t="s">
        <v>1096</v>
      </c>
      <c r="Y56" s="119" t="s">
        <v>1887</v>
      </c>
      <c r="Z56" s="119">
        <v>8</v>
      </c>
      <c r="AR56" s="119">
        <v>1</v>
      </c>
      <c r="AS56" s="119" t="s">
        <v>990</v>
      </c>
      <c r="AT56" s="119" t="s">
        <v>1736</v>
      </c>
      <c r="AU56" s="119">
        <v>7</v>
      </c>
    </row>
    <row r="57" spans="2:62" ht="19">
      <c r="B57">
        <v>2</v>
      </c>
      <c r="C57" t="s">
        <v>1096</v>
      </c>
      <c r="D57" t="s">
        <v>1713</v>
      </c>
      <c r="E57">
        <v>7</v>
      </c>
      <c r="X57" t="s">
        <v>1200</v>
      </c>
      <c r="Y57" t="s">
        <v>1723</v>
      </c>
      <c r="Z57">
        <v>7</v>
      </c>
      <c r="AS57" s="119" t="s">
        <v>903</v>
      </c>
      <c r="AT57" s="119" t="s">
        <v>1731</v>
      </c>
      <c r="AU57" s="119">
        <v>7</v>
      </c>
    </row>
    <row r="58" spans="2:62">
      <c r="C58" t="s">
        <v>952</v>
      </c>
      <c r="D58" t="s">
        <v>1900</v>
      </c>
      <c r="E58">
        <v>7</v>
      </c>
      <c r="X58" t="s">
        <v>770</v>
      </c>
      <c r="Y58" t="s">
        <v>1333</v>
      </c>
      <c r="Z58">
        <v>7</v>
      </c>
      <c r="AR58">
        <v>3</v>
      </c>
      <c r="AS58" t="s">
        <v>952</v>
      </c>
      <c r="AT58" t="s">
        <v>1672</v>
      </c>
      <c r="AU58">
        <v>6</v>
      </c>
    </row>
    <row r="59" spans="2:62">
      <c r="C59" t="s">
        <v>1229</v>
      </c>
      <c r="D59" t="s">
        <v>1712</v>
      </c>
      <c r="E59">
        <v>7</v>
      </c>
      <c r="W59">
        <v>4</v>
      </c>
      <c r="X59" t="s">
        <v>1062</v>
      </c>
      <c r="Y59" t="s">
        <v>1676</v>
      </c>
      <c r="Z59">
        <v>6</v>
      </c>
      <c r="AS59" t="s">
        <v>1025</v>
      </c>
      <c r="AT59" t="s">
        <v>1885</v>
      </c>
      <c r="AU59">
        <v>6</v>
      </c>
    </row>
    <row r="60" spans="2:62">
      <c r="B60">
        <v>5</v>
      </c>
      <c r="C60" t="s">
        <v>990</v>
      </c>
      <c r="D60" t="s">
        <v>1750</v>
      </c>
      <c r="E60">
        <v>6</v>
      </c>
      <c r="X60" t="s">
        <v>1096</v>
      </c>
      <c r="Y60" t="s">
        <v>1681</v>
      </c>
      <c r="Z60">
        <v>6</v>
      </c>
      <c r="AS60" t="s">
        <v>903</v>
      </c>
      <c r="AT60" t="s">
        <v>1901</v>
      </c>
      <c r="AU60">
        <v>6</v>
      </c>
    </row>
    <row r="61" spans="2:62">
      <c r="C61" t="s">
        <v>1025</v>
      </c>
      <c r="D61" t="s">
        <v>1728</v>
      </c>
      <c r="E61">
        <v>6</v>
      </c>
      <c r="X61" t="s">
        <v>1096</v>
      </c>
      <c r="Y61" t="s">
        <v>1713</v>
      </c>
      <c r="Z61">
        <v>6</v>
      </c>
      <c r="AS61" t="s">
        <v>1265</v>
      </c>
      <c r="AT61" t="s">
        <v>1737</v>
      </c>
      <c r="AU61">
        <v>6</v>
      </c>
    </row>
    <row r="62" spans="2:62">
      <c r="C62" t="s">
        <v>869</v>
      </c>
      <c r="D62" t="s">
        <v>1343</v>
      </c>
      <c r="E62">
        <v>6</v>
      </c>
      <c r="X62" t="s">
        <v>903</v>
      </c>
      <c r="Y62" t="s">
        <v>1718</v>
      </c>
      <c r="Z62">
        <v>6</v>
      </c>
      <c r="AR62">
        <v>7</v>
      </c>
      <c r="AS62" t="s">
        <v>1062</v>
      </c>
      <c r="AT62" t="s">
        <v>1902</v>
      </c>
      <c r="AU62">
        <v>5</v>
      </c>
    </row>
    <row r="63" spans="2:62">
      <c r="C63" t="s">
        <v>903</v>
      </c>
      <c r="D63" t="s">
        <v>1347</v>
      </c>
      <c r="E63">
        <v>6</v>
      </c>
      <c r="X63" t="s">
        <v>952</v>
      </c>
      <c r="Y63" t="s">
        <v>1672</v>
      </c>
      <c r="Z63">
        <v>6</v>
      </c>
      <c r="AS63" t="s">
        <v>869</v>
      </c>
      <c r="AT63" t="s">
        <v>1710</v>
      </c>
      <c r="AU63">
        <v>5</v>
      </c>
    </row>
    <row r="64" spans="2:62">
      <c r="B64">
        <v>9</v>
      </c>
      <c r="C64" t="s">
        <v>1265</v>
      </c>
      <c r="D64" t="s">
        <v>1903</v>
      </c>
      <c r="E64">
        <v>5</v>
      </c>
      <c r="W64">
        <v>9</v>
      </c>
      <c r="Y64" t="s">
        <v>1802</v>
      </c>
      <c r="Z64">
        <v>5</v>
      </c>
      <c r="AS64" t="s">
        <v>1096</v>
      </c>
      <c r="AT64" t="s">
        <v>1705</v>
      </c>
      <c r="AU64">
        <v>5</v>
      </c>
    </row>
    <row r="65" spans="4:47">
      <c r="D65" t="s">
        <v>1791</v>
      </c>
      <c r="E65">
        <v>5</v>
      </c>
      <c r="AT65" t="s">
        <v>1613</v>
      </c>
      <c r="AU65">
        <v>5</v>
      </c>
    </row>
  </sheetData>
  <mergeCells count="54">
    <mergeCell ref="AW41:AZ41"/>
    <mergeCell ref="BB41:BE41"/>
    <mergeCell ref="BG41:BJ41"/>
    <mergeCell ref="W54:Z54"/>
    <mergeCell ref="AR54:AU54"/>
    <mergeCell ref="W41:Z41"/>
    <mergeCell ref="AB41:AE41"/>
    <mergeCell ref="AG41:AJ41"/>
    <mergeCell ref="AL41:AO41"/>
    <mergeCell ref="AR41:AU41"/>
    <mergeCell ref="AR15:AU15"/>
    <mergeCell ref="AW15:AZ15"/>
    <mergeCell ref="BB15:BE15"/>
    <mergeCell ref="BG15:BJ15"/>
    <mergeCell ref="W28:Z28"/>
    <mergeCell ref="AB28:AE28"/>
    <mergeCell ref="AG28:AJ28"/>
    <mergeCell ref="AL28:AO28"/>
    <mergeCell ref="AR28:AU28"/>
    <mergeCell ref="AW28:AZ28"/>
    <mergeCell ref="BB28:BE28"/>
    <mergeCell ref="BG28:BJ28"/>
    <mergeCell ref="AR1:BJ1"/>
    <mergeCell ref="W2:Z2"/>
    <mergeCell ref="AB2:AE2"/>
    <mergeCell ref="AG2:AJ2"/>
    <mergeCell ref="AL2:AO2"/>
    <mergeCell ref="AR2:AU2"/>
    <mergeCell ref="AW2:AZ2"/>
    <mergeCell ref="BB2:BE2"/>
    <mergeCell ref="BG2:BJ2"/>
    <mergeCell ref="B15:E15"/>
    <mergeCell ref="G15:J15"/>
    <mergeCell ref="L15:O15"/>
    <mergeCell ref="Q15:T15"/>
    <mergeCell ref="W1:AO1"/>
    <mergeCell ref="W15:Z15"/>
    <mergeCell ref="AB15:AE15"/>
    <mergeCell ref="AG15:AJ15"/>
    <mergeCell ref="AL15:AO15"/>
    <mergeCell ref="B1:T1"/>
    <mergeCell ref="B2:E2"/>
    <mergeCell ref="G2:J2"/>
    <mergeCell ref="L2:O2"/>
    <mergeCell ref="Q2:T2"/>
    <mergeCell ref="B54:E54"/>
    <mergeCell ref="B28:E28"/>
    <mergeCell ref="G28:J28"/>
    <mergeCell ref="L28:O28"/>
    <mergeCell ref="Q28:T28"/>
    <mergeCell ref="B41:E41"/>
    <mergeCell ref="G41:J41"/>
    <mergeCell ref="L41:O41"/>
    <mergeCell ref="Q41:T4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BU212"/>
  <sheetViews>
    <sheetView zoomScale="110" zoomScaleNormal="11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AA169" sqref="AA169"/>
    </sheetView>
  </sheetViews>
  <sheetFormatPr baseColWidth="10" defaultRowHeight="16"/>
  <cols>
    <col min="1" max="1" width="6.33203125" customWidth="1"/>
    <col min="2" max="2" width="5.83203125" customWidth="1"/>
    <col min="3" max="3" width="13.83203125" customWidth="1"/>
    <col min="4" max="4" width="6" customWidth="1"/>
    <col min="5" max="5" width="7.1640625" customWidth="1"/>
    <col min="6" max="6" width="7.5" customWidth="1"/>
    <col min="7" max="7" width="5" customWidth="1"/>
    <col min="8" max="8" width="6" customWidth="1"/>
    <col min="9" max="9" width="4.83203125" customWidth="1"/>
    <col min="10" max="10" width="5" customWidth="1"/>
    <col min="11" max="11" width="5.6640625" customWidth="1"/>
    <col min="12" max="12" width="6.5" customWidth="1"/>
    <col min="13" max="13" width="6.1640625" customWidth="1"/>
    <col min="14" max="14" width="6.6640625" customWidth="1"/>
    <col min="15" max="15" width="6" customWidth="1"/>
    <col min="16" max="16" width="5" customWidth="1"/>
    <col min="17" max="17" width="5.83203125" customWidth="1"/>
    <col min="18" max="18" width="6" customWidth="1"/>
    <col min="19" max="19" width="5.83203125" customWidth="1"/>
    <col min="20" max="20" width="6.5" customWidth="1"/>
    <col min="21" max="21" width="7" customWidth="1"/>
    <col min="22" max="23" width="4.5" customWidth="1"/>
    <col min="24" max="25" width="2.83203125" customWidth="1"/>
    <col min="26" max="26" width="6.33203125" customWidth="1"/>
    <col min="27" max="27" width="5.83203125" customWidth="1"/>
    <col min="28" max="28" width="13.33203125" customWidth="1"/>
    <col min="29" max="29" width="6" customWidth="1"/>
    <col min="30" max="31" width="7.1640625" customWidth="1"/>
    <col min="32" max="32" width="5.6640625" customWidth="1"/>
    <col min="33" max="33" width="6" customWidth="1"/>
    <col min="34" max="37" width="5.6640625" customWidth="1"/>
    <col min="38" max="38" width="6.1640625" customWidth="1"/>
    <col min="39" max="39" width="6.6640625" customWidth="1"/>
    <col min="40" max="40" width="6" customWidth="1"/>
    <col min="41" max="41" width="5.6640625" customWidth="1"/>
    <col min="42" max="42" width="5.83203125" customWidth="1"/>
    <col min="43" max="43" width="6" customWidth="1"/>
    <col min="44" max="44" width="5.83203125" customWidth="1"/>
    <col min="45" max="45" width="6" customWidth="1"/>
    <col min="46" max="46" width="7" customWidth="1"/>
    <col min="47" max="47" width="5.6640625" customWidth="1"/>
    <col min="48" max="48" width="4.5" customWidth="1"/>
    <col min="49" max="50" width="2.83203125" customWidth="1"/>
    <col min="51" max="51" width="6.33203125" customWidth="1"/>
    <col min="52" max="52" width="5.83203125" customWidth="1"/>
    <col min="53" max="53" width="13.33203125" customWidth="1"/>
    <col min="54" max="54" width="6" customWidth="1"/>
    <col min="55" max="56" width="7.1640625" customWidth="1"/>
    <col min="57" max="57" width="5" customWidth="1"/>
    <col min="58" max="58" width="6" customWidth="1"/>
    <col min="59" max="59" width="4.83203125" customWidth="1"/>
    <col min="60" max="60" width="5" customWidth="1"/>
    <col min="61" max="62" width="5.6640625" customWidth="1"/>
    <col min="63" max="63" width="6.1640625" customWidth="1"/>
    <col min="64" max="64" width="6.6640625" customWidth="1"/>
    <col min="65" max="65" width="6" customWidth="1"/>
    <col min="66" max="66" width="5" customWidth="1"/>
    <col min="67" max="67" width="5.83203125" customWidth="1"/>
    <col min="68" max="68" width="6" customWidth="1"/>
    <col min="69" max="69" width="5.83203125" customWidth="1"/>
    <col min="70" max="70" width="6" customWidth="1"/>
    <col min="71" max="71" width="7" customWidth="1"/>
    <col min="72" max="73" width="4.5" customWidth="1"/>
    <col min="74" max="74" width="2.83203125" customWidth="1"/>
  </cols>
  <sheetData>
    <row r="1" spans="1:73" ht="25">
      <c r="A1" s="1090" t="s">
        <v>0</v>
      </c>
      <c r="B1" s="1091"/>
      <c r="C1" s="1091"/>
      <c r="D1" s="1091"/>
      <c r="E1" s="1091"/>
      <c r="F1" s="1091"/>
      <c r="G1" s="1091"/>
      <c r="H1" s="1091"/>
      <c r="I1" s="1091"/>
      <c r="J1" s="1091"/>
      <c r="K1" s="1091"/>
      <c r="L1" s="1091"/>
      <c r="M1" s="1091"/>
      <c r="N1" s="1091"/>
      <c r="O1" s="1091"/>
      <c r="P1" s="1091"/>
      <c r="Q1" s="1091"/>
      <c r="R1" s="1091"/>
      <c r="S1" s="1091"/>
      <c r="T1" s="1091"/>
      <c r="U1" s="1091"/>
      <c r="V1" s="1091"/>
      <c r="W1" s="1092"/>
      <c r="Z1" s="1090" t="s">
        <v>2</v>
      </c>
      <c r="AA1" s="1091"/>
      <c r="AB1" s="1091"/>
      <c r="AC1" s="1091"/>
      <c r="AD1" s="1091"/>
      <c r="AE1" s="1091"/>
      <c r="AF1" s="1091"/>
      <c r="AG1" s="1091"/>
      <c r="AH1" s="1091"/>
      <c r="AI1" s="1091"/>
      <c r="AJ1" s="1091"/>
      <c r="AK1" s="1091"/>
      <c r="AL1" s="1091"/>
      <c r="AM1" s="1091"/>
      <c r="AN1" s="1091"/>
      <c r="AO1" s="1091"/>
      <c r="AP1" s="1091"/>
      <c r="AQ1" s="1091"/>
      <c r="AR1" s="1091"/>
      <c r="AS1" s="1091"/>
      <c r="AT1" s="1091"/>
      <c r="AU1" s="1091"/>
      <c r="AV1" s="1092"/>
      <c r="AY1" s="1090" t="s">
        <v>4</v>
      </c>
      <c r="AZ1" s="1091"/>
      <c r="BA1" s="1091"/>
      <c r="BB1" s="1091"/>
      <c r="BC1" s="1091"/>
      <c r="BD1" s="1091"/>
      <c r="BE1" s="1091"/>
      <c r="BF1" s="1091"/>
      <c r="BG1" s="1091"/>
      <c r="BH1" s="1091"/>
      <c r="BI1" s="1091"/>
      <c r="BJ1" s="1091"/>
      <c r="BK1" s="1091"/>
      <c r="BL1" s="1091"/>
      <c r="BM1" s="1091"/>
      <c r="BN1" s="1091"/>
      <c r="BO1" s="1091"/>
      <c r="BP1" s="1091"/>
      <c r="BQ1" s="1091"/>
      <c r="BR1" s="1091"/>
      <c r="BS1" s="1091"/>
      <c r="BT1" s="1091"/>
      <c r="BU1" s="1092"/>
    </row>
    <row r="2" spans="1:73">
      <c r="A2" s="379" t="s">
        <v>143</v>
      </c>
      <c r="B2" s="380" t="s">
        <v>144</v>
      </c>
      <c r="C2" s="380" t="s">
        <v>145</v>
      </c>
      <c r="D2" s="380" t="s">
        <v>146</v>
      </c>
      <c r="E2" s="380" t="s">
        <v>147</v>
      </c>
      <c r="F2" s="380" t="s">
        <v>148</v>
      </c>
      <c r="G2" s="380" t="s">
        <v>149</v>
      </c>
      <c r="H2" s="380" t="s">
        <v>150</v>
      </c>
      <c r="I2" s="380" t="s">
        <v>151</v>
      </c>
      <c r="J2" s="380" t="s">
        <v>152</v>
      </c>
      <c r="K2" s="380" t="s">
        <v>153</v>
      </c>
      <c r="L2" s="380" t="s">
        <v>154</v>
      </c>
      <c r="M2" s="380" t="s">
        <v>155</v>
      </c>
      <c r="N2" s="380" t="s">
        <v>156</v>
      </c>
      <c r="O2" s="380" t="s">
        <v>157</v>
      </c>
      <c r="P2" s="380" t="s">
        <v>158</v>
      </c>
      <c r="Q2" s="380" t="s">
        <v>159</v>
      </c>
      <c r="R2" s="380" t="s">
        <v>160</v>
      </c>
      <c r="S2" s="380" t="s">
        <v>16</v>
      </c>
      <c r="T2" s="380" t="s">
        <v>161</v>
      </c>
      <c r="U2" s="380" t="s">
        <v>162</v>
      </c>
      <c r="V2" s="380" t="s">
        <v>163</v>
      </c>
      <c r="W2" s="381" t="s">
        <v>164</v>
      </c>
      <c r="Z2" s="379" t="s">
        <v>143</v>
      </c>
      <c r="AA2" s="380" t="s">
        <v>144</v>
      </c>
      <c r="AB2" s="380" t="s">
        <v>145</v>
      </c>
      <c r="AC2" s="380" t="s">
        <v>146</v>
      </c>
      <c r="AD2" s="380" t="s">
        <v>147</v>
      </c>
      <c r="AE2" s="380" t="s">
        <v>148</v>
      </c>
      <c r="AF2" s="380" t="s">
        <v>149</v>
      </c>
      <c r="AG2" s="380" t="s">
        <v>150</v>
      </c>
      <c r="AH2" s="380" t="s">
        <v>151</v>
      </c>
      <c r="AI2" s="380" t="s">
        <v>152</v>
      </c>
      <c r="AJ2" s="380" t="s">
        <v>153</v>
      </c>
      <c r="AK2" s="380" t="s">
        <v>154</v>
      </c>
      <c r="AL2" s="380" t="s">
        <v>155</v>
      </c>
      <c r="AM2" s="380" t="s">
        <v>156</v>
      </c>
      <c r="AN2" s="380" t="s">
        <v>157</v>
      </c>
      <c r="AO2" s="380" t="s">
        <v>158</v>
      </c>
      <c r="AP2" s="380" t="s">
        <v>159</v>
      </c>
      <c r="AQ2" s="380" t="s">
        <v>160</v>
      </c>
      <c r="AR2" s="380" t="s">
        <v>16</v>
      </c>
      <c r="AS2" s="380" t="s">
        <v>161</v>
      </c>
      <c r="AT2" s="380" t="s">
        <v>162</v>
      </c>
      <c r="AU2" s="380" t="s">
        <v>163</v>
      </c>
      <c r="AV2" s="381" t="s">
        <v>164</v>
      </c>
      <c r="AY2" s="379" t="s">
        <v>143</v>
      </c>
      <c r="AZ2" s="380" t="s">
        <v>144</v>
      </c>
      <c r="BA2" s="380" t="s">
        <v>145</v>
      </c>
      <c r="BB2" s="380" t="s">
        <v>146</v>
      </c>
      <c r="BC2" s="380" t="s">
        <v>147</v>
      </c>
      <c r="BD2" s="380" t="s">
        <v>148</v>
      </c>
      <c r="BE2" s="380" t="s">
        <v>149</v>
      </c>
      <c r="BF2" s="380" t="s">
        <v>150</v>
      </c>
      <c r="BG2" s="380" t="s">
        <v>151</v>
      </c>
      <c r="BH2" s="380" t="s">
        <v>152</v>
      </c>
      <c r="BI2" s="380" t="s">
        <v>153</v>
      </c>
      <c r="BJ2" s="380" t="s">
        <v>154</v>
      </c>
      <c r="BK2" s="380" t="s">
        <v>155</v>
      </c>
      <c r="BL2" s="380" t="s">
        <v>156</v>
      </c>
      <c r="BM2" s="380" t="s">
        <v>157</v>
      </c>
      <c r="BN2" s="380" t="s">
        <v>158</v>
      </c>
      <c r="BO2" s="380" t="s">
        <v>159</v>
      </c>
      <c r="BP2" s="380" t="s">
        <v>160</v>
      </c>
      <c r="BQ2" s="380" t="s">
        <v>16</v>
      </c>
      <c r="BR2" s="380" t="s">
        <v>161</v>
      </c>
      <c r="BS2" s="380" t="s">
        <v>162</v>
      </c>
      <c r="BT2" s="380" t="s">
        <v>163</v>
      </c>
      <c r="BU2" s="381" t="s">
        <v>164</v>
      </c>
    </row>
    <row r="3" spans="1:73">
      <c r="A3" s="561" t="s">
        <v>165</v>
      </c>
      <c r="B3" s="65" t="s">
        <v>179</v>
      </c>
      <c r="C3" s="65" t="s">
        <v>180</v>
      </c>
      <c r="D3" s="66">
        <f>VLOOKUP(Table106[[#This Row],[NAME]],NYY_H[[NAME]:['#]],2,0)</f>
        <v>0.28455284552845528</v>
      </c>
      <c r="E3" s="66">
        <f>VLOOKUP(Table106[[#This Row],[NAME]],NYY_H[[NAME]:['#]],3,0)</f>
        <v>0.36231884057971014</v>
      </c>
      <c r="F3" s="66">
        <f>VLOOKUP(Table106[[#This Row],[NAME]],NYY_H[[NAME]:['#]],4,0)</f>
        <v>0.47967479674796748</v>
      </c>
      <c r="G3" s="99">
        <f>VLOOKUP(Table106[[#This Row],[NAME]],NYY_H[[NAME]:['#]],5,0)</f>
        <v>36</v>
      </c>
      <c r="H3" s="68">
        <f>VLOOKUP(Table106[[#This Row],[NAME]],NYY_H[[NAME]:['#]],6,0)</f>
        <v>123</v>
      </c>
      <c r="I3" s="68">
        <f>VLOOKUP(Table106[[#This Row],[NAME]],NYY_H[[NAME]:['#]],7,0)</f>
        <v>14</v>
      </c>
      <c r="J3" s="68">
        <f>VLOOKUP(Table106[[#This Row],[NAME]],NYY_H[[NAME]:['#]],8,0)</f>
        <v>35</v>
      </c>
      <c r="K3" s="68">
        <f>VLOOKUP(Table106[[#This Row],[NAME]],NYY_H[[NAME]:['#]],9,0)</f>
        <v>9</v>
      </c>
      <c r="L3" s="68">
        <f>VLOOKUP(Table106[[#This Row],[NAME]],NYY_H[[NAME]:['#]],10,0)</f>
        <v>0</v>
      </c>
      <c r="M3" s="68">
        <f>VLOOKUP(Table106[[#This Row],[NAME]],NYY_H[[NAME]:['#]],11,0)</f>
        <v>5</v>
      </c>
      <c r="N3" s="68">
        <f>VLOOKUP(Table106[[#This Row],[NAME]],NYY_H[[NAME]:['#]],12,0)</f>
        <v>18</v>
      </c>
      <c r="O3" s="68">
        <f>VLOOKUP(Table106[[#This Row],[NAME]],NYY_H[[NAME]:['#]],13,0)</f>
        <v>15</v>
      </c>
      <c r="P3" s="68">
        <f>VLOOKUP(Table106[[#This Row],[NAME]],NYY_H[[NAME]:['#]],14,0)</f>
        <v>39</v>
      </c>
      <c r="Q3" s="99">
        <f>VLOOKUP(Table106[[#This Row],[NAME]],NYY_H[[NAME]:['#]],15,0)</f>
        <v>0</v>
      </c>
      <c r="R3" s="68">
        <f>VLOOKUP(Table106[[#This Row],[NAME]],NYY_H[[NAME]:['#]],16,0)</f>
        <v>0</v>
      </c>
      <c r="S3" s="68">
        <f>VLOOKUP(Table106[[#This Row],[NAME]],NYY_H[[NAME]:['#]],17,0)</f>
        <v>6</v>
      </c>
      <c r="T3" s="99">
        <f>VLOOKUP(Table106[[#This Row],[NAME]],NYY_H[[NAME]:['#]],18,0)</f>
        <v>59</v>
      </c>
      <c r="U3" s="66">
        <f>VLOOKUP(Table106[[#This Row],[NAME]],NYY_H[[NAME]:['#]],19,0)</f>
        <v>0.84199363732767762</v>
      </c>
      <c r="V3" s="68">
        <f>VLOOKUP(Table106[[#This Row],[NAME]],NYY_H[[NAME]:['#]],20,0)</f>
        <v>4</v>
      </c>
      <c r="W3" s="70">
        <v>1</v>
      </c>
      <c r="Z3" s="97" t="s">
        <v>165</v>
      </c>
      <c r="AA3" s="99" t="s">
        <v>179</v>
      </c>
      <c r="AB3" s="99" t="s">
        <v>180</v>
      </c>
      <c r="AC3" s="129">
        <v>0.21929824561403508</v>
      </c>
      <c r="AD3" s="66">
        <v>0.27642276422764228</v>
      </c>
      <c r="AE3" s="66">
        <v>0.35087719298245612</v>
      </c>
      <c r="AF3" s="99">
        <v>33</v>
      </c>
      <c r="AG3" s="68">
        <v>114</v>
      </c>
      <c r="AH3" s="68">
        <v>10</v>
      </c>
      <c r="AI3" s="68">
        <v>25</v>
      </c>
      <c r="AJ3" s="68">
        <v>6</v>
      </c>
      <c r="AK3" s="68">
        <v>0</v>
      </c>
      <c r="AL3" s="68">
        <v>3</v>
      </c>
      <c r="AM3" s="68">
        <v>13</v>
      </c>
      <c r="AN3" s="68">
        <v>9</v>
      </c>
      <c r="AO3" s="68">
        <v>29</v>
      </c>
      <c r="AP3" s="99">
        <v>0</v>
      </c>
      <c r="AQ3" s="68">
        <v>1</v>
      </c>
      <c r="AR3" s="68">
        <v>4</v>
      </c>
      <c r="AS3" s="99">
        <v>40</v>
      </c>
      <c r="AT3" s="66">
        <v>0.62729995721009835</v>
      </c>
      <c r="AU3" s="68">
        <v>2</v>
      </c>
      <c r="AV3" s="70">
        <v>1</v>
      </c>
      <c r="AY3" s="97" t="s">
        <v>165</v>
      </c>
      <c r="AZ3" s="99" t="s">
        <v>179</v>
      </c>
      <c r="BA3" s="99" t="s">
        <v>180</v>
      </c>
      <c r="BB3" s="129">
        <v>0.22619047619047619</v>
      </c>
      <c r="BC3" s="66">
        <v>0.33673469387755101</v>
      </c>
      <c r="BD3" s="66">
        <v>0.33333333333333331</v>
      </c>
      <c r="BE3" s="99">
        <v>26</v>
      </c>
      <c r="BF3" s="68">
        <v>84</v>
      </c>
      <c r="BG3" s="68">
        <v>8</v>
      </c>
      <c r="BH3" s="68">
        <v>19</v>
      </c>
      <c r="BI3" s="68">
        <v>3</v>
      </c>
      <c r="BJ3" s="68">
        <v>0</v>
      </c>
      <c r="BK3" s="68">
        <v>2</v>
      </c>
      <c r="BL3" s="68">
        <v>14</v>
      </c>
      <c r="BM3" s="68">
        <v>14</v>
      </c>
      <c r="BN3" s="68">
        <v>19</v>
      </c>
      <c r="BO3" s="99">
        <v>0</v>
      </c>
      <c r="BP3" s="68">
        <v>2</v>
      </c>
      <c r="BQ3" s="68">
        <v>3</v>
      </c>
      <c r="BR3" s="99">
        <v>28</v>
      </c>
      <c r="BS3" s="66">
        <v>0.67006802721088432</v>
      </c>
      <c r="BT3" s="68">
        <v>2</v>
      </c>
      <c r="BU3" s="70">
        <v>1</v>
      </c>
    </row>
    <row r="4" spans="1:73">
      <c r="A4" s="366" t="s">
        <v>165</v>
      </c>
      <c r="B4" s="71" t="s">
        <v>154</v>
      </c>
      <c r="C4" s="71" t="s">
        <v>175</v>
      </c>
      <c r="D4" s="72">
        <f>VLOOKUP(Table106[[#This Row],[NAME]],NYY_H[[NAME]:['#]],2,0)</f>
        <v>0.31914893617021278</v>
      </c>
      <c r="E4" s="72">
        <f>VLOOKUP(Table106[[#This Row],[NAME]],NYY_H[[NAME]:['#]],3,0)</f>
        <v>0.38064516129032255</v>
      </c>
      <c r="F4" s="72">
        <f>VLOOKUP(Table106[[#This Row],[NAME]],NYY_H[[NAME]:['#]],4,0)</f>
        <v>0.46099290780141844</v>
      </c>
      <c r="G4" s="77">
        <f>VLOOKUP(Table106[[#This Row],[NAME]],NYY_H[[NAME]:['#]],5,0)</f>
        <v>38</v>
      </c>
      <c r="H4" s="28">
        <f>VLOOKUP(Table106[[#This Row],[NAME]],NYY_H[[NAME]:['#]],6,0)</f>
        <v>141</v>
      </c>
      <c r="I4" s="28">
        <f>VLOOKUP(Table106[[#This Row],[NAME]],NYY_H[[NAME]:['#]],7,0)</f>
        <v>18</v>
      </c>
      <c r="J4" s="28">
        <f>VLOOKUP(Table106[[#This Row],[NAME]],NYY_H[[NAME]:['#]],8,0)</f>
        <v>45</v>
      </c>
      <c r="K4" s="28">
        <f>VLOOKUP(Table106[[#This Row],[NAME]],NYY_H[[NAME]:['#]],9,0)</f>
        <v>7</v>
      </c>
      <c r="L4" s="28">
        <f>VLOOKUP(Table106[[#This Row],[NAME]],NYY_H[[NAME]:['#]],10,0)</f>
        <v>2</v>
      </c>
      <c r="M4" s="28">
        <f>VLOOKUP(Table106[[#This Row],[NAME]],NYY_H[[NAME]:['#]],11,0)</f>
        <v>3</v>
      </c>
      <c r="N4" s="28">
        <f>VLOOKUP(Table106[[#This Row],[NAME]],NYY_H[[NAME]:['#]],12,0)</f>
        <v>20</v>
      </c>
      <c r="O4" s="28">
        <f>VLOOKUP(Table106[[#This Row],[NAME]],NYY_H[[NAME]:['#]],13,0)</f>
        <v>14</v>
      </c>
      <c r="P4" s="28">
        <f>VLOOKUP(Table106[[#This Row],[NAME]],NYY_H[[NAME]:['#]],14,0)</f>
        <v>31</v>
      </c>
      <c r="Q4" s="77">
        <f>VLOOKUP(Table106[[#This Row],[NAME]],NYY_H[[NAME]:['#]],15,0)</f>
        <v>0</v>
      </c>
      <c r="R4" s="28">
        <f>VLOOKUP(Table106[[#This Row],[NAME]],NYY_H[[NAME]:['#]],16,0)</f>
        <v>0</v>
      </c>
      <c r="S4" s="28">
        <f>VLOOKUP(Table106[[#This Row],[NAME]],NYY_H[[NAME]:['#]],17,0)</f>
        <v>10</v>
      </c>
      <c r="T4" s="77">
        <f>VLOOKUP(Table106[[#This Row],[NAME]],NYY_H[[NAME]:['#]],18,0)</f>
        <v>65</v>
      </c>
      <c r="U4" s="72">
        <f>VLOOKUP(Table106[[#This Row],[NAME]],NYY_H[[NAME]:['#]],19,0)</f>
        <v>0.84163806909174099</v>
      </c>
      <c r="V4" s="28">
        <f>VLOOKUP(Table106[[#This Row],[NAME]],NYY_H[[NAME]:['#]],20,0)</f>
        <v>0</v>
      </c>
      <c r="W4" s="75">
        <v>2</v>
      </c>
      <c r="Z4" s="101" t="s">
        <v>165</v>
      </c>
      <c r="AA4" s="77" t="s">
        <v>154</v>
      </c>
      <c r="AB4" s="77" t="s">
        <v>175</v>
      </c>
      <c r="AC4" s="130">
        <v>0.31874999999999998</v>
      </c>
      <c r="AD4" s="72">
        <v>0.37356321839080459</v>
      </c>
      <c r="AE4" s="72">
        <v>0.45</v>
      </c>
      <c r="AF4" s="77">
        <v>38</v>
      </c>
      <c r="AG4" s="28">
        <v>160</v>
      </c>
      <c r="AH4" s="28">
        <v>20</v>
      </c>
      <c r="AI4" s="28">
        <v>51</v>
      </c>
      <c r="AJ4" s="28">
        <v>9</v>
      </c>
      <c r="AK4" s="28">
        <v>3</v>
      </c>
      <c r="AL4" s="28">
        <v>2</v>
      </c>
      <c r="AM4" s="28">
        <v>21</v>
      </c>
      <c r="AN4" s="28">
        <v>14</v>
      </c>
      <c r="AO4" s="28">
        <v>21</v>
      </c>
      <c r="AP4" s="77">
        <v>0</v>
      </c>
      <c r="AQ4" s="28">
        <v>9</v>
      </c>
      <c r="AR4" s="76">
        <v>19</v>
      </c>
      <c r="AS4" s="77">
        <v>72</v>
      </c>
      <c r="AT4" s="72">
        <v>0.8235632183908046</v>
      </c>
      <c r="AU4" s="28">
        <v>3</v>
      </c>
      <c r="AV4" s="75">
        <v>2</v>
      </c>
      <c r="AY4" s="101" t="s">
        <v>165</v>
      </c>
      <c r="AZ4" s="77" t="s">
        <v>154</v>
      </c>
      <c r="BA4" s="77" t="s">
        <v>176</v>
      </c>
      <c r="BB4" s="130">
        <v>0.24374999999999999</v>
      </c>
      <c r="BC4" s="72">
        <v>0.29239766081871343</v>
      </c>
      <c r="BD4" s="72">
        <v>0.43125000000000002</v>
      </c>
      <c r="BE4" s="77">
        <v>39</v>
      </c>
      <c r="BF4" s="28">
        <v>160</v>
      </c>
      <c r="BG4" s="28">
        <v>20</v>
      </c>
      <c r="BH4" s="28">
        <v>39</v>
      </c>
      <c r="BI4" s="28">
        <v>6</v>
      </c>
      <c r="BJ4" s="28">
        <v>0</v>
      </c>
      <c r="BK4" s="28">
        <v>8</v>
      </c>
      <c r="BL4" s="28">
        <v>17</v>
      </c>
      <c r="BM4" s="28">
        <v>11</v>
      </c>
      <c r="BN4" s="28">
        <v>36</v>
      </c>
      <c r="BO4" s="77">
        <v>0</v>
      </c>
      <c r="BP4" s="28">
        <v>1</v>
      </c>
      <c r="BQ4" s="28">
        <v>5</v>
      </c>
      <c r="BR4" s="77">
        <v>69</v>
      </c>
      <c r="BS4" s="72">
        <v>0.72364766081871346</v>
      </c>
      <c r="BT4" s="28">
        <v>0</v>
      </c>
      <c r="BU4" s="75">
        <v>2</v>
      </c>
    </row>
    <row r="5" spans="1:73">
      <c r="A5" s="366" t="s">
        <v>165</v>
      </c>
      <c r="B5" s="71" t="s">
        <v>172</v>
      </c>
      <c r="C5" s="71" t="s">
        <v>173</v>
      </c>
      <c r="D5" s="72">
        <f>VLOOKUP(Table106[[#This Row],[NAME]],NYY_H[[NAME]:['#]],2,0)</f>
        <v>0.27878787878787881</v>
      </c>
      <c r="E5" s="72">
        <f>VLOOKUP(Table106[[#This Row],[NAME]],NYY_H[[NAME]:['#]],3,0)</f>
        <v>0.34972677595628415</v>
      </c>
      <c r="F5" s="72">
        <f>VLOOKUP(Table106[[#This Row],[NAME]],NYY_H[[NAME]:['#]],4,0)</f>
        <v>0.36969696969696969</v>
      </c>
      <c r="G5" s="77">
        <f>VLOOKUP(Table106[[#This Row],[NAME]],NYY_H[[NAME]:['#]],5,0)</f>
        <v>39</v>
      </c>
      <c r="H5" s="28">
        <f>VLOOKUP(Table106[[#This Row],[NAME]],NYY_H[[NAME]:['#]],6,0)</f>
        <v>165</v>
      </c>
      <c r="I5" s="28">
        <f>VLOOKUP(Table106[[#This Row],[NAME]],NYY_H[[NAME]:['#]],7,0)</f>
        <v>21</v>
      </c>
      <c r="J5" s="28">
        <f>VLOOKUP(Table106[[#This Row],[NAME]],NYY_H[[NAME]:['#]],8,0)</f>
        <v>46</v>
      </c>
      <c r="K5" s="28">
        <f>VLOOKUP(Table106[[#This Row],[NAME]],NYY_H[[NAME]:['#]],9,0)</f>
        <v>8</v>
      </c>
      <c r="L5" s="28">
        <f>VLOOKUP(Table106[[#This Row],[NAME]],NYY_H[[NAME]:['#]],10,0)</f>
        <v>2</v>
      </c>
      <c r="M5" s="28">
        <f>VLOOKUP(Table106[[#This Row],[NAME]],NYY_H[[NAME]:['#]],11,0)</f>
        <v>1</v>
      </c>
      <c r="N5" s="28">
        <f>VLOOKUP(Table106[[#This Row],[NAME]],NYY_H[[NAME]:['#]],12,0)</f>
        <v>15</v>
      </c>
      <c r="O5" s="28">
        <f>VLOOKUP(Table106[[#This Row],[NAME]],NYY_H[[NAME]:['#]],13,0)</f>
        <v>18</v>
      </c>
      <c r="P5" s="28">
        <f>VLOOKUP(Table106[[#This Row],[NAME]],NYY_H[[NAME]:['#]],14,0)</f>
        <v>33</v>
      </c>
      <c r="Q5" s="77">
        <f>VLOOKUP(Table106[[#This Row],[NAME]],NYY_H[[NAME]:['#]],15,0)</f>
        <v>1</v>
      </c>
      <c r="R5" s="28">
        <f>VLOOKUP(Table106[[#This Row],[NAME]],NYY_H[[NAME]:['#]],16,0)</f>
        <v>2</v>
      </c>
      <c r="S5" s="28">
        <f>VLOOKUP(Table106[[#This Row],[NAME]],NYY_H[[NAME]:['#]],17,0)</f>
        <v>6</v>
      </c>
      <c r="T5" s="77">
        <f>VLOOKUP(Table106[[#This Row],[NAME]],NYY_H[[NAME]:['#]],18,0)</f>
        <v>61</v>
      </c>
      <c r="U5" s="72">
        <f>VLOOKUP(Table106[[#This Row],[NAME]],NYY_H[[NAME]:['#]],19,0)</f>
        <v>0.71942374565325384</v>
      </c>
      <c r="V5" s="28">
        <f>VLOOKUP(Table106[[#This Row],[NAME]],NYY_H[[NAME]:['#]],20,0)</f>
        <v>2</v>
      </c>
      <c r="W5" s="75">
        <v>3</v>
      </c>
      <c r="Z5" s="101" t="s">
        <v>165</v>
      </c>
      <c r="AA5" s="77" t="s">
        <v>172</v>
      </c>
      <c r="AB5" s="77" t="s">
        <v>173</v>
      </c>
      <c r="AC5" s="130">
        <v>0.30769230769230771</v>
      </c>
      <c r="AD5" s="72">
        <v>0.3532934131736527</v>
      </c>
      <c r="AE5" s="72">
        <v>0.39743589743589741</v>
      </c>
      <c r="AF5" s="77">
        <v>37</v>
      </c>
      <c r="AG5" s="28">
        <v>156</v>
      </c>
      <c r="AH5" s="28">
        <v>17</v>
      </c>
      <c r="AI5" s="28">
        <v>48</v>
      </c>
      <c r="AJ5" s="28">
        <v>9</v>
      </c>
      <c r="AK5" s="28">
        <v>1</v>
      </c>
      <c r="AL5" s="28">
        <v>1</v>
      </c>
      <c r="AM5" s="28">
        <v>12</v>
      </c>
      <c r="AN5" s="28">
        <v>11</v>
      </c>
      <c r="AO5" s="28">
        <v>37</v>
      </c>
      <c r="AP5" s="77">
        <v>7</v>
      </c>
      <c r="AQ5" s="28">
        <v>0</v>
      </c>
      <c r="AR5" s="28">
        <v>16</v>
      </c>
      <c r="AS5" s="77">
        <v>62</v>
      </c>
      <c r="AT5" s="72">
        <v>0.75072931060955006</v>
      </c>
      <c r="AU5" s="28">
        <v>1</v>
      </c>
      <c r="AV5" s="75">
        <v>3</v>
      </c>
      <c r="AY5" s="101" t="s">
        <v>165</v>
      </c>
      <c r="AZ5" s="77" t="s">
        <v>172</v>
      </c>
      <c r="BA5" s="77" t="s">
        <v>173</v>
      </c>
      <c r="BB5" s="130">
        <v>0.3125</v>
      </c>
      <c r="BC5" s="72">
        <v>0.39890710382513661</v>
      </c>
      <c r="BD5" s="72">
        <v>0.49375000000000002</v>
      </c>
      <c r="BE5" s="77">
        <v>40</v>
      </c>
      <c r="BF5" s="28">
        <v>160</v>
      </c>
      <c r="BG5" s="28">
        <v>20</v>
      </c>
      <c r="BH5" s="28">
        <v>50</v>
      </c>
      <c r="BI5" s="28">
        <v>12</v>
      </c>
      <c r="BJ5" s="28">
        <v>1</v>
      </c>
      <c r="BK5" s="28">
        <v>5</v>
      </c>
      <c r="BL5" s="28">
        <v>27</v>
      </c>
      <c r="BM5" s="28">
        <v>23</v>
      </c>
      <c r="BN5" s="28">
        <v>30</v>
      </c>
      <c r="BO5" s="77">
        <v>5</v>
      </c>
      <c r="BP5" s="28">
        <v>2</v>
      </c>
      <c r="BQ5" s="28">
        <v>9</v>
      </c>
      <c r="BR5" s="77">
        <v>79</v>
      </c>
      <c r="BS5" s="72">
        <v>0.89265710382513663</v>
      </c>
      <c r="BT5" s="28">
        <v>5</v>
      </c>
      <c r="BU5" s="75">
        <v>3</v>
      </c>
    </row>
    <row r="6" spans="1:73">
      <c r="A6" s="366" t="s">
        <v>165</v>
      </c>
      <c r="B6" s="71" t="s">
        <v>153</v>
      </c>
      <c r="C6" s="71" t="s">
        <v>171</v>
      </c>
      <c r="D6" s="72">
        <f>VLOOKUP(Table106[[#This Row],[NAME]],NYY_H[[NAME]:['#]],2,0)</f>
        <v>0.2</v>
      </c>
      <c r="E6" s="72">
        <f>VLOOKUP(Table106[[#This Row],[NAME]],NYY_H[[NAME]:['#]],3,0)</f>
        <v>0.25827814569536423</v>
      </c>
      <c r="F6" s="72">
        <f>VLOOKUP(Table106[[#This Row],[NAME]],NYY_H[[NAME]:['#]],4,0)</f>
        <v>0.35714285714285715</v>
      </c>
      <c r="G6" s="77">
        <f>VLOOKUP(Table106[[#This Row],[NAME]],NYY_H[[NAME]:['#]],5,0)</f>
        <v>37</v>
      </c>
      <c r="H6" s="28">
        <f>VLOOKUP(Table106[[#This Row],[NAME]],NYY_H[[NAME]:['#]],6,0)</f>
        <v>140</v>
      </c>
      <c r="I6" s="28">
        <f>VLOOKUP(Table106[[#This Row],[NAME]],NYY_H[[NAME]:['#]],7,0)</f>
        <v>12</v>
      </c>
      <c r="J6" s="28">
        <f>VLOOKUP(Table106[[#This Row],[NAME]],NYY_H[[NAME]:['#]],8,0)</f>
        <v>28</v>
      </c>
      <c r="K6" s="28">
        <f>VLOOKUP(Table106[[#This Row],[NAME]],NYY_H[[NAME]:['#]],9,0)</f>
        <v>7</v>
      </c>
      <c r="L6" s="28">
        <f>VLOOKUP(Table106[[#This Row],[NAME]],NYY_H[[NAME]:['#]],10,0)</f>
        <v>0</v>
      </c>
      <c r="M6" s="28">
        <f>VLOOKUP(Table106[[#This Row],[NAME]],NYY_H[[NAME]:['#]],11,0)</f>
        <v>5</v>
      </c>
      <c r="N6" s="28">
        <f>VLOOKUP(Table106[[#This Row],[NAME]],NYY_H[[NAME]:['#]],12,0)</f>
        <v>14</v>
      </c>
      <c r="O6" s="28">
        <f>VLOOKUP(Table106[[#This Row],[NAME]],NYY_H[[NAME]:['#]],13,0)</f>
        <v>11</v>
      </c>
      <c r="P6" s="28">
        <f>VLOOKUP(Table106[[#This Row],[NAME]],NYY_H[[NAME]:['#]],14,0)</f>
        <v>40</v>
      </c>
      <c r="Q6" s="77">
        <f>VLOOKUP(Table106[[#This Row],[NAME]],NYY_H[[NAME]:['#]],15,0)</f>
        <v>0</v>
      </c>
      <c r="R6" s="28">
        <f>VLOOKUP(Table106[[#This Row],[NAME]],NYY_H[[NAME]:['#]],16,0)</f>
        <v>0</v>
      </c>
      <c r="S6" s="28">
        <f>VLOOKUP(Table106[[#This Row],[NAME]],NYY_H[[NAME]:['#]],17,0)</f>
        <v>5</v>
      </c>
      <c r="T6" s="77">
        <f>VLOOKUP(Table106[[#This Row],[NAME]],NYY_H[[NAME]:['#]],18,0)</f>
        <v>50</v>
      </c>
      <c r="U6" s="72">
        <f>VLOOKUP(Table106[[#This Row],[NAME]],NYY_H[[NAME]:['#]],19,0)</f>
        <v>0.61542100283822143</v>
      </c>
      <c r="V6" s="28">
        <f>VLOOKUP(Table106[[#This Row],[NAME]],NYY_H[[NAME]:['#]],20,0)</f>
        <v>0</v>
      </c>
      <c r="W6" s="75">
        <v>4</v>
      </c>
      <c r="Z6" s="101" t="s">
        <v>165</v>
      </c>
      <c r="AA6" s="77" t="s">
        <v>153</v>
      </c>
      <c r="AB6" s="77" t="s">
        <v>171</v>
      </c>
      <c r="AC6" s="130">
        <v>0.24427480916030533</v>
      </c>
      <c r="AD6" s="72">
        <v>0.32191780821917809</v>
      </c>
      <c r="AE6" s="72">
        <v>0.58015267175572516</v>
      </c>
      <c r="AF6" s="77">
        <v>36</v>
      </c>
      <c r="AG6" s="28">
        <v>131</v>
      </c>
      <c r="AH6" s="28">
        <v>23</v>
      </c>
      <c r="AI6" s="28">
        <v>32</v>
      </c>
      <c r="AJ6" s="28">
        <v>8</v>
      </c>
      <c r="AK6" s="28">
        <v>0</v>
      </c>
      <c r="AL6" s="28">
        <v>12</v>
      </c>
      <c r="AM6" s="28">
        <v>28</v>
      </c>
      <c r="AN6" s="28">
        <v>15</v>
      </c>
      <c r="AO6" s="28">
        <v>36</v>
      </c>
      <c r="AP6" s="77">
        <v>0</v>
      </c>
      <c r="AQ6" s="28">
        <v>6</v>
      </c>
      <c r="AR6" s="28">
        <v>6</v>
      </c>
      <c r="AS6" s="77">
        <v>76</v>
      </c>
      <c r="AT6" s="72">
        <v>0.90207047997490331</v>
      </c>
      <c r="AU6" s="28">
        <v>6</v>
      </c>
      <c r="AV6" s="75">
        <v>4</v>
      </c>
      <c r="AY6" s="101" t="s">
        <v>165</v>
      </c>
      <c r="AZ6" s="77" t="s">
        <v>153</v>
      </c>
      <c r="BA6" s="77" t="s">
        <v>175</v>
      </c>
      <c r="BB6" s="130">
        <v>0.27407407407407408</v>
      </c>
      <c r="BC6" s="72">
        <v>0.36363636363636365</v>
      </c>
      <c r="BD6" s="72">
        <v>0.45925925925925926</v>
      </c>
      <c r="BE6" s="77">
        <v>38</v>
      </c>
      <c r="BF6" s="28">
        <v>135</v>
      </c>
      <c r="BG6" s="28">
        <v>22</v>
      </c>
      <c r="BH6" s="28">
        <v>37</v>
      </c>
      <c r="BI6" s="28">
        <v>8</v>
      </c>
      <c r="BJ6" s="28">
        <v>1</v>
      </c>
      <c r="BK6" s="28">
        <v>5</v>
      </c>
      <c r="BL6" s="28">
        <v>15</v>
      </c>
      <c r="BM6" s="28">
        <v>19</v>
      </c>
      <c r="BN6" s="28">
        <v>25</v>
      </c>
      <c r="BO6" s="77">
        <v>0</v>
      </c>
      <c r="BP6" s="28">
        <v>1</v>
      </c>
      <c r="BQ6" s="28">
        <v>8</v>
      </c>
      <c r="BR6" s="77">
        <v>62</v>
      </c>
      <c r="BS6" s="72">
        <v>0.8228956228956229</v>
      </c>
      <c r="BT6" s="28">
        <v>1</v>
      </c>
      <c r="BU6" s="75">
        <v>4</v>
      </c>
    </row>
    <row r="7" spans="1:73">
      <c r="A7" s="366" t="s">
        <v>165</v>
      </c>
      <c r="B7" s="71" t="s">
        <v>177</v>
      </c>
      <c r="C7" s="71" t="s">
        <v>178</v>
      </c>
      <c r="D7" s="72">
        <f>VLOOKUP(Table106[[#This Row],[NAME]],NYY_H[[NAME]:['#]],2,0)</f>
        <v>0.27108433734939757</v>
      </c>
      <c r="E7" s="72">
        <f>VLOOKUP(Table106[[#This Row],[NAME]],NYY_H[[NAME]:['#]],3,0)</f>
        <v>0.3202247191011236</v>
      </c>
      <c r="F7" s="72">
        <f>VLOOKUP(Table106[[#This Row],[NAME]],NYY_H[[NAME]:['#]],4,0)</f>
        <v>0.37349397590361444</v>
      </c>
      <c r="G7" s="77">
        <f>VLOOKUP(Table106[[#This Row],[NAME]],NYY_H[[NAME]:['#]],5,0)</f>
        <v>39</v>
      </c>
      <c r="H7" s="28">
        <f>VLOOKUP(Table106[[#This Row],[NAME]],NYY_H[[NAME]:['#]],6,0)</f>
        <v>166</v>
      </c>
      <c r="I7" s="28">
        <f>VLOOKUP(Table106[[#This Row],[NAME]],NYY_H[[NAME]:['#]],7,0)</f>
        <v>23</v>
      </c>
      <c r="J7" s="28">
        <f>VLOOKUP(Table106[[#This Row],[NAME]],NYY_H[[NAME]:['#]],8,0)</f>
        <v>45</v>
      </c>
      <c r="K7" s="28">
        <f>VLOOKUP(Table106[[#This Row],[NAME]],NYY_H[[NAME]:['#]],9,0)</f>
        <v>11</v>
      </c>
      <c r="L7" s="28">
        <f>VLOOKUP(Table106[[#This Row],[NAME]],NYY_H[[NAME]:['#]],10,0)</f>
        <v>0</v>
      </c>
      <c r="M7" s="28">
        <f>VLOOKUP(Table106[[#This Row],[NAME]],NYY_H[[NAME]:['#]],11,0)</f>
        <v>2</v>
      </c>
      <c r="N7" s="28">
        <f>VLOOKUP(Table106[[#This Row],[NAME]],NYY_H[[NAME]:['#]],12,0)</f>
        <v>14</v>
      </c>
      <c r="O7" s="28">
        <f>VLOOKUP(Table106[[#This Row],[NAME]],NYY_H[[NAME]:['#]],13,0)</f>
        <v>12</v>
      </c>
      <c r="P7" s="28">
        <f>VLOOKUP(Table106[[#This Row],[NAME]],NYY_H[[NAME]:['#]],14,0)</f>
        <v>23</v>
      </c>
      <c r="Q7" s="77">
        <f>VLOOKUP(Table106[[#This Row],[NAME]],NYY_H[[NAME]:['#]],15,0)</f>
        <v>0</v>
      </c>
      <c r="R7" s="28">
        <f>VLOOKUP(Table106[[#This Row],[NAME]],NYY_H[[NAME]:['#]],16,0)</f>
        <v>1</v>
      </c>
      <c r="S7" s="28">
        <f>VLOOKUP(Table106[[#This Row],[NAME]],NYY_H[[NAME]:['#]],17,0)</f>
        <v>8</v>
      </c>
      <c r="T7" s="77">
        <f>VLOOKUP(Table106[[#This Row],[NAME]],NYY_H[[NAME]:['#]],18,0)</f>
        <v>62</v>
      </c>
      <c r="U7" s="72">
        <f>VLOOKUP(Table106[[#This Row],[NAME]],NYY_H[[NAME]:['#]],19,0)</f>
        <v>0.69371869500473804</v>
      </c>
      <c r="V7" s="28">
        <f>VLOOKUP(Table106[[#This Row],[NAME]],NYY_H[[NAME]:['#]],20,0)</f>
        <v>3</v>
      </c>
      <c r="W7" s="75">
        <v>5</v>
      </c>
      <c r="Z7" s="101" t="s">
        <v>165</v>
      </c>
      <c r="AA7" s="77" t="s">
        <v>177</v>
      </c>
      <c r="AB7" s="77" t="s">
        <v>178</v>
      </c>
      <c r="AC7" s="130">
        <v>0.27631578947368424</v>
      </c>
      <c r="AD7" s="72">
        <v>0.34911242603550297</v>
      </c>
      <c r="AE7" s="72">
        <v>0.39473684210526316</v>
      </c>
      <c r="AF7" s="77">
        <v>38</v>
      </c>
      <c r="AG7" s="28">
        <v>152</v>
      </c>
      <c r="AH7" s="28">
        <v>23</v>
      </c>
      <c r="AI7" s="28">
        <v>42</v>
      </c>
      <c r="AJ7" s="28">
        <v>9</v>
      </c>
      <c r="AK7" s="28">
        <v>0</v>
      </c>
      <c r="AL7" s="28">
        <v>3</v>
      </c>
      <c r="AM7" s="28">
        <v>16</v>
      </c>
      <c r="AN7" s="28">
        <v>17</v>
      </c>
      <c r="AO7" s="28">
        <v>40</v>
      </c>
      <c r="AP7" s="77">
        <v>0</v>
      </c>
      <c r="AQ7" s="28">
        <v>2</v>
      </c>
      <c r="AR7" s="28">
        <v>9</v>
      </c>
      <c r="AS7" s="77">
        <v>60</v>
      </c>
      <c r="AT7" s="72">
        <v>0.74384926814076613</v>
      </c>
      <c r="AU7" s="28">
        <v>2</v>
      </c>
      <c r="AV7" s="75">
        <v>5</v>
      </c>
      <c r="AY7" s="101" t="s">
        <v>165</v>
      </c>
      <c r="AZ7" s="77" t="s">
        <v>177</v>
      </c>
      <c r="BA7" s="77" t="s">
        <v>178</v>
      </c>
      <c r="BB7" s="130">
        <v>0.24817518248175183</v>
      </c>
      <c r="BC7" s="72">
        <v>0.31333333333333335</v>
      </c>
      <c r="BD7" s="72">
        <v>0.40145985401459855</v>
      </c>
      <c r="BE7" s="77">
        <v>37</v>
      </c>
      <c r="BF7" s="28">
        <v>137</v>
      </c>
      <c r="BG7" s="28">
        <v>14</v>
      </c>
      <c r="BH7" s="28">
        <v>34</v>
      </c>
      <c r="BI7" s="28">
        <v>6</v>
      </c>
      <c r="BJ7" s="28">
        <v>0</v>
      </c>
      <c r="BK7" s="28">
        <v>5</v>
      </c>
      <c r="BL7" s="28">
        <v>14</v>
      </c>
      <c r="BM7" s="28">
        <v>13</v>
      </c>
      <c r="BN7" s="28">
        <v>22</v>
      </c>
      <c r="BO7" s="77">
        <v>0</v>
      </c>
      <c r="BP7" s="28">
        <v>0</v>
      </c>
      <c r="BQ7" s="28">
        <v>4</v>
      </c>
      <c r="BR7" s="77">
        <v>55</v>
      </c>
      <c r="BS7" s="72">
        <v>0.71479318734793185</v>
      </c>
      <c r="BT7" s="28">
        <v>0</v>
      </c>
      <c r="BU7" s="75">
        <v>5</v>
      </c>
    </row>
    <row r="8" spans="1:73">
      <c r="A8" s="366" t="s">
        <v>165</v>
      </c>
      <c r="B8" s="71" t="s">
        <v>174</v>
      </c>
      <c r="C8" s="71" t="s">
        <v>170</v>
      </c>
      <c r="D8" s="72">
        <f>VLOOKUP(Table106[[#This Row],[NAME]],NYY_H[[NAME]:['#]],2,0)</f>
        <v>0.33566433566433568</v>
      </c>
      <c r="E8" s="72">
        <f>VLOOKUP(Table106[[#This Row],[NAME]],NYY_H[[NAME]:['#]],3,0)</f>
        <v>0.38709677419354838</v>
      </c>
      <c r="F8" s="72">
        <f>VLOOKUP(Table106[[#This Row],[NAME]],NYY_H[[NAME]:['#]],4,0)</f>
        <v>0.56643356643356646</v>
      </c>
      <c r="G8" s="77">
        <f>VLOOKUP(Table106[[#This Row],[NAME]],NYY_H[[NAME]:['#]],5,0)</f>
        <v>36</v>
      </c>
      <c r="H8" s="28">
        <f>VLOOKUP(Table106[[#This Row],[NAME]],NYY_H[[NAME]:['#]],6,0)</f>
        <v>143</v>
      </c>
      <c r="I8" s="28">
        <f>VLOOKUP(Table106[[#This Row],[NAME]],NYY_H[[NAME]:['#]],7,0)</f>
        <v>15</v>
      </c>
      <c r="J8" s="28">
        <f>VLOOKUP(Table106[[#This Row],[NAME]],NYY_H[[NAME]:['#]],8,0)</f>
        <v>48</v>
      </c>
      <c r="K8" s="28">
        <f>VLOOKUP(Table106[[#This Row],[NAME]],NYY_H[[NAME]:['#]],9,0)</f>
        <v>12</v>
      </c>
      <c r="L8" s="28">
        <f>VLOOKUP(Table106[[#This Row],[NAME]],NYY_H[[NAME]:['#]],10,0)</f>
        <v>0</v>
      </c>
      <c r="M8" s="28">
        <f>VLOOKUP(Table106[[#This Row],[NAME]],NYY_H[[NAME]:['#]],11,0)</f>
        <v>7</v>
      </c>
      <c r="N8" s="28">
        <f>VLOOKUP(Table106[[#This Row],[NAME]],NYY_H[[NAME]:['#]],12,0)</f>
        <v>28</v>
      </c>
      <c r="O8" s="28">
        <f>VLOOKUP(Table106[[#This Row],[NAME]],NYY_H[[NAME]:['#]],13,0)</f>
        <v>12</v>
      </c>
      <c r="P8" s="28">
        <f>VLOOKUP(Table106[[#This Row],[NAME]],NYY_H[[NAME]:['#]],14,0)</f>
        <v>35</v>
      </c>
      <c r="Q8" s="77">
        <f>VLOOKUP(Table106[[#This Row],[NAME]],NYY_H[[NAME]:['#]],15,0)</f>
        <v>0</v>
      </c>
      <c r="R8" s="28">
        <f>VLOOKUP(Table106[[#This Row],[NAME]],NYY_H[[NAME]:['#]],16,0)</f>
        <v>1</v>
      </c>
      <c r="S8" s="28">
        <f>VLOOKUP(Table106[[#This Row],[NAME]],NYY_H[[NAME]:['#]],17,0)</f>
        <v>9</v>
      </c>
      <c r="T8" s="77">
        <f>VLOOKUP(Table106[[#This Row],[NAME]],NYY_H[[NAME]:['#]],18,0)</f>
        <v>81</v>
      </c>
      <c r="U8" s="72">
        <f>VLOOKUP(Table106[[#This Row],[NAME]],NYY_H[[NAME]:['#]],19,0)</f>
        <v>0.95353034062711484</v>
      </c>
      <c r="V8" s="28">
        <f>VLOOKUP(Table106[[#This Row],[NAME]],NYY_H[[NAME]:['#]],20,0)</f>
        <v>2</v>
      </c>
      <c r="W8" s="75">
        <v>6</v>
      </c>
      <c r="Z8" s="101" t="s">
        <v>165</v>
      </c>
      <c r="AA8" s="77" t="s">
        <v>174</v>
      </c>
      <c r="AB8" s="77" t="s">
        <v>170</v>
      </c>
      <c r="AC8" s="130">
        <v>0.29565217391304349</v>
      </c>
      <c r="AD8" s="72">
        <v>0.37692307692307692</v>
      </c>
      <c r="AE8" s="72">
        <v>0.48695652173913045</v>
      </c>
      <c r="AF8" s="77">
        <v>31</v>
      </c>
      <c r="AG8" s="28">
        <v>115</v>
      </c>
      <c r="AH8" s="28">
        <v>17</v>
      </c>
      <c r="AI8" s="28">
        <v>34</v>
      </c>
      <c r="AJ8" s="28">
        <v>7</v>
      </c>
      <c r="AK8" s="28">
        <v>0</v>
      </c>
      <c r="AL8" s="28">
        <v>5</v>
      </c>
      <c r="AM8" s="28">
        <v>17</v>
      </c>
      <c r="AN8" s="28">
        <v>15</v>
      </c>
      <c r="AO8" s="28">
        <v>19</v>
      </c>
      <c r="AP8" s="77">
        <v>0</v>
      </c>
      <c r="AQ8" s="28">
        <v>1</v>
      </c>
      <c r="AR8" s="28">
        <v>7</v>
      </c>
      <c r="AS8" s="77">
        <v>56</v>
      </c>
      <c r="AT8" s="72">
        <v>0.86387959866220743</v>
      </c>
      <c r="AU8" s="28">
        <v>1</v>
      </c>
      <c r="AV8" s="75">
        <v>6</v>
      </c>
      <c r="AY8" s="101" t="s">
        <v>165</v>
      </c>
      <c r="AZ8" s="77" t="s">
        <v>174</v>
      </c>
      <c r="BA8" s="77" t="s">
        <v>170</v>
      </c>
      <c r="BB8" s="130">
        <v>0.3235294117647059</v>
      </c>
      <c r="BC8" s="72">
        <v>0.38392857142857145</v>
      </c>
      <c r="BD8" s="72">
        <v>0.50980392156862742</v>
      </c>
      <c r="BE8" s="77">
        <v>34</v>
      </c>
      <c r="BF8" s="28">
        <v>102</v>
      </c>
      <c r="BG8" s="28">
        <v>15</v>
      </c>
      <c r="BH8" s="28">
        <v>33</v>
      </c>
      <c r="BI8" s="28">
        <v>7</v>
      </c>
      <c r="BJ8" s="28">
        <v>0</v>
      </c>
      <c r="BK8" s="28">
        <v>4</v>
      </c>
      <c r="BL8" s="28">
        <v>16</v>
      </c>
      <c r="BM8" s="28">
        <v>10</v>
      </c>
      <c r="BN8" s="28">
        <v>17</v>
      </c>
      <c r="BO8" s="77">
        <v>0</v>
      </c>
      <c r="BP8" s="28">
        <v>3</v>
      </c>
      <c r="BQ8" s="28">
        <v>9</v>
      </c>
      <c r="BR8" s="77">
        <v>52</v>
      </c>
      <c r="BS8" s="72">
        <v>0.89373249299719881</v>
      </c>
      <c r="BT8" s="28">
        <v>1</v>
      </c>
      <c r="BU8" s="75">
        <v>6</v>
      </c>
    </row>
    <row r="9" spans="1:73">
      <c r="A9" s="366" t="s">
        <v>165</v>
      </c>
      <c r="B9" s="71" t="s">
        <v>181</v>
      </c>
      <c r="C9" s="71" t="s">
        <v>183</v>
      </c>
      <c r="D9" s="72">
        <f>VLOOKUP(Table106[[#This Row],[NAME]],NYY_H[[NAME]:['#]],2,0)</f>
        <v>0.20353982300884957</v>
      </c>
      <c r="E9" s="72">
        <f>VLOOKUP(Table106[[#This Row],[NAME]],NYY_H[[NAME]:['#]],3,0)</f>
        <v>0.29133858267716534</v>
      </c>
      <c r="F9" s="72">
        <f>VLOOKUP(Table106[[#This Row],[NAME]],NYY_H[[NAME]:['#]],4,0)</f>
        <v>0.38053097345132741</v>
      </c>
      <c r="G9" s="77">
        <f>VLOOKUP(Table106[[#This Row],[NAME]],NYY_H[[NAME]:['#]],5,0)</f>
        <v>34</v>
      </c>
      <c r="H9" s="28">
        <f>VLOOKUP(Table106[[#This Row],[NAME]],NYY_H[[NAME]:['#]],6,0)</f>
        <v>113</v>
      </c>
      <c r="I9" s="28">
        <f>VLOOKUP(Table106[[#This Row],[NAME]],NYY_H[[NAME]:['#]],7,0)</f>
        <v>13</v>
      </c>
      <c r="J9" s="28">
        <f>VLOOKUP(Table106[[#This Row],[NAME]],NYY_H[[NAME]:['#]],8,0)</f>
        <v>23</v>
      </c>
      <c r="K9" s="28">
        <f>VLOOKUP(Table106[[#This Row],[NAME]],NYY_H[[NAME]:['#]],9,0)</f>
        <v>6</v>
      </c>
      <c r="L9" s="28">
        <f>VLOOKUP(Table106[[#This Row],[NAME]],NYY_H[[NAME]:['#]],10,0)</f>
        <v>1</v>
      </c>
      <c r="M9" s="28">
        <f>VLOOKUP(Table106[[#This Row],[NAME]],NYY_H[[NAME]:['#]],11,0)</f>
        <v>4</v>
      </c>
      <c r="N9" s="28">
        <f>VLOOKUP(Table106[[#This Row],[NAME]],NYY_H[[NAME]:['#]],12,0)</f>
        <v>12</v>
      </c>
      <c r="O9" s="28">
        <f>VLOOKUP(Table106[[#This Row],[NAME]],NYY_H[[NAME]:['#]],13,0)</f>
        <v>14</v>
      </c>
      <c r="P9" s="28">
        <f>VLOOKUP(Table106[[#This Row],[NAME]],NYY_H[[NAME]:['#]],14,0)</f>
        <v>39</v>
      </c>
      <c r="Q9" s="77">
        <f>VLOOKUP(Table106[[#This Row],[NAME]],NYY_H[[NAME]:['#]],15,0)</f>
        <v>4</v>
      </c>
      <c r="R9" s="28">
        <f>VLOOKUP(Table106[[#This Row],[NAME]],NYY_H[[NAME]:['#]],16,0)</f>
        <v>0</v>
      </c>
      <c r="S9" s="28">
        <f>VLOOKUP(Table106[[#This Row],[NAME]],NYY_H[[NAME]:['#]],17,0)</f>
        <v>6</v>
      </c>
      <c r="T9" s="77">
        <f>VLOOKUP(Table106[[#This Row],[NAME]],NYY_H[[NAME]:['#]],18,0)</f>
        <v>43</v>
      </c>
      <c r="U9" s="72">
        <f>VLOOKUP(Table106[[#This Row],[NAME]],NYY_H[[NAME]:['#]],19,0)</f>
        <v>0.67186955612849275</v>
      </c>
      <c r="V9" s="28">
        <f>VLOOKUP(Table106[[#This Row],[NAME]],NYY_H[[NAME]:['#]],20,0)</f>
        <v>1</v>
      </c>
      <c r="W9" s="75">
        <v>7</v>
      </c>
      <c r="Z9" s="101" t="s">
        <v>165</v>
      </c>
      <c r="AA9" s="77" t="s">
        <v>181</v>
      </c>
      <c r="AB9" s="77" t="s">
        <v>182</v>
      </c>
      <c r="AC9" s="130">
        <v>0.22641509433962265</v>
      </c>
      <c r="AD9" s="72">
        <v>0.2807017543859649</v>
      </c>
      <c r="AE9" s="72">
        <v>0.45283018867924529</v>
      </c>
      <c r="AF9" s="77">
        <v>16</v>
      </c>
      <c r="AG9" s="28">
        <v>53</v>
      </c>
      <c r="AH9" s="28">
        <v>10</v>
      </c>
      <c r="AI9" s="28">
        <v>12</v>
      </c>
      <c r="AJ9" s="28">
        <v>1</v>
      </c>
      <c r="AK9" s="28">
        <v>1</v>
      </c>
      <c r="AL9" s="28">
        <v>3</v>
      </c>
      <c r="AM9" s="28">
        <v>4</v>
      </c>
      <c r="AN9" s="28">
        <v>4</v>
      </c>
      <c r="AO9" s="28">
        <v>20</v>
      </c>
      <c r="AP9" s="77">
        <v>0</v>
      </c>
      <c r="AQ9" s="28">
        <v>2</v>
      </c>
      <c r="AR9" s="28">
        <v>2</v>
      </c>
      <c r="AS9" s="77">
        <v>24</v>
      </c>
      <c r="AT9" s="72">
        <v>0.73353194306521019</v>
      </c>
      <c r="AU9" s="28">
        <v>0</v>
      </c>
      <c r="AV9" s="75">
        <v>7</v>
      </c>
      <c r="AY9" s="101" t="s">
        <v>165</v>
      </c>
      <c r="AZ9" s="77" t="s">
        <v>181</v>
      </c>
      <c r="BA9" s="77" t="s">
        <v>182</v>
      </c>
      <c r="BB9" s="130">
        <v>0.25974025974025972</v>
      </c>
      <c r="BC9" s="72">
        <v>0.32941176470588235</v>
      </c>
      <c r="BD9" s="72">
        <v>0.40259740259740262</v>
      </c>
      <c r="BE9" s="77">
        <v>32</v>
      </c>
      <c r="BF9" s="28">
        <v>77</v>
      </c>
      <c r="BG9" s="28">
        <v>11</v>
      </c>
      <c r="BH9" s="28">
        <v>20</v>
      </c>
      <c r="BI9" s="28">
        <v>2</v>
      </c>
      <c r="BJ9" s="28">
        <v>0</v>
      </c>
      <c r="BK9" s="28">
        <v>3</v>
      </c>
      <c r="BL9" s="28">
        <v>10</v>
      </c>
      <c r="BM9" s="28">
        <v>8</v>
      </c>
      <c r="BN9" s="28">
        <v>21</v>
      </c>
      <c r="BO9" s="77">
        <v>0</v>
      </c>
      <c r="BP9" s="28">
        <v>2</v>
      </c>
      <c r="BQ9" s="28">
        <v>3</v>
      </c>
      <c r="BR9" s="77">
        <v>31</v>
      </c>
      <c r="BS9" s="72">
        <v>0.73200916730328491</v>
      </c>
      <c r="BT9" s="28">
        <v>2</v>
      </c>
      <c r="BU9" s="75">
        <v>7</v>
      </c>
    </row>
    <row r="10" spans="1:73">
      <c r="A10" s="366" t="s">
        <v>165</v>
      </c>
      <c r="B10" s="345" t="s">
        <v>166</v>
      </c>
      <c r="C10" s="71" t="s">
        <v>167</v>
      </c>
      <c r="D10" s="72">
        <f>VLOOKUP(Table106[[#This Row],[NAME]],NYY_H[[NAME]:['#]],2,0)</f>
        <v>0.27500000000000002</v>
      </c>
      <c r="E10" s="72">
        <f>VLOOKUP(Table106[[#This Row],[NAME]],NYY_H[[NAME]:['#]],3,0)</f>
        <v>0.36612021857923499</v>
      </c>
      <c r="F10" s="72">
        <f>VLOOKUP(Table106[[#This Row],[NAME]],NYY_H[[NAME]:['#]],4,0)</f>
        <v>0.60624999999999996</v>
      </c>
      <c r="G10" s="77">
        <f>VLOOKUP(Table106[[#This Row],[NAME]],NYY_H[[NAME]:['#]],5,0)</f>
        <v>40</v>
      </c>
      <c r="H10" s="28">
        <f>VLOOKUP(Table106[[#This Row],[NAME]],NYY_H[[NAME]:['#]],6,0)</f>
        <v>160</v>
      </c>
      <c r="I10" s="28">
        <f>VLOOKUP(Table106[[#This Row],[NAME]],NYY_H[[NAME]:['#]],7,0)</f>
        <v>31</v>
      </c>
      <c r="J10" s="28">
        <f>VLOOKUP(Table106[[#This Row],[NAME]],NYY_H[[NAME]:['#]],8,0)</f>
        <v>44</v>
      </c>
      <c r="K10" s="28">
        <f>VLOOKUP(Table106[[#This Row],[NAME]],NYY_H[[NAME]:['#]],9,0)</f>
        <v>8</v>
      </c>
      <c r="L10" s="28">
        <f>VLOOKUP(Table106[[#This Row],[NAME]],NYY_H[[NAME]:['#]],10,0)</f>
        <v>0</v>
      </c>
      <c r="M10" s="76">
        <f>VLOOKUP(Table106[[#This Row],[NAME]],NYY_H[[NAME]:['#]],11,0)</f>
        <v>15</v>
      </c>
      <c r="N10" s="28">
        <f>VLOOKUP(Table106[[#This Row],[NAME]],NYY_H[[NAME]:['#]],12,0)</f>
        <v>30</v>
      </c>
      <c r="O10" s="28">
        <f>VLOOKUP(Table106[[#This Row],[NAME]],NYY_H[[NAME]:['#]],13,0)</f>
        <v>23</v>
      </c>
      <c r="P10" s="28">
        <f>VLOOKUP(Table106[[#This Row],[NAME]],NYY_H[[NAME]:['#]],14,0)</f>
        <v>58</v>
      </c>
      <c r="Q10" s="77">
        <f>VLOOKUP(Table106[[#This Row],[NAME]],NYY_H[[NAME]:['#]],15,0)</f>
        <v>0</v>
      </c>
      <c r="R10" s="28">
        <f>VLOOKUP(Table106[[#This Row],[NAME]],NYY_H[[NAME]:['#]],16,0)</f>
        <v>0</v>
      </c>
      <c r="S10" s="28">
        <f>VLOOKUP(Table106[[#This Row],[NAME]],NYY_H[[NAME]:['#]],17,0)</f>
        <v>8</v>
      </c>
      <c r="T10" s="77">
        <f>VLOOKUP(Table106[[#This Row],[NAME]],NYY_H[[NAME]:['#]],18,0)</f>
        <v>97</v>
      </c>
      <c r="U10" s="72">
        <f>VLOOKUP(Table106[[#This Row],[NAME]],NYY_H[[NAME]:['#]],19,0)</f>
        <v>0.97237021857923489</v>
      </c>
      <c r="V10" s="28">
        <f>VLOOKUP(Table106[[#This Row],[NAME]],NYY_H[[NAME]:['#]],20,0)</f>
        <v>7</v>
      </c>
      <c r="W10" s="75">
        <v>8</v>
      </c>
      <c r="Z10" s="101" t="s">
        <v>165</v>
      </c>
      <c r="AA10" s="77" t="s">
        <v>166</v>
      </c>
      <c r="AB10" s="77" t="s">
        <v>167</v>
      </c>
      <c r="AC10" s="130">
        <v>0.28000000000000003</v>
      </c>
      <c r="AD10" s="72">
        <v>0.3493975903614458</v>
      </c>
      <c r="AE10" s="72">
        <v>0.52666666666666662</v>
      </c>
      <c r="AF10" s="77">
        <v>38</v>
      </c>
      <c r="AG10" s="28">
        <v>150</v>
      </c>
      <c r="AH10" s="28">
        <v>20</v>
      </c>
      <c r="AI10" s="28">
        <v>42</v>
      </c>
      <c r="AJ10" s="28">
        <v>10</v>
      </c>
      <c r="AK10" s="28">
        <v>0</v>
      </c>
      <c r="AL10" s="28">
        <v>9</v>
      </c>
      <c r="AM10" s="28">
        <v>27</v>
      </c>
      <c r="AN10" s="28">
        <v>16</v>
      </c>
      <c r="AO10" s="28">
        <v>55</v>
      </c>
      <c r="AP10" s="77">
        <v>0</v>
      </c>
      <c r="AQ10" s="28">
        <v>0</v>
      </c>
      <c r="AR10" s="28">
        <v>8</v>
      </c>
      <c r="AS10" s="77">
        <v>79</v>
      </c>
      <c r="AT10" s="72">
        <v>0.87606425702811241</v>
      </c>
      <c r="AU10" s="28">
        <v>3</v>
      </c>
      <c r="AV10" s="75">
        <v>8</v>
      </c>
      <c r="AY10" s="101" t="s">
        <v>165</v>
      </c>
      <c r="AZ10" s="77" t="s">
        <v>166</v>
      </c>
      <c r="BA10" s="77" t="s">
        <v>167</v>
      </c>
      <c r="BB10" s="130">
        <v>0.20121951219512196</v>
      </c>
      <c r="BC10" s="72">
        <v>0.29569892473118281</v>
      </c>
      <c r="BD10" s="72">
        <v>0.40243902439024393</v>
      </c>
      <c r="BE10" s="77">
        <v>40</v>
      </c>
      <c r="BF10" s="28">
        <v>164</v>
      </c>
      <c r="BG10" s="28">
        <v>23</v>
      </c>
      <c r="BH10" s="28">
        <v>33</v>
      </c>
      <c r="BI10" s="28">
        <v>6</v>
      </c>
      <c r="BJ10" s="28">
        <v>0</v>
      </c>
      <c r="BK10" s="28">
        <v>9</v>
      </c>
      <c r="BL10" s="28">
        <v>26</v>
      </c>
      <c r="BM10" s="28">
        <v>22</v>
      </c>
      <c r="BN10" s="28">
        <v>62</v>
      </c>
      <c r="BO10" s="77">
        <v>0</v>
      </c>
      <c r="BP10" s="28">
        <v>5</v>
      </c>
      <c r="BQ10" s="28">
        <v>5</v>
      </c>
      <c r="BR10" s="77">
        <v>66</v>
      </c>
      <c r="BS10" s="72">
        <v>0.69813794912142679</v>
      </c>
      <c r="BT10" s="28">
        <v>4</v>
      </c>
      <c r="BU10" s="75">
        <v>8</v>
      </c>
    </row>
    <row r="11" spans="1:73">
      <c r="A11" s="366" t="s">
        <v>165</v>
      </c>
      <c r="B11" s="71" t="s">
        <v>168</v>
      </c>
      <c r="C11" s="71" t="s">
        <v>169</v>
      </c>
      <c r="D11" s="72">
        <f>VLOOKUP(Table106[[#This Row],[NAME]],NYY_H[[NAME]:['#]],2,0)</f>
        <v>0.27083333333333331</v>
      </c>
      <c r="E11" s="72">
        <f>VLOOKUP(Table106[[#This Row],[NAME]],NYY_H[[NAME]:['#]],3,0)</f>
        <v>0.378698224852071</v>
      </c>
      <c r="F11" s="72">
        <f>VLOOKUP(Table106[[#This Row],[NAME]],NYY_H[[NAME]:['#]],4,0)</f>
        <v>0.51388888888888884</v>
      </c>
      <c r="G11" s="77">
        <f>VLOOKUP(Table106[[#This Row],[NAME]],NYY_H[[NAME]:['#]],5,0)</f>
        <v>39</v>
      </c>
      <c r="H11" s="28">
        <f>VLOOKUP(Table106[[#This Row],[NAME]],NYY_H[[NAME]:['#]],6,0)</f>
        <v>144</v>
      </c>
      <c r="I11" s="28">
        <f>VLOOKUP(Table106[[#This Row],[NAME]],NYY_H[[NAME]:['#]],7,0)</f>
        <v>26</v>
      </c>
      <c r="J11" s="28">
        <f>VLOOKUP(Table106[[#This Row],[NAME]],NYY_H[[NAME]:['#]],8,0)</f>
        <v>39</v>
      </c>
      <c r="K11" s="28">
        <f>VLOOKUP(Table106[[#This Row],[NAME]],NYY_H[[NAME]:['#]],9,0)</f>
        <v>8</v>
      </c>
      <c r="L11" s="28">
        <f>VLOOKUP(Table106[[#This Row],[NAME]],NYY_H[[NAME]:['#]],10,0)</f>
        <v>0</v>
      </c>
      <c r="M11" s="28">
        <f>VLOOKUP(Table106[[#This Row],[NAME]],NYY_H[[NAME]:['#]],11,0)</f>
        <v>9</v>
      </c>
      <c r="N11" s="28">
        <f>VLOOKUP(Table106[[#This Row],[NAME]],NYY_H[[NAME]:['#]],12,0)</f>
        <v>21</v>
      </c>
      <c r="O11" s="28">
        <f>VLOOKUP(Table106[[#This Row],[NAME]],NYY_H[[NAME]:['#]],13,0)</f>
        <v>25</v>
      </c>
      <c r="P11" s="28">
        <f>VLOOKUP(Table106[[#This Row],[NAME]],NYY_H[[NAME]:['#]],14,0)</f>
        <v>56</v>
      </c>
      <c r="Q11" s="77">
        <f>VLOOKUP(Table106[[#This Row],[NAME]],NYY_H[[NAME]:['#]],15,0)</f>
        <v>0</v>
      </c>
      <c r="R11" s="28">
        <f>VLOOKUP(Table106[[#This Row],[NAME]],NYY_H[[NAME]:['#]],16,0)</f>
        <v>1</v>
      </c>
      <c r="S11" s="28">
        <f>VLOOKUP(Table106[[#This Row],[NAME]],NYY_H[[NAME]:['#]],17,0)</f>
        <v>7</v>
      </c>
      <c r="T11" s="77">
        <f>VLOOKUP(Table106[[#This Row],[NAME]],NYY_H[[NAME]:['#]],18,0)</f>
        <v>74</v>
      </c>
      <c r="U11" s="72">
        <f>VLOOKUP(Table106[[#This Row],[NAME]],NYY_H[[NAME]:['#]],19,0)</f>
        <v>0.89258711374095978</v>
      </c>
      <c r="V11" s="28">
        <f>VLOOKUP(Table106[[#This Row],[NAME]],NYY_H[[NAME]:['#]],20,0)</f>
        <v>5</v>
      </c>
      <c r="W11" s="75">
        <v>9</v>
      </c>
      <c r="Z11" s="101" t="s">
        <v>165</v>
      </c>
      <c r="AA11" s="77" t="s">
        <v>168</v>
      </c>
      <c r="AB11" s="77" t="s">
        <v>169</v>
      </c>
      <c r="AC11" s="130">
        <v>0.16666666666666666</v>
      </c>
      <c r="AD11" s="72">
        <v>0.2356687898089172</v>
      </c>
      <c r="AE11" s="72">
        <v>0.31944444444444442</v>
      </c>
      <c r="AF11" s="77">
        <v>37</v>
      </c>
      <c r="AG11" s="28">
        <v>144</v>
      </c>
      <c r="AH11" s="28">
        <v>12</v>
      </c>
      <c r="AI11" s="28">
        <v>24</v>
      </c>
      <c r="AJ11" s="28">
        <v>4</v>
      </c>
      <c r="AK11" s="28">
        <v>0</v>
      </c>
      <c r="AL11" s="28">
        <v>6</v>
      </c>
      <c r="AM11" s="28">
        <v>17</v>
      </c>
      <c r="AN11" s="28">
        <v>13</v>
      </c>
      <c r="AO11" s="28">
        <v>57</v>
      </c>
      <c r="AP11" s="77">
        <v>0</v>
      </c>
      <c r="AQ11" s="28">
        <v>0</v>
      </c>
      <c r="AR11" s="28">
        <v>6</v>
      </c>
      <c r="AS11" s="77">
        <v>46</v>
      </c>
      <c r="AT11" s="72">
        <v>0.55511323425336156</v>
      </c>
      <c r="AU11" s="28">
        <v>2</v>
      </c>
      <c r="AV11" s="75">
        <v>9</v>
      </c>
      <c r="AY11" s="101" t="s">
        <v>165</v>
      </c>
      <c r="AZ11" s="352" t="s">
        <v>168</v>
      </c>
      <c r="BA11" s="77" t="s">
        <v>169</v>
      </c>
      <c r="BB11" s="130">
        <v>0.29655172413793102</v>
      </c>
      <c r="BC11" s="72">
        <v>0.38554216867469882</v>
      </c>
      <c r="BD11" s="72">
        <v>0.6827586206896552</v>
      </c>
      <c r="BE11" s="77">
        <v>39</v>
      </c>
      <c r="BF11" s="28">
        <v>145</v>
      </c>
      <c r="BG11" s="76">
        <v>37</v>
      </c>
      <c r="BH11" s="28">
        <v>43</v>
      </c>
      <c r="BI11" s="28">
        <v>5</v>
      </c>
      <c r="BJ11" s="28">
        <v>0</v>
      </c>
      <c r="BK11" s="28">
        <v>17</v>
      </c>
      <c r="BL11" s="28">
        <v>36</v>
      </c>
      <c r="BM11" s="28">
        <v>21</v>
      </c>
      <c r="BN11" s="28">
        <v>42</v>
      </c>
      <c r="BO11" s="77">
        <v>0</v>
      </c>
      <c r="BP11" s="28">
        <v>1</v>
      </c>
      <c r="BQ11" s="28">
        <v>16</v>
      </c>
      <c r="BR11" s="352">
        <v>99</v>
      </c>
      <c r="BS11" s="72">
        <v>1.0683007893643541</v>
      </c>
      <c r="BT11" s="28">
        <v>5</v>
      </c>
      <c r="BU11" s="75">
        <v>9</v>
      </c>
    </row>
    <row r="12" spans="1:73">
      <c r="A12" s="366" t="s">
        <v>165</v>
      </c>
      <c r="B12" s="71" t="s">
        <v>179</v>
      </c>
      <c r="C12" s="71" t="s">
        <v>190</v>
      </c>
      <c r="D12" s="72">
        <f>VLOOKUP(Table106[[#This Row],[NAME]],NYY_H[[NAME]:['#]],2,0)</f>
        <v>0.16</v>
      </c>
      <c r="E12" s="72">
        <f>VLOOKUP(Table106[[#This Row],[NAME]],NYY_H[[NAME]:['#]],3,0)</f>
        <v>0.19230769230769232</v>
      </c>
      <c r="F12" s="72">
        <f>VLOOKUP(Table106[[#This Row],[NAME]],NYY_H[[NAME]:['#]],4,0)</f>
        <v>0.16</v>
      </c>
      <c r="G12" s="77">
        <f>VLOOKUP(Table106[[#This Row],[NAME]],NYY_H[[NAME]:['#]],5,0)</f>
        <v>9</v>
      </c>
      <c r="H12" s="28">
        <f>VLOOKUP(Table106[[#This Row],[NAME]],NYY_H[[NAME]:['#]],6,0)</f>
        <v>25</v>
      </c>
      <c r="I12" s="28">
        <f>VLOOKUP(Table106[[#This Row],[NAME]],NYY_H[[NAME]:['#]],7,0)</f>
        <v>0</v>
      </c>
      <c r="J12" s="28">
        <f>VLOOKUP(Table106[[#This Row],[NAME]],NYY_H[[NAME]:['#]],8,0)</f>
        <v>4</v>
      </c>
      <c r="K12" s="28">
        <f>VLOOKUP(Table106[[#This Row],[NAME]],NYY_H[[NAME]:['#]],9,0)</f>
        <v>0</v>
      </c>
      <c r="L12" s="28">
        <f>VLOOKUP(Table106[[#This Row],[NAME]],NYY_H[[NAME]:['#]],10,0)</f>
        <v>0</v>
      </c>
      <c r="M12" s="28">
        <f>VLOOKUP(Table106[[#This Row],[NAME]],NYY_H[[NAME]:['#]],11,0)</f>
        <v>0</v>
      </c>
      <c r="N12" s="28">
        <f>VLOOKUP(Table106[[#This Row],[NAME]],NYY_H[[NAME]:['#]],12,0)</f>
        <v>1</v>
      </c>
      <c r="O12" s="28">
        <f>VLOOKUP(Table106[[#This Row],[NAME]],NYY_H[[NAME]:['#]],13,0)</f>
        <v>1</v>
      </c>
      <c r="P12" s="28">
        <f>VLOOKUP(Table106[[#This Row],[NAME]],NYY_H[[NAME]:['#]],14,0)</f>
        <v>5</v>
      </c>
      <c r="Q12" s="77">
        <f>VLOOKUP(Table106[[#This Row],[NAME]],NYY_H[[NAME]:['#]],15,0)</f>
        <v>0</v>
      </c>
      <c r="R12" s="28">
        <f>VLOOKUP(Table106[[#This Row],[NAME]],NYY_H[[NAME]:['#]],16,0)</f>
        <v>2</v>
      </c>
      <c r="S12" s="28">
        <f>VLOOKUP(Table106[[#This Row],[NAME]],NYY_H[[NAME]:['#]],17,0)</f>
        <v>2</v>
      </c>
      <c r="T12" s="77">
        <f>VLOOKUP(Table106[[#This Row],[NAME]],NYY_H[[NAME]:['#]],18,0)</f>
        <v>4</v>
      </c>
      <c r="U12" s="72">
        <f>VLOOKUP(Table106[[#This Row],[NAME]],NYY_H[[NAME]:['#]],19,0)</f>
        <v>0.35230769230769232</v>
      </c>
      <c r="V12" s="28">
        <f>VLOOKUP(Table106[[#This Row],[NAME]],NYY_H[[NAME]:['#]],20,0)</f>
        <v>0</v>
      </c>
      <c r="W12" s="75">
        <v>10</v>
      </c>
      <c r="Z12" s="101" t="s">
        <v>165</v>
      </c>
      <c r="AA12" s="77" t="s">
        <v>179</v>
      </c>
      <c r="AB12" s="77" t="s">
        <v>190</v>
      </c>
      <c r="AC12" s="130">
        <v>0.24</v>
      </c>
      <c r="AD12" s="72">
        <v>0.26923076923076922</v>
      </c>
      <c r="AE12" s="72">
        <v>0.52</v>
      </c>
      <c r="AF12" s="77">
        <v>8</v>
      </c>
      <c r="AG12" s="28">
        <v>25</v>
      </c>
      <c r="AH12" s="28">
        <v>3</v>
      </c>
      <c r="AI12" s="28">
        <v>6</v>
      </c>
      <c r="AJ12" s="28">
        <v>1</v>
      </c>
      <c r="AK12" s="28">
        <v>0</v>
      </c>
      <c r="AL12" s="28">
        <v>2</v>
      </c>
      <c r="AM12" s="28">
        <v>3</v>
      </c>
      <c r="AN12" s="28">
        <v>1</v>
      </c>
      <c r="AO12" s="28">
        <v>7</v>
      </c>
      <c r="AP12" s="77">
        <v>0</v>
      </c>
      <c r="AQ12" s="28">
        <v>2</v>
      </c>
      <c r="AR12" s="28">
        <v>3</v>
      </c>
      <c r="AS12" s="77">
        <v>13</v>
      </c>
      <c r="AT12" s="72">
        <v>0.78923076923076918</v>
      </c>
      <c r="AU12" s="28">
        <v>0</v>
      </c>
      <c r="AV12" s="75">
        <v>10</v>
      </c>
      <c r="AY12" s="101" t="s">
        <v>165</v>
      </c>
      <c r="AZ12" s="77" t="s">
        <v>179</v>
      </c>
      <c r="BA12" s="77" t="s">
        <v>190</v>
      </c>
      <c r="BB12" s="130">
        <v>0.17241379310344829</v>
      </c>
      <c r="BC12" s="72">
        <v>0.23809523809523808</v>
      </c>
      <c r="BD12" s="72">
        <v>0.36206896551724138</v>
      </c>
      <c r="BE12" s="77">
        <v>21</v>
      </c>
      <c r="BF12" s="28">
        <v>58</v>
      </c>
      <c r="BG12" s="28">
        <v>9</v>
      </c>
      <c r="BH12" s="28">
        <v>10</v>
      </c>
      <c r="BI12" s="28">
        <v>2</v>
      </c>
      <c r="BJ12" s="28">
        <v>0</v>
      </c>
      <c r="BK12" s="28">
        <v>3</v>
      </c>
      <c r="BL12" s="28">
        <v>7</v>
      </c>
      <c r="BM12" s="28">
        <v>5</v>
      </c>
      <c r="BN12" s="28">
        <v>15</v>
      </c>
      <c r="BO12" s="77">
        <v>0</v>
      </c>
      <c r="BP12" s="28">
        <v>1</v>
      </c>
      <c r="BQ12" s="28">
        <v>3</v>
      </c>
      <c r="BR12" s="77">
        <v>21</v>
      </c>
      <c r="BS12" s="72">
        <v>0.60016420361247946</v>
      </c>
      <c r="BT12" s="28">
        <v>2</v>
      </c>
      <c r="BU12" s="75">
        <v>10</v>
      </c>
    </row>
    <row r="13" spans="1:73">
      <c r="A13" s="366" t="s">
        <v>165</v>
      </c>
      <c r="B13" s="71" t="s">
        <v>187</v>
      </c>
      <c r="C13" s="71" t="s">
        <v>188</v>
      </c>
      <c r="D13" s="72">
        <f>VLOOKUP(Table106[[#This Row],[NAME]],NYY_H[[NAME]:['#]],2,0)</f>
        <v>0.25</v>
      </c>
      <c r="E13" s="72">
        <f>VLOOKUP(Table106[[#This Row],[NAME]],NYY_H[[NAME]:['#]],3,0)</f>
        <v>0.33333333333333331</v>
      </c>
      <c r="F13" s="72">
        <f>VLOOKUP(Table106[[#This Row],[NAME]],NYY_H[[NAME]:['#]],4,0)</f>
        <v>0.4375</v>
      </c>
      <c r="G13" s="77">
        <f>VLOOKUP(Table106[[#This Row],[NAME]],NYY_H[[NAME]:['#]],5,0)</f>
        <v>8</v>
      </c>
      <c r="H13" s="28">
        <f>VLOOKUP(Table106[[#This Row],[NAME]],NYY_H[[NAME]:['#]],6,0)</f>
        <v>16</v>
      </c>
      <c r="I13" s="28">
        <f>VLOOKUP(Table106[[#This Row],[NAME]],NYY_H[[NAME]:['#]],7,0)</f>
        <v>4</v>
      </c>
      <c r="J13" s="28">
        <f>VLOOKUP(Table106[[#This Row],[NAME]],NYY_H[[NAME]:['#]],8,0)</f>
        <v>4</v>
      </c>
      <c r="K13" s="28">
        <f>VLOOKUP(Table106[[#This Row],[NAME]],NYY_H[[NAME]:['#]],9,0)</f>
        <v>1</v>
      </c>
      <c r="L13" s="28">
        <f>VLOOKUP(Table106[[#This Row],[NAME]],NYY_H[[NAME]:['#]],10,0)</f>
        <v>1</v>
      </c>
      <c r="M13" s="28">
        <f>VLOOKUP(Table106[[#This Row],[NAME]],NYY_H[[NAME]:['#]],11,0)</f>
        <v>0</v>
      </c>
      <c r="N13" s="28">
        <f>VLOOKUP(Table106[[#This Row],[NAME]],NYY_H[[NAME]:['#]],12,0)</f>
        <v>1</v>
      </c>
      <c r="O13" s="28">
        <f>VLOOKUP(Table106[[#This Row],[NAME]],NYY_H[[NAME]:['#]],13,0)</f>
        <v>2</v>
      </c>
      <c r="P13" s="28">
        <f>VLOOKUP(Table106[[#This Row],[NAME]],NYY_H[[NAME]:['#]],14,0)</f>
        <v>3</v>
      </c>
      <c r="Q13" s="77">
        <f>VLOOKUP(Table106[[#This Row],[NAME]],NYY_H[[NAME]:['#]],15,0)</f>
        <v>0</v>
      </c>
      <c r="R13" s="28">
        <f>VLOOKUP(Table106[[#This Row],[NAME]],NYY_H[[NAME]:['#]],16,0)</f>
        <v>0</v>
      </c>
      <c r="S13" s="28">
        <f>VLOOKUP(Table106[[#This Row],[NAME]],NYY_H[[NAME]:['#]],17,0)</f>
        <v>4</v>
      </c>
      <c r="T13" s="77">
        <f>VLOOKUP(Table106[[#This Row],[NAME]],NYY_H[[NAME]:['#]],18,0)</f>
        <v>7</v>
      </c>
      <c r="U13" s="72">
        <f>VLOOKUP(Table106[[#This Row],[NAME]],NYY_H[[NAME]:['#]],19,0)</f>
        <v>0.77083333333333326</v>
      </c>
      <c r="V13" s="28">
        <f>VLOOKUP(Table106[[#This Row],[NAME]],NYY_H[[NAME]:['#]],20,0)</f>
        <v>0</v>
      </c>
      <c r="W13" s="75">
        <v>11</v>
      </c>
      <c r="Z13" s="101" t="s">
        <v>165</v>
      </c>
      <c r="AA13" s="77" t="s">
        <v>192</v>
      </c>
      <c r="AB13" s="77" t="s">
        <v>188</v>
      </c>
      <c r="AC13" s="130">
        <v>0.30769230769230771</v>
      </c>
      <c r="AD13" s="72">
        <v>0.35714285714285715</v>
      </c>
      <c r="AE13" s="72">
        <v>0.61538461538461542</v>
      </c>
      <c r="AF13" s="77">
        <v>5</v>
      </c>
      <c r="AG13" s="28">
        <v>13</v>
      </c>
      <c r="AH13" s="28">
        <v>2</v>
      </c>
      <c r="AI13" s="28">
        <v>4</v>
      </c>
      <c r="AJ13" s="28">
        <v>1</v>
      </c>
      <c r="AK13" s="28">
        <v>0</v>
      </c>
      <c r="AL13" s="28">
        <v>1</v>
      </c>
      <c r="AM13" s="28">
        <v>2</v>
      </c>
      <c r="AN13" s="28">
        <v>1</v>
      </c>
      <c r="AO13" s="28">
        <v>5</v>
      </c>
      <c r="AP13" s="77">
        <v>0</v>
      </c>
      <c r="AQ13" s="28">
        <v>1</v>
      </c>
      <c r="AR13" s="28">
        <v>1</v>
      </c>
      <c r="AS13" s="77">
        <v>8</v>
      </c>
      <c r="AT13" s="72">
        <v>0.97252747252747263</v>
      </c>
      <c r="AU13" s="28">
        <v>0</v>
      </c>
      <c r="AV13" s="75">
        <v>11</v>
      </c>
      <c r="AY13" s="101" t="s">
        <v>165</v>
      </c>
      <c r="AZ13" s="77" t="s">
        <v>187</v>
      </c>
      <c r="BA13" s="77" t="s">
        <v>194</v>
      </c>
      <c r="BB13" s="130">
        <v>0.15384615384615385</v>
      </c>
      <c r="BC13" s="72">
        <v>0.15384615384615385</v>
      </c>
      <c r="BD13" s="72">
        <v>0.26923076923076922</v>
      </c>
      <c r="BE13" s="77">
        <v>9</v>
      </c>
      <c r="BF13" s="28">
        <v>26</v>
      </c>
      <c r="BG13" s="28">
        <v>2</v>
      </c>
      <c r="BH13" s="28">
        <v>4</v>
      </c>
      <c r="BI13" s="28">
        <v>0</v>
      </c>
      <c r="BJ13" s="28">
        <v>0</v>
      </c>
      <c r="BK13" s="28">
        <v>1</v>
      </c>
      <c r="BL13" s="28">
        <v>1</v>
      </c>
      <c r="BM13" s="28">
        <v>0</v>
      </c>
      <c r="BN13" s="28">
        <v>11</v>
      </c>
      <c r="BO13" s="77">
        <v>0</v>
      </c>
      <c r="BP13" s="28">
        <v>0</v>
      </c>
      <c r="BQ13" s="28">
        <v>2</v>
      </c>
      <c r="BR13" s="77">
        <v>7</v>
      </c>
      <c r="BS13" s="72">
        <v>0.42307692307692307</v>
      </c>
      <c r="BT13" s="28">
        <v>0</v>
      </c>
      <c r="BU13" s="75">
        <v>11</v>
      </c>
    </row>
    <row r="14" spans="1:73">
      <c r="A14" s="366" t="s">
        <v>165</v>
      </c>
      <c r="B14" s="71" t="s">
        <v>187</v>
      </c>
      <c r="C14" s="71" t="s">
        <v>193</v>
      </c>
      <c r="D14" s="72">
        <f>VLOOKUP(Table106[[#This Row],[NAME]],NYY_H[[NAME]:['#]],2,0)</f>
        <v>0.15384615384615385</v>
      </c>
      <c r="E14" s="72">
        <f>VLOOKUP(Table106[[#This Row],[NAME]],NYY_H[[NAME]:['#]],3,0)</f>
        <v>0.21428571428571427</v>
      </c>
      <c r="F14" s="72">
        <f>VLOOKUP(Table106[[#This Row],[NAME]],NYY_H[[NAME]:['#]],4,0)</f>
        <v>0.30769230769230771</v>
      </c>
      <c r="G14" s="77">
        <f>VLOOKUP(Table106[[#This Row],[NAME]],NYY_H[[NAME]:['#]],5,0)</f>
        <v>5</v>
      </c>
      <c r="H14" s="28">
        <f>VLOOKUP(Table106[[#This Row],[NAME]],NYY_H[[NAME]:['#]],6,0)</f>
        <v>13</v>
      </c>
      <c r="I14" s="28">
        <f>VLOOKUP(Table106[[#This Row],[NAME]],NYY_H[[NAME]:['#]],7,0)</f>
        <v>2</v>
      </c>
      <c r="J14" s="28">
        <f>VLOOKUP(Table106[[#This Row],[NAME]],NYY_H[[NAME]:['#]],8,0)</f>
        <v>2</v>
      </c>
      <c r="K14" s="28">
        <f>VLOOKUP(Table106[[#This Row],[NAME]],NYY_H[[NAME]:['#]],9,0)</f>
        <v>2</v>
      </c>
      <c r="L14" s="28">
        <f>VLOOKUP(Table106[[#This Row],[NAME]],NYY_H[[NAME]:['#]],10,0)</f>
        <v>0</v>
      </c>
      <c r="M14" s="28">
        <f>VLOOKUP(Table106[[#This Row],[NAME]],NYY_H[[NAME]:['#]],11,0)</f>
        <v>0</v>
      </c>
      <c r="N14" s="28">
        <f>VLOOKUP(Table106[[#This Row],[NAME]],NYY_H[[NAME]:['#]],12,0)</f>
        <v>0</v>
      </c>
      <c r="O14" s="28">
        <f>VLOOKUP(Table106[[#This Row],[NAME]],NYY_H[[NAME]:['#]],13,0)</f>
        <v>1</v>
      </c>
      <c r="P14" s="28">
        <f>VLOOKUP(Table106[[#This Row],[NAME]],NYY_H[[NAME]:['#]],14,0)</f>
        <v>5</v>
      </c>
      <c r="Q14" s="77">
        <f>VLOOKUP(Table106[[#This Row],[NAME]],NYY_H[[NAME]:['#]],15,0)</f>
        <v>0</v>
      </c>
      <c r="R14" s="28">
        <f>VLOOKUP(Table106[[#This Row],[NAME]],NYY_H[[NAME]:['#]],16,0)</f>
        <v>0</v>
      </c>
      <c r="S14" s="28">
        <f>VLOOKUP(Table106[[#This Row],[NAME]],NYY_H[[NAME]:['#]],17,0)</f>
        <v>2</v>
      </c>
      <c r="T14" s="77">
        <f>VLOOKUP(Table106[[#This Row],[NAME]],NYY_H[[NAME]:['#]],18,0)</f>
        <v>4</v>
      </c>
      <c r="U14" s="72">
        <f>VLOOKUP(Table106[[#This Row],[NAME]],NYY_H[[NAME]:['#]],19,0)</f>
        <v>0.52197802197802201</v>
      </c>
      <c r="V14" s="28">
        <f>VLOOKUP(Table106[[#This Row],[NAME]],NYY_H[[NAME]:['#]],20,0)</f>
        <v>0</v>
      </c>
      <c r="W14" s="75">
        <v>12</v>
      </c>
      <c r="Z14" s="101" t="s">
        <v>165</v>
      </c>
      <c r="AA14" s="77" t="s">
        <v>192</v>
      </c>
      <c r="AB14" s="77" t="s">
        <v>193</v>
      </c>
      <c r="AC14" s="130">
        <v>0.33333333333333331</v>
      </c>
      <c r="AD14" s="72">
        <v>0.6</v>
      </c>
      <c r="AE14" s="72">
        <v>0.33333333333333331</v>
      </c>
      <c r="AF14" s="77">
        <v>2</v>
      </c>
      <c r="AG14" s="28">
        <v>3</v>
      </c>
      <c r="AH14" s="28">
        <v>2</v>
      </c>
      <c r="AI14" s="28">
        <v>1</v>
      </c>
      <c r="AJ14" s="28">
        <v>0</v>
      </c>
      <c r="AK14" s="28">
        <v>0</v>
      </c>
      <c r="AL14" s="28">
        <v>0</v>
      </c>
      <c r="AM14" s="28">
        <v>0</v>
      </c>
      <c r="AN14" s="28">
        <v>2</v>
      </c>
      <c r="AO14" s="28">
        <v>1</v>
      </c>
      <c r="AP14" s="77">
        <v>0</v>
      </c>
      <c r="AQ14" s="28">
        <v>1</v>
      </c>
      <c r="AR14" s="28">
        <v>1</v>
      </c>
      <c r="AS14" s="77">
        <v>1</v>
      </c>
      <c r="AT14" s="72">
        <v>0.93333333333333335</v>
      </c>
      <c r="AU14" s="28">
        <v>0</v>
      </c>
      <c r="AV14" s="75">
        <v>12</v>
      </c>
      <c r="AY14" s="101" t="s">
        <v>165</v>
      </c>
      <c r="AZ14" s="77" t="s">
        <v>187</v>
      </c>
      <c r="BA14" s="77" t="s">
        <v>171</v>
      </c>
      <c r="BB14" s="130">
        <v>0.21212121212121213</v>
      </c>
      <c r="BC14" s="72">
        <v>0.31578947368421051</v>
      </c>
      <c r="BD14" s="72">
        <v>0.45454545454545453</v>
      </c>
      <c r="BE14" s="77">
        <v>12</v>
      </c>
      <c r="BF14" s="28">
        <v>33</v>
      </c>
      <c r="BG14" s="28">
        <v>3</v>
      </c>
      <c r="BH14" s="28">
        <v>7</v>
      </c>
      <c r="BI14" s="28">
        <v>2</v>
      </c>
      <c r="BJ14" s="28">
        <v>0</v>
      </c>
      <c r="BK14" s="28">
        <v>2</v>
      </c>
      <c r="BL14" s="28">
        <v>6</v>
      </c>
      <c r="BM14" s="28">
        <v>5</v>
      </c>
      <c r="BN14" s="28">
        <v>7</v>
      </c>
      <c r="BO14" s="77">
        <v>0</v>
      </c>
      <c r="BP14" s="28">
        <v>0</v>
      </c>
      <c r="BQ14" s="28">
        <v>3</v>
      </c>
      <c r="BR14" s="77">
        <v>15</v>
      </c>
      <c r="BS14" s="72">
        <v>0.77033492822966498</v>
      </c>
      <c r="BT14" s="28">
        <v>1</v>
      </c>
      <c r="BU14" s="75">
        <v>12</v>
      </c>
    </row>
    <row r="15" spans="1:73">
      <c r="A15" s="366" t="s">
        <v>165</v>
      </c>
      <c r="B15" s="71" t="s">
        <v>184</v>
      </c>
      <c r="C15" s="71" t="s">
        <v>185</v>
      </c>
      <c r="D15" s="72">
        <f>VLOOKUP(Table106[[#This Row],[NAME]],NYY_H[[NAME]:['#]],2,0)</f>
        <v>0.26923076923076922</v>
      </c>
      <c r="E15" s="72">
        <f>VLOOKUP(Table106[[#This Row],[NAME]],NYY_H[[NAME]:['#]],3,0)</f>
        <v>0.36666666666666664</v>
      </c>
      <c r="F15" s="72">
        <f>VLOOKUP(Table106[[#This Row],[NAME]],NYY_H[[NAME]:['#]],4,0)</f>
        <v>0.5</v>
      </c>
      <c r="G15" s="77">
        <f>VLOOKUP(Table106[[#This Row],[NAME]],NYY_H[[NAME]:['#]],5,0)</f>
        <v>9</v>
      </c>
      <c r="H15" s="28">
        <f>VLOOKUP(Table106[[#This Row],[NAME]],NYY_H[[NAME]:['#]],6,0)</f>
        <v>26</v>
      </c>
      <c r="I15" s="28">
        <f>VLOOKUP(Table106[[#This Row],[NAME]],NYY_H[[NAME]:['#]],7,0)</f>
        <v>4</v>
      </c>
      <c r="J15" s="28">
        <f>VLOOKUP(Table106[[#This Row],[NAME]],NYY_H[[NAME]:['#]],8,0)</f>
        <v>7</v>
      </c>
      <c r="K15" s="28">
        <f>VLOOKUP(Table106[[#This Row],[NAME]],NYY_H[[NAME]:['#]],9,0)</f>
        <v>0</v>
      </c>
      <c r="L15" s="28">
        <f>VLOOKUP(Table106[[#This Row],[NAME]],NYY_H[[NAME]:['#]],10,0)</f>
        <v>0</v>
      </c>
      <c r="M15" s="28">
        <f>VLOOKUP(Table106[[#This Row],[NAME]],NYY_H[[NAME]:['#]],11,0)</f>
        <v>2</v>
      </c>
      <c r="N15" s="28">
        <f>VLOOKUP(Table106[[#This Row],[NAME]],NYY_H[[NAME]:['#]],12,0)</f>
        <v>4</v>
      </c>
      <c r="O15" s="28">
        <f>VLOOKUP(Table106[[#This Row],[NAME]],NYY_H[[NAME]:['#]],13,0)</f>
        <v>4</v>
      </c>
      <c r="P15" s="28">
        <f>VLOOKUP(Table106[[#This Row],[NAME]],NYY_H[[NAME]:['#]],14,0)</f>
        <v>5</v>
      </c>
      <c r="Q15" s="77">
        <f>VLOOKUP(Table106[[#This Row],[NAME]],NYY_H[[NAME]:['#]],15,0)</f>
        <v>0</v>
      </c>
      <c r="R15" s="28">
        <f>VLOOKUP(Table106[[#This Row],[NAME]],NYY_H[[NAME]:['#]],16,0)</f>
        <v>0</v>
      </c>
      <c r="S15" s="28">
        <f>VLOOKUP(Table106[[#This Row],[NAME]],NYY_H[[NAME]:['#]],17,0)</f>
        <v>5</v>
      </c>
      <c r="T15" s="77">
        <f>VLOOKUP(Table106[[#This Row],[NAME]],NYY_H[[NAME]:['#]],18,0)</f>
        <v>13</v>
      </c>
      <c r="U15" s="72">
        <f>VLOOKUP(Table106[[#This Row],[NAME]],NYY_H[[NAME]:['#]],19,0)</f>
        <v>0.8666666666666667</v>
      </c>
      <c r="V15" s="28">
        <f>VLOOKUP(Table106[[#This Row],[NAME]],NYY_H[[NAME]:['#]],20,0)</f>
        <v>0</v>
      </c>
      <c r="W15" s="75">
        <v>13</v>
      </c>
      <c r="Z15" s="101" t="s">
        <v>165</v>
      </c>
      <c r="AA15" s="77" t="s">
        <v>186</v>
      </c>
      <c r="AB15" s="77" t="s">
        <v>189</v>
      </c>
      <c r="AC15" s="130">
        <v>0.15151515151515152</v>
      </c>
      <c r="AD15" s="72">
        <v>0.16417910447761194</v>
      </c>
      <c r="AE15" s="72">
        <v>0.22727272727272727</v>
      </c>
      <c r="AF15" s="77">
        <v>19</v>
      </c>
      <c r="AG15" s="28">
        <v>66</v>
      </c>
      <c r="AH15" s="28">
        <v>5</v>
      </c>
      <c r="AI15" s="28">
        <v>10</v>
      </c>
      <c r="AJ15" s="28">
        <v>0</v>
      </c>
      <c r="AK15" s="28">
        <v>1</v>
      </c>
      <c r="AL15" s="28">
        <v>1</v>
      </c>
      <c r="AM15" s="28">
        <v>5</v>
      </c>
      <c r="AN15" s="28">
        <v>1</v>
      </c>
      <c r="AO15" s="28">
        <v>24</v>
      </c>
      <c r="AP15" s="77">
        <v>0</v>
      </c>
      <c r="AQ15" s="28">
        <v>0</v>
      </c>
      <c r="AR15" s="28">
        <v>2</v>
      </c>
      <c r="AS15" s="77">
        <v>15</v>
      </c>
      <c r="AT15" s="72">
        <v>0.39145183175033921</v>
      </c>
      <c r="AU15" s="28">
        <v>1</v>
      </c>
      <c r="AV15" s="75">
        <v>13</v>
      </c>
      <c r="AY15" s="101" t="s">
        <v>165</v>
      </c>
      <c r="AZ15" s="77" t="s">
        <v>186</v>
      </c>
      <c r="BA15" s="77" t="s">
        <v>191</v>
      </c>
      <c r="BB15" s="130">
        <v>0.35714285714285715</v>
      </c>
      <c r="BC15" s="72">
        <v>0.4</v>
      </c>
      <c r="BD15" s="72">
        <v>0.5</v>
      </c>
      <c r="BE15" s="77">
        <v>17</v>
      </c>
      <c r="BF15" s="28">
        <v>42</v>
      </c>
      <c r="BG15" s="28">
        <v>7</v>
      </c>
      <c r="BH15" s="28">
        <v>15</v>
      </c>
      <c r="BI15" s="28">
        <v>3</v>
      </c>
      <c r="BJ15" s="28">
        <v>0</v>
      </c>
      <c r="BK15" s="28">
        <v>1</v>
      </c>
      <c r="BL15" s="28">
        <v>6</v>
      </c>
      <c r="BM15" s="28">
        <v>3</v>
      </c>
      <c r="BN15" s="28">
        <v>9</v>
      </c>
      <c r="BO15" s="77">
        <v>0</v>
      </c>
      <c r="BP15" s="28">
        <v>0</v>
      </c>
      <c r="BQ15" s="28">
        <v>9</v>
      </c>
      <c r="BR15" s="77">
        <v>21</v>
      </c>
      <c r="BS15" s="72">
        <v>0.9</v>
      </c>
      <c r="BT15" s="28">
        <v>0</v>
      </c>
      <c r="BU15" s="75">
        <v>13</v>
      </c>
    </row>
    <row r="16" spans="1:73">
      <c r="A16" s="366" t="s">
        <v>165</v>
      </c>
      <c r="B16" s="71" t="s">
        <v>186</v>
      </c>
      <c r="C16" s="71" t="s">
        <v>182</v>
      </c>
      <c r="D16" s="72">
        <f>VLOOKUP(Table106[[#This Row],[NAME]],NYY_H[[NAME]:['#]],2,0)</f>
        <v>0.19047619047619047</v>
      </c>
      <c r="E16" s="72">
        <f>VLOOKUP(Table106[[#This Row],[NAME]],NYY_H[[NAME]:['#]],3,0)</f>
        <v>0.34615384615384615</v>
      </c>
      <c r="F16" s="72">
        <f>VLOOKUP(Table106[[#This Row],[NAME]],NYY_H[[NAME]:['#]],4,0)</f>
        <v>0.23809523809523808</v>
      </c>
      <c r="G16" s="77">
        <f>VLOOKUP(Table106[[#This Row],[NAME]],NYY_H[[NAME]:['#]],5,0)</f>
        <v>12</v>
      </c>
      <c r="H16" s="28">
        <f>VLOOKUP(Table106[[#This Row],[NAME]],NYY_H[[NAME]:['#]],6,0)</f>
        <v>21</v>
      </c>
      <c r="I16" s="28">
        <f>VLOOKUP(Table106[[#This Row],[NAME]],NYY_H[[NAME]:['#]],7,0)</f>
        <v>0</v>
      </c>
      <c r="J16" s="28">
        <f>VLOOKUP(Table106[[#This Row],[NAME]],NYY_H[[NAME]:['#]],8,0)</f>
        <v>4</v>
      </c>
      <c r="K16" s="28">
        <f>VLOOKUP(Table106[[#This Row],[NAME]],NYY_H[[NAME]:['#]],9,0)</f>
        <v>1</v>
      </c>
      <c r="L16" s="28">
        <f>VLOOKUP(Table106[[#This Row],[NAME]],NYY_H[[NAME]:['#]],10,0)</f>
        <v>0</v>
      </c>
      <c r="M16" s="28">
        <f>VLOOKUP(Table106[[#This Row],[NAME]],NYY_H[[NAME]:['#]],11,0)</f>
        <v>0</v>
      </c>
      <c r="N16" s="28">
        <f>VLOOKUP(Table106[[#This Row],[NAME]],NYY_H[[NAME]:['#]],12,0)</f>
        <v>1</v>
      </c>
      <c r="O16" s="28">
        <f>VLOOKUP(Table106[[#This Row],[NAME]],NYY_H[[NAME]:['#]],13,0)</f>
        <v>5</v>
      </c>
      <c r="P16" s="28">
        <f>VLOOKUP(Table106[[#This Row],[NAME]],NYY_H[[NAME]:['#]],14,0)</f>
        <v>11</v>
      </c>
      <c r="Q16" s="77">
        <f>VLOOKUP(Table106[[#This Row],[NAME]],NYY_H[[NAME]:['#]],15,0)</f>
        <v>0</v>
      </c>
      <c r="R16" s="28">
        <f>VLOOKUP(Table106[[#This Row],[NAME]],NYY_H[[NAME]:['#]],16,0)</f>
        <v>1</v>
      </c>
      <c r="S16" s="28">
        <f>VLOOKUP(Table106[[#This Row],[NAME]],NYY_H[[NAME]:['#]],17,0)</f>
        <v>1</v>
      </c>
      <c r="T16" s="77">
        <f>VLOOKUP(Table106[[#This Row],[NAME]],NYY_H[[NAME]:['#]],18,0)</f>
        <v>5</v>
      </c>
      <c r="U16" s="72">
        <f>VLOOKUP(Table106[[#This Row],[NAME]],NYY_H[[NAME]:['#]],19,0)</f>
        <v>0.58424908424908417</v>
      </c>
      <c r="V16" s="28">
        <f>VLOOKUP(Table106[[#This Row],[NAME]],NYY_H[[NAME]:['#]],20,0)</f>
        <v>0</v>
      </c>
      <c r="W16" s="75">
        <v>14</v>
      </c>
      <c r="Z16" s="101" t="s">
        <v>165</v>
      </c>
      <c r="AA16" s="77" t="s">
        <v>186</v>
      </c>
      <c r="AB16" s="77" t="s">
        <v>183</v>
      </c>
      <c r="AC16" s="130">
        <v>0.22727272727272727</v>
      </c>
      <c r="AD16" s="72">
        <v>0.30612244897959184</v>
      </c>
      <c r="AE16" s="72">
        <v>0.40909090909090912</v>
      </c>
      <c r="AF16" s="77">
        <v>16</v>
      </c>
      <c r="AG16" s="28">
        <v>44</v>
      </c>
      <c r="AH16" s="28">
        <v>6</v>
      </c>
      <c r="AI16" s="28">
        <v>10</v>
      </c>
      <c r="AJ16" s="28">
        <v>5</v>
      </c>
      <c r="AK16" s="28">
        <v>0</v>
      </c>
      <c r="AL16" s="28">
        <v>1</v>
      </c>
      <c r="AM16" s="28">
        <v>2</v>
      </c>
      <c r="AN16" s="28">
        <v>5</v>
      </c>
      <c r="AO16" s="28">
        <v>11</v>
      </c>
      <c r="AP16" s="77">
        <v>1</v>
      </c>
      <c r="AQ16" s="28">
        <v>1</v>
      </c>
      <c r="AR16" s="28">
        <v>4</v>
      </c>
      <c r="AS16" s="77">
        <v>18</v>
      </c>
      <c r="AT16" s="72">
        <v>0.7152133580705009</v>
      </c>
      <c r="AU16" s="28">
        <v>0</v>
      </c>
      <c r="AV16" s="75">
        <v>14</v>
      </c>
      <c r="AY16" s="101" t="s">
        <v>165</v>
      </c>
      <c r="AZ16" s="77" t="s">
        <v>186</v>
      </c>
      <c r="BA16" s="77" t="s">
        <v>183</v>
      </c>
      <c r="BB16" s="130">
        <v>0.296875</v>
      </c>
      <c r="BC16" s="72">
        <v>0.38356164383561642</v>
      </c>
      <c r="BD16" s="72">
        <v>0.34375</v>
      </c>
      <c r="BE16" s="77">
        <v>31</v>
      </c>
      <c r="BF16" s="28">
        <v>64</v>
      </c>
      <c r="BG16" s="28">
        <v>11</v>
      </c>
      <c r="BH16" s="28">
        <v>19</v>
      </c>
      <c r="BI16" s="28">
        <v>3</v>
      </c>
      <c r="BJ16" s="28">
        <v>0</v>
      </c>
      <c r="BK16" s="28">
        <v>0</v>
      </c>
      <c r="BL16" s="28">
        <v>5</v>
      </c>
      <c r="BM16" s="28">
        <v>9</v>
      </c>
      <c r="BN16" s="28">
        <v>17</v>
      </c>
      <c r="BO16" s="77">
        <v>8</v>
      </c>
      <c r="BP16" s="28">
        <v>0</v>
      </c>
      <c r="BQ16" s="28">
        <v>3</v>
      </c>
      <c r="BR16" s="77">
        <v>22</v>
      </c>
      <c r="BS16" s="72">
        <v>0.72731164383561642</v>
      </c>
      <c r="BT16" s="28">
        <v>0</v>
      </c>
      <c r="BU16" s="75">
        <v>14</v>
      </c>
    </row>
    <row r="17" spans="1:73">
      <c r="A17" s="101" t="s">
        <v>226</v>
      </c>
      <c r="B17" s="71" t="s">
        <v>179</v>
      </c>
      <c r="C17" s="71" t="s">
        <v>238</v>
      </c>
      <c r="D17" s="72">
        <f>VLOOKUP(Table106[[#This Row],[NAME]],BOS_H[[NAME]:['#]],2,0)</f>
        <v>0.2846153846153846</v>
      </c>
      <c r="E17" s="72">
        <f>VLOOKUP(Table106[[#This Row],[NAME]],BOS_H[[NAME]:['#]],3,0)</f>
        <v>0.36734693877551022</v>
      </c>
      <c r="F17" s="478">
        <f>VLOOKUP(Table106[[#This Row],[NAME]],BOS_H[[NAME]:['#]],4,0)</f>
        <v>0.45384615384615384</v>
      </c>
      <c r="G17" s="77">
        <f>VLOOKUP(Table106[[#This Row],[NAME]],BOS_H[[NAME]:['#]],5,0)</f>
        <v>38</v>
      </c>
      <c r="H17" s="28">
        <f>VLOOKUP(Table106[[#This Row],[NAME]],BOS_H[[NAME]:['#]],6,0)</f>
        <v>130</v>
      </c>
      <c r="I17" s="28">
        <f>VLOOKUP(Table106[[#This Row],[NAME]],BOS_H[[NAME]:['#]],7,0)</f>
        <v>20</v>
      </c>
      <c r="J17" s="28">
        <f>VLOOKUP(Table106[[#This Row],[NAME]],BOS_H[[NAME]:['#]],8,0)</f>
        <v>37</v>
      </c>
      <c r="K17" s="28">
        <f>VLOOKUP(Table106[[#This Row],[NAME]],BOS_H[[NAME]:['#]],9,0)</f>
        <v>10</v>
      </c>
      <c r="L17" s="28">
        <f>VLOOKUP(Table106[[#This Row],[NAME]],BOS_H[[NAME]:['#]],10,0)</f>
        <v>0</v>
      </c>
      <c r="M17" s="28">
        <f>VLOOKUP(Table106[[#This Row],[NAME]],BOS_H[[NAME]:['#]],11,0)</f>
        <v>4</v>
      </c>
      <c r="N17" s="28">
        <f>VLOOKUP(Table106[[#This Row],[NAME]],BOS_H[[NAME]:['#]],12,0)</f>
        <v>14</v>
      </c>
      <c r="O17" s="28">
        <f>VLOOKUP(Table106[[#This Row],[NAME]],BOS_H[[NAME]:['#]],13,0)</f>
        <v>17</v>
      </c>
      <c r="P17" s="28">
        <f>VLOOKUP(Table106[[#This Row],[NAME]],BOS_H[[NAME]:['#]],14,0)</f>
        <v>39</v>
      </c>
      <c r="Q17" s="77">
        <f>VLOOKUP(Table106[[#This Row],[NAME]],BOS_H[[NAME]:['#]],15,0)</f>
        <v>0</v>
      </c>
      <c r="R17" s="28">
        <f>VLOOKUP(Table106[[#This Row],[NAME]],BOS_H[[NAME]:['#]],16,0)</f>
        <v>3</v>
      </c>
      <c r="S17" s="28">
        <f>VLOOKUP(Table106[[#This Row],[NAME]],BOS_H[[NAME]:['#]],17,0)</f>
        <v>8</v>
      </c>
      <c r="T17" s="77">
        <f>VLOOKUP(Table106[[#This Row],[NAME]],BOS_H[[NAME]:['#]],18,0)</f>
        <v>59</v>
      </c>
      <c r="U17" s="72">
        <f>VLOOKUP(Table106[[#This Row],[NAME]],BOS_H[[NAME]:['#]],19,0)</f>
        <v>0.82119309262166407</v>
      </c>
      <c r="V17" s="28">
        <f>VLOOKUP(Table106[[#This Row],[NAME]],BOS_H[[NAME]:['#]],20,0)</f>
        <v>1</v>
      </c>
      <c r="W17" s="75">
        <v>15</v>
      </c>
      <c r="Z17" s="101" t="s">
        <v>226</v>
      </c>
      <c r="AA17" s="77" t="s">
        <v>179</v>
      </c>
      <c r="AB17" s="77" t="s">
        <v>238</v>
      </c>
      <c r="AC17" s="130">
        <v>0.21875</v>
      </c>
      <c r="AD17" s="72">
        <v>0.31506849315068491</v>
      </c>
      <c r="AE17" s="72">
        <v>0.3125</v>
      </c>
      <c r="AF17" s="77">
        <v>38</v>
      </c>
      <c r="AG17" s="28">
        <v>128</v>
      </c>
      <c r="AH17" s="28">
        <v>12</v>
      </c>
      <c r="AI17" s="28">
        <v>28</v>
      </c>
      <c r="AJ17" s="28">
        <v>6</v>
      </c>
      <c r="AK17" s="28">
        <v>0</v>
      </c>
      <c r="AL17" s="28">
        <v>2</v>
      </c>
      <c r="AM17" s="28">
        <v>14</v>
      </c>
      <c r="AN17" s="28">
        <v>18</v>
      </c>
      <c r="AO17" s="28">
        <v>30</v>
      </c>
      <c r="AP17" s="77">
        <v>0</v>
      </c>
      <c r="AQ17" s="28">
        <v>0</v>
      </c>
      <c r="AR17" s="28">
        <v>4</v>
      </c>
      <c r="AS17" s="77">
        <v>40</v>
      </c>
      <c r="AT17" s="72">
        <v>0.62756849315068486</v>
      </c>
      <c r="AU17" s="28">
        <v>0</v>
      </c>
      <c r="AV17" s="75">
        <v>15</v>
      </c>
      <c r="AY17" s="101" t="s">
        <v>226</v>
      </c>
      <c r="AZ17" s="77" t="s">
        <v>179</v>
      </c>
      <c r="BA17" s="77" t="s">
        <v>238</v>
      </c>
      <c r="BB17" s="130">
        <v>0.26315789473684209</v>
      </c>
      <c r="BC17" s="72">
        <v>0.38235294117647056</v>
      </c>
      <c r="BD17" s="72">
        <v>0.42105263157894735</v>
      </c>
      <c r="BE17" s="77">
        <v>38</v>
      </c>
      <c r="BF17" s="28">
        <v>114</v>
      </c>
      <c r="BG17" s="28">
        <v>20</v>
      </c>
      <c r="BH17" s="28">
        <v>30</v>
      </c>
      <c r="BI17" s="28">
        <v>12</v>
      </c>
      <c r="BJ17" s="28">
        <v>0</v>
      </c>
      <c r="BK17" s="28">
        <v>2</v>
      </c>
      <c r="BL17" s="28">
        <v>12</v>
      </c>
      <c r="BM17" s="28">
        <v>22</v>
      </c>
      <c r="BN17" s="28">
        <v>29</v>
      </c>
      <c r="BO17" s="77">
        <v>0</v>
      </c>
      <c r="BP17" s="28">
        <v>0</v>
      </c>
      <c r="BQ17" s="28">
        <v>7</v>
      </c>
      <c r="BR17" s="77">
        <v>48</v>
      </c>
      <c r="BS17" s="72">
        <v>0.80340557275541791</v>
      </c>
      <c r="BT17" s="28">
        <v>0</v>
      </c>
      <c r="BU17" s="75">
        <v>15</v>
      </c>
    </row>
    <row r="18" spans="1:73">
      <c r="A18" s="101" t="s">
        <v>226</v>
      </c>
      <c r="B18" s="71" t="s">
        <v>154</v>
      </c>
      <c r="C18" s="71" t="s">
        <v>233</v>
      </c>
      <c r="D18" s="72">
        <f>VLOOKUP(Table106[[#This Row],[NAME]],BOS_H[[NAME]:['#]],2,0)</f>
        <v>0.36075949367088606</v>
      </c>
      <c r="E18" s="72">
        <f>VLOOKUP(Table106[[#This Row],[NAME]],BOS_H[[NAME]:['#]],3,0)</f>
        <v>0.41954022988505746</v>
      </c>
      <c r="F18" s="478">
        <f>VLOOKUP(Table106[[#This Row],[NAME]],BOS_H[[NAME]:['#]],4,0)</f>
        <v>0.51265822784810122</v>
      </c>
      <c r="G18" s="77">
        <f>VLOOKUP(Table106[[#This Row],[NAME]],BOS_H[[NAME]:['#]],5,0)</f>
        <v>40</v>
      </c>
      <c r="H18" s="28">
        <f>VLOOKUP(Table106[[#This Row],[NAME]],BOS_H[[NAME]:['#]],6,0)</f>
        <v>158</v>
      </c>
      <c r="I18" s="28">
        <f>VLOOKUP(Table106[[#This Row],[NAME]],BOS_H[[NAME]:['#]],7,0)</f>
        <v>24</v>
      </c>
      <c r="J18" s="28">
        <f>VLOOKUP(Table106[[#This Row],[NAME]],BOS_H[[NAME]:['#]],8,0)</f>
        <v>57</v>
      </c>
      <c r="K18" s="28">
        <f>VLOOKUP(Table106[[#This Row],[NAME]],BOS_H[[NAME]:['#]],9,0)</f>
        <v>11</v>
      </c>
      <c r="L18" s="28">
        <f>VLOOKUP(Table106[[#This Row],[NAME]],BOS_H[[NAME]:['#]],10,0)</f>
        <v>2</v>
      </c>
      <c r="M18" s="28">
        <f>VLOOKUP(Table106[[#This Row],[NAME]],BOS_H[[NAME]:['#]],11,0)</f>
        <v>3</v>
      </c>
      <c r="N18" s="28">
        <f>VLOOKUP(Table106[[#This Row],[NAME]],BOS_H[[NAME]:['#]],12,0)</f>
        <v>25</v>
      </c>
      <c r="O18" s="28">
        <f>VLOOKUP(Table106[[#This Row],[NAME]],BOS_H[[NAME]:['#]],13,0)</f>
        <v>16</v>
      </c>
      <c r="P18" s="28">
        <f>VLOOKUP(Table106[[#This Row],[NAME]],BOS_H[[NAME]:['#]],14,0)</f>
        <v>31</v>
      </c>
      <c r="Q18" s="77">
        <f>VLOOKUP(Table106[[#This Row],[NAME]],BOS_H[[NAME]:['#]],15,0)</f>
        <v>0</v>
      </c>
      <c r="R18" s="28">
        <f>VLOOKUP(Table106[[#This Row],[NAME]],BOS_H[[NAME]:['#]],16,0)</f>
        <v>0</v>
      </c>
      <c r="S18" s="28">
        <f>VLOOKUP(Table106[[#This Row],[NAME]],BOS_H[[NAME]:['#]],17,0)</f>
        <v>16</v>
      </c>
      <c r="T18" s="77">
        <f>VLOOKUP(Table106[[#This Row],[NAME]],BOS_H[[NAME]:['#]],18,0)</f>
        <v>81</v>
      </c>
      <c r="U18" s="72">
        <f>VLOOKUP(Table106[[#This Row],[NAME]],BOS_H[[NAME]:['#]],19,0)</f>
        <v>0.93219845773315868</v>
      </c>
      <c r="V18" s="28">
        <f>VLOOKUP(Table106[[#This Row],[NAME]],BOS_H[[NAME]:['#]],20,0)</f>
        <v>3</v>
      </c>
      <c r="W18" s="75">
        <v>16</v>
      </c>
      <c r="Z18" s="101" t="s">
        <v>226</v>
      </c>
      <c r="AA18" s="77" t="s">
        <v>154</v>
      </c>
      <c r="AB18" s="77" t="s">
        <v>233</v>
      </c>
      <c r="AC18" s="130">
        <v>0.2982456140350877</v>
      </c>
      <c r="AD18" s="72">
        <v>0.38144329896907214</v>
      </c>
      <c r="AE18" s="72">
        <v>0.42690058479532161</v>
      </c>
      <c r="AF18" s="77">
        <v>39</v>
      </c>
      <c r="AG18" s="28">
        <v>171</v>
      </c>
      <c r="AH18" s="28">
        <v>25</v>
      </c>
      <c r="AI18" s="28">
        <v>51</v>
      </c>
      <c r="AJ18" s="28">
        <v>12</v>
      </c>
      <c r="AK18" s="28">
        <v>2</v>
      </c>
      <c r="AL18" s="28">
        <v>2</v>
      </c>
      <c r="AM18" s="28">
        <v>13</v>
      </c>
      <c r="AN18" s="28">
        <v>23</v>
      </c>
      <c r="AO18" s="28">
        <v>29</v>
      </c>
      <c r="AP18" s="77">
        <v>0</v>
      </c>
      <c r="AQ18" s="28">
        <v>3</v>
      </c>
      <c r="AR18" s="28">
        <v>9</v>
      </c>
      <c r="AS18" s="77">
        <v>73</v>
      </c>
      <c r="AT18" s="72">
        <v>0.8083438837643937</v>
      </c>
      <c r="AU18" s="28">
        <v>2</v>
      </c>
      <c r="AV18" s="75">
        <v>16</v>
      </c>
      <c r="AY18" s="101" t="s">
        <v>226</v>
      </c>
      <c r="AZ18" s="77" t="s">
        <v>154</v>
      </c>
      <c r="BA18" s="77" t="s">
        <v>233</v>
      </c>
      <c r="BB18" s="130">
        <v>0.34161490683229812</v>
      </c>
      <c r="BC18" s="72">
        <v>0.40782122905027934</v>
      </c>
      <c r="BD18" s="72">
        <v>0.49068322981366458</v>
      </c>
      <c r="BE18" s="77">
        <v>40</v>
      </c>
      <c r="BF18" s="28">
        <v>161</v>
      </c>
      <c r="BG18" s="28">
        <v>24</v>
      </c>
      <c r="BH18" s="28">
        <v>55</v>
      </c>
      <c r="BI18" s="28">
        <v>13</v>
      </c>
      <c r="BJ18" s="28">
        <v>1</v>
      </c>
      <c r="BK18" s="28">
        <v>3</v>
      </c>
      <c r="BL18" s="28">
        <v>31</v>
      </c>
      <c r="BM18" s="28">
        <v>18</v>
      </c>
      <c r="BN18" s="28">
        <v>35</v>
      </c>
      <c r="BO18" s="77">
        <v>0</v>
      </c>
      <c r="BP18" s="28">
        <v>0</v>
      </c>
      <c r="BQ18" s="28">
        <v>13</v>
      </c>
      <c r="BR18" s="77">
        <v>79</v>
      </c>
      <c r="BS18" s="72">
        <v>0.89850445886394392</v>
      </c>
      <c r="BT18" s="28">
        <v>4</v>
      </c>
      <c r="BU18" s="75">
        <v>16</v>
      </c>
    </row>
    <row r="19" spans="1:73">
      <c r="A19" s="101" t="s">
        <v>226</v>
      </c>
      <c r="B19" s="71" t="s">
        <v>235</v>
      </c>
      <c r="C19" s="71" t="s">
        <v>236</v>
      </c>
      <c r="D19" s="72">
        <f>VLOOKUP(Table106[[#This Row],[NAME]],BOS_H[[NAME]:['#]],2,0)</f>
        <v>0.26573426573426573</v>
      </c>
      <c r="E19" s="72">
        <f>VLOOKUP(Table106[[#This Row],[NAME]],BOS_H[[NAME]:['#]],3,0)</f>
        <v>0.30921052631578949</v>
      </c>
      <c r="F19" s="478">
        <f>VLOOKUP(Table106[[#This Row],[NAME]],BOS_H[[NAME]:['#]],4,0)</f>
        <v>0.41958041958041958</v>
      </c>
      <c r="G19" s="77">
        <f>VLOOKUP(Table106[[#This Row],[NAME]],BOS_H[[NAME]:['#]],5,0)</f>
        <v>40</v>
      </c>
      <c r="H19" s="28">
        <f>VLOOKUP(Table106[[#This Row],[NAME]],BOS_H[[NAME]:['#]],6,0)</f>
        <v>143</v>
      </c>
      <c r="I19" s="28">
        <f>VLOOKUP(Table106[[#This Row],[NAME]],BOS_H[[NAME]:['#]],7,0)</f>
        <v>21</v>
      </c>
      <c r="J19" s="28">
        <f>VLOOKUP(Table106[[#This Row],[NAME]],BOS_H[[NAME]:['#]],8,0)</f>
        <v>38</v>
      </c>
      <c r="K19" s="28">
        <f>VLOOKUP(Table106[[#This Row],[NAME]],BOS_H[[NAME]:['#]],9,0)</f>
        <v>5</v>
      </c>
      <c r="L19" s="28">
        <f>VLOOKUP(Table106[[#This Row],[NAME]],BOS_H[[NAME]:['#]],10,0)</f>
        <v>1</v>
      </c>
      <c r="M19" s="28">
        <f>VLOOKUP(Table106[[#This Row],[NAME]],BOS_H[[NAME]:['#]],11,0)</f>
        <v>5</v>
      </c>
      <c r="N19" s="28">
        <f>VLOOKUP(Table106[[#This Row],[NAME]],BOS_H[[NAME]:['#]],12,0)</f>
        <v>17</v>
      </c>
      <c r="O19" s="28">
        <f>VLOOKUP(Table106[[#This Row],[NAME]],BOS_H[[NAME]:['#]],13,0)</f>
        <v>9</v>
      </c>
      <c r="P19" s="28">
        <f>VLOOKUP(Table106[[#This Row],[NAME]],BOS_H[[NAME]:['#]],14,0)</f>
        <v>50</v>
      </c>
      <c r="Q19" s="77">
        <f>VLOOKUP(Table106[[#This Row],[NAME]],BOS_H[[NAME]:['#]],15,0)</f>
        <v>0</v>
      </c>
      <c r="R19" s="28">
        <f>VLOOKUP(Table106[[#This Row],[NAME]],BOS_H[[NAME]:['#]],16,0)</f>
        <v>0</v>
      </c>
      <c r="S19" s="28">
        <f>VLOOKUP(Table106[[#This Row],[NAME]],BOS_H[[NAME]:['#]],17,0)</f>
        <v>12</v>
      </c>
      <c r="T19" s="77">
        <f>VLOOKUP(Table106[[#This Row],[NAME]],BOS_H[[NAME]:['#]],18,0)</f>
        <v>60</v>
      </c>
      <c r="U19" s="72">
        <f>VLOOKUP(Table106[[#This Row],[NAME]],BOS_H[[NAME]:['#]],19,0)</f>
        <v>0.72879094589620907</v>
      </c>
      <c r="V19" s="28">
        <f>VLOOKUP(Table106[[#This Row],[NAME]],BOS_H[[NAME]:['#]],20,0)</f>
        <v>1</v>
      </c>
      <c r="W19" s="75">
        <v>17</v>
      </c>
      <c r="Z19" s="101" t="s">
        <v>226</v>
      </c>
      <c r="AA19" s="77" t="s">
        <v>172</v>
      </c>
      <c r="AB19" s="77" t="s">
        <v>237</v>
      </c>
      <c r="AC19" s="130">
        <v>0.28301886792452829</v>
      </c>
      <c r="AD19" s="72">
        <v>0.32544378698224852</v>
      </c>
      <c r="AE19" s="72">
        <v>0.45283018867924529</v>
      </c>
      <c r="AF19" s="77">
        <v>39</v>
      </c>
      <c r="AG19" s="28">
        <v>159</v>
      </c>
      <c r="AH19" s="28">
        <v>21</v>
      </c>
      <c r="AI19" s="28">
        <v>45</v>
      </c>
      <c r="AJ19" s="28">
        <v>6</v>
      </c>
      <c r="AK19" s="28">
        <v>0</v>
      </c>
      <c r="AL19" s="28">
        <v>7</v>
      </c>
      <c r="AM19" s="28">
        <v>22</v>
      </c>
      <c r="AN19" s="28">
        <v>10</v>
      </c>
      <c r="AO19" s="28">
        <v>42</v>
      </c>
      <c r="AP19" s="77">
        <v>0</v>
      </c>
      <c r="AQ19" s="28">
        <v>1</v>
      </c>
      <c r="AR19" s="28">
        <v>10</v>
      </c>
      <c r="AS19" s="77">
        <v>72</v>
      </c>
      <c r="AT19" s="72">
        <v>0.77827397566149381</v>
      </c>
      <c r="AU19" s="28">
        <v>4</v>
      </c>
      <c r="AV19" s="75">
        <v>17</v>
      </c>
      <c r="AY19" s="101" t="s">
        <v>226</v>
      </c>
      <c r="AZ19" s="77" t="s">
        <v>172</v>
      </c>
      <c r="BA19" s="77" t="s">
        <v>237</v>
      </c>
      <c r="BB19" s="130">
        <v>0.27516778523489932</v>
      </c>
      <c r="BC19" s="72">
        <v>0.35714285714285715</v>
      </c>
      <c r="BD19" s="72">
        <v>0.46308724832214765</v>
      </c>
      <c r="BE19" s="77">
        <v>40</v>
      </c>
      <c r="BF19" s="28">
        <v>149</v>
      </c>
      <c r="BG19" s="28">
        <v>24</v>
      </c>
      <c r="BH19" s="28">
        <v>41</v>
      </c>
      <c r="BI19" s="28">
        <v>10</v>
      </c>
      <c r="BJ19" s="28">
        <v>0</v>
      </c>
      <c r="BK19" s="28">
        <v>6</v>
      </c>
      <c r="BL19" s="28">
        <v>28</v>
      </c>
      <c r="BM19" s="28">
        <v>19</v>
      </c>
      <c r="BN19" s="28">
        <v>44</v>
      </c>
      <c r="BO19" s="77">
        <v>0</v>
      </c>
      <c r="BP19" s="28">
        <v>6</v>
      </c>
      <c r="BQ19" s="28">
        <v>7</v>
      </c>
      <c r="BR19" s="77">
        <v>69</v>
      </c>
      <c r="BS19" s="72">
        <v>0.82023010546500474</v>
      </c>
      <c r="BT19" s="28">
        <v>5</v>
      </c>
      <c r="BU19" s="75">
        <v>17</v>
      </c>
    </row>
    <row r="20" spans="1:73">
      <c r="A20" s="101" t="s">
        <v>226</v>
      </c>
      <c r="B20" s="71" t="s">
        <v>153</v>
      </c>
      <c r="C20" s="71" t="s">
        <v>232</v>
      </c>
      <c r="D20" s="72">
        <f>VLOOKUP(Table106[[#This Row],[NAME]],BOS_H[[NAME]:['#]],2,0)</f>
        <v>0.33333333333333331</v>
      </c>
      <c r="E20" s="72">
        <f>VLOOKUP(Table106[[#This Row],[NAME]],BOS_H[[NAME]:['#]],3,0)</f>
        <v>0.4098360655737705</v>
      </c>
      <c r="F20" s="478">
        <f>VLOOKUP(Table106[[#This Row],[NAME]],BOS_H[[NAME]:['#]],4,0)</f>
        <v>0.44444444444444442</v>
      </c>
      <c r="G20" s="77">
        <f>VLOOKUP(Table106[[#This Row],[NAME]],BOS_H[[NAME]:['#]],5,0)</f>
        <v>40</v>
      </c>
      <c r="H20" s="28">
        <f>VLOOKUP(Table106[[#This Row],[NAME]],BOS_H[[NAME]:['#]],6,0)</f>
        <v>162</v>
      </c>
      <c r="I20" s="28">
        <f>VLOOKUP(Table106[[#This Row],[NAME]],BOS_H[[NAME]:['#]],7,0)</f>
        <v>32</v>
      </c>
      <c r="J20" s="28">
        <f>VLOOKUP(Table106[[#This Row],[NAME]],BOS_H[[NAME]:['#]],8,0)</f>
        <v>54</v>
      </c>
      <c r="K20" s="28">
        <f>VLOOKUP(Table106[[#This Row],[NAME]],BOS_H[[NAME]:['#]],9,0)</f>
        <v>12</v>
      </c>
      <c r="L20" s="28">
        <f>VLOOKUP(Table106[[#This Row],[NAME]],BOS_H[[NAME]:['#]],10,0)</f>
        <v>0</v>
      </c>
      <c r="M20" s="28">
        <f>VLOOKUP(Table106[[#This Row],[NAME]],BOS_H[[NAME]:['#]],11,0)</f>
        <v>2</v>
      </c>
      <c r="N20" s="28">
        <f>VLOOKUP(Table106[[#This Row],[NAME]],BOS_H[[NAME]:['#]],12,0)</f>
        <v>15</v>
      </c>
      <c r="O20" s="28">
        <f>VLOOKUP(Table106[[#This Row],[NAME]],BOS_H[[NAME]:['#]],13,0)</f>
        <v>21</v>
      </c>
      <c r="P20" s="28">
        <f>VLOOKUP(Table106[[#This Row],[NAME]],BOS_H[[NAME]:['#]],14,0)</f>
        <v>28</v>
      </c>
      <c r="Q20" s="77">
        <f>VLOOKUP(Table106[[#This Row],[NAME]],BOS_H[[NAME]:['#]],15,0)</f>
        <v>0</v>
      </c>
      <c r="R20" s="28">
        <f>VLOOKUP(Table106[[#This Row],[NAME]],BOS_H[[NAME]:['#]],16,0)</f>
        <v>3</v>
      </c>
      <c r="S20" s="28">
        <f>VLOOKUP(Table106[[#This Row],[NAME]],BOS_H[[NAME]:['#]],17,0)</f>
        <v>8</v>
      </c>
      <c r="T20" s="77">
        <f>VLOOKUP(Table106[[#This Row],[NAME]],BOS_H[[NAME]:['#]],18,0)</f>
        <v>72</v>
      </c>
      <c r="U20" s="72">
        <f>VLOOKUP(Table106[[#This Row],[NAME]],BOS_H[[NAME]:['#]],19,0)</f>
        <v>0.85428051001821492</v>
      </c>
      <c r="V20" s="28">
        <f>VLOOKUP(Table106[[#This Row],[NAME]],BOS_H[[NAME]:['#]],20,0)</f>
        <v>2</v>
      </c>
      <c r="W20" s="75">
        <v>18</v>
      </c>
      <c r="Z20" s="101" t="s">
        <v>226</v>
      </c>
      <c r="AA20" s="77" t="s">
        <v>153</v>
      </c>
      <c r="AB20" s="77" t="s">
        <v>232</v>
      </c>
      <c r="AC20" s="130">
        <v>0.26315789473684209</v>
      </c>
      <c r="AD20" s="72">
        <v>0.32978723404255317</v>
      </c>
      <c r="AE20" s="72">
        <v>0.42105263157894735</v>
      </c>
      <c r="AF20" s="77">
        <v>39</v>
      </c>
      <c r="AG20" s="28">
        <v>171</v>
      </c>
      <c r="AH20" s="28">
        <v>24</v>
      </c>
      <c r="AI20" s="28">
        <v>45</v>
      </c>
      <c r="AJ20" s="28">
        <v>9</v>
      </c>
      <c r="AK20" s="28">
        <v>0</v>
      </c>
      <c r="AL20" s="28">
        <v>6</v>
      </c>
      <c r="AM20" s="28">
        <v>19</v>
      </c>
      <c r="AN20" s="28">
        <v>17</v>
      </c>
      <c r="AO20" s="28">
        <v>24</v>
      </c>
      <c r="AP20" s="77">
        <v>0</v>
      </c>
      <c r="AQ20" s="28">
        <v>3</v>
      </c>
      <c r="AR20" s="28">
        <v>10</v>
      </c>
      <c r="AS20" s="77">
        <v>72</v>
      </c>
      <c r="AT20" s="72">
        <v>0.75083986562150051</v>
      </c>
      <c r="AU20" s="28">
        <v>3</v>
      </c>
      <c r="AV20" s="75">
        <v>18</v>
      </c>
      <c r="AY20" s="101" t="s">
        <v>226</v>
      </c>
      <c r="AZ20" s="352" t="s">
        <v>153</v>
      </c>
      <c r="BA20" s="77" t="s">
        <v>232</v>
      </c>
      <c r="BB20" s="130">
        <v>0.40251572327044027</v>
      </c>
      <c r="BC20" s="72">
        <v>0.44444444444444442</v>
      </c>
      <c r="BD20" s="72">
        <v>0.53459119496855345</v>
      </c>
      <c r="BE20" s="77">
        <v>40</v>
      </c>
      <c r="BF20" s="28">
        <v>159</v>
      </c>
      <c r="BG20" s="28">
        <v>31</v>
      </c>
      <c r="BH20" s="76">
        <v>64</v>
      </c>
      <c r="BI20" s="28">
        <v>12</v>
      </c>
      <c r="BJ20" s="28">
        <v>0</v>
      </c>
      <c r="BK20" s="28">
        <v>3</v>
      </c>
      <c r="BL20" s="28">
        <v>19</v>
      </c>
      <c r="BM20" s="28">
        <v>12</v>
      </c>
      <c r="BN20" s="28">
        <v>20</v>
      </c>
      <c r="BO20" s="77">
        <v>0</v>
      </c>
      <c r="BP20" s="28">
        <v>0</v>
      </c>
      <c r="BQ20" s="586">
        <v>22</v>
      </c>
      <c r="BR20" s="77">
        <v>85</v>
      </c>
      <c r="BS20" s="72">
        <v>0.97903563941299787</v>
      </c>
      <c r="BT20" s="28">
        <v>4</v>
      </c>
      <c r="BU20" s="75">
        <v>18</v>
      </c>
    </row>
    <row r="21" spans="1:73">
      <c r="A21" s="101" t="s">
        <v>226</v>
      </c>
      <c r="B21" s="71" t="s">
        <v>177</v>
      </c>
      <c r="C21" s="71" t="s">
        <v>239</v>
      </c>
      <c r="D21" s="72">
        <f>VLOOKUP(Table106[[#This Row],[NAME]],BOS_H[[NAME]:['#]],2,0)</f>
        <v>0.22972972972972974</v>
      </c>
      <c r="E21" s="72">
        <f>VLOOKUP(Table106[[#This Row],[NAME]],BOS_H[[NAME]:['#]],3,0)</f>
        <v>0.30909090909090908</v>
      </c>
      <c r="F21" s="478">
        <f>VLOOKUP(Table106[[#This Row],[NAME]],BOS_H[[NAME]:['#]],4,0)</f>
        <v>0.39189189189189189</v>
      </c>
      <c r="G21" s="77">
        <f>VLOOKUP(Table106[[#This Row],[NAME]],BOS_H[[NAME]:['#]],5,0)</f>
        <v>40</v>
      </c>
      <c r="H21" s="28">
        <f>VLOOKUP(Table106[[#This Row],[NAME]],BOS_H[[NAME]:['#]],6,0)</f>
        <v>148</v>
      </c>
      <c r="I21" s="28">
        <f>VLOOKUP(Table106[[#This Row],[NAME]],BOS_H[[NAME]:['#]],7,0)</f>
        <v>16</v>
      </c>
      <c r="J21" s="28">
        <f>VLOOKUP(Table106[[#This Row],[NAME]],BOS_H[[NAME]:['#]],8,0)</f>
        <v>34</v>
      </c>
      <c r="K21" s="28">
        <f>VLOOKUP(Table106[[#This Row],[NAME]],BOS_H[[NAME]:['#]],9,0)</f>
        <v>12</v>
      </c>
      <c r="L21" s="28">
        <f>VLOOKUP(Table106[[#This Row],[NAME]],BOS_H[[NAME]:['#]],10,0)</f>
        <v>0</v>
      </c>
      <c r="M21" s="28">
        <f>VLOOKUP(Table106[[#This Row],[NAME]],BOS_H[[NAME]:['#]],11,0)</f>
        <v>4</v>
      </c>
      <c r="N21" s="28">
        <f>VLOOKUP(Table106[[#This Row],[NAME]],BOS_H[[NAME]:['#]],12,0)</f>
        <v>20</v>
      </c>
      <c r="O21" s="28">
        <f>VLOOKUP(Table106[[#This Row],[NAME]],BOS_H[[NAME]:['#]],13,0)</f>
        <v>17</v>
      </c>
      <c r="P21" s="28">
        <f>VLOOKUP(Table106[[#This Row],[NAME]],BOS_H[[NAME]:['#]],14,0)</f>
        <v>44</v>
      </c>
      <c r="Q21" s="77">
        <f>VLOOKUP(Table106[[#This Row],[NAME]],BOS_H[[NAME]:['#]],15,0)</f>
        <v>0</v>
      </c>
      <c r="R21" s="28">
        <f>VLOOKUP(Table106[[#This Row],[NAME]],BOS_H[[NAME]:['#]],16,0)</f>
        <v>1</v>
      </c>
      <c r="S21" s="28">
        <f>VLOOKUP(Table106[[#This Row],[NAME]],BOS_H[[NAME]:['#]],17,0)</f>
        <v>4</v>
      </c>
      <c r="T21" s="77">
        <f>VLOOKUP(Table106[[#This Row],[NAME]],BOS_H[[NAME]:['#]],18,0)</f>
        <v>58</v>
      </c>
      <c r="U21" s="72">
        <f>VLOOKUP(Table106[[#This Row],[NAME]],BOS_H[[NAME]:['#]],19,0)</f>
        <v>0.70098280098280097</v>
      </c>
      <c r="V21" s="28">
        <f>VLOOKUP(Table106[[#This Row],[NAME]],BOS_H[[NAME]:['#]],20,0)</f>
        <v>1</v>
      </c>
      <c r="W21" s="75">
        <v>19</v>
      </c>
      <c r="Z21" s="101" t="s">
        <v>226</v>
      </c>
      <c r="AA21" s="77" t="s">
        <v>177</v>
      </c>
      <c r="AB21" s="77" t="s">
        <v>239</v>
      </c>
      <c r="AC21" s="130">
        <v>0.23225806451612904</v>
      </c>
      <c r="AD21" s="72">
        <v>0.30409356725146197</v>
      </c>
      <c r="AE21" s="72">
        <v>0.44516129032258067</v>
      </c>
      <c r="AF21" s="77">
        <v>39</v>
      </c>
      <c r="AG21" s="28">
        <v>155</v>
      </c>
      <c r="AH21" s="28">
        <v>19</v>
      </c>
      <c r="AI21" s="28">
        <v>36</v>
      </c>
      <c r="AJ21" s="28">
        <v>9</v>
      </c>
      <c r="AK21" s="28">
        <v>0</v>
      </c>
      <c r="AL21" s="28">
        <v>8</v>
      </c>
      <c r="AM21" s="28">
        <v>19</v>
      </c>
      <c r="AN21" s="28">
        <v>16</v>
      </c>
      <c r="AO21" s="28">
        <v>44</v>
      </c>
      <c r="AP21" s="77">
        <v>0</v>
      </c>
      <c r="AQ21" s="28">
        <v>0</v>
      </c>
      <c r="AR21" s="28">
        <v>6</v>
      </c>
      <c r="AS21" s="77">
        <v>69</v>
      </c>
      <c r="AT21" s="72">
        <v>0.74925485757404264</v>
      </c>
      <c r="AU21" s="28">
        <v>3</v>
      </c>
      <c r="AV21" s="75">
        <v>19</v>
      </c>
      <c r="AY21" s="101" t="s">
        <v>226</v>
      </c>
      <c r="AZ21" s="77" t="s">
        <v>177</v>
      </c>
      <c r="BA21" s="77" t="s">
        <v>239</v>
      </c>
      <c r="BB21" s="130">
        <v>0.25531914893617019</v>
      </c>
      <c r="BC21" s="72">
        <v>0.30463576158940397</v>
      </c>
      <c r="BD21" s="72">
        <v>0.3971631205673759</v>
      </c>
      <c r="BE21" s="77">
        <v>36</v>
      </c>
      <c r="BF21" s="28">
        <v>141</v>
      </c>
      <c r="BG21" s="28">
        <v>18</v>
      </c>
      <c r="BH21" s="28">
        <v>36</v>
      </c>
      <c r="BI21" s="28">
        <v>12</v>
      </c>
      <c r="BJ21" s="28">
        <v>1</v>
      </c>
      <c r="BK21" s="28">
        <v>2</v>
      </c>
      <c r="BL21" s="28">
        <v>19</v>
      </c>
      <c r="BM21" s="28">
        <v>10</v>
      </c>
      <c r="BN21" s="28">
        <v>33</v>
      </c>
      <c r="BO21" s="77">
        <v>0</v>
      </c>
      <c r="BP21" s="28">
        <v>0</v>
      </c>
      <c r="BQ21" s="28">
        <v>9</v>
      </c>
      <c r="BR21" s="77">
        <v>56</v>
      </c>
      <c r="BS21" s="72">
        <v>0.70179888215677988</v>
      </c>
      <c r="BT21" s="28">
        <v>1</v>
      </c>
      <c r="BU21" s="75">
        <v>19</v>
      </c>
    </row>
    <row r="22" spans="1:73">
      <c r="A22" s="101" t="s">
        <v>226</v>
      </c>
      <c r="B22" s="71" t="s">
        <v>174</v>
      </c>
      <c r="C22" s="71" t="s">
        <v>229</v>
      </c>
      <c r="D22" s="72">
        <f>VLOOKUP(Table106[[#This Row],[NAME]],BOS_H[[NAME]:['#]],2,0)</f>
        <v>0.32258064516129031</v>
      </c>
      <c r="E22" s="72">
        <f>VLOOKUP(Table106[[#This Row],[NAME]],BOS_H[[NAME]:['#]],3,0)</f>
        <v>0.3712574850299401</v>
      </c>
      <c r="F22" s="478">
        <f>VLOOKUP(Table106[[#This Row],[NAME]],BOS_H[[NAME]:['#]],4,0)</f>
        <v>0.55483870967741933</v>
      </c>
      <c r="G22" s="77">
        <f>VLOOKUP(Table106[[#This Row],[NAME]],BOS_H[[NAME]:['#]],5,0)</f>
        <v>40</v>
      </c>
      <c r="H22" s="28">
        <f>VLOOKUP(Table106[[#This Row],[NAME]],BOS_H[[NAME]:['#]],6,0)</f>
        <v>155</v>
      </c>
      <c r="I22" s="28">
        <f>VLOOKUP(Table106[[#This Row],[NAME]],BOS_H[[NAME]:['#]],7,0)</f>
        <v>26</v>
      </c>
      <c r="J22" s="28">
        <f>VLOOKUP(Table106[[#This Row],[NAME]],BOS_H[[NAME]:['#]],8,0)</f>
        <v>50</v>
      </c>
      <c r="K22" s="28">
        <f>VLOOKUP(Table106[[#This Row],[NAME]],BOS_H[[NAME]:['#]],9,0)</f>
        <v>9</v>
      </c>
      <c r="L22" s="28">
        <f>VLOOKUP(Table106[[#This Row],[NAME]],BOS_H[[NAME]:['#]],10,0)</f>
        <v>0</v>
      </c>
      <c r="M22" s="28">
        <f>VLOOKUP(Table106[[#This Row],[NAME]],BOS_H[[NAME]:['#]],11,0)</f>
        <v>9</v>
      </c>
      <c r="N22" s="28">
        <f>VLOOKUP(Table106[[#This Row],[NAME]],BOS_H[[NAME]:['#]],12,0)</f>
        <v>31</v>
      </c>
      <c r="O22" s="28">
        <f>VLOOKUP(Table106[[#This Row],[NAME]],BOS_H[[NAME]:['#]],13,0)</f>
        <v>12</v>
      </c>
      <c r="P22" s="28">
        <f>VLOOKUP(Table106[[#This Row],[NAME]],BOS_H[[NAME]:['#]],14,0)</f>
        <v>24</v>
      </c>
      <c r="Q22" s="77">
        <f>VLOOKUP(Table106[[#This Row],[NAME]],BOS_H[[NAME]:['#]],15,0)</f>
        <v>0</v>
      </c>
      <c r="R22" s="28">
        <f>VLOOKUP(Table106[[#This Row],[NAME]],BOS_H[[NAME]:['#]],16,0)</f>
        <v>2</v>
      </c>
      <c r="S22" s="28">
        <f>VLOOKUP(Table106[[#This Row],[NAME]],BOS_H[[NAME]:['#]],17,0)</f>
        <v>12</v>
      </c>
      <c r="T22" s="77">
        <f>VLOOKUP(Table106[[#This Row],[NAME]],BOS_H[[NAME]:['#]],18,0)</f>
        <v>86</v>
      </c>
      <c r="U22" s="72">
        <f>VLOOKUP(Table106[[#This Row],[NAME]],BOS_H[[NAME]:['#]],19,0)</f>
        <v>0.92609619470735938</v>
      </c>
      <c r="V22" s="28">
        <f>VLOOKUP(Table106[[#This Row],[NAME]],BOS_H[[NAME]:['#]],20,0)</f>
        <v>4</v>
      </c>
      <c r="W22" s="75">
        <v>20</v>
      </c>
      <c r="Z22" s="101" t="s">
        <v>226</v>
      </c>
      <c r="AA22" s="77" t="s">
        <v>234</v>
      </c>
      <c r="AB22" s="352" t="s">
        <v>229</v>
      </c>
      <c r="AC22" s="130">
        <v>0.32432432432432434</v>
      </c>
      <c r="AD22" s="594">
        <v>0.42857142857142855</v>
      </c>
      <c r="AE22" s="72">
        <v>0.52027027027027029</v>
      </c>
      <c r="AF22" s="77">
        <v>40</v>
      </c>
      <c r="AG22" s="28">
        <v>148</v>
      </c>
      <c r="AH22" s="28">
        <v>29</v>
      </c>
      <c r="AI22" s="28">
        <v>48</v>
      </c>
      <c r="AJ22" s="28">
        <v>8</v>
      </c>
      <c r="AK22" s="28">
        <v>0</v>
      </c>
      <c r="AL22" s="28">
        <v>7</v>
      </c>
      <c r="AM22" s="28">
        <v>18</v>
      </c>
      <c r="AN22" s="28">
        <v>27</v>
      </c>
      <c r="AO22" s="28">
        <v>18</v>
      </c>
      <c r="AP22" s="77">
        <v>0</v>
      </c>
      <c r="AQ22" s="28">
        <v>0</v>
      </c>
      <c r="AR22" s="28">
        <v>8</v>
      </c>
      <c r="AS22" s="77">
        <v>77</v>
      </c>
      <c r="AT22" s="72">
        <v>0.94884169884169878</v>
      </c>
      <c r="AU22" s="28">
        <v>2</v>
      </c>
      <c r="AV22" s="75">
        <v>20</v>
      </c>
      <c r="AY22" s="101" t="s">
        <v>226</v>
      </c>
      <c r="AZ22" s="77" t="s">
        <v>174</v>
      </c>
      <c r="BA22" s="77" t="s">
        <v>231</v>
      </c>
      <c r="BB22" s="130">
        <v>0.3087248322147651</v>
      </c>
      <c r="BC22" s="72">
        <v>0.35625000000000001</v>
      </c>
      <c r="BD22" s="72">
        <v>0.47651006711409394</v>
      </c>
      <c r="BE22" s="77">
        <v>39</v>
      </c>
      <c r="BF22" s="28">
        <v>149</v>
      </c>
      <c r="BG22" s="28">
        <v>20</v>
      </c>
      <c r="BH22" s="28">
        <v>46</v>
      </c>
      <c r="BI22" s="28">
        <v>10</v>
      </c>
      <c r="BJ22" s="28">
        <v>0</v>
      </c>
      <c r="BK22" s="28">
        <v>5</v>
      </c>
      <c r="BL22" s="28">
        <v>17</v>
      </c>
      <c r="BM22" s="28">
        <v>11</v>
      </c>
      <c r="BN22" s="28">
        <v>22</v>
      </c>
      <c r="BO22" s="77">
        <v>0</v>
      </c>
      <c r="BP22" s="28">
        <v>0</v>
      </c>
      <c r="BQ22" s="28">
        <v>9</v>
      </c>
      <c r="BR22" s="77">
        <v>71</v>
      </c>
      <c r="BS22" s="72">
        <v>0.832760067114094</v>
      </c>
      <c r="BT22" s="28">
        <v>2</v>
      </c>
      <c r="BU22" s="75">
        <v>20</v>
      </c>
    </row>
    <row r="23" spans="1:73">
      <c r="A23" s="101" t="s">
        <v>226</v>
      </c>
      <c r="B23" s="71" t="s">
        <v>181</v>
      </c>
      <c r="C23" s="71" t="s">
        <v>227</v>
      </c>
      <c r="D23" s="72">
        <f>VLOOKUP(Table106[[#This Row],[NAME]],BOS_H[[NAME]:['#]],2,0)</f>
        <v>0.3032258064516129</v>
      </c>
      <c r="E23" s="72">
        <f>VLOOKUP(Table106[[#This Row],[NAME]],BOS_H[[NAME]:['#]],3,0)</f>
        <v>0.3493975903614458</v>
      </c>
      <c r="F23" s="478">
        <f>VLOOKUP(Table106[[#This Row],[NAME]],BOS_H[[NAME]:['#]],4,0)</f>
        <v>0.5741935483870968</v>
      </c>
      <c r="G23" s="77">
        <f>VLOOKUP(Table106[[#This Row],[NAME]],BOS_H[[NAME]:['#]],5,0)</f>
        <v>40</v>
      </c>
      <c r="H23" s="28">
        <f>VLOOKUP(Table106[[#This Row],[NAME]],BOS_H[[NAME]:['#]],6,0)</f>
        <v>155</v>
      </c>
      <c r="I23" s="28">
        <f>VLOOKUP(Table106[[#This Row],[NAME]],BOS_H[[NAME]:['#]],7,0)</f>
        <v>18</v>
      </c>
      <c r="J23" s="28">
        <f>VLOOKUP(Table106[[#This Row],[NAME]],BOS_H[[NAME]:['#]],8,0)</f>
        <v>47</v>
      </c>
      <c r="K23" s="28">
        <f>VLOOKUP(Table106[[#This Row],[NAME]],BOS_H[[NAME]:['#]],9,0)</f>
        <v>16</v>
      </c>
      <c r="L23" s="28">
        <f>VLOOKUP(Table106[[#This Row],[NAME]],BOS_H[[NAME]:['#]],10,0)</f>
        <v>4</v>
      </c>
      <c r="M23" s="28">
        <f>VLOOKUP(Table106[[#This Row],[NAME]],BOS_H[[NAME]:['#]],11,0)</f>
        <v>6</v>
      </c>
      <c r="N23" s="28">
        <f>VLOOKUP(Table106[[#This Row],[NAME]],BOS_H[[NAME]:['#]],12,0)</f>
        <v>27</v>
      </c>
      <c r="O23" s="28">
        <f>VLOOKUP(Table106[[#This Row],[NAME]],BOS_H[[NAME]:['#]],13,0)</f>
        <v>11</v>
      </c>
      <c r="P23" s="28">
        <f>VLOOKUP(Table106[[#This Row],[NAME]],BOS_H[[NAME]:['#]],14,0)</f>
        <v>43</v>
      </c>
      <c r="Q23" s="77">
        <f>VLOOKUP(Table106[[#This Row],[NAME]],BOS_H[[NAME]:['#]],15,0)</f>
        <v>5</v>
      </c>
      <c r="R23" s="28">
        <f>VLOOKUP(Table106[[#This Row],[NAME]],BOS_H[[NAME]:['#]],16,0)</f>
        <v>3</v>
      </c>
      <c r="S23" s="28">
        <f>VLOOKUP(Table106[[#This Row],[NAME]],BOS_H[[NAME]:['#]],17,0)</f>
        <v>7</v>
      </c>
      <c r="T23" s="77">
        <f>VLOOKUP(Table106[[#This Row],[NAME]],BOS_H[[NAME]:['#]],18,0)</f>
        <v>89</v>
      </c>
      <c r="U23" s="72">
        <f>VLOOKUP(Table106[[#This Row],[NAME]],BOS_H[[NAME]:['#]],19,0)</f>
        <v>0.92359113874854259</v>
      </c>
      <c r="V23" s="28">
        <f>VLOOKUP(Table106[[#This Row],[NAME]],BOS_H[[NAME]:['#]],20,0)</f>
        <v>4</v>
      </c>
      <c r="W23" s="75">
        <v>21</v>
      </c>
      <c r="Z23" s="101" t="s">
        <v>226</v>
      </c>
      <c r="AA23" s="77" t="s">
        <v>181</v>
      </c>
      <c r="AB23" s="77" t="s">
        <v>231</v>
      </c>
      <c r="AC23" s="130">
        <v>0.35256410256410259</v>
      </c>
      <c r="AD23" s="72">
        <v>0.39156626506024095</v>
      </c>
      <c r="AE23" s="72">
        <v>0.52564102564102566</v>
      </c>
      <c r="AF23" s="77">
        <v>39</v>
      </c>
      <c r="AG23" s="28">
        <v>156</v>
      </c>
      <c r="AH23" s="28">
        <v>19</v>
      </c>
      <c r="AI23" s="28">
        <v>55</v>
      </c>
      <c r="AJ23" s="28">
        <v>15</v>
      </c>
      <c r="AK23" s="28">
        <v>0</v>
      </c>
      <c r="AL23" s="28">
        <v>4</v>
      </c>
      <c r="AM23" s="28">
        <v>23</v>
      </c>
      <c r="AN23" s="28">
        <v>10</v>
      </c>
      <c r="AO23" s="28">
        <v>32</v>
      </c>
      <c r="AP23" s="77">
        <v>0</v>
      </c>
      <c r="AQ23" s="28">
        <v>1</v>
      </c>
      <c r="AR23" s="28">
        <v>6</v>
      </c>
      <c r="AS23" s="77">
        <v>82</v>
      </c>
      <c r="AT23" s="72">
        <v>0.91720729070126661</v>
      </c>
      <c r="AU23" s="28">
        <v>1</v>
      </c>
      <c r="AV23" s="75">
        <v>21</v>
      </c>
      <c r="AY23" s="101" t="s">
        <v>226</v>
      </c>
      <c r="AZ23" s="77" t="s">
        <v>181</v>
      </c>
      <c r="BA23" s="77" t="s">
        <v>242</v>
      </c>
      <c r="BB23" s="130">
        <v>0.23008849557522124</v>
      </c>
      <c r="BC23" s="72">
        <v>0.33587786259541985</v>
      </c>
      <c r="BD23" s="72">
        <v>0.36283185840707965</v>
      </c>
      <c r="BE23" s="77">
        <v>38</v>
      </c>
      <c r="BF23" s="28">
        <v>113</v>
      </c>
      <c r="BG23" s="28">
        <v>19</v>
      </c>
      <c r="BH23" s="28">
        <v>26</v>
      </c>
      <c r="BI23" s="28">
        <v>6</v>
      </c>
      <c r="BJ23" s="28">
        <v>0</v>
      </c>
      <c r="BK23" s="28">
        <v>3</v>
      </c>
      <c r="BL23" s="28">
        <v>13</v>
      </c>
      <c r="BM23" s="28">
        <v>18</v>
      </c>
      <c r="BN23" s="28">
        <v>35</v>
      </c>
      <c r="BO23" s="77">
        <v>1</v>
      </c>
      <c r="BP23" s="28">
        <v>2</v>
      </c>
      <c r="BQ23" s="28">
        <v>3</v>
      </c>
      <c r="BR23" s="77">
        <v>41</v>
      </c>
      <c r="BS23" s="72">
        <v>0.69870972100249951</v>
      </c>
      <c r="BT23" s="28">
        <v>0</v>
      </c>
      <c r="BU23" s="75">
        <v>21</v>
      </c>
    </row>
    <row r="24" spans="1:73">
      <c r="A24" s="101" t="s">
        <v>226</v>
      </c>
      <c r="B24" s="71" t="s">
        <v>240</v>
      </c>
      <c r="C24" s="71" t="s">
        <v>241</v>
      </c>
      <c r="D24" s="72">
        <f>VLOOKUP(Table106[[#This Row],[NAME]],BOS_H[[NAME]:['#]],2,0)</f>
        <v>0.29032258064516131</v>
      </c>
      <c r="E24" s="72">
        <f>VLOOKUP(Table106[[#This Row],[NAME]],BOS_H[[NAME]:['#]],3,0)</f>
        <v>0.34653465346534651</v>
      </c>
      <c r="F24" s="478">
        <f>VLOOKUP(Table106[[#This Row],[NAME]],BOS_H[[NAME]:['#]],4,0)</f>
        <v>0.4838709677419355</v>
      </c>
      <c r="G24" s="77">
        <f>VLOOKUP(Table106[[#This Row],[NAME]],BOS_H[[NAME]:['#]],5,0)</f>
        <v>28</v>
      </c>
      <c r="H24" s="28">
        <f>VLOOKUP(Table106[[#This Row],[NAME]],BOS_H[[NAME]:['#]],6,0)</f>
        <v>93</v>
      </c>
      <c r="I24" s="28">
        <f>VLOOKUP(Table106[[#This Row],[NAME]],BOS_H[[NAME]:['#]],7,0)</f>
        <v>11</v>
      </c>
      <c r="J24" s="28">
        <f>VLOOKUP(Table106[[#This Row],[NAME]],BOS_H[[NAME]:['#]],8,0)</f>
        <v>27</v>
      </c>
      <c r="K24" s="28">
        <f>VLOOKUP(Table106[[#This Row],[NAME]],BOS_H[[NAME]:['#]],9,0)</f>
        <v>6</v>
      </c>
      <c r="L24" s="28">
        <f>VLOOKUP(Table106[[#This Row],[NAME]],BOS_H[[NAME]:['#]],10,0)</f>
        <v>0</v>
      </c>
      <c r="M24" s="28">
        <f>VLOOKUP(Table106[[#This Row],[NAME]],BOS_H[[NAME]:['#]],11,0)</f>
        <v>4</v>
      </c>
      <c r="N24" s="28">
        <f>VLOOKUP(Table106[[#This Row],[NAME]],BOS_H[[NAME]:['#]],12,0)</f>
        <v>15</v>
      </c>
      <c r="O24" s="28">
        <f>VLOOKUP(Table106[[#This Row],[NAME]],BOS_H[[NAME]:['#]],13,0)</f>
        <v>8</v>
      </c>
      <c r="P24" s="28">
        <f>VLOOKUP(Table106[[#This Row],[NAME]],BOS_H[[NAME]:['#]],14,0)</f>
        <v>28</v>
      </c>
      <c r="Q24" s="77">
        <f>VLOOKUP(Table106[[#This Row],[NAME]],BOS_H[[NAME]:['#]],15,0)</f>
        <v>0</v>
      </c>
      <c r="R24" s="28">
        <f>VLOOKUP(Table106[[#This Row],[NAME]],BOS_H[[NAME]:['#]],16,0)</f>
        <v>2</v>
      </c>
      <c r="S24" s="28">
        <f>VLOOKUP(Table106[[#This Row],[NAME]],BOS_H[[NAME]:['#]],17,0)</f>
        <v>6</v>
      </c>
      <c r="T24" s="77">
        <f>VLOOKUP(Table106[[#This Row],[NAME]],BOS_H[[NAME]:['#]],18,0)</f>
        <v>45</v>
      </c>
      <c r="U24" s="72">
        <f>VLOOKUP(Table106[[#This Row],[NAME]],BOS_H[[NAME]:['#]],19,0)</f>
        <v>0.83040562120728201</v>
      </c>
      <c r="V24" s="28">
        <f>VLOOKUP(Table106[[#This Row],[NAME]],BOS_H[[NAME]:['#]],20,0)</f>
        <v>2</v>
      </c>
      <c r="W24" s="75">
        <v>22</v>
      </c>
      <c r="Z24" s="101" t="s">
        <v>226</v>
      </c>
      <c r="AA24" s="77" t="s">
        <v>166</v>
      </c>
      <c r="AB24" s="77" t="s">
        <v>228</v>
      </c>
      <c r="AC24" s="130">
        <v>0.29943502824858759</v>
      </c>
      <c r="AD24" s="72">
        <v>0.34042553191489361</v>
      </c>
      <c r="AE24" s="72">
        <v>0.50282485875706218</v>
      </c>
      <c r="AF24" s="77">
        <v>39</v>
      </c>
      <c r="AG24" s="28">
        <v>177</v>
      </c>
      <c r="AH24" s="28">
        <v>20</v>
      </c>
      <c r="AI24" s="28">
        <v>53</v>
      </c>
      <c r="AJ24" s="28">
        <v>12</v>
      </c>
      <c r="AK24" s="28">
        <v>0</v>
      </c>
      <c r="AL24" s="28">
        <v>8</v>
      </c>
      <c r="AM24" s="28">
        <v>34</v>
      </c>
      <c r="AN24" s="28">
        <v>11</v>
      </c>
      <c r="AO24" s="28">
        <v>43</v>
      </c>
      <c r="AP24" s="77">
        <v>0</v>
      </c>
      <c r="AQ24" s="28">
        <v>1</v>
      </c>
      <c r="AR24" s="28">
        <v>9</v>
      </c>
      <c r="AS24" s="77">
        <v>89</v>
      </c>
      <c r="AT24" s="72">
        <v>0.84325039067195573</v>
      </c>
      <c r="AU24" s="28">
        <v>4</v>
      </c>
      <c r="AV24" s="75">
        <v>22</v>
      </c>
      <c r="AY24" s="101" t="s">
        <v>226</v>
      </c>
      <c r="AZ24" s="352" t="s">
        <v>166</v>
      </c>
      <c r="BA24" s="352" t="s">
        <v>228</v>
      </c>
      <c r="BB24" s="130">
        <v>0.31952662721893493</v>
      </c>
      <c r="BC24" s="72">
        <v>0.36464088397790057</v>
      </c>
      <c r="BD24" s="72">
        <v>0.66863905325443784</v>
      </c>
      <c r="BE24" s="77">
        <v>40</v>
      </c>
      <c r="BF24" s="28">
        <v>169</v>
      </c>
      <c r="BG24" s="28">
        <v>36</v>
      </c>
      <c r="BH24" s="28">
        <v>54</v>
      </c>
      <c r="BI24" s="76">
        <v>17</v>
      </c>
      <c r="BJ24" s="28">
        <v>0</v>
      </c>
      <c r="BK24" s="28">
        <v>14</v>
      </c>
      <c r="BL24" s="76">
        <v>44</v>
      </c>
      <c r="BM24" s="28">
        <v>12</v>
      </c>
      <c r="BN24" s="28">
        <v>52</v>
      </c>
      <c r="BO24" s="77">
        <v>0</v>
      </c>
      <c r="BP24" s="28">
        <v>0</v>
      </c>
      <c r="BQ24" s="28">
        <v>14</v>
      </c>
      <c r="BR24" s="77">
        <v>113</v>
      </c>
      <c r="BS24" s="72">
        <v>1.0332799372323385</v>
      </c>
      <c r="BT24" s="76">
        <v>8</v>
      </c>
      <c r="BU24" s="75">
        <v>22</v>
      </c>
    </row>
    <row r="25" spans="1:73">
      <c r="A25" s="101" t="s">
        <v>226</v>
      </c>
      <c r="B25" s="71" t="s">
        <v>168</v>
      </c>
      <c r="C25" s="71" t="s">
        <v>230</v>
      </c>
      <c r="D25" s="72">
        <f>VLOOKUP(Table106[[#This Row],[NAME]],BOS_H[[NAME]:['#]],2,0)</f>
        <v>0.30718954248366015</v>
      </c>
      <c r="E25" s="72">
        <f>VLOOKUP(Table106[[#This Row],[NAME]],BOS_H[[NAME]:['#]],3,0)</f>
        <v>0.37647058823529411</v>
      </c>
      <c r="F25" s="478">
        <f>VLOOKUP(Table106[[#This Row],[NAME]],BOS_H[[NAME]:['#]],4,0)</f>
        <v>0.5490196078431373</v>
      </c>
      <c r="G25" s="77">
        <f>VLOOKUP(Table106[[#This Row],[NAME]],BOS_H[[NAME]:['#]],5,0)</f>
        <v>40</v>
      </c>
      <c r="H25" s="28">
        <f>VLOOKUP(Table106[[#This Row],[NAME]],BOS_H[[NAME]:['#]],6,0)</f>
        <v>153</v>
      </c>
      <c r="I25" s="28">
        <f>VLOOKUP(Table106[[#This Row],[NAME]],BOS_H[[NAME]:['#]],7,0)</f>
        <v>23</v>
      </c>
      <c r="J25" s="28">
        <f>VLOOKUP(Table106[[#This Row],[NAME]],BOS_H[[NAME]:['#]],8,0)</f>
        <v>47</v>
      </c>
      <c r="K25" s="28">
        <f>VLOOKUP(Table106[[#This Row],[NAME]],BOS_H[[NAME]:['#]],9,0)</f>
        <v>7</v>
      </c>
      <c r="L25" s="28">
        <f>VLOOKUP(Table106[[#This Row],[NAME]],BOS_H[[NAME]:['#]],10,0)</f>
        <v>0</v>
      </c>
      <c r="M25" s="28">
        <f>VLOOKUP(Table106[[#This Row],[NAME]],BOS_H[[NAME]:['#]],11,0)</f>
        <v>10</v>
      </c>
      <c r="N25" s="28">
        <f>VLOOKUP(Table106[[#This Row],[NAME]],BOS_H[[NAME]:['#]],12,0)</f>
        <v>27</v>
      </c>
      <c r="O25" s="28">
        <f>VLOOKUP(Table106[[#This Row],[NAME]],BOS_H[[NAME]:['#]],13,0)</f>
        <v>17</v>
      </c>
      <c r="P25" s="28">
        <f>VLOOKUP(Table106[[#This Row],[NAME]],BOS_H[[NAME]:['#]],14,0)</f>
        <v>35</v>
      </c>
      <c r="Q25" s="77">
        <f>VLOOKUP(Table106[[#This Row],[NAME]],BOS_H[[NAME]:['#]],15,0)</f>
        <v>0</v>
      </c>
      <c r="R25" s="28">
        <f>VLOOKUP(Table106[[#This Row],[NAME]],BOS_H[[NAME]:['#]],16,0)</f>
        <v>0</v>
      </c>
      <c r="S25" s="28">
        <f>VLOOKUP(Table106[[#This Row],[NAME]],BOS_H[[NAME]:['#]],17,0)</f>
        <v>10</v>
      </c>
      <c r="T25" s="77">
        <f>VLOOKUP(Table106[[#This Row],[NAME]],BOS_H[[NAME]:['#]],18,0)</f>
        <v>84</v>
      </c>
      <c r="U25" s="72">
        <f>VLOOKUP(Table106[[#This Row],[NAME]],BOS_H[[NAME]:['#]],19,0)</f>
        <v>0.92549019607843142</v>
      </c>
      <c r="V25" s="28">
        <f>VLOOKUP(Table106[[#This Row],[NAME]],BOS_H[[NAME]:['#]],20,0)</f>
        <v>5</v>
      </c>
      <c r="W25" s="75">
        <v>23</v>
      </c>
      <c r="Z25" s="101" t="s">
        <v>226</v>
      </c>
      <c r="AA25" s="352" t="s">
        <v>168</v>
      </c>
      <c r="AB25" s="77" t="s">
        <v>230</v>
      </c>
      <c r="AC25" s="130">
        <v>0.28758169934640521</v>
      </c>
      <c r="AD25" s="72">
        <v>0.40760869565217389</v>
      </c>
      <c r="AE25" s="72">
        <v>0.5816993464052288</v>
      </c>
      <c r="AF25" s="77">
        <v>40</v>
      </c>
      <c r="AG25" s="28">
        <v>153</v>
      </c>
      <c r="AH25" s="28">
        <v>27</v>
      </c>
      <c r="AI25" s="28">
        <v>44</v>
      </c>
      <c r="AJ25" s="28">
        <v>12</v>
      </c>
      <c r="AK25" s="28">
        <v>0</v>
      </c>
      <c r="AL25" s="28">
        <v>11</v>
      </c>
      <c r="AM25" s="28">
        <v>35</v>
      </c>
      <c r="AN25" s="76">
        <v>31</v>
      </c>
      <c r="AO25" s="28">
        <v>38</v>
      </c>
      <c r="AP25" s="77">
        <v>0</v>
      </c>
      <c r="AQ25" s="28">
        <v>1</v>
      </c>
      <c r="AR25" s="28">
        <v>14</v>
      </c>
      <c r="AS25" s="77">
        <v>89</v>
      </c>
      <c r="AT25" s="72">
        <v>0.98930804205740275</v>
      </c>
      <c r="AU25" s="28">
        <v>5</v>
      </c>
      <c r="AV25" s="75">
        <v>23</v>
      </c>
      <c r="AY25" s="101" t="s">
        <v>226</v>
      </c>
      <c r="AZ25" s="77" t="s">
        <v>168</v>
      </c>
      <c r="BA25" s="77" t="s">
        <v>230</v>
      </c>
      <c r="BB25" s="130">
        <v>0.32413793103448274</v>
      </c>
      <c r="BC25" s="72">
        <v>0.37579617834394907</v>
      </c>
      <c r="BD25" s="72">
        <v>0.62068965517241381</v>
      </c>
      <c r="BE25" s="77">
        <v>37</v>
      </c>
      <c r="BF25" s="28">
        <v>145</v>
      </c>
      <c r="BG25" s="28">
        <v>20</v>
      </c>
      <c r="BH25" s="28">
        <v>47</v>
      </c>
      <c r="BI25" s="28">
        <v>16</v>
      </c>
      <c r="BJ25" s="28">
        <v>0</v>
      </c>
      <c r="BK25" s="28">
        <v>9</v>
      </c>
      <c r="BL25" s="28">
        <v>35</v>
      </c>
      <c r="BM25" s="28">
        <v>12</v>
      </c>
      <c r="BN25" s="28">
        <v>29</v>
      </c>
      <c r="BO25" s="77">
        <v>0</v>
      </c>
      <c r="BP25" s="28">
        <v>3</v>
      </c>
      <c r="BQ25" s="28">
        <v>6</v>
      </c>
      <c r="BR25" s="77">
        <v>90</v>
      </c>
      <c r="BS25" s="72">
        <v>0.99648583351636288</v>
      </c>
      <c r="BT25" s="28">
        <v>3</v>
      </c>
      <c r="BU25" s="75">
        <v>23</v>
      </c>
    </row>
    <row r="26" spans="1:73">
      <c r="A26" s="101" t="s">
        <v>226</v>
      </c>
      <c r="B26" s="71" t="s">
        <v>179</v>
      </c>
      <c r="C26" s="71" t="s">
        <v>246</v>
      </c>
      <c r="D26" s="72">
        <f>VLOOKUP(Table106[[#This Row],[NAME]],BOS_H[[NAME]:['#]],2,0)</f>
        <v>0.42857142857142855</v>
      </c>
      <c r="E26" s="72">
        <f>VLOOKUP(Table106[[#This Row],[NAME]],BOS_H[[NAME]:['#]],3,0)</f>
        <v>0.42857142857142855</v>
      </c>
      <c r="F26" s="478">
        <f>VLOOKUP(Table106[[#This Row],[NAME]],BOS_H[[NAME]:['#]],4,0)</f>
        <v>0.8571428571428571</v>
      </c>
      <c r="G26" s="77">
        <f>VLOOKUP(Table106[[#This Row],[NAME]],BOS_H[[NAME]:['#]],5,0)</f>
        <v>4</v>
      </c>
      <c r="H26" s="28">
        <f>VLOOKUP(Table106[[#This Row],[NAME]],BOS_H[[NAME]:['#]],6,0)</f>
        <v>7</v>
      </c>
      <c r="I26" s="28">
        <f>VLOOKUP(Table106[[#This Row],[NAME]],BOS_H[[NAME]:['#]],7,0)</f>
        <v>1</v>
      </c>
      <c r="J26" s="28">
        <f>VLOOKUP(Table106[[#This Row],[NAME]],BOS_H[[NAME]:['#]],8,0)</f>
        <v>3</v>
      </c>
      <c r="K26" s="28">
        <f>VLOOKUP(Table106[[#This Row],[NAME]],BOS_H[[NAME]:['#]],9,0)</f>
        <v>0</v>
      </c>
      <c r="L26" s="28">
        <f>VLOOKUP(Table106[[#This Row],[NAME]],BOS_H[[NAME]:['#]],10,0)</f>
        <v>0</v>
      </c>
      <c r="M26" s="28">
        <f>VLOOKUP(Table106[[#This Row],[NAME]],BOS_H[[NAME]:['#]],11,0)</f>
        <v>1</v>
      </c>
      <c r="N26" s="28">
        <f>VLOOKUP(Table106[[#This Row],[NAME]],BOS_H[[NAME]:['#]],12,0)</f>
        <v>1</v>
      </c>
      <c r="O26" s="28">
        <f>VLOOKUP(Table106[[#This Row],[NAME]],BOS_H[[NAME]:['#]],13,0)</f>
        <v>0</v>
      </c>
      <c r="P26" s="28">
        <f>VLOOKUP(Table106[[#This Row],[NAME]],BOS_H[[NAME]:['#]],14,0)</f>
        <v>1</v>
      </c>
      <c r="Q26" s="77">
        <f>VLOOKUP(Table106[[#This Row],[NAME]],BOS_H[[NAME]:['#]],15,0)</f>
        <v>0</v>
      </c>
      <c r="R26" s="28">
        <f>VLOOKUP(Table106[[#This Row],[NAME]],BOS_H[[NAME]:['#]],16,0)</f>
        <v>2</v>
      </c>
      <c r="S26" s="28">
        <f>VLOOKUP(Table106[[#This Row],[NAME]],BOS_H[[NAME]:['#]],17,0)</f>
        <v>2</v>
      </c>
      <c r="T26" s="77">
        <f>VLOOKUP(Table106[[#This Row],[NAME]],BOS_H[[NAME]:['#]],18,0)</f>
        <v>6</v>
      </c>
      <c r="U26" s="72">
        <f>VLOOKUP(Table106[[#This Row],[NAME]],BOS_H[[NAME]:['#]],19,0)</f>
        <v>1.2857142857142856</v>
      </c>
      <c r="V26" s="28">
        <f>VLOOKUP(Table106[[#This Row],[NAME]],BOS_H[[NAME]:['#]],20,0)</f>
        <v>0</v>
      </c>
      <c r="W26" s="75">
        <v>24</v>
      </c>
      <c r="Z26" s="101" t="s">
        <v>226</v>
      </c>
      <c r="AA26" s="77" t="s">
        <v>179</v>
      </c>
      <c r="AB26" s="77" t="s">
        <v>246</v>
      </c>
      <c r="AC26" s="130">
        <v>0.33333333333333331</v>
      </c>
      <c r="AD26" s="72">
        <v>0.45454545454545453</v>
      </c>
      <c r="AE26" s="72">
        <v>0.44444444444444442</v>
      </c>
      <c r="AF26" s="77">
        <v>5</v>
      </c>
      <c r="AG26" s="28">
        <v>9</v>
      </c>
      <c r="AH26" s="28">
        <v>1</v>
      </c>
      <c r="AI26" s="28">
        <v>3</v>
      </c>
      <c r="AJ26" s="28">
        <v>1</v>
      </c>
      <c r="AK26" s="28">
        <v>0</v>
      </c>
      <c r="AL26" s="28">
        <v>0</v>
      </c>
      <c r="AM26" s="28">
        <v>0</v>
      </c>
      <c r="AN26" s="28">
        <v>2</v>
      </c>
      <c r="AO26" s="28">
        <v>3</v>
      </c>
      <c r="AP26" s="77">
        <v>0</v>
      </c>
      <c r="AQ26" s="28">
        <v>3</v>
      </c>
      <c r="AR26" s="28">
        <v>3</v>
      </c>
      <c r="AS26" s="77">
        <v>4</v>
      </c>
      <c r="AT26" s="72">
        <v>0.89898989898989901</v>
      </c>
      <c r="AU26" s="28">
        <v>0</v>
      </c>
      <c r="AV26" s="75">
        <v>24</v>
      </c>
      <c r="AY26" s="101" t="s">
        <v>226</v>
      </c>
      <c r="AZ26" s="77" t="s">
        <v>179</v>
      </c>
      <c r="BA26" s="77" t="s">
        <v>246</v>
      </c>
      <c r="BB26" s="130">
        <v>8.3333333333333329E-2</v>
      </c>
      <c r="BC26" s="72">
        <v>0.18518518518518517</v>
      </c>
      <c r="BD26" s="72">
        <v>8.3333333333333329E-2</v>
      </c>
      <c r="BE26" s="77">
        <v>17</v>
      </c>
      <c r="BF26" s="28">
        <v>24</v>
      </c>
      <c r="BG26" s="28">
        <v>2</v>
      </c>
      <c r="BH26" s="28">
        <v>2</v>
      </c>
      <c r="BI26" s="28">
        <v>0</v>
      </c>
      <c r="BJ26" s="28">
        <v>0</v>
      </c>
      <c r="BK26" s="28">
        <v>0</v>
      </c>
      <c r="BL26" s="28">
        <v>0</v>
      </c>
      <c r="BM26" s="28">
        <v>3</v>
      </c>
      <c r="BN26" s="28">
        <v>7</v>
      </c>
      <c r="BO26" s="77">
        <v>0</v>
      </c>
      <c r="BP26" s="28">
        <v>0</v>
      </c>
      <c r="BQ26" s="28">
        <v>1</v>
      </c>
      <c r="BR26" s="77">
        <v>2</v>
      </c>
      <c r="BS26" s="72">
        <v>0.26851851851851849</v>
      </c>
      <c r="BT26" s="28">
        <v>0</v>
      </c>
      <c r="BU26" s="75">
        <v>24</v>
      </c>
    </row>
    <row r="27" spans="1:73">
      <c r="A27" s="101" t="s">
        <v>226</v>
      </c>
      <c r="B27" s="71" t="s">
        <v>187</v>
      </c>
      <c r="C27" s="71" t="s">
        <v>245</v>
      </c>
      <c r="D27" s="72">
        <f>VLOOKUP(Table106[[#This Row],[NAME]],BOS_H[[NAME]:['#]],2,0)</f>
        <v>0.33333333333333331</v>
      </c>
      <c r="E27" s="72">
        <f>VLOOKUP(Table106[[#This Row],[NAME]],BOS_H[[NAME]:['#]],3,0)</f>
        <v>0.4</v>
      </c>
      <c r="F27" s="478">
        <f>VLOOKUP(Table106[[#This Row],[NAME]],BOS_H[[NAME]:['#]],4,0)</f>
        <v>1</v>
      </c>
      <c r="G27" s="77">
        <f>VLOOKUP(Table106[[#This Row],[NAME]],BOS_H[[NAME]:['#]],5,0)</f>
        <v>6</v>
      </c>
      <c r="H27" s="28">
        <f>VLOOKUP(Table106[[#This Row],[NAME]],BOS_H[[NAME]:['#]],6,0)</f>
        <v>9</v>
      </c>
      <c r="I27" s="28">
        <f>VLOOKUP(Table106[[#This Row],[NAME]],BOS_H[[NAME]:['#]],7,0)</f>
        <v>3</v>
      </c>
      <c r="J27" s="28">
        <f>VLOOKUP(Table106[[#This Row],[NAME]],BOS_H[[NAME]:['#]],8,0)</f>
        <v>3</v>
      </c>
      <c r="K27" s="28">
        <f>VLOOKUP(Table106[[#This Row],[NAME]],BOS_H[[NAME]:['#]],9,0)</f>
        <v>0</v>
      </c>
      <c r="L27" s="28">
        <f>VLOOKUP(Table106[[#This Row],[NAME]],BOS_H[[NAME]:['#]],10,0)</f>
        <v>0</v>
      </c>
      <c r="M27" s="28">
        <f>VLOOKUP(Table106[[#This Row],[NAME]],BOS_H[[NAME]:['#]],11,0)</f>
        <v>2</v>
      </c>
      <c r="N27" s="28">
        <f>VLOOKUP(Table106[[#This Row],[NAME]],BOS_H[[NAME]:['#]],12,0)</f>
        <v>5</v>
      </c>
      <c r="O27" s="28">
        <f>VLOOKUP(Table106[[#This Row],[NAME]],BOS_H[[NAME]:['#]],13,0)</f>
        <v>1</v>
      </c>
      <c r="P27" s="28">
        <f>VLOOKUP(Table106[[#This Row],[NAME]],BOS_H[[NAME]:['#]],14,0)</f>
        <v>1</v>
      </c>
      <c r="Q27" s="77">
        <f>VLOOKUP(Table106[[#This Row],[NAME]],BOS_H[[NAME]:['#]],15,0)</f>
        <v>0</v>
      </c>
      <c r="R27" s="28">
        <f>VLOOKUP(Table106[[#This Row],[NAME]],BOS_H[[NAME]:['#]],16,0)</f>
        <v>3</v>
      </c>
      <c r="S27" s="28">
        <f>VLOOKUP(Table106[[#This Row],[NAME]],BOS_H[[NAME]:['#]],17,0)</f>
        <v>3</v>
      </c>
      <c r="T27" s="77">
        <f>VLOOKUP(Table106[[#This Row],[NAME]],BOS_H[[NAME]:['#]],18,0)</f>
        <v>9</v>
      </c>
      <c r="U27" s="72">
        <f>VLOOKUP(Table106[[#This Row],[NAME]],BOS_H[[NAME]:['#]],19,0)</f>
        <v>1.4</v>
      </c>
      <c r="V27" s="28">
        <f>VLOOKUP(Table106[[#This Row],[NAME]],BOS_H[[NAME]:['#]],20,0)</f>
        <v>0</v>
      </c>
      <c r="W27" s="75">
        <v>25</v>
      </c>
      <c r="Z27" s="101" t="s">
        <v>226</v>
      </c>
      <c r="AA27" s="77" t="s">
        <v>192</v>
      </c>
      <c r="AB27" s="77" t="s">
        <v>245</v>
      </c>
      <c r="AC27" s="130">
        <v>0</v>
      </c>
      <c r="AD27" s="72">
        <v>0.3</v>
      </c>
      <c r="AE27" s="72">
        <v>0</v>
      </c>
      <c r="AF27" s="77">
        <v>3</v>
      </c>
      <c r="AG27" s="28">
        <v>7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3</v>
      </c>
      <c r="AO27" s="28">
        <v>1</v>
      </c>
      <c r="AP27" s="77">
        <v>0</v>
      </c>
      <c r="AQ27" s="28">
        <v>0</v>
      </c>
      <c r="AR27" s="28">
        <v>0</v>
      </c>
      <c r="AS27" s="77">
        <v>0</v>
      </c>
      <c r="AT27" s="72">
        <v>0.3</v>
      </c>
      <c r="AU27" s="28">
        <v>0</v>
      </c>
      <c r="AV27" s="75">
        <v>25</v>
      </c>
      <c r="AY27" s="101" t="s">
        <v>226</v>
      </c>
      <c r="AZ27" s="77" t="s">
        <v>192</v>
      </c>
      <c r="BA27" s="77" t="s">
        <v>244</v>
      </c>
      <c r="BB27" s="130">
        <v>0.21568627450980393</v>
      </c>
      <c r="BC27" s="72">
        <v>0.27272727272727271</v>
      </c>
      <c r="BD27" s="72">
        <v>0.52941176470588236</v>
      </c>
      <c r="BE27" s="77">
        <v>17</v>
      </c>
      <c r="BF27" s="28">
        <v>51</v>
      </c>
      <c r="BG27" s="28">
        <v>6</v>
      </c>
      <c r="BH27" s="28">
        <v>11</v>
      </c>
      <c r="BI27" s="28">
        <v>2</v>
      </c>
      <c r="BJ27" s="28">
        <v>1</v>
      </c>
      <c r="BK27" s="28">
        <v>4</v>
      </c>
      <c r="BL27" s="28">
        <v>9</v>
      </c>
      <c r="BM27" s="28">
        <v>4</v>
      </c>
      <c r="BN27" s="28">
        <v>12</v>
      </c>
      <c r="BO27" s="77">
        <v>0</v>
      </c>
      <c r="BP27" s="28">
        <v>0</v>
      </c>
      <c r="BQ27" s="28">
        <v>2</v>
      </c>
      <c r="BR27" s="77">
        <v>27</v>
      </c>
      <c r="BS27" s="72">
        <v>0.80213903743315507</v>
      </c>
      <c r="BT27" s="28">
        <v>0</v>
      </c>
      <c r="BU27" s="75">
        <v>25</v>
      </c>
    </row>
    <row r="28" spans="1:73">
      <c r="A28" s="101" t="s">
        <v>226</v>
      </c>
      <c r="B28" s="71" t="s">
        <v>192</v>
      </c>
      <c r="C28" s="71" t="s">
        <v>248</v>
      </c>
      <c r="D28" s="72">
        <f>VLOOKUP(Table106[[#This Row],[NAME]],BOS_H[[NAME]:['#]],2,0)</f>
        <v>0</v>
      </c>
      <c r="E28" s="72">
        <f>VLOOKUP(Table106[[#This Row],[NAME]],BOS_H[[NAME]:['#]],3,0)</f>
        <v>0</v>
      </c>
      <c r="F28" s="478">
        <f>VLOOKUP(Table106[[#This Row],[NAME]],BOS_H[[NAME]:['#]],4,0)</f>
        <v>0</v>
      </c>
      <c r="G28" s="77">
        <f>VLOOKUP(Table106[[#This Row],[NAME]],BOS_H[[NAME]:['#]],5,0)</f>
        <v>0</v>
      </c>
      <c r="H28" s="28">
        <f>VLOOKUP(Table106[[#This Row],[NAME]],BOS_H[[NAME]:['#]],6,0)</f>
        <v>0</v>
      </c>
      <c r="I28" s="28">
        <f>VLOOKUP(Table106[[#This Row],[NAME]],BOS_H[[NAME]:['#]],7,0)</f>
        <v>0</v>
      </c>
      <c r="J28" s="28">
        <f>VLOOKUP(Table106[[#This Row],[NAME]],BOS_H[[NAME]:['#]],8,0)</f>
        <v>0</v>
      </c>
      <c r="K28" s="28">
        <f>VLOOKUP(Table106[[#This Row],[NAME]],BOS_H[[NAME]:['#]],9,0)</f>
        <v>0</v>
      </c>
      <c r="L28" s="28">
        <f>VLOOKUP(Table106[[#This Row],[NAME]],BOS_H[[NAME]:['#]],10,0)</f>
        <v>0</v>
      </c>
      <c r="M28" s="28">
        <f>VLOOKUP(Table106[[#This Row],[NAME]],BOS_H[[NAME]:['#]],11,0)</f>
        <v>0</v>
      </c>
      <c r="N28" s="28">
        <f>VLOOKUP(Table106[[#This Row],[NAME]],BOS_H[[NAME]:['#]],12,0)</f>
        <v>0</v>
      </c>
      <c r="O28" s="28">
        <f>VLOOKUP(Table106[[#This Row],[NAME]],BOS_H[[NAME]:['#]],13,0)</f>
        <v>0</v>
      </c>
      <c r="P28" s="28">
        <f>VLOOKUP(Table106[[#This Row],[NAME]],BOS_H[[NAME]:['#]],14,0)</f>
        <v>0</v>
      </c>
      <c r="Q28" s="77">
        <f>VLOOKUP(Table106[[#This Row],[NAME]],BOS_H[[NAME]:['#]],15,0)</f>
        <v>0</v>
      </c>
      <c r="R28" s="28">
        <f>VLOOKUP(Table106[[#This Row],[NAME]],BOS_H[[NAME]:['#]],16,0)</f>
        <v>0</v>
      </c>
      <c r="S28" s="28">
        <f>VLOOKUP(Table106[[#This Row],[NAME]],BOS_H[[NAME]:['#]],17,0)</f>
        <v>0</v>
      </c>
      <c r="T28" s="77">
        <f>VLOOKUP(Table106[[#This Row],[NAME]],BOS_H[[NAME]:['#]],18,0)</f>
        <v>0</v>
      </c>
      <c r="U28" s="72">
        <f>VLOOKUP(Table106[[#This Row],[NAME]],BOS_H[[NAME]:['#]],19,0)</f>
        <v>0</v>
      </c>
      <c r="V28" s="28">
        <f>VLOOKUP(Table106[[#This Row],[NAME]],BOS_H[[NAME]:['#]],20,0)</f>
        <v>0</v>
      </c>
      <c r="W28" s="75">
        <v>26</v>
      </c>
      <c r="Z28" s="101" t="s">
        <v>226</v>
      </c>
      <c r="AA28" s="77" t="s">
        <v>187</v>
      </c>
      <c r="AB28" s="77" t="s">
        <v>243</v>
      </c>
      <c r="AC28" s="130">
        <v>0.33333333333333331</v>
      </c>
      <c r="AD28" s="72">
        <v>0.33333333333333331</v>
      </c>
      <c r="AE28" s="72">
        <v>1.1111111111111112</v>
      </c>
      <c r="AF28" s="77">
        <v>3</v>
      </c>
      <c r="AG28" s="28">
        <v>9</v>
      </c>
      <c r="AH28" s="28">
        <v>3</v>
      </c>
      <c r="AI28" s="28">
        <v>3</v>
      </c>
      <c r="AJ28" s="28">
        <v>1</v>
      </c>
      <c r="AK28" s="28">
        <v>0</v>
      </c>
      <c r="AL28" s="28">
        <v>2</v>
      </c>
      <c r="AM28" s="28">
        <v>3</v>
      </c>
      <c r="AN28" s="28">
        <v>0</v>
      </c>
      <c r="AO28" s="28">
        <v>1</v>
      </c>
      <c r="AP28" s="77">
        <v>0</v>
      </c>
      <c r="AQ28" s="28">
        <v>2</v>
      </c>
      <c r="AR28" s="28">
        <v>2</v>
      </c>
      <c r="AS28" s="77">
        <v>10</v>
      </c>
      <c r="AT28" s="72">
        <v>1.4444444444444444</v>
      </c>
      <c r="AU28" s="28">
        <v>0</v>
      </c>
      <c r="AV28" s="75">
        <v>26</v>
      </c>
      <c r="AY28" s="101" t="s">
        <v>226</v>
      </c>
      <c r="AZ28" s="77" t="s">
        <v>187</v>
      </c>
      <c r="BA28" s="77" t="s">
        <v>243</v>
      </c>
      <c r="BB28" s="130">
        <v>0.18181818181818182</v>
      </c>
      <c r="BC28" s="72">
        <v>0.28000000000000003</v>
      </c>
      <c r="BD28" s="72">
        <v>0.36363636363636365</v>
      </c>
      <c r="BE28" s="77">
        <v>11</v>
      </c>
      <c r="BF28" s="28">
        <v>22</v>
      </c>
      <c r="BG28" s="28">
        <v>5</v>
      </c>
      <c r="BH28" s="28">
        <v>4</v>
      </c>
      <c r="BI28" s="28">
        <v>1</v>
      </c>
      <c r="BJ28" s="28">
        <v>0</v>
      </c>
      <c r="BK28" s="28">
        <v>1</v>
      </c>
      <c r="BL28" s="28">
        <v>1</v>
      </c>
      <c r="BM28" s="28">
        <v>3</v>
      </c>
      <c r="BN28" s="28">
        <v>3</v>
      </c>
      <c r="BO28" s="77">
        <v>0</v>
      </c>
      <c r="BP28" s="28">
        <v>1</v>
      </c>
      <c r="BQ28" s="28">
        <v>2</v>
      </c>
      <c r="BR28" s="77">
        <v>8</v>
      </c>
      <c r="BS28" s="72">
        <v>0.64363636363636367</v>
      </c>
      <c r="BT28" s="28">
        <v>0</v>
      </c>
      <c r="BU28" s="75">
        <v>26</v>
      </c>
    </row>
    <row r="29" spans="1:73">
      <c r="A29" s="101" t="s">
        <v>226</v>
      </c>
      <c r="B29" s="71" t="s">
        <v>186</v>
      </c>
      <c r="C29" s="71" t="s">
        <v>231</v>
      </c>
      <c r="D29" s="72">
        <f>VLOOKUP(Table106[[#This Row],[NAME]],BOS_H[[NAME]:['#]],2,0)</f>
        <v>0.21666666666666667</v>
      </c>
      <c r="E29" s="72">
        <f>VLOOKUP(Table106[[#This Row],[NAME]],BOS_H[[NAME]:['#]],3,0)</f>
        <v>0.29850746268656714</v>
      </c>
      <c r="F29" s="478">
        <f>VLOOKUP(Table106[[#This Row],[NAME]],BOS_H[[NAME]:['#]],4,0)</f>
        <v>0.36666666666666664</v>
      </c>
      <c r="G29" s="77">
        <f>VLOOKUP(Table106[[#This Row],[NAME]],BOS_H[[NAME]:['#]],5,0)</f>
        <v>16</v>
      </c>
      <c r="H29" s="28">
        <f>VLOOKUP(Table106[[#This Row],[NAME]],BOS_H[[NAME]:['#]],6,0)</f>
        <v>60</v>
      </c>
      <c r="I29" s="28">
        <f>VLOOKUP(Table106[[#This Row],[NAME]],BOS_H[[NAME]:['#]],7,0)</f>
        <v>8</v>
      </c>
      <c r="J29" s="28">
        <f>VLOOKUP(Table106[[#This Row],[NAME]],BOS_H[[NAME]:['#]],8,0)</f>
        <v>13</v>
      </c>
      <c r="K29" s="28">
        <f>VLOOKUP(Table106[[#This Row],[NAME]],BOS_H[[NAME]:['#]],9,0)</f>
        <v>4</v>
      </c>
      <c r="L29" s="28">
        <f>VLOOKUP(Table106[[#This Row],[NAME]],BOS_H[[NAME]:['#]],10,0)</f>
        <v>1</v>
      </c>
      <c r="M29" s="28">
        <f>VLOOKUP(Table106[[#This Row],[NAME]],BOS_H[[NAME]:['#]],11,0)</f>
        <v>1</v>
      </c>
      <c r="N29" s="28">
        <f>VLOOKUP(Table106[[#This Row],[NAME]],BOS_H[[NAME]:['#]],12,0)</f>
        <v>7</v>
      </c>
      <c r="O29" s="28">
        <f>VLOOKUP(Table106[[#This Row],[NAME]],BOS_H[[NAME]:['#]],13,0)</f>
        <v>7</v>
      </c>
      <c r="P29" s="28">
        <f>VLOOKUP(Table106[[#This Row],[NAME]],BOS_H[[NAME]:['#]],14,0)</f>
        <v>18</v>
      </c>
      <c r="Q29" s="77">
        <f>VLOOKUP(Table106[[#This Row],[NAME]],BOS_H[[NAME]:['#]],15,0)</f>
        <v>0</v>
      </c>
      <c r="R29" s="28">
        <f>VLOOKUP(Table106[[#This Row],[NAME]],BOS_H[[NAME]:['#]],16,0)</f>
        <v>0</v>
      </c>
      <c r="S29" s="28">
        <f>VLOOKUP(Table106[[#This Row],[NAME]],BOS_H[[NAME]:['#]],17,0)</f>
        <v>2</v>
      </c>
      <c r="T29" s="77">
        <f>VLOOKUP(Table106[[#This Row],[NAME]],BOS_H[[NAME]:['#]],18,0)</f>
        <v>22</v>
      </c>
      <c r="U29" s="72">
        <f>VLOOKUP(Table106[[#This Row],[NAME]],BOS_H[[NAME]:['#]],19,0)</f>
        <v>0.66517412935323383</v>
      </c>
      <c r="V29" s="28">
        <f>VLOOKUP(Table106[[#This Row],[NAME]],BOS_H[[NAME]:['#]],20,0)</f>
        <v>0</v>
      </c>
      <c r="W29" s="75">
        <v>27</v>
      </c>
      <c r="Z29" s="101" t="s">
        <v>226</v>
      </c>
      <c r="AA29" s="77" t="s">
        <v>186</v>
      </c>
      <c r="AB29" s="77" t="s">
        <v>227</v>
      </c>
      <c r="AC29" s="130">
        <v>0.22222222222222221</v>
      </c>
      <c r="AD29" s="72">
        <v>0.3</v>
      </c>
      <c r="AE29" s="72">
        <v>0.44444444444444442</v>
      </c>
      <c r="AF29" s="77">
        <v>6</v>
      </c>
      <c r="AG29" s="28">
        <v>9</v>
      </c>
      <c r="AH29" s="28">
        <v>3</v>
      </c>
      <c r="AI29" s="28">
        <v>2</v>
      </c>
      <c r="AJ29" s="28">
        <v>0</v>
      </c>
      <c r="AK29" s="28">
        <v>1</v>
      </c>
      <c r="AL29" s="28">
        <v>0</v>
      </c>
      <c r="AM29" s="28">
        <v>0</v>
      </c>
      <c r="AN29" s="28">
        <v>1</v>
      </c>
      <c r="AO29" s="28">
        <v>2</v>
      </c>
      <c r="AP29" s="77">
        <v>0</v>
      </c>
      <c r="AQ29" s="28">
        <v>1</v>
      </c>
      <c r="AR29" s="28">
        <v>1</v>
      </c>
      <c r="AS29" s="77">
        <v>4</v>
      </c>
      <c r="AT29" s="72">
        <v>0.74444444444444446</v>
      </c>
      <c r="AU29" s="28">
        <v>0</v>
      </c>
      <c r="AV29" s="75">
        <v>27</v>
      </c>
      <c r="AY29" s="101" t="s">
        <v>226</v>
      </c>
      <c r="AZ29" s="77" t="s">
        <v>184</v>
      </c>
      <c r="BA29" s="77" t="s">
        <v>227</v>
      </c>
      <c r="BB29" s="130">
        <v>0.2</v>
      </c>
      <c r="BC29" s="72">
        <v>0.30434782608695654</v>
      </c>
      <c r="BD29" s="72">
        <v>0.3</v>
      </c>
      <c r="BE29" s="77">
        <v>15</v>
      </c>
      <c r="BF29" s="28">
        <v>20</v>
      </c>
      <c r="BG29" s="28">
        <v>4</v>
      </c>
      <c r="BH29" s="28">
        <v>4</v>
      </c>
      <c r="BI29" s="28">
        <v>2</v>
      </c>
      <c r="BJ29" s="28">
        <v>0</v>
      </c>
      <c r="BK29" s="28">
        <v>0</v>
      </c>
      <c r="BL29" s="28">
        <v>2</v>
      </c>
      <c r="BM29" s="28">
        <v>3</v>
      </c>
      <c r="BN29" s="28">
        <v>5</v>
      </c>
      <c r="BO29" s="77">
        <v>0</v>
      </c>
      <c r="BP29" s="28">
        <v>2</v>
      </c>
      <c r="BQ29" s="28">
        <v>2</v>
      </c>
      <c r="BR29" s="77">
        <v>6</v>
      </c>
      <c r="BS29" s="72">
        <v>0.60434782608695659</v>
      </c>
      <c r="BT29" s="28">
        <v>0</v>
      </c>
      <c r="BU29" s="75">
        <v>27</v>
      </c>
    </row>
    <row r="30" spans="1:73">
      <c r="A30" s="101" t="s">
        <v>226</v>
      </c>
      <c r="B30" s="71" t="s">
        <v>186</v>
      </c>
      <c r="C30" s="71" t="s">
        <v>242</v>
      </c>
      <c r="D30" s="72">
        <f>VLOOKUP(Table106[[#This Row],[NAME]],BOS_H[[NAME]:['#]],2,0)</f>
        <v>0</v>
      </c>
      <c r="E30" s="72">
        <f>VLOOKUP(Table106[[#This Row],[NAME]],BOS_H[[NAME]:['#]],3,0)</f>
        <v>0.5</v>
      </c>
      <c r="F30" s="478">
        <f>VLOOKUP(Table106[[#This Row],[NAME]],BOS_H[[NAME]:['#]],4,0)</f>
        <v>0</v>
      </c>
      <c r="G30" s="77">
        <f>VLOOKUP(Table106[[#This Row],[NAME]],BOS_H[[NAME]:['#]],5,0)</f>
        <v>6</v>
      </c>
      <c r="H30" s="28">
        <f>VLOOKUP(Table106[[#This Row],[NAME]],BOS_H[[NAME]:['#]],6,0)</f>
        <v>1</v>
      </c>
      <c r="I30" s="28">
        <f>VLOOKUP(Table106[[#This Row],[NAME]],BOS_H[[NAME]:['#]],7,0)</f>
        <v>3</v>
      </c>
      <c r="J30" s="28">
        <f>VLOOKUP(Table106[[#This Row],[NAME]],BOS_H[[NAME]:['#]],8,0)</f>
        <v>0</v>
      </c>
      <c r="K30" s="28">
        <f>VLOOKUP(Table106[[#This Row],[NAME]],BOS_H[[NAME]:['#]],9,0)</f>
        <v>0</v>
      </c>
      <c r="L30" s="28">
        <f>VLOOKUP(Table106[[#This Row],[NAME]],BOS_H[[NAME]:['#]],10,0)</f>
        <v>0</v>
      </c>
      <c r="M30" s="28">
        <f>VLOOKUP(Table106[[#This Row],[NAME]],BOS_H[[NAME]:['#]],11,0)</f>
        <v>0</v>
      </c>
      <c r="N30" s="28">
        <f>VLOOKUP(Table106[[#This Row],[NAME]],BOS_H[[NAME]:['#]],12,0)</f>
        <v>0</v>
      </c>
      <c r="O30" s="28">
        <f>VLOOKUP(Table106[[#This Row],[NAME]],BOS_H[[NAME]:['#]],13,0)</f>
        <v>1</v>
      </c>
      <c r="P30" s="28">
        <f>VLOOKUP(Table106[[#This Row],[NAME]],BOS_H[[NAME]:['#]],14,0)</f>
        <v>0</v>
      </c>
      <c r="Q30" s="77">
        <f>VLOOKUP(Table106[[#This Row],[NAME]],BOS_H[[NAME]:['#]],15,0)</f>
        <v>0</v>
      </c>
      <c r="R30" s="28">
        <f>VLOOKUP(Table106[[#This Row],[NAME]],BOS_H[[NAME]:['#]],16,0)</f>
        <v>0</v>
      </c>
      <c r="S30" s="28">
        <f>VLOOKUP(Table106[[#This Row],[NAME]],BOS_H[[NAME]:['#]],17,0)</f>
        <v>0</v>
      </c>
      <c r="T30" s="77">
        <f>VLOOKUP(Table106[[#This Row],[NAME]],BOS_H[[NAME]:['#]],18,0)</f>
        <v>0</v>
      </c>
      <c r="U30" s="72">
        <f>VLOOKUP(Table106[[#This Row],[NAME]],BOS_H[[NAME]:['#]],19,0)</f>
        <v>0.5</v>
      </c>
      <c r="V30" s="28">
        <f>VLOOKUP(Table106[[#This Row],[NAME]],BOS_H[[NAME]:['#]],20,0)</f>
        <v>0</v>
      </c>
      <c r="W30" s="75">
        <v>28</v>
      </c>
      <c r="Z30" s="101" t="s">
        <v>226</v>
      </c>
      <c r="AA30" s="77" t="s">
        <v>186</v>
      </c>
      <c r="AB30" s="77" t="s">
        <v>242</v>
      </c>
      <c r="AC30" s="130">
        <v>0.2</v>
      </c>
      <c r="AD30" s="72">
        <v>0.42857142857142855</v>
      </c>
      <c r="AE30" s="72">
        <v>0.8</v>
      </c>
      <c r="AF30" s="77">
        <v>4</v>
      </c>
      <c r="AG30" s="28">
        <v>5</v>
      </c>
      <c r="AH30" s="28">
        <v>1</v>
      </c>
      <c r="AI30" s="28">
        <v>1</v>
      </c>
      <c r="AJ30" s="28">
        <v>0</v>
      </c>
      <c r="AK30" s="28">
        <v>0</v>
      </c>
      <c r="AL30" s="28">
        <v>1</v>
      </c>
      <c r="AM30" s="28">
        <v>3</v>
      </c>
      <c r="AN30" s="28">
        <v>2</v>
      </c>
      <c r="AO30" s="28">
        <v>0</v>
      </c>
      <c r="AP30" s="77">
        <v>0</v>
      </c>
      <c r="AQ30" s="28">
        <v>1</v>
      </c>
      <c r="AR30" s="28">
        <v>1</v>
      </c>
      <c r="AS30" s="77">
        <v>4</v>
      </c>
      <c r="AT30" s="72">
        <v>1.2285714285714286</v>
      </c>
      <c r="AU30" s="28">
        <v>0</v>
      </c>
      <c r="AV30" s="75">
        <v>28</v>
      </c>
      <c r="AY30" s="101" t="s">
        <v>226</v>
      </c>
      <c r="AZ30" s="77" t="s">
        <v>186</v>
      </c>
      <c r="BA30" s="77" t="s">
        <v>247</v>
      </c>
      <c r="BB30" s="130">
        <v>0.2857142857142857</v>
      </c>
      <c r="BC30" s="72">
        <v>0.33333333333333331</v>
      </c>
      <c r="BD30" s="72">
        <v>0.5</v>
      </c>
      <c r="BE30" s="77">
        <v>9</v>
      </c>
      <c r="BF30" s="28">
        <v>14</v>
      </c>
      <c r="BG30" s="28">
        <v>2</v>
      </c>
      <c r="BH30" s="28">
        <v>4</v>
      </c>
      <c r="BI30" s="28">
        <v>1</v>
      </c>
      <c r="BJ30" s="28">
        <v>1</v>
      </c>
      <c r="BK30" s="28">
        <v>0</v>
      </c>
      <c r="BL30" s="28">
        <v>0</v>
      </c>
      <c r="BM30" s="28">
        <v>1</v>
      </c>
      <c r="BN30" s="28">
        <v>7</v>
      </c>
      <c r="BO30" s="77">
        <v>0</v>
      </c>
      <c r="BP30" s="28">
        <v>3</v>
      </c>
      <c r="BQ30" s="28">
        <v>3</v>
      </c>
      <c r="BR30" s="77">
        <v>7</v>
      </c>
      <c r="BS30" s="72">
        <v>0.83333333333333326</v>
      </c>
      <c r="BT30" s="28">
        <v>0</v>
      </c>
      <c r="BU30" s="75">
        <v>28</v>
      </c>
    </row>
    <row r="31" spans="1:73">
      <c r="A31" s="101" t="s">
        <v>266</v>
      </c>
      <c r="B31" s="71" t="s">
        <v>179</v>
      </c>
      <c r="C31" s="71" t="s">
        <v>275</v>
      </c>
      <c r="D31" s="72">
        <f>VLOOKUP(Table106[[#This Row],[NAME]],TOR_H[[NAME]:['#]],2,0)</f>
        <v>0.27272727272727271</v>
      </c>
      <c r="E31" s="72">
        <f>VLOOKUP(Table106[[#This Row],[NAME]],TOR_H[[NAME]:['#]],3,0)</f>
        <v>0.32307692307692309</v>
      </c>
      <c r="F31" s="72">
        <f>VLOOKUP(Table106[[#This Row],[NAME]],TOR_H[[NAME]:['#]],4,0)</f>
        <v>0.39669421487603307</v>
      </c>
      <c r="G31" s="77">
        <f>VLOOKUP(Table106[[#This Row],[NAME]],TOR_H[[NAME]:['#]],5,0)</f>
        <v>32</v>
      </c>
      <c r="H31" s="28">
        <f>VLOOKUP(Table106[[#This Row],[NAME]],TOR_H[[NAME]:['#]],6,0)</f>
        <v>121</v>
      </c>
      <c r="I31" s="28">
        <f>VLOOKUP(Table106[[#This Row],[NAME]],TOR_H[[NAME]:['#]],7,0)</f>
        <v>13</v>
      </c>
      <c r="J31" s="28">
        <f>VLOOKUP(Table106[[#This Row],[NAME]],TOR_H[[NAME]:['#]],8,0)</f>
        <v>33</v>
      </c>
      <c r="K31" s="28">
        <f>VLOOKUP(Table106[[#This Row],[NAME]],TOR_H[[NAME]:['#]],9,0)</f>
        <v>3</v>
      </c>
      <c r="L31" s="28">
        <f>VLOOKUP(Table106[[#This Row],[NAME]],TOR_H[[NAME]:['#]],10,0)</f>
        <v>0</v>
      </c>
      <c r="M31" s="28">
        <f>VLOOKUP(Table106[[#This Row],[NAME]],TOR_H[[NAME]:['#]],11,0)</f>
        <v>4</v>
      </c>
      <c r="N31" s="28">
        <f>VLOOKUP(Table106[[#This Row],[NAME]],TOR_H[[NAME]:['#]],12,0)</f>
        <v>14</v>
      </c>
      <c r="O31" s="28">
        <f>VLOOKUP(Table106[[#This Row],[NAME]],TOR_H[[NAME]:['#]],13,0)</f>
        <v>9</v>
      </c>
      <c r="P31" s="28">
        <f>VLOOKUP(Table106[[#This Row],[NAME]],TOR_H[[NAME]:['#]],14,0)</f>
        <v>27</v>
      </c>
      <c r="Q31" s="77">
        <f>VLOOKUP(Table106[[#This Row],[NAME]],TOR_H[[NAME]:['#]],15,0)</f>
        <v>0</v>
      </c>
      <c r="R31" s="28">
        <f>VLOOKUP(Table106[[#This Row],[NAME]],TOR_H[[NAME]:['#]],16,0)</f>
        <v>2</v>
      </c>
      <c r="S31" s="28">
        <f>VLOOKUP(Table106[[#This Row],[NAME]],TOR_H[[NAME]:['#]],17,0)</f>
        <v>9</v>
      </c>
      <c r="T31" s="77">
        <f>VLOOKUP(Table106[[#This Row],[NAME]],TOR_H[[NAME]:['#]],18,0)</f>
        <v>48</v>
      </c>
      <c r="U31" s="72">
        <f>VLOOKUP(Table106[[#This Row],[NAME]],TOR_H[[NAME]:['#]],19,0)</f>
        <v>0.71977113795295611</v>
      </c>
      <c r="V31" s="28">
        <f>VLOOKUP(Table106[[#This Row],[NAME]],TOR_H[[NAME]:['#]],20,0)</f>
        <v>1</v>
      </c>
      <c r="W31" s="75">
        <v>29</v>
      </c>
      <c r="Z31" s="365" t="s">
        <v>266</v>
      </c>
      <c r="AA31" s="77" t="s">
        <v>179</v>
      </c>
      <c r="AB31" s="77" t="s">
        <v>275</v>
      </c>
      <c r="AC31" s="130">
        <v>0.27380952380952384</v>
      </c>
      <c r="AD31" s="72">
        <v>0.38383838383838381</v>
      </c>
      <c r="AE31" s="72">
        <v>0.42857142857142855</v>
      </c>
      <c r="AF31" s="77">
        <v>27</v>
      </c>
      <c r="AG31" s="28">
        <v>84</v>
      </c>
      <c r="AH31" s="28">
        <v>14</v>
      </c>
      <c r="AI31" s="28">
        <v>23</v>
      </c>
      <c r="AJ31" s="28">
        <v>4</v>
      </c>
      <c r="AK31" s="28">
        <v>0</v>
      </c>
      <c r="AL31" s="28">
        <v>3</v>
      </c>
      <c r="AM31" s="28">
        <v>11</v>
      </c>
      <c r="AN31" s="28">
        <v>15</v>
      </c>
      <c r="AO31" s="28">
        <v>16</v>
      </c>
      <c r="AP31" s="77">
        <v>0</v>
      </c>
      <c r="AQ31" s="28">
        <v>4</v>
      </c>
      <c r="AR31" s="28">
        <v>6</v>
      </c>
      <c r="AS31" s="77">
        <v>36</v>
      </c>
      <c r="AT31" s="72">
        <v>0.81240981240981236</v>
      </c>
      <c r="AU31" s="28">
        <v>1</v>
      </c>
      <c r="AV31" s="75">
        <v>29</v>
      </c>
      <c r="AY31" s="101" t="s">
        <v>266</v>
      </c>
      <c r="AZ31" s="77" t="s">
        <v>179</v>
      </c>
      <c r="BA31" s="77" t="s">
        <v>278</v>
      </c>
      <c r="BB31" s="130">
        <v>0.19718309859154928</v>
      </c>
      <c r="BC31" s="72">
        <v>0.32142857142857145</v>
      </c>
      <c r="BD31" s="72">
        <v>0.40845070422535212</v>
      </c>
      <c r="BE31" s="77">
        <v>26</v>
      </c>
      <c r="BF31" s="28">
        <v>71</v>
      </c>
      <c r="BG31" s="28">
        <v>10</v>
      </c>
      <c r="BH31" s="28">
        <v>14</v>
      </c>
      <c r="BI31" s="28">
        <v>3</v>
      </c>
      <c r="BJ31" s="28">
        <v>0</v>
      </c>
      <c r="BK31" s="28">
        <v>4</v>
      </c>
      <c r="BL31" s="28">
        <v>9</v>
      </c>
      <c r="BM31" s="28">
        <v>13</v>
      </c>
      <c r="BN31" s="28">
        <v>18</v>
      </c>
      <c r="BO31" s="77">
        <v>0</v>
      </c>
      <c r="BP31" s="28">
        <v>1</v>
      </c>
      <c r="BQ31" s="28">
        <v>4</v>
      </c>
      <c r="BR31" s="77">
        <v>29</v>
      </c>
      <c r="BS31" s="72">
        <v>0.72987927565392363</v>
      </c>
      <c r="BT31" s="28">
        <v>0</v>
      </c>
      <c r="BU31" s="75">
        <v>29</v>
      </c>
    </row>
    <row r="32" spans="1:73">
      <c r="A32" s="101" t="s">
        <v>266</v>
      </c>
      <c r="B32" s="71" t="s">
        <v>154</v>
      </c>
      <c r="C32" s="71" t="s">
        <v>277</v>
      </c>
      <c r="D32" s="72">
        <f>VLOOKUP(Table106[[#This Row],[NAME]],TOR_H[[NAME]:['#]],2,0)</f>
        <v>0.2013888888888889</v>
      </c>
      <c r="E32" s="72">
        <f>VLOOKUP(Table106[[#This Row],[NAME]],TOR_H[[NAME]:['#]],3,0)</f>
        <v>0.29012345679012347</v>
      </c>
      <c r="F32" s="72">
        <f>VLOOKUP(Table106[[#This Row],[NAME]],TOR_H[[NAME]:['#]],4,0)</f>
        <v>0.3125</v>
      </c>
      <c r="G32" s="77">
        <f>VLOOKUP(Table106[[#This Row],[NAME]],TOR_H[[NAME]:['#]],5,0)</f>
        <v>40</v>
      </c>
      <c r="H32" s="28">
        <f>VLOOKUP(Table106[[#This Row],[NAME]],TOR_H[[NAME]:['#]],6,0)</f>
        <v>144</v>
      </c>
      <c r="I32" s="28">
        <f>VLOOKUP(Table106[[#This Row],[NAME]],TOR_H[[NAME]:['#]],7,0)</f>
        <v>15</v>
      </c>
      <c r="J32" s="28">
        <f>VLOOKUP(Table106[[#This Row],[NAME]],TOR_H[[NAME]:['#]],8,0)</f>
        <v>29</v>
      </c>
      <c r="K32" s="28">
        <f>VLOOKUP(Table106[[#This Row],[NAME]],TOR_H[[NAME]:['#]],9,0)</f>
        <v>8</v>
      </c>
      <c r="L32" s="28">
        <f>VLOOKUP(Table106[[#This Row],[NAME]],TOR_H[[NAME]:['#]],10,0)</f>
        <v>1</v>
      </c>
      <c r="M32" s="28">
        <f>VLOOKUP(Table106[[#This Row],[NAME]],TOR_H[[NAME]:['#]],11,0)</f>
        <v>2</v>
      </c>
      <c r="N32" s="28">
        <f>VLOOKUP(Table106[[#This Row],[NAME]],TOR_H[[NAME]:['#]],12,0)</f>
        <v>8</v>
      </c>
      <c r="O32" s="28">
        <f>VLOOKUP(Table106[[#This Row],[NAME]],TOR_H[[NAME]:['#]],13,0)</f>
        <v>18</v>
      </c>
      <c r="P32" s="28">
        <f>VLOOKUP(Table106[[#This Row],[NAME]],TOR_H[[NAME]:['#]],14,0)</f>
        <v>52</v>
      </c>
      <c r="Q32" s="77">
        <f>VLOOKUP(Table106[[#This Row],[NAME]],TOR_H[[NAME]:['#]],15,0)</f>
        <v>0</v>
      </c>
      <c r="R32" s="28">
        <f>VLOOKUP(Table106[[#This Row],[NAME]],TOR_H[[NAME]:['#]],16,0)</f>
        <v>3</v>
      </c>
      <c r="S32" s="28">
        <f>VLOOKUP(Table106[[#This Row],[NAME]],TOR_H[[NAME]:['#]],17,0)</f>
        <v>3</v>
      </c>
      <c r="T32" s="77">
        <f>VLOOKUP(Table106[[#This Row],[NAME]],TOR_H[[NAME]:['#]],18,0)</f>
        <v>45</v>
      </c>
      <c r="U32" s="72">
        <f>VLOOKUP(Table106[[#This Row],[NAME]],TOR_H[[NAME]:['#]],19,0)</f>
        <v>0.60262345679012341</v>
      </c>
      <c r="V32" s="28">
        <f>VLOOKUP(Table106[[#This Row],[NAME]],TOR_H[[NAME]:['#]],20,0)</f>
        <v>1</v>
      </c>
      <c r="W32" s="75">
        <v>30</v>
      </c>
      <c r="Z32" s="365" t="s">
        <v>266</v>
      </c>
      <c r="AA32" s="77" t="s">
        <v>154</v>
      </c>
      <c r="AB32" s="77" t="s">
        <v>277</v>
      </c>
      <c r="AC32" s="130">
        <v>0.16788321167883211</v>
      </c>
      <c r="AD32" s="72">
        <v>0.25</v>
      </c>
      <c r="AE32" s="72">
        <v>0.29197080291970801</v>
      </c>
      <c r="AF32" s="77">
        <v>40</v>
      </c>
      <c r="AG32" s="28">
        <v>137</v>
      </c>
      <c r="AH32" s="28">
        <v>10</v>
      </c>
      <c r="AI32" s="28">
        <v>23</v>
      </c>
      <c r="AJ32" s="28">
        <v>8</v>
      </c>
      <c r="AK32" s="28">
        <v>0</v>
      </c>
      <c r="AL32" s="28">
        <v>3</v>
      </c>
      <c r="AM32" s="28">
        <v>12</v>
      </c>
      <c r="AN32" s="28">
        <v>15</v>
      </c>
      <c r="AO32" s="28">
        <v>56</v>
      </c>
      <c r="AP32" s="77">
        <v>0</v>
      </c>
      <c r="AQ32" s="28">
        <v>1</v>
      </c>
      <c r="AR32" s="28">
        <v>6</v>
      </c>
      <c r="AS32" s="77">
        <v>40</v>
      </c>
      <c r="AT32" s="72">
        <v>0.54197080291970801</v>
      </c>
      <c r="AU32" s="28">
        <v>1</v>
      </c>
      <c r="AV32" s="75">
        <v>30</v>
      </c>
      <c r="AY32" s="101" t="s">
        <v>266</v>
      </c>
      <c r="AZ32" s="77" t="s">
        <v>154</v>
      </c>
      <c r="BA32" s="77" t="s">
        <v>274</v>
      </c>
      <c r="BB32" s="130">
        <v>0.26712328767123289</v>
      </c>
      <c r="BC32" s="72">
        <v>0.33950617283950618</v>
      </c>
      <c r="BD32" s="72">
        <v>0.49315068493150682</v>
      </c>
      <c r="BE32" s="77">
        <v>40</v>
      </c>
      <c r="BF32" s="28">
        <v>146</v>
      </c>
      <c r="BG32" s="28">
        <v>22</v>
      </c>
      <c r="BH32" s="28">
        <v>39</v>
      </c>
      <c r="BI32" s="28">
        <v>8</v>
      </c>
      <c r="BJ32" s="28">
        <v>2</v>
      </c>
      <c r="BK32" s="28">
        <v>7</v>
      </c>
      <c r="BL32" s="28">
        <v>23</v>
      </c>
      <c r="BM32" s="28">
        <v>16</v>
      </c>
      <c r="BN32" s="28">
        <v>42</v>
      </c>
      <c r="BO32" s="77">
        <v>0</v>
      </c>
      <c r="BP32" s="28">
        <v>1</v>
      </c>
      <c r="BQ32" s="28">
        <v>7</v>
      </c>
      <c r="BR32" s="77">
        <v>72</v>
      </c>
      <c r="BS32" s="72">
        <v>0.83265685777101295</v>
      </c>
      <c r="BT32" s="28">
        <v>1</v>
      </c>
      <c r="BU32" s="75">
        <v>30</v>
      </c>
    </row>
    <row r="33" spans="1:73">
      <c r="A33" s="101" t="s">
        <v>266</v>
      </c>
      <c r="B33" s="71" t="s">
        <v>172</v>
      </c>
      <c r="C33" s="71" t="s">
        <v>268</v>
      </c>
      <c r="D33" s="72">
        <f>VLOOKUP(Table106[[#This Row],[NAME]],TOR_H[[NAME]:['#]],2,0)</f>
        <v>0.25730994152046782</v>
      </c>
      <c r="E33" s="72">
        <f>VLOOKUP(Table106[[#This Row],[NAME]],TOR_H[[NAME]:['#]],3,0)</f>
        <v>0.28651685393258425</v>
      </c>
      <c r="F33" s="72">
        <f>VLOOKUP(Table106[[#This Row],[NAME]],TOR_H[[NAME]:['#]],4,0)</f>
        <v>0.38011695906432746</v>
      </c>
      <c r="G33" s="77">
        <f>VLOOKUP(Table106[[#This Row],[NAME]],TOR_H[[NAME]:['#]],5,0)</f>
        <v>40</v>
      </c>
      <c r="H33" s="28">
        <f>VLOOKUP(Table106[[#This Row],[NAME]],TOR_H[[NAME]:['#]],6,0)</f>
        <v>171</v>
      </c>
      <c r="I33" s="28">
        <f>VLOOKUP(Table106[[#This Row],[NAME]],TOR_H[[NAME]:['#]],7,0)</f>
        <v>12</v>
      </c>
      <c r="J33" s="28">
        <f>VLOOKUP(Table106[[#This Row],[NAME]],TOR_H[[NAME]:['#]],8,0)</f>
        <v>44</v>
      </c>
      <c r="K33" s="28">
        <f>VLOOKUP(Table106[[#This Row],[NAME]],TOR_H[[NAME]:['#]],9,0)</f>
        <v>6</v>
      </c>
      <c r="L33" s="28">
        <f>VLOOKUP(Table106[[#This Row],[NAME]],TOR_H[[NAME]:['#]],10,0)</f>
        <v>0</v>
      </c>
      <c r="M33" s="28">
        <f>VLOOKUP(Table106[[#This Row],[NAME]],TOR_H[[NAME]:['#]],11,0)</f>
        <v>5</v>
      </c>
      <c r="N33" s="28">
        <f>VLOOKUP(Table106[[#This Row],[NAME]],TOR_H[[NAME]:['#]],12,0)</f>
        <v>19</v>
      </c>
      <c r="O33" s="28">
        <f>VLOOKUP(Table106[[#This Row],[NAME]],TOR_H[[NAME]:['#]],13,0)</f>
        <v>7</v>
      </c>
      <c r="P33" s="28">
        <f>VLOOKUP(Table106[[#This Row],[NAME]],TOR_H[[NAME]:['#]],14,0)</f>
        <v>49</v>
      </c>
      <c r="Q33" s="77">
        <f>VLOOKUP(Table106[[#This Row],[NAME]],TOR_H[[NAME]:['#]],15,0)</f>
        <v>0</v>
      </c>
      <c r="R33" s="28">
        <f>VLOOKUP(Table106[[#This Row],[NAME]],TOR_H[[NAME]:['#]],16,0)</f>
        <v>3</v>
      </c>
      <c r="S33" s="28">
        <f>VLOOKUP(Table106[[#This Row],[NAME]],TOR_H[[NAME]:['#]],17,0)</f>
        <v>7</v>
      </c>
      <c r="T33" s="77">
        <f>VLOOKUP(Table106[[#This Row],[NAME]],TOR_H[[NAME]:['#]],18,0)</f>
        <v>65</v>
      </c>
      <c r="U33" s="72">
        <f>VLOOKUP(Table106[[#This Row],[NAME]],TOR_H[[NAME]:['#]],19,0)</f>
        <v>0.66663381299691171</v>
      </c>
      <c r="V33" s="28">
        <f>VLOOKUP(Table106[[#This Row],[NAME]],TOR_H[[NAME]:['#]],20,0)</f>
        <v>0</v>
      </c>
      <c r="W33" s="75">
        <v>31</v>
      </c>
      <c r="Z33" s="365" t="s">
        <v>266</v>
      </c>
      <c r="AA33" s="352" t="s">
        <v>172</v>
      </c>
      <c r="AB33" s="77" t="s">
        <v>268</v>
      </c>
      <c r="AC33" s="130">
        <v>0.28658536585365851</v>
      </c>
      <c r="AD33" s="72">
        <v>0.31578947368421051</v>
      </c>
      <c r="AE33" s="72">
        <v>0.57926829268292679</v>
      </c>
      <c r="AF33" s="77">
        <v>39</v>
      </c>
      <c r="AG33" s="28">
        <v>164</v>
      </c>
      <c r="AH33" s="28">
        <v>26</v>
      </c>
      <c r="AI33" s="28">
        <v>47</v>
      </c>
      <c r="AJ33" s="28">
        <v>12</v>
      </c>
      <c r="AK33" s="28">
        <v>0</v>
      </c>
      <c r="AL33" s="28">
        <v>12</v>
      </c>
      <c r="AM33" s="28">
        <v>26</v>
      </c>
      <c r="AN33" s="28">
        <v>7</v>
      </c>
      <c r="AO33" s="28">
        <v>45</v>
      </c>
      <c r="AP33" s="77">
        <v>1</v>
      </c>
      <c r="AQ33" s="28">
        <v>0</v>
      </c>
      <c r="AR33" s="28">
        <v>15</v>
      </c>
      <c r="AS33" s="352">
        <v>95</v>
      </c>
      <c r="AT33" s="72">
        <v>0.8950577663671373</v>
      </c>
      <c r="AU33" s="28">
        <v>5</v>
      </c>
      <c r="AV33" s="75">
        <v>31</v>
      </c>
      <c r="AY33" s="101" t="s">
        <v>266</v>
      </c>
      <c r="AZ33" s="77" t="s">
        <v>172</v>
      </c>
      <c r="BA33" s="77" t="s">
        <v>268</v>
      </c>
      <c r="BB33" s="130">
        <v>0.20945945945945946</v>
      </c>
      <c r="BC33" s="72">
        <v>0.26415094339622641</v>
      </c>
      <c r="BD33" s="72">
        <v>0.3108108108108108</v>
      </c>
      <c r="BE33" s="77">
        <v>39</v>
      </c>
      <c r="BF33" s="28">
        <v>148</v>
      </c>
      <c r="BG33" s="28">
        <v>17</v>
      </c>
      <c r="BH33" s="28">
        <v>31</v>
      </c>
      <c r="BI33" s="28">
        <v>3</v>
      </c>
      <c r="BJ33" s="28">
        <v>0</v>
      </c>
      <c r="BK33" s="28">
        <v>4</v>
      </c>
      <c r="BL33" s="28">
        <v>11</v>
      </c>
      <c r="BM33" s="28">
        <v>11</v>
      </c>
      <c r="BN33" s="28">
        <v>44</v>
      </c>
      <c r="BO33" s="77">
        <v>8</v>
      </c>
      <c r="BP33" s="28">
        <v>1</v>
      </c>
      <c r="BQ33" s="28">
        <v>3</v>
      </c>
      <c r="BR33" s="77">
        <v>46</v>
      </c>
      <c r="BS33" s="72">
        <v>0.57496175420703721</v>
      </c>
      <c r="BT33" s="28">
        <v>1</v>
      </c>
      <c r="BU33" s="75">
        <v>31</v>
      </c>
    </row>
    <row r="34" spans="1:73">
      <c r="A34" s="101" t="s">
        <v>266</v>
      </c>
      <c r="B34" s="71" t="s">
        <v>153</v>
      </c>
      <c r="C34" s="71" t="s">
        <v>267</v>
      </c>
      <c r="D34" s="594">
        <f>VLOOKUP(Table106[[#This Row],[NAME]],TOR_H[[NAME]:['#]],2,0)</f>
        <v>0.3772455089820359</v>
      </c>
      <c r="E34" s="72">
        <f>VLOOKUP(Table106[[#This Row],[NAME]],TOR_H[[NAME]:['#]],3,0)</f>
        <v>0.44086021505376344</v>
      </c>
      <c r="F34" s="72">
        <f>VLOOKUP(Table106[[#This Row],[NAME]],TOR_H[[NAME]:['#]],4,0)</f>
        <v>0.55688622754491013</v>
      </c>
      <c r="G34" s="77">
        <f>VLOOKUP(Table106[[#This Row],[NAME]],TOR_H[[NAME]:['#]],5,0)</f>
        <v>40</v>
      </c>
      <c r="H34" s="28">
        <f>VLOOKUP(Table106[[#This Row],[NAME]],TOR_H[[NAME]:['#]],6,0)</f>
        <v>167</v>
      </c>
      <c r="I34" s="28">
        <f>VLOOKUP(Table106[[#This Row],[NAME]],TOR_H[[NAME]:['#]],7,0)</f>
        <v>26</v>
      </c>
      <c r="J34" s="76">
        <f>VLOOKUP(Table106[[#This Row],[NAME]],TOR_H[[NAME]:['#]],8,0)</f>
        <v>63</v>
      </c>
      <c r="K34" s="28">
        <f>VLOOKUP(Table106[[#This Row],[NAME]],TOR_H[[NAME]:['#]],9,0)</f>
        <v>7</v>
      </c>
      <c r="L34" s="28">
        <f>VLOOKUP(Table106[[#This Row],[NAME]],TOR_H[[NAME]:['#]],10,0)</f>
        <v>1</v>
      </c>
      <c r="M34" s="28">
        <f>VLOOKUP(Table106[[#This Row],[NAME]],TOR_H[[NAME]:['#]],11,0)</f>
        <v>7</v>
      </c>
      <c r="N34" s="28">
        <f>VLOOKUP(Table106[[#This Row],[NAME]],TOR_H[[NAME]:['#]],12,0)</f>
        <v>20</v>
      </c>
      <c r="O34" s="28">
        <f>VLOOKUP(Table106[[#This Row],[NAME]],TOR_H[[NAME]:['#]],13,0)</f>
        <v>19</v>
      </c>
      <c r="P34" s="28">
        <f>VLOOKUP(Table106[[#This Row],[NAME]],TOR_H[[NAME]:['#]],14,0)</f>
        <v>34</v>
      </c>
      <c r="Q34" s="352">
        <f>VLOOKUP(Table106[[#This Row],[NAME]],TOR_H[[NAME]:['#]],15,0)</f>
        <v>23</v>
      </c>
      <c r="R34" s="28">
        <f>VLOOKUP(Table106[[#This Row],[NAME]],TOR_H[[NAME]:['#]],16,0)</f>
        <v>5</v>
      </c>
      <c r="S34" s="28">
        <f>VLOOKUP(Table106[[#This Row],[NAME]],TOR_H[[NAME]:['#]],17,0)</f>
        <v>15</v>
      </c>
      <c r="T34" s="77">
        <f>VLOOKUP(Table106[[#This Row],[NAME]],TOR_H[[NAME]:['#]],18,0)</f>
        <v>93</v>
      </c>
      <c r="U34" s="72">
        <f>VLOOKUP(Table106[[#This Row],[NAME]],TOR_H[[NAME]:['#]],19,0)</f>
        <v>0.99774644259867351</v>
      </c>
      <c r="V34" s="28">
        <f>VLOOKUP(Table106[[#This Row],[NAME]],TOR_H[[NAME]:['#]],20,0)</f>
        <v>2</v>
      </c>
      <c r="W34" s="75">
        <v>32</v>
      </c>
      <c r="Z34" s="365" t="s">
        <v>266</v>
      </c>
      <c r="AA34" s="77" t="s">
        <v>153</v>
      </c>
      <c r="AB34" s="77" t="s">
        <v>267</v>
      </c>
      <c r="AC34" s="130">
        <v>0.26114649681528662</v>
      </c>
      <c r="AD34" s="72">
        <v>0.34463276836158191</v>
      </c>
      <c r="AE34" s="72">
        <v>0.39490445859872614</v>
      </c>
      <c r="AF34" s="77">
        <v>39</v>
      </c>
      <c r="AG34" s="28">
        <v>157</v>
      </c>
      <c r="AH34" s="28">
        <v>25</v>
      </c>
      <c r="AI34" s="28">
        <v>41</v>
      </c>
      <c r="AJ34" s="28">
        <v>9</v>
      </c>
      <c r="AK34" s="28">
        <v>0</v>
      </c>
      <c r="AL34" s="28">
        <v>4</v>
      </c>
      <c r="AM34" s="28">
        <v>9</v>
      </c>
      <c r="AN34" s="28">
        <v>20</v>
      </c>
      <c r="AO34" s="28">
        <v>33</v>
      </c>
      <c r="AP34" s="77">
        <v>12</v>
      </c>
      <c r="AQ34" s="28">
        <v>0</v>
      </c>
      <c r="AR34" s="28">
        <v>8</v>
      </c>
      <c r="AS34" s="77">
        <v>62</v>
      </c>
      <c r="AT34" s="72">
        <v>0.73953722696030799</v>
      </c>
      <c r="AU34" s="28">
        <v>3</v>
      </c>
      <c r="AV34" s="75">
        <v>32</v>
      </c>
      <c r="AY34" s="101" t="s">
        <v>266</v>
      </c>
      <c r="AZ34" s="77" t="s">
        <v>153</v>
      </c>
      <c r="BA34" s="77" t="s">
        <v>267</v>
      </c>
      <c r="BB34" s="130">
        <v>0.30303030303030304</v>
      </c>
      <c r="BC34" s="72">
        <v>0.35754189944134079</v>
      </c>
      <c r="BD34" s="72">
        <v>0.47272727272727272</v>
      </c>
      <c r="BE34" s="77">
        <v>38</v>
      </c>
      <c r="BF34" s="28">
        <v>165</v>
      </c>
      <c r="BG34" s="28">
        <v>25</v>
      </c>
      <c r="BH34" s="28">
        <v>50</v>
      </c>
      <c r="BI34" s="28">
        <v>8</v>
      </c>
      <c r="BJ34" s="28">
        <v>1</v>
      </c>
      <c r="BK34" s="28">
        <v>6</v>
      </c>
      <c r="BL34" s="28">
        <v>16</v>
      </c>
      <c r="BM34" s="28">
        <v>14</v>
      </c>
      <c r="BN34" s="28">
        <v>24</v>
      </c>
      <c r="BO34" s="77">
        <v>21</v>
      </c>
      <c r="BP34" s="28">
        <v>2</v>
      </c>
      <c r="BQ34" s="28">
        <v>9</v>
      </c>
      <c r="BR34" s="77">
        <v>78</v>
      </c>
      <c r="BS34" s="72">
        <v>0.83026917216861351</v>
      </c>
      <c r="BT34" s="28">
        <v>3</v>
      </c>
      <c r="BU34" s="75">
        <v>32</v>
      </c>
    </row>
    <row r="35" spans="1:73">
      <c r="A35" s="101" t="s">
        <v>266</v>
      </c>
      <c r="B35" s="71" t="s">
        <v>177</v>
      </c>
      <c r="C35" s="71" t="s">
        <v>270</v>
      </c>
      <c r="D35" s="72">
        <f>VLOOKUP(Table106[[#This Row],[NAME]],TOR_H[[NAME]:['#]],2,0)</f>
        <v>0.19178082191780821</v>
      </c>
      <c r="E35" s="72">
        <f>VLOOKUP(Table106[[#This Row],[NAME]],TOR_H[[NAME]:['#]],3,0)</f>
        <v>0.32183908045977011</v>
      </c>
      <c r="F35" s="72">
        <f>VLOOKUP(Table106[[#This Row],[NAME]],TOR_H[[NAME]:['#]],4,0)</f>
        <v>0.34246575342465752</v>
      </c>
      <c r="G35" s="77">
        <f>VLOOKUP(Table106[[#This Row],[NAME]],TOR_H[[NAME]:['#]],5,0)</f>
        <v>39</v>
      </c>
      <c r="H35" s="28">
        <f>VLOOKUP(Table106[[#This Row],[NAME]],TOR_H[[NAME]:['#]],6,0)</f>
        <v>146</v>
      </c>
      <c r="I35" s="28">
        <f>VLOOKUP(Table106[[#This Row],[NAME]],TOR_H[[NAME]:['#]],7,0)</f>
        <v>14</v>
      </c>
      <c r="J35" s="28">
        <f>VLOOKUP(Table106[[#This Row],[NAME]],TOR_H[[NAME]:['#]],8,0)</f>
        <v>28</v>
      </c>
      <c r="K35" s="28">
        <f>VLOOKUP(Table106[[#This Row],[NAME]],TOR_H[[NAME]:['#]],9,0)</f>
        <v>7</v>
      </c>
      <c r="L35" s="28">
        <f>VLOOKUP(Table106[[#This Row],[NAME]],TOR_H[[NAME]:['#]],10,0)</f>
        <v>0</v>
      </c>
      <c r="M35" s="28">
        <f>VLOOKUP(Table106[[#This Row],[NAME]],TOR_H[[NAME]:['#]],11,0)</f>
        <v>5</v>
      </c>
      <c r="N35" s="28">
        <f>VLOOKUP(Table106[[#This Row],[NAME]],TOR_H[[NAME]:['#]],12,0)</f>
        <v>17</v>
      </c>
      <c r="O35" s="28">
        <f>VLOOKUP(Table106[[#This Row],[NAME]],TOR_H[[NAME]:['#]],13,0)</f>
        <v>28</v>
      </c>
      <c r="P35" s="28">
        <f>VLOOKUP(Table106[[#This Row],[NAME]],TOR_H[[NAME]:['#]],14,0)</f>
        <v>35</v>
      </c>
      <c r="Q35" s="77">
        <f>VLOOKUP(Table106[[#This Row],[NAME]],TOR_H[[NAME]:['#]],15,0)</f>
        <v>0</v>
      </c>
      <c r="R35" s="28">
        <f>VLOOKUP(Table106[[#This Row],[NAME]],TOR_H[[NAME]:['#]],16,0)</f>
        <v>1</v>
      </c>
      <c r="S35" s="28">
        <f>VLOOKUP(Table106[[#This Row],[NAME]],TOR_H[[NAME]:['#]],17,0)</f>
        <v>3</v>
      </c>
      <c r="T35" s="77">
        <f>VLOOKUP(Table106[[#This Row],[NAME]],TOR_H[[NAME]:['#]],18,0)</f>
        <v>50</v>
      </c>
      <c r="U35" s="72">
        <f>VLOOKUP(Table106[[#This Row],[NAME]],TOR_H[[NAME]:['#]],19,0)</f>
        <v>0.66430483388442763</v>
      </c>
      <c r="V35" s="28">
        <f>VLOOKUP(Table106[[#This Row],[NAME]],TOR_H[[NAME]:['#]],20,0)</f>
        <v>3</v>
      </c>
      <c r="W35" s="75">
        <v>33</v>
      </c>
      <c r="Z35" s="365" t="s">
        <v>266</v>
      </c>
      <c r="AA35" s="77" t="s">
        <v>177</v>
      </c>
      <c r="AB35" s="77" t="s">
        <v>270</v>
      </c>
      <c r="AC35" s="130">
        <v>0.20547945205479451</v>
      </c>
      <c r="AD35" s="72">
        <v>0.27950310559006208</v>
      </c>
      <c r="AE35" s="72">
        <v>0.31506849315068491</v>
      </c>
      <c r="AF35" s="77">
        <v>39</v>
      </c>
      <c r="AG35" s="28">
        <v>146</v>
      </c>
      <c r="AH35" s="28">
        <v>13</v>
      </c>
      <c r="AI35" s="28">
        <v>30</v>
      </c>
      <c r="AJ35" s="28">
        <v>7</v>
      </c>
      <c r="AK35" s="28">
        <v>0</v>
      </c>
      <c r="AL35" s="28">
        <v>3</v>
      </c>
      <c r="AM35" s="28">
        <v>26</v>
      </c>
      <c r="AN35" s="28">
        <v>15</v>
      </c>
      <c r="AO35" s="28">
        <v>42</v>
      </c>
      <c r="AP35" s="77">
        <v>0</v>
      </c>
      <c r="AQ35" s="28">
        <v>1</v>
      </c>
      <c r="AR35" s="28">
        <v>4</v>
      </c>
      <c r="AS35" s="77">
        <v>46</v>
      </c>
      <c r="AT35" s="72">
        <v>0.59457159874074694</v>
      </c>
      <c r="AU35" s="28">
        <v>4</v>
      </c>
      <c r="AV35" s="75">
        <v>33</v>
      </c>
      <c r="AY35" s="101" t="s">
        <v>266</v>
      </c>
      <c r="AZ35" s="77" t="s">
        <v>177</v>
      </c>
      <c r="BA35" s="77" t="s">
        <v>270</v>
      </c>
      <c r="BB35" s="130">
        <v>0.25624999999999998</v>
      </c>
      <c r="BC35" s="72">
        <v>0.33519553072625696</v>
      </c>
      <c r="BD35" s="72">
        <v>0.48125000000000001</v>
      </c>
      <c r="BE35" s="77">
        <v>40</v>
      </c>
      <c r="BF35" s="28">
        <v>160</v>
      </c>
      <c r="BG35" s="28">
        <v>26</v>
      </c>
      <c r="BH35" s="28">
        <v>41</v>
      </c>
      <c r="BI35" s="28">
        <v>12</v>
      </c>
      <c r="BJ35" s="28">
        <v>0</v>
      </c>
      <c r="BK35" s="28">
        <v>8</v>
      </c>
      <c r="BL35" s="28">
        <v>23</v>
      </c>
      <c r="BM35" s="28">
        <v>19</v>
      </c>
      <c r="BN35" s="28">
        <v>42</v>
      </c>
      <c r="BO35" s="77">
        <v>0</v>
      </c>
      <c r="BP35" s="28">
        <v>0</v>
      </c>
      <c r="BQ35" s="28">
        <v>6</v>
      </c>
      <c r="BR35" s="77">
        <v>77</v>
      </c>
      <c r="BS35" s="72">
        <v>0.81644553072625703</v>
      </c>
      <c r="BT35" s="28">
        <v>1</v>
      </c>
      <c r="BU35" s="75">
        <v>33</v>
      </c>
    </row>
    <row r="36" spans="1:73">
      <c r="A36" s="101" t="s">
        <v>266</v>
      </c>
      <c r="B36" s="71" t="s">
        <v>174</v>
      </c>
      <c r="C36" s="71" t="s">
        <v>273</v>
      </c>
      <c r="D36" s="72">
        <f>VLOOKUP(Table106[[#This Row],[NAME]],TOR_H[[NAME]:['#]],2,0)</f>
        <v>0.17592592592592593</v>
      </c>
      <c r="E36" s="72">
        <f>VLOOKUP(Table106[[#This Row],[NAME]],TOR_H[[NAME]:['#]],3,0)</f>
        <v>0.21929824561403508</v>
      </c>
      <c r="F36" s="72">
        <f>VLOOKUP(Table106[[#This Row],[NAME]],TOR_H[[NAME]:['#]],4,0)</f>
        <v>0.43518518518518517</v>
      </c>
      <c r="G36" s="77">
        <f>VLOOKUP(Table106[[#This Row],[NAME]],TOR_H[[NAME]:['#]],5,0)</f>
        <v>29</v>
      </c>
      <c r="H36" s="28">
        <f>VLOOKUP(Table106[[#This Row],[NAME]],TOR_H[[NAME]:['#]],6,0)</f>
        <v>108</v>
      </c>
      <c r="I36" s="28">
        <f>VLOOKUP(Table106[[#This Row],[NAME]],TOR_H[[NAME]:['#]],7,0)</f>
        <v>9</v>
      </c>
      <c r="J36" s="28">
        <f>VLOOKUP(Table106[[#This Row],[NAME]],TOR_H[[NAME]:['#]],8,0)</f>
        <v>19</v>
      </c>
      <c r="K36" s="28">
        <f>VLOOKUP(Table106[[#This Row],[NAME]],TOR_H[[NAME]:['#]],9,0)</f>
        <v>4</v>
      </c>
      <c r="L36" s="28">
        <f>VLOOKUP(Table106[[#This Row],[NAME]],TOR_H[[NAME]:['#]],10,0)</f>
        <v>3</v>
      </c>
      <c r="M36" s="28">
        <f>VLOOKUP(Table106[[#This Row],[NAME]],TOR_H[[NAME]:['#]],11,0)</f>
        <v>6</v>
      </c>
      <c r="N36" s="28">
        <f>VLOOKUP(Table106[[#This Row],[NAME]],TOR_H[[NAME]:['#]],12,0)</f>
        <v>17</v>
      </c>
      <c r="O36" s="28">
        <f>VLOOKUP(Table106[[#This Row],[NAME]],TOR_H[[NAME]:['#]],13,0)</f>
        <v>6</v>
      </c>
      <c r="P36" s="28">
        <f>VLOOKUP(Table106[[#This Row],[NAME]],TOR_H[[NAME]:['#]],14,0)</f>
        <v>43</v>
      </c>
      <c r="Q36" s="77">
        <f>VLOOKUP(Table106[[#This Row],[NAME]],TOR_H[[NAME]:['#]],15,0)</f>
        <v>0</v>
      </c>
      <c r="R36" s="28">
        <f>VLOOKUP(Table106[[#This Row],[NAME]],TOR_H[[NAME]:['#]],16,0)</f>
        <v>3</v>
      </c>
      <c r="S36" s="28">
        <f>VLOOKUP(Table106[[#This Row],[NAME]],TOR_H[[NAME]:['#]],17,0)</f>
        <v>3</v>
      </c>
      <c r="T36" s="77">
        <f>VLOOKUP(Table106[[#This Row],[NAME]],TOR_H[[NAME]:['#]],18,0)</f>
        <v>47</v>
      </c>
      <c r="U36" s="72">
        <f>VLOOKUP(Table106[[#This Row],[NAME]],TOR_H[[NAME]:['#]],19,0)</f>
        <v>0.65448343079922022</v>
      </c>
      <c r="V36" s="28">
        <f>VLOOKUP(Table106[[#This Row],[NAME]],TOR_H[[NAME]:['#]],20,0)</f>
        <v>3</v>
      </c>
      <c r="W36" s="75">
        <v>34</v>
      </c>
      <c r="Z36" s="365" t="s">
        <v>266</v>
      </c>
      <c r="AA36" s="77" t="s">
        <v>174</v>
      </c>
      <c r="AB36" s="77" t="s">
        <v>276</v>
      </c>
      <c r="AC36" s="130">
        <v>0.22222222222222221</v>
      </c>
      <c r="AD36" s="72">
        <v>0.25190839694656486</v>
      </c>
      <c r="AE36" s="72">
        <v>0.40476190476190477</v>
      </c>
      <c r="AF36" s="77">
        <v>35</v>
      </c>
      <c r="AG36" s="28">
        <v>126</v>
      </c>
      <c r="AH36" s="28">
        <v>11</v>
      </c>
      <c r="AI36" s="28">
        <v>28</v>
      </c>
      <c r="AJ36" s="28">
        <v>8</v>
      </c>
      <c r="AK36" s="28">
        <v>0</v>
      </c>
      <c r="AL36" s="28">
        <v>5</v>
      </c>
      <c r="AM36" s="28">
        <v>11</v>
      </c>
      <c r="AN36" s="28">
        <v>5</v>
      </c>
      <c r="AO36" s="28">
        <v>33</v>
      </c>
      <c r="AP36" s="77">
        <v>0</v>
      </c>
      <c r="AQ36" s="28">
        <v>2</v>
      </c>
      <c r="AR36" s="28">
        <v>10</v>
      </c>
      <c r="AS36" s="77">
        <v>51</v>
      </c>
      <c r="AT36" s="72">
        <v>0.65667030170846963</v>
      </c>
      <c r="AU36" s="28">
        <v>1</v>
      </c>
      <c r="AV36" s="75">
        <v>34</v>
      </c>
      <c r="AY36" s="101" t="s">
        <v>266</v>
      </c>
      <c r="AZ36" s="77" t="s">
        <v>174</v>
      </c>
      <c r="BA36" s="77" t="s">
        <v>271</v>
      </c>
      <c r="BB36" s="130">
        <v>0.28082191780821919</v>
      </c>
      <c r="BC36" s="72">
        <v>0.30921052631578949</v>
      </c>
      <c r="BD36" s="72">
        <v>0.5</v>
      </c>
      <c r="BE36" s="77">
        <v>37</v>
      </c>
      <c r="BF36" s="28">
        <v>146</v>
      </c>
      <c r="BG36" s="28">
        <v>17</v>
      </c>
      <c r="BH36" s="28">
        <v>41</v>
      </c>
      <c r="BI36" s="28">
        <v>11</v>
      </c>
      <c r="BJ36" s="28">
        <v>0</v>
      </c>
      <c r="BK36" s="28">
        <v>7</v>
      </c>
      <c r="BL36" s="28">
        <v>19</v>
      </c>
      <c r="BM36" s="28">
        <v>6</v>
      </c>
      <c r="BN36" s="28">
        <v>39</v>
      </c>
      <c r="BO36" s="77">
        <v>0</v>
      </c>
      <c r="BP36" s="28">
        <v>0</v>
      </c>
      <c r="BQ36" s="28">
        <v>5</v>
      </c>
      <c r="BR36" s="77">
        <v>73</v>
      </c>
      <c r="BS36" s="72">
        <v>0.80921052631578949</v>
      </c>
      <c r="BT36" s="28">
        <v>1</v>
      </c>
      <c r="BU36" s="75">
        <v>34</v>
      </c>
    </row>
    <row r="37" spans="1:73">
      <c r="A37" s="101" t="s">
        <v>266</v>
      </c>
      <c r="B37" s="71" t="s">
        <v>181</v>
      </c>
      <c r="C37" s="71" t="s">
        <v>276</v>
      </c>
      <c r="D37" s="72">
        <f>VLOOKUP(Table106[[#This Row],[NAME]],TOR_H[[NAME]:['#]],2,0)</f>
        <v>0.21649484536082475</v>
      </c>
      <c r="E37" s="72">
        <f>VLOOKUP(Table106[[#This Row],[NAME]],TOR_H[[NAME]:['#]],3,0)</f>
        <v>0.27619047619047621</v>
      </c>
      <c r="F37" s="72">
        <f>VLOOKUP(Table106[[#This Row],[NAME]],TOR_H[[NAME]:['#]],4,0)</f>
        <v>0.39175257731958762</v>
      </c>
      <c r="G37" s="77">
        <f>VLOOKUP(Table106[[#This Row],[NAME]],TOR_H[[NAME]:['#]],5,0)</f>
        <v>30</v>
      </c>
      <c r="H37" s="28">
        <f>VLOOKUP(Table106[[#This Row],[NAME]],TOR_H[[NAME]:['#]],6,0)</f>
        <v>97</v>
      </c>
      <c r="I37" s="28">
        <f>VLOOKUP(Table106[[#This Row],[NAME]],TOR_H[[NAME]:['#]],7,0)</f>
        <v>11</v>
      </c>
      <c r="J37" s="28">
        <f>VLOOKUP(Table106[[#This Row],[NAME]],TOR_H[[NAME]:['#]],8,0)</f>
        <v>21</v>
      </c>
      <c r="K37" s="28">
        <f>VLOOKUP(Table106[[#This Row],[NAME]],TOR_H[[NAME]:['#]],9,0)</f>
        <v>3</v>
      </c>
      <c r="L37" s="28">
        <f>VLOOKUP(Table106[[#This Row],[NAME]],TOR_H[[NAME]:['#]],10,0)</f>
        <v>1</v>
      </c>
      <c r="M37" s="28">
        <f>VLOOKUP(Table106[[#This Row],[NAME]],TOR_H[[NAME]:['#]],11,0)</f>
        <v>4</v>
      </c>
      <c r="N37" s="28">
        <f>VLOOKUP(Table106[[#This Row],[NAME]],TOR_H[[NAME]:['#]],12,0)</f>
        <v>8</v>
      </c>
      <c r="O37" s="28">
        <f>VLOOKUP(Table106[[#This Row],[NAME]],TOR_H[[NAME]:['#]],13,0)</f>
        <v>8</v>
      </c>
      <c r="P37" s="28">
        <f>VLOOKUP(Table106[[#This Row],[NAME]],TOR_H[[NAME]:['#]],14,0)</f>
        <v>34</v>
      </c>
      <c r="Q37" s="77">
        <f>VLOOKUP(Table106[[#This Row],[NAME]],TOR_H[[NAME]:['#]],15,0)</f>
        <v>0</v>
      </c>
      <c r="R37" s="28">
        <f>VLOOKUP(Table106[[#This Row],[NAME]],TOR_H[[NAME]:['#]],16,0)</f>
        <v>0</v>
      </c>
      <c r="S37" s="28">
        <f>VLOOKUP(Table106[[#This Row],[NAME]],TOR_H[[NAME]:['#]],17,0)</f>
        <v>4</v>
      </c>
      <c r="T37" s="77">
        <f>VLOOKUP(Table106[[#This Row],[NAME]],TOR_H[[NAME]:['#]],18,0)</f>
        <v>38</v>
      </c>
      <c r="U37" s="72">
        <f>VLOOKUP(Table106[[#This Row],[NAME]],TOR_H[[NAME]:['#]],19,0)</f>
        <v>0.66794305351006389</v>
      </c>
      <c r="V37" s="28">
        <f>VLOOKUP(Table106[[#This Row],[NAME]],TOR_H[[NAME]:['#]],20,0)</f>
        <v>2</v>
      </c>
      <c r="W37" s="75">
        <v>35</v>
      </c>
      <c r="Z37" s="365" t="s">
        <v>266</v>
      </c>
      <c r="AA37" s="77" t="s">
        <v>181</v>
      </c>
      <c r="AB37" s="77" t="s">
        <v>269</v>
      </c>
      <c r="AC37" s="130">
        <v>0.25333333333333335</v>
      </c>
      <c r="AD37" s="72">
        <v>0.31707317073170732</v>
      </c>
      <c r="AE37" s="72">
        <v>0.54</v>
      </c>
      <c r="AF37" s="77">
        <v>39</v>
      </c>
      <c r="AG37" s="28">
        <v>150</v>
      </c>
      <c r="AH37" s="28">
        <v>30</v>
      </c>
      <c r="AI37" s="28">
        <v>38</v>
      </c>
      <c r="AJ37" s="28">
        <v>6</v>
      </c>
      <c r="AK37" s="28">
        <v>2</v>
      </c>
      <c r="AL37" s="28">
        <v>11</v>
      </c>
      <c r="AM37" s="28">
        <v>29</v>
      </c>
      <c r="AN37" s="28">
        <v>14</v>
      </c>
      <c r="AO37" s="28">
        <v>39</v>
      </c>
      <c r="AP37" s="77">
        <v>0</v>
      </c>
      <c r="AQ37" s="28">
        <v>1</v>
      </c>
      <c r="AR37" s="28">
        <v>9</v>
      </c>
      <c r="AS37" s="77">
        <v>81</v>
      </c>
      <c r="AT37" s="72">
        <v>0.85707317073170741</v>
      </c>
      <c r="AU37" s="28">
        <v>6</v>
      </c>
      <c r="AV37" s="75">
        <v>35</v>
      </c>
      <c r="AY37" s="101" t="s">
        <v>266</v>
      </c>
      <c r="AZ37" s="77" t="s">
        <v>181</v>
      </c>
      <c r="BA37" s="77" t="s">
        <v>269</v>
      </c>
      <c r="BB37" s="130">
        <v>0.24516129032258063</v>
      </c>
      <c r="BC37" s="72">
        <v>0.33522727272727271</v>
      </c>
      <c r="BD37" s="72">
        <v>0.35483870967741937</v>
      </c>
      <c r="BE37" s="77">
        <v>39</v>
      </c>
      <c r="BF37" s="28">
        <v>155</v>
      </c>
      <c r="BG37" s="28">
        <v>20</v>
      </c>
      <c r="BH37" s="28">
        <v>38</v>
      </c>
      <c r="BI37" s="28">
        <v>4</v>
      </c>
      <c r="BJ37" s="28">
        <v>2</v>
      </c>
      <c r="BK37" s="28">
        <v>3</v>
      </c>
      <c r="BL37" s="28">
        <v>23</v>
      </c>
      <c r="BM37" s="28">
        <v>21</v>
      </c>
      <c r="BN37" s="28">
        <v>47</v>
      </c>
      <c r="BO37" s="77">
        <v>0</v>
      </c>
      <c r="BP37" s="28">
        <v>4</v>
      </c>
      <c r="BQ37" s="28">
        <v>10</v>
      </c>
      <c r="BR37" s="77">
        <v>55</v>
      </c>
      <c r="BS37" s="72">
        <v>0.69006598240469208</v>
      </c>
      <c r="BT37" s="28">
        <v>2</v>
      </c>
      <c r="BU37" s="75">
        <v>35</v>
      </c>
    </row>
    <row r="38" spans="1:73">
      <c r="A38" s="101" t="s">
        <v>266</v>
      </c>
      <c r="B38" s="71" t="s">
        <v>166</v>
      </c>
      <c r="C38" s="71" t="s">
        <v>269</v>
      </c>
      <c r="D38" s="72">
        <f>VLOOKUP(Table106[[#This Row],[NAME]],TOR_H[[NAME]:['#]],2,0)</f>
        <v>0.26845637583892618</v>
      </c>
      <c r="E38" s="72">
        <f>VLOOKUP(Table106[[#This Row],[NAME]],TOR_H[[NAME]:['#]],3,0)</f>
        <v>0.3271604938271605</v>
      </c>
      <c r="F38" s="72">
        <f>VLOOKUP(Table106[[#This Row],[NAME]],TOR_H[[NAME]:['#]],4,0)</f>
        <v>0.51006711409395977</v>
      </c>
      <c r="G38" s="77">
        <f>VLOOKUP(Table106[[#This Row],[NAME]],TOR_H[[NAME]:['#]],5,0)</f>
        <v>36</v>
      </c>
      <c r="H38" s="28">
        <f>VLOOKUP(Table106[[#This Row],[NAME]],TOR_H[[NAME]:['#]],6,0)</f>
        <v>149</v>
      </c>
      <c r="I38" s="28">
        <f>VLOOKUP(Table106[[#This Row],[NAME]],TOR_H[[NAME]:['#]],7,0)</f>
        <v>20</v>
      </c>
      <c r="J38" s="28">
        <f>VLOOKUP(Table106[[#This Row],[NAME]],TOR_H[[NAME]:['#]],8,0)</f>
        <v>40</v>
      </c>
      <c r="K38" s="28">
        <f>VLOOKUP(Table106[[#This Row],[NAME]],TOR_H[[NAME]:['#]],9,0)</f>
        <v>6</v>
      </c>
      <c r="L38" s="28">
        <f>VLOOKUP(Table106[[#This Row],[NAME]],TOR_H[[NAME]:['#]],10,0)</f>
        <v>3</v>
      </c>
      <c r="M38" s="28">
        <f>VLOOKUP(Table106[[#This Row],[NAME]],TOR_H[[NAME]:['#]],11,0)</f>
        <v>8</v>
      </c>
      <c r="N38" s="28">
        <f>VLOOKUP(Table106[[#This Row],[NAME]],TOR_H[[NAME]:['#]],12,0)</f>
        <v>24</v>
      </c>
      <c r="O38" s="28">
        <f>VLOOKUP(Table106[[#This Row],[NAME]],TOR_H[[NAME]:['#]],13,0)</f>
        <v>13</v>
      </c>
      <c r="P38" s="28">
        <f>VLOOKUP(Table106[[#This Row],[NAME]],TOR_H[[NAME]:['#]],14,0)</f>
        <v>31</v>
      </c>
      <c r="Q38" s="77">
        <f>VLOOKUP(Table106[[#This Row],[NAME]],TOR_H[[NAME]:['#]],15,0)</f>
        <v>0</v>
      </c>
      <c r="R38" s="28">
        <f>VLOOKUP(Table106[[#This Row],[NAME]],TOR_H[[NAME]:['#]],16,0)</f>
        <v>0</v>
      </c>
      <c r="S38" s="28">
        <f>VLOOKUP(Table106[[#This Row],[NAME]],TOR_H[[NAME]:['#]],17,0)</f>
        <v>6</v>
      </c>
      <c r="T38" s="77">
        <f>VLOOKUP(Table106[[#This Row],[NAME]],TOR_H[[NAME]:['#]],18,0)</f>
        <v>76</v>
      </c>
      <c r="U38" s="72">
        <f>VLOOKUP(Table106[[#This Row],[NAME]],TOR_H[[NAME]:['#]],19,0)</f>
        <v>0.83722760792112028</v>
      </c>
      <c r="V38" s="28">
        <f>VLOOKUP(Table106[[#This Row],[NAME]],TOR_H[[NAME]:['#]],20,0)</f>
        <v>2</v>
      </c>
      <c r="W38" s="75">
        <v>36</v>
      </c>
      <c r="Z38" s="365" t="s">
        <v>266</v>
      </c>
      <c r="AA38" s="77" t="s">
        <v>166</v>
      </c>
      <c r="AB38" s="77" t="s">
        <v>273</v>
      </c>
      <c r="AC38" s="130">
        <v>0.23076923076923078</v>
      </c>
      <c r="AD38" s="72">
        <v>0.26470588235294118</v>
      </c>
      <c r="AE38" s="72">
        <v>0.46153846153846156</v>
      </c>
      <c r="AF38" s="77">
        <v>36</v>
      </c>
      <c r="AG38" s="28">
        <v>130</v>
      </c>
      <c r="AH38" s="28">
        <v>12</v>
      </c>
      <c r="AI38" s="28">
        <v>30</v>
      </c>
      <c r="AJ38" s="28">
        <v>9</v>
      </c>
      <c r="AK38" s="28">
        <v>0</v>
      </c>
      <c r="AL38" s="28">
        <v>7</v>
      </c>
      <c r="AM38" s="28">
        <v>21</v>
      </c>
      <c r="AN38" s="28">
        <v>6</v>
      </c>
      <c r="AO38" s="28">
        <v>45</v>
      </c>
      <c r="AP38" s="77">
        <v>0</v>
      </c>
      <c r="AQ38" s="28">
        <v>1</v>
      </c>
      <c r="AR38" s="28">
        <v>3</v>
      </c>
      <c r="AS38" s="77">
        <v>60</v>
      </c>
      <c r="AT38" s="72">
        <v>0.7262443438914028</v>
      </c>
      <c r="AU38" s="28">
        <v>2</v>
      </c>
      <c r="AV38" s="75">
        <v>36</v>
      </c>
      <c r="AY38" s="101" t="s">
        <v>266</v>
      </c>
      <c r="AZ38" s="77" t="s">
        <v>166</v>
      </c>
      <c r="BA38" s="77" t="s">
        <v>273</v>
      </c>
      <c r="BB38" s="130">
        <v>0.23404255319148937</v>
      </c>
      <c r="BC38" s="72">
        <v>0.3032258064516129</v>
      </c>
      <c r="BD38" s="72">
        <v>0.46808510638297873</v>
      </c>
      <c r="BE38" s="77">
        <v>36</v>
      </c>
      <c r="BF38" s="28">
        <v>141</v>
      </c>
      <c r="BG38" s="28">
        <v>21</v>
      </c>
      <c r="BH38" s="28">
        <v>33</v>
      </c>
      <c r="BI38" s="28">
        <v>6</v>
      </c>
      <c r="BJ38" s="28">
        <v>0</v>
      </c>
      <c r="BK38" s="28">
        <v>9</v>
      </c>
      <c r="BL38" s="28">
        <v>29</v>
      </c>
      <c r="BM38" s="28">
        <v>14</v>
      </c>
      <c r="BN38" s="28">
        <v>54</v>
      </c>
      <c r="BO38" s="77">
        <v>0</v>
      </c>
      <c r="BP38" s="28">
        <v>1</v>
      </c>
      <c r="BQ38" s="28">
        <v>10</v>
      </c>
      <c r="BR38" s="77">
        <v>66</v>
      </c>
      <c r="BS38" s="72">
        <v>0.77131091283459163</v>
      </c>
      <c r="BT38" s="28">
        <v>6</v>
      </c>
      <c r="BU38" s="75">
        <v>36</v>
      </c>
    </row>
    <row r="39" spans="1:73">
      <c r="A39" s="101" t="s">
        <v>266</v>
      </c>
      <c r="B39" s="71" t="s">
        <v>168</v>
      </c>
      <c r="C39" s="71" t="s">
        <v>272</v>
      </c>
      <c r="D39" s="72">
        <f>VLOOKUP(Table106[[#This Row],[NAME]],TOR_H[[NAME]:['#]],2,0)</f>
        <v>0.24060150375939848</v>
      </c>
      <c r="E39" s="72">
        <f>VLOOKUP(Table106[[#This Row],[NAME]],TOR_H[[NAME]:['#]],3,0)</f>
        <v>0.34415584415584416</v>
      </c>
      <c r="F39" s="72">
        <f>VLOOKUP(Table106[[#This Row],[NAME]],TOR_H[[NAME]:['#]],4,0)</f>
        <v>0.47368421052631576</v>
      </c>
      <c r="G39" s="77">
        <f>VLOOKUP(Table106[[#This Row],[NAME]],TOR_H[[NAME]:['#]],5,0)</f>
        <v>37</v>
      </c>
      <c r="H39" s="28">
        <f>VLOOKUP(Table106[[#This Row],[NAME]],TOR_H[[NAME]:['#]],6,0)</f>
        <v>133</v>
      </c>
      <c r="I39" s="28">
        <f>VLOOKUP(Table106[[#This Row],[NAME]],TOR_H[[NAME]:['#]],7,0)</f>
        <v>19</v>
      </c>
      <c r="J39" s="28">
        <f>VLOOKUP(Table106[[#This Row],[NAME]],TOR_H[[NAME]:['#]],8,0)</f>
        <v>32</v>
      </c>
      <c r="K39" s="28">
        <f>VLOOKUP(Table106[[#This Row],[NAME]],TOR_H[[NAME]:['#]],9,0)</f>
        <v>7</v>
      </c>
      <c r="L39" s="28">
        <f>VLOOKUP(Table106[[#This Row],[NAME]],TOR_H[[NAME]:['#]],10,0)</f>
        <v>0</v>
      </c>
      <c r="M39" s="28">
        <f>VLOOKUP(Table106[[#This Row],[NAME]],TOR_H[[NAME]:['#]],11,0)</f>
        <v>8</v>
      </c>
      <c r="N39" s="28">
        <f>VLOOKUP(Table106[[#This Row],[NAME]],TOR_H[[NAME]:['#]],12,0)</f>
        <v>14</v>
      </c>
      <c r="O39" s="28">
        <f>VLOOKUP(Table106[[#This Row],[NAME]],TOR_H[[NAME]:['#]],13,0)</f>
        <v>21</v>
      </c>
      <c r="P39" s="28">
        <f>VLOOKUP(Table106[[#This Row],[NAME]],TOR_H[[NAME]:['#]],14,0)</f>
        <v>34</v>
      </c>
      <c r="Q39" s="77">
        <f>VLOOKUP(Table106[[#This Row],[NAME]],TOR_H[[NAME]:['#]],15,0)</f>
        <v>0</v>
      </c>
      <c r="R39" s="28">
        <f>VLOOKUP(Table106[[#This Row],[NAME]],TOR_H[[NAME]:['#]],16,0)</f>
        <v>2</v>
      </c>
      <c r="S39" s="28">
        <f>VLOOKUP(Table106[[#This Row],[NAME]],TOR_H[[NAME]:['#]],17,0)</f>
        <v>6</v>
      </c>
      <c r="T39" s="77">
        <f>VLOOKUP(Table106[[#This Row],[NAME]],TOR_H[[NAME]:['#]],18,0)</f>
        <v>63</v>
      </c>
      <c r="U39" s="72">
        <f>VLOOKUP(Table106[[#This Row],[NAME]],TOR_H[[NAME]:['#]],19,0)</f>
        <v>0.81784005468215992</v>
      </c>
      <c r="V39" s="28">
        <f>VLOOKUP(Table106[[#This Row],[NAME]],TOR_H[[NAME]:['#]],20,0)</f>
        <v>1</v>
      </c>
      <c r="W39" s="75">
        <v>37</v>
      </c>
      <c r="Z39" s="365" t="s">
        <v>266</v>
      </c>
      <c r="AA39" s="77" t="s">
        <v>168</v>
      </c>
      <c r="AB39" s="77" t="s">
        <v>272</v>
      </c>
      <c r="AC39" s="130">
        <v>0.24427480916030533</v>
      </c>
      <c r="AD39" s="72">
        <v>0.36129032258064514</v>
      </c>
      <c r="AE39" s="72">
        <v>0.41984732824427479</v>
      </c>
      <c r="AF39" s="77">
        <v>39</v>
      </c>
      <c r="AG39" s="28">
        <v>131</v>
      </c>
      <c r="AH39" s="28">
        <v>18</v>
      </c>
      <c r="AI39" s="28">
        <v>32</v>
      </c>
      <c r="AJ39" s="28">
        <v>8</v>
      </c>
      <c r="AK39" s="28">
        <v>0</v>
      </c>
      <c r="AL39" s="28">
        <v>5</v>
      </c>
      <c r="AM39" s="28">
        <v>20</v>
      </c>
      <c r="AN39" s="28">
        <v>24</v>
      </c>
      <c r="AO39" s="28">
        <v>32</v>
      </c>
      <c r="AP39" s="77">
        <v>0</v>
      </c>
      <c r="AQ39" s="28">
        <v>3</v>
      </c>
      <c r="AR39" s="28">
        <v>7</v>
      </c>
      <c r="AS39" s="77">
        <v>55</v>
      </c>
      <c r="AT39" s="72">
        <v>0.78113765082491993</v>
      </c>
      <c r="AU39" s="28">
        <v>3</v>
      </c>
      <c r="AV39" s="75">
        <v>37</v>
      </c>
      <c r="AY39" s="101" t="s">
        <v>266</v>
      </c>
      <c r="AZ39" s="77" t="s">
        <v>168</v>
      </c>
      <c r="BA39" s="77" t="s">
        <v>272</v>
      </c>
      <c r="BB39" s="130">
        <v>0.2421875</v>
      </c>
      <c r="BC39" s="72">
        <v>0.36184210526315791</v>
      </c>
      <c r="BD39" s="72">
        <v>0.4140625</v>
      </c>
      <c r="BE39" s="77">
        <v>35</v>
      </c>
      <c r="BF39" s="28">
        <v>128</v>
      </c>
      <c r="BG39" s="28">
        <v>23</v>
      </c>
      <c r="BH39" s="28">
        <v>31</v>
      </c>
      <c r="BI39" s="28">
        <v>1</v>
      </c>
      <c r="BJ39" s="28">
        <v>0</v>
      </c>
      <c r="BK39" s="28">
        <v>7</v>
      </c>
      <c r="BL39" s="28">
        <v>20</v>
      </c>
      <c r="BM39" s="28">
        <v>24</v>
      </c>
      <c r="BN39" s="28">
        <v>30</v>
      </c>
      <c r="BO39" s="77">
        <v>0</v>
      </c>
      <c r="BP39" s="28">
        <v>3</v>
      </c>
      <c r="BQ39" s="28">
        <v>5</v>
      </c>
      <c r="BR39" s="77">
        <v>53</v>
      </c>
      <c r="BS39" s="72">
        <v>0.77590460526315796</v>
      </c>
      <c r="BT39" s="28">
        <v>2</v>
      </c>
      <c r="BU39" s="75">
        <v>37</v>
      </c>
    </row>
    <row r="40" spans="1:73">
      <c r="A40" s="101" t="s">
        <v>266</v>
      </c>
      <c r="B40" s="71" t="s">
        <v>179</v>
      </c>
      <c r="C40" s="71" t="s">
        <v>278</v>
      </c>
      <c r="D40" s="72">
        <f>VLOOKUP(Table106[[#This Row],[NAME]],TOR_H[[NAME]:['#]],2,0)</f>
        <v>0.15384615384615385</v>
      </c>
      <c r="E40" s="72">
        <f>VLOOKUP(Table106[[#This Row],[NAME]],TOR_H[[NAME]:['#]],3,0)</f>
        <v>0.21428571428571427</v>
      </c>
      <c r="F40" s="72">
        <f>VLOOKUP(Table106[[#This Row],[NAME]],TOR_H[[NAME]:['#]],4,0)</f>
        <v>0.19230769230769232</v>
      </c>
      <c r="G40" s="77">
        <f>VLOOKUP(Table106[[#This Row],[NAME]],TOR_H[[NAME]:['#]],5,0)</f>
        <v>8</v>
      </c>
      <c r="H40" s="28">
        <f>VLOOKUP(Table106[[#This Row],[NAME]],TOR_H[[NAME]:['#]],6,0)</f>
        <v>26</v>
      </c>
      <c r="I40" s="28">
        <f>VLOOKUP(Table106[[#This Row],[NAME]],TOR_H[[NAME]:['#]],7,0)</f>
        <v>1</v>
      </c>
      <c r="J40" s="28">
        <f>VLOOKUP(Table106[[#This Row],[NAME]],TOR_H[[NAME]:['#]],8,0)</f>
        <v>4</v>
      </c>
      <c r="K40" s="28">
        <f>VLOOKUP(Table106[[#This Row],[NAME]],TOR_H[[NAME]:['#]],9,0)</f>
        <v>1</v>
      </c>
      <c r="L40" s="28">
        <f>VLOOKUP(Table106[[#This Row],[NAME]],TOR_H[[NAME]:['#]],10,0)</f>
        <v>0</v>
      </c>
      <c r="M40" s="28">
        <f>VLOOKUP(Table106[[#This Row],[NAME]],TOR_H[[NAME]:['#]],11,0)</f>
        <v>0</v>
      </c>
      <c r="N40" s="28">
        <f>VLOOKUP(Table106[[#This Row],[NAME]],TOR_H[[NAME]:['#]],12,0)</f>
        <v>1</v>
      </c>
      <c r="O40" s="28">
        <f>VLOOKUP(Table106[[#This Row],[NAME]],TOR_H[[NAME]:['#]],13,0)</f>
        <v>2</v>
      </c>
      <c r="P40" s="28">
        <f>VLOOKUP(Table106[[#This Row],[NAME]],TOR_H[[NAME]:['#]],14,0)</f>
        <v>7</v>
      </c>
      <c r="Q40" s="77">
        <f>VLOOKUP(Table106[[#This Row],[NAME]],TOR_H[[NAME]:['#]],15,0)</f>
        <v>0</v>
      </c>
      <c r="R40" s="28">
        <f>VLOOKUP(Table106[[#This Row],[NAME]],TOR_H[[NAME]:['#]],16,0)</f>
        <v>2</v>
      </c>
      <c r="S40" s="28">
        <f>VLOOKUP(Table106[[#This Row],[NAME]],TOR_H[[NAME]:['#]],17,0)</f>
        <v>2</v>
      </c>
      <c r="T40" s="77">
        <f>VLOOKUP(Table106[[#This Row],[NAME]],TOR_H[[NAME]:['#]],18,0)</f>
        <v>5</v>
      </c>
      <c r="U40" s="72">
        <f>VLOOKUP(Table106[[#This Row],[NAME]],TOR_H[[NAME]:['#]],19,0)</f>
        <v>0.40659340659340659</v>
      </c>
      <c r="V40" s="28">
        <f>VLOOKUP(Table106[[#This Row],[NAME]],TOR_H[[NAME]:['#]],20,0)</f>
        <v>0</v>
      </c>
      <c r="W40" s="75">
        <v>38</v>
      </c>
      <c r="Z40" s="365" t="s">
        <v>266</v>
      </c>
      <c r="AA40" s="77" t="s">
        <v>179</v>
      </c>
      <c r="AB40" s="77" t="s">
        <v>278</v>
      </c>
      <c r="AC40" s="130">
        <v>0.18604651162790697</v>
      </c>
      <c r="AD40" s="72">
        <v>0.27083333333333331</v>
      </c>
      <c r="AE40" s="72">
        <v>0.48837209302325579</v>
      </c>
      <c r="AF40" s="77">
        <v>15</v>
      </c>
      <c r="AG40" s="28">
        <v>43</v>
      </c>
      <c r="AH40" s="28">
        <v>6</v>
      </c>
      <c r="AI40" s="28">
        <v>8</v>
      </c>
      <c r="AJ40" s="28">
        <v>4</v>
      </c>
      <c r="AK40" s="28">
        <v>0</v>
      </c>
      <c r="AL40" s="28">
        <v>3</v>
      </c>
      <c r="AM40" s="28">
        <v>4</v>
      </c>
      <c r="AN40" s="28">
        <v>5</v>
      </c>
      <c r="AO40" s="28">
        <v>13</v>
      </c>
      <c r="AP40" s="77">
        <v>0</v>
      </c>
      <c r="AQ40" s="28">
        <v>0</v>
      </c>
      <c r="AR40" s="28">
        <v>4</v>
      </c>
      <c r="AS40" s="77">
        <v>21</v>
      </c>
      <c r="AT40" s="72">
        <v>0.75920542635658905</v>
      </c>
      <c r="AU40" s="28">
        <v>2</v>
      </c>
      <c r="AV40" s="75">
        <v>38</v>
      </c>
      <c r="AY40" s="101" t="s">
        <v>266</v>
      </c>
      <c r="AZ40" s="77" t="s">
        <v>179</v>
      </c>
      <c r="BA40" s="77" t="s">
        <v>275</v>
      </c>
      <c r="BB40" s="130">
        <v>0.13114754098360656</v>
      </c>
      <c r="BC40" s="72">
        <v>0.171875</v>
      </c>
      <c r="BD40" s="72">
        <v>0.24590163934426229</v>
      </c>
      <c r="BE40" s="77">
        <v>23</v>
      </c>
      <c r="BF40" s="28">
        <v>61</v>
      </c>
      <c r="BG40" s="28">
        <v>3</v>
      </c>
      <c r="BH40" s="28">
        <v>8</v>
      </c>
      <c r="BI40" s="28">
        <v>1</v>
      </c>
      <c r="BJ40" s="28">
        <v>0</v>
      </c>
      <c r="BK40" s="28">
        <v>2</v>
      </c>
      <c r="BL40" s="28">
        <v>6</v>
      </c>
      <c r="BM40" s="28">
        <v>3</v>
      </c>
      <c r="BN40" s="28">
        <v>21</v>
      </c>
      <c r="BO40" s="77">
        <v>0</v>
      </c>
      <c r="BP40" s="28">
        <v>0</v>
      </c>
      <c r="BQ40" s="28">
        <v>3</v>
      </c>
      <c r="BR40" s="77">
        <v>15</v>
      </c>
      <c r="BS40" s="72">
        <v>0.41777663934426229</v>
      </c>
      <c r="BT40" s="28">
        <v>1</v>
      </c>
      <c r="BU40" s="75">
        <v>38</v>
      </c>
    </row>
    <row r="41" spans="1:73">
      <c r="A41" s="101" t="s">
        <v>266</v>
      </c>
      <c r="B41" s="71" t="s">
        <v>187</v>
      </c>
      <c r="C41" s="71" t="s">
        <v>280</v>
      </c>
      <c r="D41" s="72">
        <f>VLOOKUP(Table106[[#This Row],[NAME]],TOR_H[[NAME]:['#]],2,0)</f>
        <v>0.25</v>
      </c>
      <c r="E41" s="72">
        <f>VLOOKUP(Table106[[#This Row],[NAME]],TOR_H[[NAME]:['#]],3,0)</f>
        <v>0.25</v>
      </c>
      <c r="F41" s="72">
        <f>VLOOKUP(Table106[[#This Row],[NAME]],TOR_H[[NAME]:['#]],4,0)</f>
        <v>0.29166666666666669</v>
      </c>
      <c r="G41" s="77">
        <f>VLOOKUP(Table106[[#This Row],[NAME]],TOR_H[[NAME]:['#]],5,0)</f>
        <v>6</v>
      </c>
      <c r="H41" s="28">
        <f>VLOOKUP(Table106[[#This Row],[NAME]],TOR_H[[NAME]:['#]],6,0)</f>
        <v>24</v>
      </c>
      <c r="I41" s="28">
        <f>VLOOKUP(Table106[[#This Row],[NAME]],TOR_H[[NAME]:['#]],7,0)</f>
        <v>0</v>
      </c>
      <c r="J41" s="28">
        <f>VLOOKUP(Table106[[#This Row],[NAME]],TOR_H[[NAME]:['#]],8,0)</f>
        <v>6</v>
      </c>
      <c r="K41" s="28">
        <f>VLOOKUP(Table106[[#This Row],[NAME]],TOR_H[[NAME]:['#]],9,0)</f>
        <v>1</v>
      </c>
      <c r="L41" s="28">
        <f>VLOOKUP(Table106[[#This Row],[NAME]],TOR_H[[NAME]:['#]],10,0)</f>
        <v>0</v>
      </c>
      <c r="M41" s="28">
        <f>VLOOKUP(Table106[[#This Row],[NAME]],TOR_H[[NAME]:['#]],11,0)</f>
        <v>0</v>
      </c>
      <c r="N41" s="28">
        <f>VLOOKUP(Table106[[#This Row],[NAME]],TOR_H[[NAME]:['#]],12,0)</f>
        <v>1</v>
      </c>
      <c r="O41" s="28">
        <f>VLOOKUP(Table106[[#This Row],[NAME]],TOR_H[[NAME]:['#]],13,0)</f>
        <v>0</v>
      </c>
      <c r="P41" s="28">
        <f>VLOOKUP(Table106[[#This Row],[NAME]],TOR_H[[NAME]:['#]],14,0)</f>
        <v>2</v>
      </c>
      <c r="Q41" s="77">
        <f>VLOOKUP(Table106[[#This Row],[NAME]],TOR_H[[NAME]:['#]],15,0)</f>
        <v>0</v>
      </c>
      <c r="R41" s="28">
        <f>VLOOKUP(Table106[[#This Row],[NAME]],TOR_H[[NAME]:['#]],16,0)</f>
        <v>0</v>
      </c>
      <c r="S41" s="28">
        <f>VLOOKUP(Table106[[#This Row],[NAME]],TOR_H[[NAME]:['#]],17,0)</f>
        <v>2</v>
      </c>
      <c r="T41" s="77">
        <f>VLOOKUP(Table106[[#This Row],[NAME]],TOR_H[[NAME]:['#]],18,0)</f>
        <v>7</v>
      </c>
      <c r="U41" s="72">
        <f>VLOOKUP(Table106[[#This Row],[NAME]],TOR_H[[NAME]:['#]],19,0)</f>
        <v>0.54166666666666674</v>
      </c>
      <c r="V41" s="28">
        <f>VLOOKUP(Table106[[#This Row],[NAME]],TOR_H[[NAME]:['#]],20,0)</f>
        <v>0</v>
      </c>
      <c r="W41" s="75">
        <v>39</v>
      </c>
      <c r="Z41" s="365" t="s">
        <v>266</v>
      </c>
      <c r="AA41" s="77" t="s">
        <v>187</v>
      </c>
      <c r="AB41" s="77" t="s">
        <v>280</v>
      </c>
      <c r="AC41" s="130">
        <v>0.35</v>
      </c>
      <c r="AD41" s="72">
        <v>0.38095238095238093</v>
      </c>
      <c r="AE41" s="72">
        <v>0.35</v>
      </c>
      <c r="AF41" s="77">
        <v>5</v>
      </c>
      <c r="AG41" s="28">
        <v>20</v>
      </c>
      <c r="AH41" s="28">
        <v>3</v>
      </c>
      <c r="AI41" s="28">
        <v>7</v>
      </c>
      <c r="AJ41" s="28">
        <v>0</v>
      </c>
      <c r="AK41" s="28">
        <v>0</v>
      </c>
      <c r="AL41" s="28">
        <v>0</v>
      </c>
      <c r="AM41" s="28">
        <v>0</v>
      </c>
      <c r="AN41" s="28">
        <v>1</v>
      </c>
      <c r="AO41" s="28">
        <v>3</v>
      </c>
      <c r="AP41" s="77">
        <v>0</v>
      </c>
      <c r="AQ41" s="28">
        <v>1</v>
      </c>
      <c r="AR41" s="28">
        <v>1</v>
      </c>
      <c r="AS41" s="77">
        <v>7</v>
      </c>
      <c r="AT41" s="72">
        <v>0.73095238095238091</v>
      </c>
      <c r="AU41" s="28">
        <v>0</v>
      </c>
      <c r="AV41" s="75">
        <v>39</v>
      </c>
      <c r="AY41" s="101" t="s">
        <v>266</v>
      </c>
      <c r="AZ41" s="77" t="s">
        <v>187</v>
      </c>
      <c r="BA41" s="77" t="s">
        <v>280</v>
      </c>
      <c r="BB41" s="130">
        <v>0.38709677419354838</v>
      </c>
      <c r="BC41" s="72">
        <v>0.45714285714285713</v>
      </c>
      <c r="BD41" s="72">
        <v>0.5161290322580645</v>
      </c>
      <c r="BE41" s="77">
        <v>18</v>
      </c>
      <c r="BF41" s="28">
        <v>31</v>
      </c>
      <c r="BG41" s="28">
        <v>6</v>
      </c>
      <c r="BH41" s="28">
        <v>12</v>
      </c>
      <c r="BI41" s="28">
        <v>1</v>
      </c>
      <c r="BJ41" s="28">
        <v>0</v>
      </c>
      <c r="BK41" s="28">
        <v>1</v>
      </c>
      <c r="BL41" s="28">
        <v>5</v>
      </c>
      <c r="BM41" s="28">
        <v>4</v>
      </c>
      <c r="BN41" s="28">
        <v>8</v>
      </c>
      <c r="BO41" s="77">
        <v>0</v>
      </c>
      <c r="BP41" s="28">
        <v>0</v>
      </c>
      <c r="BQ41" s="28">
        <v>2</v>
      </c>
      <c r="BR41" s="77">
        <v>16</v>
      </c>
      <c r="BS41" s="72">
        <v>0.97327188940092157</v>
      </c>
      <c r="BT41" s="28">
        <v>1</v>
      </c>
      <c r="BU41" s="75">
        <v>39</v>
      </c>
    </row>
    <row r="42" spans="1:73">
      <c r="A42" s="101" t="s">
        <v>266</v>
      </c>
      <c r="B42" s="71" t="s">
        <v>192</v>
      </c>
      <c r="C42" s="71" t="s">
        <v>283</v>
      </c>
      <c r="D42" s="72">
        <f>VLOOKUP(Table106[[#This Row],[NAME]],TOR_H[[NAME]:['#]],2,0)</f>
        <v>0</v>
      </c>
      <c r="E42" s="72">
        <f>VLOOKUP(Table106[[#This Row],[NAME]],TOR_H[[NAME]:['#]],3,0)</f>
        <v>0</v>
      </c>
      <c r="F42" s="72">
        <f>VLOOKUP(Table106[[#This Row],[NAME]],TOR_H[[NAME]:['#]],4,0)</f>
        <v>0</v>
      </c>
      <c r="G42" s="77">
        <f>VLOOKUP(Table106[[#This Row],[NAME]],TOR_H[[NAME]:['#]],5,0)</f>
        <v>0</v>
      </c>
      <c r="H42" s="28">
        <f>VLOOKUP(Table106[[#This Row],[NAME]],TOR_H[[NAME]:['#]],6,0)</f>
        <v>0</v>
      </c>
      <c r="I42" s="28">
        <f>VLOOKUP(Table106[[#This Row],[NAME]],TOR_H[[NAME]:['#]],7,0)</f>
        <v>0</v>
      </c>
      <c r="J42" s="28">
        <f>VLOOKUP(Table106[[#This Row],[NAME]],TOR_H[[NAME]:['#]],8,0)</f>
        <v>0</v>
      </c>
      <c r="K42" s="28">
        <f>VLOOKUP(Table106[[#This Row],[NAME]],TOR_H[[NAME]:['#]],9,0)</f>
        <v>0</v>
      </c>
      <c r="L42" s="28">
        <f>VLOOKUP(Table106[[#This Row],[NAME]],TOR_H[[NAME]:['#]],10,0)</f>
        <v>0</v>
      </c>
      <c r="M42" s="28">
        <f>VLOOKUP(Table106[[#This Row],[NAME]],TOR_H[[NAME]:['#]],11,0)</f>
        <v>0</v>
      </c>
      <c r="N42" s="28">
        <f>VLOOKUP(Table106[[#This Row],[NAME]],TOR_H[[NAME]:['#]],12,0)</f>
        <v>0</v>
      </c>
      <c r="O42" s="28">
        <f>VLOOKUP(Table106[[#This Row],[NAME]],TOR_H[[NAME]:['#]],13,0)</f>
        <v>0</v>
      </c>
      <c r="P42" s="28">
        <f>VLOOKUP(Table106[[#This Row],[NAME]],TOR_H[[NAME]:['#]],14,0)</f>
        <v>0</v>
      </c>
      <c r="Q42" s="77">
        <f>VLOOKUP(Table106[[#This Row],[NAME]],TOR_H[[NAME]:['#]],15,0)</f>
        <v>0</v>
      </c>
      <c r="R42" s="28">
        <f>VLOOKUP(Table106[[#This Row],[NAME]],TOR_H[[NAME]:['#]],16,0)</f>
        <v>0</v>
      </c>
      <c r="S42" s="28">
        <f>VLOOKUP(Table106[[#This Row],[NAME]],TOR_H[[NAME]:['#]],17,0)</f>
        <v>0</v>
      </c>
      <c r="T42" s="77">
        <f>VLOOKUP(Table106[[#This Row],[NAME]],TOR_H[[NAME]:['#]],18,0)</f>
        <v>0</v>
      </c>
      <c r="U42" s="72">
        <f>VLOOKUP(Table106[[#This Row],[NAME]],TOR_H[[NAME]:['#]],19,0)</f>
        <v>0</v>
      </c>
      <c r="V42" s="28">
        <f>VLOOKUP(Table106[[#This Row],[NAME]],TOR_H[[NAME]:['#]],20,0)</f>
        <v>0</v>
      </c>
      <c r="W42" s="75">
        <v>40</v>
      </c>
      <c r="Z42" s="365" t="s">
        <v>266</v>
      </c>
      <c r="AA42" s="77" t="s">
        <v>187</v>
      </c>
      <c r="AB42" s="77" t="s">
        <v>282</v>
      </c>
      <c r="AC42" s="130">
        <v>0.15384615384615385</v>
      </c>
      <c r="AD42" s="72">
        <v>0.3125</v>
      </c>
      <c r="AE42" s="72">
        <v>0.38461538461538464</v>
      </c>
      <c r="AF42" s="77">
        <v>5</v>
      </c>
      <c r="AG42" s="28">
        <v>13</v>
      </c>
      <c r="AH42" s="28">
        <v>2</v>
      </c>
      <c r="AI42" s="28">
        <v>2</v>
      </c>
      <c r="AJ42" s="28">
        <v>0</v>
      </c>
      <c r="AK42" s="28">
        <v>0</v>
      </c>
      <c r="AL42" s="28">
        <v>1</v>
      </c>
      <c r="AM42" s="28">
        <v>1</v>
      </c>
      <c r="AN42" s="28">
        <v>3</v>
      </c>
      <c r="AO42" s="28">
        <v>7</v>
      </c>
      <c r="AP42" s="77">
        <v>0</v>
      </c>
      <c r="AQ42" s="28">
        <v>1</v>
      </c>
      <c r="AR42" s="28">
        <v>1</v>
      </c>
      <c r="AS42" s="77">
        <v>5</v>
      </c>
      <c r="AT42" s="72">
        <v>0.69711538461538458</v>
      </c>
      <c r="AU42" s="28">
        <v>0</v>
      </c>
      <c r="AV42" s="75">
        <v>40</v>
      </c>
      <c r="AY42" s="101" t="s">
        <v>266</v>
      </c>
      <c r="AZ42" s="77" t="s">
        <v>187</v>
      </c>
      <c r="BA42" s="77" t="s">
        <v>282</v>
      </c>
      <c r="BB42" s="130">
        <v>0.36842105263157893</v>
      </c>
      <c r="BC42" s="72">
        <v>0.42857142857142855</v>
      </c>
      <c r="BD42" s="72">
        <v>0.57894736842105265</v>
      </c>
      <c r="BE42" s="77">
        <v>6</v>
      </c>
      <c r="BF42" s="28">
        <v>19</v>
      </c>
      <c r="BG42" s="28">
        <v>4</v>
      </c>
      <c r="BH42" s="28">
        <v>7</v>
      </c>
      <c r="BI42" s="28">
        <v>1</v>
      </c>
      <c r="BJ42" s="28">
        <v>0</v>
      </c>
      <c r="BK42" s="28">
        <v>1</v>
      </c>
      <c r="BL42" s="28">
        <v>1</v>
      </c>
      <c r="BM42" s="28">
        <v>2</v>
      </c>
      <c r="BN42" s="28">
        <v>5</v>
      </c>
      <c r="BO42" s="77">
        <v>0</v>
      </c>
      <c r="BP42" s="28">
        <v>0</v>
      </c>
      <c r="BQ42" s="28">
        <v>2</v>
      </c>
      <c r="BR42" s="77">
        <v>11</v>
      </c>
      <c r="BS42" s="72">
        <v>1.0075187969924813</v>
      </c>
      <c r="BT42" s="28">
        <v>0</v>
      </c>
      <c r="BU42" s="75">
        <v>40</v>
      </c>
    </row>
    <row r="43" spans="1:73">
      <c r="A43" s="101" t="s">
        <v>266</v>
      </c>
      <c r="B43" s="71" t="s">
        <v>186</v>
      </c>
      <c r="C43" s="71" t="s">
        <v>279</v>
      </c>
      <c r="D43" s="72">
        <f>VLOOKUP(Table106[[#This Row],[NAME]],TOR_H[[NAME]:['#]],2,0)</f>
        <v>0.22222222222222221</v>
      </c>
      <c r="E43" s="72">
        <f>VLOOKUP(Table106[[#This Row],[NAME]],TOR_H[[NAME]:['#]],3,0)</f>
        <v>0.22222222222222221</v>
      </c>
      <c r="F43" s="72">
        <f>VLOOKUP(Table106[[#This Row],[NAME]],TOR_H[[NAME]:['#]],4,0)</f>
        <v>0.3888888888888889</v>
      </c>
      <c r="G43" s="77">
        <f>VLOOKUP(Table106[[#This Row],[NAME]],TOR_H[[NAME]:['#]],5,0)</f>
        <v>14</v>
      </c>
      <c r="H43" s="28">
        <f>VLOOKUP(Table106[[#This Row],[NAME]],TOR_H[[NAME]:['#]],6,0)</f>
        <v>54</v>
      </c>
      <c r="I43" s="28">
        <f>VLOOKUP(Table106[[#This Row],[NAME]],TOR_H[[NAME]:['#]],7,0)</f>
        <v>5</v>
      </c>
      <c r="J43" s="28">
        <f>VLOOKUP(Table106[[#This Row],[NAME]],TOR_H[[NAME]:['#]],8,0)</f>
        <v>12</v>
      </c>
      <c r="K43" s="28">
        <f>VLOOKUP(Table106[[#This Row],[NAME]],TOR_H[[NAME]:['#]],9,0)</f>
        <v>3</v>
      </c>
      <c r="L43" s="28">
        <f>VLOOKUP(Table106[[#This Row],[NAME]],TOR_H[[NAME]:['#]],10,0)</f>
        <v>0</v>
      </c>
      <c r="M43" s="28">
        <f>VLOOKUP(Table106[[#This Row],[NAME]],TOR_H[[NAME]:['#]],11,0)</f>
        <v>2</v>
      </c>
      <c r="N43" s="28">
        <f>VLOOKUP(Table106[[#This Row],[NAME]],TOR_H[[NAME]:['#]],12,0)</f>
        <v>2</v>
      </c>
      <c r="O43" s="28">
        <f>VLOOKUP(Table106[[#This Row],[NAME]],TOR_H[[NAME]:['#]],13,0)</f>
        <v>0</v>
      </c>
      <c r="P43" s="28">
        <f>VLOOKUP(Table106[[#This Row],[NAME]],TOR_H[[NAME]:['#]],14,0)</f>
        <v>15</v>
      </c>
      <c r="Q43" s="77">
        <f>VLOOKUP(Table106[[#This Row],[NAME]],TOR_H[[NAME]:['#]],15,0)</f>
        <v>0</v>
      </c>
      <c r="R43" s="28">
        <f>VLOOKUP(Table106[[#This Row],[NAME]],TOR_H[[NAME]:['#]],16,0)</f>
        <v>1</v>
      </c>
      <c r="S43" s="28">
        <f>VLOOKUP(Table106[[#This Row],[NAME]],TOR_H[[NAME]:['#]],17,0)</f>
        <v>6</v>
      </c>
      <c r="T43" s="77">
        <f>VLOOKUP(Table106[[#This Row],[NAME]],TOR_H[[NAME]:['#]],18,0)</f>
        <v>21</v>
      </c>
      <c r="U43" s="72">
        <f>VLOOKUP(Table106[[#This Row],[NAME]],TOR_H[[NAME]:['#]],19,0)</f>
        <v>0.61111111111111116</v>
      </c>
      <c r="V43" s="28">
        <f>VLOOKUP(Table106[[#This Row],[NAME]],TOR_H[[NAME]:['#]],20,0)</f>
        <v>0</v>
      </c>
      <c r="W43" s="75">
        <v>41</v>
      </c>
      <c r="Z43" s="365" t="s">
        <v>266</v>
      </c>
      <c r="AA43" s="77" t="s">
        <v>186</v>
      </c>
      <c r="AB43" s="77" t="s">
        <v>279</v>
      </c>
      <c r="AC43" s="130">
        <v>0.22727272727272727</v>
      </c>
      <c r="AD43" s="72">
        <v>0.2608695652173913</v>
      </c>
      <c r="AE43" s="72">
        <v>0.40909090909090912</v>
      </c>
      <c r="AF43" s="77">
        <v>6</v>
      </c>
      <c r="AG43" s="28">
        <v>22</v>
      </c>
      <c r="AH43" s="28">
        <v>2</v>
      </c>
      <c r="AI43" s="28">
        <v>5</v>
      </c>
      <c r="AJ43" s="28">
        <v>1</v>
      </c>
      <c r="AK43" s="28">
        <v>0</v>
      </c>
      <c r="AL43" s="28">
        <v>1</v>
      </c>
      <c r="AM43" s="28">
        <v>1</v>
      </c>
      <c r="AN43" s="28">
        <v>1</v>
      </c>
      <c r="AO43" s="28">
        <v>4</v>
      </c>
      <c r="AP43" s="77">
        <v>0</v>
      </c>
      <c r="AQ43" s="28">
        <v>4</v>
      </c>
      <c r="AR43" s="28">
        <v>4</v>
      </c>
      <c r="AS43" s="77">
        <v>9</v>
      </c>
      <c r="AT43" s="72">
        <v>0.66996047430830041</v>
      </c>
      <c r="AU43" s="28">
        <v>0</v>
      </c>
      <c r="AV43" s="75">
        <v>41</v>
      </c>
      <c r="AY43" s="101" t="s">
        <v>266</v>
      </c>
      <c r="AZ43" s="77" t="s">
        <v>186</v>
      </c>
      <c r="BA43" s="77" t="s">
        <v>279</v>
      </c>
      <c r="BB43" s="130">
        <v>0.23076923076923078</v>
      </c>
      <c r="BC43" s="72">
        <v>0.25925925925925924</v>
      </c>
      <c r="BD43" s="72">
        <v>0.30769230769230771</v>
      </c>
      <c r="BE43" s="77">
        <v>9</v>
      </c>
      <c r="BF43" s="28">
        <v>26</v>
      </c>
      <c r="BG43" s="28">
        <v>2</v>
      </c>
      <c r="BH43" s="28">
        <v>6</v>
      </c>
      <c r="BI43" s="28">
        <v>2</v>
      </c>
      <c r="BJ43" s="28">
        <v>0</v>
      </c>
      <c r="BK43" s="28">
        <v>0</v>
      </c>
      <c r="BL43" s="28">
        <v>6</v>
      </c>
      <c r="BM43" s="28">
        <v>1</v>
      </c>
      <c r="BN43" s="28">
        <v>7</v>
      </c>
      <c r="BO43" s="77">
        <v>0</v>
      </c>
      <c r="BP43" s="28">
        <v>0</v>
      </c>
      <c r="BQ43" s="28">
        <v>3</v>
      </c>
      <c r="BR43" s="77">
        <v>8</v>
      </c>
      <c r="BS43" s="72">
        <v>0.56695156695156701</v>
      </c>
      <c r="BT43" s="28">
        <v>0</v>
      </c>
      <c r="BU43" s="75">
        <v>41</v>
      </c>
    </row>
    <row r="44" spans="1:73">
      <c r="A44" s="101" t="s">
        <v>266</v>
      </c>
      <c r="B44" s="71" t="s">
        <v>186</v>
      </c>
      <c r="C44" s="71" t="s">
        <v>281</v>
      </c>
      <c r="D44" s="72">
        <f>VLOOKUP(Table106[[#This Row],[NAME]],TOR_H[[NAME]:['#]],2,0)</f>
        <v>0.21276595744680851</v>
      </c>
      <c r="E44" s="72">
        <f>VLOOKUP(Table106[[#This Row],[NAME]],TOR_H[[NAME]:['#]],3,0)</f>
        <v>0.21276595744680851</v>
      </c>
      <c r="F44" s="72">
        <f>VLOOKUP(Table106[[#This Row],[NAME]],TOR_H[[NAME]:['#]],4,0)</f>
        <v>0.42553191489361702</v>
      </c>
      <c r="G44" s="77">
        <f>VLOOKUP(Table106[[#This Row],[NAME]],TOR_H[[NAME]:['#]],5,0)</f>
        <v>13</v>
      </c>
      <c r="H44" s="28">
        <f>VLOOKUP(Table106[[#This Row],[NAME]],TOR_H[[NAME]:['#]],6,0)</f>
        <v>47</v>
      </c>
      <c r="I44" s="28">
        <f>VLOOKUP(Table106[[#This Row],[NAME]],TOR_H[[NAME]:['#]],7,0)</f>
        <v>4</v>
      </c>
      <c r="J44" s="28">
        <f>VLOOKUP(Table106[[#This Row],[NAME]],TOR_H[[NAME]:['#]],8,0)</f>
        <v>10</v>
      </c>
      <c r="K44" s="28">
        <f>VLOOKUP(Table106[[#This Row],[NAME]],TOR_H[[NAME]:['#]],9,0)</f>
        <v>7</v>
      </c>
      <c r="L44" s="28">
        <f>VLOOKUP(Table106[[#This Row],[NAME]],TOR_H[[NAME]:['#]],10,0)</f>
        <v>0</v>
      </c>
      <c r="M44" s="28">
        <f>VLOOKUP(Table106[[#This Row],[NAME]],TOR_H[[NAME]:['#]],11,0)</f>
        <v>1</v>
      </c>
      <c r="N44" s="28">
        <f>VLOOKUP(Table106[[#This Row],[NAME]],TOR_H[[NAME]:['#]],12,0)</f>
        <v>4</v>
      </c>
      <c r="O44" s="28">
        <f>VLOOKUP(Table106[[#This Row],[NAME]],TOR_H[[NAME]:['#]],13,0)</f>
        <v>0</v>
      </c>
      <c r="P44" s="28">
        <f>VLOOKUP(Table106[[#This Row],[NAME]],TOR_H[[NAME]:['#]],14,0)</f>
        <v>10</v>
      </c>
      <c r="Q44" s="77">
        <f>VLOOKUP(Table106[[#This Row],[NAME]],TOR_H[[NAME]:['#]],15,0)</f>
        <v>0</v>
      </c>
      <c r="R44" s="28">
        <f>VLOOKUP(Table106[[#This Row],[NAME]],TOR_H[[NAME]:['#]],16,0)</f>
        <v>2</v>
      </c>
      <c r="S44" s="28">
        <f>VLOOKUP(Table106[[#This Row],[NAME]],TOR_H[[NAME]:['#]],17,0)</f>
        <v>3</v>
      </c>
      <c r="T44" s="77">
        <f>VLOOKUP(Table106[[#This Row],[NAME]],TOR_H[[NAME]:['#]],18,0)</f>
        <v>20</v>
      </c>
      <c r="U44" s="72">
        <f>VLOOKUP(Table106[[#This Row],[NAME]],TOR_H[[NAME]:['#]],19,0)</f>
        <v>0.63829787234042556</v>
      </c>
      <c r="V44" s="28">
        <f>VLOOKUP(Table106[[#This Row],[NAME]],TOR_H[[NAME]:['#]],20,0)</f>
        <v>1</v>
      </c>
      <c r="W44" s="75">
        <v>42</v>
      </c>
      <c r="Z44" s="365" t="s">
        <v>266</v>
      </c>
      <c r="AA44" s="77" t="s">
        <v>186</v>
      </c>
      <c r="AB44" s="77" t="s">
        <v>281</v>
      </c>
      <c r="AC44" s="130">
        <v>0.22580645161290322</v>
      </c>
      <c r="AD44" s="72">
        <v>0.22580645161290322</v>
      </c>
      <c r="AE44" s="72">
        <v>0.29032258064516131</v>
      </c>
      <c r="AF44" s="77">
        <v>9</v>
      </c>
      <c r="AG44" s="28">
        <v>31</v>
      </c>
      <c r="AH44" s="28">
        <v>3</v>
      </c>
      <c r="AI44" s="28">
        <v>7</v>
      </c>
      <c r="AJ44" s="28">
        <v>2</v>
      </c>
      <c r="AK44" s="28">
        <v>0</v>
      </c>
      <c r="AL44" s="28">
        <v>0</v>
      </c>
      <c r="AM44" s="28">
        <v>3</v>
      </c>
      <c r="AN44" s="28">
        <v>0</v>
      </c>
      <c r="AO44" s="28">
        <v>5</v>
      </c>
      <c r="AP44" s="77">
        <v>0</v>
      </c>
      <c r="AQ44" s="28">
        <v>0</v>
      </c>
      <c r="AR44" s="28">
        <v>2</v>
      </c>
      <c r="AS44" s="77">
        <v>9</v>
      </c>
      <c r="AT44" s="72">
        <v>0.5161290322580645</v>
      </c>
      <c r="AU44" s="28">
        <v>0</v>
      </c>
      <c r="AV44" s="75">
        <v>42</v>
      </c>
      <c r="AY44" s="101" t="s">
        <v>266</v>
      </c>
      <c r="AZ44" s="77" t="s">
        <v>186</v>
      </c>
      <c r="BA44" s="77" t="s">
        <v>281</v>
      </c>
      <c r="BB44" s="130">
        <v>0.35</v>
      </c>
      <c r="BC44" s="72">
        <v>0.40909090909090912</v>
      </c>
      <c r="BD44" s="72">
        <v>0.6</v>
      </c>
      <c r="BE44" s="77">
        <v>8</v>
      </c>
      <c r="BF44" s="28">
        <v>20</v>
      </c>
      <c r="BG44" s="28">
        <v>2</v>
      </c>
      <c r="BH44" s="28">
        <v>7</v>
      </c>
      <c r="BI44" s="28">
        <v>5</v>
      </c>
      <c r="BJ44" s="28">
        <v>0</v>
      </c>
      <c r="BK44" s="28">
        <v>0</v>
      </c>
      <c r="BL44" s="28">
        <v>3</v>
      </c>
      <c r="BM44" s="28">
        <v>2</v>
      </c>
      <c r="BN44" s="28">
        <v>5</v>
      </c>
      <c r="BO44" s="77">
        <v>0</v>
      </c>
      <c r="BP44" s="28">
        <v>0</v>
      </c>
      <c r="BQ44" s="28">
        <v>4</v>
      </c>
      <c r="BR44" s="77">
        <v>12</v>
      </c>
      <c r="BS44" s="72">
        <v>1.009090909090909</v>
      </c>
      <c r="BT44" s="28">
        <v>0</v>
      </c>
      <c r="BU44" s="75">
        <v>42</v>
      </c>
    </row>
    <row r="45" spans="1:73">
      <c r="A45" s="101" t="s">
        <v>300</v>
      </c>
      <c r="B45" s="71" t="s">
        <v>179</v>
      </c>
      <c r="C45" s="71" t="s">
        <v>307</v>
      </c>
      <c r="D45" s="72">
        <f>VLOOKUP(Table106[[#This Row],[NAME]],BAL_H[[NAME]:['#]],2,0)</f>
        <v>0.28275862068965518</v>
      </c>
      <c r="E45" s="72">
        <f>VLOOKUP(Table106[[#This Row],[NAME]],BAL_H[[NAME]:['#]],3,0)</f>
        <v>0.33333333333333331</v>
      </c>
      <c r="F45" s="72">
        <f>VLOOKUP(Table106[[#This Row],[NAME]],BAL_H[[NAME]:['#]],4,0)</f>
        <v>0.48275862068965519</v>
      </c>
      <c r="G45" s="77">
        <f>VLOOKUP(Table106[[#This Row],[NAME]],BAL_H[[NAME]:['#]],5,0)</f>
        <v>40</v>
      </c>
      <c r="H45" s="28">
        <f>VLOOKUP(Table106[[#This Row],[NAME]],BAL_H[[NAME]:['#]],6,0)</f>
        <v>145</v>
      </c>
      <c r="I45" s="28">
        <f>VLOOKUP(Table106[[#This Row],[NAME]],BAL_H[[NAME]:['#]],7,0)</f>
        <v>17</v>
      </c>
      <c r="J45" s="28">
        <f>VLOOKUP(Table106[[#This Row],[NAME]],BAL_H[[NAME]:['#]],8,0)</f>
        <v>41</v>
      </c>
      <c r="K45" s="28">
        <f>VLOOKUP(Table106[[#This Row],[NAME]],BAL_H[[NAME]:['#]],9,0)</f>
        <v>5</v>
      </c>
      <c r="L45" s="28">
        <f>VLOOKUP(Table106[[#This Row],[NAME]],BAL_H[[NAME]:['#]],10,0)</f>
        <v>0</v>
      </c>
      <c r="M45" s="28">
        <f>VLOOKUP(Table106[[#This Row],[NAME]],BAL_H[[NAME]:['#]],11,0)</f>
        <v>8</v>
      </c>
      <c r="N45" s="28">
        <f>VLOOKUP(Table106[[#This Row],[NAME]],BAL_H[[NAME]:['#]],12,0)</f>
        <v>24</v>
      </c>
      <c r="O45" s="28">
        <f>VLOOKUP(Table106[[#This Row],[NAME]],BAL_H[[NAME]:['#]],13,0)</f>
        <v>11</v>
      </c>
      <c r="P45" s="28">
        <f>VLOOKUP(Table106[[#This Row],[NAME]],BAL_H[[NAME]:['#]],14,0)</f>
        <v>32</v>
      </c>
      <c r="Q45" s="77">
        <f>VLOOKUP(Table106[[#This Row],[NAME]],BAL_H[[NAME]:['#]],15,0)</f>
        <v>0</v>
      </c>
      <c r="R45" s="28">
        <f>VLOOKUP(Table106[[#This Row],[NAME]],BAL_H[[NAME]:['#]],16,0)</f>
        <v>3</v>
      </c>
      <c r="S45" s="28">
        <f>VLOOKUP(Table106[[#This Row],[NAME]],BAL_H[[NAME]:['#]],17,0)</f>
        <v>8</v>
      </c>
      <c r="T45" s="77">
        <f>VLOOKUP(Table106[[#This Row],[NAME]],BAL_H[[NAME]:['#]],18,0)</f>
        <v>70</v>
      </c>
      <c r="U45" s="72">
        <f>VLOOKUP(Table106[[#This Row],[NAME]],BAL_H[[NAME]:['#]],19,0)</f>
        <v>0.81609195402298851</v>
      </c>
      <c r="V45" s="28">
        <f>VLOOKUP(Table106[[#This Row],[NAME]],BAL_H[[NAME]:['#]],20,0)</f>
        <v>1</v>
      </c>
      <c r="W45" s="75">
        <v>43</v>
      </c>
      <c r="Z45" s="101" t="s">
        <v>300</v>
      </c>
      <c r="AA45" s="77" t="s">
        <v>179</v>
      </c>
      <c r="AB45" s="77" t="s">
        <v>307</v>
      </c>
      <c r="AC45" s="130">
        <v>0.18439716312056736</v>
      </c>
      <c r="AD45" s="72">
        <v>0.30303030303030304</v>
      </c>
      <c r="AE45" s="72">
        <v>0.34042553191489361</v>
      </c>
      <c r="AF45" s="77">
        <v>40</v>
      </c>
      <c r="AG45" s="28">
        <v>141</v>
      </c>
      <c r="AH45" s="28">
        <v>14</v>
      </c>
      <c r="AI45" s="28">
        <v>26</v>
      </c>
      <c r="AJ45" s="28">
        <v>4</v>
      </c>
      <c r="AK45" s="28">
        <v>0</v>
      </c>
      <c r="AL45" s="28">
        <v>6</v>
      </c>
      <c r="AM45" s="28">
        <v>13</v>
      </c>
      <c r="AN45" s="28">
        <v>24</v>
      </c>
      <c r="AO45" s="28">
        <v>42</v>
      </c>
      <c r="AP45" s="77">
        <v>0</v>
      </c>
      <c r="AQ45" s="28">
        <v>6</v>
      </c>
      <c r="AR45" s="28">
        <v>6</v>
      </c>
      <c r="AS45" s="77">
        <v>48</v>
      </c>
      <c r="AT45" s="72">
        <v>0.64345583494519665</v>
      </c>
      <c r="AU45" s="28">
        <v>2</v>
      </c>
      <c r="AV45" s="75">
        <v>43</v>
      </c>
      <c r="AY45" s="101" t="s">
        <v>300</v>
      </c>
      <c r="AZ45" s="77" t="s">
        <v>308</v>
      </c>
      <c r="BA45" s="77" t="s">
        <v>307</v>
      </c>
      <c r="BB45" s="130">
        <v>0.1951219512195122</v>
      </c>
      <c r="BC45" s="72">
        <v>0.30769230769230771</v>
      </c>
      <c r="BD45" s="72">
        <v>0.38211382113821141</v>
      </c>
      <c r="BE45" s="77">
        <v>38</v>
      </c>
      <c r="BF45" s="28">
        <v>123</v>
      </c>
      <c r="BG45" s="28">
        <v>11</v>
      </c>
      <c r="BH45" s="28">
        <v>24</v>
      </c>
      <c r="BI45" s="28">
        <v>5</v>
      </c>
      <c r="BJ45" s="28">
        <v>0</v>
      </c>
      <c r="BK45" s="28">
        <v>6</v>
      </c>
      <c r="BL45" s="28">
        <v>17</v>
      </c>
      <c r="BM45" s="28">
        <v>20</v>
      </c>
      <c r="BN45" s="28">
        <v>27</v>
      </c>
      <c r="BO45" s="77">
        <v>0</v>
      </c>
      <c r="BP45" s="28">
        <v>0</v>
      </c>
      <c r="BQ45" s="28">
        <v>3</v>
      </c>
      <c r="BR45" s="77">
        <v>47</v>
      </c>
      <c r="BS45" s="72">
        <v>0.68980612883051906</v>
      </c>
      <c r="BT45" s="28">
        <v>2</v>
      </c>
      <c r="BU45" s="75">
        <v>43</v>
      </c>
    </row>
    <row r="46" spans="1:73">
      <c r="A46" s="101" t="s">
        <v>300</v>
      </c>
      <c r="B46" s="71" t="s">
        <v>154</v>
      </c>
      <c r="C46" s="71" t="s">
        <v>309</v>
      </c>
      <c r="D46" s="72">
        <f>VLOOKUP(Table106[[#This Row],[NAME]],BAL_H[[NAME]:['#]],2,0)</f>
        <v>0.28187919463087246</v>
      </c>
      <c r="E46" s="72">
        <f>VLOOKUP(Table106[[#This Row],[NAME]],BAL_H[[NAME]:['#]],3,0)</f>
        <v>0.3515151515151515</v>
      </c>
      <c r="F46" s="72">
        <f>VLOOKUP(Table106[[#This Row],[NAME]],BAL_H[[NAME]:['#]],4,0)</f>
        <v>0.44295302013422821</v>
      </c>
      <c r="G46" s="77">
        <f>VLOOKUP(Table106[[#This Row],[NAME]],BAL_H[[NAME]:['#]],5,0)</f>
        <v>40</v>
      </c>
      <c r="H46" s="28">
        <f>VLOOKUP(Table106[[#This Row],[NAME]],BAL_H[[NAME]:['#]],6,0)</f>
        <v>149</v>
      </c>
      <c r="I46" s="28">
        <f>VLOOKUP(Table106[[#This Row],[NAME]],BAL_H[[NAME]:['#]],7,0)</f>
        <v>14</v>
      </c>
      <c r="J46" s="28">
        <f>VLOOKUP(Table106[[#This Row],[NAME]],BAL_H[[NAME]:['#]],8,0)</f>
        <v>42</v>
      </c>
      <c r="K46" s="28">
        <f>VLOOKUP(Table106[[#This Row],[NAME]],BAL_H[[NAME]:['#]],9,0)</f>
        <v>9</v>
      </c>
      <c r="L46" s="28">
        <f>VLOOKUP(Table106[[#This Row],[NAME]],BAL_H[[NAME]:['#]],10,0)</f>
        <v>3</v>
      </c>
      <c r="M46" s="28">
        <f>VLOOKUP(Table106[[#This Row],[NAME]],BAL_H[[NAME]:['#]],11,0)</f>
        <v>3</v>
      </c>
      <c r="N46" s="28">
        <f>VLOOKUP(Table106[[#This Row],[NAME]],BAL_H[[NAME]:['#]],12,0)</f>
        <v>14</v>
      </c>
      <c r="O46" s="28">
        <f>VLOOKUP(Table106[[#This Row],[NAME]],BAL_H[[NAME]:['#]],13,0)</f>
        <v>16</v>
      </c>
      <c r="P46" s="28">
        <f>VLOOKUP(Table106[[#This Row],[NAME]],BAL_H[[NAME]:['#]],14,0)</f>
        <v>21</v>
      </c>
      <c r="Q46" s="77">
        <f>VLOOKUP(Table106[[#This Row],[NAME]],BAL_H[[NAME]:['#]],15,0)</f>
        <v>0</v>
      </c>
      <c r="R46" s="28">
        <f>VLOOKUP(Table106[[#This Row],[NAME]],BAL_H[[NAME]:['#]],16,0)</f>
        <v>0</v>
      </c>
      <c r="S46" s="28">
        <f>VLOOKUP(Table106[[#This Row],[NAME]],BAL_H[[NAME]:['#]],17,0)</f>
        <v>5</v>
      </c>
      <c r="T46" s="77">
        <f>VLOOKUP(Table106[[#This Row],[NAME]],BAL_H[[NAME]:['#]],18,0)</f>
        <v>66</v>
      </c>
      <c r="U46" s="72">
        <f>VLOOKUP(Table106[[#This Row],[NAME]],BAL_H[[NAME]:['#]],19,0)</f>
        <v>0.79446817164937977</v>
      </c>
      <c r="V46" s="28">
        <f>VLOOKUP(Table106[[#This Row],[NAME]],BAL_H[[NAME]:['#]],20,0)</f>
        <v>0</v>
      </c>
      <c r="W46" s="75">
        <v>44</v>
      </c>
      <c r="Z46" s="101" t="s">
        <v>300</v>
      </c>
      <c r="AA46" s="77" t="s">
        <v>235</v>
      </c>
      <c r="AB46" s="77" t="s">
        <v>305</v>
      </c>
      <c r="AC46" s="130">
        <v>0.25185185185185183</v>
      </c>
      <c r="AD46" s="72">
        <v>0.39156626506024095</v>
      </c>
      <c r="AE46" s="72">
        <v>0.45185185185185184</v>
      </c>
      <c r="AF46" s="77">
        <v>39</v>
      </c>
      <c r="AG46" s="28">
        <v>135</v>
      </c>
      <c r="AH46" s="28">
        <v>18</v>
      </c>
      <c r="AI46" s="28">
        <v>34</v>
      </c>
      <c r="AJ46" s="28">
        <v>7</v>
      </c>
      <c r="AK46" s="28">
        <v>1</v>
      </c>
      <c r="AL46" s="28">
        <v>6</v>
      </c>
      <c r="AM46" s="28">
        <v>22</v>
      </c>
      <c r="AN46" s="76">
        <v>31</v>
      </c>
      <c r="AO46" s="28">
        <v>38</v>
      </c>
      <c r="AP46" s="77">
        <v>0</v>
      </c>
      <c r="AQ46" s="28">
        <v>1</v>
      </c>
      <c r="AR46" s="28">
        <v>7</v>
      </c>
      <c r="AS46" s="77">
        <v>61</v>
      </c>
      <c r="AT46" s="72">
        <v>0.84341811691209279</v>
      </c>
      <c r="AU46" s="28">
        <v>3</v>
      </c>
      <c r="AV46" s="75">
        <v>44</v>
      </c>
      <c r="AY46" s="101" t="s">
        <v>300</v>
      </c>
      <c r="AZ46" s="77" t="s">
        <v>154</v>
      </c>
      <c r="BA46" s="77" t="s">
        <v>316</v>
      </c>
      <c r="BB46" s="130">
        <v>0.21917808219178081</v>
      </c>
      <c r="BC46" s="72">
        <v>0.26923076923076922</v>
      </c>
      <c r="BD46" s="72">
        <v>0.36986301369863012</v>
      </c>
      <c r="BE46" s="77">
        <v>23</v>
      </c>
      <c r="BF46" s="28">
        <v>73</v>
      </c>
      <c r="BG46" s="28">
        <v>7</v>
      </c>
      <c r="BH46" s="28">
        <v>16</v>
      </c>
      <c r="BI46" s="28">
        <v>2</v>
      </c>
      <c r="BJ46" s="28">
        <v>0</v>
      </c>
      <c r="BK46" s="28">
        <v>3</v>
      </c>
      <c r="BL46" s="28">
        <v>6</v>
      </c>
      <c r="BM46" s="28">
        <v>5</v>
      </c>
      <c r="BN46" s="28">
        <v>33</v>
      </c>
      <c r="BO46" s="77">
        <v>0</v>
      </c>
      <c r="BP46" s="28">
        <v>0</v>
      </c>
      <c r="BQ46" s="28">
        <v>4</v>
      </c>
      <c r="BR46" s="77">
        <v>27</v>
      </c>
      <c r="BS46" s="72">
        <v>0.63909378292939933</v>
      </c>
      <c r="BT46" s="28">
        <v>1</v>
      </c>
      <c r="BU46" s="75">
        <v>44</v>
      </c>
    </row>
    <row r="47" spans="1:73">
      <c r="A47" s="101" t="s">
        <v>300</v>
      </c>
      <c r="B47" s="71" t="s">
        <v>172</v>
      </c>
      <c r="C47" s="71" t="s">
        <v>305</v>
      </c>
      <c r="D47" s="72">
        <f>VLOOKUP(Table106[[#This Row],[NAME]],BAL_H[[NAME]:['#]],2,0)</f>
        <v>0.29012345679012347</v>
      </c>
      <c r="E47" s="72">
        <f>VLOOKUP(Table106[[#This Row],[NAME]],BAL_H[[NAME]:['#]],3,0)</f>
        <v>0.34659090909090912</v>
      </c>
      <c r="F47" s="72">
        <f>VLOOKUP(Table106[[#This Row],[NAME]],BAL_H[[NAME]:['#]],4,0)</f>
        <v>0.5864197530864198</v>
      </c>
      <c r="G47" s="77">
        <f>VLOOKUP(Table106[[#This Row],[NAME]],BAL_H[[NAME]:['#]],5,0)</f>
        <v>39</v>
      </c>
      <c r="H47" s="28">
        <f>VLOOKUP(Table106[[#This Row],[NAME]],BAL_H[[NAME]:['#]],6,0)</f>
        <v>162</v>
      </c>
      <c r="I47" s="28">
        <f>VLOOKUP(Table106[[#This Row],[NAME]],BAL_H[[NAME]:['#]],7,0)</f>
        <v>26</v>
      </c>
      <c r="J47" s="28">
        <f>VLOOKUP(Table106[[#This Row],[NAME]],BAL_H[[NAME]:['#]],8,0)</f>
        <v>47</v>
      </c>
      <c r="K47" s="28">
        <f>VLOOKUP(Table106[[#This Row],[NAME]],BAL_H[[NAME]:['#]],9,0)</f>
        <v>13</v>
      </c>
      <c r="L47" s="28">
        <f>VLOOKUP(Table106[[#This Row],[NAME]],BAL_H[[NAME]:['#]],10,0)</f>
        <v>1</v>
      </c>
      <c r="M47" s="28">
        <f>VLOOKUP(Table106[[#This Row],[NAME]],BAL_H[[NAME]:['#]],11,0)</f>
        <v>11</v>
      </c>
      <c r="N47" s="28">
        <f>VLOOKUP(Table106[[#This Row],[NAME]],BAL_H[[NAME]:['#]],12,0)</f>
        <v>22</v>
      </c>
      <c r="O47" s="28">
        <f>VLOOKUP(Table106[[#This Row],[NAME]],BAL_H[[NAME]:['#]],13,0)</f>
        <v>14</v>
      </c>
      <c r="P47" s="28">
        <f>VLOOKUP(Table106[[#This Row],[NAME]],BAL_H[[NAME]:['#]],14,0)</f>
        <v>44</v>
      </c>
      <c r="Q47" s="77">
        <f>VLOOKUP(Table106[[#This Row],[NAME]],BAL_H[[NAME]:['#]],15,0)</f>
        <v>3</v>
      </c>
      <c r="R47" s="28">
        <f>VLOOKUP(Table106[[#This Row],[NAME]],BAL_H[[NAME]:['#]],16,0)</f>
        <v>8</v>
      </c>
      <c r="S47" s="28">
        <f>VLOOKUP(Table106[[#This Row],[NAME]],BAL_H[[NAME]:['#]],17,0)</f>
        <v>8</v>
      </c>
      <c r="T47" s="77">
        <f>VLOOKUP(Table106[[#This Row],[NAME]],BAL_H[[NAME]:['#]],18,0)</f>
        <v>95</v>
      </c>
      <c r="U47" s="72">
        <f>VLOOKUP(Table106[[#This Row],[NAME]],BAL_H[[NAME]:['#]],19,0)</f>
        <v>0.93301066217732886</v>
      </c>
      <c r="V47" s="28">
        <f>VLOOKUP(Table106[[#This Row],[NAME]],BAL_H[[NAME]:['#]],20,0)</f>
        <v>3</v>
      </c>
      <c r="W47" s="75">
        <v>45</v>
      </c>
      <c r="Z47" s="101" t="s">
        <v>300</v>
      </c>
      <c r="AA47" s="77" t="s">
        <v>154</v>
      </c>
      <c r="AB47" s="77" t="s">
        <v>309</v>
      </c>
      <c r="AC47" s="130">
        <v>0.20588235294117646</v>
      </c>
      <c r="AD47" s="72">
        <v>0.3032258064516129</v>
      </c>
      <c r="AE47" s="72">
        <v>0.36029411764705882</v>
      </c>
      <c r="AF47" s="77">
        <v>38</v>
      </c>
      <c r="AG47" s="28">
        <v>136</v>
      </c>
      <c r="AH47" s="28">
        <v>22</v>
      </c>
      <c r="AI47" s="28">
        <v>28</v>
      </c>
      <c r="AJ47" s="28">
        <v>2</v>
      </c>
      <c r="AK47" s="28">
        <v>2</v>
      </c>
      <c r="AL47" s="28">
        <v>5</v>
      </c>
      <c r="AM47" s="28">
        <v>12</v>
      </c>
      <c r="AN47" s="28">
        <v>19</v>
      </c>
      <c r="AO47" s="28">
        <v>26</v>
      </c>
      <c r="AP47" s="77">
        <v>0</v>
      </c>
      <c r="AQ47" s="28">
        <v>0</v>
      </c>
      <c r="AR47" s="28">
        <v>8</v>
      </c>
      <c r="AS47" s="77">
        <v>49</v>
      </c>
      <c r="AT47" s="72">
        <v>0.66351992409867178</v>
      </c>
      <c r="AU47" s="28">
        <v>4</v>
      </c>
      <c r="AV47" s="75">
        <v>45</v>
      </c>
      <c r="AY47" s="101" t="s">
        <v>300</v>
      </c>
      <c r="AZ47" s="77" t="s">
        <v>172</v>
      </c>
      <c r="BA47" s="77" t="s">
        <v>309</v>
      </c>
      <c r="BB47" s="130">
        <v>0.21126760563380281</v>
      </c>
      <c r="BC47" s="72">
        <v>0.29559748427672955</v>
      </c>
      <c r="BD47" s="72">
        <v>0.33098591549295775</v>
      </c>
      <c r="BE47" s="77">
        <v>40</v>
      </c>
      <c r="BF47" s="28">
        <v>142</v>
      </c>
      <c r="BG47" s="28">
        <v>9</v>
      </c>
      <c r="BH47" s="28">
        <v>30</v>
      </c>
      <c r="BI47" s="28">
        <v>6</v>
      </c>
      <c r="BJ47" s="28">
        <v>1</v>
      </c>
      <c r="BK47" s="28">
        <v>3</v>
      </c>
      <c r="BL47" s="28">
        <v>16</v>
      </c>
      <c r="BM47" s="28">
        <v>17</v>
      </c>
      <c r="BN47" s="28">
        <v>21</v>
      </c>
      <c r="BO47" s="77">
        <v>0</v>
      </c>
      <c r="BP47" s="28">
        <v>0</v>
      </c>
      <c r="BQ47" s="28">
        <v>7</v>
      </c>
      <c r="BR47" s="77">
        <v>47</v>
      </c>
      <c r="BS47" s="72">
        <v>0.62658339976968724</v>
      </c>
      <c r="BT47" s="28">
        <v>1</v>
      </c>
      <c r="BU47" s="75">
        <v>45</v>
      </c>
    </row>
    <row r="48" spans="1:73">
      <c r="A48" s="101" t="s">
        <v>300</v>
      </c>
      <c r="B48" s="71" t="s">
        <v>311</v>
      </c>
      <c r="C48" s="71" t="s">
        <v>312</v>
      </c>
      <c r="D48" s="72">
        <f>VLOOKUP(Table106[[#This Row],[NAME]],BAL_H[[NAME]:['#]],2,0)</f>
        <v>0.2265625</v>
      </c>
      <c r="E48" s="72">
        <f>VLOOKUP(Table106[[#This Row],[NAME]],BAL_H[[NAME]:['#]],3,0)</f>
        <v>0.28260869565217389</v>
      </c>
      <c r="F48" s="72">
        <f>VLOOKUP(Table106[[#This Row],[NAME]],BAL_H[[NAME]:['#]],4,0)</f>
        <v>0.3515625</v>
      </c>
      <c r="G48" s="77">
        <f>VLOOKUP(Table106[[#This Row],[NAME]],BAL_H[[NAME]:['#]],5,0)</f>
        <v>37</v>
      </c>
      <c r="H48" s="28">
        <f>VLOOKUP(Table106[[#This Row],[NAME]],BAL_H[[NAME]:['#]],6,0)</f>
        <v>128</v>
      </c>
      <c r="I48" s="28">
        <f>VLOOKUP(Table106[[#This Row],[NAME]],BAL_H[[NAME]:['#]],7,0)</f>
        <v>16</v>
      </c>
      <c r="J48" s="28">
        <f>VLOOKUP(Table106[[#This Row],[NAME]],BAL_H[[NAME]:['#]],8,0)</f>
        <v>29</v>
      </c>
      <c r="K48" s="28">
        <f>VLOOKUP(Table106[[#This Row],[NAME]],BAL_H[[NAME]:['#]],9,0)</f>
        <v>10</v>
      </c>
      <c r="L48" s="28">
        <f>VLOOKUP(Table106[[#This Row],[NAME]],BAL_H[[NAME]:['#]],10,0)</f>
        <v>0</v>
      </c>
      <c r="M48" s="28">
        <f>VLOOKUP(Table106[[#This Row],[NAME]],BAL_H[[NAME]:['#]],11,0)</f>
        <v>2</v>
      </c>
      <c r="N48" s="28">
        <f>VLOOKUP(Table106[[#This Row],[NAME]],BAL_H[[NAME]:['#]],12,0)</f>
        <v>10</v>
      </c>
      <c r="O48" s="28">
        <f>VLOOKUP(Table106[[#This Row],[NAME]],BAL_H[[NAME]:['#]],13,0)</f>
        <v>10</v>
      </c>
      <c r="P48" s="28">
        <f>VLOOKUP(Table106[[#This Row],[NAME]],BAL_H[[NAME]:['#]],14,0)</f>
        <v>33</v>
      </c>
      <c r="Q48" s="77">
        <f>VLOOKUP(Table106[[#This Row],[NAME]],BAL_H[[NAME]:['#]],15,0)</f>
        <v>0</v>
      </c>
      <c r="R48" s="28">
        <f>VLOOKUP(Table106[[#This Row],[NAME]],BAL_H[[NAME]:['#]],16,0)</f>
        <v>0</v>
      </c>
      <c r="S48" s="28">
        <f>VLOOKUP(Table106[[#This Row],[NAME]],BAL_H[[NAME]:['#]],17,0)</f>
        <v>6</v>
      </c>
      <c r="T48" s="77">
        <f>VLOOKUP(Table106[[#This Row],[NAME]],BAL_H[[NAME]:['#]],18,0)</f>
        <v>45</v>
      </c>
      <c r="U48" s="72">
        <f>VLOOKUP(Table106[[#This Row],[NAME]],BAL_H[[NAME]:['#]],19,0)</f>
        <v>0.63417119565217384</v>
      </c>
      <c r="V48" s="28">
        <f>VLOOKUP(Table106[[#This Row],[NAME]],BAL_H[[NAME]:['#]],20,0)</f>
        <v>0</v>
      </c>
      <c r="W48" s="75">
        <v>46</v>
      </c>
      <c r="Z48" s="101" t="s">
        <v>300</v>
      </c>
      <c r="AA48" s="77" t="s">
        <v>153</v>
      </c>
      <c r="AB48" s="77" t="s">
        <v>314</v>
      </c>
      <c r="AC48" s="130">
        <v>0.2073170731707317</v>
      </c>
      <c r="AD48" s="72">
        <v>0.22619047619047619</v>
      </c>
      <c r="AE48" s="72">
        <v>0.37804878048780488</v>
      </c>
      <c r="AF48" s="77">
        <v>22</v>
      </c>
      <c r="AG48" s="28">
        <v>82</v>
      </c>
      <c r="AH48" s="28">
        <v>6</v>
      </c>
      <c r="AI48" s="28">
        <v>17</v>
      </c>
      <c r="AJ48" s="28">
        <v>2</v>
      </c>
      <c r="AK48" s="28">
        <v>0</v>
      </c>
      <c r="AL48" s="28">
        <v>4</v>
      </c>
      <c r="AM48" s="28">
        <v>11</v>
      </c>
      <c r="AN48" s="28">
        <v>2</v>
      </c>
      <c r="AO48" s="28">
        <v>19</v>
      </c>
      <c r="AP48" s="77">
        <v>0</v>
      </c>
      <c r="AQ48" s="28">
        <v>0</v>
      </c>
      <c r="AR48" s="28">
        <v>4</v>
      </c>
      <c r="AS48" s="77">
        <v>31</v>
      </c>
      <c r="AT48" s="72">
        <v>0.60423925667828104</v>
      </c>
      <c r="AU48" s="28">
        <v>0</v>
      </c>
      <c r="AV48" s="75">
        <v>46</v>
      </c>
      <c r="AY48" s="101" t="s">
        <v>300</v>
      </c>
      <c r="AZ48" s="77" t="s">
        <v>153</v>
      </c>
      <c r="BA48" s="77" t="s">
        <v>314</v>
      </c>
      <c r="BB48" s="130">
        <v>0.23076923076923078</v>
      </c>
      <c r="BC48" s="72">
        <v>0.2857142857142857</v>
      </c>
      <c r="BD48" s="72">
        <v>0.35384615384615387</v>
      </c>
      <c r="BE48" s="77">
        <v>22</v>
      </c>
      <c r="BF48" s="28">
        <v>65</v>
      </c>
      <c r="BG48" s="28">
        <v>5</v>
      </c>
      <c r="BH48" s="28">
        <v>15</v>
      </c>
      <c r="BI48" s="28">
        <v>2</v>
      </c>
      <c r="BJ48" s="28">
        <v>0</v>
      </c>
      <c r="BK48" s="28">
        <v>2</v>
      </c>
      <c r="BL48" s="28">
        <v>8</v>
      </c>
      <c r="BM48" s="28">
        <v>5</v>
      </c>
      <c r="BN48" s="28">
        <v>10</v>
      </c>
      <c r="BO48" s="77">
        <v>0</v>
      </c>
      <c r="BP48" s="28">
        <v>0</v>
      </c>
      <c r="BQ48" s="28">
        <v>6</v>
      </c>
      <c r="BR48" s="77">
        <v>23</v>
      </c>
      <c r="BS48" s="72">
        <v>0.63956043956043951</v>
      </c>
      <c r="BT48" s="28">
        <v>1</v>
      </c>
      <c r="BU48" s="75">
        <v>46</v>
      </c>
    </row>
    <row r="49" spans="1:73">
      <c r="A49" s="101" t="s">
        <v>300</v>
      </c>
      <c r="B49" s="345" t="s">
        <v>177</v>
      </c>
      <c r="C49" s="345" t="s">
        <v>301</v>
      </c>
      <c r="D49" s="72">
        <f>VLOOKUP(Table106[[#This Row],[NAME]],BAL_H[[NAME]:['#]],2,0)</f>
        <v>0.34337349397590361</v>
      </c>
      <c r="E49" s="72">
        <f>VLOOKUP(Table106[[#This Row],[NAME]],BAL_H[[NAME]:['#]],3,0)</f>
        <v>0.39106145251396646</v>
      </c>
      <c r="F49" s="72">
        <f>VLOOKUP(Table106[[#This Row],[NAME]],BAL_H[[NAME]:['#]],4,0)</f>
        <v>0.60843373493975905</v>
      </c>
      <c r="G49" s="77">
        <f>VLOOKUP(Table106[[#This Row],[NAME]],BAL_H[[NAME]:['#]],5,0)</f>
        <v>40</v>
      </c>
      <c r="H49" s="28">
        <f>VLOOKUP(Table106[[#This Row],[NAME]],BAL_H[[NAME]:['#]],6,0)</f>
        <v>166</v>
      </c>
      <c r="I49" s="28">
        <f>VLOOKUP(Table106[[#This Row],[NAME]],BAL_H[[NAME]:['#]],7,0)</f>
        <v>26</v>
      </c>
      <c r="J49" s="28">
        <f>VLOOKUP(Table106[[#This Row],[NAME]],BAL_H[[NAME]:['#]],8,0)</f>
        <v>57</v>
      </c>
      <c r="K49" s="28">
        <f>VLOOKUP(Table106[[#This Row],[NAME]],BAL_H[[NAME]:['#]],9,0)</f>
        <v>8</v>
      </c>
      <c r="L49" s="28">
        <f>VLOOKUP(Table106[[#This Row],[NAME]],BAL_H[[NAME]:['#]],10,0)</f>
        <v>0</v>
      </c>
      <c r="M49" s="28">
        <f>VLOOKUP(Table106[[#This Row],[NAME]],BAL_H[[NAME]:['#]],11,0)</f>
        <v>12</v>
      </c>
      <c r="N49" s="28">
        <f>VLOOKUP(Table106[[#This Row],[NAME]],BAL_H[[NAME]:['#]],12,0)</f>
        <v>33</v>
      </c>
      <c r="O49" s="28">
        <f>VLOOKUP(Table106[[#This Row],[NAME]],BAL_H[[NAME]:['#]],13,0)</f>
        <v>13</v>
      </c>
      <c r="P49" s="28">
        <f>VLOOKUP(Table106[[#This Row],[NAME]],BAL_H[[NAME]:['#]],14,0)</f>
        <v>31</v>
      </c>
      <c r="Q49" s="77">
        <f>VLOOKUP(Table106[[#This Row],[NAME]],BAL_H[[NAME]:['#]],15,0)</f>
        <v>0</v>
      </c>
      <c r="R49" s="28">
        <f>VLOOKUP(Table106[[#This Row],[NAME]],BAL_H[[NAME]:['#]],16,0)</f>
        <v>3</v>
      </c>
      <c r="S49" s="28">
        <f>VLOOKUP(Table106[[#This Row],[NAME]],BAL_H[[NAME]:['#]],17,0)</f>
        <v>11</v>
      </c>
      <c r="T49" s="77">
        <f>VLOOKUP(Table106[[#This Row],[NAME]],BAL_H[[NAME]:['#]],18,0)</f>
        <v>101</v>
      </c>
      <c r="U49" s="72">
        <f>VLOOKUP(Table106[[#This Row],[NAME]],BAL_H[[NAME]:['#]],19,0)</f>
        <v>0.99949518745372545</v>
      </c>
      <c r="V49" s="586">
        <f>VLOOKUP(Table106[[#This Row],[NAME]],BAL_H[[NAME]:['#]],20,0)</f>
        <v>10</v>
      </c>
      <c r="W49" s="75">
        <v>47</v>
      </c>
      <c r="Z49" s="101" t="s">
        <v>300</v>
      </c>
      <c r="AA49" s="77" t="s">
        <v>177</v>
      </c>
      <c r="AB49" s="77" t="s">
        <v>301</v>
      </c>
      <c r="AC49" s="130">
        <v>0.29931972789115646</v>
      </c>
      <c r="AD49" s="72">
        <v>0.39411764705882352</v>
      </c>
      <c r="AE49" s="72">
        <v>0.42176870748299322</v>
      </c>
      <c r="AF49" s="77">
        <v>39</v>
      </c>
      <c r="AG49" s="28">
        <v>147</v>
      </c>
      <c r="AH49" s="28">
        <v>18</v>
      </c>
      <c r="AI49" s="28">
        <v>44</v>
      </c>
      <c r="AJ49" s="28">
        <v>6</v>
      </c>
      <c r="AK49" s="28">
        <v>0</v>
      </c>
      <c r="AL49" s="28">
        <v>4</v>
      </c>
      <c r="AM49" s="28">
        <v>17</v>
      </c>
      <c r="AN49" s="28">
        <v>23</v>
      </c>
      <c r="AO49" s="28">
        <v>22</v>
      </c>
      <c r="AP49" s="77">
        <v>0</v>
      </c>
      <c r="AQ49" s="28">
        <v>0</v>
      </c>
      <c r="AR49" s="28">
        <v>7</v>
      </c>
      <c r="AS49" s="77">
        <v>62</v>
      </c>
      <c r="AT49" s="72">
        <v>0.81588635454181668</v>
      </c>
      <c r="AU49" s="28">
        <v>1</v>
      </c>
      <c r="AV49" s="75">
        <v>47</v>
      </c>
      <c r="AY49" s="101" t="s">
        <v>300</v>
      </c>
      <c r="AZ49" s="77" t="s">
        <v>177</v>
      </c>
      <c r="BA49" s="77" t="s">
        <v>303</v>
      </c>
      <c r="BB49" s="130">
        <v>0.25850340136054423</v>
      </c>
      <c r="BC49" s="72">
        <v>0.30128205128205127</v>
      </c>
      <c r="BD49" s="72">
        <v>0.50340136054421769</v>
      </c>
      <c r="BE49" s="77">
        <v>38</v>
      </c>
      <c r="BF49" s="28">
        <v>147</v>
      </c>
      <c r="BG49" s="28">
        <v>24</v>
      </c>
      <c r="BH49" s="28">
        <v>38</v>
      </c>
      <c r="BI49" s="28">
        <v>10</v>
      </c>
      <c r="BJ49" s="76">
        <v>4</v>
      </c>
      <c r="BK49" s="28">
        <v>6</v>
      </c>
      <c r="BL49" s="28">
        <v>17</v>
      </c>
      <c r="BM49" s="28">
        <v>9</v>
      </c>
      <c r="BN49" s="28">
        <v>42</v>
      </c>
      <c r="BO49" s="77">
        <v>0</v>
      </c>
      <c r="BP49" s="28">
        <v>0</v>
      </c>
      <c r="BQ49" s="28">
        <v>6</v>
      </c>
      <c r="BR49" s="77">
        <v>74</v>
      </c>
      <c r="BS49" s="72">
        <v>0.8046834118262689</v>
      </c>
      <c r="BT49" s="28">
        <v>1</v>
      </c>
      <c r="BU49" s="75">
        <v>47</v>
      </c>
    </row>
    <row r="50" spans="1:73">
      <c r="A50" s="101" t="s">
        <v>300</v>
      </c>
      <c r="B50" s="71" t="s">
        <v>174</v>
      </c>
      <c r="C50" s="71" t="s">
        <v>304</v>
      </c>
      <c r="D50" s="72">
        <f>VLOOKUP(Table106[[#This Row],[NAME]],BAL_H[[NAME]:['#]],2,0)</f>
        <v>0.28160919540229884</v>
      </c>
      <c r="E50" s="72">
        <f>VLOOKUP(Table106[[#This Row],[NAME]],BAL_H[[NAME]:['#]],3,0)</f>
        <v>0.32065217391304346</v>
      </c>
      <c r="F50" s="72">
        <f>VLOOKUP(Table106[[#This Row],[NAME]],BAL_H[[NAME]:['#]],4,0)</f>
        <v>0.5114942528735632</v>
      </c>
      <c r="G50" s="77">
        <f>VLOOKUP(Table106[[#This Row],[NAME]],BAL_H[[NAME]:['#]],5,0)</f>
        <v>40</v>
      </c>
      <c r="H50" s="28">
        <f>VLOOKUP(Table106[[#This Row],[NAME]],BAL_H[[NAME]:['#]],6,0)</f>
        <v>174</v>
      </c>
      <c r="I50" s="28">
        <f>VLOOKUP(Table106[[#This Row],[NAME]],BAL_H[[NAME]:['#]],7,0)</f>
        <v>28</v>
      </c>
      <c r="J50" s="28">
        <f>VLOOKUP(Table106[[#This Row],[NAME]],BAL_H[[NAME]:['#]],8,0)</f>
        <v>49</v>
      </c>
      <c r="K50" s="28">
        <f>VLOOKUP(Table106[[#This Row],[NAME]],BAL_H[[NAME]:['#]],9,0)</f>
        <v>10</v>
      </c>
      <c r="L50" s="28">
        <f>VLOOKUP(Table106[[#This Row],[NAME]],BAL_H[[NAME]:['#]],10,0)</f>
        <v>0</v>
      </c>
      <c r="M50" s="28">
        <f>VLOOKUP(Table106[[#This Row],[NAME]],BAL_H[[NAME]:['#]],11,0)</f>
        <v>10</v>
      </c>
      <c r="N50" s="28">
        <f>VLOOKUP(Table106[[#This Row],[NAME]],BAL_H[[NAME]:['#]],12,0)</f>
        <v>28</v>
      </c>
      <c r="O50" s="28">
        <f>VLOOKUP(Table106[[#This Row],[NAME]],BAL_H[[NAME]:['#]],13,0)</f>
        <v>10</v>
      </c>
      <c r="P50" s="28">
        <f>VLOOKUP(Table106[[#This Row],[NAME]],BAL_H[[NAME]:['#]],14,0)</f>
        <v>45</v>
      </c>
      <c r="Q50" s="77">
        <f>VLOOKUP(Table106[[#This Row],[NAME]],BAL_H[[NAME]:['#]],15,0)</f>
        <v>0</v>
      </c>
      <c r="R50" s="28">
        <f>VLOOKUP(Table106[[#This Row],[NAME]],BAL_H[[NAME]:['#]],16,0)</f>
        <v>3</v>
      </c>
      <c r="S50" s="28">
        <f>VLOOKUP(Table106[[#This Row],[NAME]],BAL_H[[NAME]:['#]],17,0)</f>
        <v>11</v>
      </c>
      <c r="T50" s="77">
        <f>VLOOKUP(Table106[[#This Row],[NAME]],BAL_H[[NAME]:['#]],18,0)</f>
        <v>89</v>
      </c>
      <c r="U50" s="72">
        <f>VLOOKUP(Table106[[#This Row],[NAME]],BAL_H[[NAME]:['#]],19,0)</f>
        <v>0.83214642678660666</v>
      </c>
      <c r="V50" s="28">
        <f>VLOOKUP(Table106[[#This Row],[NAME]],BAL_H[[NAME]:['#]],20,0)</f>
        <v>6</v>
      </c>
      <c r="W50" s="75">
        <v>48</v>
      </c>
      <c r="Z50" s="101" t="s">
        <v>300</v>
      </c>
      <c r="AA50" s="77" t="s">
        <v>174</v>
      </c>
      <c r="AB50" s="77" t="s">
        <v>313</v>
      </c>
      <c r="AC50" s="130">
        <v>0.22807017543859648</v>
      </c>
      <c r="AD50" s="72">
        <v>0.26666666666666666</v>
      </c>
      <c r="AE50" s="72">
        <v>0.43859649122807015</v>
      </c>
      <c r="AF50" s="77">
        <v>15</v>
      </c>
      <c r="AG50" s="28">
        <v>57</v>
      </c>
      <c r="AH50" s="28">
        <v>4</v>
      </c>
      <c r="AI50" s="28">
        <v>13</v>
      </c>
      <c r="AJ50" s="28">
        <v>6</v>
      </c>
      <c r="AK50" s="28">
        <v>0</v>
      </c>
      <c r="AL50" s="28">
        <v>2</v>
      </c>
      <c r="AM50" s="28">
        <v>5</v>
      </c>
      <c r="AN50" s="28">
        <v>3</v>
      </c>
      <c r="AO50" s="28">
        <v>16</v>
      </c>
      <c r="AP50" s="77">
        <v>0</v>
      </c>
      <c r="AQ50" s="28">
        <v>1</v>
      </c>
      <c r="AR50" s="28">
        <v>3</v>
      </c>
      <c r="AS50" s="77">
        <v>25</v>
      </c>
      <c r="AT50" s="72">
        <v>0.70526315789473681</v>
      </c>
      <c r="AU50" s="28">
        <v>0</v>
      </c>
      <c r="AV50" s="75">
        <v>48</v>
      </c>
      <c r="AY50" s="101" t="s">
        <v>300</v>
      </c>
      <c r="AZ50" s="77" t="s">
        <v>174</v>
      </c>
      <c r="BA50" s="77" t="s">
        <v>313</v>
      </c>
      <c r="BB50" s="130">
        <v>0.22222222222222221</v>
      </c>
      <c r="BC50" s="72">
        <v>0.27835051546391754</v>
      </c>
      <c r="BD50" s="72">
        <v>0.3888888888888889</v>
      </c>
      <c r="BE50" s="77">
        <v>26</v>
      </c>
      <c r="BF50" s="28">
        <v>90</v>
      </c>
      <c r="BG50" s="28">
        <v>8</v>
      </c>
      <c r="BH50" s="28">
        <v>20</v>
      </c>
      <c r="BI50" s="28">
        <v>3</v>
      </c>
      <c r="BJ50" s="28">
        <v>0</v>
      </c>
      <c r="BK50" s="28">
        <v>4</v>
      </c>
      <c r="BL50" s="28">
        <v>10</v>
      </c>
      <c r="BM50" s="28">
        <v>7</v>
      </c>
      <c r="BN50" s="28">
        <v>32</v>
      </c>
      <c r="BO50" s="77">
        <v>0</v>
      </c>
      <c r="BP50" s="28">
        <v>0</v>
      </c>
      <c r="BQ50" s="28">
        <v>4</v>
      </c>
      <c r="BR50" s="77">
        <v>35</v>
      </c>
      <c r="BS50" s="72">
        <v>0.66723940435280649</v>
      </c>
      <c r="BT50" s="28">
        <v>1</v>
      </c>
      <c r="BU50" s="75">
        <v>48</v>
      </c>
    </row>
    <row r="51" spans="1:73">
      <c r="A51" s="101" t="s">
        <v>300</v>
      </c>
      <c r="B51" s="71" t="s">
        <v>181</v>
      </c>
      <c r="C51" s="71" t="s">
        <v>306</v>
      </c>
      <c r="D51" s="72">
        <f>VLOOKUP(Table106[[#This Row],[NAME]],BAL_H[[NAME]:['#]],2,0)</f>
        <v>0.27205882352941174</v>
      </c>
      <c r="E51" s="72">
        <f>VLOOKUP(Table106[[#This Row],[NAME]],BAL_H[[NAME]:['#]],3,0)</f>
        <v>0.34868421052631576</v>
      </c>
      <c r="F51" s="72">
        <f>VLOOKUP(Table106[[#This Row],[NAME]],BAL_H[[NAME]:['#]],4,0)</f>
        <v>0.45588235294117646</v>
      </c>
      <c r="G51" s="77">
        <f>VLOOKUP(Table106[[#This Row],[NAME]],BAL_H[[NAME]:['#]],5,0)</f>
        <v>39</v>
      </c>
      <c r="H51" s="28">
        <f>VLOOKUP(Table106[[#This Row],[NAME]],BAL_H[[NAME]:['#]],6,0)</f>
        <v>136</v>
      </c>
      <c r="I51" s="28">
        <f>VLOOKUP(Table106[[#This Row],[NAME]],BAL_H[[NAME]:['#]],7,0)</f>
        <v>18</v>
      </c>
      <c r="J51" s="28">
        <f>VLOOKUP(Table106[[#This Row],[NAME]],BAL_H[[NAME]:['#]],8,0)</f>
        <v>37</v>
      </c>
      <c r="K51" s="28">
        <f>VLOOKUP(Table106[[#This Row],[NAME]],BAL_H[[NAME]:['#]],9,0)</f>
        <v>8</v>
      </c>
      <c r="L51" s="28">
        <f>VLOOKUP(Table106[[#This Row],[NAME]],BAL_H[[NAME]:['#]],10,0)</f>
        <v>1</v>
      </c>
      <c r="M51" s="28">
        <f>VLOOKUP(Table106[[#This Row],[NAME]],BAL_H[[NAME]:['#]],11,0)</f>
        <v>5</v>
      </c>
      <c r="N51" s="28">
        <f>VLOOKUP(Table106[[#This Row],[NAME]],BAL_H[[NAME]:['#]],12,0)</f>
        <v>18</v>
      </c>
      <c r="O51" s="28">
        <f>VLOOKUP(Table106[[#This Row],[NAME]],BAL_H[[NAME]:['#]],13,0)</f>
        <v>16</v>
      </c>
      <c r="P51" s="28">
        <f>VLOOKUP(Table106[[#This Row],[NAME]],BAL_H[[NAME]:['#]],14,0)</f>
        <v>32</v>
      </c>
      <c r="Q51" s="77">
        <f>VLOOKUP(Table106[[#This Row],[NAME]],BAL_H[[NAME]:['#]],15,0)</f>
        <v>1</v>
      </c>
      <c r="R51" s="28">
        <f>VLOOKUP(Table106[[#This Row],[NAME]],BAL_H[[NAME]:['#]],16,0)</f>
        <v>2</v>
      </c>
      <c r="S51" s="28">
        <f>VLOOKUP(Table106[[#This Row],[NAME]],BAL_H[[NAME]:['#]],17,0)</f>
        <v>7</v>
      </c>
      <c r="T51" s="77">
        <f>VLOOKUP(Table106[[#This Row],[NAME]],BAL_H[[NAME]:['#]],18,0)</f>
        <v>62</v>
      </c>
      <c r="U51" s="72">
        <f>VLOOKUP(Table106[[#This Row],[NAME]],BAL_H[[NAME]:['#]],19,0)</f>
        <v>0.80456656346749222</v>
      </c>
      <c r="V51" s="28">
        <f>VLOOKUP(Table106[[#This Row],[NAME]],BAL_H[[NAME]:['#]],20,0)</f>
        <v>0</v>
      </c>
      <c r="W51" s="75">
        <v>49</v>
      </c>
      <c r="Z51" s="101" t="s">
        <v>300</v>
      </c>
      <c r="AA51" s="77" t="s">
        <v>181</v>
      </c>
      <c r="AB51" s="77" t="s">
        <v>306</v>
      </c>
      <c r="AC51" s="130">
        <v>0.20930232558139536</v>
      </c>
      <c r="AD51" s="72">
        <v>0.23880597014925373</v>
      </c>
      <c r="AE51" s="72">
        <v>0.2868217054263566</v>
      </c>
      <c r="AF51" s="77">
        <v>32</v>
      </c>
      <c r="AG51" s="28">
        <v>129</v>
      </c>
      <c r="AH51" s="28">
        <v>8</v>
      </c>
      <c r="AI51" s="28">
        <v>27</v>
      </c>
      <c r="AJ51" s="28">
        <v>5</v>
      </c>
      <c r="AK51" s="28">
        <v>1</v>
      </c>
      <c r="AL51" s="28">
        <v>1</v>
      </c>
      <c r="AM51" s="28">
        <v>9</v>
      </c>
      <c r="AN51" s="28">
        <v>5</v>
      </c>
      <c r="AO51" s="28">
        <v>25</v>
      </c>
      <c r="AP51" s="77">
        <v>4</v>
      </c>
      <c r="AQ51" s="28">
        <v>0</v>
      </c>
      <c r="AR51" s="28">
        <v>5</v>
      </c>
      <c r="AS51" s="77">
        <v>37</v>
      </c>
      <c r="AT51" s="72">
        <v>0.5256276755756103</v>
      </c>
      <c r="AU51" s="28">
        <v>1</v>
      </c>
      <c r="AV51" s="75">
        <v>49</v>
      </c>
      <c r="AY51" s="101" t="s">
        <v>300</v>
      </c>
      <c r="AZ51" s="77" t="s">
        <v>181</v>
      </c>
      <c r="BA51" s="77" t="s">
        <v>306</v>
      </c>
      <c r="BB51" s="130">
        <v>0.29310344827586204</v>
      </c>
      <c r="BC51" s="72">
        <v>0.33333333333333331</v>
      </c>
      <c r="BD51" s="72">
        <v>0.51724137931034486</v>
      </c>
      <c r="BE51" s="77">
        <v>29</v>
      </c>
      <c r="BF51" s="28">
        <v>116</v>
      </c>
      <c r="BG51" s="28">
        <v>15</v>
      </c>
      <c r="BH51" s="28">
        <v>34</v>
      </c>
      <c r="BI51" s="28">
        <v>5</v>
      </c>
      <c r="BJ51" s="28">
        <v>0</v>
      </c>
      <c r="BK51" s="28">
        <v>7</v>
      </c>
      <c r="BL51" s="28">
        <v>12</v>
      </c>
      <c r="BM51" s="28">
        <v>7</v>
      </c>
      <c r="BN51" s="28">
        <v>27</v>
      </c>
      <c r="BO51" s="77">
        <v>7</v>
      </c>
      <c r="BP51" s="28">
        <v>4</v>
      </c>
      <c r="BQ51" s="28">
        <v>4</v>
      </c>
      <c r="BR51" s="77">
        <v>60</v>
      </c>
      <c r="BS51" s="72">
        <v>0.85057471264367823</v>
      </c>
      <c r="BT51" s="28">
        <v>1</v>
      </c>
      <c r="BU51" s="75">
        <v>49</v>
      </c>
    </row>
    <row r="52" spans="1:73">
      <c r="A52" s="101" t="s">
        <v>300</v>
      </c>
      <c r="B52" s="71" t="s">
        <v>166</v>
      </c>
      <c r="C52" s="71" t="s">
        <v>302</v>
      </c>
      <c r="D52" s="72">
        <f>VLOOKUP(Table106[[#This Row],[NAME]],BAL_H[[NAME]:['#]],2,0)</f>
        <v>0.3081761006289308</v>
      </c>
      <c r="E52" s="72">
        <f>VLOOKUP(Table106[[#This Row],[NAME]],BAL_H[[NAME]:['#]],3,0)</f>
        <v>0.35672514619883039</v>
      </c>
      <c r="F52" s="72">
        <f>VLOOKUP(Table106[[#This Row],[NAME]],BAL_H[[NAME]:['#]],4,0)</f>
        <v>0.61006289308176098</v>
      </c>
      <c r="G52" s="77">
        <f>VLOOKUP(Table106[[#This Row],[NAME]],BAL_H[[NAME]:['#]],5,0)</f>
        <v>40</v>
      </c>
      <c r="H52" s="28">
        <f>VLOOKUP(Table106[[#This Row],[NAME]],BAL_H[[NAME]:['#]],6,0)</f>
        <v>159</v>
      </c>
      <c r="I52" s="28">
        <f>VLOOKUP(Table106[[#This Row],[NAME]],BAL_H[[NAME]:['#]],7,0)</f>
        <v>24</v>
      </c>
      <c r="J52" s="28">
        <f>VLOOKUP(Table106[[#This Row],[NAME]],BAL_H[[NAME]:['#]],8,0)</f>
        <v>49</v>
      </c>
      <c r="K52" s="28">
        <f>VLOOKUP(Table106[[#This Row],[NAME]],BAL_H[[NAME]:['#]],9,0)</f>
        <v>15</v>
      </c>
      <c r="L52" s="28">
        <f>VLOOKUP(Table106[[#This Row],[NAME]],BAL_H[[NAME]:['#]],10,0)</f>
        <v>0</v>
      </c>
      <c r="M52" s="28">
        <f>VLOOKUP(Table106[[#This Row],[NAME]],BAL_H[[NAME]:['#]],11,0)</f>
        <v>11</v>
      </c>
      <c r="N52" s="28">
        <f>VLOOKUP(Table106[[#This Row],[NAME]],BAL_H[[NAME]:['#]],12,0)</f>
        <v>21</v>
      </c>
      <c r="O52" s="28">
        <f>VLOOKUP(Table106[[#This Row],[NAME]],BAL_H[[NAME]:['#]],13,0)</f>
        <v>12</v>
      </c>
      <c r="P52" s="28">
        <f>VLOOKUP(Table106[[#This Row],[NAME]],BAL_H[[NAME]:['#]],14,0)</f>
        <v>36</v>
      </c>
      <c r="Q52" s="77">
        <f>VLOOKUP(Table106[[#This Row],[NAME]],BAL_H[[NAME]:['#]],15,0)</f>
        <v>0</v>
      </c>
      <c r="R52" s="28">
        <f>VLOOKUP(Table106[[#This Row],[NAME]],BAL_H[[NAME]:['#]],16,0)</f>
        <v>1</v>
      </c>
      <c r="S52" s="28">
        <f>VLOOKUP(Table106[[#This Row],[NAME]],BAL_H[[NAME]:['#]],17,0)</f>
        <v>11</v>
      </c>
      <c r="T52" s="77">
        <f>VLOOKUP(Table106[[#This Row],[NAME]],BAL_H[[NAME]:['#]],18,0)</f>
        <v>97</v>
      </c>
      <c r="U52" s="72">
        <f>VLOOKUP(Table106[[#This Row],[NAME]],BAL_H[[NAME]:['#]],19,0)</f>
        <v>0.96678803928059143</v>
      </c>
      <c r="V52" s="28">
        <f>VLOOKUP(Table106[[#This Row],[NAME]],BAL_H[[NAME]:['#]],20,0)</f>
        <v>1</v>
      </c>
      <c r="W52" s="75">
        <v>50</v>
      </c>
      <c r="Z52" s="101" t="s">
        <v>300</v>
      </c>
      <c r="AA52" s="77" t="s">
        <v>166</v>
      </c>
      <c r="AB52" s="77" t="s">
        <v>302</v>
      </c>
      <c r="AC52" s="130">
        <v>0.28000000000000003</v>
      </c>
      <c r="AD52" s="72">
        <v>0.29870129870129869</v>
      </c>
      <c r="AE52" s="72">
        <v>0.47333333333333333</v>
      </c>
      <c r="AF52" s="77">
        <v>38</v>
      </c>
      <c r="AG52" s="28">
        <v>150</v>
      </c>
      <c r="AH52" s="28">
        <v>16</v>
      </c>
      <c r="AI52" s="28">
        <v>42</v>
      </c>
      <c r="AJ52" s="28">
        <v>5</v>
      </c>
      <c r="AK52" s="28">
        <v>0</v>
      </c>
      <c r="AL52" s="28">
        <v>8</v>
      </c>
      <c r="AM52" s="28">
        <v>25</v>
      </c>
      <c r="AN52" s="28">
        <v>4</v>
      </c>
      <c r="AO52" s="28">
        <v>44</v>
      </c>
      <c r="AP52" s="77">
        <v>0</v>
      </c>
      <c r="AQ52" s="28">
        <v>2</v>
      </c>
      <c r="AR52" s="28">
        <v>14</v>
      </c>
      <c r="AS52" s="77">
        <v>71</v>
      </c>
      <c r="AT52" s="72">
        <v>0.77203463203463207</v>
      </c>
      <c r="AU52" s="76">
        <v>7</v>
      </c>
      <c r="AV52" s="75">
        <v>50</v>
      </c>
      <c r="AY52" s="101" t="s">
        <v>300</v>
      </c>
      <c r="AZ52" s="77" t="s">
        <v>166</v>
      </c>
      <c r="BA52" s="77" t="s">
        <v>304</v>
      </c>
      <c r="BB52" s="130">
        <v>0.30215827338129497</v>
      </c>
      <c r="BC52" s="72">
        <v>0.33103448275862069</v>
      </c>
      <c r="BD52" s="72">
        <v>0.4460431654676259</v>
      </c>
      <c r="BE52" s="77">
        <v>36</v>
      </c>
      <c r="BF52" s="28">
        <v>139</v>
      </c>
      <c r="BG52" s="28">
        <v>15</v>
      </c>
      <c r="BH52" s="28">
        <v>42</v>
      </c>
      <c r="BI52" s="28">
        <v>11</v>
      </c>
      <c r="BJ52" s="28">
        <v>3</v>
      </c>
      <c r="BK52" s="28">
        <v>1</v>
      </c>
      <c r="BL52" s="28">
        <v>10</v>
      </c>
      <c r="BM52" s="28">
        <v>6</v>
      </c>
      <c r="BN52" s="28">
        <v>29</v>
      </c>
      <c r="BO52" s="77">
        <v>0</v>
      </c>
      <c r="BP52" s="28">
        <v>4</v>
      </c>
      <c r="BQ52" s="28">
        <v>4</v>
      </c>
      <c r="BR52" s="77">
        <v>62</v>
      </c>
      <c r="BS52" s="72">
        <v>0.77707764822624659</v>
      </c>
      <c r="BT52" s="28">
        <v>1</v>
      </c>
      <c r="BU52" s="75">
        <v>50</v>
      </c>
    </row>
    <row r="53" spans="1:73">
      <c r="A53" s="101" t="s">
        <v>300</v>
      </c>
      <c r="B53" s="71" t="s">
        <v>168</v>
      </c>
      <c r="C53" s="71" t="s">
        <v>313</v>
      </c>
      <c r="D53" s="72">
        <f>VLOOKUP(Table106[[#This Row],[NAME]],BAL_H[[NAME]:['#]],2,0)</f>
        <v>0.24358974358974358</v>
      </c>
      <c r="E53" s="72">
        <f>VLOOKUP(Table106[[#This Row],[NAME]],BAL_H[[NAME]:['#]],3,0)</f>
        <v>0.30588235294117649</v>
      </c>
      <c r="F53" s="72">
        <f>VLOOKUP(Table106[[#This Row],[NAME]],BAL_H[[NAME]:['#]],4,0)</f>
        <v>0.41025641025641024</v>
      </c>
      <c r="G53" s="77">
        <f>VLOOKUP(Table106[[#This Row],[NAME]],BAL_H[[NAME]:['#]],5,0)</f>
        <v>22</v>
      </c>
      <c r="H53" s="28">
        <f>VLOOKUP(Table106[[#This Row],[NAME]],BAL_H[[NAME]:['#]],6,0)</f>
        <v>78</v>
      </c>
      <c r="I53" s="28">
        <f>VLOOKUP(Table106[[#This Row],[NAME]],BAL_H[[NAME]:['#]],7,0)</f>
        <v>11</v>
      </c>
      <c r="J53" s="28">
        <f>VLOOKUP(Table106[[#This Row],[NAME]],BAL_H[[NAME]:['#]],8,0)</f>
        <v>19</v>
      </c>
      <c r="K53" s="28">
        <f>VLOOKUP(Table106[[#This Row],[NAME]],BAL_H[[NAME]:['#]],9,0)</f>
        <v>4</v>
      </c>
      <c r="L53" s="28">
        <f>VLOOKUP(Table106[[#This Row],[NAME]],BAL_H[[NAME]:['#]],10,0)</f>
        <v>0</v>
      </c>
      <c r="M53" s="28">
        <f>VLOOKUP(Table106[[#This Row],[NAME]],BAL_H[[NAME]:['#]],11,0)</f>
        <v>3</v>
      </c>
      <c r="N53" s="28">
        <f>VLOOKUP(Table106[[#This Row],[NAME]],BAL_H[[NAME]:['#]],12,0)</f>
        <v>9</v>
      </c>
      <c r="O53" s="28">
        <f>VLOOKUP(Table106[[#This Row],[NAME]],BAL_H[[NAME]:['#]],13,0)</f>
        <v>7</v>
      </c>
      <c r="P53" s="28">
        <f>VLOOKUP(Table106[[#This Row],[NAME]],BAL_H[[NAME]:['#]],14,0)</f>
        <v>25</v>
      </c>
      <c r="Q53" s="77">
        <f>VLOOKUP(Table106[[#This Row],[NAME]],BAL_H[[NAME]:['#]],15,0)</f>
        <v>0</v>
      </c>
      <c r="R53" s="28">
        <f>VLOOKUP(Table106[[#This Row],[NAME]],BAL_H[[NAME]:['#]],16,0)</f>
        <v>2</v>
      </c>
      <c r="S53" s="28">
        <f>VLOOKUP(Table106[[#This Row],[NAME]],BAL_H[[NAME]:['#]],17,0)</f>
        <v>5</v>
      </c>
      <c r="T53" s="77">
        <f>VLOOKUP(Table106[[#This Row],[NAME]],BAL_H[[NAME]:['#]],18,0)</f>
        <v>32</v>
      </c>
      <c r="U53" s="72">
        <f>VLOOKUP(Table106[[#This Row],[NAME]],BAL_H[[NAME]:['#]],19,0)</f>
        <v>0.71613876319758674</v>
      </c>
      <c r="V53" s="28">
        <f>VLOOKUP(Table106[[#This Row],[NAME]],BAL_H[[NAME]:['#]],20,0)</f>
        <v>0</v>
      </c>
      <c r="W53" s="75">
        <v>51</v>
      </c>
      <c r="Z53" s="101" t="s">
        <v>300</v>
      </c>
      <c r="AA53" s="77" t="s">
        <v>168</v>
      </c>
      <c r="AB53" s="77" t="s">
        <v>303</v>
      </c>
      <c r="AC53" s="130">
        <v>0.27210884353741499</v>
      </c>
      <c r="AD53" s="72">
        <v>0.32278481012658228</v>
      </c>
      <c r="AE53" s="72">
        <v>0.35374149659863946</v>
      </c>
      <c r="AF53" s="77">
        <v>38</v>
      </c>
      <c r="AG53" s="28">
        <v>147</v>
      </c>
      <c r="AH53" s="28">
        <v>17</v>
      </c>
      <c r="AI53" s="28">
        <v>40</v>
      </c>
      <c r="AJ53" s="28">
        <v>5</v>
      </c>
      <c r="AK53" s="28">
        <v>2</v>
      </c>
      <c r="AL53" s="28">
        <v>1</v>
      </c>
      <c r="AM53" s="28">
        <v>10</v>
      </c>
      <c r="AN53" s="28">
        <v>11</v>
      </c>
      <c r="AO53" s="28">
        <v>45</v>
      </c>
      <c r="AP53" s="77">
        <v>0</v>
      </c>
      <c r="AQ53" s="28">
        <v>1</v>
      </c>
      <c r="AR53" s="28">
        <v>11</v>
      </c>
      <c r="AS53" s="77">
        <v>52</v>
      </c>
      <c r="AT53" s="72">
        <v>0.67652630672522174</v>
      </c>
      <c r="AU53" s="28">
        <v>1</v>
      </c>
      <c r="AV53" s="75">
        <v>51</v>
      </c>
      <c r="AY53" s="101" t="s">
        <v>300</v>
      </c>
      <c r="AZ53" s="77" t="s">
        <v>168</v>
      </c>
      <c r="BA53" s="77" t="s">
        <v>301</v>
      </c>
      <c r="BB53" s="130">
        <v>0.28472222222222221</v>
      </c>
      <c r="BC53" s="72">
        <v>0.36024844720496896</v>
      </c>
      <c r="BD53" s="72">
        <v>0.39583333333333331</v>
      </c>
      <c r="BE53" s="77">
        <v>40</v>
      </c>
      <c r="BF53" s="28">
        <v>144</v>
      </c>
      <c r="BG53" s="28">
        <v>17</v>
      </c>
      <c r="BH53" s="28">
        <v>41</v>
      </c>
      <c r="BI53" s="28">
        <v>7</v>
      </c>
      <c r="BJ53" s="28">
        <v>0</v>
      </c>
      <c r="BK53" s="28">
        <v>3</v>
      </c>
      <c r="BL53" s="28">
        <v>18</v>
      </c>
      <c r="BM53" s="28">
        <v>17</v>
      </c>
      <c r="BN53" s="28">
        <v>27</v>
      </c>
      <c r="BO53" s="77">
        <v>0</v>
      </c>
      <c r="BP53" s="28">
        <v>0</v>
      </c>
      <c r="BQ53" s="28">
        <v>10</v>
      </c>
      <c r="BR53" s="77">
        <v>57</v>
      </c>
      <c r="BS53" s="72">
        <v>0.75608178053830222</v>
      </c>
      <c r="BT53" s="28">
        <v>2</v>
      </c>
      <c r="BU53" s="75">
        <v>51</v>
      </c>
    </row>
    <row r="54" spans="1:73">
      <c r="A54" s="101" t="s">
        <v>300</v>
      </c>
      <c r="B54" s="71" t="s">
        <v>308</v>
      </c>
      <c r="C54" s="71" t="s">
        <v>320</v>
      </c>
      <c r="D54" s="72">
        <f>VLOOKUP(Table106[[#This Row],[NAME]],BAL_H[[NAME]:['#]],2,0)</f>
        <v>0</v>
      </c>
      <c r="E54" s="72">
        <f>VLOOKUP(Table106[[#This Row],[NAME]],BAL_H[[NAME]:['#]],3,0)</f>
        <v>0</v>
      </c>
      <c r="F54" s="72">
        <f>VLOOKUP(Table106[[#This Row],[NAME]],BAL_H[[NAME]:['#]],4,0)</f>
        <v>0</v>
      </c>
      <c r="G54" s="77">
        <f>VLOOKUP(Table106[[#This Row],[NAME]],BAL_H[[NAME]:['#]],5,0)</f>
        <v>0</v>
      </c>
      <c r="H54" s="28">
        <f>VLOOKUP(Table106[[#This Row],[NAME]],BAL_H[[NAME]:['#]],6,0)</f>
        <v>0</v>
      </c>
      <c r="I54" s="28">
        <f>VLOOKUP(Table106[[#This Row],[NAME]],BAL_H[[NAME]:['#]],7,0)</f>
        <v>0</v>
      </c>
      <c r="J54" s="28">
        <f>VLOOKUP(Table106[[#This Row],[NAME]],BAL_H[[NAME]:['#]],8,0)</f>
        <v>0</v>
      </c>
      <c r="K54" s="28">
        <f>VLOOKUP(Table106[[#This Row],[NAME]],BAL_H[[NAME]:['#]],9,0)</f>
        <v>0</v>
      </c>
      <c r="L54" s="28">
        <f>VLOOKUP(Table106[[#This Row],[NAME]],BAL_H[[NAME]:['#]],10,0)</f>
        <v>0</v>
      </c>
      <c r="M54" s="28">
        <f>VLOOKUP(Table106[[#This Row],[NAME]],BAL_H[[NAME]:['#]],11,0)</f>
        <v>0</v>
      </c>
      <c r="N54" s="28">
        <f>VLOOKUP(Table106[[#This Row],[NAME]],BAL_H[[NAME]:['#]],12,0)</f>
        <v>0</v>
      </c>
      <c r="O54" s="28">
        <f>VLOOKUP(Table106[[#This Row],[NAME]],BAL_H[[NAME]:['#]],13,0)</f>
        <v>0</v>
      </c>
      <c r="P54" s="28">
        <f>VLOOKUP(Table106[[#This Row],[NAME]],BAL_H[[NAME]:['#]],14,0)</f>
        <v>0</v>
      </c>
      <c r="Q54" s="77">
        <f>VLOOKUP(Table106[[#This Row],[NAME]],BAL_H[[NAME]:['#]],15,0)</f>
        <v>0</v>
      </c>
      <c r="R54" s="28">
        <f>VLOOKUP(Table106[[#This Row],[NAME]],BAL_H[[NAME]:['#]],16,0)</f>
        <v>0</v>
      </c>
      <c r="S54" s="28">
        <f>VLOOKUP(Table106[[#This Row],[NAME]],BAL_H[[NAME]:['#]],17,0)</f>
        <v>0</v>
      </c>
      <c r="T54" s="77">
        <f>VLOOKUP(Table106[[#This Row],[NAME]],BAL_H[[NAME]:['#]],18,0)</f>
        <v>0</v>
      </c>
      <c r="U54" s="72">
        <f>VLOOKUP(Table106[[#This Row],[NAME]],BAL_H[[NAME]:['#]],19,0)</f>
        <v>0</v>
      </c>
      <c r="V54" s="28">
        <f>VLOOKUP(Table106[[#This Row],[NAME]],BAL_H[[NAME]:['#]],20,0)</f>
        <v>0</v>
      </c>
      <c r="W54" s="75">
        <v>52</v>
      </c>
      <c r="Z54" s="101" t="s">
        <v>300</v>
      </c>
      <c r="AA54" s="77" t="s">
        <v>187</v>
      </c>
      <c r="AB54" s="77" t="s">
        <v>315</v>
      </c>
      <c r="AC54" s="130">
        <v>0.23214285714285715</v>
      </c>
      <c r="AD54" s="72">
        <v>0.328125</v>
      </c>
      <c r="AE54" s="72">
        <v>0.39285714285714285</v>
      </c>
      <c r="AF54" s="77">
        <v>17</v>
      </c>
      <c r="AG54" s="28">
        <v>56</v>
      </c>
      <c r="AH54" s="28">
        <v>6</v>
      </c>
      <c r="AI54" s="28">
        <v>13</v>
      </c>
      <c r="AJ54" s="28">
        <v>3</v>
      </c>
      <c r="AK54" s="28">
        <v>0</v>
      </c>
      <c r="AL54" s="28">
        <v>2</v>
      </c>
      <c r="AM54" s="28">
        <v>12</v>
      </c>
      <c r="AN54" s="28">
        <v>8</v>
      </c>
      <c r="AO54" s="28">
        <v>16</v>
      </c>
      <c r="AP54" s="77">
        <v>0</v>
      </c>
      <c r="AQ54" s="28">
        <v>1</v>
      </c>
      <c r="AR54" s="28">
        <v>3</v>
      </c>
      <c r="AS54" s="77">
        <v>22</v>
      </c>
      <c r="AT54" s="72">
        <v>0.72098214285714279</v>
      </c>
      <c r="AU54" s="28">
        <v>2</v>
      </c>
      <c r="AV54" s="75">
        <v>52</v>
      </c>
      <c r="AY54" s="101" t="s">
        <v>300</v>
      </c>
      <c r="AZ54" s="77" t="s">
        <v>187</v>
      </c>
      <c r="BA54" s="77" t="s">
        <v>315</v>
      </c>
      <c r="BB54" s="130">
        <v>0.2857142857142857</v>
      </c>
      <c r="BC54" s="72">
        <v>0.31818181818181818</v>
      </c>
      <c r="BD54" s="72">
        <v>0.34523809523809523</v>
      </c>
      <c r="BE54" s="77">
        <v>27</v>
      </c>
      <c r="BF54" s="28">
        <v>84</v>
      </c>
      <c r="BG54" s="28">
        <v>10</v>
      </c>
      <c r="BH54" s="28">
        <v>24</v>
      </c>
      <c r="BI54" s="28">
        <v>2</v>
      </c>
      <c r="BJ54" s="28">
        <v>0</v>
      </c>
      <c r="BK54" s="28">
        <v>1</v>
      </c>
      <c r="BL54" s="28">
        <v>2</v>
      </c>
      <c r="BM54" s="28">
        <v>4</v>
      </c>
      <c r="BN54" s="28">
        <v>24</v>
      </c>
      <c r="BO54" s="77">
        <v>0</v>
      </c>
      <c r="BP54" s="28">
        <v>0</v>
      </c>
      <c r="BQ54" s="28">
        <v>6</v>
      </c>
      <c r="BR54" s="77">
        <v>29</v>
      </c>
      <c r="BS54" s="72">
        <v>0.66341991341991347</v>
      </c>
      <c r="BT54" s="28">
        <v>0</v>
      </c>
      <c r="BU54" s="75">
        <v>52</v>
      </c>
    </row>
    <row r="55" spans="1:73">
      <c r="A55" s="101" t="s">
        <v>300</v>
      </c>
      <c r="B55" s="71" t="s">
        <v>187</v>
      </c>
      <c r="C55" s="71" t="s">
        <v>315</v>
      </c>
      <c r="D55" s="72">
        <f>VLOOKUP(Table106[[#This Row],[NAME]],BAL_H[[NAME]:['#]],2,0)</f>
        <v>0.2857142857142857</v>
      </c>
      <c r="E55" s="72">
        <f>VLOOKUP(Table106[[#This Row],[NAME]],BAL_H[[NAME]:['#]],3,0)</f>
        <v>0.33333333333333331</v>
      </c>
      <c r="F55" s="72">
        <f>VLOOKUP(Table106[[#This Row],[NAME]],BAL_H[[NAME]:['#]],4,0)</f>
        <v>0.5714285714285714</v>
      </c>
      <c r="G55" s="77">
        <f>VLOOKUP(Table106[[#This Row],[NAME]],BAL_H[[NAME]:['#]],5,0)</f>
        <v>7</v>
      </c>
      <c r="H55" s="28">
        <f>VLOOKUP(Table106[[#This Row],[NAME]],BAL_H[[NAME]:['#]],6,0)</f>
        <v>14</v>
      </c>
      <c r="I55" s="28">
        <f>VLOOKUP(Table106[[#This Row],[NAME]],BAL_H[[NAME]:['#]],7,0)</f>
        <v>5</v>
      </c>
      <c r="J55" s="28">
        <f>VLOOKUP(Table106[[#This Row],[NAME]],BAL_H[[NAME]:['#]],8,0)</f>
        <v>4</v>
      </c>
      <c r="K55" s="28">
        <f>VLOOKUP(Table106[[#This Row],[NAME]],BAL_H[[NAME]:['#]],9,0)</f>
        <v>1</v>
      </c>
      <c r="L55" s="28">
        <f>VLOOKUP(Table106[[#This Row],[NAME]],BAL_H[[NAME]:['#]],10,0)</f>
        <v>0</v>
      </c>
      <c r="M55" s="28">
        <f>VLOOKUP(Table106[[#This Row],[NAME]],BAL_H[[NAME]:['#]],11,0)</f>
        <v>1</v>
      </c>
      <c r="N55" s="28">
        <f>VLOOKUP(Table106[[#This Row],[NAME]],BAL_H[[NAME]:['#]],12,0)</f>
        <v>1</v>
      </c>
      <c r="O55" s="28">
        <f>VLOOKUP(Table106[[#This Row],[NAME]],BAL_H[[NAME]:['#]],13,0)</f>
        <v>1</v>
      </c>
      <c r="P55" s="28">
        <f>VLOOKUP(Table106[[#This Row],[NAME]],BAL_H[[NAME]:['#]],14,0)</f>
        <v>4</v>
      </c>
      <c r="Q55" s="77">
        <f>VLOOKUP(Table106[[#This Row],[NAME]],BAL_H[[NAME]:['#]],15,0)</f>
        <v>0</v>
      </c>
      <c r="R55" s="28">
        <f>VLOOKUP(Table106[[#This Row],[NAME]],BAL_H[[NAME]:['#]],16,0)</f>
        <v>3</v>
      </c>
      <c r="S55" s="28">
        <f>VLOOKUP(Table106[[#This Row],[NAME]],BAL_H[[NAME]:['#]],17,0)</f>
        <v>3</v>
      </c>
      <c r="T55" s="77">
        <f>VLOOKUP(Table106[[#This Row],[NAME]],BAL_H[[NAME]:['#]],18,0)</f>
        <v>8</v>
      </c>
      <c r="U55" s="72">
        <f>VLOOKUP(Table106[[#This Row],[NAME]],BAL_H[[NAME]:['#]],19,0)</f>
        <v>0.90476190476190466</v>
      </c>
      <c r="V55" s="28">
        <f>VLOOKUP(Table106[[#This Row],[NAME]],BAL_H[[NAME]:['#]],20,0)</f>
        <v>0</v>
      </c>
      <c r="W55" s="75">
        <v>53</v>
      </c>
      <c r="Z55" s="101" t="s">
        <v>300</v>
      </c>
      <c r="AA55" s="77" t="s">
        <v>187</v>
      </c>
      <c r="AB55" s="77" t="s">
        <v>316</v>
      </c>
      <c r="AC55" s="130">
        <v>0.3125</v>
      </c>
      <c r="AD55" s="72">
        <v>0.3125</v>
      </c>
      <c r="AE55" s="72">
        <v>0.5625</v>
      </c>
      <c r="AF55" s="77">
        <v>4</v>
      </c>
      <c r="AG55" s="28">
        <v>16</v>
      </c>
      <c r="AH55" s="28">
        <v>1</v>
      </c>
      <c r="AI55" s="28">
        <v>5</v>
      </c>
      <c r="AJ55" s="28">
        <v>1</v>
      </c>
      <c r="AK55" s="28">
        <v>0</v>
      </c>
      <c r="AL55" s="28">
        <v>1</v>
      </c>
      <c r="AM55" s="28">
        <v>4</v>
      </c>
      <c r="AN55" s="28">
        <v>0</v>
      </c>
      <c r="AO55" s="28">
        <v>7</v>
      </c>
      <c r="AP55" s="77">
        <v>0</v>
      </c>
      <c r="AQ55" s="28">
        <v>1</v>
      </c>
      <c r="AR55" s="28">
        <v>2</v>
      </c>
      <c r="AS55" s="77">
        <v>9</v>
      </c>
      <c r="AT55" s="72">
        <v>0.875</v>
      </c>
      <c r="AU55" s="28">
        <v>0</v>
      </c>
      <c r="AV55" s="75">
        <v>53</v>
      </c>
      <c r="AY55" s="101" t="s">
        <v>300</v>
      </c>
      <c r="AZ55" s="77" t="s">
        <v>192</v>
      </c>
      <c r="BA55" s="77" t="s">
        <v>319</v>
      </c>
      <c r="BB55" s="130">
        <v>0.25</v>
      </c>
      <c r="BC55" s="72">
        <v>0.27272727272727271</v>
      </c>
      <c r="BD55" s="72">
        <v>0.359375</v>
      </c>
      <c r="BE55" s="77">
        <v>21</v>
      </c>
      <c r="BF55" s="28">
        <v>64</v>
      </c>
      <c r="BG55" s="28">
        <v>6</v>
      </c>
      <c r="BH55" s="28">
        <v>16</v>
      </c>
      <c r="BI55" s="28">
        <v>1</v>
      </c>
      <c r="BJ55" s="28">
        <v>0</v>
      </c>
      <c r="BK55" s="28">
        <v>2</v>
      </c>
      <c r="BL55" s="28">
        <v>5</v>
      </c>
      <c r="BM55" s="28">
        <v>2</v>
      </c>
      <c r="BN55" s="28">
        <v>24</v>
      </c>
      <c r="BO55" s="77">
        <v>0</v>
      </c>
      <c r="BP55" s="28">
        <v>0</v>
      </c>
      <c r="BQ55" s="28">
        <v>5</v>
      </c>
      <c r="BR55" s="77">
        <v>23</v>
      </c>
      <c r="BS55" s="72">
        <v>0.63210227272727271</v>
      </c>
      <c r="BT55" s="28">
        <v>0</v>
      </c>
      <c r="BU55" s="75">
        <v>53</v>
      </c>
    </row>
    <row r="56" spans="1:73">
      <c r="A56" s="101" t="s">
        <v>300</v>
      </c>
      <c r="B56" s="71" t="s">
        <v>192</v>
      </c>
      <c r="C56" s="71" t="s">
        <v>318</v>
      </c>
      <c r="D56" s="72">
        <f>VLOOKUP(Table106[[#This Row],[NAME]],BAL_H[[NAME]:['#]],2,0)</f>
        <v>0</v>
      </c>
      <c r="E56" s="72">
        <f>VLOOKUP(Table106[[#This Row],[NAME]],BAL_H[[NAME]:['#]],3,0)</f>
        <v>0</v>
      </c>
      <c r="F56" s="72">
        <f>VLOOKUP(Table106[[#This Row],[NAME]],BAL_H[[NAME]:['#]],4,0)</f>
        <v>0</v>
      </c>
      <c r="G56" s="77">
        <f>VLOOKUP(Table106[[#This Row],[NAME]],BAL_H[[NAME]:['#]],5,0)</f>
        <v>0</v>
      </c>
      <c r="H56" s="28">
        <f>VLOOKUP(Table106[[#This Row],[NAME]],BAL_H[[NAME]:['#]],6,0)</f>
        <v>0</v>
      </c>
      <c r="I56" s="28">
        <f>VLOOKUP(Table106[[#This Row],[NAME]],BAL_H[[NAME]:['#]],7,0)</f>
        <v>0</v>
      </c>
      <c r="J56" s="28">
        <f>VLOOKUP(Table106[[#This Row],[NAME]],BAL_H[[NAME]:['#]],8,0)</f>
        <v>0</v>
      </c>
      <c r="K56" s="28">
        <f>VLOOKUP(Table106[[#This Row],[NAME]],BAL_H[[NAME]:['#]],9,0)</f>
        <v>0</v>
      </c>
      <c r="L56" s="28">
        <f>VLOOKUP(Table106[[#This Row],[NAME]],BAL_H[[NAME]:['#]],10,0)</f>
        <v>0</v>
      </c>
      <c r="M56" s="28">
        <f>VLOOKUP(Table106[[#This Row],[NAME]],BAL_H[[NAME]:['#]],11,0)</f>
        <v>0</v>
      </c>
      <c r="N56" s="28">
        <f>VLOOKUP(Table106[[#This Row],[NAME]],BAL_H[[NAME]:['#]],12,0)</f>
        <v>0</v>
      </c>
      <c r="O56" s="28">
        <f>VLOOKUP(Table106[[#This Row],[NAME]],BAL_H[[NAME]:['#]],13,0)</f>
        <v>0</v>
      </c>
      <c r="P56" s="28">
        <f>VLOOKUP(Table106[[#This Row],[NAME]],BAL_H[[NAME]:['#]],14,0)</f>
        <v>0</v>
      </c>
      <c r="Q56" s="77">
        <f>VLOOKUP(Table106[[#This Row],[NAME]],BAL_H[[NAME]:['#]],15,0)</f>
        <v>0</v>
      </c>
      <c r="R56" s="28">
        <f>VLOOKUP(Table106[[#This Row],[NAME]],BAL_H[[NAME]:['#]],16,0)</f>
        <v>0</v>
      </c>
      <c r="S56" s="28">
        <f>VLOOKUP(Table106[[#This Row],[NAME]],BAL_H[[NAME]:['#]],17,0)</f>
        <v>0</v>
      </c>
      <c r="T56" s="77">
        <f>VLOOKUP(Table106[[#This Row],[NAME]],BAL_H[[NAME]:['#]],18,0)</f>
        <v>0</v>
      </c>
      <c r="U56" s="72">
        <f>VLOOKUP(Table106[[#This Row],[NAME]],BAL_H[[NAME]:['#]],19,0)</f>
        <v>0</v>
      </c>
      <c r="V56" s="28">
        <f>VLOOKUP(Table106[[#This Row],[NAME]],BAL_H[[NAME]:['#]],20,0)</f>
        <v>0</v>
      </c>
      <c r="W56" s="75">
        <v>54</v>
      </c>
      <c r="Z56" s="101" t="s">
        <v>300</v>
      </c>
      <c r="AA56" s="77" t="s">
        <v>186</v>
      </c>
      <c r="AB56" s="77" t="s">
        <v>304</v>
      </c>
      <c r="AC56" s="130">
        <v>0.28000000000000003</v>
      </c>
      <c r="AD56" s="72">
        <v>0.31818181818181818</v>
      </c>
      <c r="AE56" s="72">
        <v>0.47199999999999998</v>
      </c>
      <c r="AF56" s="77">
        <v>29</v>
      </c>
      <c r="AG56" s="28">
        <v>125</v>
      </c>
      <c r="AH56" s="28">
        <v>20</v>
      </c>
      <c r="AI56" s="28">
        <v>35</v>
      </c>
      <c r="AJ56" s="28">
        <v>11</v>
      </c>
      <c r="AK56" s="28">
        <v>2</v>
      </c>
      <c r="AL56" s="28">
        <v>3</v>
      </c>
      <c r="AM56" s="28">
        <v>9</v>
      </c>
      <c r="AN56" s="28">
        <v>7</v>
      </c>
      <c r="AO56" s="28">
        <v>25</v>
      </c>
      <c r="AP56" s="77">
        <v>0</v>
      </c>
      <c r="AQ56" s="28">
        <v>1</v>
      </c>
      <c r="AR56" s="28">
        <v>6</v>
      </c>
      <c r="AS56" s="77">
        <v>59</v>
      </c>
      <c r="AT56" s="72">
        <v>0.7901818181818181</v>
      </c>
      <c r="AU56" s="28">
        <v>2</v>
      </c>
      <c r="AV56" s="75">
        <v>54</v>
      </c>
      <c r="AY56" s="101" t="s">
        <v>300</v>
      </c>
      <c r="AZ56" s="77" t="s">
        <v>186</v>
      </c>
      <c r="BA56" s="77" t="s">
        <v>302</v>
      </c>
      <c r="BB56" s="130">
        <v>0.14285714285714285</v>
      </c>
      <c r="BC56" s="72">
        <v>0.2413793103448276</v>
      </c>
      <c r="BD56" s="72">
        <v>0.31168831168831168</v>
      </c>
      <c r="BE56" s="77">
        <v>22</v>
      </c>
      <c r="BF56" s="28">
        <v>77</v>
      </c>
      <c r="BG56" s="28">
        <v>6</v>
      </c>
      <c r="BH56" s="28">
        <v>11</v>
      </c>
      <c r="BI56" s="28">
        <v>4</v>
      </c>
      <c r="BJ56" s="28">
        <v>0</v>
      </c>
      <c r="BK56" s="28">
        <v>3</v>
      </c>
      <c r="BL56" s="28">
        <v>8</v>
      </c>
      <c r="BM56" s="28">
        <v>10</v>
      </c>
      <c r="BN56" s="28">
        <v>17</v>
      </c>
      <c r="BO56" s="77">
        <v>0</v>
      </c>
      <c r="BP56" s="28">
        <v>0</v>
      </c>
      <c r="BQ56" s="28">
        <v>5</v>
      </c>
      <c r="BR56" s="77">
        <v>24</v>
      </c>
      <c r="BS56" s="72">
        <v>0.55306762203313931</v>
      </c>
      <c r="BT56" s="28">
        <v>0</v>
      </c>
      <c r="BU56" s="75">
        <v>54</v>
      </c>
    </row>
    <row r="57" spans="1:73">
      <c r="A57" s="101" t="s">
        <v>300</v>
      </c>
      <c r="B57" s="71" t="s">
        <v>186</v>
      </c>
      <c r="C57" s="71" t="s">
        <v>303</v>
      </c>
      <c r="D57" s="72">
        <f>VLOOKUP(Table106[[#This Row],[NAME]],BAL_H[[NAME]:['#]],2,0)</f>
        <v>0.2</v>
      </c>
      <c r="E57" s="72">
        <f>VLOOKUP(Table106[[#This Row],[NAME]],BAL_H[[NAME]:['#]],3,0)</f>
        <v>0.28205128205128205</v>
      </c>
      <c r="F57" s="72">
        <f>VLOOKUP(Table106[[#This Row],[NAME]],BAL_H[[NAME]:['#]],4,0)</f>
        <v>0.2857142857142857</v>
      </c>
      <c r="G57" s="77">
        <f>VLOOKUP(Table106[[#This Row],[NAME]],BAL_H[[NAME]:['#]],5,0)</f>
        <v>19</v>
      </c>
      <c r="H57" s="28">
        <f>VLOOKUP(Table106[[#This Row],[NAME]],BAL_H[[NAME]:['#]],6,0)</f>
        <v>70</v>
      </c>
      <c r="I57" s="28">
        <f>VLOOKUP(Table106[[#This Row],[NAME]],BAL_H[[NAME]:['#]],7,0)</f>
        <v>4</v>
      </c>
      <c r="J57" s="28">
        <f>VLOOKUP(Table106[[#This Row],[NAME]],BAL_H[[NAME]:['#]],8,0)</f>
        <v>14</v>
      </c>
      <c r="K57" s="28">
        <f>VLOOKUP(Table106[[#This Row],[NAME]],BAL_H[[NAME]:['#]],9,0)</f>
        <v>3</v>
      </c>
      <c r="L57" s="28">
        <f>VLOOKUP(Table106[[#This Row],[NAME]],BAL_H[[NAME]:['#]],10,0)</f>
        <v>0</v>
      </c>
      <c r="M57" s="28">
        <f>VLOOKUP(Table106[[#This Row],[NAME]],BAL_H[[NAME]:['#]],11,0)</f>
        <v>1</v>
      </c>
      <c r="N57" s="28">
        <f>VLOOKUP(Table106[[#This Row],[NAME]],BAL_H[[NAME]:['#]],12,0)</f>
        <v>7</v>
      </c>
      <c r="O57" s="28">
        <f>VLOOKUP(Table106[[#This Row],[NAME]],BAL_H[[NAME]:['#]],13,0)</f>
        <v>8</v>
      </c>
      <c r="P57" s="28">
        <f>VLOOKUP(Table106[[#This Row],[NAME]],BAL_H[[NAME]:['#]],14,0)</f>
        <v>19</v>
      </c>
      <c r="Q57" s="77">
        <f>VLOOKUP(Table106[[#This Row],[NAME]],BAL_H[[NAME]:['#]],15,0)</f>
        <v>0</v>
      </c>
      <c r="R57" s="28">
        <f>VLOOKUP(Table106[[#This Row],[NAME]],BAL_H[[NAME]:['#]],16,0)</f>
        <v>0</v>
      </c>
      <c r="S57" s="28">
        <f>VLOOKUP(Table106[[#This Row],[NAME]],BAL_H[[NAME]:['#]],17,0)</f>
        <v>7</v>
      </c>
      <c r="T57" s="77">
        <f>VLOOKUP(Table106[[#This Row],[NAME]],BAL_H[[NAME]:['#]],18,0)</f>
        <v>20</v>
      </c>
      <c r="U57" s="72">
        <f>VLOOKUP(Table106[[#This Row],[NAME]],BAL_H[[NAME]:['#]],19,0)</f>
        <v>0.56776556776556775</v>
      </c>
      <c r="V57" s="28">
        <f>VLOOKUP(Table106[[#This Row],[NAME]],BAL_H[[NAME]:['#]],20,0)</f>
        <v>1</v>
      </c>
      <c r="W57" s="75">
        <v>55</v>
      </c>
      <c r="Z57" s="101" t="s">
        <v>300</v>
      </c>
      <c r="AA57" s="77" t="s">
        <v>186</v>
      </c>
      <c r="AB57" s="77" t="s">
        <v>310</v>
      </c>
      <c r="AC57" s="130">
        <v>0.16666666666666666</v>
      </c>
      <c r="AD57" s="72">
        <v>0.25925925925925924</v>
      </c>
      <c r="AE57" s="72">
        <v>0.16666666666666666</v>
      </c>
      <c r="AF57" s="77">
        <v>7</v>
      </c>
      <c r="AG57" s="28">
        <v>24</v>
      </c>
      <c r="AH57" s="28">
        <v>1</v>
      </c>
      <c r="AI57" s="28">
        <v>4</v>
      </c>
      <c r="AJ57" s="28">
        <v>0</v>
      </c>
      <c r="AK57" s="28">
        <v>0</v>
      </c>
      <c r="AL57" s="28">
        <v>0</v>
      </c>
      <c r="AM57" s="28">
        <v>0</v>
      </c>
      <c r="AN57" s="28">
        <v>3</v>
      </c>
      <c r="AO57" s="28">
        <v>8</v>
      </c>
      <c r="AP57" s="77">
        <v>0</v>
      </c>
      <c r="AQ57" s="28">
        <v>0</v>
      </c>
      <c r="AR57" s="28">
        <v>3</v>
      </c>
      <c r="AS57" s="77">
        <v>4</v>
      </c>
      <c r="AT57" s="72">
        <v>0.42592592592592593</v>
      </c>
      <c r="AU57" s="28">
        <v>0</v>
      </c>
      <c r="AV57" s="75">
        <v>55</v>
      </c>
      <c r="AY57" s="101" t="s">
        <v>300</v>
      </c>
      <c r="AZ57" s="77" t="s">
        <v>186</v>
      </c>
      <c r="BA57" s="77" t="s">
        <v>310</v>
      </c>
      <c r="BB57" s="130">
        <v>0.27083333333333331</v>
      </c>
      <c r="BC57" s="72">
        <v>0.29292929292929293</v>
      </c>
      <c r="BD57" s="72">
        <v>0.46875</v>
      </c>
      <c r="BE57" s="77">
        <v>26</v>
      </c>
      <c r="BF57" s="28">
        <v>96</v>
      </c>
      <c r="BG57" s="28">
        <v>12</v>
      </c>
      <c r="BH57" s="28">
        <v>26</v>
      </c>
      <c r="BI57" s="28">
        <v>7</v>
      </c>
      <c r="BJ57" s="28">
        <v>0</v>
      </c>
      <c r="BK57" s="28">
        <v>4</v>
      </c>
      <c r="BL57" s="28">
        <v>13</v>
      </c>
      <c r="BM57" s="28">
        <v>3</v>
      </c>
      <c r="BN57" s="28">
        <v>24</v>
      </c>
      <c r="BO57" s="77">
        <v>0</v>
      </c>
      <c r="BP57" s="28">
        <v>2</v>
      </c>
      <c r="BQ57" s="28">
        <v>7</v>
      </c>
      <c r="BR57" s="77">
        <v>45</v>
      </c>
      <c r="BS57" s="72">
        <v>0.76167929292929293</v>
      </c>
      <c r="BT57" s="28">
        <v>2</v>
      </c>
      <c r="BU57" s="75">
        <v>55</v>
      </c>
    </row>
    <row r="58" spans="1:73">
      <c r="A58" s="101" t="s">
        <v>300</v>
      </c>
      <c r="B58" s="71" t="s">
        <v>184</v>
      </c>
      <c r="C58" s="71" t="s">
        <v>317</v>
      </c>
      <c r="D58" s="72">
        <f>VLOOKUP(Table106[[#This Row],[NAME]],BAL_H[[NAME]:['#]],2,0)</f>
        <v>0.2</v>
      </c>
      <c r="E58" s="72">
        <f>VLOOKUP(Table106[[#This Row],[NAME]],BAL_H[[NAME]:['#]],3,0)</f>
        <v>0.2</v>
      </c>
      <c r="F58" s="72">
        <f>VLOOKUP(Table106[[#This Row],[NAME]],BAL_H[[NAME]:['#]],4,0)</f>
        <v>0.2</v>
      </c>
      <c r="G58" s="77">
        <f>VLOOKUP(Table106[[#This Row],[NAME]],BAL_H[[NAME]:['#]],5,0)</f>
        <v>3</v>
      </c>
      <c r="H58" s="28">
        <f>VLOOKUP(Table106[[#This Row],[NAME]],BAL_H[[NAME]:['#]],6,0)</f>
        <v>5</v>
      </c>
      <c r="I58" s="28">
        <f>VLOOKUP(Table106[[#This Row],[NAME]],BAL_H[[NAME]:['#]],7,0)</f>
        <v>1</v>
      </c>
      <c r="J58" s="28">
        <f>VLOOKUP(Table106[[#This Row],[NAME]],BAL_H[[NAME]:['#]],8,0)</f>
        <v>1</v>
      </c>
      <c r="K58" s="28">
        <f>VLOOKUP(Table106[[#This Row],[NAME]],BAL_H[[NAME]:['#]],9,0)</f>
        <v>0</v>
      </c>
      <c r="L58" s="28">
        <f>VLOOKUP(Table106[[#This Row],[NAME]],BAL_H[[NAME]:['#]],10,0)</f>
        <v>0</v>
      </c>
      <c r="M58" s="28">
        <f>VLOOKUP(Table106[[#This Row],[NAME]],BAL_H[[NAME]:['#]],11,0)</f>
        <v>0</v>
      </c>
      <c r="N58" s="28">
        <f>VLOOKUP(Table106[[#This Row],[NAME]],BAL_H[[NAME]:['#]],12,0)</f>
        <v>1</v>
      </c>
      <c r="O58" s="28">
        <f>VLOOKUP(Table106[[#This Row],[NAME]],BAL_H[[NAME]:['#]],13,0)</f>
        <v>0</v>
      </c>
      <c r="P58" s="28">
        <f>VLOOKUP(Table106[[#This Row],[NAME]],BAL_H[[NAME]:['#]],14,0)</f>
        <v>1</v>
      </c>
      <c r="Q58" s="77">
        <f>VLOOKUP(Table106[[#This Row],[NAME]],BAL_H[[NAME]:['#]],15,0)</f>
        <v>0</v>
      </c>
      <c r="R58" s="28">
        <f>VLOOKUP(Table106[[#This Row],[NAME]],BAL_H[[NAME]:['#]],16,0)</f>
        <v>0</v>
      </c>
      <c r="S58" s="28">
        <f>VLOOKUP(Table106[[#This Row],[NAME]],BAL_H[[NAME]:['#]],17,0)</f>
        <v>1</v>
      </c>
      <c r="T58" s="77">
        <f>VLOOKUP(Table106[[#This Row],[NAME]],BAL_H[[NAME]:['#]],18,0)</f>
        <v>1</v>
      </c>
      <c r="U58" s="72">
        <f>VLOOKUP(Table106[[#This Row],[NAME]],BAL_H[[NAME]:['#]],19,0)</f>
        <v>0.4</v>
      </c>
      <c r="V58" s="28">
        <f>VLOOKUP(Table106[[#This Row],[NAME]],BAL_H[[NAME]:['#]],20,0)</f>
        <v>0</v>
      </c>
      <c r="W58" s="75">
        <v>56</v>
      </c>
      <c r="Z58" s="101" t="s">
        <v>300</v>
      </c>
      <c r="AA58" s="77" t="s">
        <v>186</v>
      </c>
      <c r="AB58" s="77" t="s">
        <v>321</v>
      </c>
      <c r="AC58" s="130">
        <v>0</v>
      </c>
      <c r="AD58" s="72">
        <v>0</v>
      </c>
      <c r="AE58" s="72">
        <v>0</v>
      </c>
      <c r="AF58" s="77">
        <v>2</v>
      </c>
      <c r="AG58" s="28">
        <v>7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2</v>
      </c>
      <c r="AP58" s="77">
        <v>0</v>
      </c>
      <c r="AQ58" s="28">
        <v>0</v>
      </c>
      <c r="AR58" s="28">
        <v>0</v>
      </c>
      <c r="AS58" s="77">
        <v>0</v>
      </c>
      <c r="AT58" s="72">
        <v>0</v>
      </c>
      <c r="AU58" s="28">
        <v>0</v>
      </c>
      <c r="AV58" s="75">
        <v>56</v>
      </c>
      <c r="AY58" s="101" t="s">
        <v>300</v>
      </c>
      <c r="AZ58" s="77" t="s">
        <v>184</v>
      </c>
      <c r="BA58" s="77" t="s">
        <v>321</v>
      </c>
      <c r="BB58" s="130">
        <v>0.26666666666666666</v>
      </c>
      <c r="BC58" s="72">
        <v>0.35294117647058826</v>
      </c>
      <c r="BD58" s="72">
        <v>0.33333333333333331</v>
      </c>
      <c r="BE58" s="77">
        <v>8</v>
      </c>
      <c r="BF58" s="28">
        <v>15</v>
      </c>
      <c r="BG58" s="28">
        <v>0</v>
      </c>
      <c r="BH58" s="28">
        <v>4</v>
      </c>
      <c r="BI58" s="28">
        <v>1</v>
      </c>
      <c r="BJ58" s="28">
        <v>0</v>
      </c>
      <c r="BK58" s="28">
        <v>0</v>
      </c>
      <c r="BL58" s="28">
        <v>3</v>
      </c>
      <c r="BM58" s="28">
        <v>2</v>
      </c>
      <c r="BN58" s="28">
        <v>5</v>
      </c>
      <c r="BO58" s="77">
        <v>0</v>
      </c>
      <c r="BP58" s="28">
        <v>0</v>
      </c>
      <c r="BQ58" s="28">
        <v>2</v>
      </c>
      <c r="BR58" s="77">
        <v>5</v>
      </c>
      <c r="BS58" s="72">
        <v>0.68627450980392157</v>
      </c>
      <c r="BT58" s="28">
        <v>1</v>
      </c>
      <c r="BU58" s="75">
        <v>56</v>
      </c>
    </row>
    <row r="59" spans="1:73">
      <c r="A59" s="101" t="s">
        <v>339</v>
      </c>
      <c r="B59" s="71" t="s">
        <v>179</v>
      </c>
      <c r="C59" s="71" t="s">
        <v>346</v>
      </c>
      <c r="D59" s="72">
        <f>VLOOKUP(Table106[[#This Row],[NAME]],TBR_H[[NAME]:['#]],2,0)</f>
        <v>0.24409448818897639</v>
      </c>
      <c r="E59" s="72">
        <f>VLOOKUP(Table106[[#This Row],[NAME]],TBR_H[[NAME]:['#]],3,0)</f>
        <v>0.29927007299270075</v>
      </c>
      <c r="F59" s="72">
        <f>VLOOKUP(Table106[[#This Row],[NAME]],TBR_H[[NAME]:['#]],4,0)</f>
        <v>0.51181102362204722</v>
      </c>
      <c r="G59" s="77">
        <f>VLOOKUP(Table106[[#This Row],[NAME]],TBR_H[[NAME]:['#]],5,0)</f>
        <v>34</v>
      </c>
      <c r="H59" s="28">
        <f>VLOOKUP(Table106[[#This Row],[NAME]],TBR_H[[NAME]:['#]],6,0)</f>
        <v>127</v>
      </c>
      <c r="I59" s="28">
        <f>VLOOKUP(Table106[[#This Row],[NAME]],TBR_H[[NAME]:['#]],7,0)</f>
        <v>17</v>
      </c>
      <c r="J59" s="28">
        <f>VLOOKUP(Table106[[#This Row],[NAME]],TBR_H[[NAME]:['#]],8,0)</f>
        <v>31</v>
      </c>
      <c r="K59" s="28">
        <f>VLOOKUP(Table106[[#This Row],[NAME]],TBR_H[[NAME]:['#]],9,0)</f>
        <v>7</v>
      </c>
      <c r="L59" s="28">
        <f>VLOOKUP(Table106[[#This Row],[NAME]],TBR_H[[NAME]:['#]],10,0)</f>
        <v>0</v>
      </c>
      <c r="M59" s="28">
        <f>VLOOKUP(Table106[[#This Row],[NAME]],TBR_H[[NAME]:['#]],11,0)</f>
        <v>9</v>
      </c>
      <c r="N59" s="28">
        <f>VLOOKUP(Table106[[#This Row],[NAME]],TBR_H[[NAME]:['#]],12,0)</f>
        <v>21</v>
      </c>
      <c r="O59" s="28">
        <f>VLOOKUP(Table106[[#This Row],[NAME]],TBR_H[[NAME]:['#]],13,0)</f>
        <v>10</v>
      </c>
      <c r="P59" s="28">
        <f>VLOOKUP(Table106[[#This Row],[NAME]],TBR_H[[NAME]:['#]],14,0)</f>
        <v>52</v>
      </c>
      <c r="Q59" s="77">
        <f>VLOOKUP(Table106[[#This Row],[NAME]],TBR_H[[NAME]:['#]],15,0)</f>
        <v>0</v>
      </c>
      <c r="R59" s="28">
        <f>VLOOKUP(Table106[[#This Row],[NAME]],TBR_H[[NAME]:['#]],16,0)</f>
        <v>0</v>
      </c>
      <c r="S59" s="28">
        <f>VLOOKUP(Table106[[#This Row],[NAME]],TBR_H[[NAME]:['#]],17,0)</f>
        <v>7</v>
      </c>
      <c r="T59" s="77">
        <f>VLOOKUP(Table106[[#This Row],[NAME]],TBR_H[[NAME]:['#]],18,0)</f>
        <v>65</v>
      </c>
      <c r="U59" s="72">
        <f>VLOOKUP(Table106[[#This Row],[NAME]],TBR_H[[NAME]:['#]],19,0)</f>
        <v>0.81108109661474792</v>
      </c>
      <c r="V59" s="28">
        <f>VLOOKUP(Table106[[#This Row],[NAME]],TBR_H[[NAME]:['#]],20,0)</f>
        <v>1</v>
      </c>
      <c r="W59" s="75">
        <v>57</v>
      </c>
      <c r="Z59" s="101" t="s">
        <v>339</v>
      </c>
      <c r="AA59" s="77" t="s">
        <v>179</v>
      </c>
      <c r="AB59" s="77" t="s">
        <v>346</v>
      </c>
      <c r="AC59" s="130">
        <v>0.18181818181818182</v>
      </c>
      <c r="AD59" s="72">
        <v>0.23026315789473684</v>
      </c>
      <c r="AE59" s="72">
        <v>0.30769230769230771</v>
      </c>
      <c r="AF59" s="77">
        <v>40</v>
      </c>
      <c r="AG59" s="28">
        <v>143</v>
      </c>
      <c r="AH59" s="28">
        <v>9</v>
      </c>
      <c r="AI59" s="28">
        <v>26</v>
      </c>
      <c r="AJ59" s="28">
        <v>6</v>
      </c>
      <c r="AK59" s="28">
        <v>0</v>
      </c>
      <c r="AL59" s="28">
        <v>4</v>
      </c>
      <c r="AM59" s="28">
        <v>10</v>
      </c>
      <c r="AN59" s="28">
        <v>9</v>
      </c>
      <c r="AO59" s="76">
        <v>60</v>
      </c>
      <c r="AP59" s="77">
        <v>0</v>
      </c>
      <c r="AQ59" s="28">
        <v>0</v>
      </c>
      <c r="AR59" s="28">
        <v>3</v>
      </c>
      <c r="AS59" s="77">
        <v>44</v>
      </c>
      <c r="AT59" s="72">
        <v>0.53795546558704455</v>
      </c>
      <c r="AU59" s="28">
        <v>0</v>
      </c>
      <c r="AV59" s="75">
        <v>57</v>
      </c>
      <c r="AY59" s="101" t="s">
        <v>339</v>
      </c>
      <c r="AZ59" s="77" t="s">
        <v>179</v>
      </c>
      <c r="BA59" s="77" t="s">
        <v>346</v>
      </c>
      <c r="BB59" s="130">
        <v>0.21052631578947367</v>
      </c>
      <c r="BC59" s="72">
        <v>0.26573426573426573</v>
      </c>
      <c r="BD59" s="72">
        <v>0.39097744360902253</v>
      </c>
      <c r="BE59" s="77">
        <v>38</v>
      </c>
      <c r="BF59" s="28">
        <v>133</v>
      </c>
      <c r="BG59" s="28">
        <v>12</v>
      </c>
      <c r="BH59" s="28">
        <v>28</v>
      </c>
      <c r="BI59" s="28">
        <v>6</v>
      </c>
      <c r="BJ59" s="28">
        <v>0</v>
      </c>
      <c r="BK59" s="28">
        <v>6</v>
      </c>
      <c r="BL59" s="28">
        <v>17</v>
      </c>
      <c r="BM59" s="28">
        <v>10</v>
      </c>
      <c r="BN59" s="28">
        <v>57</v>
      </c>
      <c r="BO59" s="77">
        <v>0</v>
      </c>
      <c r="BP59" s="28">
        <v>0</v>
      </c>
      <c r="BQ59" s="28">
        <v>7</v>
      </c>
      <c r="BR59" s="77">
        <v>52</v>
      </c>
      <c r="BS59" s="72">
        <v>0.65671170934328826</v>
      </c>
      <c r="BT59" s="28">
        <v>2</v>
      </c>
      <c r="BU59" s="75">
        <v>57</v>
      </c>
    </row>
    <row r="60" spans="1:73">
      <c r="A60" s="101" t="s">
        <v>339</v>
      </c>
      <c r="B60" s="71" t="s">
        <v>349</v>
      </c>
      <c r="C60" s="71" t="s">
        <v>350</v>
      </c>
      <c r="D60" s="72">
        <f>VLOOKUP(Table106[[#This Row],[NAME]],TBR_H[[NAME]:['#]],2,0)</f>
        <v>0.23972602739726026</v>
      </c>
      <c r="E60" s="72">
        <f>VLOOKUP(Table106[[#This Row],[NAME]],TBR_H[[NAME]:['#]],3,0)</f>
        <v>0.2929936305732484</v>
      </c>
      <c r="F60" s="72">
        <f>VLOOKUP(Table106[[#This Row],[NAME]],TBR_H[[NAME]:['#]],4,0)</f>
        <v>0.32191780821917809</v>
      </c>
      <c r="G60" s="77">
        <f>VLOOKUP(Table106[[#This Row],[NAME]],TBR_H[[NAME]:['#]],5,0)</f>
        <v>39</v>
      </c>
      <c r="H60" s="28">
        <f>VLOOKUP(Table106[[#This Row],[NAME]],TBR_H[[NAME]:['#]],6,0)</f>
        <v>146</v>
      </c>
      <c r="I60" s="28">
        <f>VLOOKUP(Table106[[#This Row],[NAME]],TBR_H[[NAME]:['#]],7,0)</f>
        <v>17</v>
      </c>
      <c r="J60" s="28">
        <f>VLOOKUP(Table106[[#This Row],[NAME]],TBR_H[[NAME]:['#]],8,0)</f>
        <v>35</v>
      </c>
      <c r="K60" s="28">
        <f>VLOOKUP(Table106[[#This Row],[NAME]],TBR_H[[NAME]:['#]],9,0)</f>
        <v>6</v>
      </c>
      <c r="L60" s="28">
        <f>VLOOKUP(Table106[[#This Row],[NAME]],TBR_H[[NAME]:['#]],10,0)</f>
        <v>0</v>
      </c>
      <c r="M60" s="28">
        <f>VLOOKUP(Table106[[#This Row],[NAME]],TBR_H[[NAME]:['#]],11,0)</f>
        <v>2</v>
      </c>
      <c r="N60" s="28">
        <f>VLOOKUP(Table106[[#This Row],[NAME]],TBR_H[[NAME]:['#]],12,0)</f>
        <v>8</v>
      </c>
      <c r="O60" s="28">
        <f>VLOOKUP(Table106[[#This Row],[NAME]],TBR_H[[NAME]:['#]],13,0)</f>
        <v>11</v>
      </c>
      <c r="P60" s="28">
        <f>VLOOKUP(Table106[[#This Row],[NAME]],TBR_H[[NAME]:['#]],14,0)</f>
        <v>37</v>
      </c>
      <c r="Q60" s="77">
        <f>VLOOKUP(Table106[[#This Row],[NAME]],TBR_H[[NAME]:['#]],15,0)</f>
        <v>0</v>
      </c>
      <c r="R60" s="28">
        <f>VLOOKUP(Table106[[#This Row],[NAME]],TBR_H[[NAME]:['#]],16,0)</f>
        <v>2</v>
      </c>
      <c r="S60" s="28">
        <f>VLOOKUP(Table106[[#This Row],[NAME]],TBR_H[[NAME]:['#]],17,0)</f>
        <v>17</v>
      </c>
      <c r="T60" s="77">
        <f>VLOOKUP(Table106[[#This Row],[NAME]],TBR_H[[NAME]:['#]],18,0)</f>
        <v>47</v>
      </c>
      <c r="U60" s="72">
        <f>VLOOKUP(Table106[[#This Row],[NAME]],TBR_H[[NAME]:['#]],19,0)</f>
        <v>0.61491143879242649</v>
      </c>
      <c r="V60" s="28">
        <f>VLOOKUP(Table106[[#This Row],[NAME]],TBR_H[[NAME]:['#]],20,0)</f>
        <v>0</v>
      </c>
      <c r="W60" s="75">
        <v>58</v>
      </c>
      <c r="Z60" s="101" t="s">
        <v>339</v>
      </c>
      <c r="AA60" s="77" t="s">
        <v>154</v>
      </c>
      <c r="AB60" s="77" t="s">
        <v>348</v>
      </c>
      <c r="AC60" s="130">
        <v>0.19607843137254902</v>
      </c>
      <c r="AD60" s="72">
        <v>0.32044198895027626</v>
      </c>
      <c r="AE60" s="72">
        <v>0.33986928104575165</v>
      </c>
      <c r="AF60" s="77">
        <v>40</v>
      </c>
      <c r="AG60" s="28">
        <v>153</v>
      </c>
      <c r="AH60" s="28">
        <v>22</v>
      </c>
      <c r="AI60" s="28">
        <v>30</v>
      </c>
      <c r="AJ60" s="28">
        <v>7</v>
      </c>
      <c r="AK60" s="28">
        <v>0</v>
      </c>
      <c r="AL60" s="28">
        <v>5</v>
      </c>
      <c r="AM60" s="28">
        <v>12</v>
      </c>
      <c r="AN60" s="28">
        <v>28</v>
      </c>
      <c r="AO60" s="28">
        <v>36</v>
      </c>
      <c r="AP60" s="77">
        <v>0</v>
      </c>
      <c r="AQ60" s="28">
        <v>2</v>
      </c>
      <c r="AR60" s="28">
        <v>3</v>
      </c>
      <c r="AS60" s="77">
        <v>52</v>
      </c>
      <c r="AT60" s="72">
        <v>0.66031126999602785</v>
      </c>
      <c r="AU60" s="28">
        <v>1</v>
      </c>
      <c r="AV60" s="75">
        <v>58</v>
      </c>
      <c r="AY60" s="101" t="s">
        <v>339</v>
      </c>
      <c r="AZ60" s="77" t="s">
        <v>154</v>
      </c>
      <c r="BA60" s="77" t="s">
        <v>352</v>
      </c>
      <c r="BB60" s="130">
        <v>0.20792079207920791</v>
      </c>
      <c r="BC60" s="72">
        <v>0.27272727272727271</v>
      </c>
      <c r="BD60" s="72">
        <v>0.24752475247524752</v>
      </c>
      <c r="BE60" s="77">
        <v>31</v>
      </c>
      <c r="BF60" s="28">
        <v>101</v>
      </c>
      <c r="BG60" s="28">
        <v>12</v>
      </c>
      <c r="BH60" s="28">
        <v>21</v>
      </c>
      <c r="BI60" s="28">
        <v>4</v>
      </c>
      <c r="BJ60" s="28">
        <v>0</v>
      </c>
      <c r="BK60" s="28">
        <v>0</v>
      </c>
      <c r="BL60" s="28">
        <v>7</v>
      </c>
      <c r="BM60" s="28">
        <v>9</v>
      </c>
      <c r="BN60" s="28">
        <v>29</v>
      </c>
      <c r="BO60" s="77">
        <v>0</v>
      </c>
      <c r="BP60" s="28">
        <v>1</v>
      </c>
      <c r="BQ60" s="28">
        <v>6</v>
      </c>
      <c r="BR60" s="77">
        <v>25</v>
      </c>
      <c r="BS60" s="72">
        <v>0.52025202520252023</v>
      </c>
      <c r="BT60" s="28">
        <v>0</v>
      </c>
      <c r="BU60" s="75">
        <v>58</v>
      </c>
    </row>
    <row r="61" spans="1:73">
      <c r="A61" s="101" t="s">
        <v>339</v>
      </c>
      <c r="B61" s="71" t="s">
        <v>172</v>
      </c>
      <c r="C61" s="71" t="s">
        <v>351</v>
      </c>
      <c r="D61" s="72">
        <f>VLOOKUP(Table106[[#This Row],[NAME]],TBR_H[[NAME]:['#]],2,0)</f>
        <v>0.19852941176470587</v>
      </c>
      <c r="E61" s="72">
        <f>VLOOKUP(Table106[[#This Row],[NAME]],TBR_H[[NAME]:['#]],3,0)</f>
        <v>0.27333333333333332</v>
      </c>
      <c r="F61" s="72">
        <f>VLOOKUP(Table106[[#This Row],[NAME]],TBR_H[[NAME]:['#]],4,0)</f>
        <v>0.33088235294117646</v>
      </c>
      <c r="G61" s="77">
        <f>VLOOKUP(Table106[[#This Row],[NAME]],TBR_H[[NAME]:['#]],5,0)</f>
        <v>40</v>
      </c>
      <c r="H61" s="28">
        <f>VLOOKUP(Table106[[#This Row],[NAME]],TBR_H[[NAME]:['#]],6,0)</f>
        <v>136</v>
      </c>
      <c r="I61" s="28">
        <f>VLOOKUP(Table106[[#This Row],[NAME]],TBR_H[[NAME]:['#]],7,0)</f>
        <v>13</v>
      </c>
      <c r="J61" s="28">
        <f>VLOOKUP(Table106[[#This Row],[NAME]],TBR_H[[NAME]:['#]],8,0)</f>
        <v>27</v>
      </c>
      <c r="K61" s="28">
        <f>VLOOKUP(Table106[[#This Row],[NAME]],TBR_H[[NAME]:['#]],9,0)</f>
        <v>9</v>
      </c>
      <c r="L61" s="28">
        <f>VLOOKUP(Table106[[#This Row],[NAME]],TBR_H[[NAME]:['#]],10,0)</f>
        <v>0</v>
      </c>
      <c r="M61" s="28">
        <f>VLOOKUP(Table106[[#This Row],[NAME]],TBR_H[[NAME]:['#]],11,0)</f>
        <v>3</v>
      </c>
      <c r="N61" s="28">
        <f>VLOOKUP(Table106[[#This Row],[NAME]],TBR_H[[NAME]:['#]],12,0)</f>
        <v>16</v>
      </c>
      <c r="O61" s="28">
        <f>VLOOKUP(Table106[[#This Row],[NAME]],TBR_H[[NAME]:['#]],13,0)</f>
        <v>14</v>
      </c>
      <c r="P61" s="28">
        <f>VLOOKUP(Table106[[#This Row],[NAME]],TBR_H[[NAME]:['#]],14,0)</f>
        <v>41</v>
      </c>
      <c r="Q61" s="77">
        <f>VLOOKUP(Table106[[#This Row],[NAME]],TBR_H[[NAME]:['#]],15,0)</f>
        <v>0</v>
      </c>
      <c r="R61" s="28">
        <f>VLOOKUP(Table106[[#This Row],[NAME]],TBR_H[[NAME]:['#]],16,0)</f>
        <v>0</v>
      </c>
      <c r="S61" s="28">
        <f>VLOOKUP(Table106[[#This Row],[NAME]],TBR_H[[NAME]:['#]],17,0)</f>
        <v>5</v>
      </c>
      <c r="T61" s="77">
        <f>VLOOKUP(Table106[[#This Row],[NAME]],TBR_H[[NAME]:['#]],18,0)</f>
        <v>45</v>
      </c>
      <c r="U61" s="72">
        <f>VLOOKUP(Table106[[#This Row],[NAME]],TBR_H[[NAME]:['#]],19,0)</f>
        <v>0.60421568627450983</v>
      </c>
      <c r="V61" s="28">
        <f>VLOOKUP(Table106[[#This Row],[NAME]],TBR_H[[NAME]:['#]],20,0)</f>
        <v>1</v>
      </c>
      <c r="W61" s="75">
        <v>59</v>
      </c>
      <c r="Z61" s="101" t="s">
        <v>339</v>
      </c>
      <c r="AA61" s="77" t="s">
        <v>172</v>
      </c>
      <c r="AB61" s="77" t="s">
        <v>352</v>
      </c>
      <c r="AC61" s="130">
        <v>0.27906976744186046</v>
      </c>
      <c r="AD61" s="72">
        <v>0.29545454545454547</v>
      </c>
      <c r="AE61" s="72">
        <v>0.41860465116279072</v>
      </c>
      <c r="AF61" s="77">
        <v>21</v>
      </c>
      <c r="AG61" s="28">
        <v>86</v>
      </c>
      <c r="AH61" s="28">
        <v>5</v>
      </c>
      <c r="AI61" s="28">
        <v>24</v>
      </c>
      <c r="AJ61" s="28">
        <v>7</v>
      </c>
      <c r="AK61" s="28">
        <v>1</v>
      </c>
      <c r="AL61" s="28">
        <v>1</v>
      </c>
      <c r="AM61" s="28">
        <v>7</v>
      </c>
      <c r="AN61" s="28">
        <v>2</v>
      </c>
      <c r="AO61" s="28">
        <v>17</v>
      </c>
      <c r="AP61" s="77">
        <v>0</v>
      </c>
      <c r="AQ61" s="28">
        <v>3</v>
      </c>
      <c r="AR61" s="28">
        <v>11</v>
      </c>
      <c r="AS61" s="77">
        <v>36</v>
      </c>
      <c r="AT61" s="72">
        <v>0.71405919661733619</v>
      </c>
      <c r="AU61" s="28">
        <v>0</v>
      </c>
      <c r="AV61" s="75">
        <v>59</v>
      </c>
      <c r="AY61" s="101" t="s">
        <v>339</v>
      </c>
      <c r="AZ61" s="77" t="s">
        <v>172</v>
      </c>
      <c r="BA61" s="77" t="s">
        <v>345</v>
      </c>
      <c r="BB61" s="130">
        <v>0.29447852760736198</v>
      </c>
      <c r="BC61" s="72">
        <v>0.3539325842696629</v>
      </c>
      <c r="BD61" s="72">
        <v>0.44785276073619634</v>
      </c>
      <c r="BE61" s="77">
        <v>40</v>
      </c>
      <c r="BF61" s="28">
        <v>163</v>
      </c>
      <c r="BG61" s="28">
        <v>27</v>
      </c>
      <c r="BH61" s="28">
        <v>48</v>
      </c>
      <c r="BI61" s="28">
        <v>9</v>
      </c>
      <c r="BJ61" s="28">
        <v>2</v>
      </c>
      <c r="BK61" s="28">
        <v>4</v>
      </c>
      <c r="BL61" s="28">
        <v>16</v>
      </c>
      <c r="BM61" s="28">
        <v>15</v>
      </c>
      <c r="BN61" s="28">
        <v>22</v>
      </c>
      <c r="BO61" s="77">
        <v>0</v>
      </c>
      <c r="BP61" s="28">
        <v>0</v>
      </c>
      <c r="BQ61" s="28">
        <v>8</v>
      </c>
      <c r="BR61" s="77">
        <v>73</v>
      </c>
      <c r="BS61" s="72">
        <v>0.80178534500585918</v>
      </c>
      <c r="BT61" s="28">
        <v>1</v>
      </c>
      <c r="BU61" s="75">
        <v>59</v>
      </c>
    </row>
    <row r="62" spans="1:73">
      <c r="A62" s="101" t="s">
        <v>339</v>
      </c>
      <c r="B62" s="71" t="s">
        <v>153</v>
      </c>
      <c r="C62" s="71" t="s">
        <v>343</v>
      </c>
      <c r="D62" s="72">
        <f>VLOOKUP(Table106[[#This Row],[NAME]],TBR_H[[NAME]:['#]],2,0)</f>
        <v>0.25170068027210885</v>
      </c>
      <c r="E62" s="72">
        <f>VLOOKUP(Table106[[#This Row],[NAME]],TBR_H[[NAME]:['#]],3,0)</f>
        <v>0.32515337423312884</v>
      </c>
      <c r="F62" s="72">
        <f>VLOOKUP(Table106[[#This Row],[NAME]],TBR_H[[NAME]:['#]],4,0)</f>
        <v>0.47619047619047616</v>
      </c>
      <c r="G62" s="77">
        <f>VLOOKUP(Table106[[#This Row],[NAME]],TBR_H[[NAME]:['#]],5,0)</f>
        <v>38</v>
      </c>
      <c r="H62" s="28">
        <f>VLOOKUP(Table106[[#This Row],[NAME]],TBR_H[[NAME]:['#]],6,0)</f>
        <v>147</v>
      </c>
      <c r="I62" s="28">
        <f>VLOOKUP(Table106[[#This Row],[NAME]],TBR_H[[NAME]:['#]],7,0)</f>
        <v>22</v>
      </c>
      <c r="J62" s="28">
        <f>VLOOKUP(Table106[[#This Row],[NAME]],TBR_H[[NAME]:['#]],8,0)</f>
        <v>37</v>
      </c>
      <c r="K62" s="28">
        <f>VLOOKUP(Table106[[#This Row],[NAME]],TBR_H[[NAME]:['#]],9,0)</f>
        <v>7</v>
      </c>
      <c r="L62" s="28">
        <f>VLOOKUP(Table106[[#This Row],[NAME]],TBR_H[[NAME]:['#]],10,0)</f>
        <v>1</v>
      </c>
      <c r="M62" s="28">
        <f>VLOOKUP(Table106[[#This Row],[NAME]],TBR_H[[NAME]:['#]],11,0)</f>
        <v>8</v>
      </c>
      <c r="N62" s="28">
        <f>VLOOKUP(Table106[[#This Row],[NAME]],TBR_H[[NAME]:['#]],12,0)</f>
        <v>21</v>
      </c>
      <c r="O62" s="28">
        <f>VLOOKUP(Table106[[#This Row],[NAME]],TBR_H[[NAME]:['#]],13,0)</f>
        <v>16</v>
      </c>
      <c r="P62" s="28">
        <f>VLOOKUP(Table106[[#This Row],[NAME]],TBR_H[[NAME]:['#]],14,0)</f>
        <v>54</v>
      </c>
      <c r="Q62" s="77">
        <f>VLOOKUP(Table106[[#This Row],[NAME]],TBR_H[[NAME]:['#]],15,0)</f>
        <v>0</v>
      </c>
      <c r="R62" s="28">
        <f>VLOOKUP(Table106[[#This Row],[NAME]],TBR_H[[NAME]:['#]],16,0)</f>
        <v>3</v>
      </c>
      <c r="S62" s="28">
        <f>VLOOKUP(Table106[[#This Row],[NAME]],TBR_H[[NAME]:['#]],17,0)</f>
        <v>8</v>
      </c>
      <c r="T62" s="77">
        <f>VLOOKUP(Table106[[#This Row],[NAME]],TBR_H[[NAME]:['#]],18,0)</f>
        <v>70</v>
      </c>
      <c r="U62" s="72">
        <f>VLOOKUP(Table106[[#This Row],[NAME]],TBR_H[[NAME]:['#]],19,0)</f>
        <v>0.80134385042360501</v>
      </c>
      <c r="V62" s="28">
        <f>VLOOKUP(Table106[[#This Row],[NAME]],TBR_H[[NAME]:['#]],20,0)</f>
        <v>3</v>
      </c>
      <c r="W62" s="75">
        <v>60</v>
      </c>
      <c r="Z62" s="101" t="s">
        <v>339</v>
      </c>
      <c r="AA62" s="352" t="s">
        <v>153</v>
      </c>
      <c r="AB62" s="77" t="s">
        <v>343</v>
      </c>
      <c r="AC62" s="130">
        <v>0.2361111111111111</v>
      </c>
      <c r="AD62" s="72">
        <v>0.34911242603550297</v>
      </c>
      <c r="AE62" s="72">
        <v>0.56944444444444442</v>
      </c>
      <c r="AF62" s="77">
        <v>40</v>
      </c>
      <c r="AG62" s="28">
        <v>144</v>
      </c>
      <c r="AH62" s="28">
        <v>26</v>
      </c>
      <c r="AI62" s="28">
        <v>34</v>
      </c>
      <c r="AJ62" s="28">
        <v>8</v>
      </c>
      <c r="AK62" s="28">
        <v>2</v>
      </c>
      <c r="AL62" s="28">
        <v>12</v>
      </c>
      <c r="AM62" s="28">
        <v>32</v>
      </c>
      <c r="AN62" s="28">
        <v>25</v>
      </c>
      <c r="AO62" s="28">
        <v>56</v>
      </c>
      <c r="AP62" s="77">
        <v>0</v>
      </c>
      <c r="AQ62" s="28">
        <v>3</v>
      </c>
      <c r="AR62" s="28">
        <v>5</v>
      </c>
      <c r="AS62" s="77">
        <v>82</v>
      </c>
      <c r="AT62" s="72">
        <v>0.91855687047994738</v>
      </c>
      <c r="AU62" s="28">
        <v>5</v>
      </c>
      <c r="AV62" s="75">
        <v>60</v>
      </c>
      <c r="AY62" s="101" t="s">
        <v>339</v>
      </c>
      <c r="AZ62" s="77" t="s">
        <v>153</v>
      </c>
      <c r="BA62" s="77" t="s">
        <v>343</v>
      </c>
      <c r="BB62" s="130">
        <v>0.25454545454545452</v>
      </c>
      <c r="BC62" s="72">
        <v>0.32786885245901637</v>
      </c>
      <c r="BD62" s="72">
        <v>0.41818181818181815</v>
      </c>
      <c r="BE62" s="77">
        <v>35</v>
      </c>
      <c r="BF62" s="28">
        <v>110</v>
      </c>
      <c r="BG62" s="28">
        <v>13</v>
      </c>
      <c r="BH62" s="28">
        <v>28</v>
      </c>
      <c r="BI62" s="28">
        <v>3</v>
      </c>
      <c r="BJ62" s="28">
        <v>0</v>
      </c>
      <c r="BK62" s="28">
        <v>5</v>
      </c>
      <c r="BL62" s="28">
        <v>16</v>
      </c>
      <c r="BM62" s="28">
        <v>12</v>
      </c>
      <c r="BN62" s="28">
        <v>44</v>
      </c>
      <c r="BO62" s="77">
        <v>0</v>
      </c>
      <c r="BP62" s="28">
        <v>3</v>
      </c>
      <c r="BQ62" s="28">
        <v>5</v>
      </c>
      <c r="BR62" s="77">
        <v>46</v>
      </c>
      <c r="BS62" s="72">
        <v>0.74605067064083452</v>
      </c>
      <c r="BT62" s="28">
        <v>1</v>
      </c>
      <c r="BU62" s="75">
        <v>60</v>
      </c>
    </row>
    <row r="63" spans="1:73">
      <c r="A63" s="101" t="s">
        <v>339</v>
      </c>
      <c r="B63" s="71" t="s">
        <v>177</v>
      </c>
      <c r="C63" s="71" t="s">
        <v>348</v>
      </c>
      <c r="D63" s="72">
        <f>VLOOKUP(Table106[[#This Row],[NAME]],TBR_H[[NAME]:['#]],2,0)</f>
        <v>0.24161073825503357</v>
      </c>
      <c r="E63" s="72">
        <f>VLOOKUP(Table106[[#This Row],[NAME]],TBR_H[[NAME]:['#]],3,0)</f>
        <v>0.33918128654970758</v>
      </c>
      <c r="F63" s="72">
        <f>VLOOKUP(Table106[[#This Row],[NAME]],TBR_H[[NAME]:['#]],4,0)</f>
        <v>0.34899328859060402</v>
      </c>
      <c r="G63" s="77">
        <f>VLOOKUP(Table106[[#This Row],[NAME]],TBR_H[[NAME]:['#]],5,0)</f>
        <v>37</v>
      </c>
      <c r="H63" s="28">
        <f>VLOOKUP(Table106[[#This Row],[NAME]],TBR_H[[NAME]:['#]],6,0)</f>
        <v>149</v>
      </c>
      <c r="I63" s="28">
        <f>VLOOKUP(Table106[[#This Row],[NAME]],TBR_H[[NAME]:['#]],7,0)</f>
        <v>21</v>
      </c>
      <c r="J63" s="28">
        <f>VLOOKUP(Table106[[#This Row],[NAME]],TBR_H[[NAME]:['#]],8,0)</f>
        <v>36</v>
      </c>
      <c r="K63" s="28">
        <f>VLOOKUP(Table106[[#This Row],[NAME]],TBR_H[[NAME]:['#]],9,0)</f>
        <v>4</v>
      </c>
      <c r="L63" s="28">
        <f>VLOOKUP(Table106[[#This Row],[NAME]],TBR_H[[NAME]:['#]],10,0)</f>
        <v>0</v>
      </c>
      <c r="M63" s="28">
        <f>VLOOKUP(Table106[[#This Row],[NAME]],TBR_H[[NAME]:['#]],11,0)</f>
        <v>4</v>
      </c>
      <c r="N63" s="28">
        <f>VLOOKUP(Table106[[#This Row],[NAME]],TBR_H[[NAME]:['#]],12,0)</f>
        <v>11</v>
      </c>
      <c r="O63" s="28">
        <f>VLOOKUP(Table106[[#This Row],[NAME]],TBR_H[[NAME]:['#]],13,0)</f>
        <v>22</v>
      </c>
      <c r="P63" s="28">
        <f>VLOOKUP(Table106[[#This Row],[NAME]],TBR_H[[NAME]:['#]],14,0)</f>
        <v>28</v>
      </c>
      <c r="Q63" s="77">
        <f>VLOOKUP(Table106[[#This Row],[NAME]],TBR_H[[NAME]:['#]],15,0)</f>
        <v>0</v>
      </c>
      <c r="R63" s="28">
        <f>VLOOKUP(Table106[[#This Row],[NAME]],TBR_H[[NAME]:['#]],16,0)</f>
        <v>2</v>
      </c>
      <c r="S63" s="28">
        <f>VLOOKUP(Table106[[#This Row],[NAME]],TBR_H[[NAME]:['#]],17,0)</f>
        <v>6</v>
      </c>
      <c r="T63" s="77">
        <f>VLOOKUP(Table106[[#This Row],[NAME]],TBR_H[[NAME]:['#]],18,0)</f>
        <v>52</v>
      </c>
      <c r="U63" s="72">
        <f>VLOOKUP(Table106[[#This Row],[NAME]],TBR_H[[NAME]:['#]],19,0)</f>
        <v>0.68817457514031166</v>
      </c>
      <c r="V63" s="28">
        <f>VLOOKUP(Table106[[#This Row],[NAME]],TBR_H[[NAME]:['#]],20,0)</f>
        <v>0</v>
      </c>
      <c r="W63" s="75">
        <v>61</v>
      </c>
      <c r="Z63" s="101" t="s">
        <v>339</v>
      </c>
      <c r="AA63" s="77" t="s">
        <v>177</v>
      </c>
      <c r="AB63" s="77" t="s">
        <v>344</v>
      </c>
      <c r="AC63" s="130">
        <v>0.25786163522012578</v>
      </c>
      <c r="AD63" s="72">
        <v>0.31395348837209303</v>
      </c>
      <c r="AE63" s="72">
        <v>0.49685534591194969</v>
      </c>
      <c r="AF63" s="77">
        <v>40</v>
      </c>
      <c r="AG63" s="28">
        <v>159</v>
      </c>
      <c r="AH63" s="28">
        <v>25</v>
      </c>
      <c r="AI63" s="28">
        <v>41</v>
      </c>
      <c r="AJ63" s="28">
        <v>11</v>
      </c>
      <c r="AK63" s="28">
        <v>3</v>
      </c>
      <c r="AL63" s="28">
        <v>7</v>
      </c>
      <c r="AM63" s="28">
        <v>22</v>
      </c>
      <c r="AN63" s="28">
        <v>13</v>
      </c>
      <c r="AO63" s="28">
        <v>50</v>
      </c>
      <c r="AP63" s="77">
        <v>0</v>
      </c>
      <c r="AQ63" s="28">
        <v>4</v>
      </c>
      <c r="AR63" s="28">
        <v>5</v>
      </c>
      <c r="AS63" s="77">
        <v>79</v>
      </c>
      <c r="AT63" s="72">
        <v>0.81080883428404271</v>
      </c>
      <c r="AU63" s="28">
        <v>2</v>
      </c>
      <c r="AV63" s="75">
        <v>61</v>
      </c>
      <c r="AY63" s="101" t="s">
        <v>339</v>
      </c>
      <c r="AZ63" s="77" t="s">
        <v>177</v>
      </c>
      <c r="BA63" s="77" t="s">
        <v>348</v>
      </c>
      <c r="BB63" s="130">
        <v>0.23076923076923078</v>
      </c>
      <c r="BC63" s="72">
        <v>0.33333333333333331</v>
      </c>
      <c r="BD63" s="72">
        <v>0.34965034965034963</v>
      </c>
      <c r="BE63" s="77">
        <v>39</v>
      </c>
      <c r="BF63" s="28">
        <v>143</v>
      </c>
      <c r="BG63" s="28">
        <v>14</v>
      </c>
      <c r="BH63" s="28">
        <v>33</v>
      </c>
      <c r="BI63" s="28">
        <v>5</v>
      </c>
      <c r="BJ63" s="28">
        <v>0</v>
      </c>
      <c r="BK63" s="28">
        <v>4</v>
      </c>
      <c r="BL63" s="28">
        <v>19</v>
      </c>
      <c r="BM63" s="28">
        <v>22</v>
      </c>
      <c r="BN63" s="28">
        <v>41</v>
      </c>
      <c r="BO63" s="77">
        <v>0</v>
      </c>
      <c r="BP63" s="28">
        <v>0</v>
      </c>
      <c r="BQ63" s="28">
        <v>6</v>
      </c>
      <c r="BR63" s="77">
        <v>50</v>
      </c>
      <c r="BS63" s="72">
        <v>0.68298368298368295</v>
      </c>
      <c r="BT63" s="28">
        <v>2</v>
      </c>
      <c r="BU63" s="75">
        <v>61</v>
      </c>
    </row>
    <row r="64" spans="1:73">
      <c r="A64" s="101" t="s">
        <v>339</v>
      </c>
      <c r="B64" s="71" t="s">
        <v>174</v>
      </c>
      <c r="C64" s="71" t="s">
        <v>340</v>
      </c>
      <c r="D64" s="72">
        <f>VLOOKUP(Table106[[#This Row],[NAME]],TBR_H[[NAME]:['#]],2,0)</f>
        <v>0.26923076923076922</v>
      </c>
      <c r="E64" s="72">
        <f>VLOOKUP(Table106[[#This Row],[NAME]],TBR_H[[NAME]:['#]],3,0)</f>
        <v>0.34104046242774566</v>
      </c>
      <c r="F64" s="72">
        <f>VLOOKUP(Table106[[#This Row],[NAME]],TBR_H[[NAME]:['#]],4,0)</f>
        <v>0.48717948717948717</v>
      </c>
      <c r="G64" s="77">
        <f>VLOOKUP(Table106[[#This Row],[NAME]],TBR_H[[NAME]:['#]],5,0)</f>
        <v>39</v>
      </c>
      <c r="H64" s="28">
        <f>VLOOKUP(Table106[[#This Row],[NAME]],TBR_H[[NAME]:['#]],6,0)</f>
        <v>156</v>
      </c>
      <c r="I64" s="28">
        <f>VLOOKUP(Table106[[#This Row],[NAME]],TBR_H[[NAME]:['#]],7,0)</f>
        <v>17</v>
      </c>
      <c r="J64" s="28">
        <f>VLOOKUP(Table106[[#This Row],[NAME]],TBR_H[[NAME]:['#]],8,0)</f>
        <v>42</v>
      </c>
      <c r="K64" s="28">
        <f>VLOOKUP(Table106[[#This Row],[NAME]],TBR_H[[NAME]:['#]],9,0)</f>
        <v>7</v>
      </c>
      <c r="L64" s="28">
        <f>VLOOKUP(Table106[[#This Row],[NAME]],TBR_H[[NAME]:['#]],10,0)</f>
        <v>0</v>
      </c>
      <c r="M64" s="28">
        <f>VLOOKUP(Table106[[#This Row],[NAME]],TBR_H[[NAME]:['#]],11,0)</f>
        <v>9</v>
      </c>
      <c r="N64" s="28">
        <f>VLOOKUP(Table106[[#This Row],[NAME]],TBR_H[[NAME]:['#]],12,0)</f>
        <v>19</v>
      </c>
      <c r="O64" s="28">
        <f>VLOOKUP(Table106[[#This Row],[NAME]],TBR_H[[NAME]:['#]],13,0)</f>
        <v>17</v>
      </c>
      <c r="P64" s="28">
        <f>VLOOKUP(Table106[[#This Row],[NAME]],TBR_H[[NAME]:['#]],14,0)</f>
        <v>44</v>
      </c>
      <c r="Q64" s="77">
        <f>VLOOKUP(Table106[[#This Row],[NAME]],TBR_H[[NAME]:['#]],15,0)</f>
        <v>0</v>
      </c>
      <c r="R64" s="28">
        <f>VLOOKUP(Table106[[#This Row],[NAME]],TBR_H[[NAME]:['#]],16,0)</f>
        <v>4</v>
      </c>
      <c r="S64" s="28">
        <f>VLOOKUP(Table106[[#This Row],[NAME]],TBR_H[[NAME]:['#]],17,0)</f>
        <v>7</v>
      </c>
      <c r="T64" s="77">
        <f>VLOOKUP(Table106[[#This Row],[NAME]],TBR_H[[NAME]:['#]],18,0)</f>
        <v>76</v>
      </c>
      <c r="U64" s="72">
        <f>VLOOKUP(Table106[[#This Row],[NAME]],TBR_H[[NAME]:['#]],19,0)</f>
        <v>0.82821994960723289</v>
      </c>
      <c r="V64" s="28">
        <f>VLOOKUP(Table106[[#This Row],[NAME]],TBR_H[[NAME]:['#]],20,0)</f>
        <v>3</v>
      </c>
      <c r="W64" s="75">
        <v>62</v>
      </c>
      <c r="Z64" s="101" t="s">
        <v>339</v>
      </c>
      <c r="AA64" s="77" t="s">
        <v>174</v>
      </c>
      <c r="AB64" s="77" t="s">
        <v>340</v>
      </c>
      <c r="AC64" s="130">
        <v>0.33536585365853661</v>
      </c>
      <c r="AD64" s="72">
        <v>0.38418079096045199</v>
      </c>
      <c r="AE64" s="72">
        <v>0.56097560975609762</v>
      </c>
      <c r="AF64" s="77">
        <v>40</v>
      </c>
      <c r="AG64" s="28">
        <v>164</v>
      </c>
      <c r="AH64" s="28">
        <v>24</v>
      </c>
      <c r="AI64" s="28">
        <v>55</v>
      </c>
      <c r="AJ64" s="28">
        <v>13</v>
      </c>
      <c r="AK64" s="28">
        <v>3</v>
      </c>
      <c r="AL64" s="28">
        <v>6</v>
      </c>
      <c r="AM64" s="28">
        <v>18</v>
      </c>
      <c r="AN64" s="28">
        <v>13</v>
      </c>
      <c r="AO64" s="28">
        <v>40</v>
      </c>
      <c r="AP64" s="77">
        <v>2</v>
      </c>
      <c r="AQ64" s="28">
        <v>4</v>
      </c>
      <c r="AR64" s="28">
        <v>14</v>
      </c>
      <c r="AS64" s="77">
        <v>92</v>
      </c>
      <c r="AT64" s="72">
        <v>0.94515640071654961</v>
      </c>
      <c r="AU64" s="76">
        <v>2</v>
      </c>
      <c r="AV64" s="75">
        <v>62</v>
      </c>
      <c r="AY64" s="101" t="s">
        <v>339</v>
      </c>
      <c r="AZ64" s="77" t="s">
        <v>174</v>
      </c>
      <c r="BA64" s="77" t="s">
        <v>340</v>
      </c>
      <c r="BB64" s="130">
        <v>0.27152317880794702</v>
      </c>
      <c r="BC64" s="72">
        <v>0.3413173652694611</v>
      </c>
      <c r="BD64" s="72">
        <v>0.50993377483443714</v>
      </c>
      <c r="BE64" s="77">
        <v>39</v>
      </c>
      <c r="BF64" s="28">
        <v>151</v>
      </c>
      <c r="BG64" s="28">
        <v>25</v>
      </c>
      <c r="BH64" s="28">
        <v>41</v>
      </c>
      <c r="BI64" s="28">
        <v>7</v>
      </c>
      <c r="BJ64" s="28">
        <v>1</v>
      </c>
      <c r="BK64" s="28">
        <v>9</v>
      </c>
      <c r="BL64" s="28">
        <v>24</v>
      </c>
      <c r="BM64" s="28">
        <v>16</v>
      </c>
      <c r="BN64" s="28">
        <v>58</v>
      </c>
      <c r="BO64" s="77">
        <v>5</v>
      </c>
      <c r="BP64" s="28">
        <v>1</v>
      </c>
      <c r="BQ64" s="28">
        <v>7</v>
      </c>
      <c r="BR64" s="77">
        <v>77</v>
      </c>
      <c r="BS64" s="72">
        <v>0.85125114010389824</v>
      </c>
      <c r="BT64" s="28">
        <v>2</v>
      </c>
      <c r="BU64" s="75">
        <v>62</v>
      </c>
    </row>
    <row r="65" spans="1:73">
      <c r="A65" s="101" t="s">
        <v>339</v>
      </c>
      <c r="B65" s="71" t="s">
        <v>181</v>
      </c>
      <c r="C65" s="71" t="s">
        <v>347</v>
      </c>
      <c r="D65" s="72">
        <f>VLOOKUP(Table106[[#This Row],[NAME]],TBR_H[[NAME]:['#]],2,0)</f>
        <v>0.25954198473282442</v>
      </c>
      <c r="E65" s="72">
        <f>VLOOKUP(Table106[[#This Row],[NAME]],TBR_H[[NAME]:['#]],3,0)</f>
        <v>0.3263888888888889</v>
      </c>
      <c r="F65" s="72">
        <f>VLOOKUP(Table106[[#This Row],[NAME]],TBR_H[[NAME]:['#]],4,0)</f>
        <v>0.49618320610687022</v>
      </c>
      <c r="G65" s="77">
        <f>VLOOKUP(Table106[[#This Row],[NAME]],TBR_H[[NAME]:['#]],5,0)</f>
        <v>37</v>
      </c>
      <c r="H65" s="28">
        <f>VLOOKUP(Table106[[#This Row],[NAME]],TBR_H[[NAME]:['#]],6,0)</f>
        <v>131</v>
      </c>
      <c r="I65" s="28">
        <f>VLOOKUP(Table106[[#This Row],[NAME]],TBR_H[[NAME]:['#]],7,0)</f>
        <v>13</v>
      </c>
      <c r="J65" s="28">
        <f>VLOOKUP(Table106[[#This Row],[NAME]],TBR_H[[NAME]:['#]],8,0)</f>
        <v>34</v>
      </c>
      <c r="K65" s="28">
        <f>VLOOKUP(Table106[[#This Row],[NAME]],TBR_H[[NAME]:['#]],9,0)</f>
        <v>7</v>
      </c>
      <c r="L65" s="76">
        <f>VLOOKUP(Table106[[#This Row],[NAME]],TBR_H[[NAME]:['#]],10,0)</f>
        <v>6</v>
      </c>
      <c r="M65" s="28">
        <f>VLOOKUP(Table106[[#This Row],[NAME]],TBR_H[[NAME]:['#]],11,0)</f>
        <v>4</v>
      </c>
      <c r="N65" s="28">
        <f>VLOOKUP(Table106[[#This Row],[NAME]],TBR_H[[NAME]:['#]],12,0)</f>
        <v>19</v>
      </c>
      <c r="O65" s="28">
        <f>VLOOKUP(Table106[[#This Row],[NAME]],TBR_H[[NAME]:['#]],13,0)</f>
        <v>13</v>
      </c>
      <c r="P65" s="28">
        <f>VLOOKUP(Table106[[#This Row],[NAME]],TBR_H[[NAME]:['#]],14,0)</f>
        <v>27</v>
      </c>
      <c r="Q65" s="77">
        <f>VLOOKUP(Table106[[#This Row],[NAME]],TBR_H[[NAME]:['#]],15,0)</f>
        <v>2</v>
      </c>
      <c r="R65" s="28">
        <f>VLOOKUP(Table106[[#This Row],[NAME]],TBR_H[[NAME]:['#]],16,0)</f>
        <v>4</v>
      </c>
      <c r="S65" s="28">
        <f>VLOOKUP(Table106[[#This Row],[NAME]],TBR_H[[NAME]:['#]],17,0)</f>
        <v>4</v>
      </c>
      <c r="T65" s="77">
        <f>VLOOKUP(Table106[[#This Row],[NAME]],TBR_H[[NAME]:['#]],18,0)</f>
        <v>65</v>
      </c>
      <c r="U65" s="72">
        <f>VLOOKUP(Table106[[#This Row],[NAME]],TBR_H[[NAME]:['#]],19,0)</f>
        <v>0.82257209499575912</v>
      </c>
      <c r="V65" s="28">
        <f>VLOOKUP(Table106[[#This Row],[NAME]],TBR_H[[NAME]:['#]],20,0)</f>
        <v>1</v>
      </c>
      <c r="W65" s="75">
        <v>63</v>
      </c>
      <c r="Z65" s="101" t="s">
        <v>339</v>
      </c>
      <c r="AA65" s="77" t="s">
        <v>181</v>
      </c>
      <c r="AB65" s="77" t="s">
        <v>347</v>
      </c>
      <c r="AC65" s="130">
        <v>0.23021582733812951</v>
      </c>
      <c r="AD65" s="72">
        <v>0.27702702702702703</v>
      </c>
      <c r="AE65" s="72">
        <v>0.39568345323741005</v>
      </c>
      <c r="AF65" s="77">
        <v>40</v>
      </c>
      <c r="AG65" s="28">
        <v>139</v>
      </c>
      <c r="AH65" s="28">
        <v>12</v>
      </c>
      <c r="AI65" s="28">
        <v>32</v>
      </c>
      <c r="AJ65" s="28">
        <v>5</v>
      </c>
      <c r="AK65" s="28">
        <v>3</v>
      </c>
      <c r="AL65" s="28">
        <v>4</v>
      </c>
      <c r="AM65" s="28">
        <v>13</v>
      </c>
      <c r="AN65" s="28">
        <v>9</v>
      </c>
      <c r="AO65" s="28">
        <v>40</v>
      </c>
      <c r="AP65" s="77">
        <v>0</v>
      </c>
      <c r="AQ65" s="28">
        <v>4</v>
      </c>
      <c r="AR65" s="28">
        <v>6</v>
      </c>
      <c r="AS65" s="77">
        <v>55</v>
      </c>
      <c r="AT65" s="72">
        <v>0.67271048026443703</v>
      </c>
      <c r="AU65" s="28">
        <v>3</v>
      </c>
      <c r="AV65" s="75">
        <v>63</v>
      </c>
      <c r="AY65" s="101" t="s">
        <v>339</v>
      </c>
      <c r="AZ65" s="77" t="s">
        <v>181</v>
      </c>
      <c r="BA65" s="77" t="s">
        <v>347</v>
      </c>
      <c r="BB65" s="130">
        <v>0.19811320754716982</v>
      </c>
      <c r="BC65" s="72">
        <v>0.25438596491228072</v>
      </c>
      <c r="BD65" s="72">
        <v>0.330188679245283</v>
      </c>
      <c r="BE65" s="77">
        <v>33</v>
      </c>
      <c r="BF65" s="28">
        <v>106</v>
      </c>
      <c r="BG65" s="28">
        <v>11</v>
      </c>
      <c r="BH65" s="28">
        <v>21</v>
      </c>
      <c r="BI65" s="28">
        <v>6</v>
      </c>
      <c r="BJ65" s="28">
        <v>1</v>
      </c>
      <c r="BK65" s="28">
        <v>2</v>
      </c>
      <c r="BL65" s="28">
        <v>8</v>
      </c>
      <c r="BM65" s="28">
        <v>8</v>
      </c>
      <c r="BN65" s="28">
        <v>35</v>
      </c>
      <c r="BO65" s="77">
        <v>2</v>
      </c>
      <c r="BP65" s="28">
        <v>0</v>
      </c>
      <c r="BQ65" s="28">
        <v>6</v>
      </c>
      <c r="BR65" s="77">
        <v>35</v>
      </c>
      <c r="BS65" s="72">
        <v>0.58457464415756366</v>
      </c>
      <c r="BT65" s="28">
        <v>0</v>
      </c>
      <c r="BU65" s="75">
        <v>63</v>
      </c>
    </row>
    <row r="66" spans="1:73">
      <c r="A66" s="101" t="s">
        <v>339</v>
      </c>
      <c r="B66" s="71" t="s">
        <v>166</v>
      </c>
      <c r="C66" s="71" t="s">
        <v>342</v>
      </c>
      <c r="D66" s="72">
        <f>VLOOKUP(Table106[[#This Row],[NAME]],TBR_H[[NAME]:['#]],2,0)</f>
        <v>0.26797385620915032</v>
      </c>
      <c r="E66" s="72">
        <f>VLOOKUP(Table106[[#This Row],[NAME]],TBR_H[[NAME]:['#]],3,0)</f>
        <v>0.3253012048192771</v>
      </c>
      <c r="F66" s="72">
        <f>VLOOKUP(Table106[[#This Row],[NAME]],TBR_H[[NAME]:['#]],4,0)</f>
        <v>0.49673202614379086</v>
      </c>
      <c r="G66" s="77">
        <f>VLOOKUP(Table106[[#This Row],[NAME]],TBR_H[[NAME]:['#]],5,0)</f>
        <v>38</v>
      </c>
      <c r="H66" s="28">
        <f>VLOOKUP(Table106[[#This Row],[NAME]],TBR_H[[NAME]:['#]],6,0)</f>
        <v>153</v>
      </c>
      <c r="I66" s="28">
        <f>VLOOKUP(Table106[[#This Row],[NAME]],TBR_H[[NAME]:['#]],7,0)</f>
        <v>24</v>
      </c>
      <c r="J66" s="28">
        <f>VLOOKUP(Table106[[#This Row],[NAME]],TBR_H[[NAME]:['#]],8,0)</f>
        <v>41</v>
      </c>
      <c r="K66" s="28">
        <f>VLOOKUP(Table106[[#This Row],[NAME]],TBR_H[[NAME]:['#]],9,0)</f>
        <v>12</v>
      </c>
      <c r="L66" s="28">
        <f>VLOOKUP(Table106[[#This Row],[NAME]],TBR_H[[NAME]:['#]],10,0)</f>
        <v>1</v>
      </c>
      <c r="M66" s="28">
        <f>VLOOKUP(Table106[[#This Row],[NAME]],TBR_H[[NAME]:['#]],11,0)</f>
        <v>7</v>
      </c>
      <c r="N66" s="28">
        <f>VLOOKUP(Table106[[#This Row],[NAME]],TBR_H[[NAME]:['#]],12,0)</f>
        <v>23</v>
      </c>
      <c r="O66" s="28">
        <f>VLOOKUP(Table106[[#This Row],[NAME]],TBR_H[[NAME]:['#]],13,0)</f>
        <v>13</v>
      </c>
      <c r="P66" s="28">
        <f>VLOOKUP(Table106[[#This Row],[NAME]],TBR_H[[NAME]:['#]],14,0)</f>
        <v>48</v>
      </c>
      <c r="Q66" s="77">
        <f>VLOOKUP(Table106[[#This Row],[NAME]],TBR_H[[NAME]:['#]],15,0)</f>
        <v>1</v>
      </c>
      <c r="R66" s="28">
        <f>VLOOKUP(Table106[[#This Row],[NAME]],TBR_H[[NAME]:['#]],16,0)</f>
        <v>1</v>
      </c>
      <c r="S66" s="28">
        <f>VLOOKUP(Table106[[#This Row],[NAME]],TBR_H[[NAME]:['#]],17,0)</f>
        <v>13</v>
      </c>
      <c r="T66" s="77">
        <f>VLOOKUP(Table106[[#This Row],[NAME]],TBR_H[[NAME]:['#]],18,0)</f>
        <v>76</v>
      </c>
      <c r="U66" s="72">
        <f>VLOOKUP(Table106[[#This Row],[NAME]],TBR_H[[NAME]:['#]],19,0)</f>
        <v>0.82203323096306802</v>
      </c>
      <c r="V66" s="28">
        <f>VLOOKUP(Table106[[#This Row],[NAME]],TBR_H[[NAME]:['#]],20,0)</f>
        <v>4</v>
      </c>
      <c r="W66" s="75">
        <v>64</v>
      </c>
      <c r="Z66" s="101" t="s">
        <v>339</v>
      </c>
      <c r="AA66" s="77" t="s">
        <v>166</v>
      </c>
      <c r="AB66" s="77" t="s">
        <v>342</v>
      </c>
      <c r="AC66" s="130">
        <v>0.26605504587155965</v>
      </c>
      <c r="AD66" s="72">
        <v>0.32203389830508472</v>
      </c>
      <c r="AE66" s="72">
        <v>0.50458715596330272</v>
      </c>
      <c r="AF66" s="77">
        <v>29</v>
      </c>
      <c r="AG66" s="28">
        <v>109</v>
      </c>
      <c r="AH66" s="28">
        <v>11</v>
      </c>
      <c r="AI66" s="28">
        <v>29</v>
      </c>
      <c r="AJ66" s="28">
        <v>4</v>
      </c>
      <c r="AK66" s="28">
        <v>2</v>
      </c>
      <c r="AL66" s="28">
        <v>6</v>
      </c>
      <c r="AM66" s="28">
        <v>16</v>
      </c>
      <c r="AN66" s="28">
        <v>9</v>
      </c>
      <c r="AO66" s="28">
        <v>31</v>
      </c>
      <c r="AP66" s="77">
        <v>0</v>
      </c>
      <c r="AQ66" s="28">
        <v>6</v>
      </c>
      <c r="AR66" s="28">
        <v>6</v>
      </c>
      <c r="AS66" s="77">
        <v>55</v>
      </c>
      <c r="AT66" s="72">
        <v>0.82662105426838739</v>
      </c>
      <c r="AU66" s="28">
        <v>4</v>
      </c>
      <c r="AV66" s="75">
        <v>64</v>
      </c>
      <c r="AY66" s="101" t="s">
        <v>339</v>
      </c>
      <c r="AZ66" s="77" t="s">
        <v>166</v>
      </c>
      <c r="BA66" s="77" t="s">
        <v>344</v>
      </c>
      <c r="BB66" s="130">
        <v>0.28099173553719009</v>
      </c>
      <c r="BC66" s="72">
        <v>0.36956521739130432</v>
      </c>
      <c r="BD66" s="72">
        <v>0.47933884297520662</v>
      </c>
      <c r="BE66" s="77">
        <v>36</v>
      </c>
      <c r="BF66" s="28">
        <v>121</v>
      </c>
      <c r="BG66" s="28">
        <v>18</v>
      </c>
      <c r="BH66" s="28">
        <v>34</v>
      </c>
      <c r="BI66" s="28">
        <v>9</v>
      </c>
      <c r="BJ66" s="28">
        <v>0</v>
      </c>
      <c r="BK66" s="28">
        <v>5</v>
      </c>
      <c r="BL66" s="28">
        <v>18</v>
      </c>
      <c r="BM66" s="28">
        <v>17</v>
      </c>
      <c r="BN66" s="28">
        <v>35</v>
      </c>
      <c r="BO66" s="77">
        <v>0</v>
      </c>
      <c r="BP66" s="28">
        <v>0</v>
      </c>
      <c r="BQ66" s="28">
        <v>12</v>
      </c>
      <c r="BR66" s="77">
        <v>58</v>
      </c>
      <c r="BS66" s="72">
        <v>0.848904060366511</v>
      </c>
      <c r="BT66" s="28">
        <v>3</v>
      </c>
      <c r="BU66" s="75">
        <v>64</v>
      </c>
    </row>
    <row r="67" spans="1:73">
      <c r="A67" s="101" t="s">
        <v>339</v>
      </c>
      <c r="B67" s="71" t="s">
        <v>168</v>
      </c>
      <c r="C67" s="71" t="s">
        <v>344</v>
      </c>
      <c r="D67" s="72">
        <f>VLOOKUP(Table106[[#This Row],[NAME]],TBR_H[[NAME]:['#]],2,0)</f>
        <v>0.23225806451612904</v>
      </c>
      <c r="E67" s="72">
        <f>VLOOKUP(Table106[[#This Row],[NAME]],TBR_H[[NAME]:['#]],3,0)</f>
        <v>0.29585798816568049</v>
      </c>
      <c r="F67" s="72">
        <f>VLOOKUP(Table106[[#This Row],[NAME]],TBR_H[[NAME]:['#]],4,0)</f>
        <v>0.41290322580645161</v>
      </c>
      <c r="G67" s="77">
        <f>VLOOKUP(Table106[[#This Row],[NAME]],TBR_H[[NAME]:['#]],5,0)</f>
        <v>39</v>
      </c>
      <c r="H67" s="28">
        <f>VLOOKUP(Table106[[#This Row],[NAME]],TBR_H[[NAME]:['#]],6,0)</f>
        <v>155</v>
      </c>
      <c r="I67" s="28">
        <f>VLOOKUP(Table106[[#This Row],[NAME]],TBR_H[[NAME]:['#]],7,0)</f>
        <v>19</v>
      </c>
      <c r="J67" s="28">
        <f>VLOOKUP(Table106[[#This Row],[NAME]],TBR_H[[NAME]:['#]],8,0)</f>
        <v>36</v>
      </c>
      <c r="K67" s="28">
        <f>VLOOKUP(Table106[[#This Row],[NAME]],TBR_H[[NAME]:['#]],9,0)</f>
        <v>10</v>
      </c>
      <c r="L67" s="28">
        <f>VLOOKUP(Table106[[#This Row],[NAME]],TBR_H[[NAME]:['#]],10,0)</f>
        <v>0</v>
      </c>
      <c r="M67" s="28">
        <f>VLOOKUP(Table106[[#This Row],[NAME]],TBR_H[[NAME]:['#]],11,0)</f>
        <v>6</v>
      </c>
      <c r="N67" s="28">
        <f>VLOOKUP(Table106[[#This Row],[NAME]],TBR_H[[NAME]:['#]],12,0)</f>
        <v>28</v>
      </c>
      <c r="O67" s="28">
        <f>VLOOKUP(Table106[[#This Row],[NAME]],TBR_H[[NAME]:['#]],13,0)</f>
        <v>14</v>
      </c>
      <c r="P67" s="28">
        <f>VLOOKUP(Table106[[#This Row],[NAME]],TBR_H[[NAME]:['#]],14,0)</f>
        <v>50</v>
      </c>
      <c r="Q67" s="77">
        <f>VLOOKUP(Table106[[#This Row],[NAME]],TBR_H[[NAME]:['#]],15,0)</f>
        <v>0</v>
      </c>
      <c r="R67" s="28">
        <f>VLOOKUP(Table106[[#This Row],[NAME]],TBR_H[[NAME]:['#]],16,0)</f>
        <v>1</v>
      </c>
      <c r="S67" s="28">
        <f>VLOOKUP(Table106[[#This Row],[NAME]],TBR_H[[NAME]:['#]],17,0)</f>
        <v>7</v>
      </c>
      <c r="T67" s="77">
        <f>VLOOKUP(Table106[[#This Row],[NAME]],TBR_H[[NAME]:['#]],18,0)</f>
        <v>64</v>
      </c>
      <c r="U67" s="72">
        <f>VLOOKUP(Table106[[#This Row],[NAME]],TBR_H[[NAME]:['#]],19,0)</f>
        <v>0.7087612139721321</v>
      </c>
      <c r="V67" s="28">
        <f>VLOOKUP(Table106[[#This Row],[NAME]],TBR_H[[NAME]:['#]],20,0)</f>
        <v>2</v>
      </c>
      <c r="W67" s="75">
        <v>65</v>
      </c>
      <c r="Z67" s="101" t="s">
        <v>339</v>
      </c>
      <c r="AA67" s="77" t="s">
        <v>168</v>
      </c>
      <c r="AB67" s="77" t="s">
        <v>341</v>
      </c>
      <c r="AC67" s="130">
        <v>0.21249999999999999</v>
      </c>
      <c r="AD67" s="72">
        <v>0.26315789473684209</v>
      </c>
      <c r="AE67" s="72">
        <v>0.46250000000000002</v>
      </c>
      <c r="AF67" s="77">
        <v>40</v>
      </c>
      <c r="AG67" s="28">
        <v>160</v>
      </c>
      <c r="AH67" s="28">
        <v>22</v>
      </c>
      <c r="AI67" s="28">
        <v>34</v>
      </c>
      <c r="AJ67" s="28">
        <v>10</v>
      </c>
      <c r="AK67" s="28">
        <v>0</v>
      </c>
      <c r="AL67" s="28">
        <v>10</v>
      </c>
      <c r="AM67" s="28">
        <v>30</v>
      </c>
      <c r="AN67" s="28">
        <v>11</v>
      </c>
      <c r="AO67" s="28">
        <v>54</v>
      </c>
      <c r="AP67" s="77">
        <v>0</v>
      </c>
      <c r="AQ67" s="28">
        <v>2</v>
      </c>
      <c r="AR67" s="28">
        <v>9</v>
      </c>
      <c r="AS67" s="77">
        <v>74</v>
      </c>
      <c r="AT67" s="72">
        <v>0.72565789473684217</v>
      </c>
      <c r="AU67" s="28">
        <v>3</v>
      </c>
      <c r="AV67" s="75">
        <v>65</v>
      </c>
      <c r="AY67" s="101" t="s">
        <v>339</v>
      </c>
      <c r="AZ67" s="77" t="s">
        <v>168</v>
      </c>
      <c r="BA67" s="77" t="s">
        <v>341</v>
      </c>
      <c r="BB67" s="130">
        <v>0.28125</v>
      </c>
      <c r="BC67" s="72">
        <v>0.33139534883720928</v>
      </c>
      <c r="BD67" s="72">
        <v>0.63124999999999998</v>
      </c>
      <c r="BE67" s="77">
        <v>40</v>
      </c>
      <c r="BF67" s="28">
        <v>160</v>
      </c>
      <c r="BG67" s="28">
        <v>26</v>
      </c>
      <c r="BH67" s="28">
        <v>45</v>
      </c>
      <c r="BI67" s="28">
        <v>8</v>
      </c>
      <c r="BJ67" s="28">
        <v>0</v>
      </c>
      <c r="BK67" s="28">
        <v>16</v>
      </c>
      <c r="BL67" s="28">
        <v>41</v>
      </c>
      <c r="BM67" s="28">
        <v>12</v>
      </c>
      <c r="BN67" s="28">
        <v>34</v>
      </c>
      <c r="BO67" s="77">
        <v>0</v>
      </c>
      <c r="BP67" s="28">
        <v>4</v>
      </c>
      <c r="BQ67" s="28">
        <v>9</v>
      </c>
      <c r="BR67" s="77">
        <v>101</v>
      </c>
      <c r="BS67" s="72">
        <v>0.96264534883720931</v>
      </c>
      <c r="BT67" s="28">
        <v>4</v>
      </c>
      <c r="BU67" s="75">
        <v>65</v>
      </c>
    </row>
    <row r="68" spans="1:73">
      <c r="A68" s="101" t="s">
        <v>339</v>
      </c>
      <c r="B68" s="71" t="s">
        <v>179</v>
      </c>
      <c r="C68" s="71" t="s">
        <v>354</v>
      </c>
      <c r="D68" s="72">
        <f>VLOOKUP(Table106[[#This Row],[NAME]],TBR_H[[NAME]:['#]],2,0)</f>
        <v>0.34782608695652173</v>
      </c>
      <c r="E68" s="72">
        <f>VLOOKUP(Table106[[#This Row],[NAME]],TBR_H[[NAME]:['#]],3,0)</f>
        <v>0.34782608695652173</v>
      </c>
      <c r="F68" s="72">
        <f>VLOOKUP(Table106[[#This Row],[NAME]],TBR_H[[NAME]:['#]],4,0)</f>
        <v>0.52173913043478259</v>
      </c>
      <c r="G68" s="77">
        <f>VLOOKUP(Table106[[#This Row],[NAME]],TBR_H[[NAME]:['#]],5,0)</f>
        <v>6</v>
      </c>
      <c r="H68" s="28">
        <f>VLOOKUP(Table106[[#This Row],[NAME]],TBR_H[[NAME]:['#]],6,0)</f>
        <v>23</v>
      </c>
      <c r="I68" s="28">
        <f>VLOOKUP(Table106[[#This Row],[NAME]],TBR_H[[NAME]:['#]],7,0)</f>
        <v>1</v>
      </c>
      <c r="J68" s="28">
        <f>VLOOKUP(Table106[[#This Row],[NAME]],TBR_H[[NAME]:['#]],8,0)</f>
        <v>8</v>
      </c>
      <c r="K68" s="28">
        <f>VLOOKUP(Table106[[#This Row],[NAME]],TBR_H[[NAME]:['#]],9,0)</f>
        <v>4</v>
      </c>
      <c r="L68" s="28">
        <f>VLOOKUP(Table106[[#This Row],[NAME]],TBR_H[[NAME]:['#]],10,0)</f>
        <v>0</v>
      </c>
      <c r="M68" s="28">
        <f>VLOOKUP(Table106[[#This Row],[NAME]],TBR_H[[NAME]:['#]],11,0)</f>
        <v>0</v>
      </c>
      <c r="N68" s="28">
        <f>VLOOKUP(Table106[[#This Row],[NAME]],TBR_H[[NAME]:['#]],12,0)</f>
        <v>2</v>
      </c>
      <c r="O68" s="28">
        <f>VLOOKUP(Table106[[#This Row],[NAME]],TBR_H[[NAME]:['#]],13,0)</f>
        <v>0</v>
      </c>
      <c r="P68" s="28">
        <f>VLOOKUP(Table106[[#This Row],[NAME]],TBR_H[[NAME]:['#]],14,0)</f>
        <v>3</v>
      </c>
      <c r="Q68" s="77">
        <f>VLOOKUP(Table106[[#This Row],[NAME]],TBR_H[[NAME]:['#]],15,0)</f>
        <v>0</v>
      </c>
      <c r="R68" s="28">
        <f>VLOOKUP(Table106[[#This Row],[NAME]],TBR_H[[NAME]:['#]],16,0)</f>
        <v>5</v>
      </c>
      <c r="S68" s="28">
        <f>VLOOKUP(Table106[[#This Row],[NAME]],TBR_H[[NAME]:['#]],17,0)</f>
        <v>5</v>
      </c>
      <c r="T68" s="77">
        <f>VLOOKUP(Table106[[#This Row],[NAME]],TBR_H[[NAME]:['#]],18,0)</f>
        <v>12</v>
      </c>
      <c r="U68" s="72">
        <f>VLOOKUP(Table106[[#This Row],[NAME]],TBR_H[[NAME]:['#]],19,0)</f>
        <v>0.86956521739130432</v>
      </c>
      <c r="V68" s="28">
        <f>VLOOKUP(Table106[[#This Row],[NAME]],TBR_H[[NAME]:['#]],20,0)</f>
        <v>0</v>
      </c>
      <c r="W68" s="75">
        <v>66</v>
      </c>
      <c r="Z68" s="101" t="s">
        <v>339</v>
      </c>
      <c r="AA68" s="77" t="s">
        <v>179</v>
      </c>
      <c r="AB68" s="77" t="s">
        <v>357</v>
      </c>
      <c r="AC68" s="130">
        <v>0</v>
      </c>
      <c r="AD68" s="72">
        <v>0</v>
      </c>
      <c r="AE68" s="72">
        <v>0</v>
      </c>
      <c r="AF68" s="77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77">
        <v>0</v>
      </c>
      <c r="AQ68" s="28">
        <v>0</v>
      </c>
      <c r="AR68" s="28">
        <v>0</v>
      </c>
      <c r="AS68" s="77">
        <v>0</v>
      </c>
      <c r="AT68" s="72">
        <v>0</v>
      </c>
      <c r="AU68" s="28">
        <v>0</v>
      </c>
      <c r="AV68" s="75">
        <v>66</v>
      </c>
      <c r="AY68" s="101" t="s">
        <v>339</v>
      </c>
      <c r="AZ68" s="77" t="s">
        <v>308</v>
      </c>
      <c r="BA68" s="77" t="s">
        <v>357</v>
      </c>
      <c r="BB68" s="130">
        <v>0.1</v>
      </c>
      <c r="BC68" s="72">
        <v>0.1</v>
      </c>
      <c r="BD68" s="72">
        <v>0.1</v>
      </c>
      <c r="BE68" s="77">
        <v>6</v>
      </c>
      <c r="BF68" s="28">
        <v>10</v>
      </c>
      <c r="BG68" s="28">
        <v>1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4</v>
      </c>
      <c r="BO68" s="77">
        <v>0</v>
      </c>
      <c r="BP68" s="28">
        <v>0</v>
      </c>
      <c r="BQ68" s="28">
        <v>1</v>
      </c>
      <c r="BR68" s="77">
        <v>1</v>
      </c>
      <c r="BS68" s="72">
        <v>0.2</v>
      </c>
      <c r="BT68" s="28">
        <v>0</v>
      </c>
      <c r="BU68" s="75">
        <v>66</v>
      </c>
    </row>
    <row r="69" spans="1:73">
      <c r="A69" s="101" t="s">
        <v>339</v>
      </c>
      <c r="B69" s="71" t="s">
        <v>192</v>
      </c>
      <c r="C69" s="71" t="s">
        <v>355</v>
      </c>
      <c r="D69" s="72">
        <f>VLOOKUP(Table106[[#This Row],[NAME]],TBR_H[[NAME]:['#]],2,0)</f>
        <v>0.22222222222222221</v>
      </c>
      <c r="E69" s="72">
        <f>VLOOKUP(Table106[[#This Row],[NAME]],TBR_H[[NAME]:['#]],3,0)</f>
        <v>0.22222222222222221</v>
      </c>
      <c r="F69" s="72">
        <f>VLOOKUP(Table106[[#This Row],[NAME]],TBR_H[[NAME]:['#]],4,0)</f>
        <v>0.29629629629629628</v>
      </c>
      <c r="G69" s="77">
        <f>VLOOKUP(Table106[[#This Row],[NAME]],TBR_H[[NAME]:['#]],5,0)</f>
        <v>6</v>
      </c>
      <c r="H69" s="28">
        <f>VLOOKUP(Table106[[#This Row],[NAME]],TBR_H[[NAME]:['#]],6,0)</f>
        <v>27</v>
      </c>
      <c r="I69" s="28">
        <f>VLOOKUP(Table106[[#This Row],[NAME]],TBR_H[[NAME]:['#]],7,0)</f>
        <v>1</v>
      </c>
      <c r="J69" s="28">
        <f>VLOOKUP(Table106[[#This Row],[NAME]],TBR_H[[NAME]:['#]],8,0)</f>
        <v>6</v>
      </c>
      <c r="K69" s="28">
        <f>VLOOKUP(Table106[[#This Row],[NAME]],TBR_H[[NAME]:['#]],9,0)</f>
        <v>0</v>
      </c>
      <c r="L69" s="28">
        <f>VLOOKUP(Table106[[#This Row],[NAME]],TBR_H[[NAME]:['#]],10,0)</f>
        <v>1</v>
      </c>
      <c r="M69" s="28">
        <f>VLOOKUP(Table106[[#This Row],[NAME]],TBR_H[[NAME]:['#]],11,0)</f>
        <v>0</v>
      </c>
      <c r="N69" s="28">
        <f>VLOOKUP(Table106[[#This Row],[NAME]],TBR_H[[NAME]:['#]],12,0)</f>
        <v>0</v>
      </c>
      <c r="O69" s="28">
        <f>VLOOKUP(Table106[[#This Row],[NAME]],TBR_H[[NAME]:['#]],13,0)</f>
        <v>0</v>
      </c>
      <c r="P69" s="28">
        <f>VLOOKUP(Table106[[#This Row],[NAME]],TBR_H[[NAME]:['#]],14,0)</f>
        <v>11</v>
      </c>
      <c r="Q69" s="77">
        <f>VLOOKUP(Table106[[#This Row],[NAME]],TBR_H[[NAME]:['#]],15,0)</f>
        <v>0</v>
      </c>
      <c r="R69" s="28">
        <f>VLOOKUP(Table106[[#This Row],[NAME]],TBR_H[[NAME]:['#]],16,0)</f>
        <v>2</v>
      </c>
      <c r="S69" s="28">
        <f>VLOOKUP(Table106[[#This Row],[NAME]],TBR_H[[NAME]:['#]],17,0)</f>
        <v>2</v>
      </c>
      <c r="T69" s="77">
        <f>VLOOKUP(Table106[[#This Row],[NAME]],TBR_H[[NAME]:['#]],18,0)</f>
        <v>8</v>
      </c>
      <c r="U69" s="72">
        <f>VLOOKUP(Table106[[#This Row],[NAME]],TBR_H[[NAME]:['#]],19,0)</f>
        <v>0.51851851851851849</v>
      </c>
      <c r="V69" s="28">
        <f>VLOOKUP(Table106[[#This Row],[NAME]],TBR_H[[NAME]:['#]],20,0)</f>
        <v>0</v>
      </c>
      <c r="W69" s="75">
        <v>67</v>
      </c>
      <c r="Z69" s="101" t="s">
        <v>339</v>
      </c>
      <c r="AA69" s="77" t="s">
        <v>187</v>
      </c>
      <c r="AB69" s="77" t="s">
        <v>351</v>
      </c>
      <c r="AC69" s="130">
        <v>0.14754098360655737</v>
      </c>
      <c r="AD69" s="72">
        <v>0.16129032258064516</v>
      </c>
      <c r="AE69" s="72">
        <v>0.18032786885245902</v>
      </c>
      <c r="AF69" s="77">
        <v>22</v>
      </c>
      <c r="AG69" s="28">
        <v>61</v>
      </c>
      <c r="AH69" s="28">
        <v>2</v>
      </c>
      <c r="AI69" s="28">
        <v>9</v>
      </c>
      <c r="AJ69" s="28">
        <v>2</v>
      </c>
      <c r="AK69" s="28">
        <v>0</v>
      </c>
      <c r="AL69" s="28">
        <v>0</v>
      </c>
      <c r="AM69" s="28">
        <v>3</v>
      </c>
      <c r="AN69" s="28">
        <v>1</v>
      </c>
      <c r="AO69" s="28">
        <v>24</v>
      </c>
      <c r="AP69" s="77">
        <v>0</v>
      </c>
      <c r="AQ69" s="28">
        <v>0</v>
      </c>
      <c r="AR69" s="28">
        <v>2</v>
      </c>
      <c r="AS69" s="77">
        <v>11</v>
      </c>
      <c r="AT69" s="72">
        <v>0.34161819143310418</v>
      </c>
      <c r="AU69" s="28">
        <v>0</v>
      </c>
      <c r="AV69" s="75">
        <v>67</v>
      </c>
      <c r="AY69" s="101" t="s">
        <v>339</v>
      </c>
      <c r="AZ69" s="77" t="s">
        <v>192</v>
      </c>
      <c r="BA69" s="77" t="s">
        <v>351</v>
      </c>
      <c r="BB69" s="130">
        <v>0.27142857142857141</v>
      </c>
      <c r="BC69" s="72">
        <v>0.36249999999999999</v>
      </c>
      <c r="BD69" s="72">
        <v>0.34285714285714286</v>
      </c>
      <c r="BE69" s="77">
        <v>25</v>
      </c>
      <c r="BF69" s="28">
        <v>70</v>
      </c>
      <c r="BG69" s="28">
        <v>13</v>
      </c>
      <c r="BH69" s="28">
        <v>19</v>
      </c>
      <c r="BI69" s="28">
        <v>2</v>
      </c>
      <c r="BJ69" s="28">
        <v>0</v>
      </c>
      <c r="BK69" s="28">
        <v>1</v>
      </c>
      <c r="BL69" s="28">
        <v>5</v>
      </c>
      <c r="BM69" s="28">
        <v>10</v>
      </c>
      <c r="BN69" s="28">
        <v>24</v>
      </c>
      <c r="BO69" s="77">
        <v>0</v>
      </c>
      <c r="BP69" s="28">
        <v>0</v>
      </c>
      <c r="BQ69" s="28">
        <v>6</v>
      </c>
      <c r="BR69" s="77">
        <v>24</v>
      </c>
      <c r="BS69" s="72">
        <v>0.70535714285714279</v>
      </c>
      <c r="BT69" s="28">
        <v>1</v>
      </c>
      <c r="BU69" s="75">
        <v>67</v>
      </c>
    </row>
    <row r="70" spans="1:73">
      <c r="A70" s="101" t="s">
        <v>339</v>
      </c>
      <c r="B70" s="71" t="s">
        <v>187</v>
      </c>
      <c r="C70" s="71" t="s">
        <v>356</v>
      </c>
      <c r="D70" s="72">
        <f>VLOOKUP(Table106[[#This Row],[NAME]],TBR_H[[NAME]:['#]],2,0)</f>
        <v>0.17647058823529413</v>
      </c>
      <c r="E70" s="72">
        <f>VLOOKUP(Table106[[#This Row],[NAME]],TBR_H[[NAME]:['#]],3,0)</f>
        <v>0.44</v>
      </c>
      <c r="F70" s="72">
        <f>VLOOKUP(Table106[[#This Row],[NAME]],TBR_H[[NAME]:['#]],4,0)</f>
        <v>0.17647058823529413</v>
      </c>
      <c r="G70" s="77">
        <f>VLOOKUP(Table106[[#This Row],[NAME]],TBR_H[[NAME]:['#]],5,0)</f>
        <v>8</v>
      </c>
      <c r="H70" s="28">
        <f>VLOOKUP(Table106[[#This Row],[NAME]],TBR_H[[NAME]:['#]],6,0)</f>
        <v>17</v>
      </c>
      <c r="I70" s="28">
        <f>VLOOKUP(Table106[[#This Row],[NAME]],TBR_H[[NAME]:['#]],7,0)</f>
        <v>4</v>
      </c>
      <c r="J70" s="28">
        <f>VLOOKUP(Table106[[#This Row],[NAME]],TBR_H[[NAME]:['#]],8,0)</f>
        <v>3</v>
      </c>
      <c r="K70" s="28">
        <f>VLOOKUP(Table106[[#This Row],[NAME]],TBR_H[[NAME]:['#]],9,0)</f>
        <v>0</v>
      </c>
      <c r="L70" s="28">
        <f>VLOOKUP(Table106[[#This Row],[NAME]],TBR_H[[NAME]:['#]],10,0)</f>
        <v>0</v>
      </c>
      <c r="M70" s="28">
        <f>VLOOKUP(Table106[[#This Row],[NAME]],TBR_H[[NAME]:['#]],11,0)</f>
        <v>0</v>
      </c>
      <c r="N70" s="28">
        <f>VLOOKUP(Table106[[#This Row],[NAME]],TBR_H[[NAME]:['#]],12,0)</f>
        <v>1</v>
      </c>
      <c r="O70" s="28">
        <f>VLOOKUP(Table106[[#This Row],[NAME]],TBR_H[[NAME]:['#]],13,0)</f>
        <v>8</v>
      </c>
      <c r="P70" s="28">
        <f>VLOOKUP(Table106[[#This Row],[NAME]],TBR_H[[NAME]:['#]],14,0)</f>
        <v>2</v>
      </c>
      <c r="Q70" s="77">
        <f>VLOOKUP(Table106[[#This Row],[NAME]],TBR_H[[NAME]:['#]],15,0)</f>
        <v>0</v>
      </c>
      <c r="R70" s="28">
        <f>VLOOKUP(Table106[[#This Row],[NAME]],TBR_H[[NAME]:['#]],16,0)</f>
        <v>0</v>
      </c>
      <c r="S70" s="28">
        <f>VLOOKUP(Table106[[#This Row],[NAME]],TBR_H[[NAME]:['#]],17,0)</f>
        <v>1</v>
      </c>
      <c r="T70" s="77">
        <f>VLOOKUP(Table106[[#This Row],[NAME]],TBR_H[[NAME]:['#]],18,0)</f>
        <v>3</v>
      </c>
      <c r="U70" s="72">
        <f>VLOOKUP(Table106[[#This Row],[NAME]],TBR_H[[NAME]:['#]],19,0)</f>
        <v>0.6164705882352941</v>
      </c>
      <c r="V70" s="28">
        <f>VLOOKUP(Table106[[#This Row],[NAME]],TBR_H[[NAME]:['#]],20,0)</f>
        <v>0</v>
      </c>
      <c r="W70" s="75">
        <v>68</v>
      </c>
      <c r="Z70" s="101" t="s">
        <v>339</v>
      </c>
      <c r="AA70" s="77" t="s">
        <v>187</v>
      </c>
      <c r="AB70" s="71" t="s">
        <v>356</v>
      </c>
      <c r="AC70" s="130">
        <v>0</v>
      </c>
      <c r="AD70" s="72">
        <v>0</v>
      </c>
      <c r="AE70" s="72">
        <v>0</v>
      </c>
      <c r="AF70" s="77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77">
        <v>0</v>
      </c>
      <c r="AQ70" s="28">
        <v>0</v>
      </c>
      <c r="AR70" s="28">
        <v>0</v>
      </c>
      <c r="AS70" s="77">
        <v>0</v>
      </c>
      <c r="AT70" s="72">
        <v>0</v>
      </c>
      <c r="AU70" s="28">
        <v>0</v>
      </c>
      <c r="AV70" s="75">
        <v>68</v>
      </c>
      <c r="AY70" s="101" t="s">
        <v>339</v>
      </c>
      <c r="AZ70" s="77" t="s">
        <v>192</v>
      </c>
      <c r="BA70" s="981" t="s">
        <v>356</v>
      </c>
      <c r="BB70" s="130">
        <v>0.3</v>
      </c>
      <c r="BC70" s="72">
        <v>0.39130434782608697</v>
      </c>
      <c r="BD70" s="72">
        <v>0.4</v>
      </c>
      <c r="BE70" s="77">
        <v>8</v>
      </c>
      <c r="BF70" s="28">
        <v>20</v>
      </c>
      <c r="BG70" s="28">
        <v>2</v>
      </c>
      <c r="BH70" s="28">
        <v>6</v>
      </c>
      <c r="BI70" s="28">
        <v>2</v>
      </c>
      <c r="BJ70" s="28">
        <v>0</v>
      </c>
      <c r="BK70" s="28">
        <v>0</v>
      </c>
      <c r="BL70" s="28">
        <v>0</v>
      </c>
      <c r="BM70" s="28">
        <v>3</v>
      </c>
      <c r="BN70" s="28">
        <v>4</v>
      </c>
      <c r="BO70" s="77">
        <v>0</v>
      </c>
      <c r="BP70" s="28">
        <v>1</v>
      </c>
      <c r="BQ70" s="28">
        <v>2</v>
      </c>
      <c r="BR70" s="77">
        <v>8</v>
      </c>
      <c r="BS70" s="72">
        <v>0.79130434782608705</v>
      </c>
      <c r="BT70" s="28">
        <v>0</v>
      </c>
      <c r="BU70" s="75">
        <v>68</v>
      </c>
    </row>
    <row r="71" spans="1:73">
      <c r="A71" s="101" t="s">
        <v>339</v>
      </c>
      <c r="B71" s="71" t="s">
        <v>184</v>
      </c>
      <c r="C71" s="71" t="s">
        <v>359</v>
      </c>
      <c r="D71" s="72">
        <f>VLOOKUP(Table106[[#This Row],[NAME]],TBR_H[[NAME]:['#]],2,0)</f>
        <v>0</v>
      </c>
      <c r="E71" s="72">
        <f>VLOOKUP(Table106[[#This Row],[NAME]],TBR_H[[NAME]:['#]],3,0)</f>
        <v>0</v>
      </c>
      <c r="F71" s="72">
        <f>VLOOKUP(Table106[[#This Row],[NAME]],TBR_H[[NAME]:['#]],4,0)</f>
        <v>0</v>
      </c>
      <c r="G71" s="77">
        <f>VLOOKUP(Table106[[#This Row],[NAME]],TBR_H[[NAME]:['#]],5,0)</f>
        <v>0</v>
      </c>
      <c r="H71" s="28">
        <f>VLOOKUP(Table106[[#This Row],[NAME]],TBR_H[[NAME]:['#]],6,0)</f>
        <v>0</v>
      </c>
      <c r="I71" s="28">
        <f>VLOOKUP(Table106[[#This Row],[NAME]],TBR_H[[NAME]:['#]],7,0)</f>
        <v>0</v>
      </c>
      <c r="J71" s="28">
        <f>VLOOKUP(Table106[[#This Row],[NAME]],TBR_H[[NAME]:['#]],8,0)</f>
        <v>0</v>
      </c>
      <c r="K71" s="28">
        <f>VLOOKUP(Table106[[#This Row],[NAME]],TBR_H[[NAME]:['#]],9,0)</f>
        <v>0</v>
      </c>
      <c r="L71" s="28">
        <f>VLOOKUP(Table106[[#This Row],[NAME]],TBR_H[[NAME]:['#]],10,0)</f>
        <v>0</v>
      </c>
      <c r="M71" s="28">
        <f>VLOOKUP(Table106[[#This Row],[NAME]],TBR_H[[NAME]:['#]],11,0)</f>
        <v>0</v>
      </c>
      <c r="N71" s="28">
        <f>VLOOKUP(Table106[[#This Row],[NAME]],TBR_H[[NAME]:['#]],12,0)</f>
        <v>0</v>
      </c>
      <c r="O71" s="28">
        <f>VLOOKUP(Table106[[#This Row],[NAME]],TBR_H[[NAME]:['#]],13,0)</f>
        <v>0</v>
      </c>
      <c r="P71" s="28">
        <f>VLOOKUP(Table106[[#This Row],[NAME]],TBR_H[[NAME]:['#]],14,0)</f>
        <v>0</v>
      </c>
      <c r="Q71" s="77">
        <f>VLOOKUP(Table106[[#This Row],[NAME]],TBR_H[[NAME]:['#]],15,0)</f>
        <v>0</v>
      </c>
      <c r="R71" s="28">
        <f>VLOOKUP(Table106[[#This Row],[NAME]],TBR_H[[NAME]:['#]],16,0)</f>
        <v>0</v>
      </c>
      <c r="S71" s="28">
        <f>VLOOKUP(Table106[[#This Row],[NAME]],TBR_H[[NAME]:['#]],17,0)</f>
        <v>0</v>
      </c>
      <c r="T71" s="77">
        <f>VLOOKUP(Table106[[#This Row],[NAME]],TBR_H[[NAME]:['#]],18,0)</f>
        <v>0</v>
      </c>
      <c r="U71" s="72">
        <f>VLOOKUP(Table106[[#This Row],[NAME]],TBR_H[[NAME]:['#]],19,0)</f>
        <v>0</v>
      </c>
      <c r="V71" s="28">
        <f>VLOOKUP(Table106[[#This Row],[NAME]],TBR_H[[NAME]:['#]],20,0)</f>
        <v>0</v>
      </c>
      <c r="W71" s="75">
        <v>69</v>
      </c>
      <c r="Z71" s="101" t="s">
        <v>339</v>
      </c>
      <c r="AA71" s="77" t="s">
        <v>187</v>
      </c>
      <c r="AB71" s="77" t="s">
        <v>345</v>
      </c>
      <c r="AC71" s="130">
        <v>0.36734693877551022</v>
      </c>
      <c r="AD71" s="72">
        <v>0.43636363636363634</v>
      </c>
      <c r="AE71" s="72">
        <v>0.55102040816326525</v>
      </c>
      <c r="AF71" s="77">
        <v>12</v>
      </c>
      <c r="AG71" s="28">
        <v>49</v>
      </c>
      <c r="AH71" s="28">
        <v>11</v>
      </c>
      <c r="AI71" s="28">
        <v>18</v>
      </c>
      <c r="AJ71" s="28">
        <v>4</v>
      </c>
      <c r="AK71" s="28">
        <v>1</v>
      </c>
      <c r="AL71" s="28">
        <v>1</v>
      </c>
      <c r="AM71" s="28">
        <v>5</v>
      </c>
      <c r="AN71" s="28">
        <v>6</v>
      </c>
      <c r="AO71" s="28">
        <v>12</v>
      </c>
      <c r="AP71" s="77">
        <v>0</v>
      </c>
      <c r="AQ71" s="28">
        <v>2</v>
      </c>
      <c r="AR71" s="28">
        <v>4</v>
      </c>
      <c r="AS71" s="77">
        <v>27</v>
      </c>
      <c r="AT71" s="72">
        <v>0.98738404452690154</v>
      </c>
      <c r="AU71" s="28">
        <v>1</v>
      </c>
      <c r="AV71" s="75">
        <v>69</v>
      </c>
      <c r="AY71" s="101" t="s">
        <v>339</v>
      </c>
      <c r="AZ71" s="77" t="s">
        <v>184</v>
      </c>
      <c r="BA71" s="77" t="s">
        <v>342</v>
      </c>
      <c r="BB71" s="130">
        <v>0.27777777777777779</v>
      </c>
      <c r="BC71" s="72">
        <v>0.27777777777777779</v>
      </c>
      <c r="BD71" s="72">
        <v>0.27777777777777779</v>
      </c>
      <c r="BE71" s="77">
        <v>7</v>
      </c>
      <c r="BF71" s="28">
        <v>18</v>
      </c>
      <c r="BG71" s="28">
        <v>1</v>
      </c>
      <c r="BH71" s="28">
        <v>5</v>
      </c>
      <c r="BI71" s="28">
        <v>0</v>
      </c>
      <c r="BJ71" s="28">
        <v>0</v>
      </c>
      <c r="BK71" s="28">
        <v>0</v>
      </c>
      <c r="BL71" s="28">
        <v>2</v>
      </c>
      <c r="BM71" s="28">
        <v>0</v>
      </c>
      <c r="BN71" s="28">
        <v>6</v>
      </c>
      <c r="BO71" s="77">
        <v>0</v>
      </c>
      <c r="BP71" s="28">
        <v>0</v>
      </c>
      <c r="BQ71" s="28">
        <v>3</v>
      </c>
      <c r="BR71" s="77">
        <v>5</v>
      </c>
      <c r="BS71" s="72">
        <v>0.55555555555555558</v>
      </c>
      <c r="BT71" s="28">
        <v>0</v>
      </c>
      <c r="BU71" s="75">
        <v>69</v>
      </c>
    </row>
    <row r="72" spans="1:73">
      <c r="A72" s="101" t="s">
        <v>339</v>
      </c>
      <c r="B72" s="71" t="s">
        <v>184</v>
      </c>
      <c r="C72" s="71" t="s">
        <v>358</v>
      </c>
      <c r="D72" s="72">
        <f>VLOOKUP(Table106[[#This Row],[NAME]],TBR_H[[NAME]:['#]],2,0)</f>
        <v>0.1</v>
      </c>
      <c r="E72" s="72">
        <f>VLOOKUP(Table106[[#This Row],[NAME]],TBR_H[[NAME]:['#]],3,0)</f>
        <v>0.18181818181818182</v>
      </c>
      <c r="F72" s="72">
        <f>VLOOKUP(Table106[[#This Row],[NAME]],TBR_H[[NAME]:['#]],4,0)</f>
        <v>0.1</v>
      </c>
      <c r="G72" s="77">
        <f>VLOOKUP(Table106[[#This Row],[NAME]],TBR_H[[NAME]:['#]],5,0)</f>
        <v>7</v>
      </c>
      <c r="H72" s="28">
        <f>VLOOKUP(Table106[[#This Row],[NAME]],TBR_H[[NAME]:['#]],6,0)</f>
        <v>20</v>
      </c>
      <c r="I72" s="28">
        <f>VLOOKUP(Table106[[#This Row],[NAME]],TBR_H[[NAME]:['#]],7,0)</f>
        <v>1</v>
      </c>
      <c r="J72" s="28">
        <f>VLOOKUP(Table106[[#This Row],[NAME]],TBR_H[[NAME]:['#]],8,0)</f>
        <v>2</v>
      </c>
      <c r="K72" s="28">
        <f>VLOOKUP(Table106[[#This Row],[NAME]],TBR_H[[NAME]:['#]],9,0)</f>
        <v>0</v>
      </c>
      <c r="L72" s="28">
        <f>VLOOKUP(Table106[[#This Row],[NAME]],TBR_H[[NAME]:['#]],10,0)</f>
        <v>0</v>
      </c>
      <c r="M72" s="28">
        <f>VLOOKUP(Table106[[#This Row],[NAME]],TBR_H[[NAME]:['#]],11,0)</f>
        <v>0</v>
      </c>
      <c r="N72" s="28">
        <f>VLOOKUP(Table106[[#This Row],[NAME]],TBR_H[[NAME]:['#]],12,0)</f>
        <v>1</v>
      </c>
      <c r="O72" s="28">
        <f>VLOOKUP(Table106[[#This Row],[NAME]],TBR_H[[NAME]:['#]],13,0)</f>
        <v>2</v>
      </c>
      <c r="P72" s="28">
        <f>VLOOKUP(Table106[[#This Row],[NAME]],TBR_H[[NAME]:['#]],14,0)</f>
        <v>6</v>
      </c>
      <c r="Q72" s="77">
        <f>VLOOKUP(Table106[[#This Row],[NAME]],TBR_H[[NAME]:['#]],15,0)</f>
        <v>0</v>
      </c>
      <c r="R72" s="28">
        <f>VLOOKUP(Table106[[#This Row],[NAME]],TBR_H[[NAME]:['#]],16,0)</f>
        <v>1</v>
      </c>
      <c r="S72" s="28">
        <f>VLOOKUP(Table106[[#This Row],[NAME]],TBR_H[[NAME]:['#]],17,0)</f>
        <v>1</v>
      </c>
      <c r="T72" s="77">
        <f>VLOOKUP(Table106[[#This Row],[NAME]],TBR_H[[NAME]:['#]],18,0)</f>
        <v>2</v>
      </c>
      <c r="U72" s="72">
        <f>VLOOKUP(Table106[[#This Row],[NAME]],TBR_H[[NAME]:['#]],19,0)</f>
        <v>0.28181818181818186</v>
      </c>
      <c r="V72" s="28">
        <f>VLOOKUP(Table106[[#This Row],[NAME]],TBR_H[[NAME]:['#]],20,0)</f>
        <v>0</v>
      </c>
      <c r="W72" s="75">
        <v>70</v>
      </c>
      <c r="Z72" s="101" t="s">
        <v>339</v>
      </c>
      <c r="AA72" s="77" t="s">
        <v>186</v>
      </c>
      <c r="AB72" s="77" t="s">
        <v>353</v>
      </c>
      <c r="AC72" s="130">
        <v>0</v>
      </c>
      <c r="AD72" s="72">
        <v>0</v>
      </c>
      <c r="AE72" s="72">
        <v>0</v>
      </c>
      <c r="AF72" s="77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77">
        <v>0</v>
      </c>
      <c r="AQ72" s="28">
        <v>0</v>
      </c>
      <c r="AR72" s="28">
        <v>0</v>
      </c>
      <c r="AS72" s="77">
        <v>0</v>
      </c>
      <c r="AT72" s="72">
        <v>0</v>
      </c>
      <c r="AU72" s="28">
        <v>0</v>
      </c>
      <c r="AV72" s="75">
        <v>70</v>
      </c>
      <c r="AY72" s="101" t="s">
        <v>339</v>
      </c>
      <c r="AZ72" s="77" t="s">
        <v>186</v>
      </c>
      <c r="BA72" s="77" t="s">
        <v>353</v>
      </c>
      <c r="BB72" s="130">
        <v>0.25757575757575757</v>
      </c>
      <c r="BC72" s="72">
        <v>0.28985507246376813</v>
      </c>
      <c r="BD72" s="72">
        <v>0.46969696969696972</v>
      </c>
      <c r="BE72" s="77">
        <v>19</v>
      </c>
      <c r="BF72" s="28">
        <v>66</v>
      </c>
      <c r="BG72" s="28">
        <v>8</v>
      </c>
      <c r="BH72" s="28">
        <v>17</v>
      </c>
      <c r="BI72" s="28">
        <v>2</v>
      </c>
      <c r="BJ72" s="28">
        <v>0</v>
      </c>
      <c r="BK72" s="28">
        <v>4</v>
      </c>
      <c r="BL72" s="28">
        <v>10</v>
      </c>
      <c r="BM72" s="28">
        <v>3</v>
      </c>
      <c r="BN72" s="28">
        <v>15</v>
      </c>
      <c r="BO72" s="77">
        <v>0</v>
      </c>
      <c r="BP72" s="28">
        <v>0</v>
      </c>
      <c r="BQ72" s="28">
        <v>3</v>
      </c>
      <c r="BR72" s="77">
        <v>31</v>
      </c>
      <c r="BS72" s="72">
        <v>0.75955204216073779</v>
      </c>
      <c r="BT72" s="28">
        <v>1</v>
      </c>
      <c r="BU72" s="75">
        <v>70</v>
      </c>
    </row>
    <row r="73" spans="1:73">
      <c r="A73" s="101" t="s">
        <v>394</v>
      </c>
      <c r="B73" s="71" t="s">
        <v>179</v>
      </c>
      <c r="C73" s="71" t="s">
        <v>404</v>
      </c>
      <c r="D73" s="72">
        <f>VLOOKUP(Table106[[#This Row],[NAME]],CLE_H[[NAME]:['#]],2,0)</f>
        <v>0.18803418803418803</v>
      </c>
      <c r="E73" s="72">
        <f>VLOOKUP(Table106[[#This Row],[NAME]],CLE_H[[NAME]:['#]],3,0)</f>
        <v>0.2578125</v>
      </c>
      <c r="F73" s="72">
        <f>VLOOKUP(Table106[[#This Row],[NAME]],CLE_H[[NAME]:['#]],4,0)</f>
        <v>0.34188034188034189</v>
      </c>
      <c r="G73" s="77">
        <f>VLOOKUP(Table106[[#This Row],[NAME]],CLE_H[[NAME]:['#]],5,0)</f>
        <v>32</v>
      </c>
      <c r="H73" s="28">
        <f>VLOOKUP(Table106[[#This Row],[NAME]],CLE_H[[NAME]:['#]],6,0)</f>
        <v>117</v>
      </c>
      <c r="I73" s="28">
        <f>VLOOKUP(Table106[[#This Row],[NAME]],CLE_H[[NAME]:['#]],7,0)</f>
        <v>13</v>
      </c>
      <c r="J73" s="28">
        <f>VLOOKUP(Table106[[#This Row],[NAME]],CLE_H[[NAME]:['#]],8,0)</f>
        <v>22</v>
      </c>
      <c r="K73" s="28">
        <f>VLOOKUP(Table106[[#This Row],[NAME]],CLE_H[[NAME]:['#]],9,0)</f>
        <v>6</v>
      </c>
      <c r="L73" s="28">
        <f>VLOOKUP(Table106[[#This Row],[NAME]],CLE_H[[NAME]:['#]],10,0)</f>
        <v>0</v>
      </c>
      <c r="M73" s="28">
        <f>VLOOKUP(Table106[[#This Row],[NAME]],CLE_H[[NAME]:['#]],11,0)</f>
        <v>4</v>
      </c>
      <c r="N73" s="28">
        <f>VLOOKUP(Table106[[#This Row],[NAME]],CLE_H[[NAME]:['#]],12,0)</f>
        <v>11</v>
      </c>
      <c r="O73" s="28">
        <f>VLOOKUP(Table106[[#This Row],[NAME]],CLE_H[[NAME]:['#]],13,0)</f>
        <v>11</v>
      </c>
      <c r="P73" s="28">
        <f>VLOOKUP(Table106[[#This Row],[NAME]],CLE_H[[NAME]:['#]],14,0)</f>
        <v>31</v>
      </c>
      <c r="Q73" s="77">
        <f>VLOOKUP(Table106[[#This Row],[NAME]],CLE_H[[NAME]:['#]],15,0)</f>
        <v>0</v>
      </c>
      <c r="R73" s="28">
        <f>VLOOKUP(Table106[[#This Row],[NAME]],CLE_H[[NAME]:['#]],16,0)</f>
        <v>0</v>
      </c>
      <c r="S73" s="28">
        <f>VLOOKUP(Table106[[#This Row],[NAME]],CLE_H[[NAME]:['#]],17,0)</f>
        <v>5</v>
      </c>
      <c r="T73" s="77">
        <f>VLOOKUP(Table106[[#This Row],[NAME]],CLE_H[[NAME]:['#]],18,0)</f>
        <v>40</v>
      </c>
      <c r="U73" s="72">
        <f>VLOOKUP(Table106[[#This Row],[NAME]],CLE_H[[NAME]:['#]],19,0)</f>
        <v>0.59969284188034189</v>
      </c>
      <c r="V73" s="28">
        <f>VLOOKUP(Table106[[#This Row],[NAME]],CLE_H[[NAME]:['#]],20,0)</f>
        <v>2</v>
      </c>
      <c r="W73" s="75">
        <v>71</v>
      </c>
      <c r="Z73" s="101" t="s">
        <v>394</v>
      </c>
      <c r="AA73" s="77" t="s">
        <v>179</v>
      </c>
      <c r="AB73" s="77" t="s">
        <v>404</v>
      </c>
      <c r="AC73" s="130">
        <v>0.25</v>
      </c>
      <c r="AD73" s="72">
        <v>0.32450331125827814</v>
      </c>
      <c r="AE73" s="72">
        <v>0.44117647058823528</v>
      </c>
      <c r="AF73" s="77">
        <v>36</v>
      </c>
      <c r="AG73" s="28">
        <v>136</v>
      </c>
      <c r="AH73" s="28">
        <v>17</v>
      </c>
      <c r="AI73" s="28">
        <v>34</v>
      </c>
      <c r="AJ73" s="28">
        <v>8</v>
      </c>
      <c r="AK73" s="28">
        <v>0</v>
      </c>
      <c r="AL73" s="28">
        <v>6</v>
      </c>
      <c r="AM73" s="28">
        <v>16</v>
      </c>
      <c r="AN73" s="28">
        <v>15</v>
      </c>
      <c r="AO73" s="28">
        <v>40</v>
      </c>
      <c r="AP73" s="77">
        <v>0</v>
      </c>
      <c r="AQ73" s="28">
        <v>0</v>
      </c>
      <c r="AR73" s="28">
        <v>9</v>
      </c>
      <c r="AS73" s="77">
        <v>60</v>
      </c>
      <c r="AT73" s="72">
        <v>0.76567978184651342</v>
      </c>
      <c r="AU73" s="28">
        <v>2</v>
      </c>
      <c r="AV73" s="75">
        <v>71</v>
      </c>
      <c r="AY73" s="101" t="s">
        <v>394</v>
      </c>
      <c r="AZ73" s="77" t="s">
        <v>179</v>
      </c>
      <c r="BA73" s="77" t="s">
        <v>404</v>
      </c>
      <c r="BB73" s="130">
        <v>0.25</v>
      </c>
      <c r="BC73" s="72">
        <v>0.29411764705882354</v>
      </c>
      <c r="BD73" s="72">
        <v>0.4296875</v>
      </c>
      <c r="BE73" s="77">
        <v>35</v>
      </c>
      <c r="BF73" s="28">
        <v>128</v>
      </c>
      <c r="BG73" s="28">
        <v>15</v>
      </c>
      <c r="BH73" s="28">
        <v>32</v>
      </c>
      <c r="BI73" s="28">
        <v>8</v>
      </c>
      <c r="BJ73" s="28">
        <v>0</v>
      </c>
      <c r="BK73" s="28">
        <v>5</v>
      </c>
      <c r="BL73" s="28">
        <v>20</v>
      </c>
      <c r="BM73" s="28">
        <v>8</v>
      </c>
      <c r="BN73" s="28">
        <v>37</v>
      </c>
      <c r="BO73" s="77">
        <v>0</v>
      </c>
      <c r="BP73" s="28">
        <v>2</v>
      </c>
      <c r="BQ73" s="28">
        <v>5</v>
      </c>
      <c r="BR73" s="77">
        <v>55</v>
      </c>
      <c r="BS73" s="72">
        <v>0.72380514705882359</v>
      </c>
      <c r="BT73" s="28">
        <v>1</v>
      </c>
      <c r="BU73" s="75">
        <v>71</v>
      </c>
    </row>
    <row r="74" spans="1:73">
      <c r="A74" s="101" t="s">
        <v>394</v>
      </c>
      <c r="B74" s="71" t="s">
        <v>154</v>
      </c>
      <c r="C74" s="71" t="s">
        <v>399</v>
      </c>
      <c r="D74" s="72">
        <f>VLOOKUP(Table106[[#This Row],[NAME]],CLE_H[[NAME]:['#]],2,0)</f>
        <v>0.28125</v>
      </c>
      <c r="E74" s="72">
        <f>VLOOKUP(Table106[[#This Row],[NAME]],CLE_H[[NAME]:['#]],3,0)</f>
        <v>0.38172043010752688</v>
      </c>
      <c r="F74" s="72">
        <f>VLOOKUP(Table106[[#This Row],[NAME]],CLE_H[[NAME]:['#]],4,0)</f>
        <v>0.45624999999999999</v>
      </c>
      <c r="G74" s="77">
        <f>VLOOKUP(Table106[[#This Row],[NAME]],CLE_H[[NAME]:['#]],5,0)</f>
        <v>40</v>
      </c>
      <c r="H74" s="28">
        <f>VLOOKUP(Table106[[#This Row],[NAME]],CLE_H[[NAME]:['#]],6,0)</f>
        <v>160</v>
      </c>
      <c r="I74" s="28">
        <f>VLOOKUP(Table106[[#This Row],[NAME]],CLE_H[[NAME]:['#]],7,0)</f>
        <v>27</v>
      </c>
      <c r="J74" s="28">
        <f>VLOOKUP(Table106[[#This Row],[NAME]],CLE_H[[NAME]:['#]],8,0)</f>
        <v>45</v>
      </c>
      <c r="K74" s="28">
        <f>VLOOKUP(Table106[[#This Row],[NAME]],CLE_H[[NAME]:['#]],9,0)</f>
        <v>10</v>
      </c>
      <c r="L74" s="28">
        <f>VLOOKUP(Table106[[#This Row],[NAME]],CLE_H[[NAME]:['#]],10,0)</f>
        <v>0</v>
      </c>
      <c r="M74" s="28">
        <f>VLOOKUP(Table106[[#This Row],[NAME]],CLE_H[[NAME]:['#]],11,0)</f>
        <v>6</v>
      </c>
      <c r="N74" s="28">
        <f>VLOOKUP(Table106[[#This Row],[NAME]],CLE_H[[NAME]:['#]],12,0)</f>
        <v>18</v>
      </c>
      <c r="O74" s="28">
        <f>VLOOKUP(Table106[[#This Row],[NAME]],CLE_H[[NAME]:['#]],13,0)</f>
        <v>26</v>
      </c>
      <c r="P74" s="28">
        <f>VLOOKUP(Table106[[#This Row],[NAME]],CLE_H[[NAME]:['#]],14,0)</f>
        <v>18</v>
      </c>
      <c r="Q74" s="77">
        <f>VLOOKUP(Table106[[#This Row],[NAME]],CLE_H[[NAME]:['#]],15,0)</f>
        <v>13</v>
      </c>
      <c r="R74" s="28">
        <f>VLOOKUP(Table106[[#This Row],[NAME]],CLE_H[[NAME]:['#]],16,0)</f>
        <v>5</v>
      </c>
      <c r="S74" s="28">
        <f>VLOOKUP(Table106[[#This Row],[NAME]],CLE_H[[NAME]:['#]],17,0)</f>
        <v>5</v>
      </c>
      <c r="T74" s="77">
        <f>VLOOKUP(Table106[[#This Row],[NAME]],CLE_H[[NAME]:['#]],18,0)</f>
        <v>73</v>
      </c>
      <c r="U74" s="72">
        <f>VLOOKUP(Table106[[#This Row],[NAME]],CLE_H[[NAME]:['#]],19,0)</f>
        <v>0.83797043010752681</v>
      </c>
      <c r="V74" s="28">
        <f>VLOOKUP(Table106[[#This Row],[NAME]],CLE_H[[NAME]:['#]],20,0)</f>
        <v>4</v>
      </c>
      <c r="W74" s="75">
        <v>72</v>
      </c>
      <c r="Z74" s="101" t="s">
        <v>394</v>
      </c>
      <c r="AA74" s="77" t="s">
        <v>154</v>
      </c>
      <c r="AB74" s="77" t="s">
        <v>399</v>
      </c>
      <c r="AC74" s="130">
        <v>0.23170731707317074</v>
      </c>
      <c r="AD74" s="72">
        <v>0.31521739130434784</v>
      </c>
      <c r="AE74" s="72">
        <v>0.46341463414634149</v>
      </c>
      <c r="AF74" s="77">
        <v>40</v>
      </c>
      <c r="AG74" s="28">
        <v>164</v>
      </c>
      <c r="AH74" s="28">
        <v>24</v>
      </c>
      <c r="AI74" s="28">
        <v>38</v>
      </c>
      <c r="AJ74" s="28">
        <v>9</v>
      </c>
      <c r="AK74" s="28">
        <v>1</v>
      </c>
      <c r="AL74" s="28">
        <v>9</v>
      </c>
      <c r="AM74" s="28">
        <v>31</v>
      </c>
      <c r="AN74" s="28">
        <v>20</v>
      </c>
      <c r="AO74" s="28">
        <v>32</v>
      </c>
      <c r="AP74" s="77">
        <v>3</v>
      </c>
      <c r="AQ74" s="28">
        <v>5</v>
      </c>
      <c r="AR74" s="28">
        <v>6</v>
      </c>
      <c r="AS74" s="77">
        <v>76</v>
      </c>
      <c r="AT74" s="72">
        <v>0.77863202545068932</v>
      </c>
      <c r="AU74" s="28">
        <v>4</v>
      </c>
      <c r="AV74" s="75">
        <v>72</v>
      </c>
      <c r="AY74" s="101" t="s">
        <v>394</v>
      </c>
      <c r="AZ74" s="77" t="s">
        <v>154</v>
      </c>
      <c r="BA74" s="77" t="s">
        <v>399</v>
      </c>
      <c r="BB74" s="130">
        <v>0.2752808988764045</v>
      </c>
      <c r="BC74" s="72">
        <v>0.30270270270270272</v>
      </c>
      <c r="BD74" s="72">
        <v>0.4943820224719101</v>
      </c>
      <c r="BE74" s="77">
        <v>40</v>
      </c>
      <c r="BF74" s="28">
        <v>178</v>
      </c>
      <c r="BG74" s="28">
        <v>27</v>
      </c>
      <c r="BH74" s="28">
        <v>49</v>
      </c>
      <c r="BI74" s="28">
        <v>16</v>
      </c>
      <c r="BJ74" s="28">
        <v>1</v>
      </c>
      <c r="BK74" s="28">
        <v>7</v>
      </c>
      <c r="BL74" s="28">
        <v>25</v>
      </c>
      <c r="BM74" s="28">
        <v>7</v>
      </c>
      <c r="BN74" s="28">
        <v>46</v>
      </c>
      <c r="BO74" s="77">
        <v>5</v>
      </c>
      <c r="BP74" s="28">
        <v>7</v>
      </c>
      <c r="BQ74" s="28">
        <v>7</v>
      </c>
      <c r="BR74" s="77">
        <v>88</v>
      </c>
      <c r="BS74" s="72">
        <v>0.79708472517461282</v>
      </c>
      <c r="BT74" s="28">
        <v>4</v>
      </c>
      <c r="BU74" s="75">
        <v>72</v>
      </c>
    </row>
    <row r="75" spans="1:73">
      <c r="A75" s="101" t="s">
        <v>394</v>
      </c>
      <c r="B75" s="71" t="s">
        <v>235</v>
      </c>
      <c r="C75" s="71" t="s">
        <v>407</v>
      </c>
      <c r="D75" s="72">
        <f>VLOOKUP(Table106[[#This Row],[NAME]],CLE_H[[NAME]:['#]],2,0)</f>
        <v>0.18367346938775511</v>
      </c>
      <c r="E75" s="72">
        <f>VLOOKUP(Table106[[#This Row],[NAME]],CLE_H[[NAME]:['#]],3,0)</f>
        <v>0.24528301886792453</v>
      </c>
      <c r="F75" s="72">
        <f>VLOOKUP(Table106[[#This Row],[NAME]],CLE_H[[NAME]:['#]],4,0)</f>
        <v>0.32653061224489793</v>
      </c>
      <c r="G75" s="77">
        <f>VLOOKUP(Table106[[#This Row],[NAME]],CLE_H[[NAME]:['#]],5,0)</f>
        <v>27</v>
      </c>
      <c r="H75" s="28">
        <f>VLOOKUP(Table106[[#This Row],[NAME]],CLE_H[[NAME]:['#]],6,0)</f>
        <v>98</v>
      </c>
      <c r="I75" s="28">
        <f>VLOOKUP(Table106[[#This Row],[NAME]],CLE_H[[NAME]:['#]],7,0)</f>
        <v>10</v>
      </c>
      <c r="J75" s="28">
        <f>VLOOKUP(Table106[[#This Row],[NAME]],CLE_H[[NAME]:['#]],8,0)</f>
        <v>18</v>
      </c>
      <c r="K75" s="28">
        <f>VLOOKUP(Table106[[#This Row],[NAME]],CLE_H[[NAME]:['#]],9,0)</f>
        <v>5</v>
      </c>
      <c r="L75" s="28">
        <f>VLOOKUP(Table106[[#This Row],[NAME]],CLE_H[[NAME]:['#]],10,0)</f>
        <v>0</v>
      </c>
      <c r="M75" s="28">
        <f>VLOOKUP(Table106[[#This Row],[NAME]],CLE_H[[NAME]:['#]],11,0)</f>
        <v>3</v>
      </c>
      <c r="N75" s="28">
        <f>VLOOKUP(Table106[[#This Row],[NAME]],CLE_H[[NAME]:['#]],12,0)</f>
        <v>10</v>
      </c>
      <c r="O75" s="28">
        <f>VLOOKUP(Table106[[#This Row],[NAME]],CLE_H[[NAME]:['#]],13,0)</f>
        <v>8</v>
      </c>
      <c r="P75" s="28">
        <f>VLOOKUP(Table106[[#This Row],[NAME]],CLE_H[[NAME]:['#]],14,0)</f>
        <v>42</v>
      </c>
      <c r="Q75" s="77">
        <f>VLOOKUP(Table106[[#This Row],[NAME]],CLE_H[[NAME]:['#]],15,0)</f>
        <v>0</v>
      </c>
      <c r="R75" s="28">
        <f>VLOOKUP(Table106[[#This Row],[NAME]],CLE_H[[NAME]:['#]],16,0)</f>
        <v>0</v>
      </c>
      <c r="S75" s="28">
        <f>VLOOKUP(Table106[[#This Row],[NAME]],CLE_H[[NAME]:['#]],17,0)</f>
        <v>4</v>
      </c>
      <c r="T75" s="77">
        <f>VLOOKUP(Table106[[#This Row],[NAME]],CLE_H[[NAME]:['#]],18,0)</f>
        <v>32</v>
      </c>
      <c r="U75" s="72">
        <f>VLOOKUP(Table106[[#This Row],[NAME]],CLE_H[[NAME]:['#]],19,0)</f>
        <v>0.57181363111282246</v>
      </c>
      <c r="V75" s="28">
        <f>VLOOKUP(Table106[[#This Row],[NAME]],CLE_H[[NAME]:['#]],20,0)</f>
        <v>1</v>
      </c>
      <c r="W75" s="75">
        <v>73</v>
      </c>
      <c r="Z75" s="101" t="s">
        <v>394</v>
      </c>
      <c r="AA75" s="77" t="s">
        <v>172</v>
      </c>
      <c r="AB75" s="77" t="s">
        <v>409</v>
      </c>
      <c r="AC75" s="130">
        <v>0.3125</v>
      </c>
      <c r="AD75" s="72">
        <v>0.35294117647058826</v>
      </c>
      <c r="AE75" s="72">
        <v>0.3125</v>
      </c>
      <c r="AF75" s="77">
        <v>5</v>
      </c>
      <c r="AG75" s="28">
        <v>16</v>
      </c>
      <c r="AH75" s="28">
        <v>0</v>
      </c>
      <c r="AI75" s="28">
        <v>5</v>
      </c>
      <c r="AJ75" s="28">
        <v>0</v>
      </c>
      <c r="AK75" s="28">
        <v>0</v>
      </c>
      <c r="AL75" s="28">
        <v>0</v>
      </c>
      <c r="AM75" s="28">
        <v>2</v>
      </c>
      <c r="AN75" s="28">
        <v>1</v>
      </c>
      <c r="AO75" s="28">
        <v>5</v>
      </c>
      <c r="AP75" s="77">
        <v>0</v>
      </c>
      <c r="AQ75" s="28">
        <v>1</v>
      </c>
      <c r="AR75" s="28">
        <v>2</v>
      </c>
      <c r="AS75" s="77">
        <v>5</v>
      </c>
      <c r="AT75" s="72">
        <v>0.66544117647058831</v>
      </c>
      <c r="AU75" s="28">
        <v>0</v>
      </c>
      <c r="AV75" s="75">
        <v>73</v>
      </c>
      <c r="AY75" s="101" t="s">
        <v>394</v>
      </c>
      <c r="AZ75" s="77" t="s">
        <v>172</v>
      </c>
      <c r="BA75" s="77" t="s">
        <v>406</v>
      </c>
      <c r="BB75" s="130">
        <v>0.28695652173913044</v>
      </c>
      <c r="BC75" s="72">
        <v>0.359375</v>
      </c>
      <c r="BD75" s="72">
        <v>0.34782608695652173</v>
      </c>
      <c r="BE75" s="77">
        <v>35</v>
      </c>
      <c r="BF75" s="28">
        <v>115</v>
      </c>
      <c r="BG75" s="28">
        <v>16</v>
      </c>
      <c r="BH75" s="28">
        <v>33</v>
      </c>
      <c r="BI75" s="28">
        <v>4</v>
      </c>
      <c r="BJ75" s="28">
        <v>0</v>
      </c>
      <c r="BK75" s="28">
        <v>1</v>
      </c>
      <c r="BL75" s="28">
        <v>11</v>
      </c>
      <c r="BM75" s="28">
        <v>13</v>
      </c>
      <c r="BN75" s="28">
        <v>17</v>
      </c>
      <c r="BO75" s="77">
        <v>1</v>
      </c>
      <c r="BP75" s="28">
        <v>0</v>
      </c>
      <c r="BQ75" s="28">
        <v>3</v>
      </c>
      <c r="BR75" s="77">
        <v>40</v>
      </c>
      <c r="BS75" s="72">
        <v>0.70720108695652173</v>
      </c>
      <c r="BT75" s="28">
        <v>1</v>
      </c>
      <c r="BU75" s="75">
        <v>73</v>
      </c>
    </row>
    <row r="76" spans="1:73">
      <c r="A76" s="101" t="s">
        <v>394</v>
      </c>
      <c r="B76" s="71" t="s">
        <v>153</v>
      </c>
      <c r="C76" s="71" t="s">
        <v>402</v>
      </c>
      <c r="D76" s="72">
        <f>VLOOKUP(Table106[[#This Row],[NAME]],CLE_H[[NAME]:['#]],2,0)</f>
        <v>0.24305555555555555</v>
      </c>
      <c r="E76" s="72">
        <f>VLOOKUP(Table106[[#This Row],[NAME]],CLE_H[[NAME]:['#]],3,0)</f>
        <v>0.29220779220779219</v>
      </c>
      <c r="F76" s="72">
        <f>VLOOKUP(Table106[[#This Row],[NAME]],CLE_H[[NAME]:['#]],4,0)</f>
        <v>0.41666666666666669</v>
      </c>
      <c r="G76" s="77">
        <f>VLOOKUP(Table106[[#This Row],[NAME]],CLE_H[[NAME]:['#]],5,0)</f>
        <v>40</v>
      </c>
      <c r="H76" s="28">
        <f>VLOOKUP(Table106[[#This Row],[NAME]],CLE_H[[NAME]:['#]],6,0)</f>
        <v>144</v>
      </c>
      <c r="I76" s="28">
        <f>VLOOKUP(Table106[[#This Row],[NAME]],CLE_H[[NAME]:['#]],7,0)</f>
        <v>16</v>
      </c>
      <c r="J76" s="28">
        <f>VLOOKUP(Table106[[#This Row],[NAME]],CLE_H[[NAME]:['#]],8,0)</f>
        <v>35</v>
      </c>
      <c r="K76" s="28">
        <f>VLOOKUP(Table106[[#This Row],[NAME]],CLE_H[[NAME]:['#]],9,0)</f>
        <v>6</v>
      </c>
      <c r="L76" s="28">
        <f>VLOOKUP(Table106[[#This Row],[NAME]],CLE_H[[NAME]:['#]],10,0)</f>
        <v>2</v>
      </c>
      <c r="M76" s="28">
        <f>VLOOKUP(Table106[[#This Row],[NAME]],CLE_H[[NAME]:['#]],11,0)</f>
        <v>5</v>
      </c>
      <c r="N76" s="28">
        <f>VLOOKUP(Table106[[#This Row],[NAME]],CLE_H[[NAME]:['#]],12,0)</f>
        <v>17</v>
      </c>
      <c r="O76" s="28">
        <f>VLOOKUP(Table106[[#This Row],[NAME]],CLE_H[[NAME]:['#]],13,0)</f>
        <v>10</v>
      </c>
      <c r="P76" s="28">
        <f>VLOOKUP(Table106[[#This Row],[NAME]],CLE_H[[NAME]:['#]],14,0)</f>
        <v>46</v>
      </c>
      <c r="Q76" s="77">
        <f>VLOOKUP(Table106[[#This Row],[NAME]],CLE_H[[NAME]:['#]],15,0)</f>
        <v>5</v>
      </c>
      <c r="R76" s="28">
        <f>VLOOKUP(Table106[[#This Row],[NAME]],CLE_H[[NAME]:['#]],16,0)</f>
        <v>8</v>
      </c>
      <c r="S76" s="28">
        <f>VLOOKUP(Table106[[#This Row],[NAME]],CLE_H[[NAME]:['#]],17,0)</f>
        <v>8</v>
      </c>
      <c r="T76" s="77">
        <f>VLOOKUP(Table106[[#This Row],[NAME]],CLE_H[[NAME]:['#]],18,0)</f>
        <v>60</v>
      </c>
      <c r="U76" s="72">
        <f>VLOOKUP(Table106[[#This Row],[NAME]],CLE_H[[NAME]:['#]],19,0)</f>
        <v>0.70887445887445888</v>
      </c>
      <c r="V76" s="28">
        <f>VLOOKUP(Table106[[#This Row],[NAME]],CLE_H[[NAME]:['#]],20,0)</f>
        <v>0</v>
      </c>
      <c r="W76" s="75">
        <v>74</v>
      </c>
      <c r="Z76" s="101" t="s">
        <v>394</v>
      </c>
      <c r="AA76" s="77" t="s">
        <v>153</v>
      </c>
      <c r="AB76" s="77" t="s">
        <v>402</v>
      </c>
      <c r="AC76" s="130">
        <v>0.2805755395683453</v>
      </c>
      <c r="AD76" s="72">
        <v>0.32432432432432434</v>
      </c>
      <c r="AE76" s="72">
        <v>0.43884892086330934</v>
      </c>
      <c r="AF76" s="77">
        <v>36</v>
      </c>
      <c r="AG76" s="28">
        <v>139</v>
      </c>
      <c r="AH76" s="28">
        <v>19</v>
      </c>
      <c r="AI76" s="28">
        <v>39</v>
      </c>
      <c r="AJ76" s="28">
        <v>8</v>
      </c>
      <c r="AK76" s="28">
        <v>1</v>
      </c>
      <c r="AL76" s="28">
        <v>4</v>
      </c>
      <c r="AM76" s="28">
        <v>17</v>
      </c>
      <c r="AN76" s="28">
        <v>9</v>
      </c>
      <c r="AO76" s="28">
        <v>38</v>
      </c>
      <c r="AP76" s="77">
        <v>2</v>
      </c>
      <c r="AQ76" s="28">
        <v>4</v>
      </c>
      <c r="AR76" s="28">
        <v>6</v>
      </c>
      <c r="AS76" s="77">
        <v>61</v>
      </c>
      <c r="AT76" s="72">
        <v>0.76317324518763363</v>
      </c>
      <c r="AU76" s="28">
        <v>0</v>
      </c>
      <c r="AV76" s="75">
        <v>74</v>
      </c>
      <c r="AY76" s="101" t="s">
        <v>394</v>
      </c>
      <c r="AZ76" s="77" t="s">
        <v>153</v>
      </c>
      <c r="BA76" s="77" t="s">
        <v>405</v>
      </c>
      <c r="BB76" s="130">
        <v>0.27407407407407408</v>
      </c>
      <c r="BC76" s="72">
        <v>0.36774193548387096</v>
      </c>
      <c r="BD76" s="72">
        <v>0.42222222222222222</v>
      </c>
      <c r="BE76" s="77">
        <v>34</v>
      </c>
      <c r="BF76" s="28">
        <v>135</v>
      </c>
      <c r="BG76" s="28">
        <v>26</v>
      </c>
      <c r="BH76" s="28">
        <v>37</v>
      </c>
      <c r="BI76" s="28">
        <v>6</v>
      </c>
      <c r="BJ76" s="28">
        <v>1</v>
      </c>
      <c r="BK76" s="28">
        <v>4</v>
      </c>
      <c r="BL76" s="28">
        <v>16</v>
      </c>
      <c r="BM76" s="28">
        <v>20</v>
      </c>
      <c r="BN76" s="28">
        <v>35</v>
      </c>
      <c r="BO76" s="77">
        <v>0</v>
      </c>
      <c r="BP76" s="28">
        <v>0</v>
      </c>
      <c r="BQ76" s="28">
        <v>8</v>
      </c>
      <c r="BR76" s="77">
        <v>57</v>
      </c>
      <c r="BS76" s="72">
        <v>0.78996415770609318</v>
      </c>
      <c r="BT76" s="28">
        <v>1</v>
      </c>
      <c r="BU76" s="75">
        <v>74</v>
      </c>
    </row>
    <row r="77" spans="1:73">
      <c r="A77" s="101" t="s">
        <v>394</v>
      </c>
      <c r="B77" s="71" t="s">
        <v>177</v>
      </c>
      <c r="C77" s="71" t="s">
        <v>401</v>
      </c>
      <c r="D77" s="72">
        <f>VLOOKUP(Table106[[#This Row],[NAME]],CLE_H[[NAME]:['#]],2,0)</f>
        <v>0.26219512195121952</v>
      </c>
      <c r="E77" s="72">
        <f>VLOOKUP(Table106[[#This Row],[NAME]],CLE_H[[NAME]:['#]],3,0)</f>
        <v>0.33879781420765026</v>
      </c>
      <c r="F77" s="72">
        <f>VLOOKUP(Table106[[#This Row],[NAME]],CLE_H[[NAME]:['#]],4,0)</f>
        <v>0.39634146341463417</v>
      </c>
      <c r="G77" s="77">
        <f>VLOOKUP(Table106[[#This Row],[NAME]],CLE_H[[NAME]:['#]],5,0)</f>
        <v>40</v>
      </c>
      <c r="H77" s="28">
        <f>VLOOKUP(Table106[[#This Row],[NAME]],CLE_H[[NAME]:['#]],6,0)</f>
        <v>164</v>
      </c>
      <c r="I77" s="28">
        <f>VLOOKUP(Table106[[#This Row],[NAME]],CLE_H[[NAME]:['#]],7,0)</f>
        <v>25</v>
      </c>
      <c r="J77" s="28">
        <f>VLOOKUP(Table106[[#This Row],[NAME]],CLE_H[[NAME]:['#]],8,0)</f>
        <v>43</v>
      </c>
      <c r="K77" s="28">
        <f>VLOOKUP(Table106[[#This Row],[NAME]],CLE_H[[NAME]:['#]],9,0)</f>
        <v>7</v>
      </c>
      <c r="L77" s="28">
        <f>VLOOKUP(Table106[[#This Row],[NAME]],CLE_H[[NAME]:['#]],10,0)</f>
        <v>0</v>
      </c>
      <c r="M77" s="28">
        <f>VLOOKUP(Table106[[#This Row],[NAME]],CLE_H[[NAME]:['#]],11,0)</f>
        <v>5</v>
      </c>
      <c r="N77" s="28">
        <f>VLOOKUP(Table106[[#This Row],[NAME]],CLE_H[[NAME]:['#]],12,0)</f>
        <v>19</v>
      </c>
      <c r="O77" s="28">
        <f>VLOOKUP(Table106[[#This Row],[NAME]],CLE_H[[NAME]:['#]],13,0)</f>
        <v>19</v>
      </c>
      <c r="P77" s="28">
        <f>VLOOKUP(Table106[[#This Row],[NAME]],CLE_H[[NAME]:['#]],14,0)</f>
        <v>31</v>
      </c>
      <c r="Q77" s="77">
        <f>VLOOKUP(Table106[[#This Row],[NAME]],CLE_H[[NAME]:['#]],15,0)</f>
        <v>0</v>
      </c>
      <c r="R77" s="28">
        <f>VLOOKUP(Table106[[#This Row],[NAME]],CLE_H[[NAME]:['#]],16,0)</f>
        <v>3</v>
      </c>
      <c r="S77" s="28">
        <f>VLOOKUP(Table106[[#This Row],[NAME]],CLE_H[[NAME]:['#]],17,0)</f>
        <v>6</v>
      </c>
      <c r="T77" s="77">
        <f>VLOOKUP(Table106[[#This Row],[NAME]],CLE_H[[NAME]:['#]],18,0)</f>
        <v>65</v>
      </c>
      <c r="U77" s="72">
        <f>VLOOKUP(Table106[[#This Row],[NAME]],CLE_H[[NAME]:['#]],19,0)</f>
        <v>0.73513927762228448</v>
      </c>
      <c r="V77" s="28">
        <f>VLOOKUP(Table106[[#This Row],[NAME]],CLE_H[[NAME]:['#]],20,0)</f>
        <v>2</v>
      </c>
      <c r="W77" s="75">
        <v>75</v>
      </c>
      <c r="Z77" s="101" t="s">
        <v>394</v>
      </c>
      <c r="AA77" s="77" t="s">
        <v>177</v>
      </c>
      <c r="AB77" s="77" t="s">
        <v>401</v>
      </c>
      <c r="AC77" s="130">
        <v>0.26845637583892618</v>
      </c>
      <c r="AD77" s="72">
        <v>0.36994219653179189</v>
      </c>
      <c r="AE77" s="72">
        <v>0.43624161073825501</v>
      </c>
      <c r="AF77" s="77">
        <v>38</v>
      </c>
      <c r="AG77" s="28">
        <v>149</v>
      </c>
      <c r="AH77" s="28">
        <v>25</v>
      </c>
      <c r="AI77" s="28">
        <v>40</v>
      </c>
      <c r="AJ77" s="28">
        <v>10</v>
      </c>
      <c r="AK77" s="28">
        <v>0</v>
      </c>
      <c r="AL77" s="28">
        <v>5</v>
      </c>
      <c r="AM77" s="28">
        <v>17</v>
      </c>
      <c r="AN77" s="28">
        <v>24</v>
      </c>
      <c r="AO77" s="28">
        <v>41</v>
      </c>
      <c r="AP77" s="77">
        <v>0</v>
      </c>
      <c r="AQ77" s="28">
        <v>0</v>
      </c>
      <c r="AR77" s="28">
        <v>9</v>
      </c>
      <c r="AS77" s="77">
        <v>65</v>
      </c>
      <c r="AT77" s="72">
        <v>0.8061838072700469</v>
      </c>
      <c r="AU77" s="28">
        <v>1</v>
      </c>
      <c r="AV77" s="75">
        <v>75</v>
      </c>
      <c r="AY77" s="101" t="s">
        <v>394</v>
      </c>
      <c r="AZ77" s="77" t="s">
        <v>177</v>
      </c>
      <c r="BA77" s="77" t="s">
        <v>401</v>
      </c>
      <c r="BB77" s="130">
        <v>0.25308641975308643</v>
      </c>
      <c r="BC77" s="72">
        <v>0.33149171270718231</v>
      </c>
      <c r="BD77" s="72">
        <v>0.43209876543209874</v>
      </c>
      <c r="BE77" s="77">
        <v>40</v>
      </c>
      <c r="BF77" s="28">
        <v>162</v>
      </c>
      <c r="BG77" s="28">
        <v>18</v>
      </c>
      <c r="BH77" s="28">
        <v>41</v>
      </c>
      <c r="BI77" s="28">
        <v>8</v>
      </c>
      <c r="BJ77" s="28">
        <v>0</v>
      </c>
      <c r="BK77" s="28">
        <v>7</v>
      </c>
      <c r="BL77" s="28">
        <v>28</v>
      </c>
      <c r="BM77" s="28">
        <v>19</v>
      </c>
      <c r="BN77" s="28">
        <v>22</v>
      </c>
      <c r="BO77" s="77">
        <v>0</v>
      </c>
      <c r="BP77" s="28">
        <v>0</v>
      </c>
      <c r="BQ77" s="28">
        <v>9</v>
      </c>
      <c r="BR77" s="77">
        <v>70</v>
      </c>
      <c r="BS77" s="72">
        <v>0.76359047813928105</v>
      </c>
      <c r="BT77" s="28">
        <v>1</v>
      </c>
      <c r="BU77" s="75">
        <v>75</v>
      </c>
    </row>
    <row r="78" spans="1:73">
      <c r="A78" s="101" t="s">
        <v>394</v>
      </c>
      <c r="B78" s="71" t="s">
        <v>174</v>
      </c>
      <c r="C78" s="71" t="s">
        <v>398</v>
      </c>
      <c r="D78" s="72">
        <f>VLOOKUP(Table106[[#This Row],[NAME]],CLE_H[[NAME]:['#]],2,0)</f>
        <v>0.32214765100671139</v>
      </c>
      <c r="E78" s="72">
        <f>VLOOKUP(Table106[[#This Row],[NAME]],CLE_H[[NAME]:['#]],3,0)</f>
        <v>0.35668789808917195</v>
      </c>
      <c r="F78" s="72">
        <f>VLOOKUP(Table106[[#This Row],[NAME]],CLE_H[[NAME]:['#]],4,0)</f>
        <v>0.49664429530201343</v>
      </c>
      <c r="G78" s="77">
        <f>VLOOKUP(Table106[[#This Row],[NAME]],CLE_H[[NAME]:['#]],5,0)</f>
        <v>38</v>
      </c>
      <c r="H78" s="28">
        <f>VLOOKUP(Table106[[#This Row],[NAME]],CLE_H[[NAME]:['#]],6,0)</f>
        <v>149</v>
      </c>
      <c r="I78" s="28">
        <f>VLOOKUP(Table106[[#This Row],[NAME]],CLE_H[[NAME]:['#]],7,0)</f>
        <v>12</v>
      </c>
      <c r="J78" s="28">
        <f>VLOOKUP(Table106[[#This Row],[NAME]],CLE_H[[NAME]:['#]],8,0)</f>
        <v>48</v>
      </c>
      <c r="K78" s="28">
        <f>VLOOKUP(Table106[[#This Row],[NAME]],CLE_H[[NAME]:['#]],9,0)</f>
        <v>8</v>
      </c>
      <c r="L78" s="28">
        <f>VLOOKUP(Table106[[#This Row],[NAME]],CLE_H[[NAME]:['#]],10,0)</f>
        <v>0</v>
      </c>
      <c r="M78" s="28">
        <f>VLOOKUP(Table106[[#This Row],[NAME]],CLE_H[[NAME]:['#]],11,0)</f>
        <v>6</v>
      </c>
      <c r="N78" s="28">
        <f>VLOOKUP(Table106[[#This Row],[NAME]],CLE_H[[NAME]:['#]],12,0)</f>
        <v>26</v>
      </c>
      <c r="O78" s="28">
        <f>VLOOKUP(Table106[[#This Row],[NAME]],CLE_H[[NAME]:['#]],13,0)</f>
        <v>8</v>
      </c>
      <c r="P78" s="28">
        <f>VLOOKUP(Table106[[#This Row],[NAME]],CLE_H[[NAME]:['#]],14,0)</f>
        <v>21</v>
      </c>
      <c r="Q78" s="77">
        <f>VLOOKUP(Table106[[#This Row],[NAME]],CLE_H[[NAME]:['#]],15,0)</f>
        <v>0</v>
      </c>
      <c r="R78" s="28">
        <f>VLOOKUP(Table106[[#This Row],[NAME]],CLE_H[[NAME]:['#]],16,0)</f>
        <v>0</v>
      </c>
      <c r="S78" s="28">
        <f>VLOOKUP(Table106[[#This Row],[NAME]],CLE_H[[NAME]:['#]],17,0)</f>
        <v>8</v>
      </c>
      <c r="T78" s="77">
        <f>VLOOKUP(Table106[[#This Row],[NAME]],CLE_H[[NAME]:['#]],18,0)</f>
        <v>74</v>
      </c>
      <c r="U78" s="72">
        <f>VLOOKUP(Table106[[#This Row],[NAME]],CLE_H[[NAME]:['#]],19,0)</f>
        <v>0.85333219339118538</v>
      </c>
      <c r="V78" s="28">
        <f>VLOOKUP(Table106[[#This Row],[NAME]],CLE_H[[NAME]:['#]],20,0)</f>
        <v>4</v>
      </c>
      <c r="W78" s="75">
        <v>76</v>
      </c>
      <c r="Z78" s="101" t="s">
        <v>394</v>
      </c>
      <c r="AA78" s="77" t="s">
        <v>174</v>
      </c>
      <c r="AB78" s="77" t="s">
        <v>403</v>
      </c>
      <c r="AC78" s="130">
        <v>0.19672131147540983</v>
      </c>
      <c r="AD78" s="72">
        <v>0.26865671641791045</v>
      </c>
      <c r="AE78" s="72">
        <v>0.29508196721311475</v>
      </c>
      <c r="AF78" s="77">
        <v>16</v>
      </c>
      <c r="AG78" s="28">
        <v>61</v>
      </c>
      <c r="AH78" s="28">
        <v>3</v>
      </c>
      <c r="AI78" s="28">
        <v>12</v>
      </c>
      <c r="AJ78" s="28">
        <v>3</v>
      </c>
      <c r="AK78" s="28">
        <v>0</v>
      </c>
      <c r="AL78" s="28">
        <v>1</v>
      </c>
      <c r="AM78" s="28">
        <v>7</v>
      </c>
      <c r="AN78" s="28">
        <v>6</v>
      </c>
      <c r="AO78" s="28">
        <v>17</v>
      </c>
      <c r="AP78" s="77">
        <v>0</v>
      </c>
      <c r="AQ78" s="28">
        <v>1</v>
      </c>
      <c r="AR78" s="28">
        <v>2</v>
      </c>
      <c r="AS78" s="77">
        <v>18</v>
      </c>
      <c r="AT78" s="72">
        <v>0.56373868363102519</v>
      </c>
      <c r="AU78" s="28">
        <v>1</v>
      </c>
      <c r="AV78" s="75">
        <v>76</v>
      </c>
      <c r="AY78" s="101" t="s">
        <v>394</v>
      </c>
      <c r="AZ78" s="77" t="s">
        <v>174</v>
      </c>
      <c r="BA78" s="77" t="s">
        <v>403</v>
      </c>
      <c r="BB78" s="130">
        <v>0.29927007299270075</v>
      </c>
      <c r="BC78" s="72">
        <v>0.36</v>
      </c>
      <c r="BD78" s="72">
        <v>0.43795620437956206</v>
      </c>
      <c r="BE78" s="77">
        <v>37</v>
      </c>
      <c r="BF78" s="28">
        <v>137</v>
      </c>
      <c r="BG78" s="28">
        <v>24</v>
      </c>
      <c r="BH78" s="28">
        <v>41</v>
      </c>
      <c r="BI78" s="28">
        <v>7</v>
      </c>
      <c r="BJ78" s="28">
        <v>0</v>
      </c>
      <c r="BK78" s="28">
        <v>4</v>
      </c>
      <c r="BL78" s="28">
        <v>17</v>
      </c>
      <c r="BM78" s="28">
        <v>13</v>
      </c>
      <c r="BN78" s="28">
        <v>37</v>
      </c>
      <c r="BO78" s="77">
        <v>0</v>
      </c>
      <c r="BP78" s="28">
        <v>7</v>
      </c>
      <c r="BQ78" s="28">
        <v>7</v>
      </c>
      <c r="BR78" s="77">
        <v>60</v>
      </c>
      <c r="BS78" s="72">
        <v>0.79795620437956205</v>
      </c>
      <c r="BT78" s="28">
        <v>3</v>
      </c>
      <c r="BU78" s="75">
        <v>76</v>
      </c>
    </row>
    <row r="79" spans="1:73">
      <c r="A79" s="101" t="s">
        <v>394</v>
      </c>
      <c r="B79" s="71" t="s">
        <v>181</v>
      </c>
      <c r="C79" s="71" t="s">
        <v>397</v>
      </c>
      <c r="D79" s="72">
        <f>VLOOKUP(Table106[[#This Row],[NAME]],CLE_H[[NAME]:['#]],2,0)</f>
        <v>0.31395348837209303</v>
      </c>
      <c r="E79" s="72">
        <f>VLOOKUP(Table106[[#This Row],[NAME]],CLE_H[[NAME]:['#]],3,0)</f>
        <v>0.36898395721925131</v>
      </c>
      <c r="F79" s="72">
        <f>VLOOKUP(Table106[[#This Row],[NAME]],CLE_H[[NAME]:['#]],4,0)</f>
        <v>0.43023255813953487</v>
      </c>
      <c r="G79" s="77">
        <f>VLOOKUP(Table106[[#This Row],[NAME]],CLE_H[[NAME]:['#]],5,0)</f>
        <v>39</v>
      </c>
      <c r="H79" s="28">
        <f>VLOOKUP(Table106[[#This Row],[NAME]],CLE_H[[NAME]:['#]],6,0)</f>
        <v>172</v>
      </c>
      <c r="I79" s="28">
        <f>VLOOKUP(Table106[[#This Row],[NAME]],CLE_H[[NAME]:['#]],7,0)</f>
        <v>22</v>
      </c>
      <c r="J79" s="28">
        <f>VLOOKUP(Table106[[#This Row],[NAME]],CLE_H[[NAME]:['#]],8,0)</f>
        <v>54</v>
      </c>
      <c r="K79" s="28">
        <f>VLOOKUP(Table106[[#This Row],[NAME]],CLE_H[[NAME]:['#]],9,0)</f>
        <v>9</v>
      </c>
      <c r="L79" s="28">
        <f>VLOOKUP(Table106[[#This Row],[NAME]],CLE_H[[NAME]:['#]],10,0)</f>
        <v>1</v>
      </c>
      <c r="M79" s="28">
        <f>VLOOKUP(Table106[[#This Row],[NAME]],CLE_H[[NAME]:['#]],11,0)</f>
        <v>3</v>
      </c>
      <c r="N79" s="28">
        <f>VLOOKUP(Table106[[#This Row],[NAME]],CLE_H[[NAME]:['#]],12,0)</f>
        <v>14</v>
      </c>
      <c r="O79" s="28">
        <f>VLOOKUP(Table106[[#This Row],[NAME]],CLE_H[[NAME]:['#]],13,0)</f>
        <v>15</v>
      </c>
      <c r="P79" s="28">
        <f>VLOOKUP(Table106[[#This Row],[NAME]],CLE_H[[NAME]:['#]],14,0)</f>
        <v>22</v>
      </c>
      <c r="Q79" s="77">
        <f>VLOOKUP(Table106[[#This Row],[NAME]],CLE_H[[NAME]:['#]],15,0)</f>
        <v>14</v>
      </c>
      <c r="R79" s="28">
        <f>VLOOKUP(Table106[[#This Row],[NAME]],CLE_H[[NAME]:['#]],16,0)</f>
        <v>12</v>
      </c>
      <c r="S79" s="28">
        <f>VLOOKUP(Table106[[#This Row],[NAME]],CLE_H[[NAME]:['#]],17,0)</f>
        <v>12</v>
      </c>
      <c r="T79" s="77">
        <f>VLOOKUP(Table106[[#This Row],[NAME]],CLE_H[[NAME]:['#]],18,0)</f>
        <v>74</v>
      </c>
      <c r="U79" s="72">
        <f>VLOOKUP(Table106[[#This Row],[NAME]],CLE_H[[NAME]:['#]],19,0)</f>
        <v>0.79921651535878624</v>
      </c>
      <c r="V79" s="28">
        <f>VLOOKUP(Table106[[#This Row],[NAME]],CLE_H[[NAME]:['#]],20,0)</f>
        <v>2</v>
      </c>
      <c r="W79" s="75">
        <v>77</v>
      </c>
      <c r="Z79" s="101" t="s">
        <v>394</v>
      </c>
      <c r="AA79" s="77" t="s">
        <v>383</v>
      </c>
      <c r="AB79" s="77" t="s">
        <v>397</v>
      </c>
      <c r="AC79" s="130">
        <v>0.26744186046511625</v>
      </c>
      <c r="AD79" s="72">
        <v>0.32978723404255317</v>
      </c>
      <c r="AE79" s="72">
        <v>0.41860465116279072</v>
      </c>
      <c r="AF79" s="77">
        <v>39</v>
      </c>
      <c r="AG79" s="28">
        <v>172</v>
      </c>
      <c r="AH79" s="28">
        <v>25</v>
      </c>
      <c r="AI79" s="28">
        <v>46</v>
      </c>
      <c r="AJ79" s="28">
        <v>8</v>
      </c>
      <c r="AK79" s="76">
        <v>6</v>
      </c>
      <c r="AL79" s="28">
        <v>2</v>
      </c>
      <c r="AM79" s="28">
        <v>21</v>
      </c>
      <c r="AN79" s="28">
        <v>16</v>
      </c>
      <c r="AO79" s="28">
        <v>26</v>
      </c>
      <c r="AP79" s="77">
        <v>2</v>
      </c>
      <c r="AQ79" s="28">
        <v>2</v>
      </c>
      <c r="AR79" s="28">
        <v>8</v>
      </c>
      <c r="AS79" s="77">
        <v>72</v>
      </c>
      <c r="AT79" s="72">
        <v>0.74839188520534394</v>
      </c>
      <c r="AU79" s="28">
        <v>2</v>
      </c>
      <c r="AV79" s="75">
        <v>77</v>
      </c>
      <c r="AY79" s="101" t="s">
        <v>394</v>
      </c>
      <c r="AZ79" s="77" t="s">
        <v>181</v>
      </c>
      <c r="BA79" s="77" t="s">
        <v>400</v>
      </c>
      <c r="BB79" s="130">
        <v>0.32679738562091504</v>
      </c>
      <c r="BC79" s="72">
        <v>0.37575757575757573</v>
      </c>
      <c r="BD79" s="72">
        <v>0.57516339869281041</v>
      </c>
      <c r="BE79" s="77">
        <v>39</v>
      </c>
      <c r="BF79" s="28">
        <v>153</v>
      </c>
      <c r="BG79" s="28">
        <v>30</v>
      </c>
      <c r="BH79" s="28">
        <v>50</v>
      </c>
      <c r="BI79" s="28">
        <v>7</v>
      </c>
      <c r="BJ79" s="28">
        <v>2</v>
      </c>
      <c r="BK79" s="28">
        <v>9</v>
      </c>
      <c r="BL79" s="28">
        <v>18</v>
      </c>
      <c r="BM79" s="28">
        <v>12</v>
      </c>
      <c r="BN79" s="28">
        <v>36</v>
      </c>
      <c r="BO79" s="77">
        <v>0</v>
      </c>
      <c r="BP79" s="28">
        <v>9</v>
      </c>
      <c r="BQ79" s="28">
        <v>9</v>
      </c>
      <c r="BR79" s="77">
        <v>88</v>
      </c>
      <c r="BS79" s="72">
        <v>0.95092097445038615</v>
      </c>
      <c r="BT79" s="28">
        <v>0</v>
      </c>
      <c r="BU79" s="75">
        <v>77</v>
      </c>
    </row>
    <row r="80" spans="1:73">
      <c r="A80" s="101" t="s">
        <v>394</v>
      </c>
      <c r="B80" s="71" t="s">
        <v>166</v>
      </c>
      <c r="C80" s="71" t="s">
        <v>403</v>
      </c>
      <c r="D80" s="72">
        <f>VLOOKUP(Table106[[#This Row],[NAME]],CLE_H[[NAME]:['#]],2,0)</f>
        <v>0.2608695652173913</v>
      </c>
      <c r="E80" s="72">
        <f>VLOOKUP(Table106[[#This Row],[NAME]],CLE_H[[NAME]:['#]],3,0)</f>
        <v>0.33980582524271846</v>
      </c>
      <c r="F80" s="72">
        <f>VLOOKUP(Table106[[#This Row],[NAME]],CLE_H[[NAME]:['#]],4,0)</f>
        <v>0.38043478260869568</v>
      </c>
      <c r="G80" s="77">
        <f>VLOOKUP(Table106[[#This Row],[NAME]],CLE_H[[NAME]:['#]],5,0)</f>
        <v>25</v>
      </c>
      <c r="H80" s="28">
        <f>VLOOKUP(Table106[[#This Row],[NAME]],CLE_H[[NAME]:['#]],6,0)</f>
        <v>92</v>
      </c>
      <c r="I80" s="28">
        <f>VLOOKUP(Table106[[#This Row],[NAME]],CLE_H[[NAME]:['#]],7,0)</f>
        <v>11</v>
      </c>
      <c r="J80" s="28">
        <f>VLOOKUP(Table106[[#This Row],[NAME]],CLE_H[[NAME]:['#]],8,0)</f>
        <v>24</v>
      </c>
      <c r="K80" s="28">
        <f>VLOOKUP(Table106[[#This Row],[NAME]],CLE_H[[NAME]:['#]],9,0)</f>
        <v>5</v>
      </c>
      <c r="L80" s="28">
        <f>VLOOKUP(Table106[[#This Row],[NAME]],CLE_H[[NAME]:['#]],10,0)</f>
        <v>0</v>
      </c>
      <c r="M80" s="28">
        <f>VLOOKUP(Table106[[#This Row],[NAME]],CLE_H[[NAME]:['#]],11,0)</f>
        <v>2</v>
      </c>
      <c r="N80" s="28">
        <f>VLOOKUP(Table106[[#This Row],[NAME]],CLE_H[[NAME]:['#]],12,0)</f>
        <v>14</v>
      </c>
      <c r="O80" s="28">
        <f>VLOOKUP(Table106[[#This Row],[NAME]],CLE_H[[NAME]:['#]],13,0)</f>
        <v>11</v>
      </c>
      <c r="P80" s="28">
        <f>VLOOKUP(Table106[[#This Row],[NAME]],CLE_H[[NAME]:['#]],14,0)</f>
        <v>24</v>
      </c>
      <c r="Q80" s="77">
        <f>VLOOKUP(Table106[[#This Row],[NAME]],CLE_H[[NAME]:['#]],15,0)</f>
        <v>0</v>
      </c>
      <c r="R80" s="28">
        <f>VLOOKUP(Table106[[#This Row],[NAME]],CLE_H[[NAME]:['#]],16,0)</f>
        <v>3</v>
      </c>
      <c r="S80" s="28">
        <f>VLOOKUP(Table106[[#This Row],[NAME]],CLE_H[[NAME]:['#]],17,0)</f>
        <v>5</v>
      </c>
      <c r="T80" s="77">
        <f>VLOOKUP(Table106[[#This Row],[NAME]],CLE_H[[NAME]:['#]],18,0)</f>
        <v>35</v>
      </c>
      <c r="U80" s="72">
        <f>VLOOKUP(Table106[[#This Row],[NAME]],CLE_H[[NAME]:['#]],19,0)</f>
        <v>0.72024060785141408</v>
      </c>
      <c r="V80" s="28">
        <f>VLOOKUP(Table106[[#This Row],[NAME]],CLE_H[[NAME]:['#]],20,0)</f>
        <v>3</v>
      </c>
      <c r="W80" s="75">
        <v>78</v>
      </c>
      <c r="Z80" s="101" t="s">
        <v>394</v>
      </c>
      <c r="AA80" s="77" t="s">
        <v>166</v>
      </c>
      <c r="AB80" s="77" t="s">
        <v>396</v>
      </c>
      <c r="AC80" s="130">
        <v>0.29487179487179488</v>
      </c>
      <c r="AD80" s="72">
        <v>0.36416184971098264</v>
      </c>
      <c r="AE80" s="72">
        <v>0.51282051282051277</v>
      </c>
      <c r="AF80" s="77">
        <v>40</v>
      </c>
      <c r="AG80" s="28">
        <v>156</v>
      </c>
      <c r="AH80" s="28">
        <v>26</v>
      </c>
      <c r="AI80" s="28">
        <v>46</v>
      </c>
      <c r="AJ80" s="28">
        <v>4</v>
      </c>
      <c r="AK80" s="28">
        <v>0</v>
      </c>
      <c r="AL80" s="28">
        <v>10</v>
      </c>
      <c r="AM80" s="28">
        <v>22</v>
      </c>
      <c r="AN80" s="28">
        <v>17</v>
      </c>
      <c r="AO80" s="28">
        <v>50</v>
      </c>
      <c r="AP80" s="77">
        <v>0</v>
      </c>
      <c r="AQ80" s="28">
        <v>2</v>
      </c>
      <c r="AR80" s="28">
        <v>9</v>
      </c>
      <c r="AS80" s="77">
        <v>80</v>
      </c>
      <c r="AT80" s="72">
        <v>0.87698236253149542</v>
      </c>
      <c r="AU80" s="28">
        <v>3</v>
      </c>
      <c r="AV80" s="75">
        <v>78</v>
      </c>
      <c r="AY80" s="101" t="s">
        <v>394</v>
      </c>
      <c r="AZ80" s="77" t="s">
        <v>166</v>
      </c>
      <c r="BA80" s="77" t="s">
        <v>396</v>
      </c>
      <c r="BB80" s="130">
        <v>0.26060606060606062</v>
      </c>
      <c r="BC80" s="72">
        <v>0.30681818181818182</v>
      </c>
      <c r="BD80" s="72">
        <v>0.5696969696969697</v>
      </c>
      <c r="BE80" s="77">
        <v>40</v>
      </c>
      <c r="BF80" s="28">
        <v>165</v>
      </c>
      <c r="BG80" s="28">
        <v>27</v>
      </c>
      <c r="BH80" s="28">
        <v>43</v>
      </c>
      <c r="BI80" s="28">
        <v>6</v>
      </c>
      <c r="BJ80" s="28">
        <v>0</v>
      </c>
      <c r="BK80" s="28">
        <v>15</v>
      </c>
      <c r="BL80" s="28">
        <v>35</v>
      </c>
      <c r="BM80" s="28">
        <v>11</v>
      </c>
      <c r="BN80" s="28">
        <v>66</v>
      </c>
      <c r="BO80" s="77">
        <v>0</v>
      </c>
      <c r="BP80" s="28">
        <v>1</v>
      </c>
      <c r="BQ80" s="28">
        <v>8</v>
      </c>
      <c r="BR80" s="77">
        <v>94</v>
      </c>
      <c r="BS80" s="72">
        <v>0.87651515151515147</v>
      </c>
      <c r="BT80" s="28">
        <v>6</v>
      </c>
      <c r="BU80" s="75">
        <v>78</v>
      </c>
    </row>
    <row r="81" spans="1:73">
      <c r="A81" s="101" t="s">
        <v>394</v>
      </c>
      <c r="B81" s="71" t="s">
        <v>168</v>
      </c>
      <c r="C81" s="71" t="s">
        <v>395</v>
      </c>
      <c r="D81" s="72">
        <f>VLOOKUP(Table106[[#This Row],[NAME]],CLE_H[[NAME]:['#]],2,0)</f>
        <v>0.27536231884057971</v>
      </c>
      <c r="E81" s="72">
        <f>VLOOKUP(Table106[[#This Row],[NAME]],CLE_H[[NAME]:['#]],3,0)</f>
        <v>0.41860465116279072</v>
      </c>
      <c r="F81" s="72">
        <f>VLOOKUP(Table106[[#This Row],[NAME]],CLE_H[[NAME]:['#]],4,0)</f>
        <v>0.57971014492753625</v>
      </c>
      <c r="G81" s="77">
        <f>VLOOKUP(Table106[[#This Row],[NAME]],CLE_H[[NAME]:['#]],5,0)</f>
        <v>40</v>
      </c>
      <c r="H81" s="28">
        <f>VLOOKUP(Table106[[#This Row],[NAME]],CLE_H[[NAME]:['#]],6,0)</f>
        <v>138</v>
      </c>
      <c r="I81" s="28">
        <f>VLOOKUP(Table106[[#This Row],[NAME]],CLE_H[[NAME]:['#]],7,0)</f>
        <v>25</v>
      </c>
      <c r="J81" s="28">
        <f>VLOOKUP(Table106[[#This Row],[NAME]],CLE_H[[NAME]:['#]],8,0)</f>
        <v>38</v>
      </c>
      <c r="K81" s="28">
        <f>VLOOKUP(Table106[[#This Row],[NAME]],CLE_H[[NAME]:['#]],9,0)</f>
        <v>6</v>
      </c>
      <c r="L81" s="28">
        <f>VLOOKUP(Table106[[#This Row],[NAME]],CLE_H[[NAME]:['#]],10,0)</f>
        <v>0</v>
      </c>
      <c r="M81" s="28">
        <f>VLOOKUP(Table106[[#This Row],[NAME]],CLE_H[[NAME]:['#]],11,0)</f>
        <v>12</v>
      </c>
      <c r="N81" s="28">
        <f>VLOOKUP(Table106[[#This Row],[NAME]],CLE_H[[NAME]:['#]],12,0)</f>
        <v>32</v>
      </c>
      <c r="O81" s="28">
        <f>VLOOKUP(Table106[[#This Row],[NAME]],CLE_H[[NAME]:['#]],13,0)</f>
        <v>34</v>
      </c>
      <c r="P81" s="28">
        <f>VLOOKUP(Table106[[#This Row],[NAME]],CLE_H[[NAME]:['#]],14,0)</f>
        <v>55</v>
      </c>
      <c r="Q81" s="77">
        <f>VLOOKUP(Table106[[#This Row],[NAME]],CLE_H[[NAME]:['#]],15,0)</f>
        <v>0</v>
      </c>
      <c r="R81" s="28">
        <f>VLOOKUP(Table106[[#This Row],[NAME]],CLE_H[[NAME]:['#]],16,0)</f>
        <v>8</v>
      </c>
      <c r="S81" s="28">
        <f>VLOOKUP(Table106[[#This Row],[NAME]],CLE_H[[NAME]:['#]],17,0)</f>
        <v>8</v>
      </c>
      <c r="T81" s="77">
        <f>VLOOKUP(Table106[[#This Row],[NAME]],CLE_H[[NAME]:['#]],18,0)</f>
        <v>80</v>
      </c>
      <c r="U81" s="72">
        <f>VLOOKUP(Table106[[#This Row],[NAME]],CLE_H[[NAME]:['#]],19,0)</f>
        <v>0.99831479609032692</v>
      </c>
      <c r="V81" s="28">
        <f>VLOOKUP(Table106[[#This Row],[NAME]],CLE_H[[NAME]:['#]],20,0)</f>
        <v>5</v>
      </c>
      <c r="W81" s="75">
        <v>79</v>
      </c>
      <c r="Z81" s="101" t="s">
        <v>394</v>
      </c>
      <c r="AA81" s="77" t="s">
        <v>168</v>
      </c>
      <c r="AB81" s="77" t="s">
        <v>395</v>
      </c>
      <c r="AC81" s="130">
        <v>0.26282051282051283</v>
      </c>
      <c r="AD81" s="72">
        <v>0.36813186813186816</v>
      </c>
      <c r="AE81" s="72">
        <v>0.55128205128205132</v>
      </c>
      <c r="AF81" s="77">
        <v>40</v>
      </c>
      <c r="AG81" s="28">
        <v>156</v>
      </c>
      <c r="AH81" s="28">
        <v>29</v>
      </c>
      <c r="AI81" s="28">
        <v>41</v>
      </c>
      <c r="AJ81" s="28">
        <v>12</v>
      </c>
      <c r="AK81" s="28">
        <v>0</v>
      </c>
      <c r="AL81" s="28">
        <v>11</v>
      </c>
      <c r="AM81" s="28">
        <v>33</v>
      </c>
      <c r="AN81" s="28">
        <v>26</v>
      </c>
      <c r="AO81" s="28">
        <v>58</v>
      </c>
      <c r="AP81" s="77">
        <v>0</v>
      </c>
      <c r="AQ81" s="28">
        <v>2</v>
      </c>
      <c r="AR81" s="28">
        <v>7</v>
      </c>
      <c r="AS81" s="77">
        <v>86</v>
      </c>
      <c r="AT81" s="72">
        <v>0.91941391941391948</v>
      </c>
      <c r="AU81" s="28">
        <v>6</v>
      </c>
      <c r="AV81" s="75">
        <v>79</v>
      </c>
      <c r="AY81" s="101" t="s">
        <v>394</v>
      </c>
      <c r="AZ81" s="77" t="s">
        <v>168</v>
      </c>
      <c r="BA81" s="77" t="s">
        <v>395</v>
      </c>
      <c r="BB81" s="130">
        <v>0.27272727272727271</v>
      </c>
      <c r="BC81" s="72">
        <v>0.3672316384180791</v>
      </c>
      <c r="BD81" s="72">
        <v>0.57792207792207795</v>
      </c>
      <c r="BE81" s="77">
        <v>40</v>
      </c>
      <c r="BF81" s="28">
        <v>154</v>
      </c>
      <c r="BG81" s="28">
        <v>24</v>
      </c>
      <c r="BH81" s="28">
        <v>42</v>
      </c>
      <c r="BI81" s="28">
        <v>8</v>
      </c>
      <c r="BJ81" s="28">
        <v>0</v>
      </c>
      <c r="BK81" s="28">
        <v>13</v>
      </c>
      <c r="BL81" s="28">
        <v>26</v>
      </c>
      <c r="BM81" s="28">
        <v>23</v>
      </c>
      <c r="BN81" s="28">
        <v>46</v>
      </c>
      <c r="BO81" s="77">
        <v>0</v>
      </c>
      <c r="BP81" s="28">
        <v>5</v>
      </c>
      <c r="BQ81" s="28">
        <v>12</v>
      </c>
      <c r="BR81" s="77">
        <v>89</v>
      </c>
      <c r="BS81" s="72">
        <v>0.9451537163401571</v>
      </c>
      <c r="BT81" s="28">
        <v>4</v>
      </c>
      <c r="BU81" s="75">
        <v>79</v>
      </c>
    </row>
    <row r="82" spans="1:73">
      <c r="A82" s="101" t="s">
        <v>394</v>
      </c>
      <c r="B82" s="71" t="s">
        <v>179</v>
      </c>
      <c r="C82" s="71" t="s">
        <v>411</v>
      </c>
      <c r="D82" s="72">
        <f>VLOOKUP(Table106[[#This Row],[NAME]],CLE_H[[NAME]:['#]],2,0)</f>
        <v>0.125</v>
      </c>
      <c r="E82" s="72">
        <f>VLOOKUP(Table106[[#This Row],[NAME]],CLE_H[[NAME]:['#]],3,0)</f>
        <v>0.3</v>
      </c>
      <c r="F82" s="72">
        <f>VLOOKUP(Table106[[#This Row],[NAME]],CLE_H[[NAME]:['#]],4,0)</f>
        <v>0.125</v>
      </c>
      <c r="G82" s="77">
        <f>VLOOKUP(Table106[[#This Row],[NAME]],CLE_H[[NAME]:['#]],5,0)</f>
        <v>9</v>
      </c>
      <c r="H82" s="28">
        <f>VLOOKUP(Table106[[#This Row],[NAME]],CLE_H[[NAME]:['#]],6,0)</f>
        <v>24</v>
      </c>
      <c r="I82" s="28">
        <f>VLOOKUP(Table106[[#This Row],[NAME]],CLE_H[[NAME]:['#]],7,0)</f>
        <v>0</v>
      </c>
      <c r="J82" s="28">
        <f>VLOOKUP(Table106[[#This Row],[NAME]],CLE_H[[NAME]:['#]],8,0)</f>
        <v>3</v>
      </c>
      <c r="K82" s="28">
        <f>VLOOKUP(Table106[[#This Row],[NAME]],CLE_H[[NAME]:['#]],9,0)</f>
        <v>0</v>
      </c>
      <c r="L82" s="28">
        <f>VLOOKUP(Table106[[#This Row],[NAME]],CLE_H[[NAME]:['#]],10,0)</f>
        <v>0</v>
      </c>
      <c r="M82" s="28">
        <f>VLOOKUP(Table106[[#This Row],[NAME]],CLE_H[[NAME]:['#]],11,0)</f>
        <v>0</v>
      </c>
      <c r="N82" s="28">
        <f>VLOOKUP(Table106[[#This Row],[NAME]],CLE_H[[NAME]:['#]],12,0)</f>
        <v>0</v>
      </c>
      <c r="O82" s="28">
        <f>VLOOKUP(Table106[[#This Row],[NAME]],CLE_H[[NAME]:['#]],13,0)</f>
        <v>6</v>
      </c>
      <c r="P82" s="28">
        <f>VLOOKUP(Table106[[#This Row],[NAME]],CLE_H[[NAME]:['#]],14,0)</f>
        <v>5</v>
      </c>
      <c r="Q82" s="77">
        <f>VLOOKUP(Table106[[#This Row],[NAME]],CLE_H[[NAME]:['#]],15,0)</f>
        <v>0</v>
      </c>
      <c r="R82" s="28">
        <f>VLOOKUP(Table106[[#This Row],[NAME]],CLE_H[[NAME]:['#]],16,0)</f>
        <v>1</v>
      </c>
      <c r="S82" s="28">
        <f>VLOOKUP(Table106[[#This Row],[NAME]],CLE_H[[NAME]:['#]],17,0)</f>
        <v>1</v>
      </c>
      <c r="T82" s="77">
        <f>VLOOKUP(Table106[[#This Row],[NAME]],CLE_H[[NAME]:['#]],18,0)</f>
        <v>3</v>
      </c>
      <c r="U82" s="72">
        <f>VLOOKUP(Table106[[#This Row],[NAME]],CLE_H[[NAME]:['#]],19,0)</f>
        <v>0.42499999999999999</v>
      </c>
      <c r="V82" s="28">
        <f>VLOOKUP(Table106[[#This Row],[NAME]],CLE_H[[NAME]:['#]],20,0)</f>
        <v>0</v>
      </c>
      <c r="W82" s="75">
        <v>80</v>
      </c>
      <c r="Z82" s="101" t="s">
        <v>394</v>
      </c>
      <c r="AA82" s="77" t="s">
        <v>308</v>
      </c>
      <c r="AB82" s="77" t="s">
        <v>411</v>
      </c>
      <c r="AC82" s="130">
        <v>0.18181818181818182</v>
      </c>
      <c r="AD82" s="72">
        <v>0.4375</v>
      </c>
      <c r="AE82" s="72">
        <v>0.27272727272727271</v>
      </c>
      <c r="AF82" s="77">
        <v>4</v>
      </c>
      <c r="AG82" s="28">
        <v>11</v>
      </c>
      <c r="AH82" s="28">
        <v>2</v>
      </c>
      <c r="AI82" s="28">
        <v>2</v>
      </c>
      <c r="AJ82" s="28">
        <v>1</v>
      </c>
      <c r="AK82" s="28">
        <v>0</v>
      </c>
      <c r="AL82" s="28">
        <v>0</v>
      </c>
      <c r="AM82" s="28">
        <v>1</v>
      </c>
      <c r="AN82" s="28">
        <v>5</v>
      </c>
      <c r="AO82" s="28">
        <v>5</v>
      </c>
      <c r="AP82" s="77">
        <v>0</v>
      </c>
      <c r="AQ82" s="28">
        <v>0</v>
      </c>
      <c r="AR82" s="28">
        <v>1</v>
      </c>
      <c r="AS82" s="77">
        <v>3</v>
      </c>
      <c r="AT82" s="72">
        <v>0.71022727272727271</v>
      </c>
      <c r="AU82" s="28">
        <v>0</v>
      </c>
      <c r="AV82" s="75">
        <v>80</v>
      </c>
      <c r="AY82" s="101" t="s">
        <v>394</v>
      </c>
      <c r="AZ82" s="77" t="s">
        <v>179</v>
      </c>
      <c r="BA82" s="77" t="s">
        <v>410</v>
      </c>
      <c r="BB82" s="130">
        <v>0.22222222222222221</v>
      </c>
      <c r="BC82" s="72">
        <v>0.3</v>
      </c>
      <c r="BD82" s="72">
        <v>0.3888888888888889</v>
      </c>
      <c r="BE82" s="77">
        <v>8</v>
      </c>
      <c r="BF82" s="28">
        <v>18</v>
      </c>
      <c r="BG82" s="28">
        <v>1</v>
      </c>
      <c r="BH82" s="28">
        <v>4</v>
      </c>
      <c r="BI82" s="28">
        <v>0</v>
      </c>
      <c r="BJ82" s="28">
        <v>0</v>
      </c>
      <c r="BK82" s="28">
        <v>1</v>
      </c>
      <c r="BL82" s="28">
        <v>4</v>
      </c>
      <c r="BM82" s="28">
        <v>2</v>
      </c>
      <c r="BN82" s="28">
        <v>8</v>
      </c>
      <c r="BO82" s="77">
        <v>0</v>
      </c>
      <c r="BP82" s="28">
        <v>2</v>
      </c>
      <c r="BQ82" s="28">
        <v>2</v>
      </c>
      <c r="BR82" s="77">
        <v>7</v>
      </c>
      <c r="BS82" s="72">
        <v>0.68888888888888888</v>
      </c>
      <c r="BT82" s="28">
        <v>0</v>
      </c>
      <c r="BU82" s="75">
        <v>80</v>
      </c>
    </row>
    <row r="83" spans="1:73">
      <c r="A83" s="101" t="s">
        <v>394</v>
      </c>
      <c r="B83" s="71" t="s">
        <v>192</v>
      </c>
      <c r="C83" s="71" t="s">
        <v>412</v>
      </c>
      <c r="D83" s="72">
        <f>VLOOKUP(Table106[[#This Row],[NAME]],CLE_H[[NAME]:['#]],2,0)</f>
        <v>0</v>
      </c>
      <c r="E83" s="72">
        <f>VLOOKUP(Table106[[#This Row],[NAME]],CLE_H[[NAME]:['#]],3,0)</f>
        <v>0</v>
      </c>
      <c r="F83" s="72">
        <f>VLOOKUP(Table106[[#This Row],[NAME]],CLE_H[[NAME]:['#]],4,0)</f>
        <v>0</v>
      </c>
      <c r="G83" s="77">
        <f>VLOOKUP(Table106[[#This Row],[NAME]],CLE_H[[NAME]:['#]],5,0)</f>
        <v>0</v>
      </c>
      <c r="H83" s="28">
        <f>VLOOKUP(Table106[[#This Row],[NAME]],CLE_H[[NAME]:['#]],6,0)</f>
        <v>0</v>
      </c>
      <c r="I83" s="28">
        <f>VLOOKUP(Table106[[#This Row],[NAME]],CLE_H[[NAME]:['#]],7,0)</f>
        <v>0</v>
      </c>
      <c r="J83" s="28">
        <f>VLOOKUP(Table106[[#This Row],[NAME]],CLE_H[[NAME]:['#]],8,0)</f>
        <v>0</v>
      </c>
      <c r="K83" s="28">
        <f>VLOOKUP(Table106[[#This Row],[NAME]],CLE_H[[NAME]:['#]],9,0)</f>
        <v>0</v>
      </c>
      <c r="L83" s="28">
        <f>VLOOKUP(Table106[[#This Row],[NAME]],CLE_H[[NAME]:['#]],10,0)</f>
        <v>0</v>
      </c>
      <c r="M83" s="28">
        <f>VLOOKUP(Table106[[#This Row],[NAME]],CLE_H[[NAME]:['#]],11,0)</f>
        <v>0</v>
      </c>
      <c r="N83" s="28">
        <f>VLOOKUP(Table106[[#This Row],[NAME]],CLE_H[[NAME]:['#]],12,0)</f>
        <v>0</v>
      </c>
      <c r="O83" s="28">
        <f>VLOOKUP(Table106[[#This Row],[NAME]],CLE_H[[NAME]:['#]],13,0)</f>
        <v>0</v>
      </c>
      <c r="P83" s="28">
        <f>VLOOKUP(Table106[[#This Row],[NAME]],CLE_H[[NAME]:['#]],14,0)</f>
        <v>0</v>
      </c>
      <c r="Q83" s="77">
        <f>VLOOKUP(Table106[[#This Row],[NAME]],CLE_H[[NAME]:['#]],15,0)</f>
        <v>0</v>
      </c>
      <c r="R83" s="28">
        <f>VLOOKUP(Table106[[#This Row],[NAME]],CLE_H[[NAME]:['#]],16,0)</f>
        <v>0</v>
      </c>
      <c r="S83" s="28">
        <f>VLOOKUP(Table106[[#This Row],[NAME]],CLE_H[[NAME]:['#]],17,0)</f>
        <v>0</v>
      </c>
      <c r="T83" s="77">
        <f>VLOOKUP(Table106[[#This Row],[NAME]],CLE_H[[NAME]:['#]],18,0)</f>
        <v>0</v>
      </c>
      <c r="U83" s="72">
        <f>VLOOKUP(Table106[[#This Row],[NAME]],CLE_H[[NAME]:['#]],19,0)</f>
        <v>0</v>
      </c>
      <c r="V83" s="28">
        <f>VLOOKUP(Table106[[#This Row],[NAME]],CLE_H[[NAME]:['#]],20,0)</f>
        <v>0</v>
      </c>
      <c r="W83" s="75">
        <v>81</v>
      </c>
      <c r="Z83" s="101" t="s">
        <v>394</v>
      </c>
      <c r="AA83" s="77" t="s">
        <v>187</v>
      </c>
      <c r="AB83" s="77" t="s">
        <v>406</v>
      </c>
      <c r="AC83" s="130">
        <v>0.27205882352941174</v>
      </c>
      <c r="AD83" s="72">
        <v>0.30769230769230771</v>
      </c>
      <c r="AE83" s="72">
        <v>0.30882352941176472</v>
      </c>
      <c r="AF83" s="77">
        <v>36</v>
      </c>
      <c r="AG83" s="28">
        <v>136</v>
      </c>
      <c r="AH83" s="28">
        <v>17</v>
      </c>
      <c r="AI83" s="28">
        <v>37</v>
      </c>
      <c r="AJ83" s="28">
        <v>5</v>
      </c>
      <c r="AK83" s="28">
        <v>0</v>
      </c>
      <c r="AL83" s="28">
        <v>0</v>
      </c>
      <c r="AM83" s="28">
        <v>14</v>
      </c>
      <c r="AN83" s="28">
        <v>7</v>
      </c>
      <c r="AO83" s="28">
        <v>22</v>
      </c>
      <c r="AP83" s="77">
        <v>3</v>
      </c>
      <c r="AQ83" s="28">
        <v>0</v>
      </c>
      <c r="AR83" s="28">
        <v>7</v>
      </c>
      <c r="AS83" s="77">
        <v>42</v>
      </c>
      <c r="AT83" s="72">
        <v>0.61651583710407243</v>
      </c>
      <c r="AU83" s="28">
        <v>1</v>
      </c>
      <c r="AV83" s="75">
        <v>81</v>
      </c>
      <c r="AY83" s="101" t="s">
        <v>394</v>
      </c>
      <c r="AZ83" s="77" t="s">
        <v>192</v>
      </c>
      <c r="BA83" s="77" t="s">
        <v>402</v>
      </c>
      <c r="BB83" s="130">
        <v>0.29729729729729731</v>
      </c>
      <c r="BC83" s="72">
        <v>0.29729729729729731</v>
      </c>
      <c r="BD83" s="72">
        <v>0.51351351351351349</v>
      </c>
      <c r="BE83" s="77">
        <v>13</v>
      </c>
      <c r="BF83" s="28">
        <v>37</v>
      </c>
      <c r="BG83" s="28">
        <v>6</v>
      </c>
      <c r="BH83" s="28">
        <v>11</v>
      </c>
      <c r="BI83" s="28">
        <v>3</v>
      </c>
      <c r="BJ83" s="28">
        <v>1</v>
      </c>
      <c r="BK83" s="28">
        <v>1</v>
      </c>
      <c r="BL83" s="28">
        <v>9</v>
      </c>
      <c r="BM83" s="28">
        <v>0</v>
      </c>
      <c r="BN83" s="28">
        <v>4</v>
      </c>
      <c r="BO83" s="77">
        <v>1</v>
      </c>
      <c r="BP83" s="28">
        <v>0</v>
      </c>
      <c r="BQ83" s="28">
        <v>5</v>
      </c>
      <c r="BR83" s="77">
        <v>19</v>
      </c>
      <c r="BS83" s="72">
        <v>0.81081081081081074</v>
      </c>
      <c r="BT83" s="28">
        <v>1</v>
      </c>
      <c r="BU83" s="75">
        <v>81</v>
      </c>
    </row>
    <row r="84" spans="1:73">
      <c r="A84" s="101" t="s">
        <v>394</v>
      </c>
      <c r="B84" s="71" t="s">
        <v>187</v>
      </c>
      <c r="C84" s="71" t="s">
        <v>409</v>
      </c>
      <c r="D84" s="72">
        <f>VLOOKUP(Table106[[#This Row],[NAME]],CLE_H[[NAME]:['#]],2,0)</f>
        <v>9.8039215686274508E-2</v>
      </c>
      <c r="E84" s="72">
        <f>VLOOKUP(Table106[[#This Row],[NAME]],CLE_H[[NAME]:['#]],3,0)</f>
        <v>0.14814814814814814</v>
      </c>
      <c r="F84" s="72">
        <f>VLOOKUP(Table106[[#This Row],[NAME]],CLE_H[[NAME]:['#]],4,0)</f>
        <v>0.13725490196078433</v>
      </c>
      <c r="G84" s="77">
        <f>VLOOKUP(Table106[[#This Row],[NAME]],CLE_H[[NAME]:['#]],5,0)</f>
        <v>15</v>
      </c>
      <c r="H84" s="28">
        <f>VLOOKUP(Table106[[#This Row],[NAME]],CLE_H[[NAME]:['#]],6,0)</f>
        <v>51</v>
      </c>
      <c r="I84" s="28">
        <f>VLOOKUP(Table106[[#This Row],[NAME]],CLE_H[[NAME]:['#]],7,0)</f>
        <v>2</v>
      </c>
      <c r="J84" s="28">
        <f>VLOOKUP(Table106[[#This Row],[NAME]],CLE_H[[NAME]:['#]],8,0)</f>
        <v>5</v>
      </c>
      <c r="K84" s="28">
        <f>VLOOKUP(Table106[[#This Row],[NAME]],CLE_H[[NAME]:['#]],9,0)</f>
        <v>2</v>
      </c>
      <c r="L84" s="28">
        <f>VLOOKUP(Table106[[#This Row],[NAME]],CLE_H[[NAME]:['#]],10,0)</f>
        <v>0</v>
      </c>
      <c r="M84" s="28">
        <f>VLOOKUP(Table106[[#This Row],[NAME]],CLE_H[[NAME]:['#]],11,0)</f>
        <v>0</v>
      </c>
      <c r="N84" s="28">
        <f>VLOOKUP(Table106[[#This Row],[NAME]],CLE_H[[NAME]:['#]],12,0)</f>
        <v>1</v>
      </c>
      <c r="O84" s="28">
        <f>VLOOKUP(Table106[[#This Row],[NAME]],CLE_H[[NAME]:['#]],13,0)</f>
        <v>3</v>
      </c>
      <c r="P84" s="28">
        <f>VLOOKUP(Table106[[#This Row],[NAME]],CLE_H[[NAME]:['#]],14,0)</f>
        <v>10</v>
      </c>
      <c r="Q84" s="77">
        <f>VLOOKUP(Table106[[#This Row],[NAME]],CLE_H[[NAME]:['#]],15,0)</f>
        <v>1</v>
      </c>
      <c r="R84" s="28">
        <f>VLOOKUP(Table106[[#This Row],[NAME]],CLE_H[[NAME]:['#]],16,0)</f>
        <v>0</v>
      </c>
      <c r="S84" s="28">
        <f>VLOOKUP(Table106[[#This Row],[NAME]],CLE_H[[NAME]:['#]],17,0)</f>
        <v>2</v>
      </c>
      <c r="T84" s="77">
        <f>VLOOKUP(Table106[[#This Row],[NAME]],CLE_H[[NAME]:['#]],18,0)</f>
        <v>7</v>
      </c>
      <c r="U84" s="72">
        <f>VLOOKUP(Table106[[#This Row],[NAME]],CLE_H[[NAME]:['#]],19,0)</f>
        <v>0.28540305010893247</v>
      </c>
      <c r="V84" s="28">
        <f>VLOOKUP(Table106[[#This Row],[NAME]],CLE_H[[NAME]:['#]],20,0)</f>
        <v>0</v>
      </c>
      <c r="W84" s="75">
        <v>82</v>
      </c>
      <c r="Z84" s="101" t="s">
        <v>394</v>
      </c>
      <c r="AA84" s="77" t="s">
        <v>187</v>
      </c>
      <c r="AB84" s="77" t="s">
        <v>405</v>
      </c>
      <c r="AC84" s="130">
        <v>0.375</v>
      </c>
      <c r="AD84" s="72">
        <v>0.41176470588235292</v>
      </c>
      <c r="AE84" s="72">
        <v>0.5625</v>
      </c>
      <c r="AF84" s="77">
        <v>4</v>
      </c>
      <c r="AG84" s="28">
        <v>16</v>
      </c>
      <c r="AH84" s="28">
        <v>2</v>
      </c>
      <c r="AI84" s="28">
        <v>6</v>
      </c>
      <c r="AJ84" s="28">
        <v>3</v>
      </c>
      <c r="AK84" s="28">
        <v>0</v>
      </c>
      <c r="AL84" s="28">
        <v>0</v>
      </c>
      <c r="AM84" s="28">
        <v>3</v>
      </c>
      <c r="AN84" s="28">
        <v>1</v>
      </c>
      <c r="AO84" s="28">
        <v>3</v>
      </c>
      <c r="AP84" s="77">
        <v>0</v>
      </c>
      <c r="AQ84" s="28">
        <v>4</v>
      </c>
      <c r="AR84" s="28">
        <v>4</v>
      </c>
      <c r="AS84" s="77">
        <v>9</v>
      </c>
      <c r="AT84" s="72">
        <v>0.97426470588235292</v>
      </c>
      <c r="AU84" s="28">
        <v>0</v>
      </c>
      <c r="AV84" s="75">
        <v>82</v>
      </c>
      <c r="AY84" s="101" t="s">
        <v>394</v>
      </c>
      <c r="AZ84" s="77" t="s">
        <v>192</v>
      </c>
      <c r="BA84" s="77" t="s">
        <v>409</v>
      </c>
      <c r="BB84" s="130">
        <v>9.5238095238095233E-2</v>
      </c>
      <c r="BC84" s="72">
        <v>0.20833333333333334</v>
      </c>
      <c r="BD84" s="72">
        <v>9.5238095238095233E-2</v>
      </c>
      <c r="BE84" s="77">
        <v>9</v>
      </c>
      <c r="BF84" s="28">
        <v>21</v>
      </c>
      <c r="BG84" s="28">
        <v>0</v>
      </c>
      <c r="BH84" s="28">
        <v>2</v>
      </c>
      <c r="BI84" s="28">
        <v>0</v>
      </c>
      <c r="BJ84" s="28">
        <v>0</v>
      </c>
      <c r="BK84" s="28">
        <v>0</v>
      </c>
      <c r="BL84" s="28">
        <v>0</v>
      </c>
      <c r="BM84" s="28">
        <v>3</v>
      </c>
      <c r="BN84" s="28">
        <v>4</v>
      </c>
      <c r="BO84" s="77">
        <v>0</v>
      </c>
      <c r="BP84" s="28">
        <v>0</v>
      </c>
      <c r="BQ84" s="28">
        <v>1</v>
      </c>
      <c r="BR84" s="77">
        <v>2</v>
      </c>
      <c r="BS84" s="72">
        <v>0.3035714285714286</v>
      </c>
      <c r="BT84" s="28">
        <v>0</v>
      </c>
      <c r="BU84" s="75">
        <v>82</v>
      </c>
    </row>
    <row r="85" spans="1:73">
      <c r="A85" s="101" t="s">
        <v>394</v>
      </c>
      <c r="B85" s="71" t="s">
        <v>186</v>
      </c>
      <c r="C85" s="71" t="s">
        <v>400</v>
      </c>
      <c r="D85" s="72">
        <f>VLOOKUP(Table106[[#This Row],[NAME]],CLE_H[[NAME]:['#]],2,0)</f>
        <v>0.13043478260869565</v>
      </c>
      <c r="E85" s="72">
        <f>VLOOKUP(Table106[[#This Row],[NAME]],CLE_H[[NAME]:['#]],3,0)</f>
        <v>0.2</v>
      </c>
      <c r="F85" s="72">
        <f>VLOOKUP(Table106[[#This Row],[NAME]],CLE_H[[NAME]:['#]],4,0)</f>
        <v>0.21739130434782608</v>
      </c>
      <c r="G85" s="77">
        <f>VLOOKUP(Table106[[#This Row],[NAME]],CLE_H[[NAME]:['#]],5,0)</f>
        <v>8</v>
      </c>
      <c r="H85" s="28">
        <f>VLOOKUP(Table106[[#This Row],[NAME]],CLE_H[[NAME]:['#]],6,0)</f>
        <v>23</v>
      </c>
      <c r="I85" s="28">
        <f>VLOOKUP(Table106[[#This Row],[NAME]],CLE_H[[NAME]:['#]],7,0)</f>
        <v>2</v>
      </c>
      <c r="J85" s="28">
        <f>VLOOKUP(Table106[[#This Row],[NAME]],CLE_H[[NAME]:['#]],8,0)</f>
        <v>3</v>
      </c>
      <c r="K85" s="28">
        <f>VLOOKUP(Table106[[#This Row],[NAME]],CLE_H[[NAME]:['#]],9,0)</f>
        <v>2</v>
      </c>
      <c r="L85" s="28">
        <f>VLOOKUP(Table106[[#This Row],[NAME]],CLE_H[[NAME]:['#]],10,0)</f>
        <v>0</v>
      </c>
      <c r="M85" s="28">
        <f>VLOOKUP(Table106[[#This Row],[NAME]],CLE_H[[NAME]:['#]],11,0)</f>
        <v>0</v>
      </c>
      <c r="N85" s="28">
        <f>VLOOKUP(Table106[[#This Row],[NAME]],CLE_H[[NAME]:['#]],12,0)</f>
        <v>2</v>
      </c>
      <c r="O85" s="28">
        <f>VLOOKUP(Table106[[#This Row],[NAME]],CLE_H[[NAME]:['#]],13,0)</f>
        <v>2</v>
      </c>
      <c r="P85" s="28">
        <f>VLOOKUP(Table106[[#This Row],[NAME]],CLE_H[[NAME]:['#]],14,0)</f>
        <v>10</v>
      </c>
      <c r="Q85" s="77">
        <f>VLOOKUP(Table106[[#This Row],[NAME]],CLE_H[[NAME]:['#]],15,0)</f>
        <v>0</v>
      </c>
      <c r="R85" s="28">
        <f>VLOOKUP(Table106[[#This Row],[NAME]],CLE_H[[NAME]:['#]],16,0)</f>
        <v>1</v>
      </c>
      <c r="S85" s="28">
        <f>VLOOKUP(Table106[[#This Row],[NAME]],CLE_H[[NAME]:['#]],17,0)</f>
        <v>1</v>
      </c>
      <c r="T85" s="77">
        <f>VLOOKUP(Table106[[#This Row],[NAME]],CLE_H[[NAME]:['#]],18,0)</f>
        <v>5</v>
      </c>
      <c r="U85" s="72">
        <f>VLOOKUP(Table106[[#This Row],[NAME]],CLE_H[[NAME]:['#]],19,0)</f>
        <v>0.41739130434782612</v>
      </c>
      <c r="V85" s="28">
        <f>VLOOKUP(Table106[[#This Row],[NAME]],CLE_H[[NAME]:['#]],20,0)</f>
        <v>1</v>
      </c>
      <c r="W85" s="75">
        <v>83</v>
      </c>
      <c r="Z85" s="101" t="s">
        <v>394</v>
      </c>
      <c r="AA85" s="77" t="s">
        <v>2174</v>
      </c>
      <c r="AB85" s="77" t="s">
        <v>400</v>
      </c>
      <c r="AC85" s="130">
        <v>0.27692307692307694</v>
      </c>
      <c r="AD85" s="72">
        <v>0.3188405797101449</v>
      </c>
      <c r="AE85" s="72">
        <v>0.53846153846153844</v>
      </c>
      <c r="AF85" s="77">
        <v>16</v>
      </c>
      <c r="AG85" s="28">
        <v>65</v>
      </c>
      <c r="AH85" s="28">
        <v>11</v>
      </c>
      <c r="AI85" s="28">
        <v>18</v>
      </c>
      <c r="AJ85" s="28">
        <v>5</v>
      </c>
      <c r="AK85" s="28">
        <v>0</v>
      </c>
      <c r="AL85" s="28">
        <v>4</v>
      </c>
      <c r="AM85" s="28">
        <v>15</v>
      </c>
      <c r="AN85" s="28">
        <v>4</v>
      </c>
      <c r="AO85" s="28">
        <v>20</v>
      </c>
      <c r="AP85" s="77">
        <v>0</v>
      </c>
      <c r="AQ85" s="28">
        <v>0</v>
      </c>
      <c r="AR85" s="28">
        <v>7</v>
      </c>
      <c r="AS85" s="77">
        <v>35</v>
      </c>
      <c r="AT85" s="72">
        <v>0.85730211817168334</v>
      </c>
      <c r="AU85" s="28">
        <v>3</v>
      </c>
      <c r="AV85" s="75">
        <v>83</v>
      </c>
      <c r="AY85" s="101" t="s">
        <v>394</v>
      </c>
      <c r="AZ85" s="77" t="s">
        <v>184</v>
      </c>
      <c r="BA85" s="77" t="s">
        <v>413</v>
      </c>
      <c r="BB85" s="130">
        <v>0.25</v>
      </c>
      <c r="BC85" s="72">
        <v>0.4</v>
      </c>
      <c r="BD85" s="72">
        <v>0.25</v>
      </c>
      <c r="BE85" s="77">
        <v>2</v>
      </c>
      <c r="BF85" s="28">
        <v>4</v>
      </c>
      <c r="BG85" s="28">
        <v>0</v>
      </c>
      <c r="BH85" s="28">
        <v>1</v>
      </c>
      <c r="BI85" s="28">
        <v>0</v>
      </c>
      <c r="BJ85" s="28">
        <v>0</v>
      </c>
      <c r="BK85" s="28">
        <v>0</v>
      </c>
      <c r="BL85" s="28">
        <v>0</v>
      </c>
      <c r="BM85" s="28">
        <v>1</v>
      </c>
      <c r="BN85" s="28">
        <v>1</v>
      </c>
      <c r="BO85" s="77">
        <v>0</v>
      </c>
      <c r="BP85" s="28">
        <v>1</v>
      </c>
      <c r="BQ85" s="28">
        <v>1</v>
      </c>
      <c r="BR85" s="77">
        <v>1</v>
      </c>
      <c r="BS85" s="72">
        <v>0.65</v>
      </c>
      <c r="BT85" s="28">
        <v>0</v>
      </c>
      <c r="BU85" s="75">
        <v>83</v>
      </c>
    </row>
    <row r="86" spans="1:73">
      <c r="A86" s="101" t="s">
        <v>394</v>
      </c>
      <c r="B86" s="71" t="s">
        <v>186</v>
      </c>
      <c r="C86" s="71" t="s">
        <v>396</v>
      </c>
      <c r="D86" s="72">
        <f>VLOOKUP(Table106[[#This Row],[NAME]],CLE_H[[NAME]:['#]],2,0)</f>
        <v>0.17647058823529413</v>
      </c>
      <c r="E86" s="72">
        <f>VLOOKUP(Table106[[#This Row],[NAME]],CLE_H[[NAME]:['#]],3,0)</f>
        <v>0.27586206896551724</v>
      </c>
      <c r="F86" s="72">
        <f>VLOOKUP(Table106[[#This Row],[NAME]],CLE_H[[NAME]:['#]],4,0)</f>
        <v>0.19607843137254902</v>
      </c>
      <c r="G86" s="77">
        <f>VLOOKUP(Table106[[#This Row],[NAME]],CLE_H[[NAME]:['#]],5,0)</f>
        <v>14</v>
      </c>
      <c r="H86" s="28">
        <f>VLOOKUP(Table106[[#This Row],[NAME]],CLE_H[[NAME]:['#]],6,0)</f>
        <v>51</v>
      </c>
      <c r="I86" s="28">
        <f>VLOOKUP(Table106[[#This Row],[NAME]],CLE_H[[NAME]:['#]],7,0)</f>
        <v>3</v>
      </c>
      <c r="J86" s="28">
        <f>VLOOKUP(Table106[[#This Row],[NAME]],CLE_H[[NAME]:['#]],8,0)</f>
        <v>9</v>
      </c>
      <c r="K86" s="28">
        <f>VLOOKUP(Table106[[#This Row],[NAME]],CLE_H[[NAME]:['#]],9,0)</f>
        <v>1</v>
      </c>
      <c r="L86" s="28">
        <f>VLOOKUP(Table106[[#This Row],[NAME]],CLE_H[[NAME]:['#]],10,0)</f>
        <v>0</v>
      </c>
      <c r="M86" s="28">
        <f>VLOOKUP(Table106[[#This Row],[NAME]],CLE_H[[NAME]:['#]],11,0)</f>
        <v>0</v>
      </c>
      <c r="N86" s="28">
        <f>VLOOKUP(Table106[[#This Row],[NAME]],CLE_H[[NAME]:['#]],12,0)</f>
        <v>1</v>
      </c>
      <c r="O86" s="28">
        <f>VLOOKUP(Table106[[#This Row],[NAME]],CLE_H[[NAME]:['#]],13,0)</f>
        <v>7</v>
      </c>
      <c r="P86" s="28">
        <f>VLOOKUP(Table106[[#This Row],[NAME]],CLE_H[[NAME]:['#]],14,0)</f>
        <v>17</v>
      </c>
      <c r="Q86" s="77">
        <f>VLOOKUP(Table106[[#This Row],[NAME]],CLE_H[[NAME]:['#]],15,0)</f>
        <v>0</v>
      </c>
      <c r="R86" s="28">
        <f>VLOOKUP(Table106[[#This Row],[NAME]],CLE_H[[NAME]:['#]],16,0)</f>
        <v>3</v>
      </c>
      <c r="S86" s="28">
        <f>VLOOKUP(Table106[[#This Row],[NAME]],CLE_H[[NAME]:['#]],17,0)</f>
        <v>3</v>
      </c>
      <c r="T86" s="77">
        <f>VLOOKUP(Table106[[#This Row],[NAME]],CLE_H[[NAME]:['#]],18,0)</f>
        <v>10</v>
      </c>
      <c r="U86" s="72">
        <f>VLOOKUP(Table106[[#This Row],[NAME]],CLE_H[[NAME]:['#]],19,0)</f>
        <v>0.47194050033806623</v>
      </c>
      <c r="V86" s="28">
        <f>VLOOKUP(Table106[[#This Row],[NAME]],CLE_H[[NAME]:['#]],20,0)</f>
        <v>0</v>
      </c>
      <c r="W86" s="75">
        <v>84</v>
      </c>
      <c r="Z86" s="101" t="s">
        <v>394</v>
      </c>
      <c r="AA86" s="77" t="s">
        <v>186</v>
      </c>
      <c r="AB86" s="77" t="s">
        <v>408</v>
      </c>
      <c r="AC86" s="130">
        <v>0.27586206896551724</v>
      </c>
      <c r="AD86" s="72">
        <v>0.28813559322033899</v>
      </c>
      <c r="AE86" s="72">
        <v>0.37931034482758619</v>
      </c>
      <c r="AF86" s="77">
        <v>17</v>
      </c>
      <c r="AG86" s="28">
        <v>58</v>
      </c>
      <c r="AH86" s="28">
        <v>5</v>
      </c>
      <c r="AI86" s="28">
        <v>16</v>
      </c>
      <c r="AJ86" s="28">
        <v>3</v>
      </c>
      <c r="AK86" s="28">
        <v>0</v>
      </c>
      <c r="AL86" s="28">
        <v>1</v>
      </c>
      <c r="AM86" s="28">
        <v>4</v>
      </c>
      <c r="AN86" s="28">
        <v>1</v>
      </c>
      <c r="AO86" s="28">
        <v>15</v>
      </c>
      <c r="AP86" s="77">
        <v>0</v>
      </c>
      <c r="AQ86" s="28">
        <v>0</v>
      </c>
      <c r="AR86" s="28">
        <v>5</v>
      </c>
      <c r="AS86" s="77">
        <v>22</v>
      </c>
      <c r="AT86" s="72">
        <v>0.66744593804792518</v>
      </c>
      <c r="AU86" s="28">
        <v>0</v>
      </c>
      <c r="AV86" s="75">
        <v>84</v>
      </c>
      <c r="AY86" s="101" t="s">
        <v>394</v>
      </c>
      <c r="AZ86" s="77" t="s">
        <v>184</v>
      </c>
      <c r="BA86" s="77" t="s">
        <v>408</v>
      </c>
      <c r="BB86" s="130">
        <v>0.1</v>
      </c>
      <c r="BC86" s="72">
        <v>0.25</v>
      </c>
      <c r="BD86" s="72">
        <v>0.4</v>
      </c>
      <c r="BE86" s="77">
        <v>4</v>
      </c>
      <c r="BF86" s="28">
        <v>10</v>
      </c>
      <c r="BG86" s="28">
        <v>1</v>
      </c>
      <c r="BH86" s="28">
        <v>1</v>
      </c>
      <c r="BI86" s="28">
        <v>0</v>
      </c>
      <c r="BJ86" s="28">
        <v>0</v>
      </c>
      <c r="BK86" s="28">
        <v>1</v>
      </c>
      <c r="BL86" s="28">
        <v>2</v>
      </c>
      <c r="BM86" s="28">
        <v>2</v>
      </c>
      <c r="BN86" s="28">
        <v>4</v>
      </c>
      <c r="BO86" s="77">
        <v>0</v>
      </c>
      <c r="BP86" s="28">
        <v>0</v>
      </c>
      <c r="BQ86" s="28">
        <v>1</v>
      </c>
      <c r="BR86" s="77">
        <v>4</v>
      </c>
      <c r="BS86" s="72">
        <v>0.65</v>
      </c>
      <c r="BT86" s="28">
        <v>0</v>
      </c>
      <c r="BU86" s="75">
        <v>84</v>
      </c>
    </row>
    <row r="87" spans="1:73">
      <c r="A87" s="101" t="s">
        <v>429</v>
      </c>
      <c r="B87" s="71" t="s">
        <v>179</v>
      </c>
      <c r="C87" s="71" t="s">
        <v>436</v>
      </c>
      <c r="D87" s="72">
        <f>VLOOKUP(Table106[[#This Row],[NAME]],MIN_H[[NAME]:['#]],2,0)</f>
        <v>0.2792207792207792</v>
      </c>
      <c r="E87" s="72">
        <f>VLOOKUP(Table106[[#This Row],[NAME]],MIN_H[[NAME]:['#]],3,0)</f>
        <v>0.36206896551724138</v>
      </c>
      <c r="F87" s="72">
        <f>VLOOKUP(Table106[[#This Row],[NAME]],MIN_H[[NAME]:['#]],4,0)</f>
        <v>0.43506493506493504</v>
      </c>
      <c r="G87" s="77">
        <f>VLOOKUP(Table106[[#This Row],[NAME]],MIN_H[[NAME]:['#]],5,0)</f>
        <v>39</v>
      </c>
      <c r="H87" s="28">
        <f>VLOOKUP(Table106[[#This Row],[NAME]],MIN_H[[NAME]:['#]],6,0)</f>
        <v>154</v>
      </c>
      <c r="I87" s="28">
        <f>VLOOKUP(Table106[[#This Row],[NAME]],MIN_H[[NAME]:['#]],7,0)</f>
        <v>23</v>
      </c>
      <c r="J87" s="28">
        <f>VLOOKUP(Table106[[#This Row],[NAME]],MIN_H[[NAME]:['#]],8,0)</f>
        <v>43</v>
      </c>
      <c r="K87" s="28">
        <f>VLOOKUP(Table106[[#This Row],[NAME]],MIN_H[[NAME]:['#]],9,0)</f>
        <v>8</v>
      </c>
      <c r="L87" s="28">
        <f>VLOOKUP(Table106[[#This Row],[NAME]],MIN_H[[NAME]:['#]],10,0)</f>
        <v>2</v>
      </c>
      <c r="M87" s="28">
        <f>VLOOKUP(Table106[[#This Row],[NAME]],MIN_H[[NAME]:['#]],11,0)</f>
        <v>4</v>
      </c>
      <c r="N87" s="28">
        <f>VLOOKUP(Table106[[#This Row],[NAME]],MIN_H[[NAME]:['#]],12,0)</f>
        <v>18</v>
      </c>
      <c r="O87" s="28">
        <f>VLOOKUP(Table106[[#This Row],[NAME]],MIN_H[[NAME]:['#]],13,0)</f>
        <v>20</v>
      </c>
      <c r="P87" s="28">
        <f>VLOOKUP(Table106[[#This Row],[NAME]],MIN_H[[NAME]:['#]],14,0)</f>
        <v>34</v>
      </c>
      <c r="Q87" s="77">
        <f>VLOOKUP(Table106[[#This Row],[NAME]],MIN_H[[NAME]:['#]],15,0)</f>
        <v>0</v>
      </c>
      <c r="R87" s="28">
        <f>VLOOKUP(Table106[[#This Row],[NAME]],MIN_H[[NAME]:['#]],16,0)</f>
        <v>3</v>
      </c>
      <c r="S87" s="28">
        <f>VLOOKUP(Table106[[#This Row],[NAME]],MIN_H[[NAME]:['#]],17,0)</f>
        <v>5</v>
      </c>
      <c r="T87" s="77">
        <f>VLOOKUP(Table106[[#This Row],[NAME]],MIN_H[[NAME]:['#]],18,0)</f>
        <v>67</v>
      </c>
      <c r="U87" s="72">
        <f>VLOOKUP(Table106[[#This Row],[NAME]],MIN_H[[NAME]:['#]],19,0)</f>
        <v>0.79713390058217648</v>
      </c>
      <c r="V87" s="28">
        <f>VLOOKUP(Table106[[#This Row],[NAME]],MIN_H[[NAME]:['#]],20,0)</f>
        <v>1</v>
      </c>
      <c r="W87" s="75">
        <v>85</v>
      </c>
      <c r="Z87" s="101" t="s">
        <v>429</v>
      </c>
      <c r="AA87" s="77" t="s">
        <v>179</v>
      </c>
      <c r="AB87" s="77" t="s">
        <v>436</v>
      </c>
      <c r="AC87" s="130">
        <v>0.3032258064516129</v>
      </c>
      <c r="AD87" s="72">
        <v>0.40331491712707185</v>
      </c>
      <c r="AE87" s="72">
        <v>0.38064516129032255</v>
      </c>
      <c r="AF87" s="77">
        <v>38</v>
      </c>
      <c r="AG87" s="28">
        <v>155</v>
      </c>
      <c r="AH87" s="28">
        <v>14</v>
      </c>
      <c r="AI87" s="28">
        <v>47</v>
      </c>
      <c r="AJ87" s="28">
        <v>10</v>
      </c>
      <c r="AK87" s="28">
        <v>1</v>
      </c>
      <c r="AL87" s="28">
        <v>0</v>
      </c>
      <c r="AM87" s="28">
        <v>10</v>
      </c>
      <c r="AN87" s="28">
        <v>26</v>
      </c>
      <c r="AO87" s="28">
        <v>23</v>
      </c>
      <c r="AP87" s="77">
        <v>0</v>
      </c>
      <c r="AQ87" s="28">
        <v>9</v>
      </c>
      <c r="AR87" s="28">
        <v>9</v>
      </c>
      <c r="AS87" s="77">
        <v>59</v>
      </c>
      <c r="AT87" s="72">
        <v>0.78396007841739435</v>
      </c>
      <c r="AU87" s="28">
        <v>0</v>
      </c>
      <c r="AV87" s="75">
        <v>85</v>
      </c>
      <c r="AY87" s="101" t="s">
        <v>429</v>
      </c>
      <c r="AZ87" s="352" t="s">
        <v>179</v>
      </c>
      <c r="BA87" s="77" t="s">
        <v>436</v>
      </c>
      <c r="BB87" s="130">
        <v>0.38970588235294118</v>
      </c>
      <c r="BC87" s="72">
        <v>0.4713375796178344</v>
      </c>
      <c r="BD87" s="72">
        <v>0.63970588235294112</v>
      </c>
      <c r="BE87" s="77">
        <v>38</v>
      </c>
      <c r="BF87" s="28">
        <v>136</v>
      </c>
      <c r="BG87" s="28">
        <v>22</v>
      </c>
      <c r="BH87" s="28">
        <v>53</v>
      </c>
      <c r="BI87" s="28">
        <v>9</v>
      </c>
      <c r="BJ87" s="28">
        <v>2</v>
      </c>
      <c r="BK87" s="28">
        <v>7</v>
      </c>
      <c r="BL87" s="28">
        <v>24</v>
      </c>
      <c r="BM87" s="28">
        <v>21</v>
      </c>
      <c r="BN87" s="28">
        <v>22</v>
      </c>
      <c r="BO87" s="77">
        <v>0</v>
      </c>
      <c r="BP87" s="28">
        <v>9</v>
      </c>
      <c r="BQ87" s="28">
        <v>9</v>
      </c>
      <c r="BR87" s="77">
        <v>87</v>
      </c>
      <c r="BS87" s="594">
        <v>1.1110434619707754</v>
      </c>
      <c r="BT87" s="28">
        <v>1</v>
      </c>
      <c r="BU87" s="75">
        <v>85</v>
      </c>
    </row>
    <row r="88" spans="1:73">
      <c r="A88" s="101" t="s">
        <v>429</v>
      </c>
      <c r="B88" s="71" t="s">
        <v>154</v>
      </c>
      <c r="C88" s="71" t="s">
        <v>434</v>
      </c>
      <c r="D88" s="72">
        <f>VLOOKUP(Table106[[#This Row],[NAME]],MIN_H[[NAME]:['#]],2,0)</f>
        <v>0.17073170731707318</v>
      </c>
      <c r="E88" s="72">
        <f>VLOOKUP(Table106[[#This Row],[NAME]],MIN_H[[NAME]:['#]],3,0)</f>
        <v>0.27659574468085107</v>
      </c>
      <c r="F88" s="72">
        <f>VLOOKUP(Table106[[#This Row],[NAME]],MIN_H[[NAME]:['#]],4,0)</f>
        <v>0.31707317073170732</v>
      </c>
      <c r="G88" s="77">
        <f>VLOOKUP(Table106[[#This Row],[NAME]],MIN_H[[NAME]:['#]],5,0)</f>
        <v>33</v>
      </c>
      <c r="H88" s="28">
        <f>VLOOKUP(Table106[[#This Row],[NAME]],MIN_H[[NAME]:['#]],6,0)</f>
        <v>123</v>
      </c>
      <c r="I88" s="28">
        <f>VLOOKUP(Table106[[#This Row],[NAME]],MIN_H[[NAME]:['#]],7,0)</f>
        <v>18</v>
      </c>
      <c r="J88" s="28">
        <f>VLOOKUP(Table106[[#This Row],[NAME]],MIN_H[[NAME]:['#]],8,0)</f>
        <v>21</v>
      </c>
      <c r="K88" s="28">
        <f>VLOOKUP(Table106[[#This Row],[NAME]],MIN_H[[NAME]:['#]],9,0)</f>
        <v>9</v>
      </c>
      <c r="L88" s="28">
        <f>VLOOKUP(Table106[[#This Row],[NAME]],MIN_H[[NAME]:['#]],10,0)</f>
        <v>0</v>
      </c>
      <c r="M88" s="28">
        <f>VLOOKUP(Table106[[#This Row],[NAME]],MIN_H[[NAME]:['#]],11,0)</f>
        <v>3</v>
      </c>
      <c r="N88" s="28">
        <f>VLOOKUP(Table106[[#This Row],[NAME]],MIN_H[[NAME]:['#]],12,0)</f>
        <v>6</v>
      </c>
      <c r="O88" s="28">
        <f>VLOOKUP(Table106[[#This Row],[NAME]],MIN_H[[NAME]:['#]],13,0)</f>
        <v>18</v>
      </c>
      <c r="P88" s="28">
        <f>VLOOKUP(Table106[[#This Row],[NAME]],MIN_H[[NAME]:['#]],14,0)</f>
        <v>33</v>
      </c>
      <c r="Q88" s="77">
        <f>VLOOKUP(Table106[[#This Row],[NAME]],MIN_H[[NAME]:['#]],15,0)</f>
        <v>0</v>
      </c>
      <c r="R88" s="28">
        <f>VLOOKUP(Table106[[#This Row],[NAME]],MIN_H[[NAME]:['#]],16,0)</f>
        <v>0</v>
      </c>
      <c r="S88" s="28">
        <f>VLOOKUP(Table106[[#This Row],[NAME]],MIN_H[[NAME]:['#]],17,0)</f>
        <v>7</v>
      </c>
      <c r="T88" s="77">
        <f>VLOOKUP(Table106[[#This Row],[NAME]],MIN_H[[NAME]:['#]],18,0)</f>
        <v>39</v>
      </c>
      <c r="U88" s="72">
        <f>VLOOKUP(Table106[[#This Row],[NAME]],MIN_H[[NAME]:['#]],19,0)</f>
        <v>0.5936689154125584</v>
      </c>
      <c r="V88" s="28">
        <f>VLOOKUP(Table106[[#This Row],[NAME]],MIN_H[[NAME]:['#]],20,0)</f>
        <v>0</v>
      </c>
      <c r="W88" s="75">
        <v>86</v>
      </c>
      <c r="Z88" s="101" t="s">
        <v>429</v>
      </c>
      <c r="AA88" s="77" t="s">
        <v>154</v>
      </c>
      <c r="AB88" s="77" t="s">
        <v>434</v>
      </c>
      <c r="AC88" s="130">
        <v>0.20408163265306123</v>
      </c>
      <c r="AD88" s="72">
        <v>0.2822085889570552</v>
      </c>
      <c r="AE88" s="72">
        <v>0.31292517006802723</v>
      </c>
      <c r="AF88" s="77">
        <v>39</v>
      </c>
      <c r="AG88" s="28">
        <v>147</v>
      </c>
      <c r="AH88" s="28">
        <v>15</v>
      </c>
      <c r="AI88" s="28">
        <v>30</v>
      </c>
      <c r="AJ88" s="28">
        <v>7</v>
      </c>
      <c r="AK88" s="28">
        <v>0</v>
      </c>
      <c r="AL88" s="28">
        <v>3</v>
      </c>
      <c r="AM88" s="28">
        <v>16</v>
      </c>
      <c r="AN88" s="28">
        <v>16</v>
      </c>
      <c r="AO88" s="28">
        <v>38</v>
      </c>
      <c r="AP88" s="77">
        <v>0</v>
      </c>
      <c r="AQ88" s="28">
        <v>0</v>
      </c>
      <c r="AR88" s="28">
        <v>9</v>
      </c>
      <c r="AS88" s="77">
        <v>46</v>
      </c>
      <c r="AT88" s="72">
        <v>0.59513375902508248</v>
      </c>
      <c r="AU88" s="28">
        <v>0</v>
      </c>
      <c r="AV88" s="75">
        <v>86</v>
      </c>
      <c r="AY88" s="101" t="s">
        <v>429</v>
      </c>
      <c r="AZ88" s="352" t="s">
        <v>154</v>
      </c>
      <c r="BA88" s="77" t="s">
        <v>434</v>
      </c>
      <c r="BB88" s="130">
        <v>0.33974358974358976</v>
      </c>
      <c r="BC88" s="72">
        <v>0.41142857142857142</v>
      </c>
      <c r="BD88" s="72">
        <v>0.6858974358974359</v>
      </c>
      <c r="BE88" s="77">
        <v>40</v>
      </c>
      <c r="BF88" s="28">
        <v>156</v>
      </c>
      <c r="BG88" s="28">
        <v>26</v>
      </c>
      <c r="BH88" s="28">
        <v>53</v>
      </c>
      <c r="BI88" s="28">
        <v>9</v>
      </c>
      <c r="BJ88" s="28">
        <v>0</v>
      </c>
      <c r="BK88" s="28">
        <v>15</v>
      </c>
      <c r="BL88" s="28">
        <v>29</v>
      </c>
      <c r="BM88" s="28">
        <v>19</v>
      </c>
      <c r="BN88" s="28">
        <v>38</v>
      </c>
      <c r="BO88" s="77">
        <v>0</v>
      </c>
      <c r="BP88" s="28">
        <v>7</v>
      </c>
      <c r="BQ88" s="28">
        <v>9</v>
      </c>
      <c r="BR88" s="77">
        <v>107</v>
      </c>
      <c r="BS88" s="72">
        <v>1.0973260073260074</v>
      </c>
      <c r="BT88" s="28">
        <v>3</v>
      </c>
      <c r="BU88" s="75">
        <v>86</v>
      </c>
    </row>
    <row r="89" spans="1:73">
      <c r="A89" s="101" t="s">
        <v>429</v>
      </c>
      <c r="B89" s="71" t="s">
        <v>172</v>
      </c>
      <c r="C89" s="71" t="s">
        <v>432</v>
      </c>
      <c r="D89" s="72">
        <f>VLOOKUP(Table106[[#This Row],[NAME]],MIN_H[[NAME]:['#]],2,0)</f>
        <v>0.24516129032258063</v>
      </c>
      <c r="E89" s="72">
        <f>VLOOKUP(Table106[[#This Row],[NAME]],MIN_H[[NAME]:['#]],3,0)</f>
        <v>0.31578947368421051</v>
      </c>
      <c r="F89" s="72">
        <f>VLOOKUP(Table106[[#This Row],[NAME]],MIN_H[[NAME]:['#]],4,0)</f>
        <v>0.44516129032258067</v>
      </c>
      <c r="G89" s="77">
        <f>VLOOKUP(Table106[[#This Row],[NAME]],MIN_H[[NAME]:['#]],5,0)</f>
        <v>40</v>
      </c>
      <c r="H89" s="28">
        <f>VLOOKUP(Table106[[#This Row],[NAME]],MIN_H[[NAME]:['#]],6,0)</f>
        <v>155</v>
      </c>
      <c r="I89" s="28">
        <f>VLOOKUP(Table106[[#This Row],[NAME]],MIN_H[[NAME]:['#]],7,0)</f>
        <v>24</v>
      </c>
      <c r="J89" s="28">
        <f>VLOOKUP(Table106[[#This Row],[NAME]],MIN_H[[NAME]:['#]],8,0)</f>
        <v>38</v>
      </c>
      <c r="K89" s="28">
        <f>VLOOKUP(Table106[[#This Row],[NAME]],MIN_H[[NAME]:['#]],9,0)</f>
        <v>7</v>
      </c>
      <c r="L89" s="28">
        <f>VLOOKUP(Table106[[#This Row],[NAME]],MIN_H[[NAME]:['#]],10,0)</f>
        <v>0</v>
      </c>
      <c r="M89" s="28">
        <f>VLOOKUP(Table106[[#This Row],[NAME]],MIN_H[[NAME]:['#]],11,0)</f>
        <v>8</v>
      </c>
      <c r="N89" s="28">
        <f>VLOOKUP(Table106[[#This Row],[NAME]],MIN_H[[NAME]:['#]],12,0)</f>
        <v>25</v>
      </c>
      <c r="O89" s="28">
        <f>VLOOKUP(Table106[[#This Row],[NAME]],MIN_H[[NAME]:['#]],13,0)</f>
        <v>16</v>
      </c>
      <c r="P89" s="28">
        <f>VLOOKUP(Table106[[#This Row],[NAME]],MIN_H[[NAME]:['#]],14,0)</f>
        <v>44</v>
      </c>
      <c r="Q89" s="77">
        <f>VLOOKUP(Table106[[#This Row],[NAME]],MIN_H[[NAME]:['#]],15,0)</f>
        <v>0</v>
      </c>
      <c r="R89" s="28">
        <f>VLOOKUP(Table106[[#This Row],[NAME]],MIN_H[[NAME]:['#]],16,0)</f>
        <v>0</v>
      </c>
      <c r="S89" s="28">
        <f>VLOOKUP(Table106[[#This Row],[NAME]],MIN_H[[NAME]:['#]],17,0)</f>
        <v>9</v>
      </c>
      <c r="T89" s="77">
        <f>VLOOKUP(Table106[[#This Row],[NAME]],MIN_H[[NAME]:['#]],18,0)</f>
        <v>69</v>
      </c>
      <c r="U89" s="72">
        <f>VLOOKUP(Table106[[#This Row],[NAME]],MIN_H[[NAME]:['#]],19,0)</f>
        <v>0.76095076400679118</v>
      </c>
      <c r="V89" s="28">
        <f>VLOOKUP(Table106[[#This Row],[NAME]],MIN_H[[NAME]:['#]],20,0)</f>
        <v>5</v>
      </c>
      <c r="W89" s="75">
        <v>87</v>
      </c>
      <c r="Z89" s="101" t="s">
        <v>429</v>
      </c>
      <c r="AA89" s="77" t="s">
        <v>172</v>
      </c>
      <c r="AB89" s="77" t="s">
        <v>432</v>
      </c>
      <c r="AC89" s="130">
        <v>0.26712328767123289</v>
      </c>
      <c r="AD89" s="72">
        <v>0.35542168674698793</v>
      </c>
      <c r="AE89" s="72">
        <v>0.46575342465753422</v>
      </c>
      <c r="AF89" s="77">
        <v>39</v>
      </c>
      <c r="AG89" s="28">
        <v>146</v>
      </c>
      <c r="AH89" s="28">
        <v>20</v>
      </c>
      <c r="AI89" s="28">
        <v>39</v>
      </c>
      <c r="AJ89" s="28">
        <v>6</v>
      </c>
      <c r="AK89" s="28">
        <v>1</v>
      </c>
      <c r="AL89" s="28">
        <v>7</v>
      </c>
      <c r="AM89" s="28">
        <v>14</v>
      </c>
      <c r="AN89" s="28">
        <v>20</v>
      </c>
      <c r="AO89" s="28">
        <v>36</v>
      </c>
      <c r="AP89" s="77">
        <v>0</v>
      </c>
      <c r="AQ89" s="28">
        <v>1</v>
      </c>
      <c r="AR89" s="28">
        <v>9</v>
      </c>
      <c r="AS89" s="77">
        <v>68</v>
      </c>
      <c r="AT89" s="72">
        <v>0.82117511140452215</v>
      </c>
      <c r="AU89" s="28">
        <v>2</v>
      </c>
      <c r="AV89" s="75">
        <v>87</v>
      </c>
      <c r="AY89" s="101" t="s">
        <v>429</v>
      </c>
      <c r="AZ89" s="352" t="s">
        <v>172</v>
      </c>
      <c r="BA89" s="77" t="s">
        <v>435</v>
      </c>
      <c r="BB89" s="130">
        <v>0.38124999999999998</v>
      </c>
      <c r="BC89" s="72">
        <v>0.41764705882352943</v>
      </c>
      <c r="BD89" s="72">
        <v>0.63749999999999996</v>
      </c>
      <c r="BE89" s="77">
        <v>40</v>
      </c>
      <c r="BF89" s="28">
        <v>160</v>
      </c>
      <c r="BG89" s="28">
        <v>26</v>
      </c>
      <c r="BH89" s="28">
        <v>61</v>
      </c>
      <c r="BI89" s="28">
        <v>7</v>
      </c>
      <c r="BJ89" s="28">
        <v>2</v>
      </c>
      <c r="BK89" s="28">
        <v>10</v>
      </c>
      <c r="BL89" s="28">
        <v>29</v>
      </c>
      <c r="BM89" s="28">
        <v>10</v>
      </c>
      <c r="BN89" s="28">
        <v>32</v>
      </c>
      <c r="BO89" s="77">
        <v>0</v>
      </c>
      <c r="BP89" s="28">
        <v>0</v>
      </c>
      <c r="BQ89" s="28">
        <v>11</v>
      </c>
      <c r="BR89" s="77">
        <v>102</v>
      </c>
      <c r="BS89" s="72">
        <v>1.0551470588235294</v>
      </c>
      <c r="BT89" s="28">
        <v>4</v>
      </c>
      <c r="BU89" s="75">
        <v>87</v>
      </c>
    </row>
    <row r="90" spans="1:73">
      <c r="A90" s="101" t="s">
        <v>429</v>
      </c>
      <c r="B90" s="71" t="s">
        <v>153</v>
      </c>
      <c r="C90" s="71" t="s">
        <v>435</v>
      </c>
      <c r="D90" s="72">
        <f>VLOOKUP(Table106[[#This Row],[NAME]],MIN_H[[NAME]:['#]],2,0)</f>
        <v>0.2</v>
      </c>
      <c r="E90" s="72">
        <f>VLOOKUP(Table106[[#This Row],[NAME]],MIN_H[[NAME]:['#]],3,0)</f>
        <v>0.29411764705882354</v>
      </c>
      <c r="F90" s="72">
        <f>VLOOKUP(Table106[[#This Row],[NAME]],MIN_H[[NAME]:['#]],4,0)</f>
        <v>0.25714285714285712</v>
      </c>
      <c r="G90" s="77">
        <f>VLOOKUP(Table106[[#This Row],[NAME]],MIN_H[[NAME]:['#]],5,0)</f>
        <v>32</v>
      </c>
      <c r="H90" s="28">
        <f>VLOOKUP(Table106[[#This Row],[NAME]],MIN_H[[NAME]:['#]],6,0)</f>
        <v>105</v>
      </c>
      <c r="I90" s="28">
        <f>VLOOKUP(Table106[[#This Row],[NAME]],MIN_H[[NAME]:['#]],7,0)</f>
        <v>9</v>
      </c>
      <c r="J90" s="28">
        <f>VLOOKUP(Table106[[#This Row],[NAME]],MIN_H[[NAME]:['#]],8,0)</f>
        <v>21</v>
      </c>
      <c r="K90" s="28">
        <f>VLOOKUP(Table106[[#This Row],[NAME]],MIN_H[[NAME]:['#]],9,0)</f>
        <v>3</v>
      </c>
      <c r="L90" s="28">
        <f>VLOOKUP(Table106[[#This Row],[NAME]],MIN_H[[NAME]:['#]],10,0)</f>
        <v>0</v>
      </c>
      <c r="M90" s="28">
        <f>VLOOKUP(Table106[[#This Row],[NAME]],MIN_H[[NAME]:['#]],11,0)</f>
        <v>1</v>
      </c>
      <c r="N90" s="28">
        <f>VLOOKUP(Table106[[#This Row],[NAME]],MIN_H[[NAME]:['#]],12,0)</f>
        <v>7</v>
      </c>
      <c r="O90" s="28">
        <f>VLOOKUP(Table106[[#This Row],[NAME]],MIN_H[[NAME]:['#]],13,0)</f>
        <v>14</v>
      </c>
      <c r="P90" s="28">
        <f>VLOOKUP(Table106[[#This Row],[NAME]],MIN_H[[NAME]:['#]],14,0)</f>
        <v>29</v>
      </c>
      <c r="Q90" s="77">
        <f>VLOOKUP(Table106[[#This Row],[NAME]],MIN_H[[NAME]:['#]],15,0)</f>
        <v>0</v>
      </c>
      <c r="R90" s="28">
        <f>VLOOKUP(Table106[[#This Row],[NAME]],MIN_H[[NAME]:['#]],16,0)</f>
        <v>0</v>
      </c>
      <c r="S90" s="28">
        <f>VLOOKUP(Table106[[#This Row],[NAME]],MIN_H[[NAME]:['#]],17,0)</f>
        <v>6</v>
      </c>
      <c r="T90" s="77">
        <f>VLOOKUP(Table106[[#This Row],[NAME]],MIN_H[[NAME]:['#]],18,0)</f>
        <v>27</v>
      </c>
      <c r="U90" s="72">
        <f>VLOOKUP(Table106[[#This Row],[NAME]],MIN_H[[NAME]:['#]],19,0)</f>
        <v>0.55126050420168071</v>
      </c>
      <c r="V90" s="28">
        <f>VLOOKUP(Table106[[#This Row],[NAME]],MIN_H[[NAME]:['#]],20,0)</f>
        <v>1</v>
      </c>
      <c r="W90" s="75">
        <v>88</v>
      </c>
      <c r="Z90" s="101" t="s">
        <v>429</v>
      </c>
      <c r="AA90" s="77" t="s">
        <v>153</v>
      </c>
      <c r="AB90" s="77" t="s">
        <v>435</v>
      </c>
      <c r="AC90" s="130">
        <v>0.22480620155038761</v>
      </c>
      <c r="AD90" s="72">
        <v>0.29577464788732394</v>
      </c>
      <c r="AE90" s="72">
        <v>0.41860465116279072</v>
      </c>
      <c r="AF90" s="77">
        <v>34</v>
      </c>
      <c r="AG90" s="28">
        <v>129</v>
      </c>
      <c r="AH90" s="28">
        <v>15</v>
      </c>
      <c r="AI90" s="28">
        <v>29</v>
      </c>
      <c r="AJ90" s="28">
        <v>6</v>
      </c>
      <c r="AK90" s="28">
        <v>2</v>
      </c>
      <c r="AL90" s="28">
        <v>5</v>
      </c>
      <c r="AM90" s="28">
        <v>16</v>
      </c>
      <c r="AN90" s="28">
        <v>13</v>
      </c>
      <c r="AO90" s="28">
        <v>30</v>
      </c>
      <c r="AP90" s="77">
        <v>0</v>
      </c>
      <c r="AQ90" s="28">
        <v>2</v>
      </c>
      <c r="AR90" s="28">
        <v>4</v>
      </c>
      <c r="AS90" s="77">
        <v>54</v>
      </c>
      <c r="AT90" s="72">
        <v>0.71437929905011466</v>
      </c>
      <c r="AU90" s="28">
        <v>3</v>
      </c>
      <c r="AV90" s="75">
        <v>88</v>
      </c>
      <c r="AY90" s="101" t="s">
        <v>429</v>
      </c>
      <c r="AZ90" s="77" t="s">
        <v>153</v>
      </c>
      <c r="BA90" s="77" t="s">
        <v>438</v>
      </c>
      <c r="BB90" s="130">
        <v>0.28000000000000003</v>
      </c>
      <c r="BC90" s="72">
        <v>0.34306569343065696</v>
      </c>
      <c r="BD90" s="72">
        <v>0.33600000000000002</v>
      </c>
      <c r="BE90" s="77">
        <v>37</v>
      </c>
      <c r="BF90" s="28">
        <v>125</v>
      </c>
      <c r="BG90" s="28">
        <v>16</v>
      </c>
      <c r="BH90" s="28">
        <v>35</v>
      </c>
      <c r="BI90" s="28">
        <v>7</v>
      </c>
      <c r="BJ90" s="28">
        <v>0</v>
      </c>
      <c r="BK90" s="28">
        <v>0</v>
      </c>
      <c r="BL90" s="28">
        <v>13</v>
      </c>
      <c r="BM90" s="28">
        <v>12</v>
      </c>
      <c r="BN90" s="28">
        <v>21</v>
      </c>
      <c r="BO90" s="77">
        <v>0</v>
      </c>
      <c r="BP90" s="28">
        <v>2</v>
      </c>
      <c r="BQ90" s="28">
        <v>6</v>
      </c>
      <c r="BR90" s="77">
        <v>42</v>
      </c>
      <c r="BS90" s="72">
        <v>0.67906569343065692</v>
      </c>
      <c r="BT90" s="28">
        <v>0</v>
      </c>
      <c r="BU90" s="75">
        <v>88</v>
      </c>
    </row>
    <row r="91" spans="1:73">
      <c r="A91" s="101" t="s">
        <v>429</v>
      </c>
      <c r="B91" s="71" t="s">
        <v>177</v>
      </c>
      <c r="C91" s="71" t="s">
        <v>439</v>
      </c>
      <c r="D91" s="72">
        <f>VLOOKUP(Table106[[#This Row],[NAME]],MIN_H[[NAME]:['#]],2,0)</f>
        <v>0.18518518518518517</v>
      </c>
      <c r="E91" s="72">
        <f>VLOOKUP(Table106[[#This Row],[NAME]],MIN_H[[NAME]:['#]],3,0)</f>
        <v>0.2413793103448276</v>
      </c>
      <c r="F91" s="72">
        <f>VLOOKUP(Table106[[#This Row],[NAME]],MIN_H[[NAME]:['#]],4,0)</f>
        <v>0.37037037037037035</v>
      </c>
      <c r="G91" s="77">
        <f>VLOOKUP(Table106[[#This Row],[NAME]],MIN_H[[NAME]:['#]],5,0)</f>
        <v>23</v>
      </c>
      <c r="H91" s="28">
        <f>VLOOKUP(Table106[[#This Row],[NAME]],MIN_H[[NAME]:['#]],6,0)</f>
        <v>81</v>
      </c>
      <c r="I91" s="28">
        <f>VLOOKUP(Table106[[#This Row],[NAME]],MIN_H[[NAME]:['#]],7,0)</f>
        <v>6</v>
      </c>
      <c r="J91" s="28">
        <f>VLOOKUP(Table106[[#This Row],[NAME]],MIN_H[[NAME]:['#]],8,0)</f>
        <v>15</v>
      </c>
      <c r="K91" s="28">
        <f>VLOOKUP(Table106[[#This Row],[NAME]],MIN_H[[NAME]:['#]],9,0)</f>
        <v>3</v>
      </c>
      <c r="L91" s="28">
        <f>VLOOKUP(Table106[[#This Row],[NAME]],MIN_H[[NAME]:['#]],10,0)</f>
        <v>0</v>
      </c>
      <c r="M91" s="28">
        <f>VLOOKUP(Table106[[#This Row],[NAME]],MIN_H[[NAME]:['#]],11,0)</f>
        <v>4</v>
      </c>
      <c r="N91" s="28">
        <f>VLOOKUP(Table106[[#This Row],[NAME]],MIN_H[[NAME]:['#]],12,0)</f>
        <v>13</v>
      </c>
      <c r="O91" s="28">
        <f>VLOOKUP(Table106[[#This Row],[NAME]],MIN_H[[NAME]:['#]],13,0)</f>
        <v>6</v>
      </c>
      <c r="P91" s="28">
        <f>VLOOKUP(Table106[[#This Row],[NAME]],MIN_H[[NAME]:['#]],14,0)</f>
        <v>35</v>
      </c>
      <c r="Q91" s="77">
        <f>VLOOKUP(Table106[[#This Row],[NAME]],MIN_H[[NAME]:['#]],15,0)</f>
        <v>0</v>
      </c>
      <c r="R91" s="28">
        <f>VLOOKUP(Table106[[#This Row],[NAME]],MIN_H[[NAME]:['#]],16,0)</f>
        <v>0</v>
      </c>
      <c r="S91" s="28">
        <f>VLOOKUP(Table106[[#This Row],[NAME]],MIN_H[[NAME]:['#]],17,0)</f>
        <v>6</v>
      </c>
      <c r="T91" s="77">
        <f>VLOOKUP(Table106[[#This Row],[NAME]],MIN_H[[NAME]:['#]],18,0)</f>
        <v>30</v>
      </c>
      <c r="U91" s="72">
        <f>VLOOKUP(Table106[[#This Row],[NAME]],MIN_H[[NAME]:['#]],19,0)</f>
        <v>0.61174968071519797</v>
      </c>
      <c r="V91" s="28">
        <f>VLOOKUP(Table106[[#This Row],[NAME]],MIN_H[[NAME]:['#]],20,0)</f>
        <v>1</v>
      </c>
      <c r="W91" s="75">
        <v>89</v>
      </c>
      <c r="Z91" s="101" t="s">
        <v>429</v>
      </c>
      <c r="AA91" s="77" t="s">
        <v>177</v>
      </c>
      <c r="AB91" s="77" t="s">
        <v>445</v>
      </c>
      <c r="AC91" s="130">
        <v>0.21875</v>
      </c>
      <c r="AD91" s="72">
        <v>0.2857142857142857</v>
      </c>
      <c r="AE91" s="72">
        <v>0.375</v>
      </c>
      <c r="AF91" s="77">
        <v>8</v>
      </c>
      <c r="AG91" s="28">
        <v>32</v>
      </c>
      <c r="AH91" s="28">
        <v>2</v>
      </c>
      <c r="AI91" s="28">
        <v>7</v>
      </c>
      <c r="AJ91" s="28">
        <v>2</v>
      </c>
      <c r="AK91" s="28">
        <v>0</v>
      </c>
      <c r="AL91" s="28">
        <v>1</v>
      </c>
      <c r="AM91" s="28">
        <v>1</v>
      </c>
      <c r="AN91" s="28">
        <v>3</v>
      </c>
      <c r="AO91" s="28">
        <v>5</v>
      </c>
      <c r="AP91" s="77">
        <v>0</v>
      </c>
      <c r="AQ91" s="28">
        <v>3</v>
      </c>
      <c r="AR91" s="28">
        <v>3</v>
      </c>
      <c r="AS91" s="77">
        <v>12</v>
      </c>
      <c r="AT91" s="72">
        <v>0.6607142857142857</v>
      </c>
      <c r="AU91" s="28">
        <v>0</v>
      </c>
      <c r="AV91" s="75">
        <v>89</v>
      </c>
      <c r="AY91" s="101" t="s">
        <v>429</v>
      </c>
      <c r="AZ91" s="77" t="s">
        <v>177</v>
      </c>
      <c r="BA91" s="77" t="s">
        <v>439</v>
      </c>
      <c r="BB91" s="130">
        <v>0.1728395061728395</v>
      </c>
      <c r="BC91" s="72">
        <v>0.23863636363636365</v>
      </c>
      <c r="BD91" s="72">
        <v>0.40740740740740738</v>
      </c>
      <c r="BE91" s="77">
        <v>25</v>
      </c>
      <c r="BF91" s="28">
        <v>81</v>
      </c>
      <c r="BG91" s="28">
        <v>14</v>
      </c>
      <c r="BH91" s="28">
        <v>14</v>
      </c>
      <c r="BI91" s="28">
        <v>4</v>
      </c>
      <c r="BJ91" s="28">
        <v>0</v>
      </c>
      <c r="BK91" s="28">
        <v>5</v>
      </c>
      <c r="BL91" s="28">
        <v>10</v>
      </c>
      <c r="BM91" s="28">
        <v>7</v>
      </c>
      <c r="BN91" s="28">
        <v>33</v>
      </c>
      <c r="BO91" s="77">
        <v>0</v>
      </c>
      <c r="BP91" s="28">
        <v>0</v>
      </c>
      <c r="BQ91" s="28">
        <v>3</v>
      </c>
      <c r="BR91" s="77">
        <v>33</v>
      </c>
      <c r="BS91" s="72">
        <v>0.64604377104377098</v>
      </c>
      <c r="BT91" s="28">
        <v>1</v>
      </c>
      <c r="BU91" s="75">
        <v>89</v>
      </c>
    </row>
    <row r="92" spans="1:73">
      <c r="A92" s="101" t="s">
        <v>429</v>
      </c>
      <c r="B92" s="71" t="s">
        <v>174</v>
      </c>
      <c r="C92" s="71" t="s">
        <v>433</v>
      </c>
      <c r="D92" s="72">
        <f>VLOOKUP(Table106[[#This Row],[NAME]],MIN_H[[NAME]:['#]],2,0)</f>
        <v>0.27544910179640719</v>
      </c>
      <c r="E92" s="72">
        <f>VLOOKUP(Table106[[#This Row],[NAME]],MIN_H[[NAME]:['#]],3,0)</f>
        <v>0.30857142857142855</v>
      </c>
      <c r="F92" s="72">
        <f>VLOOKUP(Table106[[#This Row],[NAME]],MIN_H[[NAME]:['#]],4,0)</f>
        <v>0.40718562874251496</v>
      </c>
      <c r="G92" s="77">
        <f>VLOOKUP(Table106[[#This Row],[NAME]],MIN_H[[NAME]:['#]],5,0)</f>
        <v>40</v>
      </c>
      <c r="H92" s="28">
        <f>VLOOKUP(Table106[[#This Row],[NAME]],MIN_H[[NAME]:['#]],6,0)</f>
        <v>167</v>
      </c>
      <c r="I92" s="28">
        <f>VLOOKUP(Table106[[#This Row],[NAME]],MIN_H[[NAME]:['#]],7,0)</f>
        <v>15</v>
      </c>
      <c r="J92" s="28">
        <f>VLOOKUP(Table106[[#This Row],[NAME]],MIN_H[[NAME]:['#]],8,0)</f>
        <v>46</v>
      </c>
      <c r="K92" s="28">
        <f>VLOOKUP(Table106[[#This Row],[NAME]],MIN_H[[NAME]:['#]],9,0)</f>
        <v>8</v>
      </c>
      <c r="L92" s="28">
        <f>VLOOKUP(Table106[[#This Row],[NAME]],MIN_H[[NAME]:['#]],10,0)</f>
        <v>1</v>
      </c>
      <c r="M92" s="28">
        <f>VLOOKUP(Table106[[#This Row],[NAME]],MIN_H[[NAME]:['#]],11,0)</f>
        <v>4</v>
      </c>
      <c r="N92" s="28">
        <f>VLOOKUP(Table106[[#This Row],[NAME]],MIN_H[[NAME]:['#]],12,0)</f>
        <v>14</v>
      </c>
      <c r="O92" s="28">
        <f>VLOOKUP(Table106[[#This Row],[NAME]],MIN_H[[NAME]:['#]],13,0)</f>
        <v>8</v>
      </c>
      <c r="P92" s="28">
        <f>VLOOKUP(Table106[[#This Row],[NAME]],MIN_H[[NAME]:['#]],14,0)</f>
        <v>37</v>
      </c>
      <c r="Q92" s="77">
        <f>VLOOKUP(Table106[[#This Row],[NAME]],MIN_H[[NAME]:['#]],15,0)</f>
        <v>0</v>
      </c>
      <c r="R92" s="28">
        <f>VLOOKUP(Table106[[#This Row],[NAME]],MIN_H[[NAME]:['#]],16,0)</f>
        <v>2</v>
      </c>
      <c r="S92" s="28">
        <f>VLOOKUP(Table106[[#This Row],[NAME]],MIN_H[[NAME]:['#]],17,0)</f>
        <v>8</v>
      </c>
      <c r="T92" s="77">
        <f>VLOOKUP(Table106[[#This Row],[NAME]],MIN_H[[NAME]:['#]],18,0)</f>
        <v>68</v>
      </c>
      <c r="U92" s="72">
        <f>VLOOKUP(Table106[[#This Row],[NAME]],MIN_H[[NAME]:['#]],19,0)</f>
        <v>0.71575705731394357</v>
      </c>
      <c r="V92" s="28">
        <f>VLOOKUP(Table106[[#This Row],[NAME]],MIN_H[[NAME]:['#]],20,0)</f>
        <v>0</v>
      </c>
      <c r="W92" s="75">
        <v>90</v>
      </c>
      <c r="Z92" s="101" t="s">
        <v>429</v>
      </c>
      <c r="AA92" s="77" t="s">
        <v>174</v>
      </c>
      <c r="AB92" s="77" t="s">
        <v>433</v>
      </c>
      <c r="AC92" s="130">
        <v>0.2982456140350877</v>
      </c>
      <c r="AD92" s="72">
        <v>0.34782608695652173</v>
      </c>
      <c r="AE92" s="72">
        <v>0.51461988304093564</v>
      </c>
      <c r="AF92" s="77">
        <v>40</v>
      </c>
      <c r="AG92" s="28">
        <v>171</v>
      </c>
      <c r="AH92" s="28">
        <v>17</v>
      </c>
      <c r="AI92" s="28">
        <v>51</v>
      </c>
      <c r="AJ92" s="28">
        <v>12</v>
      </c>
      <c r="AK92" s="28">
        <v>2</v>
      </c>
      <c r="AL92" s="28">
        <v>7</v>
      </c>
      <c r="AM92" s="28">
        <v>29</v>
      </c>
      <c r="AN92" s="28">
        <v>13</v>
      </c>
      <c r="AO92" s="28">
        <v>27</v>
      </c>
      <c r="AP92" s="77">
        <v>0</v>
      </c>
      <c r="AQ92" s="28">
        <v>3</v>
      </c>
      <c r="AR92" s="28">
        <v>7</v>
      </c>
      <c r="AS92" s="77">
        <v>88</v>
      </c>
      <c r="AT92" s="72">
        <v>0.86244596999745737</v>
      </c>
      <c r="AU92" s="28">
        <v>6</v>
      </c>
      <c r="AV92" s="75">
        <v>90</v>
      </c>
      <c r="AY92" s="101" t="s">
        <v>429</v>
      </c>
      <c r="AZ92" s="77" t="s">
        <v>174</v>
      </c>
      <c r="BA92" s="77" t="s">
        <v>446</v>
      </c>
      <c r="BB92" s="130">
        <v>0.2</v>
      </c>
      <c r="BC92" s="72">
        <v>0.23404255319148937</v>
      </c>
      <c r="BD92" s="72">
        <v>0.26666666666666666</v>
      </c>
      <c r="BE92" s="77">
        <v>16</v>
      </c>
      <c r="BF92" s="28">
        <v>45</v>
      </c>
      <c r="BG92" s="28">
        <v>4</v>
      </c>
      <c r="BH92" s="28">
        <v>9</v>
      </c>
      <c r="BI92" s="28">
        <v>1</v>
      </c>
      <c r="BJ92" s="28">
        <v>1</v>
      </c>
      <c r="BK92" s="28">
        <v>0</v>
      </c>
      <c r="BL92" s="28">
        <v>3</v>
      </c>
      <c r="BM92" s="28">
        <v>2</v>
      </c>
      <c r="BN92" s="28">
        <v>11</v>
      </c>
      <c r="BO92" s="77">
        <v>0</v>
      </c>
      <c r="BP92" s="28">
        <v>0</v>
      </c>
      <c r="BQ92" s="28">
        <v>3</v>
      </c>
      <c r="BR92" s="77">
        <v>12</v>
      </c>
      <c r="BS92" s="72">
        <v>0.50070921985815597</v>
      </c>
      <c r="BT92" s="28">
        <v>1</v>
      </c>
      <c r="BU92" s="75">
        <v>90</v>
      </c>
    </row>
    <row r="93" spans="1:73">
      <c r="A93" s="101" t="s">
        <v>429</v>
      </c>
      <c r="B93" s="71" t="s">
        <v>181</v>
      </c>
      <c r="C93" s="71" t="s">
        <v>430</v>
      </c>
      <c r="D93" s="72">
        <f>VLOOKUP(Table106[[#This Row],[NAME]],MIN_H[[NAME]:['#]],2,0)</f>
        <v>0.31818181818181818</v>
      </c>
      <c r="E93" s="72">
        <f>VLOOKUP(Table106[[#This Row],[NAME]],MIN_H[[NAME]:['#]],3,0)</f>
        <v>0.34782608695652173</v>
      </c>
      <c r="F93" s="72">
        <f>VLOOKUP(Table106[[#This Row],[NAME]],MIN_H[[NAME]:['#]],4,0)</f>
        <v>0.57792207792207795</v>
      </c>
      <c r="G93" s="77">
        <f>VLOOKUP(Table106[[#This Row],[NAME]],MIN_H[[NAME]:['#]],5,0)</f>
        <v>40</v>
      </c>
      <c r="H93" s="28">
        <f>VLOOKUP(Table106[[#This Row],[NAME]],MIN_H[[NAME]:['#]],6,0)</f>
        <v>154</v>
      </c>
      <c r="I93" s="28">
        <f>VLOOKUP(Table106[[#This Row],[NAME]],MIN_H[[NAME]:['#]],7,0)</f>
        <v>21</v>
      </c>
      <c r="J93" s="28">
        <f>VLOOKUP(Table106[[#This Row],[NAME]],MIN_H[[NAME]:['#]],8,0)</f>
        <v>49</v>
      </c>
      <c r="K93" s="28">
        <f>VLOOKUP(Table106[[#This Row],[NAME]],MIN_H[[NAME]:['#]],9,0)</f>
        <v>3</v>
      </c>
      <c r="L93" s="28">
        <f>VLOOKUP(Table106[[#This Row],[NAME]],MIN_H[[NAME]:['#]],10,0)</f>
        <v>2</v>
      </c>
      <c r="M93" s="28">
        <f>VLOOKUP(Table106[[#This Row],[NAME]],MIN_H[[NAME]:['#]],11,0)</f>
        <v>11</v>
      </c>
      <c r="N93" s="28">
        <f>VLOOKUP(Table106[[#This Row],[NAME]],MIN_H[[NAME]:['#]],12,0)</f>
        <v>29</v>
      </c>
      <c r="O93" s="28">
        <f>VLOOKUP(Table106[[#This Row],[NAME]],MIN_H[[NAME]:['#]],13,0)</f>
        <v>7</v>
      </c>
      <c r="P93" s="28">
        <f>VLOOKUP(Table106[[#This Row],[NAME]],MIN_H[[NAME]:['#]],14,0)</f>
        <v>30</v>
      </c>
      <c r="Q93" s="77">
        <f>VLOOKUP(Table106[[#This Row],[NAME]],MIN_H[[NAME]:['#]],15,0)</f>
        <v>0</v>
      </c>
      <c r="R93" s="28">
        <f>VLOOKUP(Table106[[#This Row],[NAME]],MIN_H[[NAME]:['#]],16,0)</f>
        <v>1</v>
      </c>
      <c r="S93" s="28">
        <f>VLOOKUP(Table106[[#This Row],[NAME]],MIN_H[[NAME]:['#]],17,0)</f>
        <v>11</v>
      </c>
      <c r="T93" s="77">
        <f>VLOOKUP(Table106[[#This Row],[NAME]],MIN_H[[NAME]:['#]],18,0)</f>
        <v>89</v>
      </c>
      <c r="U93" s="72">
        <f>VLOOKUP(Table106[[#This Row],[NAME]],MIN_H[[NAME]:['#]],19,0)</f>
        <v>0.92574816487859968</v>
      </c>
      <c r="V93" s="28">
        <f>VLOOKUP(Table106[[#This Row],[NAME]],MIN_H[[NAME]:['#]],20,0)</f>
        <v>5</v>
      </c>
      <c r="W93" s="75">
        <v>91</v>
      </c>
      <c r="Z93" s="101" t="s">
        <v>429</v>
      </c>
      <c r="AA93" s="77" t="s">
        <v>181</v>
      </c>
      <c r="AB93" s="77" t="s">
        <v>430</v>
      </c>
      <c r="AC93" s="130">
        <v>0.25517241379310346</v>
      </c>
      <c r="AD93" s="72">
        <v>0.32919254658385094</v>
      </c>
      <c r="AE93" s="72">
        <v>0.56551724137931036</v>
      </c>
      <c r="AF93" s="77">
        <v>39</v>
      </c>
      <c r="AG93" s="28">
        <v>145</v>
      </c>
      <c r="AH93" s="28">
        <v>23</v>
      </c>
      <c r="AI93" s="28">
        <v>37</v>
      </c>
      <c r="AJ93" s="28">
        <v>8</v>
      </c>
      <c r="AK93" s="28">
        <v>2</v>
      </c>
      <c r="AL93" s="28">
        <v>11</v>
      </c>
      <c r="AM93" s="28">
        <v>24</v>
      </c>
      <c r="AN93" s="28">
        <v>16</v>
      </c>
      <c r="AO93" s="28">
        <v>30</v>
      </c>
      <c r="AP93" s="77">
        <v>0</v>
      </c>
      <c r="AQ93" s="28">
        <v>0</v>
      </c>
      <c r="AR93" s="28">
        <v>4</v>
      </c>
      <c r="AS93" s="77">
        <v>82</v>
      </c>
      <c r="AT93" s="72">
        <v>0.89470978796316136</v>
      </c>
      <c r="AU93" s="28">
        <v>0</v>
      </c>
      <c r="AV93" s="75">
        <v>91</v>
      </c>
      <c r="AY93" s="101" t="s">
        <v>429</v>
      </c>
      <c r="AZ93" s="77" t="s">
        <v>181</v>
      </c>
      <c r="BA93" s="77" t="s">
        <v>433</v>
      </c>
      <c r="BB93" s="130">
        <v>0.29069767441860467</v>
      </c>
      <c r="BC93" s="72">
        <v>0.33695652173913043</v>
      </c>
      <c r="BD93" s="72">
        <v>0.45930232558139533</v>
      </c>
      <c r="BE93" s="77">
        <v>40</v>
      </c>
      <c r="BF93" s="28">
        <v>172</v>
      </c>
      <c r="BG93" s="28">
        <v>25</v>
      </c>
      <c r="BH93" s="28">
        <v>50</v>
      </c>
      <c r="BI93" s="28">
        <v>12</v>
      </c>
      <c r="BJ93" s="28">
        <v>1</v>
      </c>
      <c r="BK93" s="28">
        <v>5</v>
      </c>
      <c r="BL93" s="28">
        <v>23</v>
      </c>
      <c r="BM93" s="28">
        <v>12</v>
      </c>
      <c r="BN93" s="28">
        <v>29</v>
      </c>
      <c r="BO93" s="77">
        <v>1</v>
      </c>
      <c r="BP93" s="28">
        <v>2</v>
      </c>
      <c r="BQ93" s="28">
        <v>8</v>
      </c>
      <c r="BR93" s="77">
        <v>79</v>
      </c>
      <c r="BS93" s="72">
        <v>0.79625884732052576</v>
      </c>
      <c r="BT93" s="28">
        <v>2</v>
      </c>
      <c r="BU93" s="75">
        <v>91</v>
      </c>
    </row>
    <row r="94" spans="1:73">
      <c r="A94" s="101" t="s">
        <v>429</v>
      </c>
      <c r="B94" s="71" t="s">
        <v>166</v>
      </c>
      <c r="C94" s="71" t="s">
        <v>431</v>
      </c>
      <c r="D94" s="72">
        <f>VLOOKUP(Table106[[#This Row],[NAME]],MIN_H[[NAME]:['#]],2,0)</f>
        <v>0.17751479289940827</v>
      </c>
      <c r="E94" s="72">
        <f>VLOOKUP(Table106[[#This Row],[NAME]],MIN_H[[NAME]:['#]],3,0)</f>
        <v>0.25268817204301075</v>
      </c>
      <c r="F94" s="72">
        <f>VLOOKUP(Table106[[#This Row],[NAME]],MIN_H[[NAME]:['#]],4,0)</f>
        <v>0.36094674556213019</v>
      </c>
      <c r="G94" s="77">
        <f>VLOOKUP(Table106[[#This Row],[NAME]],MIN_H[[NAME]:['#]],5,0)</f>
        <v>40</v>
      </c>
      <c r="H94" s="28">
        <f>VLOOKUP(Table106[[#This Row],[NAME]],MIN_H[[NAME]:['#]],6,0)</f>
        <v>169</v>
      </c>
      <c r="I94" s="28">
        <f>VLOOKUP(Table106[[#This Row],[NAME]],MIN_H[[NAME]:['#]],7,0)</f>
        <v>19</v>
      </c>
      <c r="J94" s="28">
        <f>VLOOKUP(Table106[[#This Row],[NAME]],MIN_H[[NAME]:['#]],8,0)</f>
        <v>30</v>
      </c>
      <c r="K94" s="28">
        <f>VLOOKUP(Table106[[#This Row],[NAME]],MIN_H[[NAME]:['#]],9,0)</f>
        <v>7</v>
      </c>
      <c r="L94" s="28">
        <f>VLOOKUP(Table106[[#This Row],[NAME]],MIN_H[[NAME]:['#]],10,0)</f>
        <v>0</v>
      </c>
      <c r="M94" s="28">
        <f>VLOOKUP(Table106[[#This Row],[NAME]],MIN_H[[NAME]:['#]],11,0)</f>
        <v>8</v>
      </c>
      <c r="N94" s="28">
        <f>VLOOKUP(Table106[[#This Row],[NAME]],MIN_H[[NAME]:['#]],12,0)</f>
        <v>14</v>
      </c>
      <c r="O94" s="28">
        <f>VLOOKUP(Table106[[#This Row],[NAME]],MIN_H[[NAME]:['#]],13,0)</f>
        <v>17</v>
      </c>
      <c r="P94" s="28">
        <f>VLOOKUP(Table106[[#This Row],[NAME]],MIN_H[[NAME]:['#]],14,0)</f>
        <v>63</v>
      </c>
      <c r="Q94" s="77">
        <f>VLOOKUP(Table106[[#This Row],[NAME]],MIN_H[[NAME]:['#]],15,0)</f>
        <v>13</v>
      </c>
      <c r="R94" s="28">
        <f>VLOOKUP(Table106[[#This Row],[NAME]],MIN_H[[NAME]:['#]],16,0)</f>
        <v>0</v>
      </c>
      <c r="S94" s="28">
        <f>VLOOKUP(Table106[[#This Row],[NAME]],MIN_H[[NAME]:['#]],17,0)</f>
        <v>7</v>
      </c>
      <c r="T94" s="77">
        <f>VLOOKUP(Table106[[#This Row],[NAME]],MIN_H[[NAME]:['#]],18,0)</f>
        <v>61</v>
      </c>
      <c r="U94" s="72">
        <f>VLOOKUP(Table106[[#This Row],[NAME]],MIN_H[[NAME]:['#]],19,0)</f>
        <v>0.61363491760514099</v>
      </c>
      <c r="V94" s="28">
        <f>VLOOKUP(Table106[[#This Row],[NAME]],MIN_H[[NAME]:['#]],20,0)</f>
        <v>1</v>
      </c>
      <c r="W94" s="75">
        <v>92</v>
      </c>
      <c r="Z94" s="101" t="s">
        <v>429</v>
      </c>
      <c r="AA94" s="352" t="s">
        <v>166</v>
      </c>
      <c r="AB94" s="352" t="s">
        <v>431</v>
      </c>
      <c r="AC94" s="130">
        <v>0.29281767955801102</v>
      </c>
      <c r="AD94" s="72">
        <v>0.33678756476683935</v>
      </c>
      <c r="AE94" s="72">
        <v>0.70718232044198892</v>
      </c>
      <c r="AF94" s="77">
        <v>40</v>
      </c>
      <c r="AG94" s="76">
        <v>181</v>
      </c>
      <c r="AH94" s="76">
        <v>43</v>
      </c>
      <c r="AI94" s="28">
        <v>53</v>
      </c>
      <c r="AJ94" s="28">
        <v>13</v>
      </c>
      <c r="AK94" s="28">
        <v>1</v>
      </c>
      <c r="AL94" s="76">
        <v>20</v>
      </c>
      <c r="AM94" s="28">
        <v>39</v>
      </c>
      <c r="AN94" s="28">
        <v>12</v>
      </c>
      <c r="AO94" s="28">
        <v>54</v>
      </c>
      <c r="AP94" s="77">
        <v>9</v>
      </c>
      <c r="AQ94" s="28">
        <v>14</v>
      </c>
      <c r="AR94" s="28">
        <v>14</v>
      </c>
      <c r="AS94" s="531">
        <v>128</v>
      </c>
      <c r="AT94" s="594">
        <v>1.0439698852088282</v>
      </c>
      <c r="AU94" s="28">
        <v>6</v>
      </c>
      <c r="AV94" s="75">
        <v>92</v>
      </c>
      <c r="AY94" s="101" t="s">
        <v>429</v>
      </c>
      <c r="AZ94" s="352" t="s">
        <v>166</v>
      </c>
      <c r="BA94" s="77" t="s">
        <v>431</v>
      </c>
      <c r="BB94" s="130">
        <v>0.27932960893854747</v>
      </c>
      <c r="BC94" s="72">
        <v>0.32105263157894737</v>
      </c>
      <c r="BD94" s="72">
        <v>0.69273743016759781</v>
      </c>
      <c r="BE94" s="77">
        <v>40</v>
      </c>
      <c r="BF94" s="76">
        <v>179</v>
      </c>
      <c r="BG94" s="28">
        <v>35</v>
      </c>
      <c r="BH94" s="28">
        <v>50</v>
      </c>
      <c r="BI94" s="28">
        <v>14</v>
      </c>
      <c r="BJ94" s="28">
        <v>3</v>
      </c>
      <c r="BK94" s="76">
        <v>18</v>
      </c>
      <c r="BL94" s="28">
        <v>36</v>
      </c>
      <c r="BM94" s="28">
        <v>11</v>
      </c>
      <c r="BN94" s="28">
        <v>56</v>
      </c>
      <c r="BO94" s="77">
        <v>9</v>
      </c>
      <c r="BP94" s="28">
        <v>17</v>
      </c>
      <c r="BQ94" s="28">
        <v>17</v>
      </c>
      <c r="BR94" s="352">
        <v>124</v>
      </c>
      <c r="BS94" s="72">
        <v>1.0137900617465452</v>
      </c>
      <c r="BT94" s="28">
        <v>4</v>
      </c>
      <c r="BU94" s="75">
        <v>92</v>
      </c>
    </row>
    <row r="95" spans="1:73">
      <c r="A95" s="101" t="s">
        <v>429</v>
      </c>
      <c r="B95" s="71" t="s">
        <v>168</v>
      </c>
      <c r="C95" s="71" t="s">
        <v>437</v>
      </c>
      <c r="D95" s="72">
        <f>VLOOKUP(Table106[[#This Row],[NAME]],MIN_H[[NAME]:['#]],2,0)</f>
        <v>0.20930232558139536</v>
      </c>
      <c r="E95" s="72">
        <f>VLOOKUP(Table106[[#This Row],[NAME]],MIN_H[[NAME]:['#]],3,0)</f>
        <v>0.28671328671328672</v>
      </c>
      <c r="F95" s="72">
        <f>VLOOKUP(Table106[[#This Row],[NAME]],MIN_H[[NAME]:['#]],4,0)</f>
        <v>0.46511627906976744</v>
      </c>
      <c r="G95" s="77">
        <f>VLOOKUP(Table106[[#This Row],[NAME]],MIN_H[[NAME]:['#]],5,0)</f>
        <v>33</v>
      </c>
      <c r="H95" s="28">
        <f>VLOOKUP(Table106[[#This Row],[NAME]],MIN_H[[NAME]:['#]],6,0)</f>
        <v>129</v>
      </c>
      <c r="I95" s="28">
        <f>VLOOKUP(Table106[[#This Row],[NAME]],MIN_H[[NAME]:['#]],7,0)</f>
        <v>19</v>
      </c>
      <c r="J95" s="28">
        <f>VLOOKUP(Table106[[#This Row],[NAME]],MIN_H[[NAME]:['#]],8,0)</f>
        <v>27</v>
      </c>
      <c r="K95" s="28">
        <f>VLOOKUP(Table106[[#This Row],[NAME]],MIN_H[[NAME]:['#]],9,0)</f>
        <v>6</v>
      </c>
      <c r="L95" s="28">
        <f>VLOOKUP(Table106[[#This Row],[NAME]],MIN_H[[NAME]:['#]],10,0)</f>
        <v>0</v>
      </c>
      <c r="M95" s="28">
        <f>VLOOKUP(Table106[[#This Row],[NAME]],MIN_H[[NAME]:['#]],11,0)</f>
        <v>9</v>
      </c>
      <c r="N95" s="28">
        <f>VLOOKUP(Table106[[#This Row],[NAME]],MIN_H[[NAME]:['#]],12,0)</f>
        <v>22</v>
      </c>
      <c r="O95" s="28">
        <f>VLOOKUP(Table106[[#This Row],[NAME]],MIN_H[[NAME]:['#]],13,0)</f>
        <v>14</v>
      </c>
      <c r="P95" s="28">
        <f>VLOOKUP(Table106[[#This Row],[NAME]],MIN_H[[NAME]:['#]],14,0)</f>
        <v>36</v>
      </c>
      <c r="Q95" s="77">
        <f>VLOOKUP(Table106[[#This Row],[NAME]],MIN_H[[NAME]:['#]],15,0)</f>
        <v>0</v>
      </c>
      <c r="R95" s="28">
        <f>VLOOKUP(Table106[[#This Row],[NAME]],MIN_H[[NAME]:['#]],16,0)</f>
        <v>0</v>
      </c>
      <c r="S95" s="28">
        <f>VLOOKUP(Table106[[#This Row],[NAME]],MIN_H[[NAME]:['#]],17,0)</f>
        <v>4</v>
      </c>
      <c r="T95" s="77">
        <f>VLOOKUP(Table106[[#This Row],[NAME]],MIN_H[[NAME]:['#]],18,0)</f>
        <v>60</v>
      </c>
      <c r="U95" s="72">
        <f>VLOOKUP(Table106[[#This Row],[NAME]],MIN_H[[NAME]:['#]],19,0)</f>
        <v>0.75182956578305415</v>
      </c>
      <c r="V95" s="28">
        <f>VLOOKUP(Table106[[#This Row],[NAME]],MIN_H[[NAME]:['#]],20,0)</f>
        <v>2</v>
      </c>
      <c r="W95" s="75">
        <v>93</v>
      </c>
      <c r="Z95" s="101" t="s">
        <v>429</v>
      </c>
      <c r="AA95" s="77" t="s">
        <v>168</v>
      </c>
      <c r="AB95" s="77" t="s">
        <v>437</v>
      </c>
      <c r="AC95" s="130">
        <v>0.24840764331210191</v>
      </c>
      <c r="AD95" s="72">
        <v>0.32571428571428573</v>
      </c>
      <c r="AE95" s="72">
        <v>0.47770700636942676</v>
      </c>
      <c r="AF95" s="77">
        <v>39</v>
      </c>
      <c r="AG95" s="28">
        <v>157</v>
      </c>
      <c r="AH95" s="28">
        <v>18</v>
      </c>
      <c r="AI95" s="28">
        <v>39</v>
      </c>
      <c r="AJ95" s="28">
        <v>9</v>
      </c>
      <c r="AK95" s="28">
        <v>0</v>
      </c>
      <c r="AL95" s="28">
        <v>9</v>
      </c>
      <c r="AM95" s="28">
        <v>24</v>
      </c>
      <c r="AN95" s="28">
        <v>18</v>
      </c>
      <c r="AO95" s="28">
        <v>55</v>
      </c>
      <c r="AP95" s="77">
        <v>0</v>
      </c>
      <c r="AQ95" s="28">
        <v>0</v>
      </c>
      <c r="AR95" s="28">
        <v>5</v>
      </c>
      <c r="AS95" s="77">
        <v>75</v>
      </c>
      <c r="AT95" s="72">
        <v>0.80342129208371249</v>
      </c>
      <c r="AU95" s="28">
        <v>3</v>
      </c>
      <c r="AV95" s="75">
        <v>93</v>
      </c>
      <c r="AY95" s="101" t="s">
        <v>429</v>
      </c>
      <c r="AZ95" s="77" t="s">
        <v>168</v>
      </c>
      <c r="BA95" s="77" t="s">
        <v>437</v>
      </c>
      <c r="BB95" s="130">
        <v>0.25308641975308643</v>
      </c>
      <c r="BC95" s="72">
        <v>0.30857142857142855</v>
      </c>
      <c r="BD95" s="72">
        <v>0.52469135802469136</v>
      </c>
      <c r="BE95" s="77">
        <v>40</v>
      </c>
      <c r="BF95" s="28">
        <v>162</v>
      </c>
      <c r="BG95" s="28">
        <v>24</v>
      </c>
      <c r="BH95" s="28">
        <v>41</v>
      </c>
      <c r="BI95" s="28">
        <v>8</v>
      </c>
      <c r="BJ95" s="28">
        <v>0</v>
      </c>
      <c r="BK95" s="28">
        <v>12</v>
      </c>
      <c r="BL95" s="28">
        <v>33</v>
      </c>
      <c r="BM95" s="28">
        <v>13</v>
      </c>
      <c r="BN95" s="28">
        <v>51</v>
      </c>
      <c r="BO95" s="77">
        <v>0</v>
      </c>
      <c r="BP95" s="28">
        <v>0</v>
      </c>
      <c r="BQ95" s="28">
        <v>9</v>
      </c>
      <c r="BR95" s="77">
        <v>85</v>
      </c>
      <c r="BS95" s="72">
        <v>0.83326278659611996</v>
      </c>
      <c r="BT95" s="28">
        <v>4</v>
      </c>
      <c r="BU95" s="75">
        <v>93</v>
      </c>
    </row>
    <row r="96" spans="1:73">
      <c r="A96" s="101" t="s">
        <v>429</v>
      </c>
      <c r="B96" s="71" t="s">
        <v>179</v>
      </c>
      <c r="C96" s="71" t="s">
        <v>442</v>
      </c>
      <c r="D96" s="72">
        <f>VLOOKUP(Table106[[#This Row],[NAME]],MIN_H[[NAME]:['#]],2,0)</f>
        <v>0.20689655172413793</v>
      </c>
      <c r="E96" s="72">
        <f>VLOOKUP(Table106[[#This Row],[NAME]],MIN_H[[NAME]:['#]],3,0)</f>
        <v>0.28125</v>
      </c>
      <c r="F96" s="72">
        <f>VLOOKUP(Table106[[#This Row],[NAME]],MIN_H[[NAME]:['#]],4,0)</f>
        <v>0.41379310344827586</v>
      </c>
      <c r="G96" s="77">
        <f>VLOOKUP(Table106[[#This Row],[NAME]],MIN_H[[NAME]:['#]],5,0)</f>
        <v>8</v>
      </c>
      <c r="H96" s="28">
        <f>VLOOKUP(Table106[[#This Row],[NAME]],MIN_H[[NAME]:['#]],6,0)</f>
        <v>29</v>
      </c>
      <c r="I96" s="28">
        <f>VLOOKUP(Table106[[#This Row],[NAME]],MIN_H[[NAME]:['#]],7,0)</f>
        <v>4</v>
      </c>
      <c r="J96" s="28">
        <f>VLOOKUP(Table106[[#This Row],[NAME]],MIN_H[[NAME]:['#]],8,0)</f>
        <v>6</v>
      </c>
      <c r="K96" s="28">
        <f>VLOOKUP(Table106[[#This Row],[NAME]],MIN_H[[NAME]:['#]],9,0)</f>
        <v>1</v>
      </c>
      <c r="L96" s="28">
        <f>VLOOKUP(Table106[[#This Row],[NAME]],MIN_H[[NAME]:['#]],10,0)</f>
        <v>1</v>
      </c>
      <c r="M96" s="28">
        <f>VLOOKUP(Table106[[#This Row],[NAME]],MIN_H[[NAME]:['#]],11,0)</f>
        <v>1</v>
      </c>
      <c r="N96" s="28">
        <f>VLOOKUP(Table106[[#This Row],[NAME]],MIN_H[[NAME]:['#]],12,0)</f>
        <v>3</v>
      </c>
      <c r="O96" s="28">
        <f>VLOOKUP(Table106[[#This Row],[NAME]],MIN_H[[NAME]:['#]],13,0)</f>
        <v>3</v>
      </c>
      <c r="P96" s="28">
        <f>VLOOKUP(Table106[[#This Row],[NAME]],MIN_H[[NAME]:['#]],14,0)</f>
        <v>7</v>
      </c>
      <c r="Q96" s="77">
        <f>VLOOKUP(Table106[[#This Row],[NAME]],MIN_H[[NAME]:['#]],15,0)</f>
        <v>0</v>
      </c>
      <c r="R96" s="28">
        <f>VLOOKUP(Table106[[#This Row],[NAME]],MIN_H[[NAME]:['#]],16,0)</f>
        <v>2</v>
      </c>
      <c r="S96" s="28">
        <f>VLOOKUP(Table106[[#This Row],[NAME]],MIN_H[[NAME]:['#]],17,0)</f>
        <v>2</v>
      </c>
      <c r="T96" s="77">
        <f>VLOOKUP(Table106[[#This Row],[NAME]],MIN_H[[NAME]:['#]],18,0)</f>
        <v>12</v>
      </c>
      <c r="U96" s="72">
        <f>VLOOKUP(Table106[[#This Row],[NAME]],MIN_H[[NAME]:['#]],19,0)</f>
        <v>0.6950431034482758</v>
      </c>
      <c r="V96" s="28">
        <f>VLOOKUP(Table106[[#This Row],[NAME]],MIN_H[[NAME]:['#]],20,0)</f>
        <v>1</v>
      </c>
      <c r="W96" s="75">
        <v>94</v>
      </c>
      <c r="Z96" s="101" t="s">
        <v>429</v>
      </c>
      <c r="AA96" s="77" t="s">
        <v>179</v>
      </c>
      <c r="AB96" s="77" t="s">
        <v>442</v>
      </c>
      <c r="AC96" s="130">
        <v>0.18</v>
      </c>
      <c r="AD96" s="72">
        <v>0.2807017543859649</v>
      </c>
      <c r="AE96" s="72">
        <v>0.3</v>
      </c>
      <c r="AF96" s="77">
        <v>14</v>
      </c>
      <c r="AG96" s="28">
        <v>50</v>
      </c>
      <c r="AH96" s="28">
        <v>7</v>
      </c>
      <c r="AI96" s="28">
        <v>9</v>
      </c>
      <c r="AJ96" s="28">
        <v>3</v>
      </c>
      <c r="AK96" s="28">
        <v>0</v>
      </c>
      <c r="AL96" s="28">
        <v>1</v>
      </c>
      <c r="AM96" s="28">
        <v>4</v>
      </c>
      <c r="AN96" s="28">
        <v>7</v>
      </c>
      <c r="AO96" s="28">
        <v>15</v>
      </c>
      <c r="AP96" s="77">
        <v>0</v>
      </c>
      <c r="AQ96" s="28">
        <v>1</v>
      </c>
      <c r="AR96" s="28">
        <v>2</v>
      </c>
      <c r="AS96" s="77">
        <v>15</v>
      </c>
      <c r="AT96" s="72">
        <v>0.58070175438596494</v>
      </c>
      <c r="AU96" s="28">
        <v>0</v>
      </c>
      <c r="AV96" s="75">
        <v>94</v>
      </c>
      <c r="AY96" s="101" t="s">
        <v>429</v>
      </c>
      <c r="AZ96" s="77" t="s">
        <v>179</v>
      </c>
      <c r="BA96" s="77" t="s">
        <v>442</v>
      </c>
      <c r="BB96" s="130">
        <v>0.21428571428571427</v>
      </c>
      <c r="BC96" s="72">
        <v>0.32307692307692309</v>
      </c>
      <c r="BD96" s="72">
        <v>0.39285714285714285</v>
      </c>
      <c r="BE96" s="77">
        <v>18</v>
      </c>
      <c r="BF96" s="28">
        <v>56</v>
      </c>
      <c r="BG96" s="28">
        <v>8</v>
      </c>
      <c r="BH96" s="28">
        <v>12</v>
      </c>
      <c r="BI96" s="28">
        <v>1</v>
      </c>
      <c r="BJ96" s="28">
        <v>0</v>
      </c>
      <c r="BK96" s="28">
        <v>3</v>
      </c>
      <c r="BL96" s="28">
        <v>6</v>
      </c>
      <c r="BM96" s="28">
        <v>9</v>
      </c>
      <c r="BN96" s="28">
        <v>10</v>
      </c>
      <c r="BO96" s="77">
        <v>0</v>
      </c>
      <c r="BP96" s="28">
        <v>0</v>
      </c>
      <c r="BQ96" s="28">
        <v>6</v>
      </c>
      <c r="BR96" s="77">
        <v>22</v>
      </c>
      <c r="BS96" s="72">
        <v>0.71593406593406594</v>
      </c>
      <c r="BT96" s="28">
        <v>0</v>
      </c>
      <c r="BU96" s="75">
        <v>94</v>
      </c>
    </row>
    <row r="97" spans="1:73">
      <c r="A97" s="101" t="s">
        <v>429</v>
      </c>
      <c r="B97" s="71" t="s">
        <v>192</v>
      </c>
      <c r="C97" s="71" t="s">
        <v>447</v>
      </c>
      <c r="D97" s="72">
        <f>VLOOKUP(Table106[[#This Row],[NAME]],MIN_H[[NAME]:['#]],2,0)</f>
        <v>0.29032258064516131</v>
      </c>
      <c r="E97" s="72">
        <f>VLOOKUP(Table106[[#This Row],[NAME]],MIN_H[[NAME]:['#]],3,0)</f>
        <v>0.3125</v>
      </c>
      <c r="F97" s="72">
        <f>VLOOKUP(Table106[[#This Row],[NAME]],MIN_H[[NAME]:['#]],4,0)</f>
        <v>0.35483870967741937</v>
      </c>
      <c r="G97" s="77">
        <f>VLOOKUP(Table106[[#This Row],[NAME]],MIN_H[[NAME]:['#]],5,0)</f>
        <v>9</v>
      </c>
      <c r="H97" s="28">
        <f>VLOOKUP(Table106[[#This Row],[NAME]],MIN_H[[NAME]:['#]],6,0)</f>
        <v>31</v>
      </c>
      <c r="I97" s="28">
        <f>VLOOKUP(Table106[[#This Row],[NAME]],MIN_H[[NAME]:['#]],7,0)</f>
        <v>2</v>
      </c>
      <c r="J97" s="28">
        <f>VLOOKUP(Table106[[#This Row],[NAME]],MIN_H[[NAME]:['#]],8,0)</f>
        <v>9</v>
      </c>
      <c r="K97" s="28">
        <f>VLOOKUP(Table106[[#This Row],[NAME]],MIN_H[[NAME]:['#]],9,0)</f>
        <v>2</v>
      </c>
      <c r="L97" s="28">
        <f>VLOOKUP(Table106[[#This Row],[NAME]],MIN_H[[NAME]:['#]],10,0)</f>
        <v>0</v>
      </c>
      <c r="M97" s="28">
        <f>VLOOKUP(Table106[[#This Row],[NAME]],MIN_H[[NAME]:['#]],11,0)</f>
        <v>0</v>
      </c>
      <c r="N97" s="28">
        <f>VLOOKUP(Table106[[#This Row],[NAME]],MIN_H[[NAME]:['#]],12,0)</f>
        <v>4</v>
      </c>
      <c r="O97" s="28">
        <f>VLOOKUP(Table106[[#This Row],[NAME]],MIN_H[[NAME]:['#]],13,0)</f>
        <v>1</v>
      </c>
      <c r="P97" s="28">
        <f>VLOOKUP(Table106[[#This Row],[NAME]],MIN_H[[NAME]:['#]],14,0)</f>
        <v>3</v>
      </c>
      <c r="Q97" s="77">
        <f>VLOOKUP(Table106[[#This Row],[NAME]],MIN_H[[NAME]:['#]],15,0)</f>
        <v>0</v>
      </c>
      <c r="R97" s="28">
        <f>VLOOKUP(Table106[[#This Row],[NAME]],MIN_H[[NAME]:['#]],16,0)</f>
        <v>7</v>
      </c>
      <c r="S97" s="28">
        <f>VLOOKUP(Table106[[#This Row],[NAME]],MIN_H[[NAME]:['#]],17,0)</f>
        <v>7</v>
      </c>
      <c r="T97" s="77">
        <f>VLOOKUP(Table106[[#This Row],[NAME]],MIN_H[[NAME]:['#]],18,0)</f>
        <v>11</v>
      </c>
      <c r="U97" s="72">
        <f>VLOOKUP(Table106[[#This Row],[NAME]],MIN_H[[NAME]:['#]],19,0)</f>
        <v>0.66733870967741937</v>
      </c>
      <c r="V97" s="28">
        <f>VLOOKUP(Table106[[#This Row],[NAME]],MIN_H[[NAME]:['#]],20,0)</f>
        <v>1</v>
      </c>
      <c r="W97" s="75">
        <v>95</v>
      </c>
      <c r="Z97" s="101" t="s">
        <v>429</v>
      </c>
      <c r="AA97" s="77" t="s">
        <v>187</v>
      </c>
      <c r="AB97" s="71" t="s">
        <v>443</v>
      </c>
      <c r="AC97" s="130">
        <v>0.25</v>
      </c>
      <c r="AD97" s="72">
        <v>0.25</v>
      </c>
      <c r="AE97" s="72">
        <v>0.25</v>
      </c>
      <c r="AF97" s="77">
        <v>1</v>
      </c>
      <c r="AG97" s="28">
        <v>4</v>
      </c>
      <c r="AH97" s="28">
        <v>0</v>
      </c>
      <c r="AI97" s="28">
        <v>1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1</v>
      </c>
      <c r="AP97" s="77">
        <v>0</v>
      </c>
      <c r="AQ97" s="28">
        <v>1</v>
      </c>
      <c r="AR97" s="28">
        <v>1</v>
      </c>
      <c r="AS97" s="77">
        <v>1</v>
      </c>
      <c r="AT97" s="72">
        <v>0.5</v>
      </c>
      <c r="AU97" s="28">
        <v>0</v>
      </c>
      <c r="AV97" s="75">
        <v>95</v>
      </c>
      <c r="AY97" s="101" t="s">
        <v>429</v>
      </c>
      <c r="AZ97" s="77" t="s">
        <v>187</v>
      </c>
      <c r="BA97" s="77" t="s">
        <v>444</v>
      </c>
      <c r="BB97" s="130">
        <v>0.31818181818181818</v>
      </c>
      <c r="BC97" s="72">
        <v>0.375</v>
      </c>
      <c r="BD97" s="72">
        <v>0.36363636363636365</v>
      </c>
      <c r="BE97" s="77">
        <v>13</v>
      </c>
      <c r="BF97" s="28">
        <v>22</v>
      </c>
      <c r="BG97" s="28">
        <v>3</v>
      </c>
      <c r="BH97" s="28">
        <v>7</v>
      </c>
      <c r="BI97" s="28">
        <v>1</v>
      </c>
      <c r="BJ97" s="28">
        <v>0</v>
      </c>
      <c r="BK97" s="28">
        <v>0</v>
      </c>
      <c r="BL97" s="28">
        <v>2</v>
      </c>
      <c r="BM97" s="28">
        <v>2</v>
      </c>
      <c r="BN97" s="28">
        <v>2</v>
      </c>
      <c r="BO97" s="77">
        <v>0</v>
      </c>
      <c r="BP97" s="28">
        <v>1</v>
      </c>
      <c r="BQ97" s="28">
        <v>6</v>
      </c>
      <c r="BR97" s="77">
        <v>8</v>
      </c>
      <c r="BS97" s="72">
        <v>0.73863636363636365</v>
      </c>
      <c r="BT97" s="28">
        <v>0</v>
      </c>
      <c r="BU97" s="75">
        <v>95</v>
      </c>
    </row>
    <row r="98" spans="1:73">
      <c r="A98" s="101" t="s">
        <v>429</v>
      </c>
      <c r="B98" s="71" t="s">
        <v>187</v>
      </c>
      <c r="C98" s="71" t="s">
        <v>443</v>
      </c>
      <c r="D98" s="72">
        <f>VLOOKUP(Table106[[#This Row],[NAME]],MIN_H[[NAME]:['#]],2,0)</f>
        <v>0.17391304347826086</v>
      </c>
      <c r="E98" s="72">
        <f>VLOOKUP(Table106[[#This Row],[NAME]],MIN_H[[NAME]:['#]],3,0)</f>
        <v>0.20833333333333334</v>
      </c>
      <c r="F98" s="72">
        <f>VLOOKUP(Table106[[#This Row],[NAME]],MIN_H[[NAME]:['#]],4,0)</f>
        <v>0.28985507246376813</v>
      </c>
      <c r="G98" s="77">
        <f>VLOOKUP(Table106[[#This Row],[NAME]],MIN_H[[NAME]:['#]],5,0)</f>
        <v>18</v>
      </c>
      <c r="H98" s="28">
        <f>VLOOKUP(Table106[[#This Row],[NAME]],MIN_H[[NAME]:['#]],6,0)</f>
        <v>69</v>
      </c>
      <c r="I98" s="28">
        <f>VLOOKUP(Table106[[#This Row],[NAME]],MIN_H[[NAME]:['#]],7,0)</f>
        <v>6</v>
      </c>
      <c r="J98" s="28">
        <f>VLOOKUP(Table106[[#This Row],[NAME]],MIN_H[[NAME]:['#]],8,0)</f>
        <v>12</v>
      </c>
      <c r="K98" s="28">
        <f>VLOOKUP(Table106[[#This Row],[NAME]],MIN_H[[NAME]:['#]],9,0)</f>
        <v>5</v>
      </c>
      <c r="L98" s="28">
        <f>VLOOKUP(Table106[[#This Row],[NAME]],MIN_H[[NAME]:['#]],10,0)</f>
        <v>0</v>
      </c>
      <c r="M98" s="28">
        <f>VLOOKUP(Table106[[#This Row],[NAME]],MIN_H[[NAME]:['#]],11,0)</f>
        <v>1</v>
      </c>
      <c r="N98" s="28">
        <f>VLOOKUP(Table106[[#This Row],[NAME]],MIN_H[[NAME]:['#]],12,0)</f>
        <v>9</v>
      </c>
      <c r="O98" s="28">
        <f>VLOOKUP(Table106[[#This Row],[NAME]],MIN_H[[NAME]:['#]],13,0)</f>
        <v>3</v>
      </c>
      <c r="P98" s="28">
        <f>VLOOKUP(Table106[[#This Row],[NAME]],MIN_H[[NAME]:['#]],14,0)</f>
        <v>17</v>
      </c>
      <c r="Q98" s="77">
        <f>VLOOKUP(Table106[[#This Row],[NAME]],MIN_H[[NAME]:['#]],15,0)</f>
        <v>0</v>
      </c>
      <c r="R98" s="28">
        <f>VLOOKUP(Table106[[#This Row],[NAME]],MIN_H[[NAME]:['#]],16,0)</f>
        <v>1</v>
      </c>
      <c r="S98" s="28">
        <f>VLOOKUP(Table106[[#This Row],[NAME]],MIN_H[[NAME]:['#]],17,0)</f>
        <v>2</v>
      </c>
      <c r="T98" s="77">
        <f>VLOOKUP(Table106[[#This Row],[NAME]],MIN_H[[NAME]:['#]],18,0)</f>
        <v>20</v>
      </c>
      <c r="U98" s="72">
        <f>VLOOKUP(Table106[[#This Row],[NAME]],MIN_H[[NAME]:['#]],19,0)</f>
        <v>0.49818840579710144</v>
      </c>
      <c r="V98" s="28">
        <f>VLOOKUP(Table106[[#This Row],[NAME]],MIN_H[[NAME]:['#]],20,0)</f>
        <v>0</v>
      </c>
      <c r="W98" s="75">
        <v>96</v>
      </c>
      <c r="Z98" s="101" t="s">
        <v>429</v>
      </c>
      <c r="AA98" s="77" t="s">
        <v>187</v>
      </c>
      <c r="AB98" s="77" t="s">
        <v>439</v>
      </c>
      <c r="AC98" s="130">
        <v>0.1891891891891892</v>
      </c>
      <c r="AD98" s="72">
        <v>0.27710843373493976</v>
      </c>
      <c r="AE98" s="72">
        <v>0.47297297297297297</v>
      </c>
      <c r="AF98" s="77">
        <v>21</v>
      </c>
      <c r="AG98" s="28">
        <v>74</v>
      </c>
      <c r="AH98" s="28">
        <v>13</v>
      </c>
      <c r="AI98" s="28">
        <v>14</v>
      </c>
      <c r="AJ98" s="28">
        <v>0</v>
      </c>
      <c r="AK98" s="28">
        <v>0</v>
      </c>
      <c r="AL98" s="28">
        <v>7</v>
      </c>
      <c r="AM98" s="28">
        <v>14</v>
      </c>
      <c r="AN98" s="28">
        <v>9</v>
      </c>
      <c r="AO98" s="28">
        <v>22</v>
      </c>
      <c r="AP98" s="77">
        <v>0</v>
      </c>
      <c r="AQ98" s="28">
        <v>1</v>
      </c>
      <c r="AR98" s="28">
        <v>3</v>
      </c>
      <c r="AS98" s="77">
        <v>35</v>
      </c>
      <c r="AT98" s="72">
        <v>0.75008140670791268</v>
      </c>
      <c r="AU98" s="28">
        <v>1</v>
      </c>
      <c r="AV98" s="75">
        <v>96</v>
      </c>
      <c r="AY98" s="101" t="s">
        <v>429</v>
      </c>
      <c r="AZ98" s="77" t="s">
        <v>192</v>
      </c>
      <c r="BA98" s="981" t="s">
        <v>443</v>
      </c>
      <c r="BB98" s="130">
        <v>0.1875</v>
      </c>
      <c r="BC98" s="72">
        <v>0.23529411764705882</v>
      </c>
      <c r="BD98" s="72">
        <v>0.25</v>
      </c>
      <c r="BE98" s="77">
        <v>9</v>
      </c>
      <c r="BF98" s="28">
        <v>16</v>
      </c>
      <c r="BG98" s="28">
        <v>1</v>
      </c>
      <c r="BH98" s="28">
        <v>3</v>
      </c>
      <c r="BI98" s="28">
        <v>1</v>
      </c>
      <c r="BJ98" s="28">
        <v>0</v>
      </c>
      <c r="BK98" s="28">
        <v>0</v>
      </c>
      <c r="BL98" s="28">
        <v>0</v>
      </c>
      <c r="BM98" s="28">
        <v>1</v>
      </c>
      <c r="BN98" s="28">
        <v>6</v>
      </c>
      <c r="BO98" s="77">
        <v>0</v>
      </c>
      <c r="BP98" s="28">
        <v>0</v>
      </c>
      <c r="BQ98" s="28">
        <v>1</v>
      </c>
      <c r="BR98" s="77">
        <v>4</v>
      </c>
      <c r="BS98" s="72">
        <v>0.48529411764705882</v>
      </c>
      <c r="BT98" s="28">
        <v>0</v>
      </c>
      <c r="BU98" s="75">
        <v>96</v>
      </c>
    </row>
    <row r="99" spans="1:73">
      <c r="A99" s="101" t="s">
        <v>429</v>
      </c>
      <c r="B99" s="71" t="s">
        <v>184</v>
      </c>
      <c r="C99" s="71" t="s">
        <v>441</v>
      </c>
      <c r="D99" s="72">
        <f>VLOOKUP(Table106[[#This Row],[NAME]],MIN_H[[NAME]:['#]],2,0)</f>
        <v>0.5</v>
      </c>
      <c r="E99" s="72">
        <f>VLOOKUP(Table106[[#This Row],[NAME]],MIN_H[[NAME]:['#]],3,0)</f>
        <v>0.5625</v>
      </c>
      <c r="F99" s="72">
        <f>VLOOKUP(Table106[[#This Row],[NAME]],MIN_H[[NAME]:['#]],4,0)</f>
        <v>0.8571428571428571</v>
      </c>
      <c r="G99" s="77">
        <f>VLOOKUP(Table106[[#This Row],[NAME]],MIN_H[[NAME]:['#]],5,0)</f>
        <v>10</v>
      </c>
      <c r="H99" s="28">
        <f>VLOOKUP(Table106[[#This Row],[NAME]],MIN_H[[NAME]:['#]],6,0)</f>
        <v>28</v>
      </c>
      <c r="I99" s="28">
        <f>VLOOKUP(Table106[[#This Row],[NAME]],MIN_H[[NAME]:['#]],7,0)</f>
        <v>6</v>
      </c>
      <c r="J99" s="28">
        <f>VLOOKUP(Table106[[#This Row],[NAME]],MIN_H[[NAME]:['#]],8,0)</f>
        <v>14</v>
      </c>
      <c r="K99" s="28">
        <f>VLOOKUP(Table106[[#This Row],[NAME]],MIN_H[[NAME]:['#]],9,0)</f>
        <v>1</v>
      </c>
      <c r="L99" s="28">
        <f>VLOOKUP(Table106[[#This Row],[NAME]],MIN_H[[NAME]:['#]],10,0)</f>
        <v>0</v>
      </c>
      <c r="M99" s="28">
        <f>VLOOKUP(Table106[[#This Row],[NAME]],MIN_H[[NAME]:['#]],11,0)</f>
        <v>3</v>
      </c>
      <c r="N99" s="28">
        <f>VLOOKUP(Table106[[#This Row],[NAME]],MIN_H[[NAME]:['#]],12,0)</f>
        <v>7</v>
      </c>
      <c r="O99" s="28">
        <f>VLOOKUP(Table106[[#This Row],[NAME]],MIN_H[[NAME]:['#]],13,0)</f>
        <v>4</v>
      </c>
      <c r="P99" s="28">
        <f>VLOOKUP(Table106[[#This Row],[NAME]],MIN_H[[NAME]:['#]],14,0)</f>
        <v>6</v>
      </c>
      <c r="Q99" s="77">
        <f>VLOOKUP(Table106[[#This Row],[NAME]],MIN_H[[NAME]:['#]],15,0)</f>
        <v>0</v>
      </c>
      <c r="R99" s="28">
        <f>VLOOKUP(Table106[[#This Row],[NAME]],MIN_H[[NAME]:['#]],16,0)</f>
        <v>6</v>
      </c>
      <c r="S99" s="28">
        <f>VLOOKUP(Table106[[#This Row],[NAME]],MIN_H[[NAME]:['#]],17,0)</f>
        <v>6</v>
      </c>
      <c r="T99" s="77">
        <f>VLOOKUP(Table106[[#This Row],[NAME]],MIN_H[[NAME]:['#]],18,0)</f>
        <v>24</v>
      </c>
      <c r="U99" s="72">
        <f>VLOOKUP(Table106[[#This Row],[NAME]],MIN_H[[NAME]:['#]],19,0)</f>
        <v>1.4196428571428572</v>
      </c>
      <c r="V99" s="28">
        <f>VLOOKUP(Table106[[#This Row],[NAME]],MIN_H[[NAME]:['#]],20,0)</f>
        <v>0</v>
      </c>
      <c r="W99" s="75">
        <v>97</v>
      </c>
      <c r="Z99" s="101" t="s">
        <v>429</v>
      </c>
      <c r="AA99" s="77" t="s">
        <v>187</v>
      </c>
      <c r="AB99" s="77" t="s">
        <v>444</v>
      </c>
      <c r="AC99" s="130">
        <v>0.28000000000000003</v>
      </c>
      <c r="AD99" s="72">
        <v>0.28000000000000003</v>
      </c>
      <c r="AE99" s="72">
        <v>0.56000000000000005</v>
      </c>
      <c r="AF99" s="77">
        <v>8</v>
      </c>
      <c r="AG99" s="28">
        <v>25</v>
      </c>
      <c r="AH99" s="28">
        <v>6</v>
      </c>
      <c r="AI99" s="28">
        <v>7</v>
      </c>
      <c r="AJ99" s="28">
        <v>2</v>
      </c>
      <c r="AK99" s="28">
        <v>1</v>
      </c>
      <c r="AL99" s="28">
        <v>1</v>
      </c>
      <c r="AM99" s="28">
        <v>1</v>
      </c>
      <c r="AN99" s="28">
        <v>0</v>
      </c>
      <c r="AO99" s="28">
        <v>9</v>
      </c>
      <c r="AP99" s="77">
        <v>0</v>
      </c>
      <c r="AQ99" s="28">
        <v>0</v>
      </c>
      <c r="AR99" s="28">
        <v>4</v>
      </c>
      <c r="AS99" s="77">
        <v>14</v>
      </c>
      <c r="AT99" s="72">
        <v>0.84000000000000008</v>
      </c>
      <c r="AU99" s="28">
        <v>0</v>
      </c>
      <c r="AV99" s="75">
        <v>97</v>
      </c>
      <c r="AY99" s="101" t="s">
        <v>429</v>
      </c>
      <c r="AZ99" s="77" t="s">
        <v>186</v>
      </c>
      <c r="BA99" s="77" t="s">
        <v>445</v>
      </c>
      <c r="BB99" s="130">
        <v>0.24</v>
      </c>
      <c r="BC99" s="72">
        <v>0.29629629629629628</v>
      </c>
      <c r="BD99" s="72">
        <v>0.34</v>
      </c>
      <c r="BE99" s="77">
        <v>20</v>
      </c>
      <c r="BF99" s="28">
        <v>50</v>
      </c>
      <c r="BG99" s="28">
        <v>8</v>
      </c>
      <c r="BH99" s="28">
        <v>12</v>
      </c>
      <c r="BI99" s="28">
        <v>2</v>
      </c>
      <c r="BJ99" s="28">
        <v>0</v>
      </c>
      <c r="BK99" s="28">
        <v>1</v>
      </c>
      <c r="BL99" s="28">
        <v>6</v>
      </c>
      <c r="BM99" s="28">
        <v>4</v>
      </c>
      <c r="BN99" s="28">
        <v>14</v>
      </c>
      <c r="BO99" s="77">
        <v>0</v>
      </c>
      <c r="BP99" s="28">
        <v>4</v>
      </c>
      <c r="BQ99" s="28">
        <v>4</v>
      </c>
      <c r="BR99" s="77">
        <v>17</v>
      </c>
      <c r="BS99" s="72">
        <v>0.63629629629629636</v>
      </c>
      <c r="BT99" s="28">
        <v>0</v>
      </c>
      <c r="BU99" s="75">
        <v>97</v>
      </c>
    </row>
    <row r="100" spans="1:73">
      <c r="A100" s="101" t="s">
        <v>429</v>
      </c>
      <c r="B100" s="71" t="s">
        <v>186</v>
      </c>
      <c r="C100" s="71" t="s">
        <v>440</v>
      </c>
      <c r="D100" s="72">
        <f>VLOOKUP(Table106[[#This Row],[NAME]],MIN_H[[NAME]:['#]],2,0)</f>
        <v>0</v>
      </c>
      <c r="E100" s="72">
        <f>VLOOKUP(Table106[[#This Row],[NAME]],MIN_H[[NAME]:['#]],3,0)</f>
        <v>0</v>
      </c>
      <c r="F100" s="72">
        <f>VLOOKUP(Table106[[#This Row],[NAME]],MIN_H[[NAME]:['#]],4,0)</f>
        <v>0</v>
      </c>
      <c r="G100" s="77">
        <f>VLOOKUP(Table106[[#This Row],[NAME]],MIN_H[[NAME]:['#]],5,0)</f>
        <v>0</v>
      </c>
      <c r="H100" s="28">
        <f>VLOOKUP(Table106[[#This Row],[NAME]],MIN_H[[NAME]:['#]],6,0)</f>
        <v>0</v>
      </c>
      <c r="I100" s="28">
        <f>VLOOKUP(Table106[[#This Row],[NAME]],MIN_H[[NAME]:['#]],7,0)</f>
        <v>0</v>
      </c>
      <c r="J100" s="28">
        <f>VLOOKUP(Table106[[#This Row],[NAME]],MIN_H[[NAME]:['#]],8,0)</f>
        <v>0</v>
      </c>
      <c r="K100" s="28">
        <f>VLOOKUP(Table106[[#This Row],[NAME]],MIN_H[[NAME]:['#]],9,0)</f>
        <v>0</v>
      </c>
      <c r="L100" s="28">
        <f>VLOOKUP(Table106[[#This Row],[NAME]],MIN_H[[NAME]:['#]],10,0)</f>
        <v>0</v>
      </c>
      <c r="M100" s="28">
        <f>VLOOKUP(Table106[[#This Row],[NAME]],MIN_H[[NAME]:['#]],11,0)</f>
        <v>0</v>
      </c>
      <c r="N100" s="28">
        <f>VLOOKUP(Table106[[#This Row],[NAME]],MIN_H[[NAME]:['#]],12,0)</f>
        <v>0</v>
      </c>
      <c r="O100" s="28">
        <f>VLOOKUP(Table106[[#This Row],[NAME]],MIN_H[[NAME]:['#]],13,0)</f>
        <v>0</v>
      </c>
      <c r="P100" s="28">
        <f>VLOOKUP(Table106[[#This Row],[NAME]],MIN_H[[NAME]:['#]],14,0)</f>
        <v>0</v>
      </c>
      <c r="Q100" s="77">
        <f>VLOOKUP(Table106[[#This Row],[NAME]],MIN_H[[NAME]:['#]],15,0)</f>
        <v>0</v>
      </c>
      <c r="R100" s="28">
        <f>VLOOKUP(Table106[[#This Row],[NAME]],MIN_H[[NAME]:['#]],16,0)</f>
        <v>0</v>
      </c>
      <c r="S100" s="28">
        <f>VLOOKUP(Table106[[#This Row],[NAME]],MIN_H[[NAME]:['#]],17,0)</f>
        <v>0</v>
      </c>
      <c r="T100" s="77">
        <f>VLOOKUP(Table106[[#This Row],[NAME]],MIN_H[[NAME]:['#]],18,0)</f>
        <v>0</v>
      </c>
      <c r="U100" s="72">
        <f>VLOOKUP(Table106[[#This Row],[NAME]],MIN_H[[NAME]:['#]],19,0)</f>
        <v>0</v>
      </c>
      <c r="V100" s="28">
        <f>VLOOKUP(Table106[[#This Row],[NAME]],MIN_H[[NAME]:['#]],20,0)</f>
        <v>0</v>
      </c>
      <c r="W100" s="75">
        <v>98</v>
      </c>
      <c r="Z100" s="101" t="s">
        <v>429</v>
      </c>
      <c r="AA100" s="77" t="s">
        <v>186</v>
      </c>
      <c r="AB100" s="77" t="s">
        <v>440</v>
      </c>
      <c r="AC100" s="130">
        <v>0</v>
      </c>
      <c r="AD100" s="72">
        <v>0.1</v>
      </c>
      <c r="AE100" s="72">
        <v>0</v>
      </c>
      <c r="AF100" s="77">
        <v>2</v>
      </c>
      <c r="AG100" s="28">
        <v>9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1</v>
      </c>
      <c r="AO100" s="28">
        <v>1</v>
      </c>
      <c r="AP100" s="77">
        <v>0</v>
      </c>
      <c r="AQ100" s="28">
        <v>0</v>
      </c>
      <c r="AR100" s="28">
        <v>0</v>
      </c>
      <c r="AS100" s="77">
        <v>0</v>
      </c>
      <c r="AT100" s="72">
        <v>0.1</v>
      </c>
      <c r="AU100" s="28">
        <v>0</v>
      </c>
      <c r="AV100" s="75">
        <v>98</v>
      </c>
      <c r="AY100" s="101" t="s">
        <v>429</v>
      </c>
      <c r="AZ100" s="77" t="s">
        <v>186</v>
      </c>
      <c r="BA100" s="77" t="s">
        <v>440</v>
      </c>
      <c r="BB100" s="130">
        <v>0.23711340206185566</v>
      </c>
      <c r="BC100" s="72">
        <v>0.32110091743119268</v>
      </c>
      <c r="BD100" s="72">
        <v>0.40206185567010311</v>
      </c>
      <c r="BE100" s="77">
        <v>28</v>
      </c>
      <c r="BF100" s="28">
        <v>97</v>
      </c>
      <c r="BG100" s="28">
        <v>11</v>
      </c>
      <c r="BH100" s="28">
        <v>23</v>
      </c>
      <c r="BI100" s="28">
        <v>8</v>
      </c>
      <c r="BJ100" s="28">
        <v>1</v>
      </c>
      <c r="BK100" s="28">
        <v>2</v>
      </c>
      <c r="BL100" s="28">
        <v>6</v>
      </c>
      <c r="BM100" s="28">
        <v>12</v>
      </c>
      <c r="BN100" s="28">
        <v>26</v>
      </c>
      <c r="BO100" s="77">
        <v>0</v>
      </c>
      <c r="BP100" s="28">
        <v>6</v>
      </c>
      <c r="BQ100" s="28">
        <v>6</v>
      </c>
      <c r="BR100" s="77">
        <v>39</v>
      </c>
      <c r="BS100" s="72">
        <v>0.72316277310129573</v>
      </c>
      <c r="BT100" s="28">
        <v>1</v>
      </c>
      <c r="BU100" s="75">
        <v>98</v>
      </c>
    </row>
    <row r="101" spans="1:73">
      <c r="A101" s="101" t="s">
        <v>463</v>
      </c>
      <c r="B101" s="71" t="s">
        <v>179</v>
      </c>
      <c r="C101" s="71" t="s">
        <v>472</v>
      </c>
      <c r="D101" s="72">
        <f>VLOOKUP(Table106[[#This Row],[NAME]],DET_H99[[NAME]:['#]],2,0)</f>
        <v>0.33548387096774196</v>
      </c>
      <c r="E101" s="72">
        <f>VLOOKUP(Table106[[#This Row],[NAME]],DET_H99[[NAME]:['#]],3,0)</f>
        <v>0.41142857142857142</v>
      </c>
      <c r="F101" s="72">
        <f>VLOOKUP(Table106[[#This Row],[NAME]],DET_H99[[NAME]:['#]],4,0)</f>
        <v>0.47096774193548385</v>
      </c>
      <c r="G101" s="77">
        <f>VLOOKUP(Table106[[#This Row],[NAME]],DET_H99[[NAME]:['#]],5,0)</f>
        <v>39</v>
      </c>
      <c r="H101" s="28">
        <f>VLOOKUP(Table106[[#This Row],[NAME]],DET_H99[[NAME]:['#]],6,0)</f>
        <v>155</v>
      </c>
      <c r="I101" s="28">
        <f>VLOOKUP(Table106[[#This Row],[NAME]],DET_H99[[NAME]:['#]],7,0)</f>
        <v>20</v>
      </c>
      <c r="J101" s="28">
        <f>VLOOKUP(Table106[[#This Row],[NAME]],DET_H99[[NAME]:['#]],8,0)</f>
        <v>52</v>
      </c>
      <c r="K101" s="28">
        <f>VLOOKUP(Table106[[#This Row],[NAME]],DET_H99[[NAME]:['#]],9,0)</f>
        <v>9</v>
      </c>
      <c r="L101" s="28">
        <f>VLOOKUP(Table106[[#This Row],[NAME]],DET_H99[[NAME]:['#]],10,0)</f>
        <v>0</v>
      </c>
      <c r="M101" s="28">
        <f>VLOOKUP(Table106[[#This Row],[NAME]],DET_H99[[NAME]:['#]],11,0)</f>
        <v>4</v>
      </c>
      <c r="N101" s="28">
        <f>VLOOKUP(Table106[[#This Row],[NAME]],DET_H99[[NAME]:['#]],12,0)</f>
        <v>20</v>
      </c>
      <c r="O101" s="28">
        <f>VLOOKUP(Table106[[#This Row],[NAME]],DET_H99[[NAME]:['#]],13,0)</f>
        <v>20</v>
      </c>
      <c r="P101" s="28">
        <f>VLOOKUP(Table106[[#This Row],[NAME]],DET_H99[[NAME]:['#]],14,0)</f>
        <v>31</v>
      </c>
      <c r="Q101" s="77">
        <f>VLOOKUP(Table106[[#This Row],[NAME]],DET_H99[[NAME]:['#]],15,0)</f>
        <v>0</v>
      </c>
      <c r="R101" s="28">
        <f>VLOOKUP(Table106[[#This Row],[NAME]],DET_H99[[NAME]:['#]],16,0)</f>
        <v>0</v>
      </c>
      <c r="S101" s="28">
        <f>VLOOKUP(Table106[[#This Row],[NAME]],DET_H99[[NAME]:['#]],17,0)</f>
        <v>6</v>
      </c>
      <c r="T101" s="77">
        <f>VLOOKUP(Table106[[#This Row],[NAME]],DET_H99[[NAME]:['#]],18,0)</f>
        <v>73</v>
      </c>
      <c r="U101" s="72">
        <f>VLOOKUP(Table106[[#This Row],[NAME]],DET_H99[[NAME]:['#]],19,0)</f>
        <v>0.88239631336405533</v>
      </c>
      <c r="V101" s="28">
        <f>VLOOKUP(Table106[[#This Row],[NAME]],DET_H99[[NAME]:['#]],20,0)</f>
        <v>2</v>
      </c>
      <c r="W101" s="75">
        <v>99</v>
      </c>
      <c r="Z101" s="101" t="s">
        <v>463</v>
      </c>
      <c r="AA101" s="77" t="s">
        <v>179</v>
      </c>
      <c r="AB101" s="77" t="s">
        <v>472</v>
      </c>
      <c r="AC101" s="130">
        <v>0.29192546583850931</v>
      </c>
      <c r="AD101" s="72">
        <v>0.32941176470588235</v>
      </c>
      <c r="AE101" s="72">
        <v>0.39130434782608697</v>
      </c>
      <c r="AF101" s="77">
        <v>39</v>
      </c>
      <c r="AG101" s="28">
        <v>161</v>
      </c>
      <c r="AH101" s="28">
        <v>17</v>
      </c>
      <c r="AI101" s="28">
        <v>47</v>
      </c>
      <c r="AJ101" s="28">
        <v>7</v>
      </c>
      <c r="AK101" s="28">
        <v>0</v>
      </c>
      <c r="AL101" s="28">
        <v>3</v>
      </c>
      <c r="AM101" s="28">
        <v>14</v>
      </c>
      <c r="AN101" s="28">
        <v>9</v>
      </c>
      <c r="AO101" s="28">
        <v>24</v>
      </c>
      <c r="AP101" s="77">
        <v>0</v>
      </c>
      <c r="AQ101" s="28">
        <v>7</v>
      </c>
      <c r="AR101" s="28">
        <v>10</v>
      </c>
      <c r="AS101" s="77">
        <v>63</v>
      </c>
      <c r="AT101" s="72">
        <v>0.72071611253196932</v>
      </c>
      <c r="AU101" s="28">
        <v>2</v>
      </c>
      <c r="AV101" s="75">
        <v>99</v>
      </c>
      <c r="AY101" s="101" t="s">
        <v>463</v>
      </c>
      <c r="AZ101" s="77" t="s">
        <v>179</v>
      </c>
      <c r="BA101" s="77" t="s">
        <v>472</v>
      </c>
      <c r="BB101" s="130">
        <v>0.25850340136054423</v>
      </c>
      <c r="BC101" s="72">
        <v>0.31446540880503143</v>
      </c>
      <c r="BD101" s="72">
        <v>0.35374149659863946</v>
      </c>
      <c r="BE101" s="77">
        <v>38</v>
      </c>
      <c r="BF101" s="28">
        <v>147</v>
      </c>
      <c r="BG101" s="28">
        <v>20</v>
      </c>
      <c r="BH101" s="28">
        <v>38</v>
      </c>
      <c r="BI101" s="28">
        <v>5</v>
      </c>
      <c r="BJ101" s="28">
        <v>0</v>
      </c>
      <c r="BK101" s="28">
        <v>3</v>
      </c>
      <c r="BL101" s="28">
        <v>19</v>
      </c>
      <c r="BM101" s="28">
        <v>12</v>
      </c>
      <c r="BN101" s="28">
        <v>19</v>
      </c>
      <c r="BO101" s="77">
        <v>0</v>
      </c>
      <c r="BP101" s="28">
        <v>0</v>
      </c>
      <c r="BQ101" s="28">
        <v>7</v>
      </c>
      <c r="BR101" s="77">
        <v>52</v>
      </c>
      <c r="BS101" s="72">
        <v>0.66820690540367089</v>
      </c>
      <c r="BT101" s="28">
        <v>1</v>
      </c>
      <c r="BU101" s="75">
        <v>99</v>
      </c>
    </row>
    <row r="102" spans="1:73">
      <c r="A102" s="101" t="s">
        <v>463</v>
      </c>
      <c r="B102" s="71" t="s">
        <v>154</v>
      </c>
      <c r="C102" s="71" t="s">
        <v>478</v>
      </c>
      <c r="D102" s="72">
        <f>VLOOKUP(Table106[[#This Row],[NAME]],DET_H99[[NAME]:['#]],2,0)</f>
        <v>0.25</v>
      </c>
      <c r="E102" s="72">
        <f>VLOOKUP(Table106[[#This Row],[NAME]],DET_H99[[NAME]:['#]],3,0)</f>
        <v>0.32500000000000001</v>
      </c>
      <c r="F102" s="72">
        <f>VLOOKUP(Table106[[#This Row],[NAME]],DET_H99[[NAME]:['#]],4,0)</f>
        <v>0.40277777777777779</v>
      </c>
      <c r="G102" s="77">
        <f>VLOOKUP(Table106[[#This Row],[NAME]],DET_H99[[NAME]:['#]],5,0)</f>
        <v>38</v>
      </c>
      <c r="H102" s="28">
        <f>VLOOKUP(Table106[[#This Row],[NAME]],DET_H99[[NAME]:['#]],6,0)</f>
        <v>144</v>
      </c>
      <c r="I102" s="28">
        <f>VLOOKUP(Table106[[#This Row],[NAME]],DET_H99[[NAME]:['#]],7,0)</f>
        <v>22</v>
      </c>
      <c r="J102" s="28">
        <f>VLOOKUP(Table106[[#This Row],[NAME]],DET_H99[[NAME]:['#]],8,0)</f>
        <v>36</v>
      </c>
      <c r="K102" s="28">
        <f>VLOOKUP(Table106[[#This Row],[NAME]],DET_H99[[NAME]:['#]],9,0)</f>
        <v>7</v>
      </c>
      <c r="L102" s="28">
        <f>VLOOKUP(Table106[[#This Row],[NAME]],DET_H99[[NAME]:['#]],10,0)</f>
        <v>0</v>
      </c>
      <c r="M102" s="28">
        <f>VLOOKUP(Table106[[#This Row],[NAME]],DET_H99[[NAME]:['#]],11,0)</f>
        <v>5</v>
      </c>
      <c r="N102" s="28">
        <f>VLOOKUP(Table106[[#This Row],[NAME]],DET_H99[[NAME]:['#]],12,0)</f>
        <v>12</v>
      </c>
      <c r="O102" s="28">
        <f>VLOOKUP(Table106[[#This Row],[NAME]],DET_H99[[NAME]:['#]],13,0)</f>
        <v>16</v>
      </c>
      <c r="P102" s="28">
        <f>VLOOKUP(Table106[[#This Row],[NAME]],DET_H99[[NAME]:['#]],14,0)</f>
        <v>32</v>
      </c>
      <c r="Q102" s="77">
        <f>VLOOKUP(Table106[[#This Row],[NAME]],DET_H99[[NAME]:['#]],15,0)</f>
        <v>0</v>
      </c>
      <c r="R102" s="28">
        <f>VLOOKUP(Table106[[#This Row],[NAME]],DET_H99[[NAME]:['#]],16,0)</f>
        <v>0</v>
      </c>
      <c r="S102" s="28">
        <f>VLOOKUP(Table106[[#This Row],[NAME]],DET_H99[[NAME]:['#]],17,0)</f>
        <v>6</v>
      </c>
      <c r="T102" s="77">
        <f>VLOOKUP(Table106[[#This Row],[NAME]],DET_H99[[NAME]:['#]],18,0)</f>
        <v>58</v>
      </c>
      <c r="U102" s="72">
        <f>VLOOKUP(Table106[[#This Row],[NAME]],DET_H99[[NAME]:['#]],19,0)</f>
        <v>0.72777777777777786</v>
      </c>
      <c r="V102" s="28">
        <f>VLOOKUP(Table106[[#This Row],[NAME]],DET_H99[[NAME]:['#]],20,0)</f>
        <v>1</v>
      </c>
      <c r="W102" s="75">
        <v>100</v>
      </c>
      <c r="Z102" s="101" t="s">
        <v>463</v>
      </c>
      <c r="AA102" s="77" t="s">
        <v>154</v>
      </c>
      <c r="AB102" s="77" t="s">
        <v>477</v>
      </c>
      <c r="AC102" s="130">
        <v>0.26213592233009708</v>
      </c>
      <c r="AD102" s="72">
        <v>0.29629629629629628</v>
      </c>
      <c r="AE102" s="72">
        <v>0.5145631067961165</v>
      </c>
      <c r="AF102" s="77">
        <v>26</v>
      </c>
      <c r="AG102" s="28">
        <v>103</v>
      </c>
      <c r="AH102" s="28">
        <v>11</v>
      </c>
      <c r="AI102" s="28">
        <v>27</v>
      </c>
      <c r="AJ102" s="28">
        <v>8</v>
      </c>
      <c r="AK102" s="28">
        <v>0</v>
      </c>
      <c r="AL102" s="28">
        <v>6</v>
      </c>
      <c r="AM102" s="28">
        <v>12</v>
      </c>
      <c r="AN102" s="28">
        <v>5</v>
      </c>
      <c r="AO102" s="28">
        <v>29</v>
      </c>
      <c r="AP102" s="77">
        <v>0</v>
      </c>
      <c r="AQ102" s="28">
        <v>1</v>
      </c>
      <c r="AR102" s="28">
        <v>4</v>
      </c>
      <c r="AS102" s="77">
        <v>53</v>
      </c>
      <c r="AT102" s="72">
        <v>0.81085940309241278</v>
      </c>
      <c r="AU102" s="28">
        <v>2</v>
      </c>
      <c r="AV102" s="75">
        <v>100</v>
      </c>
      <c r="AY102" s="101" t="s">
        <v>463</v>
      </c>
      <c r="AZ102" s="77" t="s">
        <v>154</v>
      </c>
      <c r="BA102" s="77" t="s">
        <v>470</v>
      </c>
      <c r="BB102" s="130">
        <v>0.2661290322580645</v>
      </c>
      <c r="BC102" s="72">
        <v>0.34057971014492755</v>
      </c>
      <c r="BD102" s="72">
        <v>0.44354838709677419</v>
      </c>
      <c r="BE102" s="77">
        <v>33</v>
      </c>
      <c r="BF102" s="28">
        <v>124</v>
      </c>
      <c r="BG102" s="28">
        <v>15</v>
      </c>
      <c r="BH102" s="28">
        <v>33</v>
      </c>
      <c r="BI102" s="28">
        <v>6</v>
      </c>
      <c r="BJ102" s="28">
        <v>2</v>
      </c>
      <c r="BK102" s="28">
        <v>4</v>
      </c>
      <c r="BL102" s="28">
        <v>17</v>
      </c>
      <c r="BM102" s="28">
        <v>14</v>
      </c>
      <c r="BN102" s="28">
        <v>34</v>
      </c>
      <c r="BO102" s="77">
        <v>0</v>
      </c>
      <c r="BP102" s="28">
        <v>5</v>
      </c>
      <c r="BQ102" s="28">
        <v>7</v>
      </c>
      <c r="BR102" s="77">
        <v>55</v>
      </c>
      <c r="BS102" s="72">
        <v>0.78412809724170174</v>
      </c>
      <c r="BT102" s="28">
        <v>2</v>
      </c>
      <c r="BU102" s="75">
        <v>100</v>
      </c>
    </row>
    <row r="103" spans="1:73">
      <c r="A103" s="101" t="s">
        <v>463</v>
      </c>
      <c r="B103" s="71" t="s">
        <v>172</v>
      </c>
      <c r="C103" s="71" t="s">
        <v>469</v>
      </c>
      <c r="D103" s="72">
        <f>VLOOKUP(Table106[[#This Row],[NAME]],DET_H99[[NAME]:['#]],2,0)</f>
        <v>0.20779220779220781</v>
      </c>
      <c r="E103" s="72">
        <f>VLOOKUP(Table106[[#This Row],[NAME]],DET_H99[[NAME]:['#]],3,0)</f>
        <v>0.24691358024691357</v>
      </c>
      <c r="F103" s="72">
        <f>VLOOKUP(Table106[[#This Row],[NAME]],DET_H99[[NAME]:['#]],4,0)</f>
        <v>0.33766233766233766</v>
      </c>
      <c r="G103" s="77">
        <f>VLOOKUP(Table106[[#This Row],[NAME]],DET_H99[[NAME]:['#]],5,0)</f>
        <v>40</v>
      </c>
      <c r="H103" s="28">
        <f>VLOOKUP(Table106[[#This Row],[NAME]],DET_H99[[NAME]:['#]],6,0)</f>
        <v>154</v>
      </c>
      <c r="I103" s="28">
        <f>VLOOKUP(Table106[[#This Row],[NAME]],DET_H99[[NAME]:['#]],7,0)</f>
        <v>14</v>
      </c>
      <c r="J103" s="28">
        <f>VLOOKUP(Table106[[#This Row],[NAME]],DET_H99[[NAME]:['#]],8,0)</f>
        <v>32</v>
      </c>
      <c r="K103" s="28">
        <f>VLOOKUP(Table106[[#This Row],[NAME]],DET_H99[[NAME]:['#]],9,0)</f>
        <v>7</v>
      </c>
      <c r="L103" s="28">
        <f>VLOOKUP(Table106[[#This Row],[NAME]],DET_H99[[NAME]:['#]],10,0)</f>
        <v>2</v>
      </c>
      <c r="M103" s="28">
        <f>VLOOKUP(Table106[[#This Row],[NAME]],DET_H99[[NAME]:['#]],11,0)</f>
        <v>3</v>
      </c>
      <c r="N103" s="28">
        <f>VLOOKUP(Table106[[#This Row],[NAME]],DET_H99[[NAME]:['#]],12,0)</f>
        <v>13</v>
      </c>
      <c r="O103" s="28">
        <f>VLOOKUP(Table106[[#This Row],[NAME]],DET_H99[[NAME]:['#]],13,0)</f>
        <v>8</v>
      </c>
      <c r="P103" s="28">
        <f>VLOOKUP(Table106[[#This Row],[NAME]],DET_H99[[NAME]:['#]],14,0)</f>
        <v>57</v>
      </c>
      <c r="Q103" s="77">
        <f>VLOOKUP(Table106[[#This Row],[NAME]],DET_H99[[NAME]:['#]],15,0)</f>
        <v>1</v>
      </c>
      <c r="R103" s="28">
        <f>VLOOKUP(Table106[[#This Row],[NAME]],DET_H99[[NAME]:['#]],16,0)</f>
        <v>0</v>
      </c>
      <c r="S103" s="28">
        <f>VLOOKUP(Table106[[#This Row],[NAME]],DET_H99[[NAME]:['#]],17,0)</f>
        <v>7</v>
      </c>
      <c r="T103" s="77">
        <f>VLOOKUP(Table106[[#This Row],[NAME]],DET_H99[[NAME]:['#]],18,0)</f>
        <v>52</v>
      </c>
      <c r="U103" s="72">
        <f>VLOOKUP(Table106[[#This Row],[NAME]],DET_H99[[NAME]:['#]],19,0)</f>
        <v>0.58457591790925123</v>
      </c>
      <c r="V103" s="28">
        <f>VLOOKUP(Table106[[#This Row],[NAME]],DET_H99[[NAME]:['#]],20,0)</f>
        <v>1</v>
      </c>
      <c r="W103" s="75">
        <v>101</v>
      </c>
      <c r="Z103" s="101" t="s">
        <v>463</v>
      </c>
      <c r="AA103" s="77" t="s">
        <v>172</v>
      </c>
      <c r="AB103" s="77" t="s">
        <v>469</v>
      </c>
      <c r="AC103" s="130">
        <v>0.24183006535947713</v>
      </c>
      <c r="AD103" s="72">
        <v>0.28834355828220859</v>
      </c>
      <c r="AE103" s="72">
        <v>0.43137254901960786</v>
      </c>
      <c r="AF103" s="77">
        <v>40</v>
      </c>
      <c r="AG103" s="28">
        <v>153</v>
      </c>
      <c r="AH103" s="28">
        <v>15</v>
      </c>
      <c r="AI103" s="28">
        <v>37</v>
      </c>
      <c r="AJ103" s="28">
        <v>11</v>
      </c>
      <c r="AK103" s="28">
        <v>3</v>
      </c>
      <c r="AL103" s="28">
        <v>4</v>
      </c>
      <c r="AM103" s="28">
        <v>14</v>
      </c>
      <c r="AN103" s="28">
        <v>10</v>
      </c>
      <c r="AO103" s="28">
        <v>48</v>
      </c>
      <c r="AP103" s="77">
        <v>0</v>
      </c>
      <c r="AQ103" s="28">
        <v>4</v>
      </c>
      <c r="AR103" s="28">
        <v>4</v>
      </c>
      <c r="AS103" s="77">
        <v>66</v>
      </c>
      <c r="AT103" s="72">
        <v>0.71971610730181645</v>
      </c>
      <c r="AU103" s="28">
        <v>3</v>
      </c>
      <c r="AV103" s="75">
        <v>101</v>
      </c>
      <c r="AY103" s="101" t="s">
        <v>463</v>
      </c>
      <c r="AZ103" s="77" t="s">
        <v>172</v>
      </c>
      <c r="BA103" s="77" t="s">
        <v>480</v>
      </c>
      <c r="BB103" s="130">
        <v>0.1728395061728395</v>
      </c>
      <c r="BC103" s="72">
        <v>0.22988505747126436</v>
      </c>
      <c r="BD103" s="72">
        <v>0.25925925925925924</v>
      </c>
      <c r="BE103" s="77">
        <v>23</v>
      </c>
      <c r="BF103" s="28">
        <v>81</v>
      </c>
      <c r="BG103" s="28">
        <v>6</v>
      </c>
      <c r="BH103" s="28">
        <v>14</v>
      </c>
      <c r="BI103" s="28">
        <v>1</v>
      </c>
      <c r="BJ103" s="28">
        <v>0</v>
      </c>
      <c r="BK103" s="28">
        <v>2</v>
      </c>
      <c r="BL103" s="28">
        <v>9</v>
      </c>
      <c r="BM103" s="28">
        <v>6</v>
      </c>
      <c r="BN103" s="28">
        <v>25</v>
      </c>
      <c r="BO103" s="77">
        <v>0</v>
      </c>
      <c r="BP103" s="28">
        <v>0</v>
      </c>
      <c r="BQ103" s="28">
        <v>3</v>
      </c>
      <c r="BR103" s="77">
        <v>21</v>
      </c>
      <c r="BS103" s="72">
        <v>0.48914431673052361</v>
      </c>
      <c r="BT103" s="28">
        <v>0</v>
      </c>
      <c r="BU103" s="75">
        <v>101</v>
      </c>
    </row>
    <row r="104" spans="1:73">
      <c r="A104" s="101" t="s">
        <v>463</v>
      </c>
      <c r="B104" s="71" t="s">
        <v>153</v>
      </c>
      <c r="C104" s="71" t="s">
        <v>471</v>
      </c>
      <c r="D104" s="72">
        <f>VLOOKUP(Table106[[#This Row],[NAME]],DET_H99[[NAME]:['#]],2,0)</f>
        <v>0.32666666666666666</v>
      </c>
      <c r="E104" s="72">
        <f>VLOOKUP(Table106[[#This Row],[NAME]],DET_H99[[NAME]:['#]],3,0)</f>
        <v>0.37267080745341613</v>
      </c>
      <c r="F104" s="72">
        <f>VLOOKUP(Table106[[#This Row],[NAME]],DET_H99[[NAME]:['#]],4,0)</f>
        <v>0.52</v>
      </c>
      <c r="G104" s="77">
        <f>VLOOKUP(Table106[[#This Row],[NAME]],DET_H99[[NAME]:['#]],5,0)</f>
        <v>39</v>
      </c>
      <c r="H104" s="28">
        <f>VLOOKUP(Table106[[#This Row],[NAME]],DET_H99[[NAME]:['#]],6,0)</f>
        <v>150</v>
      </c>
      <c r="I104" s="28">
        <f>VLOOKUP(Table106[[#This Row],[NAME]],DET_H99[[NAME]:['#]],7,0)</f>
        <v>15</v>
      </c>
      <c r="J104" s="28">
        <f>VLOOKUP(Table106[[#This Row],[NAME]],DET_H99[[NAME]:['#]],8,0)</f>
        <v>49</v>
      </c>
      <c r="K104" s="28">
        <f>VLOOKUP(Table106[[#This Row],[NAME]],DET_H99[[NAME]:['#]],9,0)</f>
        <v>9</v>
      </c>
      <c r="L104" s="28">
        <f>VLOOKUP(Table106[[#This Row],[NAME]],DET_H99[[NAME]:['#]],10,0)</f>
        <v>1</v>
      </c>
      <c r="M104" s="28">
        <f>VLOOKUP(Table106[[#This Row],[NAME]],DET_H99[[NAME]:['#]],11,0)</f>
        <v>6</v>
      </c>
      <c r="N104" s="28">
        <f>VLOOKUP(Table106[[#This Row],[NAME]],DET_H99[[NAME]:['#]],12,0)</f>
        <v>26</v>
      </c>
      <c r="O104" s="28">
        <f>VLOOKUP(Table106[[#This Row],[NAME]],DET_H99[[NAME]:['#]],13,0)</f>
        <v>11</v>
      </c>
      <c r="P104" s="28">
        <f>VLOOKUP(Table106[[#This Row],[NAME]],DET_H99[[NAME]:['#]],14,0)</f>
        <v>24</v>
      </c>
      <c r="Q104" s="77">
        <f>VLOOKUP(Table106[[#This Row],[NAME]],DET_H99[[NAME]:['#]],15,0)</f>
        <v>0</v>
      </c>
      <c r="R104" s="28">
        <f>VLOOKUP(Table106[[#This Row],[NAME]],DET_H99[[NAME]:['#]],16,0)</f>
        <v>1</v>
      </c>
      <c r="S104" s="28">
        <f>VLOOKUP(Table106[[#This Row],[NAME]],DET_H99[[NAME]:['#]],17,0)</f>
        <v>6</v>
      </c>
      <c r="T104" s="77">
        <f>VLOOKUP(Table106[[#This Row],[NAME]],DET_H99[[NAME]:['#]],18,0)</f>
        <v>78</v>
      </c>
      <c r="U104" s="72">
        <f>VLOOKUP(Table106[[#This Row],[NAME]],DET_H99[[NAME]:['#]],19,0)</f>
        <v>0.8926708074534162</v>
      </c>
      <c r="V104" s="28">
        <f>VLOOKUP(Table106[[#This Row],[NAME]],DET_H99[[NAME]:['#]],20,0)</f>
        <v>3</v>
      </c>
      <c r="W104" s="75">
        <v>102</v>
      </c>
      <c r="Z104" s="101" t="s">
        <v>463</v>
      </c>
      <c r="AA104" s="77" t="s">
        <v>153</v>
      </c>
      <c r="AB104" s="77" t="s">
        <v>471</v>
      </c>
      <c r="AC104" s="130">
        <v>0.23741007194244604</v>
      </c>
      <c r="AD104" s="72">
        <v>0.26896551724137929</v>
      </c>
      <c r="AE104" s="72">
        <v>0.41007194244604317</v>
      </c>
      <c r="AF104" s="77">
        <v>35</v>
      </c>
      <c r="AG104" s="28">
        <v>139</v>
      </c>
      <c r="AH104" s="28">
        <v>11</v>
      </c>
      <c r="AI104" s="28">
        <v>33</v>
      </c>
      <c r="AJ104" s="28">
        <v>7</v>
      </c>
      <c r="AK104" s="28">
        <v>1</v>
      </c>
      <c r="AL104" s="28">
        <v>5</v>
      </c>
      <c r="AM104" s="28">
        <v>15</v>
      </c>
      <c r="AN104" s="28">
        <v>6</v>
      </c>
      <c r="AO104" s="28">
        <v>27</v>
      </c>
      <c r="AP104" s="77">
        <v>0</v>
      </c>
      <c r="AQ104" s="28">
        <v>0</v>
      </c>
      <c r="AR104" s="28">
        <v>7</v>
      </c>
      <c r="AS104" s="77">
        <v>57</v>
      </c>
      <c r="AT104" s="72">
        <v>0.67903745968742246</v>
      </c>
      <c r="AU104" s="28">
        <v>0</v>
      </c>
      <c r="AV104" s="75">
        <v>102</v>
      </c>
      <c r="AY104" s="101" t="s">
        <v>463</v>
      </c>
      <c r="AZ104" s="77" t="s">
        <v>153</v>
      </c>
      <c r="BA104" s="77" t="s">
        <v>471</v>
      </c>
      <c r="BB104" s="130">
        <v>0.17557251908396945</v>
      </c>
      <c r="BC104" s="72">
        <v>0.26530612244897961</v>
      </c>
      <c r="BD104" s="72">
        <v>0.25190839694656486</v>
      </c>
      <c r="BE104" s="77">
        <v>36</v>
      </c>
      <c r="BF104" s="28">
        <v>131</v>
      </c>
      <c r="BG104" s="28">
        <v>16</v>
      </c>
      <c r="BH104" s="28">
        <v>23</v>
      </c>
      <c r="BI104" s="28">
        <v>5</v>
      </c>
      <c r="BJ104" s="28">
        <v>1</v>
      </c>
      <c r="BK104" s="28">
        <v>1</v>
      </c>
      <c r="BL104" s="28">
        <v>10</v>
      </c>
      <c r="BM104" s="28">
        <v>16</v>
      </c>
      <c r="BN104" s="28">
        <v>20</v>
      </c>
      <c r="BO104" s="77">
        <v>0</v>
      </c>
      <c r="BP104" s="28">
        <v>0</v>
      </c>
      <c r="BQ104" s="28">
        <v>7</v>
      </c>
      <c r="BR104" s="77">
        <v>33</v>
      </c>
      <c r="BS104" s="72">
        <v>0.51721451939554441</v>
      </c>
      <c r="BT104" s="28">
        <v>1</v>
      </c>
      <c r="BU104" s="75">
        <v>102</v>
      </c>
    </row>
    <row r="105" spans="1:73">
      <c r="A105" s="101" t="s">
        <v>463</v>
      </c>
      <c r="B105" s="71" t="s">
        <v>177</v>
      </c>
      <c r="C105" s="71" t="s">
        <v>465</v>
      </c>
      <c r="D105" s="72">
        <f>VLOOKUP(Table106[[#This Row],[NAME]],DET_H99[[NAME]:['#]],2,0)</f>
        <v>0.30120481927710846</v>
      </c>
      <c r="E105" s="72">
        <f>VLOOKUP(Table106[[#This Row],[NAME]],DET_H99[[NAME]:['#]],3,0)</f>
        <v>0.36263736263736263</v>
      </c>
      <c r="F105" s="72">
        <f>VLOOKUP(Table106[[#This Row],[NAME]],DET_H99[[NAME]:['#]],4,0)</f>
        <v>0.52409638554216864</v>
      </c>
      <c r="G105" s="77">
        <f>VLOOKUP(Table106[[#This Row],[NAME]],DET_H99[[NAME]:['#]],5,0)</f>
        <v>39</v>
      </c>
      <c r="H105" s="28">
        <f>VLOOKUP(Table106[[#This Row],[NAME]],DET_H99[[NAME]:['#]],6,0)</f>
        <v>166</v>
      </c>
      <c r="I105" s="28">
        <f>VLOOKUP(Table106[[#This Row],[NAME]],DET_H99[[NAME]:['#]],7,0)</f>
        <v>20</v>
      </c>
      <c r="J105" s="28">
        <f>VLOOKUP(Table106[[#This Row],[NAME]],DET_H99[[NAME]:['#]],8,0)</f>
        <v>50</v>
      </c>
      <c r="K105" s="28">
        <f>VLOOKUP(Table106[[#This Row],[NAME]],DET_H99[[NAME]:['#]],9,0)</f>
        <v>13</v>
      </c>
      <c r="L105" s="28">
        <f>VLOOKUP(Table106[[#This Row],[NAME]],DET_H99[[NAME]:['#]],10,0)</f>
        <v>0</v>
      </c>
      <c r="M105" s="28">
        <f>VLOOKUP(Table106[[#This Row],[NAME]],DET_H99[[NAME]:['#]],11,0)</f>
        <v>8</v>
      </c>
      <c r="N105" s="28">
        <f>VLOOKUP(Table106[[#This Row],[NAME]],DET_H99[[NAME]:['#]],12,0)</f>
        <v>30</v>
      </c>
      <c r="O105" s="28">
        <f>VLOOKUP(Table106[[#This Row],[NAME]],DET_H99[[NAME]:['#]],13,0)</f>
        <v>16</v>
      </c>
      <c r="P105" s="28">
        <f>VLOOKUP(Table106[[#This Row],[NAME]],DET_H99[[NAME]:['#]],14,0)</f>
        <v>33</v>
      </c>
      <c r="Q105" s="77">
        <f>VLOOKUP(Table106[[#This Row],[NAME]],DET_H99[[NAME]:['#]],15,0)</f>
        <v>0</v>
      </c>
      <c r="R105" s="28">
        <f>VLOOKUP(Table106[[#This Row],[NAME]],DET_H99[[NAME]:['#]],16,0)</f>
        <v>2</v>
      </c>
      <c r="S105" s="28">
        <f>VLOOKUP(Table106[[#This Row],[NAME]],DET_H99[[NAME]:['#]],17,0)</f>
        <v>6</v>
      </c>
      <c r="T105" s="77">
        <f>VLOOKUP(Table106[[#This Row],[NAME]],DET_H99[[NAME]:['#]],18,0)</f>
        <v>87</v>
      </c>
      <c r="U105" s="72">
        <f>VLOOKUP(Table106[[#This Row],[NAME]],DET_H99[[NAME]:['#]],19,0)</f>
        <v>0.88673374817953121</v>
      </c>
      <c r="V105" s="28">
        <f>VLOOKUP(Table106[[#This Row],[NAME]],DET_H99[[NAME]:['#]],20,0)</f>
        <v>3</v>
      </c>
      <c r="W105" s="75">
        <v>103</v>
      </c>
      <c r="Z105" s="101" t="s">
        <v>463</v>
      </c>
      <c r="AA105" s="77" t="s">
        <v>177</v>
      </c>
      <c r="AB105" s="77" t="s">
        <v>468</v>
      </c>
      <c r="AC105" s="130">
        <v>0.17857142857142858</v>
      </c>
      <c r="AD105" s="72">
        <v>0.25324675324675322</v>
      </c>
      <c r="AE105" s="72">
        <v>0.36428571428571427</v>
      </c>
      <c r="AF105" s="77">
        <v>36</v>
      </c>
      <c r="AG105" s="28">
        <v>140</v>
      </c>
      <c r="AH105" s="28">
        <v>12</v>
      </c>
      <c r="AI105" s="28">
        <v>25</v>
      </c>
      <c r="AJ105" s="28">
        <v>5</v>
      </c>
      <c r="AK105" s="28">
        <v>0</v>
      </c>
      <c r="AL105" s="28">
        <v>7</v>
      </c>
      <c r="AM105" s="28">
        <v>16</v>
      </c>
      <c r="AN105" s="28">
        <v>14</v>
      </c>
      <c r="AO105" s="28">
        <v>38</v>
      </c>
      <c r="AP105" s="77">
        <v>0</v>
      </c>
      <c r="AQ105" s="28">
        <v>0</v>
      </c>
      <c r="AR105" s="28">
        <v>7</v>
      </c>
      <c r="AS105" s="77">
        <v>51</v>
      </c>
      <c r="AT105" s="72">
        <v>0.61753246753246749</v>
      </c>
      <c r="AU105" s="28">
        <v>2</v>
      </c>
      <c r="AV105" s="75">
        <v>103</v>
      </c>
      <c r="AY105" s="101" t="s">
        <v>463</v>
      </c>
      <c r="AZ105" s="77" t="s">
        <v>476</v>
      </c>
      <c r="BA105" s="77" t="s">
        <v>477</v>
      </c>
      <c r="BB105" s="130">
        <v>0.21311475409836064</v>
      </c>
      <c r="BC105" s="72">
        <v>0.26153846153846155</v>
      </c>
      <c r="BD105" s="72">
        <v>0.33606557377049179</v>
      </c>
      <c r="BE105" s="77">
        <v>33</v>
      </c>
      <c r="BF105" s="28">
        <v>122</v>
      </c>
      <c r="BG105" s="28">
        <v>15</v>
      </c>
      <c r="BH105" s="28">
        <v>26</v>
      </c>
      <c r="BI105" s="28">
        <v>9</v>
      </c>
      <c r="BJ105" s="28">
        <v>0</v>
      </c>
      <c r="BK105" s="28">
        <v>2</v>
      </c>
      <c r="BL105" s="28">
        <v>15</v>
      </c>
      <c r="BM105" s="28">
        <v>8</v>
      </c>
      <c r="BN105" s="28">
        <v>43</v>
      </c>
      <c r="BO105" s="77">
        <v>0</v>
      </c>
      <c r="BP105" s="28">
        <v>2</v>
      </c>
      <c r="BQ105" s="28">
        <v>10</v>
      </c>
      <c r="BR105" s="77">
        <v>41</v>
      </c>
      <c r="BS105" s="72">
        <v>0.59760403530895334</v>
      </c>
      <c r="BT105" s="28">
        <v>1</v>
      </c>
      <c r="BU105" s="75">
        <v>103</v>
      </c>
    </row>
    <row r="106" spans="1:73">
      <c r="A106" s="101" t="s">
        <v>463</v>
      </c>
      <c r="B106" s="71" t="s">
        <v>174</v>
      </c>
      <c r="C106" s="71" t="s">
        <v>464</v>
      </c>
      <c r="D106" s="72">
        <f>VLOOKUP(Table106[[#This Row],[NAME]],DET_H99[[NAME]:['#]],2,0)</f>
        <v>0.27439024390243905</v>
      </c>
      <c r="E106" s="72">
        <f>VLOOKUP(Table106[[#This Row],[NAME]],DET_H99[[NAME]:['#]],3,0)</f>
        <v>0.29585798816568049</v>
      </c>
      <c r="F106" s="72">
        <f>VLOOKUP(Table106[[#This Row],[NAME]],DET_H99[[NAME]:['#]],4,0)</f>
        <v>0.57317073170731703</v>
      </c>
      <c r="G106" s="77">
        <f>VLOOKUP(Table106[[#This Row],[NAME]],DET_H99[[NAME]:['#]],5,0)</f>
        <v>39</v>
      </c>
      <c r="H106" s="28">
        <f>VLOOKUP(Table106[[#This Row],[NAME]],DET_H99[[NAME]:['#]],6,0)</f>
        <v>164</v>
      </c>
      <c r="I106" s="28">
        <f>VLOOKUP(Table106[[#This Row],[NAME]],DET_H99[[NAME]:['#]],7,0)</f>
        <v>23</v>
      </c>
      <c r="J106" s="28">
        <f>VLOOKUP(Table106[[#This Row],[NAME]],DET_H99[[NAME]:['#]],8,0)</f>
        <v>45</v>
      </c>
      <c r="K106" s="28">
        <f>VLOOKUP(Table106[[#This Row],[NAME]],DET_H99[[NAME]:['#]],9,0)</f>
        <v>9</v>
      </c>
      <c r="L106" s="28">
        <f>VLOOKUP(Table106[[#This Row],[NAME]],DET_H99[[NAME]:['#]],10,0)</f>
        <v>2</v>
      </c>
      <c r="M106" s="28">
        <f>VLOOKUP(Table106[[#This Row],[NAME]],DET_H99[[NAME]:['#]],11,0)</f>
        <v>12</v>
      </c>
      <c r="N106" s="28">
        <f>VLOOKUP(Table106[[#This Row],[NAME]],DET_H99[[NAME]:['#]],12,0)</f>
        <v>31</v>
      </c>
      <c r="O106" s="28">
        <f>VLOOKUP(Table106[[#This Row],[NAME]],DET_H99[[NAME]:['#]],13,0)</f>
        <v>5</v>
      </c>
      <c r="P106" s="28">
        <f>VLOOKUP(Table106[[#This Row],[NAME]],DET_H99[[NAME]:['#]],14,0)</f>
        <v>60</v>
      </c>
      <c r="Q106" s="77">
        <f>VLOOKUP(Table106[[#This Row],[NAME]],DET_H99[[NAME]:['#]],15,0)</f>
        <v>0</v>
      </c>
      <c r="R106" s="28">
        <f>VLOOKUP(Table106[[#This Row],[NAME]],DET_H99[[NAME]:['#]],16,0)</f>
        <v>2</v>
      </c>
      <c r="S106" s="28">
        <f>VLOOKUP(Table106[[#This Row],[NAME]],DET_H99[[NAME]:['#]],17,0)</f>
        <v>12</v>
      </c>
      <c r="T106" s="77">
        <f>VLOOKUP(Table106[[#This Row],[NAME]],DET_H99[[NAME]:['#]],18,0)</f>
        <v>94</v>
      </c>
      <c r="U106" s="72">
        <f>VLOOKUP(Table106[[#This Row],[NAME]],DET_H99[[NAME]:['#]],19,0)</f>
        <v>0.86902871987299757</v>
      </c>
      <c r="V106" s="28">
        <f>VLOOKUP(Table106[[#This Row],[NAME]],DET_H99[[NAME]:['#]],20,0)</f>
        <v>3</v>
      </c>
      <c r="W106" s="75">
        <v>104</v>
      </c>
      <c r="Z106" s="101" t="s">
        <v>463</v>
      </c>
      <c r="AA106" s="77" t="s">
        <v>174</v>
      </c>
      <c r="AB106" s="77" t="s">
        <v>473</v>
      </c>
      <c r="AC106" s="130">
        <v>0.24647887323943662</v>
      </c>
      <c r="AD106" s="72">
        <v>0.31847133757961782</v>
      </c>
      <c r="AE106" s="72">
        <v>0.43661971830985913</v>
      </c>
      <c r="AF106" s="77">
        <v>35</v>
      </c>
      <c r="AG106" s="28">
        <v>142</v>
      </c>
      <c r="AH106" s="28">
        <v>22</v>
      </c>
      <c r="AI106" s="28">
        <v>35</v>
      </c>
      <c r="AJ106" s="28">
        <v>5</v>
      </c>
      <c r="AK106" s="28">
        <v>2</v>
      </c>
      <c r="AL106" s="28">
        <v>6</v>
      </c>
      <c r="AM106" s="28">
        <v>12</v>
      </c>
      <c r="AN106" s="28">
        <v>15</v>
      </c>
      <c r="AO106" s="28">
        <v>36</v>
      </c>
      <c r="AP106" s="77">
        <v>2</v>
      </c>
      <c r="AQ106" s="28">
        <v>2</v>
      </c>
      <c r="AR106" s="28">
        <v>6</v>
      </c>
      <c r="AS106" s="77">
        <v>62</v>
      </c>
      <c r="AT106" s="72">
        <v>0.755091055889477</v>
      </c>
      <c r="AU106" s="28">
        <v>3</v>
      </c>
      <c r="AV106" s="75">
        <v>104</v>
      </c>
      <c r="AY106" s="101" t="s">
        <v>463</v>
      </c>
      <c r="AZ106" s="77" t="s">
        <v>174</v>
      </c>
      <c r="BA106" s="77" t="s">
        <v>474</v>
      </c>
      <c r="BB106" s="130">
        <v>0.23387096774193547</v>
      </c>
      <c r="BC106" s="72">
        <v>0.35374149659863946</v>
      </c>
      <c r="BD106" s="72">
        <v>0.33870967741935482</v>
      </c>
      <c r="BE106" s="77">
        <v>35</v>
      </c>
      <c r="BF106" s="28">
        <v>124</v>
      </c>
      <c r="BG106" s="28">
        <v>20</v>
      </c>
      <c r="BH106" s="28">
        <v>29</v>
      </c>
      <c r="BI106" s="28">
        <v>4</v>
      </c>
      <c r="BJ106" s="28">
        <v>0</v>
      </c>
      <c r="BK106" s="28">
        <v>3</v>
      </c>
      <c r="BL106" s="28">
        <v>7</v>
      </c>
      <c r="BM106" s="28">
        <v>23</v>
      </c>
      <c r="BN106" s="28">
        <v>37</v>
      </c>
      <c r="BO106" s="77">
        <v>0</v>
      </c>
      <c r="BP106" s="28">
        <v>1</v>
      </c>
      <c r="BQ106" s="28">
        <v>5</v>
      </c>
      <c r="BR106" s="77">
        <v>42</v>
      </c>
      <c r="BS106" s="72">
        <v>0.69245117401799428</v>
      </c>
      <c r="BT106" s="28">
        <v>1</v>
      </c>
      <c r="BU106" s="75">
        <v>104</v>
      </c>
    </row>
    <row r="107" spans="1:73">
      <c r="A107" s="101" t="s">
        <v>463</v>
      </c>
      <c r="B107" s="71" t="s">
        <v>181</v>
      </c>
      <c r="C107" s="71" t="s">
        <v>475</v>
      </c>
      <c r="D107" s="72">
        <f>VLOOKUP(Table106[[#This Row],[NAME]],DET_H99[[NAME]:['#]],2,0)</f>
        <v>0.28901734104046245</v>
      </c>
      <c r="E107" s="72">
        <f>VLOOKUP(Table106[[#This Row],[NAME]],DET_H99[[NAME]:['#]],3,0)</f>
        <v>0.35602094240837695</v>
      </c>
      <c r="F107" s="72">
        <f>VLOOKUP(Table106[[#This Row],[NAME]],DET_H99[[NAME]:['#]],4,0)</f>
        <v>0.41618497109826591</v>
      </c>
      <c r="G107" s="77">
        <f>VLOOKUP(Table106[[#This Row],[NAME]],DET_H99[[NAME]:['#]],5,0)</f>
        <v>39</v>
      </c>
      <c r="H107" s="28">
        <f>VLOOKUP(Table106[[#This Row],[NAME]],DET_H99[[NAME]:['#]],6,0)</f>
        <v>173</v>
      </c>
      <c r="I107" s="28">
        <f>VLOOKUP(Table106[[#This Row],[NAME]],DET_H99[[NAME]:['#]],7,0)</f>
        <v>21</v>
      </c>
      <c r="J107" s="28">
        <f>VLOOKUP(Table106[[#This Row],[NAME]],DET_H99[[NAME]:['#]],8,0)</f>
        <v>50</v>
      </c>
      <c r="K107" s="28">
        <f>VLOOKUP(Table106[[#This Row],[NAME]],DET_H99[[NAME]:['#]],9,0)</f>
        <v>11</v>
      </c>
      <c r="L107" s="28">
        <f>VLOOKUP(Table106[[#This Row],[NAME]],DET_H99[[NAME]:['#]],10,0)</f>
        <v>1</v>
      </c>
      <c r="M107" s="28">
        <f>VLOOKUP(Table106[[#This Row],[NAME]],DET_H99[[NAME]:['#]],11,0)</f>
        <v>3</v>
      </c>
      <c r="N107" s="28">
        <f>VLOOKUP(Table106[[#This Row],[NAME]],DET_H99[[NAME]:['#]],12,0)</f>
        <v>17</v>
      </c>
      <c r="O107" s="28">
        <f>VLOOKUP(Table106[[#This Row],[NAME]],DET_H99[[NAME]:['#]],13,0)</f>
        <v>18</v>
      </c>
      <c r="P107" s="76">
        <f>VLOOKUP(Table106[[#This Row],[NAME]],DET_H99[[NAME]:['#]],14,0)</f>
        <v>64</v>
      </c>
      <c r="Q107" s="77">
        <f>VLOOKUP(Table106[[#This Row],[NAME]],DET_H99[[NAME]:['#]],15,0)</f>
        <v>0</v>
      </c>
      <c r="R107" s="28">
        <f>VLOOKUP(Table106[[#This Row],[NAME]],DET_H99[[NAME]:['#]],16,0)</f>
        <v>0</v>
      </c>
      <c r="S107" s="28">
        <f>VLOOKUP(Table106[[#This Row],[NAME]],DET_H99[[NAME]:['#]],17,0)</f>
        <v>9</v>
      </c>
      <c r="T107" s="77">
        <f>VLOOKUP(Table106[[#This Row],[NAME]],DET_H99[[NAME]:['#]],18,0)</f>
        <v>72</v>
      </c>
      <c r="U107" s="72">
        <f>VLOOKUP(Table106[[#This Row],[NAME]],DET_H99[[NAME]:['#]],19,0)</f>
        <v>0.7722059135066428</v>
      </c>
      <c r="V107" s="28">
        <f>VLOOKUP(Table106[[#This Row],[NAME]],DET_H99[[NAME]:['#]],20,0)</f>
        <v>3</v>
      </c>
      <c r="W107" s="75">
        <v>105</v>
      </c>
      <c r="Z107" s="101" t="s">
        <v>463</v>
      </c>
      <c r="AA107" s="77" t="s">
        <v>181</v>
      </c>
      <c r="AB107" s="77" t="s">
        <v>475</v>
      </c>
      <c r="AC107" s="130">
        <v>0.22</v>
      </c>
      <c r="AD107" s="72">
        <v>0.29090909090909089</v>
      </c>
      <c r="AE107" s="72">
        <v>0.37</v>
      </c>
      <c r="AF107" s="77">
        <v>28</v>
      </c>
      <c r="AG107" s="28">
        <v>100</v>
      </c>
      <c r="AH107" s="28">
        <v>7</v>
      </c>
      <c r="AI107" s="28">
        <v>22</v>
      </c>
      <c r="AJ107" s="28">
        <v>6</v>
      </c>
      <c r="AK107" s="28">
        <v>0</v>
      </c>
      <c r="AL107" s="28">
        <v>3</v>
      </c>
      <c r="AM107" s="28">
        <v>8</v>
      </c>
      <c r="AN107" s="28">
        <v>10</v>
      </c>
      <c r="AO107" s="28">
        <v>23</v>
      </c>
      <c r="AP107" s="77">
        <v>0</v>
      </c>
      <c r="AQ107" s="28">
        <v>0</v>
      </c>
      <c r="AR107" s="28">
        <v>4</v>
      </c>
      <c r="AS107" s="77">
        <v>37</v>
      </c>
      <c r="AT107" s="72">
        <v>0.66090909090909089</v>
      </c>
      <c r="AU107" s="28">
        <v>0</v>
      </c>
      <c r="AV107" s="75">
        <v>105</v>
      </c>
      <c r="AY107" s="101" t="s">
        <v>463</v>
      </c>
      <c r="AZ107" s="77" t="s">
        <v>383</v>
      </c>
      <c r="BA107" s="77" t="s">
        <v>475</v>
      </c>
      <c r="BB107" s="130">
        <v>0.21621621621621623</v>
      </c>
      <c r="BC107" s="72">
        <v>0.30120481927710846</v>
      </c>
      <c r="BD107" s="72">
        <v>0.3783783783783784</v>
      </c>
      <c r="BE107" s="77">
        <v>23</v>
      </c>
      <c r="BF107" s="28">
        <v>74</v>
      </c>
      <c r="BG107" s="28">
        <v>9</v>
      </c>
      <c r="BH107" s="28">
        <v>16</v>
      </c>
      <c r="BI107" s="28">
        <v>0</v>
      </c>
      <c r="BJ107" s="28">
        <v>0</v>
      </c>
      <c r="BK107" s="28">
        <v>4</v>
      </c>
      <c r="BL107" s="28">
        <v>8</v>
      </c>
      <c r="BM107" s="28">
        <v>9</v>
      </c>
      <c r="BN107" s="28">
        <v>23</v>
      </c>
      <c r="BO107" s="77">
        <v>0</v>
      </c>
      <c r="BP107" s="28">
        <v>0</v>
      </c>
      <c r="BQ107" s="28">
        <v>5</v>
      </c>
      <c r="BR107" s="77">
        <v>28</v>
      </c>
      <c r="BS107" s="72">
        <v>0.67958319765548691</v>
      </c>
      <c r="BT107" s="28">
        <v>0</v>
      </c>
      <c r="BU107" s="75">
        <v>105</v>
      </c>
    </row>
    <row r="108" spans="1:73">
      <c r="A108" s="101" t="s">
        <v>463</v>
      </c>
      <c r="B108" s="71" t="s">
        <v>166</v>
      </c>
      <c r="C108" s="71" t="s">
        <v>466</v>
      </c>
      <c r="D108" s="72">
        <f>VLOOKUP(Table106[[#This Row],[NAME]],DET_H99[[NAME]:['#]],2,0)</f>
        <v>0.28368794326241137</v>
      </c>
      <c r="E108" s="72">
        <f>VLOOKUP(Table106[[#This Row],[NAME]],DET_H99[[NAME]:['#]],3,0)</f>
        <v>0.44198895027624308</v>
      </c>
      <c r="F108" s="72">
        <f>VLOOKUP(Table106[[#This Row],[NAME]],DET_H99[[NAME]:['#]],4,0)</f>
        <v>0.47517730496453903</v>
      </c>
      <c r="G108" s="77">
        <f>VLOOKUP(Table106[[#This Row],[NAME]],DET_H99[[NAME]:['#]],5,0)</f>
        <v>39</v>
      </c>
      <c r="H108" s="28">
        <f>VLOOKUP(Table106[[#This Row],[NAME]],DET_H99[[NAME]:['#]],6,0)</f>
        <v>141</v>
      </c>
      <c r="I108" s="28">
        <f>VLOOKUP(Table106[[#This Row],[NAME]],DET_H99[[NAME]:['#]],7,0)</f>
        <v>26</v>
      </c>
      <c r="J108" s="28">
        <f>VLOOKUP(Table106[[#This Row],[NAME]],DET_H99[[NAME]:['#]],8,0)</f>
        <v>40</v>
      </c>
      <c r="K108" s="28">
        <f>VLOOKUP(Table106[[#This Row],[NAME]],DET_H99[[NAME]:['#]],9,0)</f>
        <v>10</v>
      </c>
      <c r="L108" s="28">
        <f>VLOOKUP(Table106[[#This Row],[NAME]],DET_H99[[NAME]:['#]],10,0)</f>
        <v>1</v>
      </c>
      <c r="M108" s="28">
        <f>VLOOKUP(Table106[[#This Row],[NAME]],DET_H99[[NAME]:['#]],11,0)</f>
        <v>5</v>
      </c>
      <c r="N108" s="28">
        <f>VLOOKUP(Table106[[#This Row],[NAME]],DET_H99[[NAME]:['#]],12,0)</f>
        <v>14</v>
      </c>
      <c r="O108" s="76">
        <f>VLOOKUP(Table106[[#This Row],[NAME]],DET_H99[[NAME]:['#]],13,0)</f>
        <v>40</v>
      </c>
      <c r="P108" s="28">
        <f>VLOOKUP(Table106[[#This Row],[NAME]],DET_H99[[NAME]:['#]],14,0)</f>
        <v>46</v>
      </c>
      <c r="Q108" s="77">
        <f>VLOOKUP(Table106[[#This Row],[NAME]],DET_H99[[NAME]:['#]],15,0)</f>
        <v>0</v>
      </c>
      <c r="R108" s="28">
        <f>VLOOKUP(Table106[[#This Row],[NAME]],DET_H99[[NAME]:['#]],16,0)</f>
        <v>2</v>
      </c>
      <c r="S108" s="28">
        <f>VLOOKUP(Table106[[#This Row],[NAME]],DET_H99[[NAME]:['#]],17,0)</f>
        <v>7</v>
      </c>
      <c r="T108" s="77">
        <f>VLOOKUP(Table106[[#This Row],[NAME]],DET_H99[[NAME]:['#]],18,0)</f>
        <v>67</v>
      </c>
      <c r="U108" s="72">
        <f>VLOOKUP(Table106[[#This Row],[NAME]],DET_H99[[NAME]:['#]],19,0)</f>
        <v>0.9171662552407821</v>
      </c>
      <c r="V108" s="28">
        <f>VLOOKUP(Table106[[#This Row],[NAME]],DET_H99[[NAME]:['#]],20,0)</f>
        <v>2</v>
      </c>
      <c r="W108" s="75">
        <v>106</v>
      </c>
      <c r="Z108" s="101" t="s">
        <v>463</v>
      </c>
      <c r="AA108" s="77" t="s">
        <v>166</v>
      </c>
      <c r="AB108" s="77" t="s">
        <v>466</v>
      </c>
      <c r="AC108" s="130">
        <v>0.23841059602649006</v>
      </c>
      <c r="AD108" s="72">
        <v>0.3611111111111111</v>
      </c>
      <c r="AE108" s="72">
        <v>0.49006622516556292</v>
      </c>
      <c r="AF108" s="77">
        <v>40</v>
      </c>
      <c r="AG108" s="28">
        <v>151</v>
      </c>
      <c r="AH108" s="28">
        <v>23</v>
      </c>
      <c r="AI108" s="28">
        <v>36</v>
      </c>
      <c r="AJ108" s="28">
        <v>6</v>
      </c>
      <c r="AK108" s="28">
        <v>1</v>
      </c>
      <c r="AL108" s="28">
        <v>10</v>
      </c>
      <c r="AM108" s="28">
        <v>21</v>
      </c>
      <c r="AN108" s="28">
        <v>29</v>
      </c>
      <c r="AO108" s="28">
        <v>52</v>
      </c>
      <c r="AP108" s="77">
        <v>0</v>
      </c>
      <c r="AQ108" s="28">
        <v>0</v>
      </c>
      <c r="AR108" s="28">
        <v>6</v>
      </c>
      <c r="AS108" s="77">
        <v>74</v>
      </c>
      <c r="AT108" s="72">
        <v>0.85117733627667402</v>
      </c>
      <c r="AU108" s="28">
        <v>1</v>
      </c>
      <c r="AV108" s="75">
        <v>106</v>
      </c>
      <c r="AY108" s="101" t="s">
        <v>463</v>
      </c>
      <c r="AZ108" s="77" t="s">
        <v>166</v>
      </c>
      <c r="BA108" s="77" t="s">
        <v>467</v>
      </c>
      <c r="BB108" s="130">
        <v>0.29220779220779219</v>
      </c>
      <c r="BC108" s="72">
        <v>0.32298136645962733</v>
      </c>
      <c r="BD108" s="72">
        <v>0.39610389610389612</v>
      </c>
      <c r="BE108" s="77">
        <v>38</v>
      </c>
      <c r="BF108" s="28">
        <v>154</v>
      </c>
      <c r="BG108" s="28">
        <v>15</v>
      </c>
      <c r="BH108" s="28">
        <v>45</v>
      </c>
      <c r="BI108" s="28">
        <v>8</v>
      </c>
      <c r="BJ108" s="76">
        <v>4</v>
      </c>
      <c r="BK108" s="28">
        <v>0</v>
      </c>
      <c r="BL108" s="28">
        <v>22</v>
      </c>
      <c r="BM108" s="28">
        <v>7</v>
      </c>
      <c r="BN108" s="28">
        <v>35</v>
      </c>
      <c r="BO108" s="77">
        <v>8</v>
      </c>
      <c r="BP108" s="28">
        <v>1</v>
      </c>
      <c r="BQ108" s="28">
        <v>7</v>
      </c>
      <c r="BR108" s="77">
        <v>61</v>
      </c>
      <c r="BS108" s="72">
        <v>0.71908526256352345</v>
      </c>
      <c r="BT108" s="28">
        <v>0</v>
      </c>
      <c r="BU108" s="75">
        <v>106</v>
      </c>
    </row>
    <row r="109" spans="1:73">
      <c r="A109" s="101" t="s">
        <v>463</v>
      </c>
      <c r="B109" s="71" t="s">
        <v>168</v>
      </c>
      <c r="C109" s="71" t="s">
        <v>468</v>
      </c>
      <c r="D109" s="72">
        <f>VLOOKUP(Table106[[#This Row],[NAME]],DET_H99[[NAME]:['#]],2,0)</f>
        <v>0.26</v>
      </c>
      <c r="E109" s="72">
        <f>VLOOKUP(Table106[[#This Row],[NAME]],DET_H99[[NAME]:['#]],3,0)</f>
        <v>0.31481481481481483</v>
      </c>
      <c r="F109" s="72">
        <f>VLOOKUP(Table106[[#This Row],[NAME]],DET_H99[[NAME]:['#]],4,0)</f>
        <v>0.52</v>
      </c>
      <c r="G109" s="77">
        <f>VLOOKUP(Table106[[#This Row],[NAME]],DET_H99[[NAME]:['#]],5,0)</f>
        <v>38</v>
      </c>
      <c r="H109" s="28">
        <f>VLOOKUP(Table106[[#This Row],[NAME]],DET_H99[[NAME]:['#]],6,0)</f>
        <v>150</v>
      </c>
      <c r="I109" s="28">
        <f>VLOOKUP(Table106[[#This Row],[NAME]],DET_H99[[NAME]:['#]],7,0)</f>
        <v>23</v>
      </c>
      <c r="J109" s="28">
        <f>VLOOKUP(Table106[[#This Row],[NAME]],DET_H99[[NAME]:['#]],8,0)</f>
        <v>39</v>
      </c>
      <c r="K109" s="28">
        <f>VLOOKUP(Table106[[#This Row],[NAME]],DET_H99[[NAME]:['#]],9,0)</f>
        <v>6</v>
      </c>
      <c r="L109" s="28">
        <f>VLOOKUP(Table106[[#This Row],[NAME]],DET_H99[[NAME]:['#]],10,0)</f>
        <v>0</v>
      </c>
      <c r="M109" s="28">
        <f>VLOOKUP(Table106[[#This Row],[NAME]],DET_H99[[NAME]:['#]],11,0)</f>
        <v>11</v>
      </c>
      <c r="N109" s="28">
        <f>VLOOKUP(Table106[[#This Row],[NAME]],DET_H99[[NAME]:['#]],12,0)</f>
        <v>24</v>
      </c>
      <c r="O109" s="28">
        <f>VLOOKUP(Table106[[#This Row],[NAME]],DET_H99[[NAME]:['#]],13,0)</f>
        <v>12</v>
      </c>
      <c r="P109" s="28">
        <f>VLOOKUP(Table106[[#This Row],[NAME]],DET_H99[[NAME]:['#]],14,0)</f>
        <v>40</v>
      </c>
      <c r="Q109" s="77">
        <f>VLOOKUP(Table106[[#This Row],[NAME]],DET_H99[[NAME]:['#]],15,0)</f>
        <v>0</v>
      </c>
      <c r="R109" s="28">
        <f>VLOOKUP(Table106[[#This Row],[NAME]],DET_H99[[NAME]:['#]],16,0)</f>
        <v>1</v>
      </c>
      <c r="S109" s="28">
        <f>VLOOKUP(Table106[[#This Row],[NAME]],DET_H99[[NAME]:['#]],17,0)</f>
        <v>7</v>
      </c>
      <c r="T109" s="77">
        <f>VLOOKUP(Table106[[#This Row],[NAME]],DET_H99[[NAME]:['#]],18,0)</f>
        <v>78</v>
      </c>
      <c r="U109" s="72">
        <f>VLOOKUP(Table106[[#This Row],[NAME]],DET_H99[[NAME]:['#]],19,0)</f>
        <v>0.8348148148148149</v>
      </c>
      <c r="V109" s="28">
        <f>VLOOKUP(Table106[[#This Row],[NAME]],DET_H99[[NAME]:['#]],20,0)</f>
        <v>3</v>
      </c>
      <c r="W109" s="75">
        <v>107</v>
      </c>
      <c r="Z109" s="101" t="s">
        <v>463</v>
      </c>
      <c r="AA109" s="77" t="s">
        <v>168</v>
      </c>
      <c r="AB109" s="77" t="s">
        <v>465</v>
      </c>
      <c r="AC109" s="130">
        <v>0.33774834437086093</v>
      </c>
      <c r="AD109" s="72">
        <v>0.40119760479041916</v>
      </c>
      <c r="AE109" s="72">
        <v>0.54304635761589404</v>
      </c>
      <c r="AF109" s="77">
        <v>38</v>
      </c>
      <c r="AG109" s="28">
        <v>151</v>
      </c>
      <c r="AH109" s="28">
        <v>19</v>
      </c>
      <c r="AI109" s="28">
        <v>51</v>
      </c>
      <c r="AJ109" s="28">
        <v>10</v>
      </c>
      <c r="AK109" s="28">
        <v>0</v>
      </c>
      <c r="AL109" s="28">
        <v>7</v>
      </c>
      <c r="AM109" s="28">
        <v>23</v>
      </c>
      <c r="AN109" s="28">
        <v>16</v>
      </c>
      <c r="AO109" s="28">
        <v>34</v>
      </c>
      <c r="AP109" s="77">
        <v>0</v>
      </c>
      <c r="AQ109" s="28">
        <v>5</v>
      </c>
      <c r="AR109" s="28">
        <v>11</v>
      </c>
      <c r="AS109" s="77">
        <v>82</v>
      </c>
      <c r="AT109" s="72">
        <v>0.94424396240631325</v>
      </c>
      <c r="AU109" s="28">
        <v>1</v>
      </c>
      <c r="AV109" s="75">
        <v>107</v>
      </c>
      <c r="AY109" s="101" t="s">
        <v>463</v>
      </c>
      <c r="AZ109" s="77" t="s">
        <v>168</v>
      </c>
      <c r="BA109" s="77" t="s">
        <v>465</v>
      </c>
      <c r="BB109" s="130">
        <v>0.25157232704402516</v>
      </c>
      <c r="BC109" s="72">
        <v>0.30409356725146197</v>
      </c>
      <c r="BD109" s="72">
        <v>0.45283018867924529</v>
      </c>
      <c r="BE109" s="77">
        <v>40</v>
      </c>
      <c r="BF109" s="28">
        <v>159</v>
      </c>
      <c r="BG109" s="28">
        <v>20</v>
      </c>
      <c r="BH109" s="28">
        <v>40</v>
      </c>
      <c r="BI109" s="28">
        <v>11</v>
      </c>
      <c r="BJ109" s="28">
        <v>0</v>
      </c>
      <c r="BK109" s="28">
        <v>7</v>
      </c>
      <c r="BL109" s="28">
        <v>23</v>
      </c>
      <c r="BM109" s="28">
        <v>12</v>
      </c>
      <c r="BN109" s="28">
        <v>31</v>
      </c>
      <c r="BO109" s="77">
        <v>0</v>
      </c>
      <c r="BP109" s="28">
        <v>2</v>
      </c>
      <c r="BQ109" s="28">
        <v>4</v>
      </c>
      <c r="BR109" s="77">
        <v>72</v>
      </c>
      <c r="BS109" s="72">
        <v>0.75692375593070726</v>
      </c>
      <c r="BT109" s="28">
        <v>3</v>
      </c>
      <c r="BU109" s="75">
        <v>107</v>
      </c>
    </row>
    <row r="110" spans="1:73">
      <c r="A110" s="101" t="s">
        <v>463</v>
      </c>
      <c r="B110" s="71" t="s">
        <v>187</v>
      </c>
      <c r="C110" s="71" t="s">
        <v>477</v>
      </c>
      <c r="D110" s="72">
        <f>VLOOKUP(Table106[[#This Row],[NAME]],DET_H99[[NAME]:['#]],2,0)</f>
        <v>0.25</v>
      </c>
      <c r="E110" s="72">
        <f>VLOOKUP(Table106[[#This Row],[NAME]],DET_H99[[NAME]:['#]],3,0)</f>
        <v>0.29411764705882354</v>
      </c>
      <c r="F110" s="72">
        <f>VLOOKUP(Table106[[#This Row],[NAME]],DET_H99[[NAME]:['#]],4,0)</f>
        <v>0.4375</v>
      </c>
      <c r="G110" s="77">
        <f>VLOOKUP(Table106[[#This Row],[NAME]],DET_H99[[NAME]:['#]],5,0)</f>
        <v>4</v>
      </c>
      <c r="H110" s="28">
        <f>VLOOKUP(Table106[[#This Row],[NAME]],DET_H99[[NAME]:['#]],6,0)</f>
        <v>16</v>
      </c>
      <c r="I110" s="28">
        <f>VLOOKUP(Table106[[#This Row],[NAME]],DET_H99[[NAME]:['#]],7,0)</f>
        <v>3</v>
      </c>
      <c r="J110" s="28">
        <f>VLOOKUP(Table106[[#This Row],[NAME]],DET_H99[[NAME]:['#]],8,0)</f>
        <v>4</v>
      </c>
      <c r="K110" s="28">
        <f>VLOOKUP(Table106[[#This Row],[NAME]],DET_H99[[NAME]:['#]],9,0)</f>
        <v>0</v>
      </c>
      <c r="L110" s="28">
        <f>VLOOKUP(Table106[[#This Row],[NAME]],DET_H99[[NAME]:['#]],10,0)</f>
        <v>0</v>
      </c>
      <c r="M110" s="28">
        <f>VLOOKUP(Table106[[#This Row],[NAME]],DET_H99[[NAME]:['#]],11,0)</f>
        <v>1</v>
      </c>
      <c r="N110" s="28">
        <f>VLOOKUP(Table106[[#This Row],[NAME]],DET_H99[[NAME]:['#]],12,0)</f>
        <v>2</v>
      </c>
      <c r="O110" s="28">
        <f>VLOOKUP(Table106[[#This Row],[NAME]],DET_H99[[NAME]:['#]],13,0)</f>
        <v>1</v>
      </c>
      <c r="P110" s="28">
        <f>VLOOKUP(Table106[[#This Row],[NAME]],DET_H99[[NAME]:['#]],14,0)</f>
        <v>7</v>
      </c>
      <c r="Q110" s="77">
        <f>VLOOKUP(Table106[[#This Row],[NAME]],DET_H99[[NAME]:['#]],15,0)</f>
        <v>0</v>
      </c>
      <c r="R110" s="28">
        <f>VLOOKUP(Table106[[#This Row],[NAME]],DET_H99[[NAME]:['#]],16,0)</f>
        <v>2</v>
      </c>
      <c r="S110" s="28">
        <f>VLOOKUP(Table106[[#This Row],[NAME]],DET_H99[[NAME]:['#]],17,0)</f>
        <v>2</v>
      </c>
      <c r="T110" s="77">
        <f>VLOOKUP(Table106[[#This Row],[NAME]],DET_H99[[NAME]:['#]],18,0)</f>
        <v>7</v>
      </c>
      <c r="U110" s="72">
        <f>VLOOKUP(Table106[[#This Row],[NAME]],DET_H99[[NAME]:['#]],19,0)</f>
        <v>0.73161764705882359</v>
      </c>
      <c r="V110" s="28">
        <f>VLOOKUP(Table106[[#This Row],[NAME]],DET_H99[[NAME]:['#]],20,0)</f>
        <v>0</v>
      </c>
      <c r="W110" s="75">
        <v>108</v>
      </c>
      <c r="Z110" s="101" t="s">
        <v>463</v>
      </c>
      <c r="AA110" s="77" t="s">
        <v>192</v>
      </c>
      <c r="AB110" s="77" t="s">
        <v>481</v>
      </c>
      <c r="AC110" s="130">
        <v>5.5555555555555552E-2</v>
      </c>
      <c r="AD110" s="72">
        <v>0.15</v>
      </c>
      <c r="AE110" s="72">
        <v>0.16666666666666666</v>
      </c>
      <c r="AF110" s="77">
        <v>5</v>
      </c>
      <c r="AG110" s="28">
        <v>18</v>
      </c>
      <c r="AH110" s="28">
        <v>2</v>
      </c>
      <c r="AI110" s="28">
        <v>1</v>
      </c>
      <c r="AJ110" s="28">
        <v>0</v>
      </c>
      <c r="AK110" s="28">
        <v>1</v>
      </c>
      <c r="AL110" s="28">
        <v>0</v>
      </c>
      <c r="AM110" s="28">
        <v>1</v>
      </c>
      <c r="AN110" s="28">
        <v>2</v>
      </c>
      <c r="AO110" s="28">
        <v>8</v>
      </c>
      <c r="AP110" s="77">
        <v>0</v>
      </c>
      <c r="AQ110" s="28">
        <v>0</v>
      </c>
      <c r="AR110" s="28">
        <v>1</v>
      </c>
      <c r="AS110" s="77">
        <v>3</v>
      </c>
      <c r="AT110" s="72">
        <v>0.31666666666666665</v>
      </c>
      <c r="AU110" s="28">
        <v>0</v>
      </c>
      <c r="AV110" s="75">
        <v>108</v>
      </c>
      <c r="AY110" s="101" t="s">
        <v>463</v>
      </c>
      <c r="AZ110" s="77" t="s">
        <v>179</v>
      </c>
      <c r="BA110" s="77" t="s">
        <v>485</v>
      </c>
      <c r="BB110" s="130">
        <v>0.15</v>
      </c>
      <c r="BC110" s="72">
        <v>0.22727272727272727</v>
      </c>
      <c r="BD110" s="72">
        <v>0.3</v>
      </c>
      <c r="BE110" s="77">
        <v>8</v>
      </c>
      <c r="BF110" s="28">
        <v>20</v>
      </c>
      <c r="BG110" s="28">
        <v>2</v>
      </c>
      <c r="BH110" s="28">
        <v>3</v>
      </c>
      <c r="BI110" s="28">
        <v>0</v>
      </c>
      <c r="BJ110" s="28">
        <v>0</v>
      </c>
      <c r="BK110" s="28">
        <v>1</v>
      </c>
      <c r="BL110" s="28">
        <v>5</v>
      </c>
      <c r="BM110" s="28">
        <v>2</v>
      </c>
      <c r="BN110" s="28">
        <v>9</v>
      </c>
      <c r="BO110" s="77">
        <v>0</v>
      </c>
      <c r="BP110" s="28">
        <v>0</v>
      </c>
      <c r="BQ110" s="28">
        <v>3</v>
      </c>
      <c r="BR110" s="77">
        <v>6</v>
      </c>
      <c r="BS110" s="72">
        <v>0.52727272727272723</v>
      </c>
      <c r="BT110" s="28">
        <v>0</v>
      </c>
      <c r="BU110" s="75">
        <v>108</v>
      </c>
    </row>
    <row r="111" spans="1:73">
      <c r="A111" s="101" t="s">
        <v>463</v>
      </c>
      <c r="B111" s="71" t="s">
        <v>187</v>
      </c>
      <c r="C111" s="71" t="s">
        <v>483</v>
      </c>
      <c r="D111" s="72">
        <f>VLOOKUP(Table106[[#This Row],[NAME]],DET_H99[[NAME]:['#]],2,0)</f>
        <v>0</v>
      </c>
      <c r="E111" s="72">
        <f>VLOOKUP(Table106[[#This Row],[NAME]],DET_H99[[NAME]:['#]],3,0)</f>
        <v>0</v>
      </c>
      <c r="F111" s="72">
        <f>VLOOKUP(Table106[[#This Row],[NAME]],DET_H99[[NAME]:['#]],4,0)</f>
        <v>0</v>
      </c>
      <c r="G111" s="77">
        <f>VLOOKUP(Table106[[#This Row],[NAME]],DET_H99[[NAME]:['#]],5,0)</f>
        <v>2</v>
      </c>
      <c r="H111" s="28">
        <f>VLOOKUP(Table106[[#This Row],[NAME]],DET_H99[[NAME]:['#]],6,0)</f>
        <v>8</v>
      </c>
      <c r="I111" s="28">
        <f>VLOOKUP(Table106[[#This Row],[NAME]],DET_H99[[NAME]:['#]],7,0)</f>
        <v>0</v>
      </c>
      <c r="J111" s="28">
        <f>VLOOKUP(Table106[[#This Row],[NAME]],DET_H99[[NAME]:['#]],8,0)</f>
        <v>0</v>
      </c>
      <c r="K111" s="28">
        <f>VLOOKUP(Table106[[#This Row],[NAME]],DET_H99[[NAME]:['#]],9,0)</f>
        <v>0</v>
      </c>
      <c r="L111" s="28">
        <f>VLOOKUP(Table106[[#This Row],[NAME]],DET_H99[[NAME]:['#]],10,0)</f>
        <v>0</v>
      </c>
      <c r="M111" s="28">
        <f>VLOOKUP(Table106[[#This Row],[NAME]],DET_H99[[NAME]:['#]],11,0)</f>
        <v>0</v>
      </c>
      <c r="N111" s="28">
        <f>VLOOKUP(Table106[[#This Row],[NAME]],DET_H99[[NAME]:['#]],12,0)</f>
        <v>0</v>
      </c>
      <c r="O111" s="28">
        <f>VLOOKUP(Table106[[#This Row],[NAME]],DET_H99[[NAME]:['#]],13,0)</f>
        <v>0</v>
      </c>
      <c r="P111" s="28">
        <f>VLOOKUP(Table106[[#This Row],[NAME]],DET_H99[[NAME]:['#]],14,0)</f>
        <v>1</v>
      </c>
      <c r="Q111" s="77">
        <f>VLOOKUP(Table106[[#This Row],[NAME]],DET_H99[[NAME]:['#]],15,0)</f>
        <v>0</v>
      </c>
      <c r="R111" s="28">
        <f>VLOOKUP(Table106[[#This Row],[NAME]],DET_H99[[NAME]:['#]],16,0)</f>
        <v>0</v>
      </c>
      <c r="S111" s="28">
        <f>VLOOKUP(Table106[[#This Row],[NAME]],DET_H99[[NAME]:['#]],17,0)</f>
        <v>0</v>
      </c>
      <c r="T111" s="77">
        <f>VLOOKUP(Table106[[#This Row],[NAME]],DET_H99[[NAME]:['#]],18,0)</f>
        <v>0</v>
      </c>
      <c r="U111" s="72">
        <f>VLOOKUP(Table106[[#This Row],[NAME]],DET_H99[[NAME]:['#]],19,0)</f>
        <v>0</v>
      </c>
      <c r="V111" s="28">
        <f>VLOOKUP(Table106[[#This Row],[NAME]],DET_H99[[NAME]:['#]],20,0)</f>
        <v>0</v>
      </c>
      <c r="W111" s="75">
        <v>109</v>
      </c>
      <c r="Z111" s="101" t="s">
        <v>463</v>
      </c>
      <c r="AA111" s="77" t="s">
        <v>192</v>
      </c>
      <c r="AB111" s="77" t="s">
        <v>483</v>
      </c>
      <c r="AC111" s="130">
        <v>0.17647058823529413</v>
      </c>
      <c r="AD111" s="72">
        <v>0.33333333333333331</v>
      </c>
      <c r="AE111" s="72">
        <v>0.29411764705882354</v>
      </c>
      <c r="AF111" s="77">
        <v>5</v>
      </c>
      <c r="AG111" s="28">
        <v>17</v>
      </c>
      <c r="AH111" s="28">
        <v>2</v>
      </c>
      <c r="AI111" s="28">
        <v>3</v>
      </c>
      <c r="AJ111" s="28">
        <v>0</v>
      </c>
      <c r="AK111" s="28">
        <v>1</v>
      </c>
      <c r="AL111" s="28">
        <v>0</v>
      </c>
      <c r="AM111" s="28">
        <v>2</v>
      </c>
      <c r="AN111" s="28">
        <v>4</v>
      </c>
      <c r="AO111" s="28">
        <v>6</v>
      </c>
      <c r="AP111" s="77">
        <v>0</v>
      </c>
      <c r="AQ111" s="28">
        <v>0</v>
      </c>
      <c r="AR111" s="28">
        <v>2</v>
      </c>
      <c r="AS111" s="77">
        <v>5</v>
      </c>
      <c r="AT111" s="72">
        <v>0.62745098039215685</v>
      </c>
      <c r="AU111" s="28">
        <v>0</v>
      </c>
      <c r="AV111" s="75">
        <v>109</v>
      </c>
      <c r="AY111" s="101" t="s">
        <v>463</v>
      </c>
      <c r="AZ111" s="77" t="s">
        <v>187</v>
      </c>
      <c r="BA111" s="77" t="s">
        <v>479</v>
      </c>
      <c r="BB111" s="130">
        <v>0.2</v>
      </c>
      <c r="BC111" s="72">
        <v>0.27272727272727271</v>
      </c>
      <c r="BD111" s="72">
        <v>0.37142857142857144</v>
      </c>
      <c r="BE111" s="77">
        <v>21</v>
      </c>
      <c r="BF111" s="28">
        <v>70</v>
      </c>
      <c r="BG111" s="28">
        <v>4</v>
      </c>
      <c r="BH111" s="28">
        <v>14</v>
      </c>
      <c r="BI111" s="28">
        <v>6</v>
      </c>
      <c r="BJ111" s="28">
        <v>0</v>
      </c>
      <c r="BK111" s="28">
        <v>2</v>
      </c>
      <c r="BL111" s="28">
        <v>12</v>
      </c>
      <c r="BM111" s="28">
        <v>7</v>
      </c>
      <c r="BN111" s="28">
        <v>23</v>
      </c>
      <c r="BO111" s="77">
        <v>0</v>
      </c>
      <c r="BP111" s="28">
        <v>0</v>
      </c>
      <c r="BQ111" s="28">
        <v>4</v>
      </c>
      <c r="BR111" s="77">
        <v>26</v>
      </c>
      <c r="BS111" s="72">
        <v>0.64415584415584415</v>
      </c>
      <c r="BT111" s="28">
        <v>1</v>
      </c>
      <c r="BU111" s="75">
        <v>109</v>
      </c>
    </row>
    <row r="112" spans="1:73">
      <c r="A112" s="101" t="s">
        <v>463</v>
      </c>
      <c r="B112" s="71" t="s">
        <v>187</v>
      </c>
      <c r="C112" s="71" t="s">
        <v>481</v>
      </c>
      <c r="D112" s="72">
        <f>VLOOKUP(Table106[[#This Row],[NAME]],DET_H99[[NAME]:['#]],2,0)</f>
        <v>0.5714285714285714</v>
      </c>
      <c r="E112" s="72">
        <f>VLOOKUP(Table106[[#This Row],[NAME]],DET_H99[[NAME]:['#]],3,0)</f>
        <v>0.625</v>
      </c>
      <c r="F112" s="72">
        <f>VLOOKUP(Table106[[#This Row],[NAME]],DET_H99[[NAME]:['#]],4,0)</f>
        <v>0.8571428571428571</v>
      </c>
      <c r="G112" s="77">
        <f>VLOOKUP(Table106[[#This Row],[NAME]],DET_H99[[NAME]:['#]],5,0)</f>
        <v>2</v>
      </c>
      <c r="H112" s="28">
        <f>VLOOKUP(Table106[[#This Row],[NAME]],DET_H99[[NAME]:['#]],6,0)</f>
        <v>7</v>
      </c>
      <c r="I112" s="28">
        <f>VLOOKUP(Table106[[#This Row],[NAME]],DET_H99[[NAME]:['#]],7,0)</f>
        <v>2</v>
      </c>
      <c r="J112" s="28">
        <f>VLOOKUP(Table106[[#This Row],[NAME]],DET_H99[[NAME]:['#]],8,0)</f>
        <v>4</v>
      </c>
      <c r="K112" s="28">
        <f>VLOOKUP(Table106[[#This Row],[NAME]],DET_H99[[NAME]:['#]],9,0)</f>
        <v>2</v>
      </c>
      <c r="L112" s="28">
        <f>VLOOKUP(Table106[[#This Row],[NAME]],DET_H99[[NAME]:['#]],10,0)</f>
        <v>0</v>
      </c>
      <c r="M112" s="28">
        <f>VLOOKUP(Table106[[#This Row],[NAME]],DET_H99[[NAME]:['#]],11,0)</f>
        <v>0</v>
      </c>
      <c r="N112" s="28">
        <f>VLOOKUP(Table106[[#This Row],[NAME]],DET_H99[[NAME]:['#]],12,0)</f>
        <v>1</v>
      </c>
      <c r="O112" s="28">
        <f>VLOOKUP(Table106[[#This Row],[NAME]],DET_H99[[NAME]:['#]],13,0)</f>
        <v>1</v>
      </c>
      <c r="P112" s="28">
        <f>VLOOKUP(Table106[[#This Row],[NAME]],DET_H99[[NAME]:['#]],14,0)</f>
        <v>1</v>
      </c>
      <c r="Q112" s="77">
        <f>VLOOKUP(Table106[[#This Row],[NAME]],DET_H99[[NAME]:['#]],15,0)</f>
        <v>0</v>
      </c>
      <c r="R112" s="28">
        <f>VLOOKUP(Table106[[#This Row],[NAME]],DET_H99[[NAME]:['#]],16,0)</f>
        <v>2</v>
      </c>
      <c r="S112" s="28">
        <f>VLOOKUP(Table106[[#This Row],[NAME]],DET_H99[[NAME]:['#]],17,0)</f>
        <v>2</v>
      </c>
      <c r="T112" s="77">
        <f>VLOOKUP(Table106[[#This Row],[NAME]],DET_H99[[NAME]:['#]],18,0)</f>
        <v>6</v>
      </c>
      <c r="U112" s="72">
        <f>VLOOKUP(Table106[[#This Row],[NAME]],DET_H99[[NAME]:['#]],19,0)</f>
        <v>1.4821428571428572</v>
      </c>
      <c r="V112" s="28">
        <f>VLOOKUP(Table106[[#This Row],[NAME]],DET_H99[[NAME]:['#]],20,0)</f>
        <v>0</v>
      </c>
      <c r="W112" s="75">
        <v>110</v>
      </c>
      <c r="Z112" s="101" t="s">
        <v>463</v>
      </c>
      <c r="AA112" s="77" t="s">
        <v>187</v>
      </c>
      <c r="AB112" s="77" t="s">
        <v>478</v>
      </c>
      <c r="AC112" s="130">
        <v>0.19047619047619047</v>
      </c>
      <c r="AD112" s="72">
        <v>0.27659574468085107</v>
      </c>
      <c r="AE112" s="72">
        <v>0.33333333333333331</v>
      </c>
      <c r="AF112" s="77">
        <v>12</v>
      </c>
      <c r="AG112" s="28">
        <v>42</v>
      </c>
      <c r="AH112" s="28">
        <v>3</v>
      </c>
      <c r="AI112" s="28">
        <v>8</v>
      </c>
      <c r="AJ112" s="28">
        <v>3</v>
      </c>
      <c r="AK112" s="28">
        <v>0</v>
      </c>
      <c r="AL112" s="28">
        <v>1</v>
      </c>
      <c r="AM112" s="28">
        <v>6</v>
      </c>
      <c r="AN112" s="28">
        <v>5</v>
      </c>
      <c r="AO112" s="28">
        <v>10</v>
      </c>
      <c r="AP112" s="77">
        <v>0</v>
      </c>
      <c r="AQ112" s="28">
        <v>0</v>
      </c>
      <c r="AR112" s="28">
        <v>3</v>
      </c>
      <c r="AS112" s="77">
        <v>14</v>
      </c>
      <c r="AT112" s="72">
        <v>0.60992907801418439</v>
      </c>
      <c r="AU112" s="28">
        <v>0</v>
      </c>
      <c r="AV112" s="75">
        <v>110</v>
      </c>
      <c r="AY112" s="101" t="s">
        <v>463</v>
      </c>
      <c r="AZ112" s="77" t="s">
        <v>192</v>
      </c>
      <c r="BA112" s="77" t="s">
        <v>478</v>
      </c>
      <c r="BB112" s="130">
        <v>0.20754716981132076</v>
      </c>
      <c r="BC112" s="72">
        <v>0.27586206896551724</v>
      </c>
      <c r="BD112" s="72">
        <v>0.30188679245283018</v>
      </c>
      <c r="BE112" s="77">
        <v>14</v>
      </c>
      <c r="BF112" s="28">
        <v>53</v>
      </c>
      <c r="BG112" s="28">
        <v>10</v>
      </c>
      <c r="BH112" s="28">
        <v>11</v>
      </c>
      <c r="BI112" s="28">
        <v>2</v>
      </c>
      <c r="BJ112" s="28">
        <v>0</v>
      </c>
      <c r="BK112" s="28">
        <v>1</v>
      </c>
      <c r="BL112" s="28">
        <v>4</v>
      </c>
      <c r="BM112" s="28">
        <v>5</v>
      </c>
      <c r="BN112" s="28">
        <v>7</v>
      </c>
      <c r="BO112" s="77">
        <v>0</v>
      </c>
      <c r="BP112" s="28">
        <v>0</v>
      </c>
      <c r="BQ112" s="28">
        <v>2</v>
      </c>
      <c r="BR112" s="77">
        <v>16</v>
      </c>
      <c r="BS112" s="72">
        <v>0.57774886141834747</v>
      </c>
      <c r="BT112" s="28">
        <v>1</v>
      </c>
      <c r="BU112" s="75">
        <v>110</v>
      </c>
    </row>
    <row r="113" spans="1:73">
      <c r="A113" s="101" t="s">
        <v>463</v>
      </c>
      <c r="B113" s="71" t="s">
        <v>186</v>
      </c>
      <c r="C113" s="71" t="s">
        <v>473</v>
      </c>
      <c r="D113" s="72">
        <f>VLOOKUP(Table106[[#This Row],[NAME]],DET_H99[[NAME]:['#]],2,0)</f>
        <v>0.33333333333333331</v>
      </c>
      <c r="E113" s="72">
        <f>VLOOKUP(Table106[[#This Row],[NAME]],DET_H99[[NAME]:['#]],3,0)</f>
        <v>0.4</v>
      </c>
      <c r="F113" s="72">
        <f>VLOOKUP(Table106[[#This Row],[NAME]],DET_H99[[NAME]:['#]],4,0)</f>
        <v>0.77777777777777779</v>
      </c>
      <c r="G113" s="77">
        <f>VLOOKUP(Table106[[#This Row],[NAME]],DET_H99[[NAME]:['#]],5,0)</f>
        <v>4</v>
      </c>
      <c r="H113" s="28">
        <f>VLOOKUP(Table106[[#This Row],[NAME]],DET_H99[[NAME]:['#]],6,0)</f>
        <v>9</v>
      </c>
      <c r="I113" s="28">
        <f>VLOOKUP(Table106[[#This Row],[NAME]],DET_H99[[NAME]:['#]],7,0)</f>
        <v>3</v>
      </c>
      <c r="J113" s="28">
        <f>VLOOKUP(Table106[[#This Row],[NAME]],DET_H99[[NAME]:['#]],8,0)</f>
        <v>3</v>
      </c>
      <c r="K113" s="28">
        <f>VLOOKUP(Table106[[#This Row],[NAME]],DET_H99[[NAME]:['#]],9,0)</f>
        <v>1</v>
      </c>
      <c r="L113" s="28">
        <f>VLOOKUP(Table106[[#This Row],[NAME]],DET_H99[[NAME]:['#]],10,0)</f>
        <v>0</v>
      </c>
      <c r="M113" s="28">
        <f>VLOOKUP(Table106[[#This Row],[NAME]],DET_H99[[NAME]:['#]],11,0)</f>
        <v>1</v>
      </c>
      <c r="N113" s="28">
        <f>VLOOKUP(Table106[[#This Row],[NAME]],DET_H99[[NAME]:['#]],12,0)</f>
        <v>2</v>
      </c>
      <c r="O113" s="28">
        <f>VLOOKUP(Table106[[#This Row],[NAME]],DET_H99[[NAME]:['#]],13,0)</f>
        <v>1</v>
      </c>
      <c r="P113" s="28">
        <f>VLOOKUP(Table106[[#This Row],[NAME]],DET_H99[[NAME]:['#]],14,0)</f>
        <v>5</v>
      </c>
      <c r="Q113" s="77">
        <f>VLOOKUP(Table106[[#This Row],[NAME]],DET_H99[[NAME]:['#]],15,0)</f>
        <v>3</v>
      </c>
      <c r="R113" s="28">
        <f>VLOOKUP(Table106[[#This Row],[NAME]],DET_H99[[NAME]:['#]],16,0)</f>
        <v>1</v>
      </c>
      <c r="S113" s="28">
        <f>VLOOKUP(Table106[[#This Row],[NAME]],DET_H99[[NAME]:['#]],17,0)</f>
        <v>1</v>
      </c>
      <c r="T113" s="77">
        <f>VLOOKUP(Table106[[#This Row],[NAME]],DET_H99[[NAME]:['#]],18,0)</f>
        <v>7</v>
      </c>
      <c r="U113" s="72">
        <f>VLOOKUP(Table106[[#This Row],[NAME]],DET_H99[[NAME]:['#]],19,0)</f>
        <v>1.1777777777777778</v>
      </c>
      <c r="V113" s="28">
        <f>VLOOKUP(Table106[[#This Row],[NAME]],DET_H99[[NAME]:['#]],20,0)</f>
        <v>0</v>
      </c>
      <c r="W113" s="75">
        <v>111</v>
      </c>
      <c r="Z113" s="101" t="s">
        <v>463</v>
      </c>
      <c r="AA113" s="77" t="s">
        <v>184</v>
      </c>
      <c r="AB113" s="77" t="s">
        <v>464</v>
      </c>
      <c r="AC113" s="130">
        <v>0.19642857142857142</v>
      </c>
      <c r="AD113" s="72">
        <v>0.25</v>
      </c>
      <c r="AE113" s="72">
        <v>0.23214285714285715</v>
      </c>
      <c r="AF113" s="77">
        <v>15</v>
      </c>
      <c r="AG113" s="28">
        <v>56</v>
      </c>
      <c r="AH113" s="28">
        <v>3</v>
      </c>
      <c r="AI113" s="28">
        <v>11</v>
      </c>
      <c r="AJ113" s="28">
        <v>2</v>
      </c>
      <c r="AK113" s="28">
        <v>0</v>
      </c>
      <c r="AL113" s="28">
        <v>0</v>
      </c>
      <c r="AM113" s="28">
        <v>4</v>
      </c>
      <c r="AN113" s="28">
        <v>4</v>
      </c>
      <c r="AO113" s="28">
        <v>17</v>
      </c>
      <c r="AP113" s="77">
        <v>0</v>
      </c>
      <c r="AQ113" s="28">
        <v>4</v>
      </c>
      <c r="AR113" s="28">
        <v>4</v>
      </c>
      <c r="AS113" s="77">
        <v>13</v>
      </c>
      <c r="AT113" s="72">
        <v>0.48214285714285715</v>
      </c>
      <c r="AU113" s="28">
        <v>0</v>
      </c>
      <c r="AV113" s="75">
        <v>111</v>
      </c>
      <c r="AY113" s="101" t="s">
        <v>463</v>
      </c>
      <c r="AZ113" s="77" t="s">
        <v>184</v>
      </c>
      <c r="BA113" s="77" t="s">
        <v>473</v>
      </c>
      <c r="BB113" s="130">
        <v>0.17543859649122806</v>
      </c>
      <c r="BC113" s="72">
        <v>0.21666666666666667</v>
      </c>
      <c r="BD113" s="72">
        <v>0.33333333333333331</v>
      </c>
      <c r="BE113" s="77">
        <v>16</v>
      </c>
      <c r="BF113" s="28">
        <v>57</v>
      </c>
      <c r="BG113" s="28">
        <v>3</v>
      </c>
      <c r="BH113" s="28">
        <v>10</v>
      </c>
      <c r="BI113" s="28">
        <v>2</v>
      </c>
      <c r="BJ113" s="28">
        <v>2</v>
      </c>
      <c r="BK113" s="28">
        <v>1</v>
      </c>
      <c r="BL113" s="28">
        <v>7</v>
      </c>
      <c r="BM113" s="28">
        <v>3</v>
      </c>
      <c r="BN113" s="28">
        <v>14</v>
      </c>
      <c r="BO113" s="77">
        <v>0</v>
      </c>
      <c r="BP113" s="28">
        <v>2</v>
      </c>
      <c r="BQ113" s="28">
        <v>3</v>
      </c>
      <c r="BR113" s="77">
        <v>19</v>
      </c>
      <c r="BS113" s="72">
        <v>0.55000000000000004</v>
      </c>
      <c r="BT113" s="28">
        <v>1</v>
      </c>
      <c r="BU113" s="75">
        <v>111</v>
      </c>
    </row>
    <row r="114" spans="1:73">
      <c r="A114" s="101" t="s">
        <v>463</v>
      </c>
      <c r="B114" s="71" t="s">
        <v>186</v>
      </c>
      <c r="C114" s="71" t="s">
        <v>482</v>
      </c>
      <c r="D114" s="72">
        <f>VLOOKUP(Table106[[#This Row],[NAME]],DET_H99[[NAME]:['#]],2,0)</f>
        <v>0.14285714285714285</v>
      </c>
      <c r="E114" s="72">
        <f>VLOOKUP(Table106[[#This Row],[NAME]],DET_H99[[NAME]:['#]],3,0)</f>
        <v>0.14285714285714285</v>
      </c>
      <c r="F114" s="72">
        <f>VLOOKUP(Table106[[#This Row],[NAME]],DET_H99[[NAME]:['#]],4,0)</f>
        <v>0.2857142857142857</v>
      </c>
      <c r="G114" s="77">
        <f>VLOOKUP(Table106[[#This Row],[NAME]],DET_H99[[NAME]:['#]],5,0)</f>
        <v>2</v>
      </c>
      <c r="H114" s="28">
        <f>VLOOKUP(Table106[[#This Row],[NAME]],DET_H99[[NAME]:['#]],6,0)</f>
        <v>7</v>
      </c>
      <c r="I114" s="28">
        <f>VLOOKUP(Table106[[#This Row],[NAME]],DET_H99[[NAME]:['#]],7,0)</f>
        <v>0</v>
      </c>
      <c r="J114" s="28">
        <f>VLOOKUP(Table106[[#This Row],[NAME]],DET_H99[[NAME]:['#]],8,0)</f>
        <v>1</v>
      </c>
      <c r="K114" s="28">
        <f>VLOOKUP(Table106[[#This Row],[NAME]],DET_H99[[NAME]:['#]],9,0)</f>
        <v>1</v>
      </c>
      <c r="L114" s="28">
        <f>VLOOKUP(Table106[[#This Row],[NAME]],DET_H99[[NAME]:['#]],10,0)</f>
        <v>0</v>
      </c>
      <c r="M114" s="28">
        <f>VLOOKUP(Table106[[#This Row],[NAME]],DET_H99[[NAME]:['#]],11,0)</f>
        <v>0</v>
      </c>
      <c r="N114" s="28">
        <f>VLOOKUP(Table106[[#This Row],[NAME]],DET_H99[[NAME]:['#]],12,0)</f>
        <v>0</v>
      </c>
      <c r="O114" s="28">
        <f>VLOOKUP(Table106[[#This Row],[NAME]],DET_H99[[NAME]:['#]],13,0)</f>
        <v>0</v>
      </c>
      <c r="P114" s="28">
        <f>VLOOKUP(Table106[[#This Row],[NAME]],DET_H99[[NAME]:['#]],14,0)</f>
        <v>3</v>
      </c>
      <c r="Q114" s="77">
        <f>VLOOKUP(Table106[[#This Row],[NAME]],DET_H99[[NAME]:['#]],15,0)</f>
        <v>0</v>
      </c>
      <c r="R114" s="28">
        <f>VLOOKUP(Table106[[#This Row],[NAME]],DET_H99[[NAME]:['#]],16,0)</f>
        <v>0</v>
      </c>
      <c r="S114" s="28">
        <f>VLOOKUP(Table106[[#This Row],[NAME]],DET_H99[[NAME]:['#]],17,0)</f>
        <v>1</v>
      </c>
      <c r="T114" s="77">
        <f>VLOOKUP(Table106[[#This Row],[NAME]],DET_H99[[NAME]:['#]],18,0)</f>
        <v>2</v>
      </c>
      <c r="U114" s="72">
        <f>VLOOKUP(Table106[[#This Row],[NAME]],DET_H99[[NAME]:['#]],19,0)</f>
        <v>0.42857142857142855</v>
      </c>
      <c r="V114" s="28">
        <f>VLOOKUP(Table106[[#This Row],[NAME]],DET_H99[[NAME]:['#]],20,0)</f>
        <v>0</v>
      </c>
      <c r="W114" s="75">
        <v>112</v>
      </c>
      <c r="Z114" s="101" t="s">
        <v>463</v>
      </c>
      <c r="AA114" s="77" t="s">
        <v>184</v>
      </c>
      <c r="AB114" s="77" t="s">
        <v>482</v>
      </c>
      <c r="AC114" s="130">
        <v>0.16</v>
      </c>
      <c r="AD114" s="72">
        <v>0.22222222222222221</v>
      </c>
      <c r="AE114" s="72">
        <v>0.32</v>
      </c>
      <c r="AF114" s="77">
        <v>6</v>
      </c>
      <c r="AG114" s="28">
        <v>25</v>
      </c>
      <c r="AH114" s="28">
        <v>4</v>
      </c>
      <c r="AI114" s="28">
        <v>4</v>
      </c>
      <c r="AJ114" s="28">
        <v>1</v>
      </c>
      <c r="AK114" s="28">
        <v>0</v>
      </c>
      <c r="AL114" s="28">
        <v>1</v>
      </c>
      <c r="AM114" s="28">
        <v>1</v>
      </c>
      <c r="AN114" s="28">
        <v>2</v>
      </c>
      <c r="AO114" s="28">
        <v>8</v>
      </c>
      <c r="AP114" s="77">
        <v>0</v>
      </c>
      <c r="AQ114" s="28">
        <v>0</v>
      </c>
      <c r="AR114" s="28">
        <v>2</v>
      </c>
      <c r="AS114" s="77">
        <v>8</v>
      </c>
      <c r="AT114" s="72">
        <v>0.54222222222222216</v>
      </c>
      <c r="AU114" s="28">
        <v>0</v>
      </c>
      <c r="AV114" s="75">
        <v>112</v>
      </c>
      <c r="AY114" s="101" t="s">
        <v>463</v>
      </c>
      <c r="AZ114" s="77" t="s">
        <v>184</v>
      </c>
      <c r="BA114" s="77" t="s">
        <v>484</v>
      </c>
      <c r="BB114" s="130">
        <v>0.17857142857142858</v>
      </c>
      <c r="BC114" s="72">
        <v>0.19298245614035087</v>
      </c>
      <c r="BD114" s="72">
        <v>0.26785714285714285</v>
      </c>
      <c r="BE114" s="77">
        <v>15</v>
      </c>
      <c r="BF114" s="28">
        <v>56</v>
      </c>
      <c r="BG114" s="28">
        <v>6</v>
      </c>
      <c r="BH114" s="28">
        <v>10</v>
      </c>
      <c r="BI114" s="28">
        <v>0</v>
      </c>
      <c r="BJ114" s="28">
        <v>1</v>
      </c>
      <c r="BK114" s="28">
        <v>1</v>
      </c>
      <c r="BL114" s="28">
        <v>2</v>
      </c>
      <c r="BM114" s="28">
        <v>1</v>
      </c>
      <c r="BN114" s="28">
        <v>20</v>
      </c>
      <c r="BO114" s="77">
        <v>1</v>
      </c>
      <c r="BP114" s="28">
        <v>0</v>
      </c>
      <c r="BQ114" s="28">
        <v>3</v>
      </c>
      <c r="BR114" s="77">
        <v>15</v>
      </c>
      <c r="BS114" s="72">
        <v>0.46083959899749372</v>
      </c>
      <c r="BT114" s="28">
        <v>0</v>
      </c>
      <c r="BU114" s="75">
        <v>112</v>
      </c>
    </row>
    <row r="115" spans="1:73">
      <c r="A115" s="101" t="s">
        <v>502</v>
      </c>
      <c r="B115" s="71" t="s">
        <v>179</v>
      </c>
      <c r="C115" s="71" t="s">
        <v>504</v>
      </c>
      <c r="D115" s="72">
        <f>VLOOKUP(Table106[[#This Row],[NAME]],KCR_H[[NAME]:['#]],2,0)</f>
        <v>0.2</v>
      </c>
      <c r="E115" s="72">
        <f>VLOOKUP(Table106[[#This Row],[NAME]],KCR_H[[NAME]:['#]],3,0)</f>
        <v>0.2392638036809816</v>
      </c>
      <c r="F115" s="72">
        <f>VLOOKUP(Table106[[#This Row],[NAME]],KCR_H[[NAME]:['#]],4,0)</f>
        <v>0.36129032258064514</v>
      </c>
      <c r="G115" s="77">
        <f>VLOOKUP(Table106[[#This Row],[NAME]],KCR_H[[NAME]:['#]],5,0)</f>
        <v>40</v>
      </c>
      <c r="H115" s="28">
        <f>VLOOKUP(Table106[[#This Row],[NAME]],KCR_H[[NAME]:['#]],6,0)</f>
        <v>155</v>
      </c>
      <c r="I115" s="28">
        <f>VLOOKUP(Table106[[#This Row],[NAME]],KCR_H[[NAME]:['#]],7,0)</f>
        <v>18</v>
      </c>
      <c r="J115" s="28">
        <f>VLOOKUP(Table106[[#This Row],[NAME]],KCR_H[[NAME]:['#]],8,0)</f>
        <v>31</v>
      </c>
      <c r="K115" s="28">
        <f>VLOOKUP(Table106[[#This Row],[NAME]],KCR_H[[NAME]:['#]],9,0)</f>
        <v>13</v>
      </c>
      <c r="L115" s="28">
        <f>VLOOKUP(Table106[[#This Row],[NAME]],KCR_H[[NAME]:['#]],10,0)</f>
        <v>0</v>
      </c>
      <c r="M115" s="28">
        <f>VLOOKUP(Table106[[#This Row],[NAME]],KCR_H[[NAME]:['#]],11,0)</f>
        <v>4</v>
      </c>
      <c r="N115" s="28">
        <f>VLOOKUP(Table106[[#This Row],[NAME]],KCR_H[[NAME]:['#]],12,0)</f>
        <v>19</v>
      </c>
      <c r="O115" s="28">
        <f>VLOOKUP(Table106[[#This Row],[NAME]],KCR_H[[NAME]:['#]],13,0)</f>
        <v>8</v>
      </c>
      <c r="P115" s="28">
        <f>VLOOKUP(Table106[[#This Row],[NAME]],KCR_H[[NAME]:['#]],14,0)</f>
        <v>45</v>
      </c>
      <c r="Q115" s="77">
        <f>VLOOKUP(Table106[[#This Row],[NAME]],KCR_H[[NAME]:['#]],15,0)</f>
        <v>0</v>
      </c>
      <c r="R115" s="28">
        <f>VLOOKUP(Table106[[#This Row],[NAME]],KCR_H[[NAME]:['#]],16,0)</f>
        <v>2</v>
      </c>
      <c r="S115" s="28">
        <f>VLOOKUP(Table106[[#This Row],[NAME]],KCR_H[[NAME]:['#]],17,0)</f>
        <v>5</v>
      </c>
      <c r="T115" s="77">
        <f>VLOOKUP(Table106[[#This Row],[NAME]],KCR_H[[NAME]:['#]],18,0)</f>
        <v>56</v>
      </c>
      <c r="U115" s="72">
        <f>VLOOKUP(Table106[[#This Row],[NAME]],KCR_H[[NAME]:['#]],19,0)</f>
        <v>0.60055412626162674</v>
      </c>
      <c r="V115" s="28">
        <f>VLOOKUP(Table106[[#This Row],[NAME]],KCR_H[[NAME]:['#]],20,0)</f>
        <v>2</v>
      </c>
      <c r="W115" s="75">
        <v>113</v>
      </c>
      <c r="Z115" s="101" t="s">
        <v>502</v>
      </c>
      <c r="AA115" s="352" t="s">
        <v>179</v>
      </c>
      <c r="AB115" s="77" t="s">
        <v>504</v>
      </c>
      <c r="AC115" s="130">
        <v>0.26506024096385544</v>
      </c>
      <c r="AD115" s="72">
        <v>0.2988505747126437</v>
      </c>
      <c r="AE115" s="72">
        <v>0.56024096385542166</v>
      </c>
      <c r="AF115" s="77">
        <v>39</v>
      </c>
      <c r="AG115" s="28">
        <v>166</v>
      </c>
      <c r="AH115" s="28">
        <v>26</v>
      </c>
      <c r="AI115" s="28">
        <v>44</v>
      </c>
      <c r="AJ115" s="28">
        <v>7</v>
      </c>
      <c r="AK115" s="28">
        <v>0</v>
      </c>
      <c r="AL115" s="28">
        <v>14</v>
      </c>
      <c r="AM115" s="76">
        <v>45</v>
      </c>
      <c r="AN115" s="28">
        <v>8</v>
      </c>
      <c r="AO115" s="28">
        <v>37</v>
      </c>
      <c r="AP115" s="77">
        <v>0</v>
      </c>
      <c r="AQ115" s="28">
        <v>0</v>
      </c>
      <c r="AR115" s="28">
        <v>14</v>
      </c>
      <c r="AS115" s="77">
        <v>93</v>
      </c>
      <c r="AT115" s="72">
        <v>0.8590915385680653</v>
      </c>
      <c r="AU115" s="28">
        <v>5</v>
      </c>
      <c r="AV115" s="75">
        <v>113</v>
      </c>
      <c r="AY115" s="101" t="s">
        <v>502</v>
      </c>
      <c r="AZ115" s="77" t="s">
        <v>179</v>
      </c>
      <c r="BA115" s="77" t="s">
        <v>504</v>
      </c>
      <c r="BB115" s="130">
        <v>0.28662420382165604</v>
      </c>
      <c r="BC115" s="72">
        <v>0.3253012048192771</v>
      </c>
      <c r="BD115" s="72">
        <v>0.57324840764331209</v>
      </c>
      <c r="BE115" s="77">
        <v>40</v>
      </c>
      <c r="BF115" s="28">
        <v>157</v>
      </c>
      <c r="BG115" s="28">
        <v>21</v>
      </c>
      <c r="BH115" s="28">
        <v>45</v>
      </c>
      <c r="BI115" s="28">
        <v>9</v>
      </c>
      <c r="BJ115" s="28">
        <v>0</v>
      </c>
      <c r="BK115" s="28">
        <v>12</v>
      </c>
      <c r="BL115" s="28">
        <v>29</v>
      </c>
      <c r="BM115" s="28">
        <v>9</v>
      </c>
      <c r="BN115" s="28">
        <v>44</v>
      </c>
      <c r="BO115" s="77">
        <v>0</v>
      </c>
      <c r="BP115" s="28">
        <v>0</v>
      </c>
      <c r="BQ115" s="28">
        <v>7</v>
      </c>
      <c r="BR115" s="77">
        <v>90</v>
      </c>
      <c r="BS115" s="72">
        <v>0.89854961246258913</v>
      </c>
      <c r="BT115" s="28">
        <v>1</v>
      </c>
      <c r="BU115" s="75">
        <v>113</v>
      </c>
    </row>
    <row r="116" spans="1:73">
      <c r="A116" s="101" t="s">
        <v>502</v>
      </c>
      <c r="B116" s="71" t="s">
        <v>154</v>
      </c>
      <c r="C116" s="71" t="s">
        <v>506</v>
      </c>
      <c r="D116" s="72">
        <f>VLOOKUP(Table106[[#This Row],[NAME]],KCR_H[[NAME]:['#]],2,0)</f>
        <v>0.25477707006369427</v>
      </c>
      <c r="E116" s="72">
        <f>VLOOKUP(Table106[[#This Row],[NAME]],KCR_H[[NAME]:['#]],3,0)</f>
        <v>0.33898305084745761</v>
      </c>
      <c r="F116" s="72">
        <f>VLOOKUP(Table106[[#This Row],[NAME]],KCR_H[[NAME]:['#]],4,0)</f>
        <v>0.39490445859872614</v>
      </c>
      <c r="G116" s="77">
        <f>VLOOKUP(Table106[[#This Row],[NAME]],KCR_H[[NAME]:['#]],5,0)</f>
        <v>40</v>
      </c>
      <c r="H116" s="28">
        <f>VLOOKUP(Table106[[#This Row],[NAME]],KCR_H[[NAME]:['#]],6,0)</f>
        <v>157</v>
      </c>
      <c r="I116" s="28">
        <f>VLOOKUP(Table106[[#This Row],[NAME]],KCR_H[[NAME]:['#]],7,0)</f>
        <v>23</v>
      </c>
      <c r="J116" s="28">
        <f>VLOOKUP(Table106[[#This Row],[NAME]],KCR_H[[NAME]:['#]],8,0)</f>
        <v>40</v>
      </c>
      <c r="K116" s="28">
        <f>VLOOKUP(Table106[[#This Row],[NAME]],KCR_H[[NAME]:['#]],9,0)</f>
        <v>7</v>
      </c>
      <c r="L116" s="28">
        <f>VLOOKUP(Table106[[#This Row],[NAME]],KCR_H[[NAME]:['#]],10,0)</f>
        <v>3</v>
      </c>
      <c r="M116" s="28">
        <f>VLOOKUP(Table106[[#This Row],[NAME]],KCR_H[[NAME]:['#]],11,0)</f>
        <v>3</v>
      </c>
      <c r="N116" s="28">
        <f>VLOOKUP(Table106[[#This Row],[NAME]],KCR_H[[NAME]:['#]],12,0)</f>
        <v>15</v>
      </c>
      <c r="O116" s="28">
        <f>VLOOKUP(Table106[[#This Row],[NAME]],KCR_H[[NAME]:['#]],13,0)</f>
        <v>20</v>
      </c>
      <c r="P116" s="28">
        <f>VLOOKUP(Table106[[#This Row],[NAME]],KCR_H[[NAME]:['#]],14,0)</f>
        <v>32</v>
      </c>
      <c r="Q116" s="77">
        <f>VLOOKUP(Table106[[#This Row],[NAME]],KCR_H[[NAME]:['#]],15,0)</f>
        <v>0</v>
      </c>
      <c r="R116" s="28">
        <f>VLOOKUP(Table106[[#This Row],[NAME]],KCR_H[[NAME]:['#]],16,0)</f>
        <v>2</v>
      </c>
      <c r="S116" s="28">
        <f>VLOOKUP(Table106[[#This Row],[NAME]],KCR_H[[NAME]:['#]],17,0)</f>
        <v>8</v>
      </c>
      <c r="T116" s="77">
        <f>VLOOKUP(Table106[[#This Row],[NAME]],KCR_H[[NAME]:['#]],18,0)</f>
        <v>62</v>
      </c>
      <c r="U116" s="72">
        <f>VLOOKUP(Table106[[#This Row],[NAME]],KCR_H[[NAME]:['#]],19,0)</f>
        <v>0.73388750944618375</v>
      </c>
      <c r="V116" s="28">
        <f>VLOOKUP(Table106[[#This Row],[NAME]],KCR_H[[NAME]:['#]],20,0)</f>
        <v>1</v>
      </c>
      <c r="W116" s="75">
        <v>114</v>
      </c>
      <c r="Z116" s="101" t="s">
        <v>502</v>
      </c>
      <c r="AA116" s="77" t="s">
        <v>154</v>
      </c>
      <c r="AB116" s="77" t="s">
        <v>506</v>
      </c>
      <c r="AC116" s="130">
        <v>0.25</v>
      </c>
      <c r="AD116" s="72">
        <v>0.31521739130434784</v>
      </c>
      <c r="AE116" s="72">
        <v>0.4107142857142857</v>
      </c>
      <c r="AF116" s="77">
        <v>40</v>
      </c>
      <c r="AG116" s="28">
        <v>168</v>
      </c>
      <c r="AH116" s="28">
        <v>25</v>
      </c>
      <c r="AI116" s="28">
        <v>42</v>
      </c>
      <c r="AJ116" s="28">
        <v>10</v>
      </c>
      <c r="AK116" s="28">
        <v>4</v>
      </c>
      <c r="AL116" s="28">
        <v>3</v>
      </c>
      <c r="AM116" s="28">
        <v>20</v>
      </c>
      <c r="AN116" s="28">
        <v>16</v>
      </c>
      <c r="AO116" s="28">
        <v>23</v>
      </c>
      <c r="AP116" s="77">
        <v>0</v>
      </c>
      <c r="AQ116" s="28">
        <v>2</v>
      </c>
      <c r="AR116" s="28">
        <v>11</v>
      </c>
      <c r="AS116" s="77">
        <v>69</v>
      </c>
      <c r="AT116" s="72">
        <v>0.72593167701863348</v>
      </c>
      <c r="AU116" s="28">
        <v>1</v>
      </c>
      <c r="AV116" s="75">
        <v>114</v>
      </c>
      <c r="AY116" s="101" t="s">
        <v>502</v>
      </c>
      <c r="AZ116" s="77" t="s">
        <v>154</v>
      </c>
      <c r="BA116" s="77" t="s">
        <v>506</v>
      </c>
      <c r="BB116" s="130">
        <v>0.3048780487804878</v>
      </c>
      <c r="BC116" s="72">
        <v>0.34857142857142859</v>
      </c>
      <c r="BD116" s="72">
        <v>0.52439024390243905</v>
      </c>
      <c r="BE116" s="77">
        <v>40</v>
      </c>
      <c r="BF116" s="28">
        <v>164</v>
      </c>
      <c r="BG116" s="28">
        <v>22</v>
      </c>
      <c r="BH116" s="28">
        <v>50</v>
      </c>
      <c r="BI116" s="28">
        <v>8</v>
      </c>
      <c r="BJ116" s="28">
        <v>2</v>
      </c>
      <c r="BK116" s="28">
        <v>8</v>
      </c>
      <c r="BL116" s="28">
        <v>27</v>
      </c>
      <c r="BM116" s="28">
        <v>11</v>
      </c>
      <c r="BN116" s="28">
        <v>25</v>
      </c>
      <c r="BO116" s="77">
        <v>0</v>
      </c>
      <c r="BP116" s="28">
        <v>2</v>
      </c>
      <c r="BQ116" s="28">
        <v>7</v>
      </c>
      <c r="BR116" s="77">
        <v>86</v>
      </c>
      <c r="BS116" s="72">
        <v>0.87296167247386758</v>
      </c>
      <c r="BT116" s="28">
        <v>6</v>
      </c>
      <c r="BU116" s="75">
        <v>114</v>
      </c>
    </row>
    <row r="117" spans="1:73">
      <c r="A117" s="101" t="s">
        <v>502</v>
      </c>
      <c r="B117" s="345" t="s">
        <v>172</v>
      </c>
      <c r="C117" s="71" t="s">
        <v>503</v>
      </c>
      <c r="D117" s="72">
        <f>VLOOKUP(Table106[[#This Row],[NAME]],KCR_H[[NAME]:['#]],2,0)</f>
        <v>0.3081761006289308</v>
      </c>
      <c r="E117" s="72">
        <f>VLOOKUP(Table106[[#This Row],[NAME]],KCR_H[[NAME]:['#]],3,0)</f>
        <v>0.36781609195402298</v>
      </c>
      <c r="F117" s="72">
        <f>VLOOKUP(Table106[[#This Row],[NAME]],KCR_H[[NAME]:['#]],4,0)</f>
        <v>0.58490566037735847</v>
      </c>
      <c r="G117" s="77">
        <f>VLOOKUP(Table106[[#This Row],[NAME]],KCR_H[[NAME]:['#]],5,0)</f>
        <v>40</v>
      </c>
      <c r="H117" s="28">
        <f>VLOOKUP(Table106[[#This Row],[NAME]],KCR_H[[NAME]:['#]],6,0)</f>
        <v>159</v>
      </c>
      <c r="I117" s="28">
        <f>VLOOKUP(Table106[[#This Row],[NAME]],KCR_H[[NAME]:['#]],7,0)</f>
        <v>23</v>
      </c>
      <c r="J117" s="28">
        <f>VLOOKUP(Table106[[#This Row],[NAME]],KCR_H[[NAME]:['#]],8,0)</f>
        <v>49</v>
      </c>
      <c r="K117" s="28">
        <f>VLOOKUP(Table106[[#This Row],[NAME]],KCR_H[[NAME]:['#]],9,0)</f>
        <v>14</v>
      </c>
      <c r="L117" s="28">
        <f>VLOOKUP(Table106[[#This Row],[NAME]],KCR_H[[NAME]:['#]],10,0)</f>
        <v>3</v>
      </c>
      <c r="M117" s="28">
        <f>VLOOKUP(Table106[[#This Row],[NAME]],KCR_H[[NAME]:['#]],11,0)</f>
        <v>8</v>
      </c>
      <c r="N117" s="28">
        <f>VLOOKUP(Table106[[#This Row],[NAME]],KCR_H[[NAME]:['#]],12,0)</f>
        <v>23</v>
      </c>
      <c r="O117" s="28">
        <f>VLOOKUP(Table106[[#This Row],[NAME]],KCR_H[[NAME]:['#]],13,0)</f>
        <v>15</v>
      </c>
      <c r="P117" s="28">
        <f>VLOOKUP(Table106[[#This Row],[NAME]],KCR_H[[NAME]:['#]],14,0)</f>
        <v>28</v>
      </c>
      <c r="Q117" s="77">
        <f>VLOOKUP(Table106[[#This Row],[NAME]],KCR_H[[NAME]:['#]],15,0)</f>
        <v>12</v>
      </c>
      <c r="R117" s="28">
        <f>VLOOKUP(Table106[[#This Row],[NAME]],KCR_H[[NAME]:['#]],16,0)</f>
        <v>0</v>
      </c>
      <c r="S117" s="28">
        <f>VLOOKUP(Table106[[#This Row],[NAME]],KCR_H[[NAME]:['#]],17,0)</f>
        <v>7</v>
      </c>
      <c r="T117" s="77">
        <f>VLOOKUP(Table106[[#This Row],[NAME]],KCR_H[[NAME]:['#]],18,0)</f>
        <v>93</v>
      </c>
      <c r="U117" s="72">
        <f>VLOOKUP(Table106[[#This Row],[NAME]],KCR_H[[NAME]:['#]],19,0)</f>
        <v>0.95272175233138146</v>
      </c>
      <c r="V117" s="28">
        <f>VLOOKUP(Table106[[#This Row],[NAME]],KCR_H[[NAME]:['#]],20,0)</f>
        <v>6</v>
      </c>
      <c r="W117" s="75">
        <v>115</v>
      </c>
      <c r="Z117" s="101" t="s">
        <v>502</v>
      </c>
      <c r="AA117" s="77" t="s">
        <v>172</v>
      </c>
      <c r="AB117" s="77" t="s">
        <v>503</v>
      </c>
      <c r="AC117" s="130">
        <v>0.27380952380952384</v>
      </c>
      <c r="AD117" s="72">
        <v>0.32596685082872928</v>
      </c>
      <c r="AE117" s="72">
        <v>0.50595238095238093</v>
      </c>
      <c r="AF117" s="77">
        <v>39</v>
      </c>
      <c r="AG117" s="28">
        <v>168</v>
      </c>
      <c r="AH117" s="28">
        <v>28</v>
      </c>
      <c r="AI117" s="28">
        <v>46</v>
      </c>
      <c r="AJ117" s="28">
        <v>11</v>
      </c>
      <c r="AK117" s="28">
        <v>2</v>
      </c>
      <c r="AL117" s="28">
        <v>8</v>
      </c>
      <c r="AM117" s="28">
        <v>25</v>
      </c>
      <c r="AN117" s="28">
        <v>13</v>
      </c>
      <c r="AO117" s="28">
        <v>41</v>
      </c>
      <c r="AP117" s="77">
        <v>9</v>
      </c>
      <c r="AQ117" s="28">
        <v>0</v>
      </c>
      <c r="AR117" s="28">
        <v>9</v>
      </c>
      <c r="AS117" s="77">
        <v>85</v>
      </c>
      <c r="AT117" s="72">
        <v>0.83191923178111016</v>
      </c>
      <c r="AU117" s="28">
        <v>2</v>
      </c>
      <c r="AV117" s="75">
        <v>115</v>
      </c>
      <c r="AY117" s="101" t="s">
        <v>502</v>
      </c>
      <c r="AZ117" s="77" t="s">
        <v>235</v>
      </c>
      <c r="BA117" s="352" t="s">
        <v>503</v>
      </c>
      <c r="BB117" s="130">
        <v>0.27586206896551724</v>
      </c>
      <c r="BC117" s="72">
        <v>0.32692307692307693</v>
      </c>
      <c r="BD117" s="72">
        <v>0.52413793103448281</v>
      </c>
      <c r="BE117" s="77">
        <v>40</v>
      </c>
      <c r="BF117" s="28">
        <v>145</v>
      </c>
      <c r="BG117" s="28">
        <v>27</v>
      </c>
      <c r="BH117" s="28">
        <v>40</v>
      </c>
      <c r="BI117" s="28">
        <v>5</v>
      </c>
      <c r="BJ117" s="28">
        <v>2</v>
      </c>
      <c r="BK117" s="28">
        <v>9</v>
      </c>
      <c r="BL117" s="28">
        <v>28</v>
      </c>
      <c r="BM117" s="28">
        <v>11</v>
      </c>
      <c r="BN117" s="28">
        <v>44</v>
      </c>
      <c r="BO117" s="77">
        <v>4</v>
      </c>
      <c r="BP117" s="28">
        <v>1</v>
      </c>
      <c r="BQ117" s="28">
        <v>7</v>
      </c>
      <c r="BR117" s="77">
        <v>76</v>
      </c>
      <c r="BS117" s="72">
        <v>0.85106100795755979</v>
      </c>
      <c r="BT117" s="28">
        <v>5</v>
      </c>
      <c r="BU117" s="75">
        <v>115</v>
      </c>
    </row>
    <row r="118" spans="1:73">
      <c r="A118" s="101" t="s">
        <v>502</v>
      </c>
      <c r="B118" s="71" t="s">
        <v>153</v>
      </c>
      <c r="C118" s="71" t="s">
        <v>509</v>
      </c>
      <c r="D118" s="72">
        <f>VLOOKUP(Table106[[#This Row],[NAME]],KCR_H[[NAME]:['#]],2,0)</f>
        <v>0.21428571428571427</v>
      </c>
      <c r="E118" s="72">
        <f>VLOOKUP(Table106[[#This Row],[NAME]],KCR_H[[NAME]:['#]],3,0)</f>
        <v>0.28104575163398693</v>
      </c>
      <c r="F118" s="72">
        <f>VLOOKUP(Table106[[#This Row],[NAME]],KCR_H[[NAME]:['#]],4,0)</f>
        <v>0.34285714285714286</v>
      </c>
      <c r="G118" s="77">
        <f>VLOOKUP(Table106[[#This Row],[NAME]],KCR_H[[NAME]:['#]],5,0)</f>
        <v>39</v>
      </c>
      <c r="H118" s="28">
        <f>VLOOKUP(Table106[[#This Row],[NAME]],KCR_H[[NAME]:['#]],6,0)</f>
        <v>140</v>
      </c>
      <c r="I118" s="28">
        <f>VLOOKUP(Table106[[#This Row],[NAME]],KCR_H[[NAME]:['#]],7,0)</f>
        <v>12</v>
      </c>
      <c r="J118" s="28">
        <f>VLOOKUP(Table106[[#This Row],[NAME]],KCR_H[[NAME]:['#]],8,0)</f>
        <v>30</v>
      </c>
      <c r="K118" s="28">
        <f>VLOOKUP(Table106[[#This Row],[NAME]],KCR_H[[NAME]:['#]],9,0)</f>
        <v>4</v>
      </c>
      <c r="L118" s="28">
        <f>VLOOKUP(Table106[[#This Row],[NAME]],KCR_H[[NAME]:['#]],10,0)</f>
        <v>1</v>
      </c>
      <c r="M118" s="28">
        <f>VLOOKUP(Table106[[#This Row],[NAME]],KCR_H[[NAME]:['#]],11,0)</f>
        <v>4</v>
      </c>
      <c r="N118" s="28">
        <f>VLOOKUP(Table106[[#This Row],[NAME]],KCR_H[[NAME]:['#]],12,0)</f>
        <v>13</v>
      </c>
      <c r="O118" s="28">
        <f>VLOOKUP(Table106[[#This Row],[NAME]],KCR_H[[NAME]:['#]],13,0)</f>
        <v>13</v>
      </c>
      <c r="P118" s="28">
        <f>VLOOKUP(Table106[[#This Row],[NAME]],KCR_H[[NAME]:['#]],14,0)</f>
        <v>28</v>
      </c>
      <c r="Q118" s="77">
        <f>VLOOKUP(Table106[[#This Row],[NAME]],KCR_H[[NAME]:['#]],15,0)</f>
        <v>4</v>
      </c>
      <c r="R118" s="28">
        <f>VLOOKUP(Table106[[#This Row],[NAME]],KCR_H[[NAME]:['#]],16,0)</f>
        <v>1</v>
      </c>
      <c r="S118" s="28">
        <f>VLOOKUP(Table106[[#This Row],[NAME]],KCR_H[[NAME]:['#]],17,0)</f>
        <v>5</v>
      </c>
      <c r="T118" s="77">
        <f>VLOOKUP(Table106[[#This Row],[NAME]],KCR_H[[NAME]:['#]],18,0)</f>
        <v>48</v>
      </c>
      <c r="U118" s="72">
        <f>VLOOKUP(Table106[[#This Row],[NAME]],KCR_H[[NAME]:['#]],19,0)</f>
        <v>0.62390289449112979</v>
      </c>
      <c r="V118" s="28">
        <f>VLOOKUP(Table106[[#This Row],[NAME]],KCR_H[[NAME]:['#]],20,0)</f>
        <v>1</v>
      </c>
      <c r="W118" s="75">
        <v>116</v>
      </c>
      <c r="Z118" s="101" t="s">
        <v>502</v>
      </c>
      <c r="AA118" s="77" t="s">
        <v>153</v>
      </c>
      <c r="AB118" s="77" t="s">
        <v>509</v>
      </c>
      <c r="AC118" s="130">
        <v>0.24050632911392406</v>
      </c>
      <c r="AD118" s="72">
        <v>0.27272727272727271</v>
      </c>
      <c r="AE118" s="72">
        <v>0.37341772151898733</v>
      </c>
      <c r="AF118" s="77">
        <v>38</v>
      </c>
      <c r="AG118" s="28">
        <v>158</v>
      </c>
      <c r="AH118" s="28">
        <v>20</v>
      </c>
      <c r="AI118" s="28">
        <v>38</v>
      </c>
      <c r="AJ118" s="28">
        <v>9</v>
      </c>
      <c r="AK118" s="28">
        <v>0</v>
      </c>
      <c r="AL118" s="28">
        <v>4</v>
      </c>
      <c r="AM118" s="28">
        <v>16</v>
      </c>
      <c r="AN118" s="28">
        <v>7</v>
      </c>
      <c r="AO118" s="28">
        <v>35</v>
      </c>
      <c r="AP118" s="77">
        <v>9</v>
      </c>
      <c r="AQ118" s="28">
        <v>3</v>
      </c>
      <c r="AR118" s="28">
        <v>5</v>
      </c>
      <c r="AS118" s="77">
        <v>59</v>
      </c>
      <c r="AT118" s="72">
        <v>0.64614499424626004</v>
      </c>
      <c r="AU118" s="28">
        <v>1</v>
      </c>
      <c r="AV118" s="75">
        <v>116</v>
      </c>
      <c r="AY118" s="101" t="s">
        <v>502</v>
      </c>
      <c r="AZ118" s="77" t="s">
        <v>153</v>
      </c>
      <c r="BA118" s="77" t="s">
        <v>509</v>
      </c>
      <c r="BB118" s="130">
        <v>0.29090909090909089</v>
      </c>
      <c r="BC118" s="72">
        <v>0.34269662921348315</v>
      </c>
      <c r="BD118" s="72">
        <v>0.47272727272727272</v>
      </c>
      <c r="BE118" s="77">
        <v>39</v>
      </c>
      <c r="BF118" s="28">
        <v>165</v>
      </c>
      <c r="BG118" s="28">
        <v>25</v>
      </c>
      <c r="BH118" s="28">
        <v>48</v>
      </c>
      <c r="BI118" s="28">
        <v>8</v>
      </c>
      <c r="BJ118" s="28">
        <v>2</v>
      </c>
      <c r="BK118" s="28">
        <v>6</v>
      </c>
      <c r="BL118" s="28">
        <v>17</v>
      </c>
      <c r="BM118" s="28">
        <v>13</v>
      </c>
      <c r="BN118" s="28">
        <v>39</v>
      </c>
      <c r="BO118" s="77">
        <v>12</v>
      </c>
      <c r="BP118" s="28">
        <v>2</v>
      </c>
      <c r="BQ118" s="28">
        <v>10</v>
      </c>
      <c r="BR118" s="77">
        <v>78</v>
      </c>
      <c r="BS118" s="72">
        <v>0.81542390194075587</v>
      </c>
      <c r="BT118" s="28">
        <v>2</v>
      </c>
      <c r="BU118" s="75">
        <v>116</v>
      </c>
    </row>
    <row r="119" spans="1:73">
      <c r="A119" s="101" t="s">
        <v>502</v>
      </c>
      <c r="B119" s="71" t="s">
        <v>177</v>
      </c>
      <c r="C119" s="71" t="s">
        <v>511</v>
      </c>
      <c r="D119" s="72">
        <f>VLOOKUP(Table106[[#This Row],[NAME]],KCR_H[[NAME]:['#]],2,0)</f>
        <v>0.25694444444444442</v>
      </c>
      <c r="E119" s="72">
        <f>VLOOKUP(Table106[[#This Row],[NAME]],KCR_H[[NAME]:['#]],3,0)</f>
        <v>0.3141025641025641</v>
      </c>
      <c r="F119" s="72">
        <f>VLOOKUP(Table106[[#This Row],[NAME]],KCR_H[[NAME]:['#]],4,0)</f>
        <v>0.34722222222222221</v>
      </c>
      <c r="G119" s="77">
        <f>VLOOKUP(Table106[[#This Row],[NAME]],KCR_H[[NAME]:['#]],5,0)</f>
        <v>40</v>
      </c>
      <c r="H119" s="28">
        <f>VLOOKUP(Table106[[#This Row],[NAME]],KCR_H[[NAME]:['#]],6,0)</f>
        <v>144</v>
      </c>
      <c r="I119" s="28">
        <f>VLOOKUP(Table106[[#This Row],[NAME]],KCR_H[[NAME]:['#]],7,0)</f>
        <v>15</v>
      </c>
      <c r="J119" s="28">
        <f>VLOOKUP(Table106[[#This Row],[NAME]],KCR_H[[NAME]:['#]],8,0)</f>
        <v>37</v>
      </c>
      <c r="K119" s="28">
        <f>VLOOKUP(Table106[[#This Row],[NAME]],KCR_H[[NAME]:['#]],9,0)</f>
        <v>10</v>
      </c>
      <c r="L119" s="28">
        <f>VLOOKUP(Table106[[#This Row],[NAME]],KCR_H[[NAME]:['#]],10,0)</f>
        <v>0</v>
      </c>
      <c r="M119" s="28">
        <f>VLOOKUP(Table106[[#This Row],[NAME]],KCR_H[[NAME]:['#]],11,0)</f>
        <v>1</v>
      </c>
      <c r="N119" s="28">
        <f>VLOOKUP(Table106[[#This Row],[NAME]],KCR_H[[NAME]:['#]],12,0)</f>
        <v>9</v>
      </c>
      <c r="O119" s="28">
        <f>VLOOKUP(Table106[[#This Row],[NAME]],KCR_H[[NAME]:['#]],13,0)</f>
        <v>12</v>
      </c>
      <c r="P119" s="28">
        <f>VLOOKUP(Table106[[#This Row],[NAME]],KCR_H[[NAME]:['#]],14,0)</f>
        <v>31</v>
      </c>
      <c r="Q119" s="77">
        <f>VLOOKUP(Table106[[#This Row],[NAME]],KCR_H[[NAME]:['#]],15,0)</f>
        <v>0</v>
      </c>
      <c r="R119" s="28">
        <f>VLOOKUP(Table106[[#This Row],[NAME]],KCR_H[[NAME]:['#]],16,0)</f>
        <v>4</v>
      </c>
      <c r="S119" s="28">
        <f>VLOOKUP(Table106[[#This Row],[NAME]],KCR_H[[NAME]:['#]],17,0)</f>
        <v>7</v>
      </c>
      <c r="T119" s="77">
        <f>VLOOKUP(Table106[[#This Row],[NAME]],KCR_H[[NAME]:['#]],18,0)</f>
        <v>50</v>
      </c>
      <c r="U119" s="72">
        <f>VLOOKUP(Table106[[#This Row],[NAME]],KCR_H[[NAME]:['#]],19,0)</f>
        <v>0.66132478632478631</v>
      </c>
      <c r="V119" s="28">
        <f>VLOOKUP(Table106[[#This Row],[NAME]],KCR_H[[NAME]:['#]],20,0)</f>
        <v>0</v>
      </c>
      <c r="W119" s="75">
        <v>117</v>
      </c>
      <c r="Z119" s="101" t="s">
        <v>502</v>
      </c>
      <c r="AA119" s="77" t="s">
        <v>177</v>
      </c>
      <c r="AB119" s="77" t="s">
        <v>511</v>
      </c>
      <c r="AC119" s="130">
        <v>0.29545454545454547</v>
      </c>
      <c r="AD119" s="72">
        <v>0.35416666666666669</v>
      </c>
      <c r="AE119" s="72">
        <v>0.37878787878787878</v>
      </c>
      <c r="AF119" s="77">
        <v>34</v>
      </c>
      <c r="AG119" s="28">
        <v>132</v>
      </c>
      <c r="AH119" s="28">
        <v>13</v>
      </c>
      <c r="AI119" s="28">
        <v>39</v>
      </c>
      <c r="AJ119" s="28">
        <v>8</v>
      </c>
      <c r="AK119" s="28">
        <v>0</v>
      </c>
      <c r="AL119" s="28">
        <v>1</v>
      </c>
      <c r="AM119" s="28">
        <v>11</v>
      </c>
      <c r="AN119" s="28">
        <v>12</v>
      </c>
      <c r="AO119" s="28">
        <v>23</v>
      </c>
      <c r="AP119" s="77">
        <v>0</v>
      </c>
      <c r="AQ119" s="28">
        <v>3</v>
      </c>
      <c r="AR119" s="28">
        <v>10</v>
      </c>
      <c r="AS119" s="77">
        <v>50</v>
      </c>
      <c r="AT119" s="72">
        <v>0.73295454545454541</v>
      </c>
      <c r="AU119" s="28">
        <v>0</v>
      </c>
      <c r="AV119" s="75">
        <v>117</v>
      </c>
      <c r="AY119" s="101" t="s">
        <v>502</v>
      </c>
      <c r="AZ119" s="77" t="s">
        <v>177</v>
      </c>
      <c r="BA119" s="77" t="s">
        <v>512</v>
      </c>
      <c r="BB119" s="130">
        <v>0.21978021978021978</v>
      </c>
      <c r="BC119" s="72">
        <v>0.30392156862745096</v>
      </c>
      <c r="BD119" s="72">
        <v>0.38461538461538464</v>
      </c>
      <c r="BE119" s="77">
        <v>32</v>
      </c>
      <c r="BF119" s="28">
        <v>91</v>
      </c>
      <c r="BG119" s="28">
        <v>13</v>
      </c>
      <c r="BH119" s="28">
        <v>20</v>
      </c>
      <c r="BI119" s="28">
        <v>5</v>
      </c>
      <c r="BJ119" s="28">
        <v>2</v>
      </c>
      <c r="BK119" s="28">
        <v>2</v>
      </c>
      <c r="BL119" s="28">
        <v>10</v>
      </c>
      <c r="BM119" s="28">
        <v>11</v>
      </c>
      <c r="BN119" s="28">
        <v>23</v>
      </c>
      <c r="BO119" s="77">
        <v>0</v>
      </c>
      <c r="BP119" s="28">
        <v>0</v>
      </c>
      <c r="BQ119" s="28">
        <v>4</v>
      </c>
      <c r="BR119" s="77">
        <v>35</v>
      </c>
      <c r="BS119" s="72">
        <v>0.68853695324283559</v>
      </c>
      <c r="BT119" s="28">
        <v>0</v>
      </c>
      <c r="BU119" s="75">
        <v>117</v>
      </c>
    </row>
    <row r="120" spans="1:73">
      <c r="A120" s="101" t="s">
        <v>502</v>
      </c>
      <c r="B120" s="71" t="s">
        <v>174</v>
      </c>
      <c r="C120" s="71" t="s">
        <v>507</v>
      </c>
      <c r="D120" s="72">
        <f>VLOOKUP(Table106[[#This Row],[NAME]],KCR_H[[NAME]:['#]],2,0)</f>
        <v>0.3087248322147651</v>
      </c>
      <c r="E120" s="72">
        <f>VLOOKUP(Table106[[#This Row],[NAME]],KCR_H[[NAME]:['#]],3,0)</f>
        <v>0.37575757575757573</v>
      </c>
      <c r="F120" s="72">
        <f>VLOOKUP(Table106[[#This Row],[NAME]],KCR_H[[NAME]:['#]],4,0)</f>
        <v>0.46979865771812079</v>
      </c>
      <c r="G120" s="77">
        <f>VLOOKUP(Table106[[#This Row],[NAME]],KCR_H[[NAME]:['#]],5,0)</f>
        <v>40</v>
      </c>
      <c r="H120" s="28">
        <f>VLOOKUP(Table106[[#This Row],[NAME]],KCR_H[[NAME]:['#]],6,0)</f>
        <v>149</v>
      </c>
      <c r="I120" s="28">
        <f>VLOOKUP(Table106[[#This Row],[NAME]],KCR_H[[NAME]:['#]],7,0)</f>
        <v>22</v>
      </c>
      <c r="J120" s="28">
        <f>VLOOKUP(Table106[[#This Row],[NAME]],KCR_H[[NAME]:['#]],8,0)</f>
        <v>46</v>
      </c>
      <c r="K120" s="28">
        <f>VLOOKUP(Table106[[#This Row],[NAME]],KCR_H[[NAME]:['#]],9,0)</f>
        <v>9</v>
      </c>
      <c r="L120" s="28">
        <f>VLOOKUP(Table106[[#This Row],[NAME]],KCR_H[[NAME]:['#]],10,0)</f>
        <v>0</v>
      </c>
      <c r="M120" s="28">
        <f>VLOOKUP(Table106[[#This Row],[NAME]],KCR_H[[NAME]:['#]],11,0)</f>
        <v>5</v>
      </c>
      <c r="N120" s="28">
        <f>VLOOKUP(Table106[[#This Row],[NAME]],KCR_H[[NAME]:['#]],12,0)</f>
        <v>20</v>
      </c>
      <c r="O120" s="28">
        <f>VLOOKUP(Table106[[#This Row],[NAME]],KCR_H[[NAME]:['#]],13,0)</f>
        <v>16</v>
      </c>
      <c r="P120" s="28">
        <f>VLOOKUP(Table106[[#This Row],[NAME]],KCR_H[[NAME]:['#]],14,0)</f>
        <v>38</v>
      </c>
      <c r="Q120" s="77">
        <f>VLOOKUP(Table106[[#This Row],[NAME]],KCR_H[[NAME]:['#]],15,0)</f>
        <v>0</v>
      </c>
      <c r="R120" s="28">
        <f>VLOOKUP(Table106[[#This Row],[NAME]],KCR_H[[NAME]:['#]],16,0)</f>
        <v>3</v>
      </c>
      <c r="S120" s="28">
        <f>VLOOKUP(Table106[[#This Row],[NAME]],KCR_H[[NAME]:['#]],17,0)</f>
        <v>9</v>
      </c>
      <c r="T120" s="77">
        <f>VLOOKUP(Table106[[#This Row],[NAME]],KCR_H[[NAME]:['#]],18,0)</f>
        <v>70</v>
      </c>
      <c r="U120" s="72">
        <f>VLOOKUP(Table106[[#This Row],[NAME]],KCR_H[[NAME]:['#]],19,0)</f>
        <v>0.84555623347569653</v>
      </c>
      <c r="V120" s="28">
        <f>VLOOKUP(Table106[[#This Row],[NAME]],KCR_H[[NAME]:['#]],20,0)</f>
        <v>2</v>
      </c>
      <c r="W120" s="75">
        <v>118</v>
      </c>
      <c r="Z120" s="101" t="s">
        <v>502</v>
      </c>
      <c r="AA120" s="77" t="s">
        <v>174</v>
      </c>
      <c r="AB120" s="77" t="s">
        <v>507</v>
      </c>
      <c r="AC120" s="130">
        <v>0.26666666666666666</v>
      </c>
      <c r="AD120" s="72">
        <v>0.29936305732484075</v>
      </c>
      <c r="AE120" s="72">
        <v>0.43333333333333335</v>
      </c>
      <c r="AF120" s="77">
        <v>37</v>
      </c>
      <c r="AG120" s="28">
        <v>150</v>
      </c>
      <c r="AH120" s="28">
        <v>21</v>
      </c>
      <c r="AI120" s="28">
        <v>40</v>
      </c>
      <c r="AJ120" s="28">
        <v>10</v>
      </c>
      <c r="AK120" s="28">
        <v>3</v>
      </c>
      <c r="AL120" s="28">
        <v>3</v>
      </c>
      <c r="AM120" s="28">
        <v>21</v>
      </c>
      <c r="AN120" s="28">
        <v>7</v>
      </c>
      <c r="AO120" s="28">
        <v>38</v>
      </c>
      <c r="AP120" s="77">
        <v>0</v>
      </c>
      <c r="AQ120" s="28">
        <v>5</v>
      </c>
      <c r="AR120" s="28">
        <v>5</v>
      </c>
      <c r="AS120" s="77">
        <v>65</v>
      </c>
      <c r="AT120" s="72">
        <v>0.73269639065817405</v>
      </c>
      <c r="AU120" s="28">
        <v>3</v>
      </c>
      <c r="AV120" s="75">
        <v>118</v>
      </c>
      <c r="AY120" s="101" t="s">
        <v>502</v>
      </c>
      <c r="AZ120" s="77" t="s">
        <v>174</v>
      </c>
      <c r="BA120" s="77" t="s">
        <v>507</v>
      </c>
      <c r="BB120" s="130">
        <v>0.22818791946308725</v>
      </c>
      <c r="BC120" s="72">
        <v>0.26282051282051283</v>
      </c>
      <c r="BD120" s="72">
        <v>0.3825503355704698</v>
      </c>
      <c r="BE120" s="77">
        <v>40</v>
      </c>
      <c r="BF120" s="28">
        <v>149</v>
      </c>
      <c r="BG120" s="28">
        <v>12</v>
      </c>
      <c r="BH120" s="28">
        <v>34</v>
      </c>
      <c r="BI120" s="28">
        <v>10</v>
      </c>
      <c r="BJ120" s="28">
        <v>2</v>
      </c>
      <c r="BK120" s="28">
        <v>3</v>
      </c>
      <c r="BL120" s="28">
        <v>18</v>
      </c>
      <c r="BM120" s="28">
        <v>7</v>
      </c>
      <c r="BN120" s="28">
        <v>43</v>
      </c>
      <c r="BO120" s="77">
        <v>0</v>
      </c>
      <c r="BP120" s="28">
        <v>2</v>
      </c>
      <c r="BQ120" s="28">
        <v>4</v>
      </c>
      <c r="BR120" s="77">
        <v>57</v>
      </c>
      <c r="BS120" s="72">
        <v>0.64537084839098258</v>
      </c>
      <c r="BT120" s="28">
        <v>1</v>
      </c>
      <c r="BU120" s="75">
        <v>118</v>
      </c>
    </row>
    <row r="121" spans="1:73">
      <c r="A121" s="101" t="s">
        <v>502</v>
      </c>
      <c r="B121" s="71" t="s">
        <v>181</v>
      </c>
      <c r="C121" s="71" t="s">
        <v>505</v>
      </c>
      <c r="D121" s="72">
        <f>VLOOKUP(Table106[[#This Row],[NAME]],KCR_H[[NAME]:['#]],2,0)</f>
        <v>0.25531914893617019</v>
      </c>
      <c r="E121" s="72">
        <f>VLOOKUP(Table106[[#This Row],[NAME]],KCR_H[[NAME]:['#]],3,0)</f>
        <v>0.29530201342281881</v>
      </c>
      <c r="F121" s="72">
        <f>VLOOKUP(Table106[[#This Row],[NAME]],KCR_H[[NAME]:['#]],4,0)</f>
        <v>0.53900709219858156</v>
      </c>
      <c r="G121" s="77">
        <f>VLOOKUP(Table106[[#This Row],[NAME]],KCR_H[[NAME]:['#]],5,0)</f>
        <v>40</v>
      </c>
      <c r="H121" s="28">
        <f>VLOOKUP(Table106[[#This Row],[NAME]],KCR_H[[NAME]:['#]],6,0)</f>
        <v>141</v>
      </c>
      <c r="I121" s="28">
        <f>VLOOKUP(Table106[[#This Row],[NAME]],KCR_H[[NAME]:['#]],7,0)</f>
        <v>19</v>
      </c>
      <c r="J121" s="28">
        <f>VLOOKUP(Table106[[#This Row],[NAME]],KCR_H[[NAME]:['#]],8,0)</f>
        <v>36</v>
      </c>
      <c r="K121" s="28">
        <f>VLOOKUP(Table106[[#This Row],[NAME]],KCR_H[[NAME]:['#]],9,0)</f>
        <v>5</v>
      </c>
      <c r="L121" s="28">
        <f>VLOOKUP(Table106[[#This Row],[NAME]],KCR_H[[NAME]:['#]],10,0)</f>
        <v>1</v>
      </c>
      <c r="M121" s="28">
        <f>VLOOKUP(Table106[[#This Row],[NAME]],KCR_H[[NAME]:['#]],11,0)</f>
        <v>11</v>
      </c>
      <c r="N121" s="28">
        <f>VLOOKUP(Table106[[#This Row],[NAME]],KCR_H[[NAME]:['#]],12,0)</f>
        <v>30</v>
      </c>
      <c r="O121" s="28">
        <f>VLOOKUP(Table106[[#This Row],[NAME]],KCR_H[[NAME]:['#]],13,0)</f>
        <v>8</v>
      </c>
      <c r="P121" s="28">
        <f>VLOOKUP(Table106[[#This Row],[NAME]],KCR_H[[NAME]:['#]],14,0)</f>
        <v>48</v>
      </c>
      <c r="Q121" s="77">
        <f>VLOOKUP(Table106[[#This Row],[NAME]],KCR_H[[NAME]:['#]],15,0)</f>
        <v>4</v>
      </c>
      <c r="R121" s="28">
        <f>VLOOKUP(Table106[[#This Row],[NAME]],KCR_H[[NAME]:['#]],16,0)</f>
        <v>4</v>
      </c>
      <c r="S121" s="28">
        <f>VLOOKUP(Table106[[#This Row],[NAME]],KCR_H[[NAME]:['#]],17,0)</f>
        <v>8</v>
      </c>
      <c r="T121" s="77">
        <f>VLOOKUP(Table106[[#This Row],[NAME]],KCR_H[[NAME]:['#]],18,0)</f>
        <v>76</v>
      </c>
      <c r="U121" s="72">
        <f>VLOOKUP(Table106[[#This Row],[NAME]],KCR_H[[NAME]:['#]],19,0)</f>
        <v>0.83430910562140037</v>
      </c>
      <c r="V121" s="28">
        <f>VLOOKUP(Table106[[#This Row],[NAME]],KCR_H[[NAME]:['#]],20,0)</f>
        <v>4</v>
      </c>
      <c r="W121" s="75">
        <v>119</v>
      </c>
      <c r="Z121" s="101" t="s">
        <v>502</v>
      </c>
      <c r="AA121" s="77" t="s">
        <v>181</v>
      </c>
      <c r="AB121" s="77" t="s">
        <v>505</v>
      </c>
      <c r="AC121" s="130">
        <v>0.24203821656050956</v>
      </c>
      <c r="AD121" s="72">
        <v>0.25624999999999998</v>
      </c>
      <c r="AE121" s="72">
        <v>0.38216560509554143</v>
      </c>
      <c r="AF121" s="77">
        <v>38</v>
      </c>
      <c r="AG121" s="28">
        <v>157</v>
      </c>
      <c r="AH121" s="28">
        <v>20</v>
      </c>
      <c r="AI121" s="28">
        <v>38</v>
      </c>
      <c r="AJ121" s="28">
        <v>2</v>
      </c>
      <c r="AK121" s="28">
        <v>1</v>
      </c>
      <c r="AL121" s="28">
        <v>6</v>
      </c>
      <c r="AM121" s="28">
        <v>23</v>
      </c>
      <c r="AN121" s="28">
        <v>3</v>
      </c>
      <c r="AO121" s="28">
        <v>45</v>
      </c>
      <c r="AP121" s="77">
        <v>6</v>
      </c>
      <c r="AQ121" s="28">
        <v>3</v>
      </c>
      <c r="AR121" s="28">
        <v>9</v>
      </c>
      <c r="AS121" s="77">
        <v>60</v>
      </c>
      <c r="AT121" s="72">
        <v>0.63841560509554141</v>
      </c>
      <c r="AU121" s="28">
        <v>1</v>
      </c>
      <c r="AV121" s="75">
        <v>119</v>
      </c>
      <c r="AY121" s="101" t="s">
        <v>502</v>
      </c>
      <c r="AZ121" s="77" t="s">
        <v>181</v>
      </c>
      <c r="BA121" s="77" t="s">
        <v>505</v>
      </c>
      <c r="BB121" s="130">
        <v>0.19135802469135801</v>
      </c>
      <c r="BC121" s="72">
        <v>0.23837209302325582</v>
      </c>
      <c r="BD121" s="72">
        <v>0.29012345679012347</v>
      </c>
      <c r="BE121" s="77">
        <v>40</v>
      </c>
      <c r="BF121" s="28">
        <v>162</v>
      </c>
      <c r="BG121" s="28">
        <v>16</v>
      </c>
      <c r="BH121" s="28">
        <v>31</v>
      </c>
      <c r="BI121" s="28">
        <v>1</v>
      </c>
      <c r="BJ121" s="28">
        <v>0</v>
      </c>
      <c r="BK121" s="28">
        <v>5</v>
      </c>
      <c r="BL121" s="28">
        <v>13</v>
      </c>
      <c r="BM121" s="28">
        <v>10</v>
      </c>
      <c r="BN121" s="76">
        <v>70</v>
      </c>
      <c r="BO121" s="77">
        <v>3</v>
      </c>
      <c r="BP121" s="28">
        <v>0</v>
      </c>
      <c r="BQ121" s="28">
        <v>4</v>
      </c>
      <c r="BR121" s="77">
        <v>47</v>
      </c>
      <c r="BS121" s="72">
        <v>0.52849554981337932</v>
      </c>
      <c r="BT121" s="28">
        <v>3</v>
      </c>
      <c r="BU121" s="75">
        <v>119</v>
      </c>
    </row>
    <row r="122" spans="1:73">
      <c r="A122" s="101" t="s">
        <v>502</v>
      </c>
      <c r="B122" s="71" t="s">
        <v>166</v>
      </c>
      <c r="C122" s="71" t="s">
        <v>512</v>
      </c>
      <c r="D122" s="72">
        <f>VLOOKUP(Table106[[#This Row],[NAME]],KCR_H[[NAME]:['#]],2,0)</f>
        <v>0.24509803921568626</v>
      </c>
      <c r="E122" s="72">
        <f>VLOOKUP(Table106[[#This Row],[NAME]],KCR_H[[NAME]:['#]],3,0)</f>
        <v>0.28703703703703703</v>
      </c>
      <c r="F122" s="72">
        <f>VLOOKUP(Table106[[#This Row],[NAME]],KCR_H[[NAME]:['#]],4,0)</f>
        <v>0.34313725490196079</v>
      </c>
      <c r="G122" s="77">
        <f>VLOOKUP(Table106[[#This Row],[NAME]],KCR_H[[NAME]:['#]],5,0)</f>
        <v>28</v>
      </c>
      <c r="H122" s="28">
        <f>VLOOKUP(Table106[[#This Row],[NAME]],KCR_H[[NAME]:['#]],6,0)</f>
        <v>102</v>
      </c>
      <c r="I122" s="28">
        <f>VLOOKUP(Table106[[#This Row],[NAME]],KCR_H[[NAME]:['#]],7,0)</f>
        <v>11</v>
      </c>
      <c r="J122" s="28">
        <f>VLOOKUP(Table106[[#This Row],[NAME]],KCR_H[[NAME]:['#]],8,0)</f>
        <v>25</v>
      </c>
      <c r="K122" s="28">
        <f>VLOOKUP(Table106[[#This Row],[NAME]],KCR_H[[NAME]:['#]],9,0)</f>
        <v>4</v>
      </c>
      <c r="L122" s="28">
        <f>VLOOKUP(Table106[[#This Row],[NAME]],KCR_H[[NAME]:['#]],10,0)</f>
        <v>0</v>
      </c>
      <c r="M122" s="28">
        <f>VLOOKUP(Table106[[#This Row],[NAME]],KCR_H[[NAME]:['#]],11,0)</f>
        <v>2</v>
      </c>
      <c r="N122" s="28">
        <f>VLOOKUP(Table106[[#This Row],[NAME]],KCR_H[[NAME]:['#]],12,0)</f>
        <v>8</v>
      </c>
      <c r="O122" s="28">
        <f>VLOOKUP(Table106[[#This Row],[NAME]],KCR_H[[NAME]:['#]],13,0)</f>
        <v>6</v>
      </c>
      <c r="P122" s="28">
        <f>VLOOKUP(Table106[[#This Row],[NAME]],KCR_H[[NAME]:['#]],14,0)</f>
        <v>28</v>
      </c>
      <c r="Q122" s="77">
        <f>VLOOKUP(Table106[[#This Row],[NAME]],KCR_H[[NAME]:['#]],15,0)</f>
        <v>0</v>
      </c>
      <c r="R122" s="28">
        <f>VLOOKUP(Table106[[#This Row],[NAME]],KCR_H[[NAME]:['#]],16,0)</f>
        <v>0</v>
      </c>
      <c r="S122" s="28">
        <f>VLOOKUP(Table106[[#This Row],[NAME]],KCR_H[[NAME]:['#]],17,0)</f>
        <v>5</v>
      </c>
      <c r="T122" s="77">
        <f>VLOOKUP(Table106[[#This Row],[NAME]],KCR_H[[NAME]:['#]],18,0)</f>
        <v>35</v>
      </c>
      <c r="U122" s="72">
        <f>VLOOKUP(Table106[[#This Row],[NAME]],KCR_H[[NAME]:['#]],19,0)</f>
        <v>0.63017429193899788</v>
      </c>
      <c r="V122" s="28">
        <f>VLOOKUP(Table106[[#This Row],[NAME]],KCR_H[[NAME]:['#]],20,0)</f>
        <v>1</v>
      </c>
      <c r="W122" s="75">
        <v>120</v>
      </c>
      <c r="Z122" s="101" t="s">
        <v>502</v>
      </c>
      <c r="AA122" s="77" t="s">
        <v>166</v>
      </c>
      <c r="AB122" s="77" t="s">
        <v>508</v>
      </c>
      <c r="AC122" s="130">
        <v>0.33112582781456956</v>
      </c>
      <c r="AD122" s="72">
        <v>0.41279069767441862</v>
      </c>
      <c r="AE122" s="72">
        <v>0.54966887417218546</v>
      </c>
      <c r="AF122" s="77">
        <v>38</v>
      </c>
      <c r="AG122" s="28">
        <v>151</v>
      </c>
      <c r="AH122" s="28">
        <v>25</v>
      </c>
      <c r="AI122" s="28">
        <v>50</v>
      </c>
      <c r="AJ122" s="28">
        <v>12</v>
      </c>
      <c r="AK122" s="76">
        <v>6</v>
      </c>
      <c r="AL122" s="28">
        <v>3</v>
      </c>
      <c r="AM122" s="28">
        <v>18</v>
      </c>
      <c r="AN122" s="28">
        <v>21</v>
      </c>
      <c r="AO122" s="28">
        <v>29</v>
      </c>
      <c r="AP122" s="77">
        <v>0</v>
      </c>
      <c r="AQ122" s="28">
        <v>11</v>
      </c>
      <c r="AR122" s="28">
        <v>11</v>
      </c>
      <c r="AS122" s="77">
        <v>83</v>
      </c>
      <c r="AT122" s="72">
        <v>0.96245957184660402</v>
      </c>
      <c r="AU122" s="28">
        <v>2</v>
      </c>
      <c r="AV122" s="75">
        <v>120</v>
      </c>
      <c r="AY122" s="101" t="s">
        <v>502</v>
      </c>
      <c r="AZ122" s="77" t="s">
        <v>166</v>
      </c>
      <c r="BA122" s="77" t="s">
        <v>508</v>
      </c>
      <c r="BB122" s="130">
        <v>0.33576642335766421</v>
      </c>
      <c r="BC122" s="72">
        <v>0.40909090909090912</v>
      </c>
      <c r="BD122" s="72">
        <v>0.48175182481751827</v>
      </c>
      <c r="BE122" s="77">
        <v>38</v>
      </c>
      <c r="BF122" s="28">
        <v>137</v>
      </c>
      <c r="BG122" s="28">
        <v>18</v>
      </c>
      <c r="BH122" s="28">
        <v>46</v>
      </c>
      <c r="BI122" s="28">
        <v>4</v>
      </c>
      <c r="BJ122" s="28">
        <v>2</v>
      </c>
      <c r="BK122" s="28">
        <v>4</v>
      </c>
      <c r="BL122" s="28">
        <v>19</v>
      </c>
      <c r="BM122" s="28">
        <v>17</v>
      </c>
      <c r="BN122" s="28">
        <v>24</v>
      </c>
      <c r="BO122" s="77">
        <v>0</v>
      </c>
      <c r="BP122" s="28">
        <v>0</v>
      </c>
      <c r="BQ122" s="28">
        <v>6</v>
      </c>
      <c r="BR122" s="77">
        <v>66</v>
      </c>
      <c r="BS122" s="72">
        <v>0.89084273390842739</v>
      </c>
      <c r="BT122" s="28">
        <v>1</v>
      </c>
      <c r="BU122" s="75">
        <v>120</v>
      </c>
    </row>
    <row r="123" spans="1:73">
      <c r="A123" s="101" t="s">
        <v>502</v>
      </c>
      <c r="B123" s="71" t="s">
        <v>168</v>
      </c>
      <c r="C123" s="71" t="s">
        <v>510</v>
      </c>
      <c r="D123" s="72">
        <f>VLOOKUP(Table106[[#This Row],[NAME]],KCR_H[[NAME]:['#]],2,0)</f>
        <v>0.19858156028368795</v>
      </c>
      <c r="E123" s="72">
        <f>VLOOKUP(Table106[[#This Row],[NAME]],KCR_H[[NAME]:['#]],3,0)</f>
        <v>0.27564102564102566</v>
      </c>
      <c r="F123" s="72">
        <f>VLOOKUP(Table106[[#This Row],[NAME]],KCR_H[[NAME]:['#]],4,0)</f>
        <v>0.43971631205673761</v>
      </c>
      <c r="G123" s="77">
        <f>VLOOKUP(Table106[[#This Row],[NAME]],KCR_H[[NAME]:['#]],5,0)</f>
        <v>40</v>
      </c>
      <c r="H123" s="28">
        <f>VLOOKUP(Table106[[#This Row],[NAME]],KCR_H[[NAME]:['#]],6,0)</f>
        <v>141</v>
      </c>
      <c r="I123" s="28">
        <f>VLOOKUP(Table106[[#This Row],[NAME]],KCR_H[[NAME]:['#]],7,0)</f>
        <v>19</v>
      </c>
      <c r="J123" s="28">
        <f>VLOOKUP(Table106[[#This Row],[NAME]],KCR_H[[NAME]:['#]],8,0)</f>
        <v>28</v>
      </c>
      <c r="K123" s="28">
        <f>VLOOKUP(Table106[[#This Row],[NAME]],KCR_H[[NAME]:['#]],9,0)</f>
        <v>7</v>
      </c>
      <c r="L123" s="28">
        <f>VLOOKUP(Table106[[#This Row],[NAME]],KCR_H[[NAME]:['#]],10,0)</f>
        <v>0</v>
      </c>
      <c r="M123" s="28">
        <f>VLOOKUP(Table106[[#This Row],[NAME]],KCR_H[[NAME]:['#]],11,0)</f>
        <v>9</v>
      </c>
      <c r="N123" s="28">
        <f>VLOOKUP(Table106[[#This Row],[NAME]],KCR_H[[NAME]:['#]],12,0)</f>
        <v>25</v>
      </c>
      <c r="O123" s="28">
        <f>VLOOKUP(Table106[[#This Row],[NAME]],KCR_H[[NAME]:['#]],13,0)</f>
        <v>15</v>
      </c>
      <c r="P123" s="28">
        <f>VLOOKUP(Table106[[#This Row],[NAME]],KCR_H[[NAME]:['#]],14,0)</f>
        <v>54</v>
      </c>
      <c r="Q123" s="77">
        <f>VLOOKUP(Table106[[#This Row],[NAME]],KCR_H[[NAME]:['#]],15,0)</f>
        <v>0</v>
      </c>
      <c r="R123" s="28">
        <f>VLOOKUP(Table106[[#This Row],[NAME]],KCR_H[[NAME]:['#]],16,0)</f>
        <v>1</v>
      </c>
      <c r="S123" s="28">
        <f>VLOOKUP(Table106[[#This Row],[NAME]],KCR_H[[NAME]:['#]],17,0)</f>
        <v>5</v>
      </c>
      <c r="T123" s="77">
        <f>VLOOKUP(Table106[[#This Row],[NAME]],KCR_H[[NAME]:['#]],18,0)</f>
        <v>62</v>
      </c>
      <c r="U123" s="72">
        <f>VLOOKUP(Table106[[#This Row],[NAME]],KCR_H[[NAME]:['#]],19,0)</f>
        <v>0.71535733769776333</v>
      </c>
      <c r="V123" s="28">
        <f>VLOOKUP(Table106[[#This Row],[NAME]],KCR_H[[NAME]:['#]],20,0)</f>
        <v>5</v>
      </c>
      <c r="W123" s="75">
        <v>121</v>
      </c>
      <c r="Z123" s="101" t="s">
        <v>502</v>
      </c>
      <c r="AA123" s="77" t="s">
        <v>168</v>
      </c>
      <c r="AB123" s="77" t="s">
        <v>510</v>
      </c>
      <c r="AC123" s="130">
        <v>0.22784810126582278</v>
      </c>
      <c r="AD123" s="72">
        <v>0.28235294117647058</v>
      </c>
      <c r="AE123" s="72">
        <v>0.39873417721518989</v>
      </c>
      <c r="AF123" s="77">
        <v>38</v>
      </c>
      <c r="AG123" s="28">
        <v>158</v>
      </c>
      <c r="AH123" s="28">
        <v>21</v>
      </c>
      <c r="AI123" s="28">
        <v>36</v>
      </c>
      <c r="AJ123" s="28">
        <v>9</v>
      </c>
      <c r="AK123" s="28">
        <v>0</v>
      </c>
      <c r="AL123" s="28">
        <v>6</v>
      </c>
      <c r="AM123" s="28">
        <v>15</v>
      </c>
      <c r="AN123" s="28">
        <v>12</v>
      </c>
      <c r="AO123" s="28">
        <v>52</v>
      </c>
      <c r="AP123" s="77">
        <v>0</v>
      </c>
      <c r="AQ123" s="28">
        <v>0</v>
      </c>
      <c r="AR123" s="28">
        <v>5</v>
      </c>
      <c r="AS123" s="77">
        <v>63</v>
      </c>
      <c r="AT123" s="72">
        <v>0.68108711839166047</v>
      </c>
      <c r="AU123" s="28">
        <v>2</v>
      </c>
      <c r="AV123" s="75">
        <v>121</v>
      </c>
      <c r="AY123" s="101" t="s">
        <v>502</v>
      </c>
      <c r="AZ123" s="77" t="s">
        <v>168</v>
      </c>
      <c r="BA123" s="77" t="s">
        <v>510</v>
      </c>
      <c r="BB123" s="130">
        <v>0.24113475177304963</v>
      </c>
      <c r="BC123" s="72">
        <v>0.34756097560975607</v>
      </c>
      <c r="BD123" s="72">
        <v>0.40425531914893614</v>
      </c>
      <c r="BE123" s="77">
        <v>39</v>
      </c>
      <c r="BF123" s="28">
        <v>141</v>
      </c>
      <c r="BG123" s="28">
        <v>18</v>
      </c>
      <c r="BH123" s="28">
        <v>34</v>
      </c>
      <c r="BI123" s="28">
        <v>14</v>
      </c>
      <c r="BJ123" s="28">
        <v>0</v>
      </c>
      <c r="BK123" s="28">
        <v>3</v>
      </c>
      <c r="BL123" s="28">
        <v>15</v>
      </c>
      <c r="BM123" s="28">
        <v>23</v>
      </c>
      <c r="BN123" s="28">
        <v>35</v>
      </c>
      <c r="BO123" s="77">
        <v>0</v>
      </c>
      <c r="BP123" s="28">
        <v>0</v>
      </c>
      <c r="BQ123" s="28">
        <v>8</v>
      </c>
      <c r="BR123" s="77">
        <v>57</v>
      </c>
      <c r="BS123" s="72">
        <v>0.75181629475869216</v>
      </c>
      <c r="BT123" s="28">
        <v>1</v>
      </c>
      <c r="BU123" s="75">
        <v>121</v>
      </c>
    </row>
    <row r="124" spans="1:73">
      <c r="A124" s="101" t="s">
        <v>502</v>
      </c>
      <c r="B124" s="71" t="s">
        <v>179</v>
      </c>
      <c r="C124" s="71" t="s">
        <v>515</v>
      </c>
      <c r="D124" s="72">
        <f>VLOOKUP(Table106[[#This Row],[NAME]],KCR_H[[NAME]:['#]],2,0)</f>
        <v>0</v>
      </c>
      <c r="E124" s="72">
        <f>VLOOKUP(Table106[[#This Row],[NAME]],KCR_H[[NAME]:['#]],3,0)</f>
        <v>0</v>
      </c>
      <c r="F124" s="72">
        <f>VLOOKUP(Table106[[#This Row],[NAME]],KCR_H[[NAME]:['#]],4,0)</f>
        <v>0</v>
      </c>
      <c r="G124" s="77">
        <f>VLOOKUP(Table106[[#This Row],[NAME]],KCR_H[[NAME]:['#]],5,0)</f>
        <v>0</v>
      </c>
      <c r="H124" s="28">
        <f>VLOOKUP(Table106[[#This Row],[NAME]],KCR_H[[NAME]:['#]],6,0)</f>
        <v>0</v>
      </c>
      <c r="I124" s="28">
        <f>VLOOKUP(Table106[[#This Row],[NAME]],KCR_H[[NAME]:['#]],7,0)</f>
        <v>0</v>
      </c>
      <c r="J124" s="28">
        <f>VLOOKUP(Table106[[#This Row],[NAME]],KCR_H[[NAME]:['#]],8,0)</f>
        <v>0</v>
      </c>
      <c r="K124" s="28">
        <f>VLOOKUP(Table106[[#This Row],[NAME]],KCR_H[[NAME]:['#]],9,0)</f>
        <v>0</v>
      </c>
      <c r="L124" s="28">
        <f>VLOOKUP(Table106[[#This Row],[NAME]],KCR_H[[NAME]:['#]],10,0)</f>
        <v>0</v>
      </c>
      <c r="M124" s="28">
        <f>VLOOKUP(Table106[[#This Row],[NAME]],KCR_H[[NAME]:['#]],11,0)</f>
        <v>0</v>
      </c>
      <c r="N124" s="28">
        <f>VLOOKUP(Table106[[#This Row],[NAME]],KCR_H[[NAME]:['#]],12,0)</f>
        <v>0</v>
      </c>
      <c r="O124" s="28">
        <f>VLOOKUP(Table106[[#This Row],[NAME]],KCR_H[[NAME]:['#]],13,0)</f>
        <v>0</v>
      </c>
      <c r="P124" s="28">
        <f>VLOOKUP(Table106[[#This Row],[NAME]],KCR_H[[NAME]:['#]],14,0)</f>
        <v>0</v>
      </c>
      <c r="Q124" s="77">
        <f>VLOOKUP(Table106[[#This Row],[NAME]],KCR_H[[NAME]:['#]],15,0)</f>
        <v>0</v>
      </c>
      <c r="R124" s="28">
        <f>VLOOKUP(Table106[[#This Row],[NAME]],KCR_H[[NAME]:['#]],16,0)</f>
        <v>0</v>
      </c>
      <c r="S124" s="28">
        <f>VLOOKUP(Table106[[#This Row],[NAME]],KCR_H[[NAME]:['#]],17,0)</f>
        <v>0</v>
      </c>
      <c r="T124" s="77">
        <f>VLOOKUP(Table106[[#This Row],[NAME]],KCR_H[[NAME]:['#]],18,0)</f>
        <v>0</v>
      </c>
      <c r="U124" s="72">
        <f>VLOOKUP(Table106[[#This Row],[NAME]],KCR_H[[NAME]:['#]],19,0)</f>
        <v>0</v>
      </c>
      <c r="V124" s="28">
        <f>VLOOKUP(Table106[[#This Row],[NAME]],KCR_H[[NAME]:['#]],20,0)</f>
        <v>0</v>
      </c>
      <c r="W124" s="75">
        <v>122</v>
      </c>
      <c r="Z124" s="101" t="s">
        <v>502</v>
      </c>
      <c r="AA124" s="77" t="s">
        <v>179</v>
      </c>
      <c r="AB124" s="77" t="s">
        <v>515</v>
      </c>
      <c r="AC124" s="130">
        <v>0.33333333333333331</v>
      </c>
      <c r="AD124" s="72">
        <v>0.36842105263157893</v>
      </c>
      <c r="AE124" s="72">
        <v>0.5</v>
      </c>
      <c r="AF124" s="77">
        <v>6</v>
      </c>
      <c r="AG124" s="28">
        <v>18</v>
      </c>
      <c r="AH124" s="28">
        <v>3</v>
      </c>
      <c r="AI124" s="28">
        <v>6</v>
      </c>
      <c r="AJ124" s="28">
        <v>0</v>
      </c>
      <c r="AK124" s="28">
        <v>0</v>
      </c>
      <c r="AL124" s="28">
        <v>1</v>
      </c>
      <c r="AM124" s="28">
        <v>4</v>
      </c>
      <c r="AN124" s="28">
        <v>1</v>
      </c>
      <c r="AO124" s="28">
        <v>3</v>
      </c>
      <c r="AP124" s="77">
        <v>0</v>
      </c>
      <c r="AQ124" s="28">
        <v>0</v>
      </c>
      <c r="AR124" s="28">
        <v>4</v>
      </c>
      <c r="AS124" s="77">
        <v>9</v>
      </c>
      <c r="AT124" s="72">
        <v>0.86842105263157898</v>
      </c>
      <c r="AU124" s="28">
        <v>0</v>
      </c>
      <c r="AV124" s="75">
        <v>122</v>
      </c>
      <c r="AY124" s="101" t="s">
        <v>502</v>
      </c>
      <c r="AZ124" s="77" t="s">
        <v>179</v>
      </c>
      <c r="BA124" s="77" t="s">
        <v>515</v>
      </c>
      <c r="BB124" s="130">
        <v>0.14285714285714285</v>
      </c>
      <c r="BC124" s="72">
        <v>0.25</v>
      </c>
      <c r="BD124" s="72">
        <v>0.14285714285714285</v>
      </c>
      <c r="BE124" s="77">
        <v>5</v>
      </c>
      <c r="BF124" s="28">
        <v>7</v>
      </c>
      <c r="BG124" s="28">
        <v>2</v>
      </c>
      <c r="BH124" s="28">
        <v>1</v>
      </c>
      <c r="BI124" s="28">
        <v>0</v>
      </c>
      <c r="BJ124" s="28">
        <v>0</v>
      </c>
      <c r="BK124" s="28">
        <v>0</v>
      </c>
      <c r="BL124" s="28">
        <v>0</v>
      </c>
      <c r="BM124" s="28">
        <v>1</v>
      </c>
      <c r="BN124" s="28">
        <v>0</v>
      </c>
      <c r="BO124" s="77">
        <v>0</v>
      </c>
      <c r="BP124" s="28">
        <v>0</v>
      </c>
      <c r="BQ124" s="28">
        <v>1</v>
      </c>
      <c r="BR124" s="77">
        <v>1</v>
      </c>
      <c r="BS124" s="72">
        <v>0.39285714285714285</v>
      </c>
      <c r="BT124" s="28">
        <v>0</v>
      </c>
      <c r="BU124" s="75">
        <v>122</v>
      </c>
    </row>
    <row r="125" spans="1:73">
      <c r="A125" s="101" t="s">
        <v>502</v>
      </c>
      <c r="B125" s="71" t="s">
        <v>187</v>
      </c>
      <c r="C125" s="71" t="s">
        <v>514</v>
      </c>
      <c r="D125" s="72">
        <f>VLOOKUP(Table106[[#This Row],[NAME]],KCR_H[[NAME]:['#]],2,0)</f>
        <v>0.14285714285714285</v>
      </c>
      <c r="E125" s="72">
        <f>VLOOKUP(Table106[[#This Row],[NAME]],KCR_H[[NAME]:['#]],3,0)</f>
        <v>0.33333333333333331</v>
      </c>
      <c r="F125" s="72">
        <f>VLOOKUP(Table106[[#This Row],[NAME]],KCR_H[[NAME]:['#]],4,0)</f>
        <v>0.14285714285714285</v>
      </c>
      <c r="G125" s="77">
        <f>VLOOKUP(Table106[[#This Row],[NAME]],KCR_H[[NAME]:['#]],5,0)</f>
        <v>4</v>
      </c>
      <c r="H125" s="28">
        <f>VLOOKUP(Table106[[#This Row],[NAME]],KCR_H[[NAME]:['#]],6,0)</f>
        <v>7</v>
      </c>
      <c r="I125" s="28">
        <f>VLOOKUP(Table106[[#This Row],[NAME]],KCR_H[[NAME]:['#]],7,0)</f>
        <v>2</v>
      </c>
      <c r="J125" s="28">
        <f>VLOOKUP(Table106[[#This Row],[NAME]],KCR_H[[NAME]:['#]],8,0)</f>
        <v>1</v>
      </c>
      <c r="K125" s="28">
        <f>VLOOKUP(Table106[[#This Row],[NAME]],KCR_H[[NAME]:['#]],9,0)</f>
        <v>0</v>
      </c>
      <c r="L125" s="28">
        <f>VLOOKUP(Table106[[#This Row],[NAME]],KCR_H[[NAME]:['#]],10,0)</f>
        <v>0</v>
      </c>
      <c r="M125" s="28">
        <f>VLOOKUP(Table106[[#This Row],[NAME]],KCR_H[[NAME]:['#]],11,0)</f>
        <v>0</v>
      </c>
      <c r="N125" s="28">
        <f>VLOOKUP(Table106[[#This Row],[NAME]],KCR_H[[NAME]:['#]],12,0)</f>
        <v>0</v>
      </c>
      <c r="O125" s="28">
        <f>VLOOKUP(Table106[[#This Row],[NAME]],KCR_H[[NAME]:['#]],13,0)</f>
        <v>2</v>
      </c>
      <c r="P125" s="28">
        <f>VLOOKUP(Table106[[#This Row],[NAME]],KCR_H[[NAME]:['#]],14,0)</f>
        <v>3</v>
      </c>
      <c r="Q125" s="77">
        <f>VLOOKUP(Table106[[#This Row],[NAME]],KCR_H[[NAME]:['#]],15,0)</f>
        <v>2</v>
      </c>
      <c r="R125" s="28">
        <f>VLOOKUP(Table106[[#This Row],[NAME]],KCR_H[[NAME]:['#]],16,0)</f>
        <v>1</v>
      </c>
      <c r="S125" s="28">
        <f>VLOOKUP(Table106[[#This Row],[NAME]],KCR_H[[NAME]:['#]],17,0)</f>
        <v>1</v>
      </c>
      <c r="T125" s="77">
        <f>VLOOKUP(Table106[[#This Row],[NAME]],KCR_H[[NAME]:['#]],18,0)</f>
        <v>1</v>
      </c>
      <c r="U125" s="72">
        <f>VLOOKUP(Table106[[#This Row],[NAME]],KCR_H[[NAME]:['#]],19,0)</f>
        <v>0.47619047619047616</v>
      </c>
      <c r="V125" s="28">
        <f>VLOOKUP(Table106[[#This Row],[NAME]],KCR_H[[NAME]:['#]],20,0)</f>
        <v>0</v>
      </c>
      <c r="W125" s="75">
        <v>123</v>
      </c>
      <c r="Z125" s="101" t="s">
        <v>502</v>
      </c>
      <c r="AA125" s="77" t="s">
        <v>187</v>
      </c>
      <c r="AB125" s="77" t="s">
        <v>514</v>
      </c>
      <c r="AC125" s="130">
        <v>0.14814814814814814</v>
      </c>
      <c r="AD125" s="72">
        <v>0.14814814814814814</v>
      </c>
      <c r="AE125" s="72">
        <v>0.37037037037037035</v>
      </c>
      <c r="AF125" s="77">
        <v>8</v>
      </c>
      <c r="AG125" s="28">
        <v>27</v>
      </c>
      <c r="AH125" s="28">
        <v>3</v>
      </c>
      <c r="AI125" s="28">
        <v>4</v>
      </c>
      <c r="AJ125" s="28">
        <v>1</v>
      </c>
      <c r="AK125" s="28">
        <v>1</v>
      </c>
      <c r="AL125" s="28">
        <v>1</v>
      </c>
      <c r="AM125" s="28">
        <v>3</v>
      </c>
      <c r="AN125" s="28">
        <v>0</v>
      </c>
      <c r="AO125" s="28">
        <v>13</v>
      </c>
      <c r="AP125" s="77">
        <v>0</v>
      </c>
      <c r="AQ125" s="28">
        <v>2</v>
      </c>
      <c r="AR125" s="28">
        <v>2</v>
      </c>
      <c r="AS125" s="77">
        <v>10</v>
      </c>
      <c r="AT125" s="72">
        <v>0.51851851851851849</v>
      </c>
      <c r="AU125" s="28">
        <v>0</v>
      </c>
      <c r="AV125" s="75">
        <v>123</v>
      </c>
      <c r="AY125" s="101" t="s">
        <v>502</v>
      </c>
      <c r="AZ125" s="77" t="s">
        <v>187</v>
      </c>
      <c r="BA125" s="77" t="s">
        <v>516</v>
      </c>
      <c r="BB125" s="130">
        <v>0.24</v>
      </c>
      <c r="BC125" s="72">
        <v>0.29629629629629628</v>
      </c>
      <c r="BD125" s="72">
        <v>0.28000000000000003</v>
      </c>
      <c r="BE125" s="77">
        <v>12</v>
      </c>
      <c r="BF125" s="28">
        <v>25</v>
      </c>
      <c r="BG125" s="28">
        <v>5</v>
      </c>
      <c r="BH125" s="28">
        <v>6</v>
      </c>
      <c r="BI125" s="28">
        <v>1</v>
      </c>
      <c r="BJ125" s="28">
        <v>0</v>
      </c>
      <c r="BK125" s="28">
        <v>0</v>
      </c>
      <c r="BL125" s="28">
        <v>3</v>
      </c>
      <c r="BM125" s="28">
        <v>2</v>
      </c>
      <c r="BN125" s="28">
        <v>3</v>
      </c>
      <c r="BO125" s="77">
        <v>0</v>
      </c>
      <c r="BP125" s="28">
        <v>0</v>
      </c>
      <c r="BQ125" s="28">
        <v>2</v>
      </c>
      <c r="BR125" s="77">
        <v>7</v>
      </c>
      <c r="BS125" s="72">
        <v>0.57629629629629631</v>
      </c>
      <c r="BT125" s="28">
        <v>0</v>
      </c>
      <c r="BU125" s="75">
        <v>123</v>
      </c>
    </row>
    <row r="126" spans="1:73">
      <c r="A126" s="101" t="s">
        <v>502</v>
      </c>
      <c r="B126" s="71" t="s">
        <v>186</v>
      </c>
      <c r="C126" s="71" t="s">
        <v>517</v>
      </c>
      <c r="D126" s="72">
        <f>VLOOKUP(Table106[[#This Row],[NAME]],KCR_H[[NAME]:['#]],2,0)</f>
        <v>0</v>
      </c>
      <c r="E126" s="72">
        <f>VLOOKUP(Table106[[#This Row],[NAME]],KCR_H[[NAME]:['#]],3,0)</f>
        <v>0</v>
      </c>
      <c r="F126" s="72">
        <f>VLOOKUP(Table106[[#This Row],[NAME]],KCR_H[[NAME]:['#]],4,0)</f>
        <v>0</v>
      </c>
      <c r="G126" s="77">
        <f>VLOOKUP(Table106[[#This Row],[NAME]],KCR_H[[NAME]:['#]],5,0)</f>
        <v>3</v>
      </c>
      <c r="H126" s="28">
        <f>VLOOKUP(Table106[[#This Row],[NAME]],KCR_H[[NAME]:['#]],6,0)</f>
        <v>7</v>
      </c>
      <c r="I126" s="28">
        <f>VLOOKUP(Table106[[#This Row],[NAME]],KCR_H[[NAME]:['#]],7,0)</f>
        <v>0</v>
      </c>
      <c r="J126" s="28">
        <f>VLOOKUP(Table106[[#This Row],[NAME]],KCR_H[[NAME]:['#]],8,0)</f>
        <v>0</v>
      </c>
      <c r="K126" s="28">
        <f>VLOOKUP(Table106[[#This Row],[NAME]],KCR_H[[NAME]:['#]],9,0)</f>
        <v>0</v>
      </c>
      <c r="L126" s="28">
        <f>VLOOKUP(Table106[[#This Row],[NAME]],KCR_H[[NAME]:['#]],10,0)</f>
        <v>0</v>
      </c>
      <c r="M126" s="28">
        <f>VLOOKUP(Table106[[#This Row],[NAME]],KCR_H[[NAME]:['#]],11,0)</f>
        <v>0</v>
      </c>
      <c r="N126" s="28">
        <f>VLOOKUP(Table106[[#This Row],[NAME]],KCR_H[[NAME]:['#]],12,0)</f>
        <v>0</v>
      </c>
      <c r="O126" s="28">
        <f>VLOOKUP(Table106[[#This Row],[NAME]],KCR_H[[NAME]:['#]],13,0)</f>
        <v>0</v>
      </c>
      <c r="P126" s="28">
        <f>VLOOKUP(Table106[[#This Row],[NAME]],KCR_H[[NAME]:['#]],14,0)</f>
        <v>3</v>
      </c>
      <c r="Q126" s="77">
        <f>VLOOKUP(Table106[[#This Row],[NAME]],KCR_H[[NAME]:['#]],15,0)</f>
        <v>0</v>
      </c>
      <c r="R126" s="28">
        <f>VLOOKUP(Table106[[#This Row],[NAME]],KCR_H[[NAME]:['#]],16,0)</f>
        <v>0</v>
      </c>
      <c r="S126" s="28">
        <f>VLOOKUP(Table106[[#This Row],[NAME]],KCR_H[[NAME]:['#]],17,0)</f>
        <v>0</v>
      </c>
      <c r="T126" s="77">
        <f>VLOOKUP(Table106[[#This Row],[NAME]],KCR_H[[NAME]:['#]],18,0)</f>
        <v>0</v>
      </c>
      <c r="U126" s="72">
        <f>VLOOKUP(Table106[[#This Row],[NAME]],KCR_H[[NAME]:['#]],19,0)</f>
        <v>0</v>
      </c>
      <c r="V126" s="28">
        <f>VLOOKUP(Table106[[#This Row],[NAME]],KCR_H[[NAME]:['#]],20,0)</f>
        <v>0</v>
      </c>
      <c r="W126" s="75">
        <v>124</v>
      </c>
      <c r="Z126" s="101" t="s">
        <v>502</v>
      </c>
      <c r="AA126" s="77" t="s">
        <v>187</v>
      </c>
      <c r="AB126" s="77" t="s">
        <v>512</v>
      </c>
      <c r="AC126" s="130">
        <v>0.14285714285714285</v>
      </c>
      <c r="AD126" s="72">
        <v>0.14285714285714285</v>
      </c>
      <c r="AE126" s="72">
        <v>0.14285714285714285</v>
      </c>
      <c r="AF126" s="77">
        <v>5</v>
      </c>
      <c r="AG126" s="28">
        <v>21</v>
      </c>
      <c r="AH126" s="28">
        <v>1</v>
      </c>
      <c r="AI126" s="28">
        <v>3</v>
      </c>
      <c r="AJ126" s="28">
        <v>0</v>
      </c>
      <c r="AK126" s="28">
        <v>0</v>
      </c>
      <c r="AL126" s="28">
        <v>0</v>
      </c>
      <c r="AM126" s="28">
        <v>1</v>
      </c>
      <c r="AN126" s="28">
        <v>0</v>
      </c>
      <c r="AO126" s="28">
        <v>9</v>
      </c>
      <c r="AP126" s="77">
        <v>0</v>
      </c>
      <c r="AQ126" s="28">
        <v>2</v>
      </c>
      <c r="AR126" s="28">
        <v>2</v>
      </c>
      <c r="AS126" s="77">
        <v>3</v>
      </c>
      <c r="AT126" s="72">
        <v>0.2857142857142857</v>
      </c>
      <c r="AU126" s="28">
        <v>0</v>
      </c>
      <c r="AV126" s="75">
        <v>124</v>
      </c>
      <c r="AY126" s="101" t="s">
        <v>502</v>
      </c>
      <c r="AZ126" s="77" t="s">
        <v>192</v>
      </c>
      <c r="BA126" s="77" t="s">
        <v>511</v>
      </c>
      <c r="BB126" s="130">
        <v>0.33333333333333331</v>
      </c>
      <c r="BC126" s="72">
        <v>0.33333333333333331</v>
      </c>
      <c r="BD126" s="72">
        <v>0.77777777777777779</v>
      </c>
      <c r="BE126" s="77">
        <v>2</v>
      </c>
      <c r="BF126" s="28">
        <v>9</v>
      </c>
      <c r="BG126" s="28">
        <v>2</v>
      </c>
      <c r="BH126" s="28">
        <v>3</v>
      </c>
      <c r="BI126" s="28">
        <v>1</v>
      </c>
      <c r="BJ126" s="28">
        <v>0</v>
      </c>
      <c r="BK126" s="28">
        <v>1</v>
      </c>
      <c r="BL126" s="28">
        <v>1</v>
      </c>
      <c r="BM126" s="28">
        <v>0</v>
      </c>
      <c r="BN126" s="28">
        <v>3</v>
      </c>
      <c r="BO126" s="77">
        <v>0</v>
      </c>
      <c r="BP126" s="28">
        <v>2</v>
      </c>
      <c r="BQ126" s="28">
        <v>2</v>
      </c>
      <c r="BR126" s="77">
        <v>7</v>
      </c>
      <c r="BS126" s="72">
        <v>1.1111111111111112</v>
      </c>
      <c r="BT126" s="28">
        <v>0</v>
      </c>
      <c r="BU126" s="75">
        <v>124</v>
      </c>
    </row>
    <row r="127" spans="1:73">
      <c r="A127" s="101" t="s">
        <v>502</v>
      </c>
      <c r="B127" s="71" t="s">
        <v>184</v>
      </c>
      <c r="C127" s="71" t="s">
        <v>513</v>
      </c>
      <c r="D127" s="72">
        <f>VLOOKUP(Table106[[#This Row],[NAME]],KCR_H[[NAME]:['#]],2,0)</f>
        <v>0.13953488372093023</v>
      </c>
      <c r="E127" s="72">
        <f>VLOOKUP(Table106[[#This Row],[NAME]],KCR_H[[NAME]:['#]],3,0)</f>
        <v>0.15909090909090909</v>
      </c>
      <c r="F127" s="72">
        <f>VLOOKUP(Table106[[#This Row],[NAME]],KCR_H[[NAME]:['#]],4,0)</f>
        <v>0.16279069767441862</v>
      </c>
      <c r="G127" s="77">
        <f>VLOOKUP(Table106[[#This Row],[NAME]],KCR_H[[NAME]:['#]],5,0)</f>
        <v>12</v>
      </c>
      <c r="H127" s="28">
        <f>VLOOKUP(Table106[[#This Row],[NAME]],KCR_H[[NAME]:['#]],6,0)</f>
        <v>43</v>
      </c>
      <c r="I127" s="28">
        <f>VLOOKUP(Table106[[#This Row],[NAME]],KCR_H[[NAME]:['#]],7,0)</f>
        <v>1</v>
      </c>
      <c r="J127" s="28">
        <f>VLOOKUP(Table106[[#This Row],[NAME]],KCR_H[[NAME]:['#]],8,0)</f>
        <v>6</v>
      </c>
      <c r="K127" s="28">
        <f>VLOOKUP(Table106[[#This Row],[NAME]],KCR_H[[NAME]:['#]],9,0)</f>
        <v>1</v>
      </c>
      <c r="L127" s="28">
        <f>VLOOKUP(Table106[[#This Row],[NAME]],KCR_H[[NAME]:['#]],10,0)</f>
        <v>0</v>
      </c>
      <c r="M127" s="28">
        <f>VLOOKUP(Table106[[#This Row],[NAME]],KCR_H[[NAME]:['#]],11,0)</f>
        <v>0</v>
      </c>
      <c r="N127" s="28">
        <f>VLOOKUP(Table106[[#This Row],[NAME]],KCR_H[[NAME]:['#]],12,0)</f>
        <v>0</v>
      </c>
      <c r="O127" s="28">
        <f>VLOOKUP(Table106[[#This Row],[NAME]],KCR_H[[NAME]:['#]],13,0)</f>
        <v>1</v>
      </c>
      <c r="P127" s="28">
        <f>VLOOKUP(Table106[[#This Row],[NAME]],KCR_H[[NAME]:['#]],14,0)</f>
        <v>17</v>
      </c>
      <c r="Q127" s="77">
        <f>VLOOKUP(Table106[[#This Row],[NAME]],KCR_H[[NAME]:['#]],15,0)</f>
        <v>0</v>
      </c>
      <c r="R127" s="28">
        <f>VLOOKUP(Table106[[#This Row],[NAME]],KCR_H[[NAME]:['#]],16,0)</f>
        <v>2</v>
      </c>
      <c r="S127" s="28">
        <f>VLOOKUP(Table106[[#This Row],[NAME]],KCR_H[[NAME]:['#]],17,0)</f>
        <v>2</v>
      </c>
      <c r="T127" s="77">
        <f>VLOOKUP(Table106[[#This Row],[NAME]],KCR_H[[NAME]:['#]],18,0)</f>
        <v>7</v>
      </c>
      <c r="U127" s="72">
        <f>VLOOKUP(Table106[[#This Row],[NAME]],KCR_H[[NAME]:['#]],19,0)</f>
        <v>0.32188160676532773</v>
      </c>
      <c r="V127" s="28">
        <f>VLOOKUP(Table106[[#This Row],[NAME]],KCR_H[[NAME]:['#]],20,0)</f>
        <v>0</v>
      </c>
      <c r="W127" s="75">
        <v>125</v>
      </c>
      <c r="Z127" s="101" t="s">
        <v>502</v>
      </c>
      <c r="AA127" s="77" t="s">
        <v>184</v>
      </c>
      <c r="AB127" s="77" t="s">
        <v>517</v>
      </c>
      <c r="AC127" s="130">
        <v>0.16666666666666666</v>
      </c>
      <c r="AD127" s="72">
        <v>0.25</v>
      </c>
      <c r="AE127" s="72">
        <v>0.22222222222222221</v>
      </c>
      <c r="AF127" s="77">
        <v>5</v>
      </c>
      <c r="AG127" s="28">
        <v>18</v>
      </c>
      <c r="AH127" s="28">
        <v>3</v>
      </c>
      <c r="AI127" s="28">
        <v>3</v>
      </c>
      <c r="AJ127" s="28">
        <v>1</v>
      </c>
      <c r="AK127" s="28">
        <v>0</v>
      </c>
      <c r="AL127" s="28">
        <v>0</v>
      </c>
      <c r="AM127" s="28">
        <v>4</v>
      </c>
      <c r="AN127" s="28">
        <v>2</v>
      </c>
      <c r="AO127" s="28">
        <v>9</v>
      </c>
      <c r="AP127" s="77">
        <v>0</v>
      </c>
      <c r="AQ127" s="28">
        <v>2</v>
      </c>
      <c r="AR127" s="28">
        <v>2</v>
      </c>
      <c r="AS127" s="77">
        <v>4</v>
      </c>
      <c r="AT127" s="72">
        <v>0.47222222222222221</v>
      </c>
      <c r="AU127" s="28">
        <v>1</v>
      </c>
      <c r="AV127" s="75">
        <v>125</v>
      </c>
      <c r="AY127" s="101" t="s">
        <v>502</v>
      </c>
      <c r="AZ127" s="77" t="s">
        <v>187</v>
      </c>
      <c r="BA127" s="77" t="s">
        <v>514</v>
      </c>
      <c r="BB127" s="130">
        <v>0.21568627450980393</v>
      </c>
      <c r="BC127" s="72">
        <v>0.23076923076923078</v>
      </c>
      <c r="BD127" s="72">
        <v>0.25490196078431371</v>
      </c>
      <c r="BE127" s="77">
        <v>15</v>
      </c>
      <c r="BF127" s="28">
        <v>51</v>
      </c>
      <c r="BG127" s="28">
        <v>4</v>
      </c>
      <c r="BH127" s="28">
        <v>11</v>
      </c>
      <c r="BI127" s="28">
        <v>2</v>
      </c>
      <c r="BJ127" s="28">
        <v>0</v>
      </c>
      <c r="BK127" s="28">
        <v>0</v>
      </c>
      <c r="BL127" s="28">
        <v>4</v>
      </c>
      <c r="BM127" s="28">
        <v>1</v>
      </c>
      <c r="BN127" s="28">
        <v>16</v>
      </c>
      <c r="BO127" s="77">
        <v>5</v>
      </c>
      <c r="BP127" s="28">
        <v>2</v>
      </c>
      <c r="BQ127" s="28">
        <v>4</v>
      </c>
      <c r="BR127" s="77">
        <v>13</v>
      </c>
      <c r="BS127" s="72">
        <v>0.48567119155354449</v>
      </c>
      <c r="BT127" s="28">
        <v>0</v>
      </c>
      <c r="BU127" s="75">
        <v>125</v>
      </c>
    </row>
    <row r="128" spans="1:73">
      <c r="A128" s="101" t="s">
        <v>502</v>
      </c>
      <c r="B128" s="71" t="s">
        <v>184</v>
      </c>
      <c r="C128" s="71" t="s">
        <v>520</v>
      </c>
      <c r="D128" s="72">
        <f>VLOOKUP(Table106[[#This Row],[NAME]],KCR_H[[NAME]:['#]],2,0)</f>
        <v>0</v>
      </c>
      <c r="E128" s="72">
        <f>VLOOKUP(Table106[[#This Row],[NAME]],KCR_H[[NAME]:['#]],3,0)</f>
        <v>0</v>
      </c>
      <c r="F128" s="72">
        <f>VLOOKUP(Table106[[#This Row],[NAME]],KCR_H[[NAME]:['#]],4,0)</f>
        <v>0</v>
      </c>
      <c r="G128" s="77">
        <f>VLOOKUP(Table106[[#This Row],[NAME]],KCR_H[[NAME]:['#]],5,0)</f>
        <v>0</v>
      </c>
      <c r="H128" s="28">
        <f>VLOOKUP(Table106[[#This Row],[NAME]],KCR_H[[NAME]:['#]],6,0)</f>
        <v>0</v>
      </c>
      <c r="I128" s="28">
        <f>VLOOKUP(Table106[[#This Row],[NAME]],KCR_H[[NAME]:['#]],7,0)</f>
        <v>0</v>
      </c>
      <c r="J128" s="28">
        <f>VLOOKUP(Table106[[#This Row],[NAME]],KCR_H[[NAME]:['#]],8,0)</f>
        <v>0</v>
      </c>
      <c r="K128" s="28">
        <f>VLOOKUP(Table106[[#This Row],[NAME]],KCR_H[[NAME]:['#]],9,0)</f>
        <v>0</v>
      </c>
      <c r="L128" s="28">
        <f>VLOOKUP(Table106[[#This Row],[NAME]],KCR_H[[NAME]:['#]],10,0)</f>
        <v>0</v>
      </c>
      <c r="M128" s="28">
        <f>VLOOKUP(Table106[[#This Row],[NAME]],KCR_H[[NAME]:['#]],11,0)</f>
        <v>0</v>
      </c>
      <c r="N128" s="28">
        <f>VLOOKUP(Table106[[#This Row],[NAME]],KCR_H[[NAME]:['#]],12,0)</f>
        <v>0</v>
      </c>
      <c r="O128" s="28">
        <f>VLOOKUP(Table106[[#This Row],[NAME]],KCR_H[[NAME]:['#]],13,0)</f>
        <v>0</v>
      </c>
      <c r="P128" s="28">
        <f>VLOOKUP(Table106[[#This Row],[NAME]],KCR_H[[NAME]:['#]],14,0)</f>
        <v>0</v>
      </c>
      <c r="Q128" s="77">
        <f>VLOOKUP(Table106[[#This Row],[NAME]],KCR_H[[NAME]:['#]],15,0)</f>
        <v>0</v>
      </c>
      <c r="R128" s="28">
        <f>VLOOKUP(Table106[[#This Row],[NAME]],KCR_H[[NAME]:['#]],16,0)</f>
        <v>0</v>
      </c>
      <c r="S128" s="28">
        <f>VLOOKUP(Table106[[#This Row],[NAME]],KCR_H[[NAME]:['#]],17,0)</f>
        <v>0</v>
      </c>
      <c r="T128" s="77">
        <f>VLOOKUP(Table106[[#This Row],[NAME]],KCR_H[[NAME]:['#]],18,0)</f>
        <v>0</v>
      </c>
      <c r="U128" s="72">
        <f>VLOOKUP(Table106[[#This Row],[NAME]],KCR_H[[NAME]:['#]],19,0)</f>
        <v>0</v>
      </c>
      <c r="V128" s="28">
        <f>VLOOKUP(Table106[[#This Row],[NAME]],KCR_H[[NAME]:['#]],20,0)</f>
        <v>0</v>
      </c>
      <c r="W128" s="75">
        <v>126</v>
      </c>
      <c r="Z128" s="101" t="s">
        <v>502</v>
      </c>
      <c r="AA128" s="77" t="s">
        <v>184</v>
      </c>
      <c r="AB128" s="77" t="s">
        <v>518</v>
      </c>
      <c r="AC128" s="130">
        <v>0.21428571428571427</v>
      </c>
      <c r="AD128" s="72">
        <v>0.21428571428571427</v>
      </c>
      <c r="AE128" s="72">
        <v>0.2857142857142857</v>
      </c>
      <c r="AF128" s="77">
        <v>4</v>
      </c>
      <c r="AG128" s="28">
        <v>14</v>
      </c>
      <c r="AH128" s="28">
        <v>0</v>
      </c>
      <c r="AI128" s="28">
        <v>3</v>
      </c>
      <c r="AJ128" s="28">
        <v>1</v>
      </c>
      <c r="AK128" s="28">
        <v>0</v>
      </c>
      <c r="AL128" s="28">
        <v>0</v>
      </c>
      <c r="AM128" s="28">
        <v>1</v>
      </c>
      <c r="AN128" s="28">
        <v>0</v>
      </c>
      <c r="AO128" s="28">
        <v>8</v>
      </c>
      <c r="AP128" s="77">
        <v>1</v>
      </c>
      <c r="AQ128" s="28">
        <v>1</v>
      </c>
      <c r="AR128" s="28">
        <v>1</v>
      </c>
      <c r="AS128" s="77">
        <v>4</v>
      </c>
      <c r="AT128" s="72">
        <v>0.5</v>
      </c>
      <c r="AU128" s="28">
        <v>0</v>
      </c>
      <c r="AV128" s="75">
        <v>126</v>
      </c>
      <c r="AY128" s="101" t="s">
        <v>502</v>
      </c>
      <c r="AZ128" s="77" t="s">
        <v>186</v>
      </c>
      <c r="BA128" s="77" t="s">
        <v>519</v>
      </c>
      <c r="BB128" s="130">
        <v>0.30769230769230771</v>
      </c>
      <c r="BC128" s="72">
        <v>0.4375</v>
      </c>
      <c r="BD128" s="72">
        <v>0.38461538461538464</v>
      </c>
      <c r="BE128" s="77">
        <v>9</v>
      </c>
      <c r="BF128" s="28">
        <v>13</v>
      </c>
      <c r="BG128" s="28">
        <v>2</v>
      </c>
      <c r="BH128" s="28">
        <v>4</v>
      </c>
      <c r="BI128" s="28">
        <v>1</v>
      </c>
      <c r="BJ128" s="28">
        <v>0</v>
      </c>
      <c r="BK128" s="28">
        <v>0</v>
      </c>
      <c r="BL128" s="28">
        <v>2</v>
      </c>
      <c r="BM128" s="28">
        <v>3</v>
      </c>
      <c r="BN128" s="28">
        <v>1</v>
      </c>
      <c r="BO128" s="77">
        <v>0</v>
      </c>
      <c r="BP128" s="28">
        <v>2</v>
      </c>
      <c r="BQ128" s="28">
        <v>2</v>
      </c>
      <c r="BR128" s="77">
        <v>5</v>
      </c>
      <c r="BS128" s="72">
        <v>0.82211538461538458</v>
      </c>
      <c r="BT128" s="28">
        <v>0</v>
      </c>
      <c r="BU128" s="75">
        <v>126</v>
      </c>
    </row>
    <row r="129" spans="1:73">
      <c r="A129" s="101" t="s">
        <v>539</v>
      </c>
      <c r="B129" s="71" t="s">
        <v>179</v>
      </c>
      <c r="C129" s="71" t="s">
        <v>547</v>
      </c>
      <c r="D129" s="72">
        <f>VLOOKUP(Table106[[#This Row],[NAME]],CHW_H[[NAME]:['#]],2,0)</f>
        <v>0.31858407079646017</v>
      </c>
      <c r="E129" s="72">
        <f>VLOOKUP(Table106[[#This Row],[NAME]],CHW_H[[NAME]:['#]],3,0)</f>
        <v>0.37903225806451613</v>
      </c>
      <c r="F129" s="72">
        <f>VLOOKUP(Table106[[#This Row],[NAME]],CHW_H[[NAME]:['#]],4,0)</f>
        <v>0.5663716814159292</v>
      </c>
      <c r="G129" s="77">
        <f>VLOOKUP(Table106[[#This Row],[NAME]],CHW_H[[NAME]:['#]],5,0)</f>
        <v>32</v>
      </c>
      <c r="H129" s="28">
        <f>VLOOKUP(Table106[[#This Row],[NAME]],CHW_H[[NAME]:['#]],6,0)</f>
        <v>113</v>
      </c>
      <c r="I129" s="28">
        <f>VLOOKUP(Table106[[#This Row],[NAME]],CHW_H[[NAME]:['#]],7,0)</f>
        <v>17</v>
      </c>
      <c r="J129" s="28">
        <f>VLOOKUP(Table106[[#This Row],[NAME]],CHW_H[[NAME]:['#]],8,0)</f>
        <v>36</v>
      </c>
      <c r="K129" s="28">
        <f>VLOOKUP(Table106[[#This Row],[NAME]],CHW_H[[NAME]:['#]],9,0)</f>
        <v>7</v>
      </c>
      <c r="L129" s="28">
        <f>VLOOKUP(Table106[[#This Row],[NAME]],CHW_H[[NAME]:['#]],10,0)</f>
        <v>0</v>
      </c>
      <c r="M129" s="28">
        <f>VLOOKUP(Table106[[#This Row],[NAME]],CHW_H[[NAME]:['#]],11,0)</f>
        <v>7</v>
      </c>
      <c r="N129" s="28">
        <f>VLOOKUP(Table106[[#This Row],[NAME]],CHW_H[[NAME]:['#]],12,0)</f>
        <v>12</v>
      </c>
      <c r="O129" s="28">
        <f>VLOOKUP(Table106[[#This Row],[NAME]],CHW_H[[NAME]:['#]],13,0)</f>
        <v>11</v>
      </c>
      <c r="P129" s="28">
        <f>VLOOKUP(Table106[[#This Row],[NAME]],CHW_H[[NAME]:['#]],14,0)</f>
        <v>30</v>
      </c>
      <c r="Q129" s="77">
        <f>VLOOKUP(Table106[[#This Row],[NAME]],CHW_H[[NAME]:['#]],15,0)</f>
        <v>0</v>
      </c>
      <c r="R129" s="28">
        <f>VLOOKUP(Table106[[#This Row],[NAME]],CHW_H[[NAME]:['#]],16,0)</f>
        <v>4</v>
      </c>
      <c r="S129" s="28">
        <f>VLOOKUP(Table106[[#This Row],[NAME]],CHW_H[[NAME]:['#]],17,0)</f>
        <v>10</v>
      </c>
      <c r="T129" s="77">
        <f>VLOOKUP(Table106[[#This Row],[NAME]],CHW_H[[NAME]:['#]],18,0)</f>
        <v>64</v>
      </c>
      <c r="U129" s="72">
        <f>VLOOKUP(Table106[[#This Row],[NAME]],CHW_H[[NAME]:['#]],19,0)</f>
        <v>0.94540393948044532</v>
      </c>
      <c r="V129" s="28">
        <f>VLOOKUP(Table106[[#This Row],[NAME]],CHW_H[[NAME]:['#]],20,0)</f>
        <v>2</v>
      </c>
      <c r="W129" s="75">
        <v>127</v>
      </c>
      <c r="Z129" s="101" t="s">
        <v>539</v>
      </c>
      <c r="AA129" s="77" t="s">
        <v>179</v>
      </c>
      <c r="AB129" s="77" t="s">
        <v>547</v>
      </c>
      <c r="AC129" s="130">
        <v>0.24666666666666667</v>
      </c>
      <c r="AD129" s="72">
        <v>0.30674846625766872</v>
      </c>
      <c r="AE129" s="72">
        <v>0.36</v>
      </c>
      <c r="AF129" s="77">
        <v>40</v>
      </c>
      <c r="AG129" s="28">
        <v>150</v>
      </c>
      <c r="AH129" s="28">
        <v>17</v>
      </c>
      <c r="AI129" s="28">
        <v>37</v>
      </c>
      <c r="AJ129" s="28">
        <v>5</v>
      </c>
      <c r="AK129" s="28">
        <v>0</v>
      </c>
      <c r="AL129" s="28">
        <v>4</v>
      </c>
      <c r="AM129" s="28">
        <v>16</v>
      </c>
      <c r="AN129" s="28">
        <v>13</v>
      </c>
      <c r="AO129" s="28">
        <v>53</v>
      </c>
      <c r="AP129" s="77">
        <v>0</v>
      </c>
      <c r="AQ129" s="28">
        <v>0</v>
      </c>
      <c r="AR129" s="28">
        <v>7</v>
      </c>
      <c r="AS129" s="77">
        <v>54</v>
      </c>
      <c r="AT129" s="72">
        <v>0.6667484662576687</v>
      </c>
      <c r="AU129" s="28">
        <v>3</v>
      </c>
      <c r="AV129" s="75">
        <v>127</v>
      </c>
      <c r="AY129" s="101" t="s">
        <v>539</v>
      </c>
      <c r="AZ129" s="77" t="s">
        <v>179</v>
      </c>
      <c r="BA129" s="77" t="s">
        <v>547</v>
      </c>
      <c r="BB129" s="130">
        <v>0.26495726495726496</v>
      </c>
      <c r="BC129" s="72">
        <v>0.39436619718309857</v>
      </c>
      <c r="BD129" s="72">
        <v>0.38461538461538464</v>
      </c>
      <c r="BE129" s="77">
        <v>35</v>
      </c>
      <c r="BF129" s="28">
        <v>117</v>
      </c>
      <c r="BG129" s="28">
        <v>17</v>
      </c>
      <c r="BH129" s="28">
        <v>31</v>
      </c>
      <c r="BI129" s="28">
        <v>5</v>
      </c>
      <c r="BJ129" s="28">
        <v>0</v>
      </c>
      <c r="BK129" s="28">
        <v>3</v>
      </c>
      <c r="BL129" s="28">
        <v>12</v>
      </c>
      <c r="BM129" s="28">
        <v>25</v>
      </c>
      <c r="BN129" s="28">
        <v>26</v>
      </c>
      <c r="BO129" s="77">
        <v>0</v>
      </c>
      <c r="BP129" s="28">
        <v>0</v>
      </c>
      <c r="BQ129" s="28">
        <v>6</v>
      </c>
      <c r="BR129" s="77">
        <v>45</v>
      </c>
      <c r="BS129" s="72">
        <v>0.7789815817984832</v>
      </c>
      <c r="BT129" s="28">
        <v>4</v>
      </c>
      <c r="BU129" s="75">
        <v>127</v>
      </c>
    </row>
    <row r="130" spans="1:73">
      <c r="A130" s="101" t="s">
        <v>539</v>
      </c>
      <c r="B130" s="345" t="s">
        <v>154</v>
      </c>
      <c r="C130" s="71" t="s">
        <v>545</v>
      </c>
      <c r="D130" s="72">
        <f>VLOOKUP(Table106[[#This Row],[NAME]],CHW_H[[NAME]:['#]],2,0)</f>
        <v>0.29411764705882354</v>
      </c>
      <c r="E130" s="72">
        <f>VLOOKUP(Table106[[#This Row],[NAME]],CHW_H[[NAME]:['#]],3,0)</f>
        <v>0.31147540983606559</v>
      </c>
      <c r="F130" s="72">
        <f>VLOOKUP(Table106[[#This Row],[NAME]],CHW_H[[NAME]:['#]],4,0)</f>
        <v>0.59663865546218486</v>
      </c>
      <c r="G130" s="77">
        <f>VLOOKUP(Table106[[#This Row],[NAME]],CHW_H[[NAME]:['#]],5,0)</f>
        <v>30</v>
      </c>
      <c r="H130" s="28">
        <f>VLOOKUP(Table106[[#This Row],[NAME]],CHW_H[[NAME]:['#]],6,0)</f>
        <v>119</v>
      </c>
      <c r="I130" s="28">
        <f>VLOOKUP(Table106[[#This Row],[NAME]],CHW_H[[NAME]:['#]],7,0)</f>
        <v>16</v>
      </c>
      <c r="J130" s="28">
        <f>VLOOKUP(Table106[[#This Row],[NAME]],CHW_H[[NAME]:['#]],8,0)</f>
        <v>35</v>
      </c>
      <c r="K130" s="28">
        <f>VLOOKUP(Table106[[#This Row],[NAME]],CHW_H[[NAME]:['#]],9,0)</f>
        <v>9</v>
      </c>
      <c r="L130" s="28">
        <f>VLOOKUP(Table106[[#This Row],[NAME]],CHW_H[[NAME]:['#]],10,0)</f>
        <v>0</v>
      </c>
      <c r="M130" s="28">
        <f>VLOOKUP(Table106[[#This Row],[NAME]],CHW_H[[NAME]:['#]],11,0)</f>
        <v>9</v>
      </c>
      <c r="N130" s="28">
        <f>VLOOKUP(Table106[[#This Row],[NAME]],CHW_H[[NAME]:['#]],12,0)</f>
        <v>22</v>
      </c>
      <c r="O130" s="28">
        <f>VLOOKUP(Table106[[#This Row],[NAME]],CHW_H[[NAME]:['#]],13,0)</f>
        <v>3</v>
      </c>
      <c r="P130" s="28">
        <f>VLOOKUP(Table106[[#This Row],[NAME]],CHW_H[[NAME]:['#]],14,0)</f>
        <v>39</v>
      </c>
      <c r="Q130" s="77">
        <f>VLOOKUP(Table106[[#This Row],[NAME]],CHW_H[[NAME]:['#]],15,0)</f>
        <v>0</v>
      </c>
      <c r="R130" s="28">
        <f>VLOOKUP(Table106[[#This Row],[NAME]],CHW_H[[NAME]:['#]],16,0)</f>
        <v>3</v>
      </c>
      <c r="S130" s="28">
        <f>VLOOKUP(Table106[[#This Row],[NAME]],CHW_H[[NAME]:['#]],17,0)</f>
        <v>8</v>
      </c>
      <c r="T130" s="77">
        <f>VLOOKUP(Table106[[#This Row],[NAME]],CHW_H[[NAME]:['#]],18,0)</f>
        <v>71</v>
      </c>
      <c r="U130" s="72">
        <f>VLOOKUP(Table106[[#This Row],[NAME]],CHW_H[[NAME]:['#]],19,0)</f>
        <v>0.90811406529825045</v>
      </c>
      <c r="V130" s="28">
        <f>VLOOKUP(Table106[[#This Row],[NAME]],CHW_H[[NAME]:['#]],20,0)</f>
        <v>2</v>
      </c>
      <c r="W130" s="75">
        <v>128</v>
      </c>
      <c r="Z130" s="101" t="s">
        <v>539</v>
      </c>
      <c r="AA130" s="77" t="s">
        <v>154</v>
      </c>
      <c r="AB130" s="77" t="s">
        <v>548</v>
      </c>
      <c r="AC130" s="130">
        <v>0.21138211382113822</v>
      </c>
      <c r="AD130" s="72">
        <v>0.26515151515151514</v>
      </c>
      <c r="AE130" s="72">
        <v>0.4065040650406504</v>
      </c>
      <c r="AF130" s="77">
        <v>33</v>
      </c>
      <c r="AG130" s="28">
        <v>123</v>
      </c>
      <c r="AH130" s="28">
        <v>14</v>
      </c>
      <c r="AI130" s="28">
        <v>26</v>
      </c>
      <c r="AJ130" s="28">
        <v>8</v>
      </c>
      <c r="AK130" s="28">
        <v>2</v>
      </c>
      <c r="AL130" s="28">
        <v>4</v>
      </c>
      <c r="AM130" s="28">
        <v>11</v>
      </c>
      <c r="AN130" s="28">
        <v>9</v>
      </c>
      <c r="AO130" s="28">
        <v>40</v>
      </c>
      <c r="AP130" s="77">
        <v>0</v>
      </c>
      <c r="AQ130" s="28">
        <v>7</v>
      </c>
      <c r="AR130" s="28">
        <v>7</v>
      </c>
      <c r="AS130" s="77">
        <v>50</v>
      </c>
      <c r="AT130" s="72">
        <v>0.67165558019216554</v>
      </c>
      <c r="AU130" s="28">
        <v>0</v>
      </c>
      <c r="AV130" s="75">
        <v>128</v>
      </c>
      <c r="AY130" s="101" t="s">
        <v>539</v>
      </c>
      <c r="AZ130" s="77" t="s">
        <v>154</v>
      </c>
      <c r="BA130" s="77" t="s">
        <v>548</v>
      </c>
      <c r="BB130" s="130">
        <v>0.23287671232876711</v>
      </c>
      <c r="BC130" s="72">
        <v>0.28662420382165604</v>
      </c>
      <c r="BD130" s="72">
        <v>0.37671232876712329</v>
      </c>
      <c r="BE130" s="77">
        <v>39</v>
      </c>
      <c r="BF130" s="28">
        <v>146</v>
      </c>
      <c r="BG130" s="28">
        <v>11</v>
      </c>
      <c r="BH130" s="28">
        <v>34</v>
      </c>
      <c r="BI130" s="28">
        <v>6</v>
      </c>
      <c r="BJ130" s="28">
        <v>3</v>
      </c>
      <c r="BK130" s="28">
        <v>3</v>
      </c>
      <c r="BL130" s="28">
        <v>16</v>
      </c>
      <c r="BM130" s="28">
        <v>11</v>
      </c>
      <c r="BN130" s="28">
        <v>56</v>
      </c>
      <c r="BO130" s="77">
        <v>0</v>
      </c>
      <c r="BP130" s="28">
        <v>2</v>
      </c>
      <c r="BQ130" s="28">
        <v>10</v>
      </c>
      <c r="BR130" s="77">
        <v>55</v>
      </c>
      <c r="BS130" s="72">
        <v>0.66333653258877934</v>
      </c>
      <c r="BT130" s="28">
        <v>2</v>
      </c>
      <c r="BU130" s="75">
        <v>128</v>
      </c>
    </row>
    <row r="131" spans="1:73">
      <c r="A131" s="101" t="s">
        <v>539</v>
      </c>
      <c r="B131" s="71" t="s">
        <v>172</v>
      </c>
      <c r="C131" s="71" t="s">
        <v>544</v>
      </c>
      <c r="D131" s="72">
        <f>VLOOKUP(Table106[[#This Row],[NAME]],CHW_H[[NAME]:['#]],2,0)</f>
        <v>0.25698324022346369</v>
      </c>
      <c r="E131" s="72">
        <f>VLOOKUP(Table106[[#This Row],[NAME]],CHW_H[[NAME]:['#]],3,0)</f>
        <v>0.28494623655913981</v>
      </c>
      <c r="F131" s="72">
        <f>VLOOKUP(Table106[[#This Row],[NAME]],CHW_H[[NAME]:['#]],4,0)</f>
        <v>0.42458100558659218</v>
      </c>
      <c r="G131" s="77">
        <f>VLOOKUP(Table106[[#This Row],[NAME]],CHW_H[[NAME]:['#]],5,0)</f>
        <v>40</v>
      </c>
      <c r="H131" s="28">
        <f>VLOOKUP(Table106[[#This Row],[NAME]],CHW_H[[NAME]:['#]],6,0)</f>
        <v>179</v>
      </c>
      <c r="I131" s="28">
        <f>VLOOKUP(Table106[[#This Row],[NAME]],CHW_H[[NAME]:['#]],7,0)</f>
        <v>26</v>
      </c>
      <c r="J131" s="28">
        <f>VLOOKUP(Table106[[#This Row],[NAME]],CHW_H[[NAME]:['#]],8,0)</f>
        <v>46</v>
      </c>
      <c r="K131" s="28">
        <f>VLOOKUP(Table106[[#This Row],[NAME]],CHW_H[[NAME]:['#]],9,0)</f>
        <v>9</v>
      </c>
      <c r="L131" s="28">
        <f>VLOOKUP(Table106[[#This Row],[NAME]],CHW_H[[NAME]:['#]],10,0)</f>
        <v>0</v>
      </c>
      <c r="M131" s="28">
        <f>VLOOKUP(Table106[[#This Row],[NAME]],CHW_H[[NAME]:['#]],11,0)</f>
        <v>7</v>
      </c>
      <c r="N131" s="28">
        <f>VLOOKUP(Table106[[#This Row],[NAME]],CHW_H[[NAME]:['#]],12,0)</f>
        <v>17</v>
      </c>
      <c r="O131" s="28">
        <f>VLOOKUP(Table106[[#This Row],[NAME]],CHW_H[[NAME]:['#]],13,0)</f>
        <v>7</v>
      </c>
      <c r="P131" s="28">
        <f>VLOOKUP(Table106[[#This Row],[NAME]],CHW_H[[NAME]:['#]],14,0)</f>
        <v>47</v>
      </c>
      <c r="Q131" s="77">
        <f>VLOOKUP(Table106[[#This Row],[NAME]],CHW_H[[NAME]:['#]],15,0)</f>
        <v>5</v>
      </c>
      <c r="R131" s="28">
        <f>VLOOKUP(Table106[[#This Row],[NAME]],CHW_H[[NAME]:['#]],16,0)</f>
        <v>0</v>
      </c>
      <c r="S131" s="28">
        <f>VLOOKUP(Table106[[#This Row],[NAME]],CHW_H[[NAME]:['#]],17,0)</f>
        <v>9</v>
      </c>
      <c r="T131" s="77">
        <f>VLOOKUP(Table106[[#This Row],[NAME]],CHW_H[[NAME]:['#]],18,0)</f>
        <v>76</v>
      </c>
      <c r="U131" s="72">
        <f>VLOOKUP(Table106[[#This Row],[NAME]],CHW_H[[NAME]:['#]],19,0)</f>
        <v>0.70952724214573193</v>
      </c>
      <c r="V131" s="28">
        <f>VLOOKUP(Table106[[#This Row],[NAME]],CHW_H[[NAME]:['#]],20,0)</f>
        <v>2</v>
      </c>
      <c r="W131" s="75">
        <v>129</v>
      </c>
      <c r="Z131" s="101" t="s">
        <v>539</v>
      </c>
      <c r="AA131" s="77" t="s">
        <v>172</v>
      </c>
      <c r="AB131" s="77" t="s">
        <v>544</v>
      </c>
      <c r="AC131" s="130">
        <v>0.2768361581920904</v>
      </c>
      <c r="AD131" s="72">
        <v>0.30810810810810813</v>
      </c>
      <c r="AE131" s="72">
        <v>0.41807909604519772</v>
      </c>
      <c r="AF131" s="77">
        <v>39</v>
      </c>
      <c r="AG131" s="28">
        <v>177</v>
      </c>
      <c r="AH131" s="28">
        <v>23</v>
      </c>
      <c r="AI131" s="28">
        <v>49</v>
      </c>
      <c r="AJ131" s="28">
        <v>10</v>
      </c>
      <c r="AK131" s="28">
        <v>0</v>
      </c>
      <c r="AL131" s="28">
        <v>5</v>
      </c>
      <c r="AM131" s="28">
        <v>19</v>
      </c>
      <c r="AN131" s="28">
        <v>8</v>
      </c>
      <c r="AO131" s="28">
        <v>30</v>
      </c>
      <c r="AP131" s="77">
        <v>2</v>
      </c>
      <c r="AQ131" s="28">
        <v>11</v>
      </c>
      <c r="AR131" s="28">
        <v>13</v>
      </c>
      <c r="AS131" s="77">
        <v>74</v>
      </c>
      <c r="AT131" s="72">
        <v>0.72618720415330584</v>
      </c>
      <c r="AU131" s="28">
        <v>2</v>
      </c>
      <c r="AV131" s="75">
        <v>129</v>
      </c>
      <c r="AY131" s="101" t="s">
        <v>539</v>
      </c>
      <c r="AZ131" s="77" t="s">
        <v>172</v>
      </c>
      <c r="BA131" s="77" t="s">
        <v>544</v>
      </c>
      <c r="BB131" s="130">
        <v>0.2471264367816092</v>
      </c>
      <c r="BC131" s="72">
        <v>0.27624309392265195</v>
      </c>
      <c r="BD131" s="72">
        <v>0.35632183908045978</v>
      </c>
      <c r="BE131" s="77">
        <v>40</v>
      </c>
      <c r="BF131" s="28">
        <v>174</v>
      </c>
      <c r="BG131" s="28">
        <v>17</v>
      </c>
      <c r="BH131" s="28">
        <v>43</v>
      </c>
      <c r="BI131" s="28">
        <v>8</v>
      </c>
      <c r="BJ131" s="28">
        <v>1</v>
      </c>
      <c r="BK131" s="28">
        <v>3</v>
      </c>
      <c r="BL131" s="28">
        <v>18</v>
      </c>
      <c r="BM131" s="28">
        <v>7</v>
      </c>
      <c r="BN131" s="28">
        <v>41</v>
      </c>
      <c r="BO131" s="77">
        <v>9</v>
      </c>
      <c r="BP131" s="28">
        <v>1</v>
      </c>
      <c r="BQ131" s="28">
        <v>7</v>
      </c>
      <c r="BR131" s="77">
        <v>62</v>
      </c>
      <c r="BS131" s="72">
        <v>0.63256493300311178</v>
      </c>
      <c r="BT131" s="28">
        <v>2</v>
      </c>
      <c r="BU131" s="75">
        <v>129</v>
      </c>
    </row>
    <row r="132" spans="1:73">
      <c r="A132" s="101" t="s">
        <v>539</v>
      </c>
      <c r="B132" s="71" t="s">
        <v>153</v>
      </c>
      <c r="C132" s="71" t="s">
        <v>548</v>
      </c>
      <c r="D132" s="72">
        <f>VLOOKUP(Table106[[#This Row],[NAME]],CHW_H[[NAME]:['#]],2,0)</f>
        <v>0.21186440677966101</v>
      </c>
      <c r="E132" s="72">
        <f>VLOOKUP(Table106[[#This Row],[NAME]],CHW_H[[NAME]:['#]],3,0)</f>
        <v>0.26190476190476192</v>
      </c>
      <c r="F132" s="72">
        <f>VLOOKUP(Table106[[#This Row],[NAME]],CHW_H[[NAME]:['#]],4,0)</f>
        <v>0.32203389830508472</v>
      </c>
      <c r="G132" s="77">
        <f>VLOOKUP(Table106[[#This Row],[NAME]],CHW_H[[NAME]:['#]],5,0)</f>
        <v>31</v>
      </c>
      <c r="H132" s="28">
        <f>VLOOKUP(Table106[[#This Row],[NAME]],CHW_H[[NAME]:['#]],6,0)</f>
        <v>118</v>
      </c>
      <c r="I132" s="28">
        <f>VLOOKUP(Table106[[#This Row],[NAME]],CHW_H[[NAME]:['#]],7,0)</f>
        <v>12</v>
      </c>
      <c r="J132" s="28">
        <f>VLOOKUP(Table106[[#This Row],[NAME]],CHW_H[[NAME]:['#]],8,0)</f>
        <v>25</v>
      </c>
      <c r="K132" s="28">
        <f>VLOOKUP(Table106[[#This Row],[NAME]],CHW_H[[NAME]:['#]],9,0)</f>
        <v>8</v>
      </c>
      <c r="L132" s="28">
        <f>VLOOKUP(Table106[[#This Row],[NAME]],CHW_H[[NAME]:['#]],10,0)</f>
        <v>1</v>
      </c>
      <c r="M132" s="28">
        <f>VLOOKUP(Table106[[#This Row],[NAME]],CHW_H[[NAME]:['#]],11,0)</f>
        <v>1</v>
      </c>
      <c r="N132" s="28">
        <f>VLOOKUP(Table106[[#This Row],[NAME]],CHW_H[[NAME]:['#]],12,0)</f>
        <v>10</v>
      </c>
      <c r="O132" s="28">
        <f>VLOOKUP(Table106[[#This Row],[NAME]],CHW_H[[NAME]:['#]],13,0)</f>
        <v>8</v>
      </c>
      <c r="P132" s="28">
        <f>VLOOKUP(Table106[[#This Row],[NAME]],CHW_H[[NAME]:['#]],14,0)</f>
        <v>49</v>
      </c>
      <c r="Q132" s="77">
        <f>VLOOKUP(Table106[[#This Row],[NAME]],CHW_H[[NAME]:['#]],15,0)</f>
        <v>0</v>
      </c>
      <c r="R132" s="28">
        <f>VLOOKUP(Table106[[#This Row],[NAME]],CHW_H[[NAME]:['#]],16,0)</f>
        <v>0</v>
      </c>
      <c r="S132" s="28">
        <f>VLOOKUP(Table106[[#This Row],[NAME]],CHW_H[[NAME]:['#]],17,0)</f>
        <v>5</v>
      </c>
      <c r="T132" s="77">
        <f>VLOOKUP(Table106[[#This Row],[NAME]],CHW_H[[NAME]:['#]],18,0)</f>
        <v>38</v>
      </c>
      <c r="U132" s="72">
        <f>VLOOKUP(Table106[[#This Row],[NAME]],CHW_H[[NAME]:['#]],19,0)</f>
        <v>0.58393866020984664</v>
      </c>
      <c r="V132" s="28">
        <f>VLOOKUP(Table106[[#This Row],[NAME]],CHW_H[[NAME]:['#]],20,0)</f>
        <v>1</v>
      </c>
      <c r="W132" s="75">
        <v>130</v>
      </c>
      <c r="Z132" s="101" t="s">
        <v>539</v>
      </c>
      <c r="AA132" s="77" t="s">
        <v>153</v>
      </c>
      <c r="AB132" s="77" t="s">
        <v>546</v>
      </c>
      <c r="AC132" s="130">
        <v>0.30303030303030304</v>
      </c>
      <c r="AD132" s="72">
        <v>0.32846715328467152</v>
      </c>
      <c r="AE132" s="72">
        <v>0.43939393939393939</v>
      </c>
      <c r="AF132" s="77">
        <v>35</v>
      </c>
      <c r="AG132" s="28">
        <v>132</v>
      </c>
      <c r="AH132" s="28">
        <v>7</v>
      </c>
      <c r="AI132" s="28">
        <v>40</v>
      </c>
      <c r="AJ132" s="28">
        <v>4</v>
      </c>
      <c r="AK132" s="28">
        <v>4</v>
      </c>
      <c r="AL132" s="28">
        <v>2</v>
      </c>
      <c r="AM132" s="28">
        <v>11</v>
      </c>
      <c r="AN132" s="28">
        <v>5</v>
      </c>
      <c r="AO132" s="28">
        <v>24</v>
      </c>
      <c r="AP132" s="77">
        <v>0</v>
      </c>
      <c r="AQ132" s="28">
        <v>0</v>
      </c>
      <c r="AR132" s="28">
        <v>7</v>
      </c>
      <c r="AS132" s="77">
        <v>58</v>
      </c>
      <c r="AT132" s="72">
        <v>0.76786109267861091</v>
      </c>
      <c r="AU132" s="28">
        <v>0</v>
      </c>
      <c r="AV132" s="75">
        <v>130</v>
      </c>
      <c r="AY132" s="101" t="s">
        <v>539</v>
      </c>
      <c r="AZ132" s="77" t="s">
        <v>153</v>
      </c>
      <c r="BA132" s="77" t="s">
        <v>546</v>
      </c>
      <c r="BB132" s="130">
        <v>0.3611111111111111</v>
      </c>
      <c r="BC132" s="72">
        <v>0.3825503355704698</v>
      </c>
      <c r="BD132" s="72">
        <v>0.4861111111111111</v>
      </c>
      <c r="BE132" s="77">
        <v>40</v>
      </c>
      <c r="BF132" s="28">
        <v>144</v>
      </c>
      <c r="BG132" s="28">
        <v>16</v>
      </c>
      <c r="BH132" s="28">
        <v>52</v>
      </c>
      <c r="BI132" s="28">
        <v>6</v>
      </c>
      <c r="BJ132" s="28">
        <v>3</v>
      </c>
      <c r="BK132" s="28">
        <v>2</v>
      </c>
      <c r="BL132" s="28">
        <v>17</v>
      </c>
      <c r="BM132" s="28">
        <v>5</v>
      </c>
      <c r="BN132" s="28">
        <v>20</v>
      </c>
      <c r="BO132" s="77">
        <v>0</v>
      </c>
      <c r="BP132" s="28">
        <v>0</v>
      </c>
      <c r="BQ132" s="28">
        <v>9</v>
      </c>
      <c r="BR132" s="77">
        <v>70</v>
      </c>
      <c r="BS132" s="72">
        <v>0.86866144668158096</v>
      </c>
      <c r="BT132" s="28">
        <v>2</v>
      </c>
      <c r="BU132" s="75">
        <v>130</v>
      </c>
    </row>
    <row r="133" spans="1:73">
      <c r="A133" s="101" t="s">
        <v>539</v>
      </c>
      <c r="B133" s="71" t="s">
        <v>177</v>
      </c>
      <c r="C133" s="71" t="s">
        <v>542</v>
      </c>
      <c r="D133" s="72">
        <f>VLOOKUP(Table106[[#This Row],[NAME]],CHW_H[[NAME]:['#]],2,0)</f>
        <v>0.27464788732394368</v>
      </c>
      <c r="E133" s="72">
        <f>VLOOKUP(Table106[[#This Row],[NAME]],CHW_H[[NAME]:['#]],3,0)</f>
        <v>0.29452054794520549</v>
      </c>
      <c r="F133" s="72">
        <f>VLOOKUP(Table106[[#This Row],[NAME]],CHW_H[[NAME]:['#]],4,0)</f>
        <v>0.41549295774647887</v>
      </c>
      <c r="G133" s="77">
        <f>VLOOKUP(Table106[[#This Row],[NAME]],CHW_H[[NAME]:['#]],5,0)</f>
        <v>32</v>
      </c>
      <c r="H133" s="28">
        <f>VLOOKUP(Table106[[#This Row],[NAME]],CHW_H[[NAME]:['#]],6,0)</f>
        <v>142</v>
      </c>
      <c r="I133" s="28">
        <f>VLOOKUP(Table106[[#This Row],[NAME]],CHW_H[[NAME]:['#]],7,0)</f>
        <v>13</v>
      </c>
      <c r="J133" s="28">
        <f>VLOOKUP(Table106[[#This Row],[NAME]],CHW_H[[NAME]:['#]],8,0)</f>
        <v>39</v>
      </c>
      <c r="K133" s="28">
        <f>VLOOKUP(Table106[[#This Row],[NAME]],CHW_H[[NAME]:['#]],9,0)</f>
        <v>8</v>
      </c>
      <c r="L133" s="28">
        <f>VLOOKUP(Table106[[#This Row],[NAME]],CHW_H[[NAME]:['#]],10,0)</f>
        <v>0</v>
      </c>
      <c r="M133" s="28">
        <f>VLOOKUP(Table106[[#This Row],[NAME]],CHW_H[[NAME]:['#]],11,0)</f>
        <v>4</v>
      </c>
      <c r="N133" s="28">
        <f>VLOOKUP(Table106[[#This Row],[NAME]],CHW_H[[NAME]:['#]],12,0)</f>
        <v>13</v>
      </c>
      <c r="O133" s="28">
        <f>VLOOKUP(Table106[[#This Row],[NAME]],CHW_H[[NAME]:['#]],13,0)</f>
        <v>4</v>
      </c>
      <c r="P133" s="28">
        <f>VLOOKUP(Table106[[#This Row],[NAME]],CHW_H[[NAME]:['#]],14,0)</f>
        <v>38</v>
      </c>
      <c r="Q133" s="77">
        <f>VLOOKUP(Table106[[#This Row],[NAME]],CHW_H[[NAME]:['#]],15,0)</f>
        <v>0</v>
      </c>
      <c r="R133" s="28">
        <f>VLOOKUP(Table106[[#This Row],[NAME]],CHW_H[[NAME]:['#]],16,0)</f>
        <v>1</v>
      </c>
      <c r="S133" s="28">
        <f>VLOOKUP(Table106[[#This Row],[NAME]],CHW_H[[NAME]:['#]],17,0)</f>
        <v>13</v>
      </c>
      <c r="T133" s="77">
        <f>VLOOKUP(Table106[[#This Row],[NAME]],CHW_H[[NAME]:['#]],18,0)</f>
        <v>59</v>
      </c>
      <c r="U133" s="72">
        <f>VLOOKUP(Table106[[#This Row],[NAME]],CHW_H[[NAME]:['#]],19,0)</f>
        <v>0.71001350569168431</v>
      </c>
      <c r="V133" s="28">
        <f>VLOOKUP(Table106[[#This Row],[NAME]],CHW_H[[NAME]:['#]],20,0)</f>
        <v>1</v>
      </c>
      <c r="W133" s="75">
        <v>131</v>
      </c>
      <c r="Z133" s="101" t="s">
        <v>539</v>
      </c>
      <c r="AA133" s="77" t="s">
        <v>177</v>
      </c>
      <c r="AB133" s="77" t="s">
        <v>542</v>
      </c>
      <c r="AC133" s="130">
        <v>0.26174496644295303</v>
      </c>
      <c r="AD133" s="72">
        <v>0.32515337423312884</v>
      </c>
      <c r="AE133" s="72">
        <v>0.3825503355704698</v>
      </c>
      <c r="AF133" s="77">
        <v>36</v>
      </c>
      <c r="AG133" s="28">
        <v>149</v>
      </c>
      <c r="AH133" s="28">
        <v>14</v>
      </c>
      <c r="AI133" s="28">
        <v>39</v>
      </c>
      <c r="AJ133" s="28">
        <v>9</v>
      </c>
      <c r="AK133" s="28">
        <v>0</v>
      </c>
      <c r="AL133" s="28">
        <v>3</v>
      </c>
      <c r="AM133" s="28">
        <v>16</v>
      </c>
      <c r="AN133" s="28">
        <v>14</v>
      </c>
      <c r="AO133" s="28">
        <v>41</v>
      </c>
      <c r="AP133" s="77">
        <v>0</v>
      </c>
      <c r="AQ133" s="28">
        <v>1</v>
      </c>
      <c r="AR133" s="28">
        <v>10</v>
      </c>
      <c r="AS133" s="77">
        <v>57</v>
      </c>
      <c r="AT133" s="72">
        <v>0.70770370980359865</v>
      </c>
      <c r="AU133" s="28">
        <v>0</v>
      </c>
      <c r="AV133" s="75">
        <v>131</v>
      </c>
      <c r="AY133" s="101" t="s">
        <v>539</v>
      </c>
      <c r="AZ133" s="77" t="s">
        <v>177</v>
      </c>
      <c r="BA133" s="77" t="s">
        <v>542</v>
      </c>
      <c r="BB133" s="130">
        <v>0.32121212121212123</v>
      </c>
      <c r="BC133" s="72">
        <v>0.3672316384180791</v>
      </c>
      <c r="BD133" s="72">
        <v>0.52727272727272723</v>
      </c>
      <c r="BE133" s="77">
        <v>40</v>
      </c>
      <c r="BF133" s="28">
        <v>165</v>
      </c>
      <c r="BG133" s="28">
        <v>23</v>
      </c>
      <c r="BH133" s="28">
        <v>53</v>
      </c>
      <c r="BI133" s="28">
        <v>10</v>
      </c>
      <c r="BJ133" s="28">
        <v>0</v>
      </c>
      <c r="BK133" s="28">
        <v>8</v>
      </c>
      <c r="BL133" s="28">
        <v>24</v>
      </c>
      <c r="BM133" s="28">
        <v>12</v>
      </c>
      <c r="BN133" s="28">
        <v>37</v>
      </c>
      <c r="BO133" s="77">
        <v>0</v>
      </c>
      <c r="BP133" s="28">
        <v>2</v>
      </c>
      <c r="BQ133" s="28">
        <v>7</v>
      </c>
      <c r="BR133" s="77">
        <v>87</v>
      </c>
      <c r="BS133" s="72">
        <v>0.89450436569080627</v>
      </c>
      <c r="BT133" s="28">
        <v>2</v>
      </c>
      <c r="BU133" s="75">
        <v>131</v>
      </c>
    </row>
    <row r="134" spans="1:73">
      <c r="A134" s="101" t="s">
        <v>539</v>
      </c>
      <c r="B134" s="71" t="s">
        <v>174</v>
      </c>
      <c r="C134" s="71" t="s">
        <v>541</v>
      </c>
      <c r="D134" s="72">
        <f>VLOOKUP(Table106[[#This Row],[NAME]],CHW_H[[NAME]:['#]],2,0)</f>
        <v>0.21621621621621623</v>
      </c>
      <c r="E134" s="72">
        <f>VLOOKUP(Table106[[#This Row],[NAME]],CHW_H[[NAME]:['#]],3,0)</f>
        <v>0.25641025641025639</v>
      </c>
      <c r="F134" s="72">
        <f>VLOOKUP(Table106[[#This Row],[NAME]],CHW_H[[NAME]:['#]],4,0)</f>
        <v>0.3783783783783784</v>
      </c>
      <c r="G134" s="77">
        <f>VLOOKUP(Table106[[#This Row],[NAME]],CHW_H[[NAME]:['#]],5,0)</f>
        <v>36</v>
      </c>
      <c r="H134" s="28">
        <f>VLOOKUP(Table106[[#This Row],[NAME]],CHW_H[[NAME]:['#]],6,0)</f>
        <v>148</v>
      </c>
      <c r="I134" s="28">
        <f>VLOOKUP(Table106[[#This Row],[NAME]],CHW_H[[NAME]:['#]],7,0)</f>
        <v>12</v>
      </c>
      <c r="J134" s="28">
        <f>VLOOKUP(Table106[[#This Row],[NAME]],CHW_H[[NAME]:['#]],8,0)</f>
        <v>32</v>
      </c>
      <c r="K134" s="28">
        <f>VLOOKUP(Table106[[#This Row],[NAME]],CHW_H[[NAME]:['#]],9,0)</f>
        <v>6</v>
      </c>
      <c r="L134" s="28">
        <f>VLOOKUP(Table106[[#This Row],[NAME]],CHW_H[[NAME]:['#]],10,0)</f>
        <v>0</v>
      </c>
      <c r="M134" s="28">
        <f>VLOOKUP(Table106[[#This Row],[NAME]],CHW_H[[NAME]:['#]],11,0)</f>
        <v>6</v>
      </c>
      <c r="N134" s="28">
        <f>VLOOKUP(Table106[[#This Row],[NAME]],CHW_H[[NAME]:['#]],12,0)</f>
        <v>23</v>
      </c>
      <c r="O134" s="28">
        <f>VLOOKUP(Table106[[#This Row],[NAME]],CHW_H[[NAME]:['#]],13,0)</f>
        <v>8</v>
      </c>
      <c r="P134" s="28">
        <f>VLOOKUP(Table106[[#This Row],[NAME]],CHW_H[[NAME]:['#]],14,0)</f>
        <v>39</v>
      </c>
      <c r="Q134" s="77">
        <f>VLOOKUP(Table106[[#This Row],[NAME]],CHW_H[[NAME]:['#]],15,0)</f>
        <v>0</v>
      </c>
      <c r="R134" s="28">
        <f>VLOOKUP(Table106[[#This Row],[NAME]],CHW_H[[NAME]:['#]],16,0)</f>
        <v>2</v>
      </c>
      <c r="S134" s="28">
        <f>VLOOKUP(Table106[[#This Row],[NAME]],CHW_H[[NAME]:['#]],17,0)</f>
        <v>9</v>
      </c>
      <c r="T134" s="77">
        <f>VLOOKUP(Table106[[#This Row],[NAME]],CHW_H[[NAME]:['#]],18,0)</f>
        <v>56</v>
      </c>
      <c r="U134" s="72">
        <f>VLOOKUP(Table106[[#This Row],[NAME]],CHW_H[[NAME]:['#]],19,0)</f>
        <v>0.63478863478863479</v>
      </c>
      <c r="V134" s="28">
        <f>VLOOKUP(Table106[[#This Row],[NAME]],CHW_H[[NAME]:['#]],20,0)</f>
        <v>3</v>
      </c>
      <c r="W134" s="75">
        <v>132</v>
      </c>
      <c r="Z134" s="101" t="s">
        <v>539</v>
      </c>
      <c r="AA134" s="352" t="s">
        <v>174</v>
      </c>
      <c r="AB134" s="77" t="s">
        <v>541</v>
      </c>
      <c r="AC134" s="130">
        <v>0.31288343558282211</v>
      </c>
      <c r="AD134" s="72">
        <v>0.33727810650887574</v>
      </c>
      <c r="AE134" s="72">
        <v>0.66871165644171782</v>
      </c>
      <c r="AF134" s="77">
        <v>39</v>
      </c>
      <c r="AG134" s="28">
        <v>163</v>
      </c>
      <c r="AH134" s="28">
        <v>24</v>
      </c>
      <c r="AI134" s="28">
        <v>51</v>
      </c>
      <c r="AJ134" s="28">
        <v>16</v>
      </c>
      <c r="AK134" s="28">
        <v>0</v>
      </c>
      <c r="AL134" s="28">
        <v>14</v>
      </c>
      <c r="AM134" s="28">
        <v>29</v>
      </c>
      <c r="AN134" s="28">
        <v>6</v>
      </c>
      <c r="AO134" s="28">
        <v>48</v>
      </c>
      <c r="AP134" s="77">
        <v>0</v>
      </c>
      <c r="AQ134" s="28">
        <v>5</v>
      </c>
      <c r="AR134" s="28">
        <v>9</v>
      </c>
      <c r="AS134" s="77">
        <v>109</v>
      </c>
      <c r="AT134" s="72">
        <v>1.0059897629505936</v>
      </c>
      <c r="AU134" s="28">
        <v>5</v>
      </c>
      <c r="AV134" s="75">
        <v>132</v>
      </c>
      <c r="AY134" s="101" t="s">
        <v>539</v>
      </c>
      <c r="AZ134" s="77" t="s">
        <v>174</v>
      </c>
      <c r="BA134" s="77" t="s">
        <v>541</v>
      </c>
      <c r="BB134" s="130">
        <v>0.23076923076923078</v>
      </c>
      <c r="BC134" s="72">
        <v>0.3081761006289308</v>
      </c>
      <c r="BD134" s="72">
        <v>0.42657342657342656</v>
      </c>
      <c r="BE134" s="77">
        <v>38</v>
      </c>
      <c r="BF134" s="28">
        <v>143</v>
      </c>
      <c r="BG134" s="28">
        <v>19</v>
      </c>
      <c r="BH134" s="28">
        <v>33</v>
      </c>
      <c r="BI134" s="28">
        <v>7</v>
      </c>
      <c r="BJ134" s="28">
        <v>0</v>
      </c>
      <c r="BK134" s="28">
        <v>7</v>
      </c>
      <c r="BL134" s="28">
        <v>19</v>
      </c>
      <c r="BM134" s="28">
        <v>16</v>
      </c>
      <c r="BN134" s="28">
        <v>45</v>
      </c>
      <c r="BO134" s="77">
        <v>0</v>
      </c>
      <c r="BP134" s="28">
        <v>0</v>
      </c>
      <c r="BQ134" s="28">
        <v>6</v>
      </c>
      <c r="BR134" s="77">
        <v>61</v>
      </c>
      <c r="BS134" s="72">
        <v>0.73474952720235742</v>
      </c>
      <c r="BT134" s="28">
        <v>3</v>
      </c>
      <c r="BU134" s="75">
        <v>132</v>
      </c>
    </row>
    <row r="135" spans="1:73">
      <c r="A135" s="101" t="s">
        <v>539</v>
      </c>
      <c r="B135" s="71" t="s">
        <v>181</v>
      </c>
      <c r="C135" s="71" t="s">
        <v>543</v>
      </c>
      <c r="D135" s="72">
        <f>VLOOKUP(Table106[[#This Row],[NAME]],CHW_H[[NAME]:['#]],2,0)</f>
        <v>0.2832369942196532</v>
      </c>
      <c r="E135" s="72">
        <f>VLOOKUP(Table106[[#This Row],[NAME]],CHW_H[[NAME]:['#]],3,0)</f>
        <v>0.32608695652173914</v>
      </c>
      <c r="F135" s="72">
        <f>VLOOKUP(Table106[[#This Row],[NAME]],CHW_H[[NAME]:['#]],4,0)</f>
        <v>0.47398843930635837</v>
      </c>
      <c r="G135" s="77">
        <f>VLOOKUP(Table106[[#This Row],[NAME]],CHW_H[[NAME]:['#]],5,0)</f>
        <v>40</v>
      </c>
      <c r="H135" s="28">
        <f>VLOOKUP(Table106[[#This Row],[NAME]],CHW_H[[NAME]:['#]],6,0)</f>
        <v>173</v>
      </c>
      <c r="I135" s="28">
        <f>VLOOKUP(Table106[[#This Row],[NAME]],CHW_H[[NAME]:['#]],7,0)</f>
        <v>24</v>
      </c>
      <c r="J135" s="28">
        <f>VLOOKUP(Table106[[#This Row],[NAME]],CHW_H[[NAME]:['#]],8,0)</f>
        <v>49</v>
      </c>
      <c r="K135" s="28">
        <f>VLOOKUP(Table106[[#This Row],[NAME]],CHW_H[[NAME]:['#]],9,0)</f>
        <v>12</v>
      </c>
      <c r="L135" s="28">
        <f>VLOOKUP(Table106[[#This Row],[NAME]],CHW_H[[NAME]:['#]],10,0)</f>
        <v>0</v>
      </c>
      <c r="M135" s="28">
        <f>VLOOKUP(Table106[[#This Row],[NAME]],CHW_H[[NAME]:['#]],11,0)</f>
        <v>7</v>
      </c>
      <c r="N135" s="28">
        <f>VLOOKUP(Table106[[#This Row],[NAME]],CHW_H[[NAME]:['#]],12,0)</f>
        <v>29</v>
      </c>
      <c r="O135" s="28">
        <f>VLOOKUP(Table106[[#This Row],[NAME]],CHW_H[[NAME]:['#]],13,0)</f>
        <v>11</v>
      </c>
      <c r="P135" s="28">
        <f>VLOOKUP(Table106[[#This Row],[NAME]],CHW_H[[NAME]:['#]],14,0)</f>
        <v>40</v>
      </c>
      <c r="Q135" s="77">
        <f>VLOOKUP(Table106[[#This Row],[NAME]],CHW_H[[NAME]:['#]],15,0)</f>
        <v>1</v>
      </c>
      <c r="R135" s="28">
        <f>VLOOKUP(Table106[[#This Row],[NAME]],CHW_H[[NAME]:['#]],16,0)</f>
        <v>0</v>
      </c>
      <c r="S135" s="28">
        <f>VLOOKUP(Table106[[#This Row],[NAME]],CHW_H[[NAME]:['#]],17,0)</f>
        <v>8</v>
      </c>
      <c r="T135" s="77">
        <f>VLOOKUP(Table106[[#This Row],[NAME]],CHW_H[[NAME]:['#]],18,0)</f>
        <v>82</v>
      </c>
      <c r="U135" s="72">
        <f>VLOOKUP(Table106[[#This Row],[NAME]],CHW_H[[NAME]:['#]],19,0)</f>
        <v>0.8000753958280975</v>
      </c>
      <c r="V135" s="28">
        <f>VLOOKUP(Table106[[#This Row],[NAME]],CHW_H[[NAME]:['#]],20,0)</f>
        <v>5</v>
      </c>
      <c r="W135" s="75">
        <v>133</v>
      </c>
      <c r="Z135" s="101" t="s">
        <v>539</v>
      </c>
      <c r="AA135" s="352" t="s">
        <v>181</v>
      </c>
      <c r="AB135" s="77" t="s">
        <v>543</v>
      </c>
      <c r="AC135" s="130">
        <v>0.33908045977011492</v>
      </c>
      <c r="AD135" s="72">
        <v>0.375</v>
      </c>
      <c r="AE135" s="72">
        <v>0.55747126436781613</v>
      </c>
      <c r="AF135" s="77">
        <v>40</v>
      </c>
      <c r="AG135" s="28">
        <v>174</v>
      </c>
      <c r="AH135" s="28">
        <v>26</v>
      </c>
      <c r="AI135" s="76">
        <v>59</v>
      </c>
      <c r="AJ135" s="28">
        <v>11</v>
      </c>
      <c r="AK135" s="28">
        <v>0</v>
      </c>
      <c r="AL135" s="28">
        <v>9</v>
      </c>
      <c r="AM135" s="28">
        <v>26</v>
      </c>
      <c r="AN135" s="28">
        <v>10</v>
      </c>
      <c r="AO135" s="28">
        <v>50</v>
      </c>
      <c r="AP135" s="77">
        <v>1</v>
      </c>
      <c r="AQ135" s="28">
        <v>1</v>
      </c>
      <c r="AR135" s="28">
        <v>10</v>
      </c>
      <c r="AS135" s="77">
        <v>97</v>
      </c>
      <c r="AT135" s="72">
        <v>0.93247126436781613</v>
      </c>
      <c r="AU135" s="28">
        <v>2</v>
      </c>
      <c r="AV135" s="75">
        <v>133</v>
      </c>
      <c r="AY135" s="101" t="s">
        <v>539</v>
      </c>
      <c r="AZ135" s="77" t="s">
        <v>181</v>
      </c>
      <c r="BA135" s="77" t="s">
        <v>543</v>
      </c>
      <c r="BB135" s="130">
        <v>0.25</v>
      </c>
      <c r="BC135" s="72">
        <v>0.3089887640449438</v>
      </c>
      <c r="BD135" s="72">
        <v>0.45121951219512196</v>
      </c>
      <c r="BE135" s="77">
        <v>40</v>
      </c>
      <c r="BF135" s="28">
        <v>164</v>
      </c>
      <c r="BG135" s="28">
        <v>23</v>
      </c>
      <c r="BH135" s="28">
        <v>41</v>
      </c>
      <c r="BI135" s="28">
        <v>9</v>
      </c>
      <c r="BJ135" s="28">
        <v>0</v>
      </c>
      <c r="BK135" s="28">
        <v>8</v>
      </c>
      <c r="BL135" s="28">
        <v>10</v>
      </c>
      <c r="BM135" s="28">
        <v>14</v>
      </c>
      <c r="BN135" s="28">
        <v>48</v>
      </c>
      <c r="BO135" s="77">
        <v>1</v>
      </c>
      <c r="BP135" s="28">
        <v>0</v>
      </c>
      <c r="BQ135" s="28">
        <v>8</v>
      </c>
      <c r="BR135" s="77">
        <v>74</v>
      </c>
      <c r="BS135" s="72">
        <v>0.76020827624006571</v>
      </c>
      <c r="BT135" s="28">
        <v>2</v>
      </c>
      <c r="BU135" s="75">
        <v>133</v>
      </c>
    </row>
    <row r="136" spans="1:73">
      <c r="A136" s="101" t="s">
        <v>539</v>
      </c>
      <c r="B136" s="71" t="s">
        <v>166</v>
      </c>
      <c r="C136" s="71" t="s">
        <v>508</v>
      </c>
      <c r="D136" s="72">
        <f>VLOOKUP(Table106[[#This Row],[NAME]],CHW_H[[NAME]:['#]],2,0)</f>
        <v>0.25600000000000001</v>
      </c>
      <c r="E136" s="72">
        <f>VLOOKUP(Table106[[#This Row],[NAME]],CHW_H[[NAME]:['#]],3,0)</f>
        <v>0.30597014925373134</v>
      </c>
      <c r="F136" s="72">
        <f>VLOOKUP(Table106[[#This Row],[NAME]],CHW_H[[NAME]:['#]],4,0)</f>
        <v>0.39200000000000002</v>
      </c>
      <c r="G136" s="77">
        <f>VLOOKUP(Table106[[#This Row],[NAME]],CHW_H[[NAME]:['#]],5,0)</f>
        <v>32</v>
      </c>
      <c r="H136" s="28">
        <f>VLOOKUP(Table106[[#This Row],[NAME]],CHW_H[[NAME]:['#]],6,0)</f>
        <v>125</v>
      </c>
      <c r="I136" s="28">
        <f>VLOOKUP(Table106[[#This Row],[NAME]],CHW_H[[NAME]:['#]],7,0)</f>
        <v>17</v>
      </c>
      <c r="J136" s="28">
        <f>VLOOKUP(Table106[[#This Row],[NAME]],CHW_H[[NAME]:['#]],8,0)</f>
        <v>32</v>
      </c>
      <c r="K136" s="28">
        <f>VLOOKUP(Table106[[#This Row],[NAME]],CHW_H[[NAME]:['#]],9,0)</f>
        <v>8</v>
      </c>
      <c r="L136" s="28">
        <f>VLOOKUP(Table106[[#This Row],[NAME]],CHW_H[[NAME]:['#]],10,0)</f>
        <v>0</v>
      </c>
      <c r="M136" s="28">
        <f>VLOOKUP(Table106[[#This Row],[NAME]],CHW_H[[NAME]:['#]],11,0)</f>
        <v>3</v>
      </c>
      <c r="N136" s="28">
        <f>VLOOKUP(Table106[[#This Row],[NAME]],CHW_H[[NAME]:['#]],12,0)</f>
        <v>9</v>
      </c>
      <c r="O136" s="28">
        <f>VLOOKUP(Table106[[#This Row],[NAME]],CHW_H[[NAME]:['#]],13,0)</f>
        <v>9</v>
      </c>
      <c r="P136" s="28">
        <f>VLOOKUP(Table106[[#This Row],[NAME]],CHW_H[[NAME]:['#]],14,0)</f>
        <v>30</v>
      </c>
      <c r="Q136" s="77">
        <f>VLOOKUP(Table106[[#This Row],[NAME]],CHW_H[[NAME]:['#]],15,0)</f>
        <v>0</v>
      </c>
      <c r="R136" s="28">
        <f>VLOOKUP(Table106[[#This Row],[NAME]],CHW_H[[NAME]:['#]],16,0)</f>
        <v>0</v>
      </c>
      <c r="S136" s="28">
        <f>VLOOKUP(Table106[[#This Row],[NAME]],CHW_H[[NAME]:['#]],17,0)</f>
        <v>6</v>
      </c>
      <c r="T136" s="77">
        <f>VLOOKUP(Table106[[#This Row],[NAME]],CHW_H[[NAME]:['#]],18,0)</f>
        <v>49</v>
      </c>
      <c r="U136" s="72">
        <f>VLOOKUP(Table106[[#This Row],[NAME]],CHW_H[[NAME]:['#]],19,0)</f>
        <v>0.69797014925373135</v>
      </c>
      <c r="V136" s="28">
        <f>VLOOKUP(Table106[[#This Row],[NAME]],CHW_H[[NAME]:['#]],20,0)</f>
        <v>2</v>
      </c>
      <c r="W136" s="75">
        <v>134</v>
      </c>
      <c r="Z136" s="101" t="s">
        <v>539</v>
      </c>
      <c r="AA136" s="77" t="s">
        <v>166</v>
      </c>
      <c r="AB136" s="77" t="s">
        <v>549</v>
      </c>
      <c r="AC136" s="130">
        <v>0.28915662650602408</v>
      </c>
      <c r="AD136" s="72">
        <v>0.31395348837209303</v>
      </c>
      <c r="AE136" s="72">
        <v>0.45783132530120479</v>
      </c>
      <c r="AF136" s="77">
        <v>20</v>
      </c>
      <c r="AG136" s="28">
        <v>83</v>
      </c>
      <c r="AH136" s="28">
        <v>12</v>
      </c>
      <c r="AI136" s="28">
        <v>24</v>
      </c>
      <c r="AJ136" s="28">
        <v>5</v>
      </c>
      <c r="AK136" s="28">
        <v>0</v>
      </c>
      <c r="AL136" s="28">
        <v>3</v>
      </c>
      <c r="AM136" s="28">
        <v>11</v>
      </c>
      <c r="AN136" s="28">
        <v>3</v>
      </c>
      <c r="AO136" s="28">
        <v>10</v>
      </c>
      <c r="AP136" s="77">
        <v>0</v>
      </c>
      <c r="AQ136" s="28">
        <v>0</v>
      </c>
      <c r="AR136" s="28">
        <v>7</v>
      </c>
      <c r="AS136" s="77">
        <v>38</v>
      </c>
      <c r="AT136" s="72">
        <v>0.77178481367329788</v>
      </c>
      <c r="AU136" s="28">
        <v>2</v>
      </c>
      <c r="AV136" s="75">
        <v>134</v>
      </c>
      <c r="AY136" s="101" t="s">
        <v>539</v>
      </c>
      <c r="AZ136" s="77" t="s">
        <v>166</v>
      </c>
      <c r="BA136" s="77" t="s">
        <v>550</v>
      </c>
      <c r="BB136" s="130">
        <v>0.28888888888888886</v>
      </c>
      <c r="BC136" s="72">
        <v>0.31914893617021278</v>
      </c>
      <c r="BD136" s="72">
        <v>0.43333333333333335</v>
      </c>
      <c r="BE136" s="77">
        <v>29</v>
      </c>
      <c r="BF136" s="28">
        <v>90</v>
      </c>
      <c r="BG136" s="28">
        <v>8</v>
      </c>
      <c r="BH136" s="28">
        <v>26</v>
      </c>
      <c r="BI136" s="28">
        <v>3</v>
      </c>
      <c r="BJ136" s="28">
        <v>2</v>
      </c>
      <c r="BK136" s="28">
        <v>2</v>
      </c>
      <c r="BL136" s="28">
        <v>11</v>
      </c>
      <c r="BM136" s="28">
        <v>4</v>
      </c>
      <c r="BN136" s="28">
        <v>25</v>
      </c>
      <c r="BO136" s="77">
        <v>1</v>
      </c>
      <c r="BP136" s="28">
        <v>0</v>
      </c>
      <c r="BQ136" s="28">
        <v>10</v>
      </c>
      <c r="BR136" s="77">
        <v>39</v>
      </c>
      <c r="BS136" s="72">
        <v>0.75248226950354613</v>
      </c>
      <c r="BT136" s="28">
        <v>0</v>
      </c>
      <c r="BU136" s="75">
        <v>134</v>
      </c>
    </row>
    <row r="137" spans="1:73">
      <c r="A137" s="101" t="s">
        <v>539</v>
      </c>
      <c r="B137" s="71" t="s">
        <v>168</v>
      </c>
      <c r="C137" s="71" t="s">
        <v>540</v>
      </c>
      <c r="D137" s="72">
        <f>VLOOKUP(Table106[[#This Row],[NAME]],CHW_H[[NAME]:['#]],2,0)</f>
        <v>0.36912751677852351</v>
      </c>
      <c r="E137" s="594">
        <f>VLOOKUP(Table106[[#This Row],[NAME]],CHW_H[[NAME]:['#]],3,0)</f>
        <v>0.46590909090909088</v>
      </c>
      <c r="F137" s="72">
        <f>VLOOKUP(Table106[[#This Row],[NAME]],CHW_H[[NAME]:['#]],4,0)</f>
        <v>0.64429530201342278</v>
      </c>
      <c r="G137" s="77">
        <f>VLOOKUP(Table106[[#This Row],[NAME]],CHW_H[[NAME]:['#]],5,0)</f>
        <v>40</v>
      </c>
      <c r="H137" s="28">
        <f>VLOOKUP(Table106[[#This Row],[NAME]],CHW_H[[NAME]:['#]],6,0)</f>
        <v>149</v>
      </c>
      <c r="I137" s="28">
        <f>VLOOKUP(Table106[[#This Row],[NAME]],CHW_H[[NAME]:['#]],7,0)</f>
        <v>21</v>
      </c>
      <c r="J137" s="28">
        <f>VLOOKUP(Table106[[#This Row],[NAME]],CHW_H[[NAME]:['#]],8,0)</f>
        <v>55</v>
      </c>
      <c r="K137" s="76">
        <f>VLOOKUP(Table106[[#This Row],[NAME]],CHW_H[[NAME]:['#]],9,0)</f>
        <v>17</v>
      </c>
      <c r="L137" s="28">
        <f>VLOOKUP(Table106[[#This Row],[NAME]],CHW_H[[NAME]:['#]],10,0)</f>
        <v>0</v>
      </c>
      <c r="M137" s="28">
        <f>VLOOKUP(Table106[[#This Row],[NAME]],CHW_H[[NAME]:['#]],11,0)</f>
        <v>8</v>
      </c>
      <c r="N137" s="28">
        <f>VLOOKUP(Table106[[#This Row],[NAME]],CHW_H[[NAME]:['#]],12,0)</f>
        <v>24</v>
      </c>
      <c r="O137" s="28">
        <f>VLOOKUP(Table106[[#This Row],[NAME]],CHW_H[[NAME]:['#]],13,0)</f>
        <v>27</v>
      </c>
      <c r="P137" s="28">
        <f>VLOOKUP(Table106[[#This Row],[NAME]],CHW_H[[NAME]:['#]],14,0)</f>
        <v>31</v>
      </c>
      <c r="Q137" s="77">
        <f>VLOOKUP(Table106[[#This Row],[NAME]],CHW_H[[NAME]:['#]],15,0)</f>
        <v>0</v>
      </c>
      <c r="R137" s="28">
        <f>VLOOKUP(Table106[[#This Row],[NAME]],CHW_H[[NAME]:['#]],16,0)</f>
        <v>1</v>
      </c>
      <c r="S137" s="76">
        <f>VLOOKUP(Table106[[#This Row],[NAME]],CHW_H[[NAME]:['#]],17,0)</f>
        <v>19</v>
      </c>
      <c r="T137" s="77">
        <f>VLOOKUP(Table106[[#This Row],[NAME]],CHW_H[[NAME]:['#]],18,0)</f>
        <v>96</v>
      </c>
      <c r="U137" s="72">
        <f>VLOOKUP(Table106[[#This Row],[NAME]],CHW_H[[NAME]:['#]],19,0)</f>
        <v>1.1102043929225136</v>
      </c>
      <c r="V137" s="28">
        <f>VLOOKUP(Table106[[#This Row],[NAME]],CHW_H[[NAME]:['#]],20,0)</f>
        <v>1</v>
      </c>
      <c r="W137" s="75">
        <v>135</v>
      </c>
      <c r="Z137" s="101" t="s">
        <v>539</v>
      </c>
      <c r="AA137" s="77" t="s">
        <v>168</v>
      </c>
      <c r="AB137" s="77" t="s">
        <v>540</v>
      </c>
      <c r="AC137" s="130">
        <v>0.21768707482993196</v>
      </c>
      <c r="AD137" s="72">
        <v>0.3235294117647059</v>
      </c>
      <c r="AE137" s="72">
        <v>0.42176870748299322</v>
      </c>
      <c r="AF137" s="77">
        <v>38</v>
      </c>
      <c r="AG137" s="28">
        <v>147</v>
      </c>
      <c r="AH137" s="28">
        <v>16</v>
      </c>
      <c r="AI137" s="28">
        <v>32</v>
      </c>
      <c r="AJ137" s="28">
        <v>6</v>
      </c>
      <c r="AK137" s="28">
        <v>0</v>
      </c>
      <c r="AL137" s="28">
        <v>8</v>
      </c>
      <c r="AM137" s="28">
        <v>22</v>
      </c>
      <c r="AN137" s="28">
        <v>23</v>
      </c>
      <c r="AO137" s="28">
        <v>37</v>
      </c>
      <c r="AP137" s="77">
        <v>0</v>
      </c>
      <c r="AQ137" s="28">
        <v>1</v>
      </c>
      <c r="AR137" s="28">
        <v>5</v>
      </c>
      <c r="AS137" s="77">
        <v>62</v>
      </c>
      <c r="AT137" s="72">
        <v>0.74529811924769906</v>
      </c>
      <c r="AU137" s="28">
        <v>2</v>
      </c>
      <c r="AV137" s="75">
        <v>135</v>
      </c>
      <c r="AY137" s="101" t="s">
        <v>539</v>
      </c>
      <c r="AZ137" s="77" t="s">
        <v>168</v>
      </c>
      <c r="BA137" s="77" t="s">
        <v>540</v>
      </c>
      <c r="BB137" s="130">
        <v>0.26277372262773724</v>
      </c>
      <c r="BC137" s="72">
        <v>0.40588235294117647</v>
      </c>
      <c r="BD137" s="72">
        <v>0.51824817518248179</v>
      </c>
      <c r="BE137" s="77">
        <v>40</v>
      </c>
      <c r="BF137" s="28">
        <v>137</v>
      </c>
      <c r="BG137" s="28">
        <v>20</v>
      </c>
      <c r="BH137" s="28">
        <v>36</v>
      </c>
      <c r="BI137" s="28">
        <v>11</v>
      </c>
      <c r="BJ137" s="28">
        <v>0</v>
      </c>
      <c r="BK137" s="28">
        <v>8</v>
      </c>
      <c r="BL137" s="28">
        <v>27</v>
      </c>
      <c r="BM137" s="28">
        <v>33</v>
      </c>
      <c r="BN137" s="28">
        <v>33</v>
      </c>
      <c r="BO137" s="77">
        <v>0</v>
      </c>
      <c r="BP137" s="28">
        <v>1</v>
      </c>
      <c r="BQ137" s="28">
        <v>4</v>
      </c>
      <c r="BR137" s="77">
        <v>71</v>
      </c>
      <c r="BS137" s="72">
        <v>0.92413052812365826</v>
      </c>
      <c r="BT137" s="28">
        <v>5</v>
      </c>
      <c r="BU137" s="75">
        <v>135</v>
      </c>
    </row>
    <row r="138" spans="1:73">
      <c r="A138" s="101" t="s">
        <v>539</v>
      </c>
      <c r="B138" s="71" t="s">
        <v>308</v>
      </c>
      <c r="C138" s="71" t="s">
        <v>554</v>
      </c>
      <c r="D138" s="72">
        <f>VLOOKUP(Table106[[#This Row],[NAME]],CHW_H[[NAME]:['#]],2,0)</f>
        <v>0.26666666666666666</v>
      </c>
      <c r="E138" s="72">
        <f>VLOOKUP(Table106[[#This Row],[NAME]],CHW_H[[NAME]:['#]],3,0)</f>
        <v>0.3125</v>
      </c>
      <c r="F138" s="72">
        <f>VLOOKUP(Table106[[#This Row],[NAME]],CHW_H[[NAME]:['#]],4,0)</f>
        <v>0.5</v>
      </c>
      <c r="G138" s="77">
        <f>VLOOKUP(Table106[[#This Row],[NAME]],CHW_H[[NAME]:['#]],5,0)</f>
        <v>8</v>
      </c>
      <c r="H138" s="28">
        <f>VLOOKUP(Table106[[#This Row],[NAME]],CHW_H[[NAME]:['#]],6,0)</f>
        <v>30</v>
      </c>
      <c r="I138" s="28">
        <f>VLOOKUP(Table106[[#This Row],[NAME]],CHW_H[[NAME]:['#]],7,0)</f>
        <v>4</v>
      </c>
      <c r="J138" s="28">
        <f>VLOOKUP(Table106[[#This Row],[NAME]],CHW_H[[NAME]:['#]],8,0)</f>
        <v>8</v>
      </c>
      <c r="K138" s="28">
        <f>VLOOKUP(Table106[[#This Row],[NAME]],CHW_H[[NAME]:['#]],9,0)</f>
        <v>1</v>
      </c>
      <c r="L138" s="28">
        <f>VLOOKUP(Table106[[#This Row],[NAME]],CHW_H[[NAME]:['#]],10,0)</f>
        <v>0</v>
      </c>
      <c r="M138" s="28">
        <f>VLOOKUP(Table106[[#This Row],[NAME]],CHW_H[[NAME]:['#]],11,0)</f>
        <v>2</v>
      </c>
      <c r="N138" s="28">
        <f>VLOOKUP(Table106[[#This Row],[NAME]],CHW_H[[NAME]:['#]],12,0)</f>
        <v>5</v>
      </c>
      <c r="O138" s="28">
        <f>VLOOKUP(Table106[[#This Row],[NAME]],CHW_H[[NAME]:['#]],13,0)</f>
        <v>2</v>
      </c>
      <c r="P138" s="28">
        <f>VLOOKUP(Table106[[#This Row],[NAME]],CHW_H[[NAME]:['#]],14,0)</f>
        <v>10</v>
      </c>
      <c r="Q138" s="77">
        <f>VLOOKUP(Table106[[#This Row],[NAME]],CHW_H[[NAME]:['#]],15,0)</f>
        <v>0</v>
      </c>
      <c r="R138" s="28">
        <f>VLOOKUP(Table106[[#This Row],[NAME]],CHW_H[[NAME]:['#]],16,0)</f>
        <v>0</v>
      </c>
      <c r="S138" s="28">
        <f>VLOOKUP(Table106[[#This Row],[NAME]],CHW_H[[NAME]:['#]],17,0)</f>
        <v>7</v>
      </c>
      <c r="T138" s="77">
        <f>VLOOKUP(Table106[[#This Row],[NAME]],CHW_H[[NAME]:['#]],18,0)</f>
        <v>15</v>
      </c>
      <c r="U138" s="72">
        <f>VLOOKUP(Table106[[#This Row],[NAME]],CHW_H[[NAME]:['#]],19,0)</f>
        <v>0.8125</v>
      </c>
      <c r="V138" s="28">
        <f>VLOOKUP(Table106[[#This Row],[NAME]],CHW_H[[NAME]:['#]],20,0)</f>
        <v>0</v>
      </c>
      <c r="W138" s="75">
        <v>136</v>
      </c>
      <c r="Z138" s="101" t="s">
        <v>539</v>
      </c>
      <c r="AA138" s="77" t="s">
        <v>192</v>
      </c>
      <c r="AB138" s="77" t="s">
        <v>545</v>
      </c>
      <c r="AC138" s="130">
        <v>0.22580645161290322</v>
      </c>
      <c r="AD138" s="72">
        <v>0.27272727272727271</v>
      </c>
      <c r="AE138" s="72">
        <v>0.38709677419354838</v>
      </c>
      <c r="AF138" s="77">
        <v>8</v>
      </c>
      <c r="AG138" s="28">
        <v>31</v>
      </c>
      <c r="AH138" s="28">
        <v>4</v>
      </c>
      <c r="AI138" s="28">
        <v>7</v>
      </c>
      <c r="AJ138" s="28">
        <v>3</v>
      </c>
      <c r="AK138" s="28">
        <v>1</v>
      </c>
      <c r="AL138" s="28">
        <v>0</v>
      </c>
      <c r="AM138" s="28">
        <v>1</v>
      </c>
      <c r="AN138" s="28">
        <v>2</v>
      </c>
      <c r="AO138" s="28">
        <v>8</v>
      </c>
      <c r="AP138" s="77">
        <v>0</v>
      </c>
      <c r="AQ138" s="28">
        <v>1</v>
      </c>
      <c r="AR138" s="28">
        <v>3</v>
      </c>
      <c r="AS138" s="77">
        <v>12</v>
      </c>
      <c r="AT138" s="72">
        <v>0.65982404692082108</v>
      </c>
      <c r="AU138" s="28">
        <v>0</v>
      </c>
      <c r="AV138" s="75">
        <v>136</v>
      </c>
      <c r="AY138" s="101" t="s">
        <v>539</v>
      </c>
      <c r="AZ138" s="77" t="s">
        <v>179</v>
      </c>
      <c r="BA138" s="77" t="s">
        <v>553</v>
      </c>
      <c r="BB138" s="130">
        <v>0.33333333333333331</v>
      </c>
      <c r="BC138" s="72">
        <v>0.39130434782608697</v>
      </c>
      <c r="BD138" s="72">
        <v>0.47619047619047616</v>
      </c>
      <c r="BE138" s="77">
        <v>8</v>
      </c>
      <c r="BF138" s="28">
        <v>21</v>
      </c>
      <c r="BG138" s="28">
        <v>3</v>
      </c>
      <c r="BH138" s="28">
        <v>7</v>
      </c>
      <c r="BI138" s="28">
        <v>0</v>
      </c>
      <c r="BJ138" s="28">
        <v>0</v>
      </c>
      <c r="BK138" s="28">
        <v>1</v>
      </c>
      <c r="BL138" s="28">
        <v>4</v>
      </c>
      <c r="BM138" s="28">
        <v>2</v>
      </c>
      <c r="BN138" s="28">
        <v>6</v>
      </c>
      <c r="BO138" s="77">
        <v>0</v>
      </c>
      <c r="BP138" s="28">
        <v>0</v>
      </c>
      <c r="BQ138" s="28">
        <v>2</v>
      </c>
      <c r="BR138" s="77">
        <v>10</v>
      </c>
      <c r="BS138" s="72">
        <v>0.86749482401656319</v>
      </c>
      <c r="BT138" s="28">
        <v>0</v>
      </c>
      <c r="BU138" s="75">
        <v>136</v>
      </c>
    </row>
    <row r="139" spans="1:73">
      <c r="A139" s="101" t="s">
        <v>539</v>
      </c>
      <c r="B139" s="71" t="s">
        <v>187</v>
      </c>
      <c r="C139" s="71" t="s">
        <v>546</v>
      </c>
      <c r="D139" s="72">
        <f>VLOOKUP(Table106[[#This Row],[NAME]],CHW_H[[NAME]:['#]],2,0)</f>
        <v>0.14285714285714285</v>
      </c>
      <c r="E139" s="72">
        <f>VLOOKUP(Table106[[#This Row],[NAME]],CHW_H[[NAME]:['#]],3,0)</f>
        <v>0.16666666666666666</v>
      </c>
      <c r="F139" s="72">
        <f>VLOOKUP(Table106[[#This Row],[NAME]],CHW_H[[NAME]:['#]],4,0)</f>
        <v>0.15714285714285714</v>
      </c>
      <c r="G139" s="77">
        <f>VLOOKUP(Table106[[#This Row],[NAME]],CHW_H[[NAME]:['#]],5,0)</f>
        <v>19</v>
      </c>
      <c r="H139" s="28">
        <f>VLOOKUP(Table106[[#This Row],[NAME]],CHW_H[[NAME]:['#]],6,0)</f>
        <v>70</v>
      </c>
      <c r="I139" s="28">
        <f>VLOOKUP(Table106[[#This Row],[NAME]],CHW_H[[NAME]:['#]],7,0)</f>
        <v>6</v>
      </c>
      <c r="J139" s="28">
        <f>VLOOKUP(Table106[[#This Row],[NAME]],CHW_H[[NAME]:['#]],8,0)</f>
        <v>10</v>
      </c>
      <c r="K139" s="28">
        <f>VLOOKUP(Table106[[#This Row],[NAME]],CHW_H[[NAME]:['#]],9,0)</f>
        <v>1</v>
      </c>
      <c r="L139" s="28">
        <f>VLOOKUP(Table106[[#This Row],[NAME]],CHW_H[[NAME]:['#]],10,0)</f>
        <v>0</v>
      </c>
      <c r="M139" s="28">
        <f>VLOOKUP(Table106[[#This Row],[NAME]],CHW_H[[NAME]:['#]],11,0)</f>
        <v>0</v>
      </c>
      <c r="N139" s="28">
        <f>VLOOKUP(Table106[[#This Row],[NAME]],CHW_H[[NAME]:['#]],12,0)</f>
        <v>4</v>
      </c>
      <c r="O139" s="28">
        <f>VLOOKUP(Table106[[#This Row],[NAME]],CHW_H[[NAME]:['#]],13,0)</f>
        <v>2</v>
      </c>
      <c r="P139" s="28">
        <f>VLOOKUP(Table106[[#This Row],[NAME]],CHW_H[[NAME]:['#]],14,0)</f>
        <v>7</v>
      </c>
      <c r="Q139" s="77">
        <f>VLOOKUP(Table106[[#This Row],[NAME]],CHW_H[[NAME]:['#]],15,0)</f>
        <v>0</v>
      </c>
      <c r="R139" s="28">
        <f>VLOOKUP(Table106[[#This Row],[NAME]],CHW_H[[NAME]:['#]],16,0)</f>
        <v>2</v>
      </c>
      <c r="S139" s="28">
        <f>VLOOKUP(Table106[[#This Row],[NAME]],CHW_H[[NAME]:['#]],17,0)</f>
        <v>3</v>
      </c>
      <c r="T139" s="77">
        <f>VLOOKUP(Table106[[#This Row],[NAME]],CHW_H[[NAME]:['#]],18,0)</f>
        <v>11</v>
      </c>
      <c r="U139" s="72">
        <f>VLOOKUP(Table106[[#This Row],[NAME]],CHW_H[[NAME]:['#]],19,0)</f>
        <v>0.32380952380952377</v>
      </c>
      <c r="V139" s="28">
        <f>VLOOKUP(Table106[[#This Row],[NAME]],CHW_H[[NAME]:['#]],20,0)</f>
        <v>0</v>
      </c>
      <c r="W139" s="75">
        <v>137</v>
      </c>
      <c r="Z139" s="101" t="s">
        <v>539</v>
      </c>
      <c r="AA139" s="77" t="s">
        <v>187</v>
      </c>
      <c r="AB139" s="77" t="s">
        <v>555</v>
      </c>
      <c r="AC139" s="130">
        <v>0.23809523809523808</v>
      </c>
      <c r="AD139" s="72">
        <v>0.30434782608695654</v>
      </c>
      <c r="AE139" s="72">
        <v>0.38095238095238093</v>
      </c>
      <c r="AF139" s="77">
        <v>6</v>
      </c>
      <c r="AG139" s="28">
        <v>21</v>
      </c>
      <c r="AH139" s="28">
        <v>4</v>
      </c>
      <c r="AI139" s="28">
        <v>5</v>
      </c>
      <c r="AJ139" s="28">
        <v>0</v>
      </c>
      <c r="AK139" s="28">
        <v>0</v>
      </c>
      <c r="AL139" s="28">
        <v>1</v>
      </c>
      <c r="AM139" s="28">
        <v>1</v>
      </c>
      <c r="AN139" s="28">
        <v>2</v>
      </c>
      <c r="AO139" s="28">
        <v>3</v>
      </c>
      <c r="AP139" s="77">
        <v>0</v>
      </c>
      <c r="AQ139" s="28">
        <v>2</v>
      </c>
      <c r="AR139" s="28">
        <v>2</v>
      </c>
      <c r="AS139" s="77">
        <v>8</v>
      </c>
      <c r="AT139" s="72">
        <v>0.68530020703933747</v>
      </c>
      <c r="AU139" s="28">
        <v>0</v>
      </c>
      <c r="AV139" s="75">
        <v>137</v>
      </c>
      <c r="AY139" s="101" t="s">
        <v>539</v>
      </c>
      <c r="AZ139" s="77" t="s">
        <v>192</v>
      </c>
      <c r="BA139" s="77" t="s">
        <v>555</v>
      </c>
      <c r="BB139" s="130">
        <v>0.2</v>
      </c>
      <c r="BC139" s="72">
        <v>0.2</v>
      </c>
      <c r="BD139" s="72">
        <v>0.2</v>
      </c>
      <c r="BE139" s="77">
        <v>5</v>
      </c>
      <c r="BF139" s="28">
        <v>10</v>
      </c>
      <c r="BG139" s="28">
        <v>0</v>
      </c>
      <c r="BH139" s="28">
        <v>2</v>
      </c>
      <c r="BI139" s="28">
        <v>0</v>
      </c>
      <c r="BJ139" s="28">
        <v>0</v>
      </c>
      <c r="BK139" s="28">
        <v>0</v>
      </c>
      <c r="BL139" s="28">
        <v>0</v>
      </c>
      <c r="BM139" s="28">
        <v>0</v>
      </c>
      <c r="BN139" s="28">
        <v>3</v>
      </c>
      <c r="BO139" s="77">
        <v>0</v>
      </c>
      <c r="BP139" s="28">
        <v>1</v>
      </c>
      <c r="BQ139" s="28">
        <v>1</v>
      </c>
      <c r="BR139" s="77">
        <v>2</v>
      </c>
      <c r="BS139" s="72">
        <v>0.4</v>
      </c>
      <c r="BT139" s="28">
        <v>0</v>
      </c>
      <c r="BU139" s="75">
        <v>137</v>
      </c>
    </row>
    <row r="140" spans="1:73">
      <c r="A140" s="101" t="s">
        <v>539</v>
      </c>
      <c r="B140" s="71" t="s">
        <v>187</v>
      </c>
      <c r="C140" s="71" t="s">
        <v>551</v>
      </c>
      <c r="D140" s="72">
        <f>VLOOKUP(Table106[[#This Row],[NAME]],CHW_H[[NAME]:['#]],2,0)</f>
        <v>0.29729729729729731</v>
      </c>
      <c r="E140" s="72">
        <f>VLOOKUP(Table106[[#This Row],[NAME]],CHW_H[[NAME]:['#]],3,0)</f>
        <v>0.36585365853658536</v>
      </c>
      <c r="F140" s="72">
        <f>VLOOKUP(Table106[[#This Row],[NAME]],CHW_H[[NAME]:['#]],4,0)</f>
        <v>0.48648648648648651</v>
      </c>
      <c r="G140" s="77">
        <f>VLOOKUP(Table106[[#This Row],[NAME]],CHW_H[[NAME]:['#]],5,0)</f>
        <v>11</v>
      </c>
      <c r="H140" s="28">
        <f>VLOOKUP(Table106[[#This Row],[NAME]],CHW_H[[NAME]:['#]],6,0)</f>
        <v>37</v>
      </c>
      <c r="I140" s="28">
        <f>VLOOKUP(Table106[[#This Row],[NAME]],CHW_H[[NAME]:['#]],7,0)</f>
        <v>6</v>
      </c>
      <c r="J140" s="28">
        <f>VLOOKUP(Table106[[#This Row],[NAME]],CHW_H[[NAME]:['#]],8,0)</f>
        <v>11</v>
      </c>
      <c r="K140" s="28">
        <f>VLOOKUP(Table106[[#This Row],[NAME]],CHW_H[[NAME]:['#]],9,0)</f>
        <v>1</v>
      </c>
      <c r="L140" s="28">
        <f>VLOOKUP(Table106[[#This Row],[NAME]],CHW_H[[NAME]:['#]],10,0)</f>
        <v>0</v>
      </c>
      <c r="M140" s="28">
        <f>VLOOKUP(Table106[[#This Row],[NAME]],CHW_H[[NAME]:['#]],11,0)</f>
        <v>2</v>
      </c>
      <c r="N140" s="28">
        <f>VLOOKUP(Table106[[#This Row],[NAME]],CHW_H[[NAME]:['#]],12,0)</f>
        <v>4</v>
      </c>
      <c r="O140" s="28">
        <f>VLOOKUP(Table106[[#This Row],[NAME]],CHW_H[[NAME]:['#]],13,0)</f>
        <v>4</v>
      </c>
      <c r="P140" s="28">
        <f>VLOOKUP(Table106[[#This Row],[NAME]],CHW_H[[NAME]:['#]],14,0)</f>
        <v>5</v>
      </c>
      <c r="Q140" s="77">
        <f>VLOOKUP(Table106[[#This Row],[NAME]],CHW_H[[NAME]:['#]],15,0)</f>
        <v>0</v>
      </c>
      <c r="R140" s="28">
        <f>VLOOKUP(Table106[[#This Row],[NAME]],CHW_H[[NAME]:['#]],16,0)</f>
        <v>2</v>
      </c>
      <c r="S140" s="28">
        <f>VLOOKUP(Table106[[#This Row],[NAME]],CHW_H[[NAME]:['#]],17,0)</f>
        <v>3</v>
      </c>
      <c r="T140" s="77">
        <f>VLOOKUP(Table106[[#This Row],[NAME]],CHW_H[[NAME]:['#]],18,0)</f>
        <v>18</v>
      </c>
      <c r="U140" s="72">
        <f>VLOOKUP(Table106[[#This Row],[NAME]],CHW_H[[NAME]:['#]],19,0)</f>
        <v>0.85234014502307187</v>
      </c>
      <c r="V140" s="28">
        <f>VLOOKUP(Table106[[#This Row],[NAME]],CHW_H[[NAME]:['#]],20,0)</f>
        <v>0</v>
      </c>
      <c r="W140" s="75">
        <v>138</v>
      </c>
      <c r="Z140" s="101" t="s">
        <v>539</v>
      </c>
      <c r="AA140" s="77" t="s">
        <v>187</v>
      </c>
      <c r="AB140" s="77" t="s">
        <v>551</v>
      </c>
      <c r="AC140" s="130">
        <v>0.16279069767441862</v>
      </c>
      <c r="AD140" s="72">
        <v>0.18181818181818182</v>
      </c>
      <c r="AE140" s="72">
        <v>0.32558139534883723</v>
      </c>
      <c r="AF140" s="77">
        <v>10</v>
      </c>
      <c r="AG140" s="28">
        <v>43</v>
      </c>
      <c r="AH140" s="28">
        <v>2</v>
      </c>
      <c r="AI140" s="28">
        <v>7</v>
      </c>
      <c r="AJ140" s="28">
        <v>1</v>
      </c>
      <c r="AK140" s="28">
        <v>0</v>
      </c>
      <c r="AL140" s="28">
        <v>2</v>
      </c>
      <c r="AM140" s="28">
        <v>3</v>
      </c>
      <c r="AN140" s="28">
        <v>1</v>
      </c>
      <c r="AO140" s="28">
        <v>8</v>
      </c>
      <c r="AP140" s="77">
        <v>0</v>
      </c>
      <c r="AQ140" s="28">
        <v>3</v>
      </c>
      <c r="AR140" s="28">
        <v>3</v>
      </c>
      <c r="AS140" s="77">
        <v>14</v>
      </c>
      <c r="AT140" s="72">
        <v>0.507399577167019</v>
      </c>
      <c r="AU140" s="28">
        <v>0</v>
      </c>
      <c r="AV140" s="75">
        <v>138</v>
      </c>
      <c r="AY140" s="101" t="s">
        <v>539</v>
      </c>
      <c r="AZ140" s="77" t="s">
        <v>192</v>
      </c>
      <c r="BA140" s="77" t="s">
        <v>551</v>
      </c>
      <c r="BB140" s="130">
        <v>0.6</v>
      </c>
      <c r="BC140" s="72">
        <v>0.7142857142857143</v>
      </c>
      <c r="BD140" s="72">
        <v>0.8</v>
      </c>
      <c r="BE140" s="77">
        <v>2</v>
      </c>
      <c r="BF140" s="28">
        <v>5</v>
      </c>
      <c r="BG140" s="28">
        <v>1</v>
      </c>
      <c r="BH140" s="28">
        <v>3</v>
      </c>
      <c r="BI140" s="28">
        <v>1</v>
      </c>
      <c r="BJ140" s="28">
        <v>0</v>
      </c>
      <c r="BK140" s="28">
        <v>0</v>
      </c>
      <c r="BL140" s="28">
        <v>0</v>
      </c>
      <c r="BM140" s="28">
        <v>2</v>
      </c>
      <c r="BN140" s="28">
        <v>1</v>
      </c>
      <c r="BO140" s="77">
        <v>0</v>
      </c>
      <c r="BP140" s="28">
        <v>0</v>
      </c>
      <c r="BQ140" s="28">
        <v>1</v>
      </c>
      <c r="BR140" s="77">
        <v>4</v>
      </c>
      <c r="BS140" s="72">
        <v>1.5142857142857142</v>
      </c>
      <c r="BT140" s="28">
        <v>0</v>
      </c>
      <c r="BU140" s="75">
        <v>138</v>
      </c>
    </row>
    <row r="141" spans="1:73">
      <c r="A141" s="101" t="s">
        <v>539</v>
      </c>
      <c r="B141" s="71" t="s">
        <v>186</v>
      </c>
      <c r="C141" s="71" t="s">
        <v>549</v>
      </c>
      <c r="D141" s="72">
        <f>VLOOKUP(Table106[[#This Row],[NAME]],CHW_H[[NAME]:['#]],2,0)</f>
        <v>0.2</v>
      </c>
      <c r="E141" s="72">
        <f>VLOOKUP(Table106[[#This Row],[NAME]],CHW_H[[NAME]:['#]],3,0)</f>
        <v>0.25925925925925924</v>
      </c>
      <c r="F141" s="72">
        <f>VLOOKUP(Table106[[#This Row],[NAME]],CHW_H[[NAME]:['#]],4,0)</f>
        <v>0.32</v>
      </c>
      <c r="G141" s="77">
        <f>VLOOKUP(Table106[[#This Row],[NAME]],CHW_H[[NAME]:['#]],5,0)</f>
        <v>6</v>
      </c>
      <c r="H141" s="28">
        <f>VLOOKUP(Table106[[#This Row],[NAME]],CHW_H[[NAME]:['#]],6,0)</f>
        <v>25</v>
      </c>
      <c r="I141" s="28">
        <f>VLOOKUP(Table106[[#This Row],[NAME]],CHW_H[[NAME]:['#]],7,0)</f>
        <v>3</v>
      </c>
      <c r="J141" s="28">
        <f>VLOOKUP(Table106[[#This Row],[NAME]],CHW_H[[NAME]:['#]],8,0)</f>
        <v>5</v>
      </c>
      <c r="K141" s="28">
        <f>VLOOKUP(Table106[[#This Row],[NAME]],CHW_H[[NAME]:['#]],9,0)</f>
        <v>0</v>
      </c>
      <c r="L141" s="28">
        <f>VLOOKUP(Table106[[#This Row],[NAME]],CHW_H[[NAME]:['#]],10,0)</f>
        <v>0</v>
      </c>
      <c r="M141" s="28">
        <f>VLOOKUP(Table106[[#This Row],[NAME]],CHW_H[[NAME]:['#]],11,0)</f>
        <v>1</v>
      </c>
      <c r="N141" s="28">
        <f>VLOOKUP(Table106[[#This Row],[NAME]],CHW_H[[NAME]:['#]],12,0)</f>
        <v>1</v>
      </c>
      <c r="O141" s="28">
        <f>VLOOKUP(Table106[[#This Row],[NAME]],CHW_H[[NAME]:['#]],13,0)</f>
        <v>2</v>
      </c>
      <c r="P141" s="28">
        <f>VLOOKUP(Table106[[#This Row],[NAME]],CHW_H[[NAME]:['#]],14,0)</f>
        <v>7</v>
      </c>
      <c r="Q141" s="77">
        <f>VLOOKUP(Table106[[#This Row],[NAME]],CHW_H[[NAME]:['#]],15,0)</f>
        <v>0</v>
      </c>
      <c r="R141" s="28">
        <f>VLOOKUP(Table106[[#This Row],[NAME]],CHW_H[[NAME]:['#]],16,0)</f>
        <v>0</v>
      </c>
      <c r="S141" s="28">
        <f>VLOOKUP(Table106[[#This Row],[NAME]],CHW_H[[NAME]:['#]],17,0)</f>
        <v>4</v>
      </c>
      <c r="T141" s="77">
        <f>VLOOKUP(Table106[[#This Row],[NAME]],CHW_H[[NAME]:['#]],18,0)</f>
        <v>8</v>
      </c>
      <c r="U141" s="72">
        <f>VLOOKUP(Table106[[#This Row],[NAME]],CHW_H[[NAME]:['#]],19,0)</f>
        <v>0.57925925925925925</v>
      </c>
      <c r="V141" s="28">
        <f>VLOOKUP(Table106[[#This Row],[NAME]],CHW_H[[NAME]:['#]],20,0)</f>
        <v>0</v>
      </c>
      <c r="W141" s="75">
        <v>139</v>
      </c>
      <c r="Z141" s="101" t="s">
        <v>539</v>
      </c>
      <c r="AA141" s="77" t="s">
        <v>186</v>
      </c>
      <c r="AB141" s="77" t="s">
        <v>550</v>
      </c>
      <c r="AC141" s="130">
        <v>0.25</v>
      </c>
      <c r="AD141" s="72">
        <v>0.2857142857142857</v>
      </c>
      <c r="AE141" s="72">
        <v>0.4</v>
      </c>
      <c r="AF141" s="77">
        <v>6</v>
      </c>
      <c r="AG141" s="28">
        <v>20</v>
      </c>
      <c r="AH141" s="28">
        <v>4</v>
      </c>
      <c r="AI141" s="28">
        <v>5</v>
      </c>
      <c r="AJ141" s="28">
        <v>0</v>
      </c>
      <c r="AK141" s="28">
        <v>0</v>
      </c>
      <c r="AL141" s="28">
        <v>1</v>
      </c>
      <c r="AM141" s="28">
        <v>1</v>
      </c>
      <c r="AN141" s="28">
        <v>1</v>
      </c>
      <c r="AO141" s="28">
        <v>8</v>
      </c>
      <c r="AP141" s="77">
        <v>1</v>
      </c>
      <c r="AQ141" s="28">
        <v>0</v>
      </c>
      <c r="AR141" s="28">
        <v>3</v>
      </c>
      <c r="AS141" s="77">
        <v>8</v>
      </c>
      <c r="AT141" s="72">
        <v>0.68571428571428572</v>
      </c>
      <c r="AU141" s="28">
        <v>0</v>
      </c>
      <c r="AV141" s="75">
        <v>139</v>
      </c>
      <c r="AY141" s="101" t="s">
        <v>539</v>
      </c>
      <c r="AZ141" s="77" t="s">
        <v>186</v>
      </c>
      <c r="BA141" s="77" t="s">
        <v>549</v>
      </c>
      <c r="BB141" s="130">
        <v>0.22388059701492538</v>
      </c>
      <c r="BC141" s="72">
        <v>0.28767123287671231</v>
      </c>
      <c r="BD141" s="72">
        <v>0.31343283582089554</v>
      </c>
      <c r="BE141" s="77">
        <v>20</v>
      </c>
      <c r="BF141" s="28">
        <v>67</v>
      </c>
      <c r="BG141" s="28">
        <v>5</v>
      </c>
      <c r="BH141" s="28">
        <v>15</v>
      </c>
      <c r="BI141" s="28">
        <v>3</v>
      </c>
      <c r="BJ141" s="28">
        <v>0</v>
      </c>
      <c r="BK141" s="28">
        <v>1</v>
      </c>
      <c r="BL141" s="28">
        <v>6</v>
      </c>
      <c r="BM141" s="28">
        <v>6</v>
      </c>
      <c r="BN141" s="28">
        <v>20</v>
      </c>
      <c r="BO141" s="77">
        <v>0</v>
      </c>
      <c r="BP141" s="28">
        <v>0</v>
      </c>
      <c r="BQ141" s="28">
        <v>7</v>
      </c>
      <c r="BR141" s="77">
        <v>21</v>
      </c>
      <c r="BS141" s="72">
        <v>0.60110406869760791</v>
      </c>
      <c r="BT141" s="28">
        <v>0</v>
      </c>
      <c r="BU141" s="75">
        <v>139</v>
      </c>
    </row>
    <row r="142" spans="1:73">
      <c r="A142" s="101" t="s">
        <v>539</v>
      </c>
      <c r="B142" s="71" t="s">
        <v>186</v>
      </c>
      <c r="C142" s="71" t="s">
        <v>552</v>
      </c>
      <c r="D142" s="72">
        <f>VLOOKUP(Table106[[#This Row],[NAME]],CHW_H[[NAME]:['#]],2,0)</f>
        <v>0.21052631578947367</v>
      </c>
      <c r="E142" s="72">
        <f>VLOOKUP(Table106[[#This Row],[NAME]],CHW_H[[NAME]:['#]],3,0)</f>
        <v>0.21052631578947367</v>
      </c>
      <c r="F142" s="72">
        <f>VLOOKUP(Table106[[#This Row],[NAME]],CHW_H[[NAME]:['#]],4,0)</f>
        <v>0.84210526315789469</v>
      </c>
      <c r="G142" s="77">
        <f>VLOOKUP(Table106[[#This Row],[NAME]],CHW_H[[NAME]:['#]],5,0)</f>
        <v>5</v>
      </c>
      <c r="H142" s="28">
        <f>VLOOKUP(Table106[[#This Row],[NAME]],CHW_H[[NAME]:['#]],6,0)</f>
        <v>19</v>
      </c>
      <c r="I142" s="28">
        <f>VLOOKUP(Table106[[#This Row],[NAME]],CHW_H[[NAME]:['#]],7,0)</f>
        <v>4</v>
      </c>
      <c r="J142" s="28">
        <f>VLOOKUP(Table106[[#This Row],[NAME]],CHW_H[[NAME]:['#]],8,0)</f>
        <v>4</v>
      </c>
      <c r="K142" s="28">
        <f>VLOOKUP(Table106[[#This Row],[NAME]],CHW_H[[NAME]:['#]],9,0)</f>
        <v>0</v>
      </c>
      <c r="L142" s="28">
        <f>VLOOKUP(Table106[[#This Row],[NAME]],CHW_H[[NAME]:['#]],10,0)</f>
        <v>0</v>
      </c>
      <c r="M142" s="28">
        <f>VLOOKUP(Table106[[#This Row],[NAME]],CHW_H[[NAME]:['#]],11,0)</f>
        <v>4</v>
      </c>
      <c r="N142" s="28">
        <f>VLOOKUP(Table106[[#This Row],[NAME]],CHW_H[[NAME]:['#]],12,0)</f>
        <v>6</v>
      </c>
      <c r="O142" s="28">
        <f>VLOOKUP(Table106[[#This Row],[NAME]],CHW_H[[NAME]:['#]],13,0)</f>
        <v>0</v>
      </c>
      <c r="P142" s="28">
        <f>VLOOKUP(Table106[[#This Row],[NAME]],CHW_H[[NAME]:['#]],14,0)</f>
        <v>2</v>
      </c>
      <c r="Q142" s="77">
        <f>VLOOKUP(Table106[[#This Row],[NAME]],CHW_H[[NAME]:['#]],15,0)</f>
        <v>0</v>
      </c>
      <c r="R142" s="28">
        <f>VLOOKUP(Table106[[#This Row],[NAME]],CHW_H[[NAME]:['#]],16,0)</f>
        <v>0</v>
      </c>
      <c r="S142" s="28">
        <f>VLOOKUP(Table106[[#This Row],[NAME]],CHW_H[[NAME]:['#]],17,0)</f>
        <v>1</v>
      </c>
      <c r="T142" s="77">
        <f>VLOOKUP(Table106[[#This Row],[NAME]],CHW_H[[NAME]:['#]],18,0)</f>
        <v>16</v>
      </c>
      <c r="U142" s="72">
        <f>VLOOKUP(Table106[[#This Row],[NAME]],CHW_H[[NAME]:['#]],19,0)</f>
        <v>1.0526315789473684</v>
      </c>
      <c r="V142" s="28">
        <f>VLOOKUP(Table106[[#This Row],[NAME]],CHW_H[[NAME]:['#]],20,0)</f>
        <v>1</v>
      </c>
      <c r="W142" s="75">
        <v>140</v>
      </c>
      <c r="Z142" s="101" t="s">
        <v>539</v>
      </c>
      <c r="AA142" s="77" t="s">
        <v>186</v>
      </c>
      <c r="AB142" s="77" t="s">
        <v>552</v>
      </c>
      <c r="AC142" s="130">
        <v>0.20930232558139536</v>
      </c>
      <c r="AD142" s="72">
        <v>0.2608695652173913</v>
      </c>
      <c r="AE142" s="72">
        <v>0.30232558139534882</v>
      </c>
      <c r="AF142" s="77">
        <v>11</v>
      </c>
      <c r="AG142" s="28">
        <v>43</v>
      </c>
      <c r="AH142" s="28">
        <v>4</v>
      </c>
      <c r="AI142" s="28">
        <v>9</v>
      </c>
      <c r="AJ142" s="28">
        <v>1</v>
      </c>
      <c r="AK142" s="28">
        <v>0</v>
      </c>
      <c r="AL142" s="28">
        <v>1</v>
      </c>
      <c r="AM142" s="28">
        <v>4</v>
      </c>
      <c r="AN142" s="28">
        <v>3</v>
      </c>
      <c r="AO142" s="28">
        <v>10</v>
      </c>
      <c r="AP142" s="77">
        <v>0</v>
      </c>
      <c r="AQ142" s="28">
        <v>5</v>
      </c>
      <c r="AR142" s="28">
        <v>5</v>
      </c>
      <c r="AS142" s="77">
        <v>13</v>
      </c>
      <c r="AT142" s="72">
        <v>0.56319514661274006</v>
      </c>
      <c r="AU142" s="28">
        <v>0</v>
      </c>
      <c r="AV142" s="75">
        <v>140</v>
      </c>
      <c r="AY142" s="101" t="s">
        <v>539</v>
      </c>
      <c r="AZ142" s="77" t="s">
        <v>184</v>
      </c>
      <c r="BA142" s="77" t="s">
        <v>552</v>
      </c>
      <c r="BB142" s="130">
        <v>0.25</v>
      </c>
      <c r="BC142" s="72">
        <v>0.4</v>
      </c>
      <c r="BD142" s="72">
        <v>0.5</v>
      </c>
      <c r="BE142" s="77">
        <v>13</v>
      </c>
      <c r="BF142" s="28">
        <v>12</v>
      </c>
      <c r="BG142" s="28">
        <v>4</v>
      </c>
      <c r="BH142" s="28">
        <v>3</v>
      </c>
      <c r="BI142" s="28">
        <v>0</v>
      </c>
      <c r="BJ142" s="28">
        <v>0</v>
      </c>
      <c r="BK142" s="28">
        <v>1</v>
      </c>
      <c r="BL142" s="28">
        <v>1</v>
      </c>
      <c r="BM142" s="28">
        <v>3</v>
      </c>
      <c r="BN142" s="28">
        <v>2</v>
      </c>
      <c r="BO142" s="77">
        <v>1</v>
      </c>
      <c r="BP142" s="28">
        <v>0</v>
      </c>
      <c r="BQ142" s="28">
        <v>1</v>
      </c>
      <c r="BR142" s="77">
        <v>6</v>
      </c>
      <c r="BS142" s="72">
        <v>0.9</v>
      </c>
      <c r="BT142" s="28">
        <v>0</v>
      </c>
      <c r="BU142" s="75">
        <v>140</v>
      </c>
    </row>
    <row r="143" spans="1:73">
      <c r="A143" s="101" t="s">
        <v>580</v>
      </c>
      <c r="B143" s="71" t="s">
        <v>308</v>
      </c>
      <c r="C143" s="71" t="s">
        <v>587</v>
      </c>
      <c r="D143" s="72">
        <f>VLOOKUP(Table106[[#This Row],[NAME]],HOU_H[[NAME]:['#]],2,0)</f>
        <v>0.31578947368421051</v>
      </c>
      <c r="E143" s="72">
        <f>VLOOKUP(Table106[[#This Row],[NAME]],HOU_H[[NAME]:['#]],3,0)</f>
        <v>0.33576642335766421</v>
      </c>
      <c r="F143" s="72">
        <f>VLOOKUP(Table106[[#This Row],[NAME]],HOU_H[[NAME]:['#]],4,0)</f>
        <v>0.50375939849624063</v>
      </c>
      <c r="G143" s="77">
        <f>VLOOKUP(Table106[[#This Row],[NAME]],HOU_H[[NAME]:['#]],5,0)</f>
        <v>34</v>
      </c>
      <c r="H143" s="28">
        <f>VLOOKUP(Table106[[#This Row],[NAME]],HOU_H[[NAME]:['#]],6,0)</f>
        <v>133</v>
      </c>
      <c r="I143" s="28">
        <f>VLOOKUP(Table106[[#This Row],[NAME]],HOU_H[[NAME]:['#]],7,0)</f>
        <v>12</v>
      </c>
      <c r="J143" s="28">
        <f>VLOOKUP(Table106[[#This Row],[NAME]],HOU_H[[NAME]:['#]],8,0)</f>
        <v>42</v>
      </c>
      <c r="K143" s="28">
        <f>VLOOKUP(Table106[[#This Row],[NAME]],HOU_H[[NAME]:['#]],9,0)</f>
        <v>10</v>
      </c>
      <c r="L143" s="28">
        <f>VLOOKUP(Table106[[#This Row],[NAME]],HOU_H[[NAME]:['#]],10,0)</f>
        <v>0</v>
      </c>
      <c r="M143" s="28">
        <f>VLOOKUP(Table106[[#This Row],[NAME]],HOU_H[[NAME]:['#]],11,0)</f>
        <v>5</v>
      </c>
      <c r="N143" s="28">
        <f>VLOOKUP(Table106[[#This Row],[NAME]],HOU_H[[NAME]:['#]],12,0)</f>
        <v>27</v>
      </c>
      <c r="O143" s="28">
        <f>VLOOKUP(Table106[[#This Row],[NAME]],HOU_H[[NAME]:['#]],13,0)</f>
        <v>4</v>
      </c>
      <c r="P143" s="28">
        <f>VLOOKUP(Table106[[#This Row],[NAME]],HOU_H[[NAME]:['#]],14,0)</f>
        <v>30</v>
      </c>
      <c r="Q143" s="77">
        <f>VLOOKUP(Table106[[#This Row],[NAME]],HOU_H[[NAME]:['#]],15,0)</f>
        <v>0</v>
      </c>
      <c r="R143" s="28">
        <f>VLOOKUP(Table106[[#This Row],[NAME]],HOU_H[[NAME]:['#]],16,0)</f>
        <v>14</v>
      </c>
      <c r="S143" s="28">
        <f>VLOOKUP(Table106[[#This Row],[NAME]],HOU_H[[NAME]:['#]],17,0)</f>
        <v>14</v>
      </c>
      <c r="T143" s="77">
        <f>VLOOKUP(Table106[[#This Row],[NAME]],HOU_H[[NAME]:['#]],18,0)</f>
        <v>67</v>
      </c>
      <c r="U143" s="72">
        <f>VLOOKUP(Table106[[#This Row],[NAME]],HOU_H[[NAME]:['#]],19,0)</f>
        <v>0.83952582185390479</v>
      </c>
      <c r="V143" s="28">
        <f>VLOOKUP(Table106[[#This Row],[NAME]],HOU_H[[NAME]:['#]],20,0)</f>
        <v>2</v>
      </c>
      <c r="W143" s="75">
        <v>141</v>
      </c>
      <c r="Z143" s="101" t="s">
        <v>580</v>
      </c>
      <c r="AA143" s="77" t="s">
        <v>179</v>
      </c>
      <c r="AB143" s="77" t="s">
        <v>591</v>
      </c>
      <c r="AC143" s="130">
        <v>0.14583333333333334</v>
      </c>
      <c r="AD143" s="72">
        <v>0.22641509433962265</v>
      </c>
      <c r="AE143" s="72">
        <v>0.20833333333333334</v>
      </c>
      <c r="AF143" s="77">
        <v>16</v>
      </c>
      <c r="AG143" s="28">
        <v>48</v>
      </c>
      <c r="AH143" s="28">
        <v>6</v>
      </c>
      <c r="AI143" s="28">
        <v>7</v>
      </c>
      <c r="AJ143" s="28">
        <v>3</v>
      </c>
      <c r="AK143" s="28">
        <v>0</v>
      </c>
      <c r="AL143" s="28">
        <v>0</v>
      </c>
      <c r="AM143" s="28">
        <v>3</v>
      </c>
      <c r="AN143" s="28">
        <v>5</v>
      </c>
      <c r="AO143" s="28">
        <v>17</v>
      </c>
      <c r="AP143" s="77">
        <v>0</v>
      </c>
      <c r="AQ143" s="28">
        <v>2</v>
      </c>
      <c r="AR143" s="28">
        <v>2</v>
      </c>
      <c r="AS143" s="77">
        <v>10</v>
      </c>
      <c r="AT143" s="72">
        <v>0.43474842767295596</v>
      </c>
      <c r="AU143" s="28">
        <v>0</v>
      </c>
      <c r="AV143" s="75">
        <v>141</v>
      </c>
      <c r="AY143" s="366" t="s">
        <v>580</v>
      </c>
      <c r="AZ143" s="77" t="s">
        <v>179</v>
      </c>
      <c r="BA143" s="77" t="s">
        <v>591</v>
      </c>
      <c r="BB143" s="130">
        <v>0.2</v>
      </c>
      <c r="BC143" s="72">
        <v>0.29166666666666669</v>
      </c>
      <c r="BD143" s="72">
        <v>0.32941176470588235</v>
      </c>
      <c r="BE143" s="77">
        <v>33</v>
      </c>
      <c r="BF143" s="28">
        <v>85</v>
      </c>
      <c r="BG143" s="28">
        <v>14</v>
      </c>
      <c r="BH143" s="28">
        <v>17</v>
      </c>
      <c r="BI143" s="28">
        <v>2</v>
      </c>
      <c r="BJ143" s="28">
        <v>0</v>
      </c>
      <c r="BK143" s="28">
        <v>3</v>
      </c>
      <c r="BL143" s="28">
        <v>6</v>
      </c>
      <c r="BM143" s="28">
        <v>11</v>
      </c>
      <c r="BN143" s="28">
        <v>20</v>
      </c>
      <c r="BO143" s="77">
        <v>0</v>
      </c>
      <c r="BP143" s="28">
        <v>0</v>
      </c>
      <c r="BQ143" s="28">
        <v>4</v>
      </c>
      <c r="BR143" s="77">
        <v>28</v>
      </c>
      <c r="BS143" s="72">
        <v>0.62107843137254903</v>
      </c>
      <c r="BT143" s="28">
        <v>0</v>
      </c>
      <c r="BU143" s="75">
        <v>141</v>
      </c>
    </row>
    <row r="144" spans="1:73">
      <c r="A144" s="101" t="s">
        <v>580</v>
      </c>
      <c r="B144" s="71" t="s">
        <v>154</v>
      </c>
      <c r="C144" s="71" t="s">
        <v>582</v>
      </c>
      <c r="D144" s="72">
        <f>VLOOKUP(Table106[[#This Row],[NAME]],HOU_H[[NAME]:['#]],2,0)</f>
        <v>0.27083333333333331</v>
      </c>
      <c r="E144" s="72">
        <f>VLOOKUP(Table106[[#This Row],[NAME]],HOU_H[[NAME]:['#]],3,0)</f>
        <v>0.38953488372093026</v>
      </c>
      <c r="F144" s="72">
        <f>VLOOKUP(Table106[[#This Row],[NAME]],HOU_H[[NAME]:['#]],4,0)</f>
        <v>0.47222222222222221</v>
      </c>
      <c r="G144" s="77">
        <f>VLOOKUP(Table106[[#This Row],[NAME]],HOU_H[[NAME]:['#]],5,0)</f>
        <v>37</v>
      </c>
      <c r="H144" s="28">
        <f>VLOOKUP(Table106[[#This Row],[NAME]],HOU_H[[NAME]:['#]],6,0)</f>
        <v>144</v>
      </c>
      <c r="I144" s="28">
        <f>VLOOKUP(Table106[[#This Row],[NAME]],HOU_H[[NAME]:['#]],7,0)</f>
        <v>21</v>
      </c>
      <c r="J144" s="28">
        <f>VLOOKUP(Table106[[#This Row],[NAME]],HOU_H[[NAME]:['#]],8,0)</f>
        <v>39</v>
      </c>
      <c r="K144" s="28">
        <f>VLOOKUP(Table106[[#This Row],[NAME]],HOU_H[[NAME]:['#]],9,0)</f>
        <v>10</v>
      </c>
      <c r="L144" s="28">
        <f>VLOOKUP(Table106[[#This Row],[NAME]],HOU_H[[NAME]:['#]],10,0)</f>
        <v>5</v>
      </c>
      <c r="M144" s="28">
        <f>VLOOKUP(Table106[[#This Row],[NAME]],HOU_H[[NAME]:['#]],11,0)</f>
        <v>3</v>
      </c>
      <c r="N144" s="28">
        <f>VLOOKUP(Table106[[#This Row],[NAME]],HOU_H[[NAME]:['#]],12,0)</f>
        <v>18</v>
      </c>
      <c r="O144" s="28">
        <f>VLOOKUP(Table106[[#This Row],[NAME]],HOU_H[[NAME]:['#]],13,0)</f>
        <v>28</v>
      </c>
      <c r="P144" s="28">
        <f>VLOOKUP(Table106[[#This Row],[NAME]],HOU_H[[NAME]:['#]],14,0)</f>
        <v>27</v>
      </c>
      <c r="Q144" s="77">
        <f>VLOOKUP(Table106[[#This Row],[NAME]],HOU_H[[NAME]:['#]],15,0)</f>
        <v>0</v>
      </c>
      <c r="R144" s="28">
        <f>VLOOKUP(Table106[[#This Row],[NAME]],HOU_H[[NAME]:['#]],16,0)</f>
        <v>6</v>
      </c>
      <c r="S144" s="28">
        <f>VLOOKUP(Table106[[#This Row],[NAME]],HOU_H[[NAME]:['#]],17,0)</f>
        <v>6</v>
      </c>
      <c r="T144" s="77">
        <f>VLOOKUP(Table106[[#This Row],[NAME]],HOU_H[[NAME]:['#]],18,0)</f>
        <v>68</v>
      </c>
      <c r="U144" s="72">
        <f>VLOOKUP(Table106[[#This Row],[NAME]],HOU_H[[NAME]:['#]],19,0)</f>
        <v>0.86175710594315247</v>
      </c>
      <c r="V144" s="28">
        <f>VLOOKUP(Table106[[#This Row],[NAME]],HOU_H[[NAME]:['#]],20,0)</f>
        <v>1</v>
      </c>
      <c r="W144" s="75">
        <v>142</v>
      </c>
      <c r="Z144" s="101" t="s">
        <v>580</v>
      </c>
      <c r="AA144" s="352" t="s">
        <v>154</v>
      </c>
      <c r="AB144" s="77" t="s">
        <v>582</v>
      </c>
      <c r="AC144" s="130">
        <v>0.32075471698113206</v>
      </c>
      <c r="AD144" s="72">
        <v>0.4098360655737705</v>
      </c>
      <c r="AE144" s="72">
        <v>0.61635220125786161</v>
      </c>
      <c r="AF144" s="77">
        <v>40</v>
      </c>
      <c r="AG144" s="28">
        <v>159</v>
      </c>
      <c r="AH144" s="28">
        <v>24</v>
      </c>
      <c r="AI144" s="28">
        <v>51</v>
      </c>
      <c r="AJ144" s="28">
        <v>11</v>
      </c>
      <c r="AK144" s="28">
        <v>3</v>
      </c>
      <c r="AL144" s="28">
        <v>10</v>
      </c>
      <c r="AM144" s="28">
        <v>31</v>
      </c>
      <c r="AN144" s="28">
        <v>24</v>
      </c>
      <c r="AO144" s="28">
        <v>26</v>
      </c>
      <c r="AP144" s="77">
        <v>0</v>
      </c>
      <c r="AQ144" s="28">
        <v>1</v>
      </c>
      <c r="AR144" s="28">
        <v>5</v>
      </c>
      <c r="AS144" s="77">
        <v>98</v>
      </c>
      <c r="AT144" s="72">
        <v>1.0261882668316322</v>
      </c>
      <c r="AU144" s="28">
        <v>4</v>
      </c>
      <c r="AV144" s="75">
        <v>142</v>
      </c>
      <c r="AY144" s="366" t="s">
        <v>580</v>
      </c>
      <c r="AZ144" s="77" t="s">
        <v>154</v>
      </c>
      <c r="BA144" s="77" t="s">
        <v>582</v>
      </c>
      <c r="BB144" s="130">
        <v>0.1891891891891892</v>
      </c>
      <c r="BC144" s="72">
        <v>0.25</v>
      </c>
      <c r="BD144" s="72">
        <v>0.3108108108108108</v>
      </c>
      <c r="BE144" s="77">
        <v>39</v>
      </c>
      <c r="BF144" s="28">
        <v>148</v>
      </c>
      <c r="BG144" s="28">
        <v>16</v>
      </c>
      <c r="BH144" s="28">
        <v>28</v>
      </c>
      <c r="BI144" s="28">
        <v>6</v>
      </c>
      <c r="BJ144" s="28">
        <v>0</v>
      </c>
      <c r="BK144" s="28">
        <v>4</v>
      </c>
      <c r="BL144" s="28">
        <v>10</v>
      </c>
      <c r="BM144" s="28">
        <v>12</v>
      </c>
      <c r="BN144" s="28">
        <v>44</v>
      </c>
      <c r="BO144" s="77">
        <v>0</v>
      </c>
      <c r="BP144" s="28">
        <v>1</v>
      </c>
      <c r="BQ144" s="28">
        <v>4</v>
      </c>
      <c r="BR144" s="77">
        <v>46</v>
      </c>
      <c r="BS144" s="72">
        <v>0.56081081081081074</v>
      </c>
      <c r="BT144" s="28">
        <v>1</v>
      </c>
      <c r="BU144" s="75">
        <v>142</v>
      </c>
    </row>
    <row r="145" spans="1:73">
      <c r="A145" s="101" t="s">
        <v>580</v>
      </c>
      <c r="B145" s="71" t="s">
        <v>172</v>
      </c>
      <c r="C145" s="71" t="s">
        <v>588</v>
      </c>
      <c r="D145" s="72">
        <f>VLOOKUP(Table106[[#This Row],[NAME]],HOU_H[[NAME]:['#]],2,0)</f>
        <v>0.22695035460992907</v>
      </c>
      <c r="E145" s="72">
        <f>VLOOKUP(Table106[[#This Row],[NAME]],HOU_H[[NAME]:['#]],3,0)</f>
        <v>0.27814569536423839</v>
      </c>
      <c r="F145" s="72">
        <f>VLOOKUP(Table106[[#This Row],[NAME]],HOU_H[[NAME]:['#]],4,0)</f>
        <v>0.42553191489361702</v>
      </c>
      <c r="G145" s="77">
        <f>VLOOKUP(Table106[[#This Row],[NAME]],HOU_H[[NAME]:['#]],5,0)</f>
        <v>37</v>
      </c>
      <c r="H145" s="28">
        <f>VLOOKUP(Table106[[#This Row],[NAME]],HOU_H[[NAME]:['#]],6,0)</f>
        <v>141</v>
      </c>
      <c r="I145" s="28">
        <f>VLOOKUP(Table106[[#This Row],[NAME]],HOU_H[[NAME]:['#]],7,0)</f>
        <v>19</v>
      </c>
      <c r="J145" s="28">
        <f>VLOOKUP(Table106[[#This Row],[NAME]],HOU_H[[NAME]:['#]],8,0)</f>
        <v>32</v>
      </c>
      <c r="K145" s="28">
        <f>VLOOKUP(Table106[[#This Row],[NAME]],HOU_H[[NAME]:['#]],9,0)</f>
        <v>5</v>
      </c>
      <c r="L145" s="28">
        <f>VLOOKUP(Table106[[#This Row],[NAME]],HOU_H[[NAME]:['#]],10,0)</f>
        <v>1</v>
      </c>
      <c r="M145" s="28">
        <f>VLOOKUP(Table106[[#This Row],[NAME]],HOU_H[[NAME]:['#]],11,0)</f>
        <v>7</v>
      </c>
      <c r="N145" s="28">
        <f>VLOOKUP(Table106[[#This Row],[NAME]],HOU_H[[NAME]:['#]],12,0)</f>
        <v>19</v>
      </c>
      <c r="O145" s="28">
        <f>VLOOKUP(Table106[[#This Row],[NAME]],HOU_H[[NAME]:['#]],13,0)</f>
        <v>10</v>
      </c>
      <c r="P145" s="28">
        <f>VLOOKUP(Table106[[#This Row],[NAME]],HOU_H[[NAME]:['#]],14,0)</f>
        <v>48</v>
      </c>
      <c r="Q145" s="77">
        <f>VLOOKUP(Table106[[#This Row],[NAME]],HOU_H[[NAME]:['#]],15,0)</f>
        <v>0</v>
      </c>
      <c r="R145" s="28">
        <f>VLOOKUP(Table106[[#This Row],[NAME]],HOU_H[[NAME]:['#]],16,0)</f>
        <v>0</v>
      </c>
      <c r="S145" s="28">
        <f>VLOOKUP(Table106[[#This Row],[NAME]],HOU_H[[NAME]:['#]],17,0)</f>
        <v>4</v>
      </c>
      <c r="T145" s="77">
        <f>VLOOKUP(Table106[[#This Row],[NAME]],HOU_H[[NAME]:['#]],18,0)</f>
        <v>60</v>
      </c>
      <c r="U145" s="72">
        <f>VLOOKUP(Table106[[#This Row],[NAME]],HOU_H[[NAME]:['#]],19,0)</f>
        <v>0.70367761025785547</v>
      </c>
      <c r="V145" s="28">
        <f>VLOOKUP(Table106[[#This Row],[NAME]],HOU_H[[NAME]:['#]],20,0)</f>
        <v>3</v>
      </c>
      <c r="W145" s="75">
        <v>143</v>
      </c>
      <c r="Z145" s="101" t="s">
        <v>580</v>
      </c>
      <c r="AA145" s="77" t="s">
        <v>172</v>
      </c>
      <c r="AB145" s="77" t="s">
        <v>588</v>
      </c>
      <c r="AC145" s="130">
        <v>0.18421052631578946</v>
      </c>
      <c r="AD145" s="72">
        <v>0.21019108280254778</v>
      </c>
      <c r="AE145" s="72">
        <v>0.28289473684210525</v>
      </c>
      <c r="AF145" s="77">
        <v>40</v>
      </c>
      <c r="AG145" s="28">
        <v>152</v>
      </c>
      <c r="AH145" s="28">
        <v>9</v>
      </c>
      <c r="AI145" s="28">
        <v>28</v>
      </c>
      <c r="AJ145" s="28">
        <v>9</v>
      </c>
      <c r="AK145" s="28">
        <v>0</v>
      </c>
      <c r="AL145" s="28">
        <v>2</v>
      </c>
      <c r="AM145" s="28">
        <v>15</v>
      </c>
      <c r="AN145" s="28">
        <v>5</v>
      </c>
      <c r="AO145" s="28">
        <v>42</v>
      </c>
      <c r="AP145" s="77">
        <v>0</v>
      </c>
      <c r="AQ145" s="28">
        <v>2</v>
      </c>
      <c r="AR145" s="28">
        <v>3</v>
      </c>
      <c r="AS145" s="77">
        <v>43</v>
      </c>
      <c r="AT145" s="72">
        <v>0.49308581964465303</v>
      </c>
      <c r="AU145" s="28">
        <v>2</v>
      </c>
      <c r="AV145" s="75">
        <v>143</v>
      </c>
      <c r="AY145" s="366" t="s">
        <v>580</v>
      </c>
      <c r="AZ145" s="77" t="s">
        <v>172</v>
      </c>
      <c r="BA145" s="77" t="s">
        <v>432</v>
      </c>
      <c r="BB145" s="130">
        <v>0.3108108108108108</v>
      </c>
      <c r="BC145" s="72">
        <v>0.34193548387096773</v>
      </c>
      <c r="BD145" s="72">
        <v>0.48648648648648651</v>
      </c>
      <c r="BE145" s="77">
        <v>39</v>
      </c>
      <c r="BF145" s="28">
        <v>148</v>
      </c>
      <c r="BG145" s="28">
        <v>17</v>
      </c>
      <c r="BH145" s="28">
        <v>46</v>
      </c>
      <c r="BI145" s="28">
        <v>11</v>
      </c>
      <c r="BJ145" s="28">
        <v>0</v>
      </c>
      <c r="BK145" s="28">
        <v>5</v>
      </c>
      <c r="BL145" s="28">
        <v>27</v>
      </c>
      <c r="BM145" s="28">
        <v>7</v>
      </c>
      <c r="BN145" s="28">
        <v>31</v>
      </c>
      <c r="BO145" s="77">
        <v>0</v>
      </c>
      <c r="BP145" s="28">
        <v>2</v>
      </c>
      <c r="BQ145" s="28">
        <v>6</v>
      </c>
      <c r="BR145" s="77">
        <v>72</v>
      </c>
      <c r="BS145" s="72">
        <v>0.82842197035745424</v>
      </c>
      <c r="BT145" s="28">
        <v>5</v>
      </c>
      <c r="BU145" s="75">
        <v>143</v>
      </c>
    </row>
    <row r="146" spans="1:73">
      <c r="A146" s="101" t="s">
        <v>580</v>
      </c>
      <c r="B146" s="71" t="s">
        <v>153</v>
      </c>
      <c r="C146" s="71" t="s">
        <v>583</v>
      </c>
      <c r="D146" s="72">
        <f>VLOOKUP(Table106[[#This Row],[NAME]],HOU_H[[NAME]:['#]],2,0)</f>
        <v>0.30921052631578949</v>
      </c>
      <c r="E146" s="72">
        <f>VLOOKUP(Table106[[#This Row],[NAME]],HOU_H[[NAME]:['#]],3,0)</f>
        <v>0.38953488372093026</v>
      </c>
      <c r="F146" s="72">
        <f>VLOOKUP(Table106[[#This Row],[NAME]],HOU_H[[NAME]:['#]],4,0)</f>
        <v>0.52631578947368418</v>
      </c>
      <c r="G146" s="77">
        <f>VLOOKUP(Table106[[#This Row],[NAME]],HOU_H[[NAME]:['#]],5,0)</f>
        <v>38</v>
      </c>
      <c r="H146" s="28">
        <f>VLOOKUP(Table106[[#This Row],[NAME]],HOU_H[[NAME]:['#]],6,0)</f>
        <v>152</v>
      </c>
      <c r="I146" s="28">
        <f>VLOOKUP(Table106[[#This Row],[NAME]],HOU_H[[NAME]:['#]],7,0)</f>
        <v>24</v>
      </c>
      <c r="J146" s="28">
        <f>VLOOKUP(Table106[[#This Row],[NAME]],HOU_H[[NAME]:['#]],8,0)</f>
        <v>47</v>
      </c>
      <c r="K146" s="28">
        <f>VLOOKUP(Table106[[#This Row],[NAME]],HOU_H[[NAME]:['#]],9,0)</f>
        <v>9</v>
      </c>
      <c r="L146" s="28">
        <f>VLOOKUP(Table106[[#This Row],[NAME]],HOU_H[[NAME]:['#]],10,0)</f>
        <v>0</v>
      </c>
      <c r="M146" s="28">
        <f>VLOOKUP(Table106[[#This Row],[NAME]],HOU_H[[NAME]:['#]],11,0)</f>
        <v>8</v>
      </c>
      <c r="N146" s="28">
        <f>VLOOKUP(Table106[[#This Row],[NAME]],HOU_H[[NAME]:['#]],12,0)</f>
        <v>18</v>
      </c>
      <c r="O146" s="28">
        <f>VLOOKUP(Table106[[#This Row],[NAME]],HOU_H[[NAME]:['#]],13,0)</f>
        <v>20</v>
      </c>
      <c r="P146" s="28">
        <f>VLOOKUP(Table106[[#This Row],[NAME]],HOU_H[[NAME]:['#]],14,0)</f>
        <v>26</v>
      </c>
      <c r="Q146" s="77">
        <f>VLOOKUP(Table106[[#This Row],[NAME]],HOU_H[[NAME]:['#]],15,0)</f>
        <v>2</v>
      </c>
      <c r="R146" s="28">
        <f>VLOOKUP(Table106[[#This Row],[NAME]],HOU_H[[NAME]:['#]],16,0)</f>
        <v>2</v>
      </c>
      <c r="S146" s="28">
        <f>VLOOKUP(Table106[[#This Row],[NAME]],HOU_H[[NAME]:['#]],17,0)</f>
        <v>10</v>
      </c>
      <c r="T146" s="77">
        <f>VLOOKUP(Table106[[#This Row],[NAME]],HOU_H[[NAME]:['#]],18,0)</f>
        <v>80</v>
      </c>
      <c r="U146" s="72">
        <f>VLOOKUP(Table106[[#This Row],[NAME]],HOU_H[[NAME]:['#]],19,0)</f>
        <v>0.91585067319461444</v>
      </c>
      <c r="V146" s="28">
        <f>VLOOKUP(Table106[[#This Row],[NAME]],HOU_H[[NAME]:['#]],20,0)</f>
        <v>2</v>
      </c>
      <c r="W146" s="75">
        <v>144</v>
      </c>
      <c r="Z146" s="101" t="s">
        <v>580</v>
      </c>
      <c r="AA146" s="77" t="s">
        <v>153</v>
      </c>
      <c r="AB146" s="77" t="s">
        <v>583</v>
      </c>
      <c r="AC146" s="130">
        <v>0.29943502824858759</v>
      </c>
      <c r="AD146" s="72">
        <v>0.35078534031413611</v>
      </c>
      <c r="AE146" s="72">
        <v>0.4632768361581921</v>
      </c>
      <c r="AF146" s="77">
        <v>40</v>
      </c>
      <c r="AG146" s="28">
        <v>177</v>
      </c>
      <c r="AH146" s="28">
        <v>33</v>
      </c>
      <c r="AI146" s="28">
        <v>53</v>
      </c>
      <c r="AJ146" s="28">
        <v>14</v>
      </c>
      <c r="AK146" s="28">
        <v>0</v>
      </c>
      <c r="AL146" s="28">
        <v>5</v>
      </c>
      <c r="AM146" s="28">
        <v>18</v>
      </c>
      <c r="AN146" s="28">
        <v>14</v>
      </c>
      <c r="AO146" s="28">
        <v>30</v>
      </c>
      <c r="AP146" s="77">
        <v>5</v>
      </c>
      <c r="AQ146" s="28">
        <v>1</v>
      </c>
      <c r="AR146" s="28">
        <v>5</v>
      </c>
      <c r="AS146" s="77">
        <v>82</v>
      </c>
      <c r="AT146" s="72">
        <v>0.81406217647232815</v>
      </c>
      <c r="AU146" s="28">
        <v>4</v>
      </c>
      <c r="AV146" s="75">
        <v>144</v>
      </c>
      <c r="AY146" s="366" t="s">
        <v>580</v>
      </c>
      <c r="AZ146" s="77" t="s">
        <v>153</v>
      </c>
      <c r="BA146" s="77" t="s">
        <v>583</v>
      </c>
      <c r="BB146" s="130">
        <v>0.32500000000000001</v>
      </c>
      <c r="BC146" s="72">
        <v>0.39325842696629215</v>
      </c>
      <c r="BD146" s="72">
        <v>0.59375</v>
      </c>
      <c r="BE146" s="77">
        <v>40</v>
      </c>
      <c r="BF146" s="28">
        <v>160</v>
      </c>
      <c r="BG146" s="28">
        <v>21</v>
      </c>
      <c r="BH146" s="28">
        <v>52</v>
      </c>
      <c r="BI146" s="28">
        <v>14</v>
      </c>
      <c r="BJ146" s="76">
        <v>4</v>
      </c>
      <c r="BK146" s="28">
        <v>7</v>
      </c>
      <c r="BL146" s="28">
        <v>22</v>
      </c>
      <c r="BM146" s="28">
        <v>18</v>
      </c>
      <c r="BN146" s="28">
        <v>23</v>
      </c>
      <c r="BO146" s="77">
        <v>9</v>
      </c>
      <c r="BP146" s="28">
        <v>1</v>
      </c>
      <c r="BQ146" s="28">
        <v>14</v>
      </c>
      <c r="BR146" s="77">
        <v>95</v>
      </c>
      <c r="BS146" s="72">
        <v>0.98700842696629221</v>
      </c>
      <c r="BT146" s="28">
        <v>5</v>
      </c>
      <c r="BU146" s="75">
        <v>144</v>
      </c>
    </row>
    <row r="147" spans="1:73">
      <c r="A147" s="101" t="s">
        <v>580</v>
      </c>
      <c r="B147" s="71" t="s">
        <v>177</v>
      </c>
      <c r="C147" s="71" t="s">
        <v>584</v>
      </c>
      <c r="D147" s="72">
        <f>VLOOKUP(Table106[[#This Row],[NAME]],HOU_H[[NAME]:['#]],2,0)</f>
        <v>0.2620689655172414</v>
      </c>
      <c r="E147" s="72">
        <f>VLOOKUP(Table106[[#This Row],[NAME]],HOU_H[[NAME]:['#]],3,0)</f>
        <v>0.3742690058479532</v>
      </c>
      <c r="F147" s="72">
        <f>VLOOKUP(Table106[[#This Row],[NAME]],HOU_H[[NAME]:['#]],4,0)</f>
        <v>0.55862068965517242</v>
      </c>
      <c r="G147" s="77">
        <f>VLOOKUP(Table106[[#This Row],[NAME]],HOU_H[[NAME]:['#]],5,0)</f>
        <v>38</v>
      </c>
      <c r="H147" s="28">
        <f>VLOOKUP(Table106[[#This Row],[NAME]],HOU_H[[NAME]:['#]],6,0)</f>
        <v>145</v>
      </c>
      <c r="I147" s="28">
        <f>VLOOKUP(Table106[[#This Row],[NAME]],HOU_H[[NAME]:['#]],7,0)</f>
        <v>30</v>
      </c>
      <c r="J147" s="28">
        <f>VLOOKUP(Table106[[#This Row],[NAME]],HOU_H[[NAME]:['#]],8,0)</f>
        <v>38</v>
      </c>
      <c r="K147" s="28">
        <f>VLOOKUP(Table106[[#This Row],[NAME]],HOU_H[[NAME]:['#]],9,0)</f>
        <v>9</v>
      </c>
      <c r="L147" s="28">
        <f>VLOOKUP(Table106[[#This Row],[NAME]],HOU_H[[NAME]:['#]],10,0)</f>
        <v>2</v>
      </c>
      <c r="M147" s="28">
        <f>VLOOKUP(Table106[[#This Row],[NAME]],HOU_H[[NAME]:['#]],11,0)</f>
        <v>10</v>
      </c>
      <c r="N147" s="28">
        <f>VLOOKUP(Table106[[#This Row],[NAME]],HOU_H[[NAME]:['#]],12,0)</f>
        <v>27</v>
      </c>
      <c r="O147" s="28">
        <f>VLOOKUP(Table106[[#This Row],[NAME]],HOU_H[[NAME]:['#]],13,0)</f>
        <v>26</v>
      </c>
      <c r="P147" s="28">
        <f>VLOOKUP(Table106[[#This Row],[NAME]],HOU_H[[NAME]:['#]],14,0)</f>
        <v>35</v>
      </c>
      <c r="Q147" s="77">
        <f>VLOOKUP(Table106[[#This Row],[NAME]],HOU_H[[NAME]:['#]],15,0)</f>
        <v>0</v>
      </c>
      <c r="R147" s="28">
        <f>VLOOKUP(Table106[[#This Row],[NAME]],HOU_H[[NAME]:['#]],16,0)</f>
        <v>0</v>
      </c>
      <c r="S147" s="28">
        <f>VLOOKUP(Table106[[#This Row],[NAME]],HOU_H[[NAME]:['#]],17,0)</f>
        <v>6</v>
      </c>
      <c r="T147" s="77">
        <f>VLOOKUP(Table106[[#This Row],[NAME]],HOU_H[[NAME]:['#]],18,0)</f>
        <v>81</v>
      </c>
      <c r="U147" s="72">
        <f>VLOOKUP(Table106[[#This Row],[NAME]],HOU_H[[NAME]:['#]],19,0)</f>
        <v>0.93288969550312562</v>
      </c>
      <c r="V147" s="28">
        <f>VLOOKUP(Table106[[#This Row],[NAME]],HOU_H[[NAME]:['#]],20,0)</f>
        <v>3</v>
      </c>
      <c r="W147" s="75">
        <v>145</v>
      </c>
      <c r="Z147" s="101" t="s">
        <v>580</v>
      </c>
      <c r="AA147" s="77" t="s">
        <v>177</v>
      </c>
      <c r="AB147" s="77" t="s">
        <v>584</v>
      </c>
      <c r="AC147" s="130">
        <v>0.24074074074074073</v>
      </c>
      <c r="AD147" s="72">
        <v>0.31284916201117319</v>
      </c>
      <c r="AE147" s="72">
        <v>0.43209876543209874</v>
      </c>
      <c r="AF147" s="77">
        <v>40</v>
      </c>
      <c r="AG147" s="28">
        <v>162</v>
      </c>
      <c r="AH147" s="28">
        <v>19</v>
      </c>
      <c r="AI147" s="28">
        <v>39</v>
      </c>
      <c r="AJ147" s="28">
        <v>5</v>
      </c>
      <c r="AK147" s="28">
        <v>1</v>
      </c>
      <c r="AL147" s="28">
        <v>8</v>
      </c>
      <c r="AM147" s="28">
        <v>19</v>
      </c>
      <c r="AN147" s="28">
        <v>17</v>
      </c>
      <c r="AO147" s="28">
        <v>47</v>
      </c>
      <c r="AP147" s="77">
        <v>0</v>
      </c>
      <c r="AQ147" s="28">
        <v>3</v>
      </c>
      <c r="AR147" s="28">
        <v>13</v>
      </c>
      <c r="AS147" s="77">
        <v>70</v>
      </c>
      <c r="AT147" s="72">
        <v>0.74494792744327198</v>
      </c>
      <c r="AU147" s="28">
        <v>2</v>
      </c>
      <c r="AV147" s="75">
        <v>145</v>
      </c>
      <c r="AY147" s="366" t="s">
        <v>580</v>
      </c>
      <c r="AZ147" s="77" t="s">
        <v>177</v>
      </c>
      <c r="BA147" s="77" t="s">
        <v>584</v>
      </c>
      <c r="BB147" s="130">
        <v>0.29333333333333333</v>
      </c>
      <c r="BC147" s="72">
        <v>0.37278106508875741</v>
      </c>
      <c r="BD147" s="72">
        <v>0.48666666666666669</v>
      </c>
      <c r="BE147" s="77">
        <v>40</v>
      </c>
      <c r="BF147" s="28">
        <v>150</v>
      </c>
      <c r="BG147" s="28">
        <v>22</v>
      </c>
      <c r="BH147" s="28">
        <v>44</v>
      </c>
      <c r="BI147" s="28">
        <v>8</v>
      </c>
      <c r="BJ147" s="28">
        <v>0</v>
      </c>
      <c r="BK147" s="28">
        <v>7</v>
      </c>
      <c r="BL147" s="28">
        <v>22</v>
      </c>
      <c r="BM147" s="28">
        <v>19</v>
      </c>
      <c r="BN147" s="28">
        <v>34</v>
      </c>
      <c r="BO147" s="77">
        <v>0</v>
      </c>
      <c r="BP147" s="28">
        <v>2</v>
      </c>
      <c r="BQ147" s="28">
        <v>8</v>
      </c>
      <c r="BR147" s="77">
        <v>73</v>
      </c>
      <c r="BS147" s="72">
        <v>0.8594477317554241</v>
      </c>
      <c r="BT147" s="28">
        <v>5</v>
      </c>
      <c r="BU147" s="75">
        <v>145</v>
      </c>
    </row>
    <row r="148" spans="1:73">
      <c r="A148" s="101" t="s">
        <v>580</v>
      </c>
      <c r="B148" s="345" t="s">
        <v>174</v>
      </c>
      <c r="C148" s="71" t="s">
        <v>581</v>
      </c>
      <c r="D148" s="72">
        <f>VLOOKUP(Table106[[#This Row],[NAME]],HOU_H[[NAME]:['#]],2,0)</f>
        <v>0.28846153846153844</v>
      </c>
      <c r="E148" s="72">
        <f>VLOOKUP(Table106[[#This Row],[NAME]],HOU_H[[NAME]:['#]],3,0)</f>
        <v>0.36206896551724138</v>
      </c>
      <c r="F148" s="72">
        <f>VLOOKUP(Table106[[#This Row],[NAME]],HOU_H[[NAME]:['#]],4,0)</f>
        <v>0.61538461538461542</v>
      </c>
      <c r="G148" s="77">
        <f>VLOOKUP(Table106[[#This Row],[NAME]],HOU_H[[NAME]:['#]],5,0)</f>
        <v>40</v>
      </c>
      <c r="H148" s="28">
        <f>VLOOKUP(Table106[[#This Row],[NAME]],HOU_H[[NAME]:['#]],6,0)</f>
        <v>156</v>
      </c>
      <c r="I148" s="28">
        <f>VLOOKUP(Table106[[#This Row],[NAME]],HOU_H[[NAME]:['#]],7,0)</f>
        <v>33</v>
      </c>
      <c r="J148" s="28">
        <f>VLOOKUP(Table106[[#This Row],[NAME]],HOU_H[[NAME]:['#]],8,0)</f>
        <v>45</v>
      </c>
      <c r="K148" s="28">
        <f>VLOOKUP(Table106[[#This Row],[NAME]],HOU_H[[NAME]:['#]],9,0)</f>
        <v>9</v>
      </c>
      <c r="L148" s="28">
        <f>VLOOKUP(Table106[[#This Row],[NAME]],HOU_H[[NAME]:['#]],10,0)</f>
        <v>0</v>
      </c>
      <c r="M148" s="28">
        <f>VLOOKUP(Table106[[#This Row],[NAME]],HOU_H[[NAME]:['#]],11,0)</f>
        <v>14</v>
      </c>
      <c r="N148" s="76">
        <f>VLOOKUP(Table106[[#This Row],[NAME]],HOU_H[[NAME]:['#]],12,0)</f>
        <v>36</v>
      </c>
      <c r="O148" s="28">
        <f>VLOOKUP(Table106[[#This Row],[NAME]],HOU_H[[NAME]:['#]],13,0)</f>
        <v>18</v>
      </c>
      <c r="P148" s="28">
        <f>VLOOKUP(Table106[[#This Row],[NAME]],HOU_H[[NAME]:['#]],14,0)</f>
        <v>36</v>
      </c>
      <c r="Q148" s="77">
        <f>VLOOKUP(Table106[[#This Row],[NAME]],HOU_H[[NAME]:['#]],15,0)</f>
        <v>0</v>
      </c>
      <c r="R148" s="28">
        <f>VLOOKUP(Table106[[#This Row],[NAME]],HOU_H[[NAME]:['#]],16,0)</f>
        <v>10</v>
      </c>
      <c r="S148" s="28">
        <f>VLOOKUP(Table106[[#This Row],[NAME]],HOU_H[[NAME]:['#]],17,0)</f>
        <v>10</v>
      </c>
      <c r="T148" s="77">
        <f>VLOOKUP(Table106[[#This Row],[NAME]],HOU_H[[NAME]:['#]],18,0)</f>
        <v>96</v>
      </c>
      <c r="U148" s="72">
        <f>VLOOKUP(Table106[[#This Row],[NAME]],HOU_H[[NAME]:['#]],19,0)</f>
        <v>0.97745358090185674</v>
      </c>
      <c r="V148" s="28">
        <f>VLOOKUP(Table106[[#This Row],[NAME]],HOU_H[[NAME]:['#]],20,0)</f>
        <v>6</v>
      </c>
      <c r="W148" s="75">
        <v>146</v>
      </c>
      <c r="Z148" s="101" t="s">
        <v>580</v>
      </c>
      <c r="AA148" s="77" t="s">
        <v>174</v>
      </c>
      <c r="AB148" s="77" t="s">
        <v>398</v>
      </c>
      <c r="AC148" s="130">
        <v>0.27464788732394368</v>
      </c>
      <c r="AD148" s="72">
        <v>0.3522012578616352</v>
      </c>
      <c r="AE148" s="72">
        <v>0.47887323943661969</v>
      </c>
      <c r="AF148" s="77">
        <v>39</v>
      </c>
      <c r="AG148" s="28">
        <v>142</v>
      </c>
      <c r="AH148" s="28">
        <v>19</v>
      </c>
      <c r="AI148" s="28">
        <v>39</v>
      </c>
      <c r="AJ148" s="28">
        <v>11</v>
      </c>
      <c r="AK148" s="28">
        <v>0</v>
      </c>
      <c r="AL148" s="28">
        <v>6</v>
      </c>
      <c r="AM148" s="28">
        <v>18</v>
      </c>
      <c r="AN148" s="28">
        <v>17</v>
      </c>
      <c r="AO148" s="28">
        <v>27</v>
      </c>
      <c r="AP148" s="77">
        <v>0</v>
      </c>
      <c r="AQ148" s="28">
        <v>1</v>
      </c>
      <c r="AR148" s="28">
        <v>7</v>
      </c>
      <c r="AS148" s="77">
        <v>68</v>
      </c>
      <c r="AT148" s="72">
        <v>0.83107449729825489</v>
      </c>
      <c r="AU148" s="28">
        <v>1</v>
      </c>
      <c r="AV148" s="75">
        <v>146</v>
      </c>
      <c r="AY148" s="366" t="s">
        <v>580</v>
      </c>
      <c r="AZ148" s="77" t="s">
        <v>174</v>
      </c>
      <c r="BA148" s="77" t="s">
        <v>398</v>
      </c>
      <c r="BB148" s="130">
        <v>0.29411764705882354</v>
      </c>
      <c r="BC148" s="72">
        <v>0.35384615384615387</v>
      </c>
      <c r="BD148" s="72">
        <v>0.45378151260504201</v>
      </c>
      <c r="BE148" s="77">
        <v>36</v>
      </c>
      <c r="BF148" s="28">
        <v>119</v>
      </c>
      <c r="BG148" s="28">
        <v>13</v>
      </c>
      <c r="BH148" s="28">
        <v>35</v>
      </c>
      <c r="BI148" s="28">
        <v>13</v>
      </c>
      <c r="BJ148" s="28">
        <v>0</v>
      </c>
      <c r="BK148" s="28">
        <v>2</v>
      </c>
      <c r="BL148" s="28">
        <v>12</v>
      </c>
      <c r="BM148" s="28">
        <v>11</v>
      </c>
      <c r="BN148" s="28">
        <v>18</v>
      </c>
      <c r="BO148" s="77">
        <v>0</v>
      </c>
      <c r="BP148" s="28">
        <v>5</v>
      </c>
      <c r="BQ148" s="28">
        <v>5</v>
      </c>
      <c r="BR148" s="77">
        <v>54</v>
      </c>
      <c r="BS148" s="72">
        <v>0.80762766645119588</v>
      </c>
      <c r="BT148" s="28">
        <v>0</v>
      </c>
      <c r="BU148" s="75">
        <v>146</v>
      </c>
    </row>
    <row r="149" spans="1:73">
      <c r="A149" s="101" t="s">
        <v>580</v>
      </c>
      <c r="B149" s="71" t="s">
        <v>383</v>
      </c>
      <c r="C149" s="71" t="s">
        <v>589</v>
      </c>
      <c r="D149" s="72">
        <f>VLOOKUP(Table106[[#This Row],[NAME]],HOU_H[[NAME]:['#]],2,0)</f>
        <v>0.2288135593220339</v>
      </c>
      <c r="E149" s="72">
        <f>VLOOKUP(Table106[[#This Row],[NAME]],HOU_H[[NAME]:['#]],3,0)</f>
        <v>0.2890625</v>
      </c>
      <c r="F149" s="72">
        <f>VLOOKUP(Table106[[#This Row],[NAME]],HOU_H[[NAME]:['#]],4,0)</f>
        <v>0.38135593220338981</v>
      </c>
      <c r="G149" s="77">
        <f>VLOOKUP(Table106[[#This Row],[NAME]],HOU_H[[NAME]:['#]],5,0)</f>
        <v>34</v>
      </c>
      <c r="H149" s="28">
        <f>VLOOKUP(Table106[[#This Row],[NAME]],HOU_H[[NAME]:['#]],6,0)</f>
        <v>118</v>
      </c>
      <c r="I149" s="28">
        <f>VLOOKUP(Table106[[#This Row],[NAME]],HOU_H[[NAME]:['#]],7,0)</f>
        <v>14</v>
      </c>
      <c r="J149" s="28">
        <f>VLOOKUP(Table106[[#This Row],[NAME]],HOU_H[[NAME]:['#]],8,0)</f>
        <v>27</v>
      </c>
      <c r="K149" s="28">
        <f>VLOOKUP(Table106[[#This Row],[NAME]],HOU_H[[NAME]:['#]],9,0)</f>
        <v>7</v>
      </c>
      <c r="L149" s="28">
        <f>VLOOKUP(Table106[[#This Row],[NAME]],HOU_H[[NAME]:['#]],10,0)</f>
        <v>1</v>
      </c>
      <c r="M149" s="28">
        <f>VLOOKUP(Table106[[#This Row],[NAME]],HOU_H[[NAME]:['#]],11,0)</f>
        <v>3</v>
      </c>
      <c r="N149" s="28">
        <f>VLOOKUP(Table106[[#This Row],[NAME]],HOU_H[[NAME]:['#]],12,0)</f>
        <v>12</v>
      </c>
      <c r="O149" s="28">
        <f>VLOOKUP(Table106[[#This Row],[NAME]],HOU_H[[NAME]:['#]],13,0)</f>
        <v>10</v>
      </c>
      <c r="P149" s="28">
        <f>VLOOKUP(Table106[[#This Row],[NAME]],HOU_H[[NAME]:['#]],14,0)</f>
        <v>42</v>
      </c>
      <c r="Q149" s="77">
        <f>VLOOKUP(Table106[[#This Row],[NAME]],HOU_H[[NAME]:['#]],15,0)</f>
        <v>0</v>
      </c>
      <c r="R149" s="28">
        <f>VLOOKUP(Table106[[#This Row],[NAME]],HOU_H[[NAME]:['#]],16,0)</f>
        <v>0</v>
      </c>
      <c r="S149" s="28">
        <f>VLOOKUP(Table106[[#This Row],[NAME]],HOU_H[[NAME]:['#]],17,0)</f>
        <v>5</v>
      </c>
      <c r="T149" s="77">
        <f>VLOOKUP(Table106[[#This Row],[NAME]],HOU_H[[NAME]:['#]],18,0)</f>
        <v>45</v>
      </c>
      <c r="U149" s="72">
        <f>VLOOKUP(Table106[[#This Row],[NAME]],HOU_H[[NAME]:['#]],19,0)</f>
        <v>0.67041843220338981</v>
      </c>
      <c r="V149" s="28">
        <f>VLOOKUP(Table106[[#This Row],[NAME]],HOU_H[[NAME]:['#]],20,0)</f>
        <v>2</v>
      </c>
      <c r="W149" s="75">
        <v>147</v>
      </c>
      <c r="Z149" s="101" t="s">
        <v>580</v>
      </c>
      <c r="AA149" s="77" t="s">
        <v>181</v>
      </c>
      <c r="AB149" s="77" t="s">
        <v>586</v>
      </c>
      <c r="AC149" s="130">
        <v>0.2484472049689441</v>
      </c>
      <c r="AD149" s="72">
        <v>0.28823529411764703</v>
      </c>
      <c r="AE149" s="72">
        <v>0.44099378881987578</v>
      </c>
      <c r="AF149" s="77">
        <v>40</v>
      </c>
      <c r="AG149" s="28">
        <v>161</v>
      </c>
      <c r="AH149" s="28">
        <v>16</v>
      </c>
      <c r="AI149" s="28">
        <v>40</v>
      </c>
      <c r="AJ149" s="28">
        <v>10</v>
      </c>
      <c r="AK149" s="28">
        <v>3</v>
      </c>
      <c r="AL149" s="28">
        <v>5</v>
      </c>
      <c r="AM149" s="28">
        <v>19</v>
      </c>
      <c r="AN149" s="28">
        <v>9</v>
      </c>
      <c r="AO149" s="28">
        <v>44</v>
      </c>
      <c r="AP149" s="77">
        <v>0</v>
      </c>
      <c r="AQ149" s="28">
        <v>3</v>
      </c>
      <c r="AR149" s="28">
        <v>5</v>
      </c>
      <c r="AS149" s="77">
        <v>71</v>
      </c>
      <c r="AT149" s="72">
        <v>0.72922908293752275</v>
      </c>
      <c r="AU149" s="28">
        <v>1</v>
      </c>
      <c r="AV149" s="75">
        <v>147</v>
      </c>
      <c r="AY149" s="366" t="s">
        <v>580</v>
      </c>
      <c r="AZ149" s="77" t="s">
        <v>181</v>
      </c>
      <c r="BA149" s="77" t="s">
        <v>586</v>
      </c>
      <c r="BB149" s="130">
        <v>0.2857142857142857</v>
      </c>
      <c r="BC149" s="72">
        <v>0.34482758620689657</v>
      </c>
      <c r="BD149" s="72">
        <v>0.52631578947368418</v>
      </c>
      <c r="BE149" s="77">
        <v>38</v>
      </c>
      <c r="BF149" s="28">
        <v>133</v>
      </c>
      <c r="BG149" s="28">
        <v>22</v>
      </c>
      <c r="BH149" s="28">
        <v>38</v>
      </c>
      <c r="BI149" s="28">
        <v>8</v>
      </c>
      <c r="BJ149" s="28">
        <v>3</v>
      </c>
      <c r="BK149" s="28">
        <v>6</v>
      </c>
      <c r="BL149" s="28">
        <v>21</v>
      </c>
      <c r="BM149" s="28">
        <v>12</v>
      </c>
      <c r="BN149" s="28">
        <v>31</v>
      </c>
      <c r="BO149" s="77">
        <v>1</v>
      </c>
      <c r="BP149" s="28">
        <v>0</v>
      </c>
      <c r="BQ149" s="28">
        <v>8</v>
      </c>
      <c r="BR149" s="77">
        <v>70</v>
      </c>
      <c r="BS149" s="72">
        <v>0.87114337568058076</v>
      </c>
      <c r="BT149" s="28">
        <v>2</v>
      </c>
      <c r="BU149" s="75">
        <v>147</v>
      </c>
    </row>
    <row r="150" spans="1:73">
      <c r="A150" s="101" t="s">
        <v>580</v>
      </c>
      <c r="B150" s="71" t="s">
        <v>166</v>
      </c>
      <c r="C150" s="71" t="s">
        <v>586</v>
      </c>
      <c r="D150" s="72">
        <f>VLOOKUP(Table106[[#This Row],[NAME]],HOU_H[[NAME]:['#]],2,0)</f>
        <v>0.27044025157232704</v>
      </c>
      <c r="E150" s="72">
        <f>VLOOKUP(Table106[[#This Row],[NAME]],HOU_H[[NAME]:['#]],3,0)</f>
        <v>0.32163742690058478</v>
      </c>
      <c r="F150" s="72">
        <f>VLOOKUP(Table106[[#This Row],[NAME]],HOU_H[[NAME]:['#]],4,0)</f>
        <v>0.50314465408805031</v>
      </c>
      <c r="G150" s="77">
        <f>VLOOKUP(Table106[[#This Row],[NAME]],HOU_H[[NAME]:['#]],5,0)</f>
        <v>40</v>
      </c>
      <c r="H150" s="28">
        <f>VLOOKUP(Table106[[#This Row],[NAME]],HOU_H[[NAME]:['#]],6,0)</f>
        <v>159</v>
      </c>
      <c r="I150" s="28">
        <f>VLOOKUP(Table106[[#This Row],[NAME]],HOU_H[[NAME]:['#]],7,0)</f>
        <v>24</v>
      </c>
      <c r="J150" s="28">
        <f>VLOOKUP(Table106[[#This Row],[NAME]],HOU_H[[NAME]:['#]],8,0)</f>
        <v>43</v>
      </c>
      <c r="K150" s="28">
        <f>VLOOKUP(Table106[[#This Row],[NAME]],HOU_H[[NAME]:['#]],9,0)</f>
        <v>11</v>
      </c>
      <c r="L150" s="28">
        <f>VLOOKUP(Table106[[#This Row],[NAME]],HOU_H[[NAME]:['#]],10,0)</f>
        <v>1</v>
      </c>
      <c r="M150" s="28">
        <f>VLOOKUP(Table106[[#This Row],[NAME]],HOU_H[[NAME]:['#]],11,0)</f>
        <v>8</v>
      </c>
      <c r="N150" s="28">
        <f>VLOOKUP(Table106[[#This Row],[NAME]],HOU_H[[NAME]:['#]],12,0)</f>
        <v>27</v>
      </c>
      <c r="O150" s="28">
        <f>VLOOKUP(Table106[[#This Row],[NAME]],HOU_H[[NAME]:['#]],13,0)</f>
        <v>12</v>
      </c>
      <c r="P150" s="28">
        <f>VLOOKUP(Table106[[#This Row],[NAME]],HOU_H[[NAME]:['#]],14,0)</f>
        <v>38</v>
      </c>
      <c r="Q150" s="77">
        <f>VLOOKUP(Table106[[#This Row],[NAME]],HOU_H[[NAME]:['#]],15,0)</f>
        <v>0</v>
      </c>
      <c r="R150" s="28">
        <f>VLOOKUP(Table106[[#This Row],[NAME]],HOU_H[[NAME]:['#]],16,0)</f>
        <v>0</v>
      </c>
      <c r="S150" s="28">
        <f>VLOOKUP(Table106[[#This Row],[NAME]],HOU_H[[NAME]:['#]],17,0)</f>
        <v>10</v>
      </c>
      <c r="T150" s="77">
        <f>VLOOKUP(Table106[[#This Row],[NAME]],HOU_H[[NAME]:['#]],18,0)</f>
        <v>80</v>
      </c>
      <c r="U150" s="72">
        <f>VLOOKUP(Table106[[#This Row],[NAME]],HOU_H[[NAME]:['#]],19,0)</f>
        <v>0.82478208098863504</v>
      </c>
      <c r="V150" s="28">
        <f>VLOOKUP(Table106[[#This Row],[NAME]],HOU_H[[NAME]:['#]],20,0)</f>
        <v>4</v>
      </c>
      <c r="W150" s="75">
        <v>148</v>
      </c>
      <c r="Z150" s="101" t="s">
        <v>580</v>
      </c>
      <c r="AA150" s="77" t="s">
        <v>166</v>
      </c>
      <c r="AB150" s="77" t="s">
        <v>581</v>
      </c>
      <c r="AC150" s="130">
        <v>0.26845637583892618</v>
      </c>
      <c r="AD150" s="72">
        <v>0.32298136645962733</v>
      </c>
      <c r="AE150" s="72">
        <v>0.44295302013422821</v>
      </c>
      <c r="AF150" s="77">
        <v>40</v>
      </c>
      <c r="AG150" s="28">
        <v>149</v>
      </c>
      <c r="AH150" s="28">
        <v>20</v>
      </c>
      <c r="AI150" s="28">
        <v>40</v>
      </c>
      <c r="AJ150" s="28">
        <v>8</v>
      </c>
      <c r="AK150" s="28">
        <v>0</v>
      </c>
      <c r="AL150" s="28">
        <v>6</v>
      </c>
      <c r="AM150" s="28">
        <v>23</v>
      </c>
      <c r="AN150" s="28">
        <v>12</v>
      </c>
      <c r="AO150" s="28">
        <v>45</v>
      </c>
      <c r="AP150" s="77">
        <v>0</v>
      </c>
      <c r="AQ150" s="28">
        <v>2</v>
      </c>
      <c r="AR150" s="28">
        <v>10</v>
      </c>
      <c r="AS150" s="77">
        <v>66</v>
      </c>
      <c r="AT150" s="72">
        <v>0.76593438659385549</v>
      </c>
      <c r="AU150" s="28">
        <v>3</v>
      </c>
      <c r="AV150" s="75">
        <v>148</v>
      </c>
      <c r="AY150" s="366" t="s">
        <v>580</v>
      </c>
      <c r="AZ150" s="77" t="s">
        <v>166</v>
      </c>
      <c r="BA150" s="77" t="s">
        <v>585</v>
      </c>
      <c r="BB150" s="130">
        <v>0.25352112676056338</v>
      </c>
      <c r="BC150" s="72">
        <v>0.30263157894736842</v>
      </c>
      <c r="BD150" s="72">
        <v>0.39436619718309857</v>
      </c>
      <c r="BE150" s="77">
        <v>38</v>
      </c>
      <c r="BF150" s="28">
        <v>142</v>
      </c>
      <c r="BG150" s="28">
        <v>17</v>
      </c>
      <c r="BH150" s="28">
        <v>36</v>
      </c>
      <c r="BI150" s="28">
        <v>5</v>
      </c>
      <c r="BJ150" s="28">
        <v>0</v>
      </c>
      <c r="BK150" s="28">
        <v>5</v>
      </c>
      <c r="BL150" s="28">
        <v>18</v>
      </c>
      <c r="BM150" s="28">
        <v>10</v>
      </c>
      <c r="BN150" s="28">
        <v>27</v>
      </c>
      <c r="BO150" s="77">
        <v>0</v>
      </c>
      <c r="BP150" s="28">
        <v>0</v>
      </c>
      <c r="BQ150" s="28">
        <v>5</v>
      </c>
      <c r="BR150" s="77">
        <v>56</v>
      </c>
      <c r="BS150" s="72">
        <v>0.69699777613046698</v>
      </c>
      <c r="BT150" s="28">
        <v>2</v>
      </c>
      <c r="BU150" s="75">
        <v>148</v>
      </c>
    </row>
    <row r="151" spans="1:73">
      <c r="A151" s="101" t="s">
        <v>580</v>
      </c>
      <c r="B151" s="71" t="s">
        <v>168</v>
      </c>
      <c r="C151" s="71" t="s">
        <v>585</v>
      </c>
      <c r="D151" s="72">
        <f>VLOOKUP(Table106[[#This Row],[NAME]],HOU_H[[NAME]:['#]],2,0)</f>
        <v>0.30935251798561153</v>
      </c>
      <c r="E151" s="72">
        <f>VLOOKUP(Table106[[#This Row],[NAME]],HOU_H[[NAME]:['#]],3,0)</f>
        <v>0.37254901960784315</v>
      </c>
      <c r="F151" s="72">
        <f>VLOOKUP(Table106[[#This Row],[NAME]],HOU_H[[NAME]:['#]],4,0)</f>
        <v>0.50359712230215825</v>
      </c>
      <c r="G151" s="77">
        <f>VLOOKUP(Table106[[#This Row],[NAME]],HOU_H[[NAME]:['#]],5,0)</f>
        <v>37</v>
      </c>
      <c r="H151" s="28">
        <f>VLOOKUP(Table106[[#This Row],[NAME]],HOU_H[[NAME]:['#]],6,0)</f>
        <v>139</v>
      </c>
      <c r="I151" s="28">
        <f>VLOOKUP(Table106[[#This Row],[NAME]],HOU_H[[NAME]:['#]],7,0)</f>
        <v>22</v>
      </c>
      <c r="J151" s="28">
        <f>VLOOKUP(Table106[[#This Row],[NAME]],HOU_H[[NAME]:['#]],8,0)</f>
        <v>43</v>
      </c>
      <c r="K151" s="28">
        <f>VLOOKUP(Table106[[#This Row],[NAME]],HOU_H[[NAME]:['#]],9,0)</f>
        <v>6</v>
      </c>
      <c r="L151" s="28">
        <f>VLOOKUP(Table106[[#This Row],[NAME]],HOU_H[[NAME]:['#]],10,0)</f>
        <v>0</v>
      </c>
      <c r="M151" s="28">
        <f>VLOOKUP(Table106[[#This Row],[NAME]],HOU_H[[NAME]:['#]],11,0)</f>
        <v>7</v>
      </c>
      <c r="N151" s="28">
        <f>VLOOKUP(Table106[[#This Row],[NAME]],HOU_H[[NAME]:['#]],12,0)</f>
        <v>14</v>
      </c>
      <c r="O151" s="28">
        <f>VLOOKUP(Table106[[#This Row],[NAME]],HOU_H[[NAME]:['#]],13,0)</f>
        <v>14</v>
      </c>
      <c r="P151" s="28">
        <f>VLOOKUP(Table106[[#This Row],[NAME]],HOU_H[[NAME]:['#]],14,0)</f>
        <v>28</v>
      </c>
      <c r="Q151" s="77">
        <f>VLOOKUP(Table106[[#This Row],[NAME]],HOU_H[[NAME]:['#]],15,0)</f>
        <v>0</v>
      </c>
      <c r="R151" s="28">
        <f>VLOOKUP(Table106[[#This Row],[NAME]],HOU_H[[NAME]:['#]],16,0)</f>
        <v>11</v>
      </c>
      <c r="S151" s="28">
        <f>VLOOKUP(Table106[[#This Row],[NAME]],HOU_H[[NAME]:['#]],17,0)</f>
        <v>11</v>
      </c>
      <c r="T151" s="77">
        <f>VLOOKUP(Table106[[#This Row],[NAME]],HOU_H[[NAME]:['#]],18,0)</f>
        <v>70</v>
      </c>
      <c r="U151" s="72">
        <f>VLOOKUP(Table106[[#This Row],[NAME]],HOU_H[[NAME]:['#]],19,0)</f>
        <v>0.8761461419100014</v>
      </c>
      <c r="V151" s="28">
        <f>VLOOKUP(Table106[[#This Row],[NAME]],HOU_H[[NAME]:['#]],20,0)</f>
        <v>1</v>
      </c>
      <c r="W151" s="75">
        <v>149</v>
      </c>
      <c r="Z151" s="101" t="s">
        <v>580</v>
      </c>
      <c r="AA151" s="77" t="s">
        <v>168</v>
      </c>
      <c r="AB151" s="77" t="s">
        <v>585</v>
      </c>
      <c r="AC151" s="503">
        <v>0.3619631901840491</v>
      </c>
      <c r="AD151" s="72">
        <v>0.38823529411764707</v>
      </c>
      <c r="AE151" s="72">
        <v>0.55214723926380371</v>
      </c>
      <c r="AF151" s="77">
        <v>40</v>
      </c>
      <c r="AG151" s="28">
        <v>163</v>
      </c>
      <c r="AH151" s="28">
        <v>21</v>
      </c>
      <c r="AI151" s="76">
        <v>59</v>
      </c>
      <c r="AJ151" s="586">
        <v>19</v>
      </c>
      <c r="AK151" s="28">
        <v>0</v>
      </c>
      <c r="AL151" s="28">
        <v>4</v>
      </c>
      <c r="AM151" s="28">
        <v>19</v>
      </c>
      <c r="AN151" s="28">
        <v>7</v>
      </c>
      <c r="AO151" s="28">
        <v>19</v>
      </c>
      <c r="AP151" s="77">
        <v>0</v>
      </c>
      <c r="AQ151" s="28">
        <v>4</v>
      </c>
      <c r="AR151" s="28">
        <v>11</v>
      </c>
      <c r="AS151" s="77">
        <v>90</v>
      </c>
      <c r="AT151" s="72">
        <v>0.94038253338145084</v>
      </c>
      <c r="AU151" s="76">
        <v>2</v>
      </c>
      <c r="AV151" s="75">
        <v>149</v>
      </c>
      <c r="AY151" s="366" t="s">
        <v>580</v>
      </c>
      <c r="AZ151" s="77" t="s">
        <v>168</v>
      </c>
      <c r="BA151" s="77" t="s">
        <v>581</v>
      </c>
      <c r="BB151" s="130">
        <v>0.27737226277372262</v>
      </c>
      <c r="BC151" s="72">
        <v>0.35714285714285715</v>
      </c>
      <c r="BD151" s="72">
        <v>0.59124087591240881</v>
      </c>
      <c r="BE151" s="77">
        <v>37</v>
      </c>
      <c r="BF151" s="28">
        <v>137</v>
      </c>
      <c r="BG151" s="28">
        <v>23</v>
      </c>
      <c r="BH151" s="28">
        <v>38</v>
      </c>
      <c r="BI151" s="28">
        <v>4</v>
      </c>
      <c r="BJ151" s="28">
        <v>0</v>
      </c>
      <c r="BK151" s="28">
        <v>13</v>
      </c>
      <c r="BL151" s="28">
        <v>29</v>
      </c>
      <c r="BM151" s="28">
        <v>17</v>
      </c>
      <c r="BN151" s="28">
        <v>50</v>
      </c>
      <c r="BO151" s="77">
        <v>0</v>
      </c>
      <c r="BP151" s="28">
        <v>1</v>
      </c>
      <c r="BQ151" s="28">
        <v>4</v>
      </c>
      <c r="BR151" s="77">
        <v>81</v>
      </c>
      <c r="BS151" s="72">
        <v>0.94838373305526602</v>
      </c>
      <c r="BT151" s="28">
        <v>5</v>
      </c>
      <c r="BU151" s="75">
        <v>149</v>
      </c>
    </row>
    <row r="152" spans="1:73">
      <c r="A152" s="101" t="s">
        <v>580</v>
      </c>
      <c r="B152" s="71" t="s">
        <v>179</v>
      </c>
      <c r="C152" s="71" t="s">
        <v>590</v>
      </c>
      <c r="D152" s="72">
        <f>VLOOKUP(Table106[[#This Row],[NAME]],HOU_H[[NAME]:['#]],2,0)</f>
        <v>0.32258064516129031</v>
      </c>
      <c r="E152" s="72">
        <f>VLOOKUP(Table106[[#This Row],[NAME]],HOU_H[[NAME]:['#]],3,0)</f>
        <v>0.34375</v>
      </c>
      <c r="F152" s="72">
        <f>VLOOKUP(Table106[[#This Row],[NAME]],HOU_H[[NAME]:['#]],4,0)</f>
        <v>0.67741935483870963</v>
      </c>
      <c r="G152" s="77">
        <f>VLOOKUP(Table106[[#This Row],[NAME]],HOU_H[[NAME]:['#]],5,0)</f>
        <v>10</v>
      </c>
      <c r="H152" s="28">
        <f>VLOOKUP(Table106[[#This Row],[NAME]],HOU_H[[NAME]:['#]],6,0)</f>
        <v>31</v>
      </c>
      <c r="I152" s="28">
        <f>VLOOKUP(Table106[[#This Row],[NAME]],HOU_H[[NAME]:['#]],7,0)</f>
        <v>2</v>
      </c>
      <c r="J152" s="28">
        <f>VLOOKUP(Table106[[#This Row],[NAME]],HOU_H[[NAME]:['#]],8,0)</f>
        <v>10</v>
      </c>
      <c r="K152" s="28">
        <f>VLOOKUP(Table106[[#This Row],[NAME]],HOU_H[[NAME]:['#]],9,0)</f>
        <v>1</v>
      </c>
      <c r="L152" s="28">
        <f>VLOOKUP(Table106[[#This Row],[NAME]],HOU_H[[NAME]:['#]],10,0)</f>
        <v>2</v>
      </c>
      <c r="M152" s="28">
        <f>VLOOKUP(Table106[[#This Row],[NAME]],HOU_H[[NAME]:['#]],11,0)</f>
        <v>2</v>
      </c>
      <c r="N152" s="28">
        <f>VLOOKUP(Table106[[#This Row],[NAME]],HOU_H[[NAME]:['#]],12,0)</f>
        <v>5</v>
      </c>
      <c r="O152" s="28">
        <f>VLOOKUP(Table106[[#This Row],[NAME]],HOU_H[[NAME]:['#]],13,0)</f>
        <v>1</v>
      </c>
      <c r="P152" s="28">
        <f>VLOOKUP(Table106[[#This Row],[NAME]],HOU_H[[NAME]:['#]],14,0)</f>
        <v>7</v>
      </c>
      <c r="Q152" s="77">
        <f>VLOOKUP(Table106[[#This Row],[NAME]],HOU_H[[NAME]:['#]],15,0)</f>
        <v>0</v>
      </c>
      <c r="R152" s="28">
        <f>VLOOKUP(Table106[[#This Row],[NAME]],HOU_H[[NAME]:['#]],16,0)</f>
        <v>6</v>
      </c>
      <c r="S152" s="28">
        <f>VLOOKUP(Table106[[#This Row],[NAME]],HOU_H[[NAME]:['#]],17,0)</f>
        <v>6</v>
      </c>
      <c r="T152" s="77">
        <f>VLOOKUP(Table106[[#This Row],[NAME]],HOU_H[[NAME]:['#]],18,0)</f>
        <v>21</v>
      </c>
      <c r="U152" s="72">
        <f>VLOOKUP(Table106[[#This Row],[NAME]],HOU_H[[NAME]:['#]],19,0)</f>
        <v>1.0211693548387095</v>
      </c>
      <c r="V152" s="28">
        <f>VLOOKUP(Table106[[#This Row],[NAME]],HOU_H[[NAME]:['#]],20,0)</f>
        <v>0</v>
      </c>
      <c r="W152" s="75">
        <v>150</v>
      </c>
      <c r="Z152" s="101" t="s">
        <v>580</v>
      </c>
      <c r="AA152" s="77" t="s">
        <v>179</v>
      </c>
      <c r="AB152" s="77" t="s">
        <v>590</v>
      </c>
      <c r="AC152" s="130">
        <v>0.21111111111111111</v>
      </c>
      <c r="AD152" s="72">
        <v>0.28282828282828282</v>
      </c>
      <c r="AE152" s="72">
        <v>0.35555555555555557</v>
      </c>
      <c r="AF152" s="77">
        <v>27</v>
      </c>
      <c r="AG152" s="28">
        <v>90</v>
      </c>
      <c r="AH152" s="28">
        <v>7</v>
      </c>
      <c r="AI152" s="28">
        <v>19</v>
      </c>
      <c r="AJ152" s="28">
        <v>2</v>
      </c>
      <c r="AK152" s="28">
        <v>1</v>
      </c>
      <c r="AL152" s="28">
        <v>3</v>
      </c>
      <c r="AM152" s="28">
        <v>7</v>
      </c>
      <c r="AN152" s="28">
        <v>9</v>
      </c>
      <c r="AO152" s="28">
        <v>22</v>
      </c>
      <c r="AP152" s="77">
        <v>0</v>
      </c>
      <c r="AQ152" s="28">
        <v>0</v>
      </c>
      <c r="AR152" s="28">
        <v>5</v>
      </c>
      <c r="AS152" s="77">
        <v>32</v>
      </c>
      <c r="AT152" s="72">
        <v>0.63838383838383839</v>
      </c>
      <c r="AU152" s="28">
        <v>1</v>
      </c>
      <c r="AV152" s="75">
        <v>150</v>
      </c>
      <c r="AY152" s="366" t="s">
        <v>580</v>
      </c>
      <c r="AZ152" s="77" t="s">
        <v>179</v>
      </c>
      <c r="BA152" s="77" t="s">
        <v>590</v>
      </c>
      <c r="BB152" s="130">
        <v>0.15625</v>
      </c>
      <c r="BC152" s="72">
        <v>0.27027027027027029</v>
      </c>
      <c r="BD152" s="72">
        <v>0.3125</v>
      </c>
      <c r="BE152" s="77">
        <v>21</v>
      </c>
      <c r="BF152" s="28">
        <v>32</v>
      </c>
      <c r="BG152" s="28">
        <v>4</v>
      </c>
      <c r="BH152" s="28">
        <v>5</v>
      </c>
      <c r="BI152" s="28">
        <v>2</v>
      </c>
      <c r="BJ152" s="28">
        <v>0</v>
      </c>
      <c r="BK152" s="28">
        <v>1</v>
      </c>
      <c r="BL152" s="28">
        <v>4</v>
      </c>
      <c r="BM152" s="28">
        <v>5</v>
      </c>
      <c r="BN152" s="28">
        <v>7</v>
      </c>
      <c r="BO152" s="77">
        <v>0</v>
      </c>
      <c r="BP152" s="28">
        <v>1</v>
      </c>
      <c r="BQ152" s="28">
        <v>2</v>
      </c>
      <c r="BR152" s="77">
        <v>10</v>
      </c>
      <c r="BS152" s="72">
        <v>0.58277027027027029</v>
      </c>
      <c r="BT152" s="28">
        <v>0</v>
      </c>
      <c r="BU152" s="75">
        <v>150</v>
      </c>
    </row>
    <row r="153" spans="1:73">
      <c r="A153" s="101" t="s">
        <v>580</v>
      </c>
      <c r="B153" s="71" t="s">
        <v>192</v>
      </c>
      <c r="C153" s="71" t="s">
        <v>595</v>
      </c>
      <c r="D153" s="72">
        <f>VLOOKUP(Table106[[#This Row],[NAME]],HOU_H[[NAME]:['#]],2,0)</f>
        <v>0.19047619047619047</v>
      </c>
      <c r="E153" s="72">
        <f>VLOOKUP(Table106[[#This Row],[NAME]],HOU_H[[NAME]:['#]],3,0)</f>
        <v>0.29166666666666669</v>
      </c>
      <c r="F153" s="72">
        <f>VLOOKUP(Table106[[#This Row],[NAME]],HOU_H[[NAME]:['#]],4,0)</f>
        <v>0.2857142857142857</v>
      </c>
      <c r="G153" s="77">
        <f>VLOOKUP(Table106[[#This Row],[NAME]],HOU_H[[NAME]:['#]],5,0)</f>
        <v>8</v>
      </c>
      <c r="H153" s="28">
        <f>VLOOKUP(Table106[[#This Row],[NAME]],HOU_H[[NAME]:['#]],6,0)</f>
        <v>21</v>
      </c>
      <c r="I153" s="28">
        <f>VLOOKUP(Table106[[#This Row],[NAME]],HOU_H[[NAME]:['#]],7,0)</f>
        <v>3</v>
      </c>
      <c r="J153" s="28">
        <f>VLOOKUP(Table106[[#This Row],[NAME]],HOU_H[[NAME]:['#]],8,0)</f>
        <v>4</v>
      </c>
      <c r="K153" s="28">
        <f>VLOOKUP(Table106[[#This Row],[NAME]],HOU_H[[NAME]:['#]],9,0)</f>
        <v>2</v>
      </c>
      <c r="L153" s="28">
        <f>VLOOKUP(Table106[[#This Row],[NAME]],HOU_H[[NAME]:['#]],10,0)</f>
        <v>0</v>
      </c>
      <c r="M153" s="28">
        <f>VLOOKUP(Table106[[#This Row],[NAME]],HOU_H[[NAME]:['#]],11,0)</f>
        <v>0</v>
      </c>
      <c r="N153" s="28">
        <f>VLOOKUP(Table106[[#This Row],[NAME]],HOU_H[[NAME]:['#]],12,0)</f>
        <v>3</v>
      </c>
      <c r="O153" s="28">
        <f>VLOOKUP(Table106[[#This Row],[NAME]],HOU_H[[NAME]:['#]],13,0)</f>
        <v>3</v>
      </c>
      <c r="P153" s="28">
        <f>VLOOKUP(Table106[[#This Row],[NAME]],HOU_H[[NAME]:['#]],14,0)</f>
        <v>5</v>
      </c>
      <c r="Q153" s="77">
        <f>VLOOKUP(Table106[[#This Row],[NAME]],HOU_H[[NAME]:['#]],15,0)</f>
        <v>0</v>
      </c>
      <c r="R153" s="28">
        <f>VLOOKUP(Table106[[#This Row],[NAME]],HOU_H[[NAME]:['#]],16,0)</f>
        <v>2</v>
      </c>
      <c r="S153" s="28">
        <f>VLOOKUP(Table106[[#This Row],[NAME]],HOU_H[[NAME]:['#]],17,0)</f>
        <v>2</v>
      </c>
      <c r="T153" s="77">
        <f>VLOOKUP(Table106[[#This Row],[NAME]],HOU_H[[NAME]:['#]],18,0)</f>
        <v>6</v>
      </c>
      <c r="U153" s="72">
        <f>VLOOKUP(Table106[[#This Row],[NAME]],HOU_H[[NAME]:['#]],19,0)</f>
        <v>0.57738095238095233</v>
      </c>
      <c r="V153" s="28">
        <f>VLOOKUP(Table106[[#This Row],[NAME]],HOU_H[[NAME]:['#]],20,0)</f>
        <v>0</v>
      </c>
      <c r="W153" s="75">
        <v>151</v>
      </c>
      <c r="Z153" s="101" t="s">
        <v>580</v>
      </c>
      <c r="AA153" s="77" t="s">
        <v>192</v>
      </c>
      <c r="AB153" s="77" t="s">
        <v>596</v>
      </c>
      <c r="AC153" s="130">
        <v>0</v>
      </c>
      <c r="AD153" s="72">
        <v>0</v>
      </c>
      <c r="AE153" s="72">
        <v>0</v>
      </c>
      <c r="AF153" s="77">
        <v>0</v>
      </c>
      <c r="AG153" s="28">
        <v>0</v>
      </c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0</v>
      </c>
      <c r="AN153" s="28">
        <v>0</v>
      </c>
      <c r="AO153" s="28">
        <v>0</v>
      </c>
      <c r="AP153" s="77">
        <v>0</v>
      </c>
      <c r="AQ153" s="28">
        <v>0</v>
      </c>
      <c r="AR153" s="28">
        <v>0</v>
      </c>
      <c r="AS153" s="77">
        <v>0</v>
      </c>
      <c r="AT153" s="72">
        <v>0</v>
      </c>
      <c r="AU153" s="28">
        <v>0</v>
      </c>
      <c r="AV153" s="75">
        <v>151</v>
      </c>
      <c r="AY153" s="366" t="s">
        <v>580</v>
      </c>
      <c r="AZ153" s="77" t="s">
        <v>192</v>
      </c>
      <c r="BA153" s="77" t="s">
        <v>588</v>
      </c>
      <c r="BB153" s="130">
        <v>0.22222222222222221</v>
      </c>
      <c r="BC153" s="72">
        <v>0.3</v>
      </c>
      <c r="BD153" s="72">
        <v>0.27777777777777779</v>
      </c>
      <c r="BE153" s="77">
        <v>10</v>
      </c>
      <c r="BF153" s="28">
        <v>18</v>
      </c>
      <c r="BG153" s="28">
        <v>1</v>
      </c>
      <c r="BH153" s="28">
        <v>4</v>
      </c>
      <c r="BI153" s="28">
        <v>1</v>
      </c>
      <c r="BJ153" s="28">
        <v>0</v>
      </c>
      <c r="BK153" s="28">
        <v>0</v>
      </c>
      <c r="BL153" s="28">
        <v>0</v>
      </c>
      <c r="BM153" s="28">
        <v>2</v>
      </c>
      <c r="BN153" s="28">
        <v>3</v>
      </c>
      <c r="BO153" s="77">
        <v>0</v>
      </c>
      <c r="BP153" s="28">
        <v>1</v>
      </c>
      <c r="BQ153" s="28">
        <v>1</v>
      </c>
      <c r="BR153" s="77">
        <v>5</v>
      </c>
      <c r="BS153" s="72">
        <v>0.57777777777777772</v>
      </c>
      <c r="BT153" s="28">
        <v>0</v>
      </c>
      <c r="BU153" s="75">
        <v>151</v>
      </c>
    </row>
    <row r="154" spans="1:73">
      <c r="A154" s="101" t="s">
        <v>580</v>
      </c>
      <c r="B154" s="71" t="s">
        <v>187</v>
      </c>
      <c r="C154" s="71" t="s">
        <v>592</v>
      </c>
      <c r="D154" s="72">
        <f>VLOOKUP(Table106[[#This Row],[NAME]],HOU_H[[NAME]:['#]],2,0)</f>
        <v>0.25925925925925924</v>
      </c>
      <c r="E154" s="72">
        <f>VLOOKUP(Table106[[#This Row],[NAME]],HOU_H[[NAME]:['#]],3,0)</f>
        <v>0.33333333333333331</v>
      </c>
      <c r="F154" s="72">
        <f>VLOOKUP(Table106[[#This Row],[NAME]],HOU_H[[NAME]:['#]],4,0)</f>
        <v>0.48148148148148145</v>
      </c>
      <c r="G154" s="77">
        <f>VLOOKUP(Table106[[#This Row],[NAME]],HOU_H[[NAME]:['#]],5,0)</f>
        <v>8</v>
      </c>
      <c r="H154" s="28">
        <f>VLOOKUP(Table106[[#This Row],[NAME]],HOU_H[[NAME]:['#]],6,0)</f>
        <v>27</v>
      </c>
      <c r="I154" s="28">
        <f>VLOOKUP(Table106[[#This Row],[NAME]],HOU_H[[NAME]:['#]],7,0)</f>
        <v>4</v>
      </c>
      <c r="J154" s="28">
        <f>VLOOKUP(Table106[[#This Row],[NAME]],HOU_H[[NAME]:['#]],8,0)</f>
        <v>7</v>
      </c>
      <c r="K154" s="28">
        <f>VLOOKUP(Table106[[#This Row],[NAME]],HOU_H[[NAME]:['#]],9,0)</f>
        <v>0</v>
      </c>
      <c r="L154" s="28">
        <f>VLOOKUP(Table106[[#This Row],[NAME]],HOU_H[[NAME]:['#]],10,0)</f>
        <v>0</v>
      </c>
      <c r="M154" s="28">
        <f>VLOOKUP(Table106[[#This Row],[NAME]],HOU_H[[NAME]:['#]],11,0)</f>
        <v>2</v>
      </c>
      <c r="N154" s="28">
        <f>VLOOKUP(Table106[[#This Row],[NAME]],HOU_H[[NAME]:['#]],12,0)</f>
        <v>6</v>
      </c>
      <c r="O154" s="28">
        <f>VLOOKUP(Table106[[#This Row],[NAME]],HOU_H[[NAME]:['#]],13,0)</f>
        <v>3</v>
      </c>
      <c r="P154" s="28">
        <f>VLOOKUP(Table106[[#This Row],[NAME]],HOU_H[[NAME]:['#]],14,0)</f>
        <v>8</v>
      </c>
      <c r="Q154" s="77">
        <f>VLOOKUP(Table106[[#This Row],[NAME]],HOU_H[[NAME]:['#]],15,0)</f>
        <v>0</v>
      </c>
      <c r="R154" s="28">
        <f>VLOOKUP(Table106[[#This Row],[NAME]],HOU_H[[NAME]:['#]],16,0)</f>
        <v>1</v>
      </c>
      <c r="S154" s="28">
        <f>VLOOKUP(Table106[[#This Row],[NAME]],HOU_H[[NAME]:['#]],17,0)</f>
        <v>4</v>
      </c>
      <c r="T154" s="77">
        <f>VLOOKUP(Table106[[#This Row],[NAME]],HOU_H[[NAME]:['#]],18,0)</f>
        <v>13</v>
      </c>
      <c r="U154" s="72">
        <f>VLOOKUP(Table106[[#This Row],[NAME]],HOU_H[[NAME]:['#]],19,0)</f>
        <v>0.81481481481481477</v>
      </c>
      <c r="V154" s="28">
        <f>VLOOKUP(Table106[[#This Row],[NAME]],HOU_H[[NAME]:['#]],20,0)</f>
        <v>1</v>
      </c>
      <c r="W154" s="75">
        <v>152</v>
      </c>
      <c r="Z154" s="101" t="s">
        <v>580</v>
      </c>
      <c r="AA154" s="77" t="s">
        <v>187</v>
      </c>
      <c r="AB154" s="77" t="s">
        <v>592</v>
      </c>
      <c r="AC154" s="130">
        <v>0</v>
      </c>
      <c r="AD154" s="72">
        <v>0</v>
      </c>
      <c r="AE154" s="72">
        <v>0</v>
      </c>
      <c r="AF154" s="77">
        <v>0</v>
      </c>
      <c r="AG154" s="28">
        <v>0</v>
      </c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77">
        <v>0</v>
      </c>
      <c r="AQ154" s="28">
        <v>0</v>
      </c>
      <c r="AR154" s="28">
        <v>0</v>
      </c>
      <c r="AS154" s="77">
        <v>0</v>
      </c>
      <c r="AT154" s="72">
        <v>0</v>
      </c>
      <c r="AU154" s="28">
        <v>0</v>
      </c>
      <c r="AV154" s="75">
        <v>152</v>
      </c>
      <c r="AY154" s="366" t="s">
        <v>580</v>
      </c>
      <c r="AZ154" s="77" t="s">
        <v>187</v>
      </c>
      <c r="BA154" s="77" t="s">
        <v>592</v>
      </c>
      <c r="BB154" s="130">
        <v>0.22857142857142856</v>
      </c>
      <c r="BC154" s="72">
        <v>0.25</v>
      </c>
      <c r="BD154" s="72">
        <v>0.25714285714285712</v>
      </c>
      <c r="BE154" s="77">
        <v>18</v>
      </c>
      <c r="BF154" s="28">
        <v>35</v>
      </c>
      <c r="BG154" s="28">
        <v>2</v>
      </c>
      <c r="BH154" s="28">
        <v>8</v>
      </c>
      <c r="BI154" s="28">
        <v>1</v>
      </c>
      <c r="BJ154" s="28">
        <v>0</v>
      </c>
      <c r="BK154" s="28">
        <v>0</v>
      </c>
      <c r="BL154" s="28">
        <v>0</v>
      </c>
      <c r="BM154" s="28">
        <v>1</v>
      </c>
      <c r="BN154" s="28">
        <v>7</v>
      </c>
      <c r="BO154" s="77">
        <v>0</v>
      </c>
      <c r="BP154" s="28">
        <v>0</v>
      </c>
      <c r="BQ154" s="28">
        <v>2</v>
      </c>
      <c r="BR154" s="77">
        <v>9</v>
      </c>
      <c r="BS154" s="72">
        <v>0.50714285714285712</v>
      </c>
      <c r="BT154" s="28">
        <v>0</v>
      </c>
      <c r="BU154" s="75">
        <v>152</v>
      </c>
    </row>
    <row r="155" spans="1:73">
      <c r="A155" s="101" t="s">
        <v>580</v>
      </c>
      <c r="B155" s="71" t="s">
        <v>186</v>
      </c>
      <c r="C155" s="71" t="s">
        <v>593</v>
      </c>
      <c r="D155" s="72">
        <f>VLOOKUP(Table106[[#This Row],[NAME]],HOU_H[[NAME]:['#]],2,0)</f>
        <v>0.33333333333333331</v>
      </c>
      <c r="E155" s="72">
        <f>VLOOKUP(Table106[[#This Row],[NAME]],HOU_H[[NAME]:['#]],3,0)</f>
        <v>0.41176470588235292</v>
      </c>
      <c r="F155" s="72">
        <f>VLOOKUP(Table106[[#This Row],[NAME]],HOU_H[[NAME]:['#]],4,0)</f>
        <v>0.4</v>
      </c>
      <c r="G155" s="77">
        <f>VLOOKUP(Table106[[#This Row],[NAME]],HOU_H[[NAME]:['#]],5,0)</f>
        <v>5</v>
      </c>
      <c r="H155" s="28">
        <f>VLOOKUP(Table106[[#This Row],[NAME]],HOU_H[[NAME]:['#]],6,0)</f>
        <v>15</v>
      </c>
      <c r="I155" s="28">
        <f>VLOOKUP(Table106[[#This Row],[NAME]],HOU_H[[NAME]:['#]],7,0)</f>
        <v>2</v>
      </c>
      <c r="J155" s="28">
        <f>VLOOKUP(Table106[[#This Row],[NAME]],HOU_H[[NAME]:['#]],8,0)</f>
        <v>5</v>
      </c>
      <c r="K155" s="28">
        <f>VLOOKUP(Table106[[#This Row],[NAME]],HOU_H[[NAME]:['#]],9,0)</f>
        <v>1</v>
      </c>
      <c r="L155" s="28">
        <f>VLOOKUP(Table106[[#This Row],[NAME]],HOU_H[[NAME]:['#]],10,0)</f>
        <v>0</v>
      </c>
      <c r="M155" s="28">
        <f>VLOOKUP(Table106[[#This Row],[NAME]],HOU_H[[NAME]:['#]],11,0)</f>
        <v>0</v>
      </c>
      <c r="N155" s="28">
        <f>VLOOKUP(Table106[[#This Row],[NAME]],HOU_H[[NAME]:['#]],12,0)</f>
        <v>1</v>
      </c>
      <c r="O155" s="28">
        <f>VLOOKUP(Table106[[#This Row],[NAME]],HOU_H[[NAME]:['#]],13,0)</f>
        <v>2</v>
      </c>
      <c r="P155" s="28">
        <f>VLOOKUP(Table106[[#This Row],[NAME]],HOU_H[[NAME]:['#]],14,0)</f>
        <v>8</v>
      </c>
      <c r="Q155" s="77">
        <f>VLOOKUP(Table106[[#This Row],[NAME]],HOU_H[[NAME]:['#]],15,0)</f>
        <v>0</v>
      </c>
      <c r="R155" s="28">
        <f>VLOOKUP(Table106[[#This Row],[NAME]],HOU_H[[NAME]:['#]],16,0)</f>
        <v>0</v>
      </c>
      <c r="S155" s="28">
        <f>VLOOKUP(Table106[[#This Row],[NAME]],HOU_H[[NAME]:['#]],17,0)</f>
        <v>3</v>
      </c>
      <c r="T155" s="77">
        <f>VLOOKUP(Table106[[#This Row],[NAME]],HOU_H[[NAME]:['#]],18,0)</f>
        <v>6</v>
      </c>
      <c r="U155" s="72">
        <f>VLOOKUP(Table106[[#This Row],[NAME]],HOU_H[[NAME]:['#]],19,0)</f>
        <v>0.81176470588235294</v>
      </c>
      <c r="V155" s="28">
        <f>VLOOKUP(Table106[[#This Row],[NAME]],HOU_H[[NAME]:['#]],20,0)</f>
        <v>0</v>
      </c>
      <c r="W155" s="75">
        <v>153</v>
      </c>
      <c r="Z155" s="101" t="s">
        <v>580</v>
      </c>
      <c r="AA155" s="77" t="s">
        <v>186</v>
      </c>
      <c r="AB155" s="77" t="s">
        <v>593</v>
      </c>
      <c r="AC155" s="130">
        <v>0.33333333333333331</v>
      </c>
      <c r="AD155" s="72">
        <v>0.42857142857142855</v>
      </c>
      <c r="AE155" s="72">
        <v>0.5</v>
      </c>
      <c r="AF155" s="77">
        <v>6</v>
      </c>
      <c r="AG155" s="28">
        <v>6</v>
      </c>
      <c r="AH155" s="28">
        <v>1</v>
      </c>
      <c r="AI155" s="28">
        <v>2</v>
      </c>
      <c r="AJ155" s="28">
        <v>1</v>
      </c>
      <c r="AK155" s="28">
        <v>0</v>
      </c>
      <c r="AL155" s="28">
        <v>0</v>
      </c>
      <c r="AM155" s="28">
        <v>1</v>
      </c>
      <c r="AN155" s="28">
        <v>1</v>
      </c>
      <c r="AO155" s="28">
        <v>4</v>
      </c>
      <c r="AP155" s="77">
        <v>0</v>
      </c>
      <c r="AQ155" s="28">
        <v>0</v>
      </c>
      <c r="AR155" s="28">
        <v>1</v>
      </c>
      <c r="AS155" s="77">
        <v>3</v>
      </c>
      <c r="AT155" s="72">
        <v>0.9285714285714286</v>
      </c>
      <c r="AU155" s="28">
        <v>0</v>
      </c>
      <c r="AV155" s="75">
        <v>153</v>
      </c>
      <c r="AY155" s="366" t="s">
        <v>580</v>
      </c>
      <c r="AZ155" s="77" t="s">
        <v>184</v>
      </c>
      <c r="BA155" s="77" t="s">
        <v>593</v>
      </c>
      <c r="BB155" s="130">
        <v>0.15625</v>
      </c>
      <c r="BC155" s="72">
        <v>0.15625</v>
      </c>
      <c r="BD155" s="72">
        <v>0.25</v>
      </c>
      <c r="BE155" s="77">
        <v>13</v>
      </c>
      <c r="BF155" s="28">
        <v>32</v>
      </c>
      <c r="BG155" s="28">
        <v>3</v>
      </c>
      <c r="BH155" s="28">
        <v>5</v>
      </c>
      <c r="BI155" s="28">
        <v>0</v>
      </c>
      <c r="BJ155" s="28">
        <v>0</v>
      </c>
      <c r="BK155" s="28">
        <v>1</v>
      </c>
      <c r="BL155" s="28">
        <v>1</v>
      </c>
      <c r="BM155" s="28">
        <v>0</v>
      </c>
      <c r="BN155" s="28">
        <v>11</v>
      </c>
      <c r="BO155" s="77">
        <v>0</v>
      </c>
      <c r="BP155" s="28">
        <v>2</v>
      </c>
      <c r="BQ155" s="28">
        <v>2</v>
      </c>
      <c r="BR155" s="77">
        <v>8</v>
      </c>
      <c r="BS155" s="72">
        <v>0.40625</v>
      </c>
      <c r="BT155" s="28">
        <v>0</v>
      </c>
      <c r="BU155" s="75">
        <v>153</v>
      </c>
    </row>
    <row r="156" spans="1:73">
      <c r="A156" s="101" t="s">
        <v>580</v>
      </c>
      <c r="B156" s="71" t="s">
        <v>186</v>
      </c>
      <c r="C156" s="71" t="s">
        <v>594</v>
      </c>
      <c r="D156" s="72">
        <f>VLOOKUP(Table106[[#This Row],[NAME]],HOU_H[[NAME]:['#]],2,0)</f>
        <v>0.23076923076923078</v>
      </c>
      <c r="E156" s="72">
        <f>VLOOKUP(Table106[[#This Row],[NAME]],HOU_H[[NAME]:['#]],3,0)</f>
        <v>0.2857142857142857</v>
      </c>
      <c r="F156" s="72">
        <f>VLOOKUP(Table106[[#This Row],[NAME]],HOU_H[[NAME]:['#]],4,0)</f>
        <v>0.34615384615384615</v>
      </c>
      <c r="G156" s="77">
        <f>VLOOKUP(Table106[[#This Row],[NAME]],HOU_H[[NAME]:['#]],5,0)</f>
        <v>10</v>
      </c>
      <c r="H156" s="28">
        <f>VLOOKUP(Table106[[#This Row],[NAME]],HOU_H[[NAME]:['#]],6,0)</f>
        <v>26</v>
      </c>
      <c r="I156" s="28">
        <f>VLOOKUP(Table106[[#This Row],[NAME]],HOU_H[[NAME]:['#]],7,0)</f>
        <v>5</v>
      </c>
      <c r="J156" s="28">
        <f>VLOOKUP(Table106[[#This Row],[NAME]],HOU_H[[NAME]:['#]],8,0)</f>
        <v>6</v>
      </c>
      <c r="K156" s="28">
        <f>VLOOKUP(Table106[[#This Row],[NAME]],HOU_H[[NAME]:['#]],9,0)</f>
        <v>0</v>
      </c>
      <c r="L156" s="28">
        <f>VLOOKUP(Table106[[#This Row],[NAME]],HOU_H[[NAME]:['#]],10,0)</f>
        <v>0</v>
      </c>
      <c r="M156" s="28">
        <f>VLOOKUP(Table106[[#This Row],[NAME]],HOU_H[[NAME]:['#]],11,0)</f>
        <v>1</v>
      </c>
      <c r="N156" s="28">
        <f>VLOOKUP(Table106[[#This Row],[NAME]],HOU_H[[NAME]:['#]],12,0)</f>
        <v>1</v>
      </c>
      <c r="O156" s="28">
        <f>VLOOKUP(Table106[[#This Row],[NAME]],HOU_H[[NAME]:['#]],13,0)</f>
        <v>2</v>
      </c>
      <c r="P156" s="28">
        <f>VLOOKUP(Table106[[#This Row],[NAME]],HOU_H[[NAME]:['#]],14,0)</f>
        <v>6</v>
      </c>
      <c r="Q156" s="77">
        <f>VLOOKUP(Table106[[#This Row],[NAME]],HOU_H[[NAME]:['#]],15,0)</f>
        <v>2</v>
      </c>
      <c r="R156" s="28">
        <f>VLOOKUP(Table106[[#This Row],[NAME]],HOU_H[[NAME]:['#]],16,0)</f>
        <v>0</v>
      </c>
      <c r="S156" s="28">
        <f>VLOOKUP(Table106[[#This Row],[NAME]],HOU_H[[NAME]:['#]],17,0)</f>
        <v>2</v>
      </c>
      <c r="T156" s="77">
        <f>VLOOKUP(Table106[[#This Row],[NAME]],HOU_H[[NAME]:['#]],18,0)</f>
        <v>9</v>
      </c>
      <c r="U156" s="72">
        <f>VLOOKUP(Table106[[#This Row],[NAME]],HOU_H[[NAME]:['#]],19,0)</f>
        <v>0.63186813186813184</v>
      </c>
      <c r="V156" s="28">
        <f>VLOOKUP(Table106[[#This Row],[NAME]],HOU_H[[NAME]:['#]],20,0)</f>
        <v>0</v>
      </c>
      <c r="W156" s="75">
        <v>154</v>
      </c>
      <c r="Z156" s="101" t="s">
        <v>580</v>
      </c>
      <c r="AA156" s="77" t="s">
        <v>186</v>
      </c>
      <c r="AB156" s="77" t="s">
        <v>594</v>
      </c>
      <c r="AC156" s="130">
        <v>0</v>
      </c>
      <c r="AD156" s="72">
        <v>0</v>
      </c>
      <c r="AE156" s="72">
        <v>0</v>
      </c>
      <c r="AF156" s="77">
        <v>2</v>
      </c>
      <c r="AG156" s="28">
        <v>0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77">
        <v>0</v>
      </c>
      <c r="AQ156" s="28">
        <v>0</v>
      </c>
      <c r="AR156" s="28">
        <v>0</v>
      </c>
      <c r="AS156" s="77">
        <v>0</v>
      </c>
      <c r="AT156" s="72">
        <v>0</v>
      </c>
      <c r="AU156" s="28">
        <v>0</v>
      </c>
      <c r="AV156" s="75">
        <v>154</v>
      </c>
      <c r="AY156" s="366" t="s">
        <v>580</v>
      </c>
      <c r="AZ156" s="77" t="s">
        <v>184</v>
      </c>
      <c r="BA156" s="77" t="s">
        <v>594</v>
      </c>
      <c r="BB156" s="130">
        <v>0.13793103448275862</v>
      </c>
      <c r="BC156" s="72">
        <v>0.19354838709677419</v>
      </c>
      <c r="BD156" s="72">
        <v>0.31034482758620691</v>
      </c>
      <c r="BE156" s="77">
        <v>12</v>
      </c>
      <c r="BF156" s="28">
        <v>29</v>
      </c>
      <c r="BG156" s="28">
        <v>2</v>
      </c>
      <c r="BH156" s="28">
        <v>4</v>
      </c>
      <c r="BI156" s="28">
        <v>0</v>
      </c>
      <c r="BJ156" s="28">
        <v>1</v>
      </c>
      <c r="BK156" s="28">
        <v>1</v>
      </c>
      <c r="BL156" s="28">
        <v>4</v>
      </c>
      <c r="BM156" s="28">
        <v>2</v>
      </c>
      <c r="BN156" s="28">
        <v>9</v>
      </c>
      <c r="BO156" s="77">
        <v>0</v>
      </c>
      <c r="BP156" s="28">
        <v>3</v>
      </c>
      <c r="BQ156" s="28">
        <v>3</v>
      </c>
      <c r="BR156" s="77">
        <v>9</v>
      </c>
      <c r="BS156" s="72">
        <v>0.50389321468298109</v>
      </c>
      <c r="BT156" s="28">
        <v>0</v>
      </c>
      <c r="BU156" s="75">
        <v>154</v>
      </c>
    </row>
    <row r="157" spans="1:73">
      <c r="A157" s="101" t="s">
        <v>611</v>
      </c>
      <c r="B157" s="71" t="s">
        <v>179</v>
      </c>
      <c r="C157" s="71" t="s">
        <v>621</v>
      </c>
      <c r="D157" s="72">
        <f>VLOOKUP(Table106[[#This Row],[NAME]],SEA_H[[NAME]:['#]],2,0)</f>
        <v>0.1875</v>
      </c>
      <c r="E157" s="72">
        <f>VLOOKUP(Table106[[#This Row],[NAME]],SEA_H[[NAME]:['#]],3,0)</f>
        <v>0.24637681159420291</v>
      </c>
      <c r="F157" s="72">
        <f>VLOOKUP(Table106[[#This Row],[NAME]],SEA_H[[NAME]:['#]],4,0)</f>
        <v>0.375</v>
      </c>
      <c r="G157" s="77">
        <f>VLOOKUP(Table106[[#This Row],[NAME]],SEA_H[[NAME]:['#]],5,0)</f>
        <v>36</v>
      </c>
      <c r="H157" s="28">
        <f>VLOOKUP(Table106[[#This Row],[NAME]],SEA_H[[NAME]:['#]],6,0)</f>
        <v>128</v>
      </c>
      <c r="I157" s="28">
        <f>VLOOKUP(Table106[[#This Row],[NAME]],SEA_H[[NAME]:['#]],7,0)</f>
        <v>12</v>
      </c>
      <c r="J157" s="28">
        <f>VLOOKUP(Table106[[#This Row],[NAME]],SEA_H[[NAME]:['#]],8,0)</f>
        <v>24</v>
      </c>
      <c r="K157" s="28">
        <f>VLOOKUP(Table106[[#This Row],[NAME]],SEA_H[[NAME]:['#]],9,0)</f>
        <v>4</v>
      </c>
      <c r="L157" s="28">
        <f>VLOOKUP(Table106[[#This Row],[NAME]],SEA_H[[NAME]:['#]],10,0)</f>
        <v>1</v>
      </c>
      <c r="M157" s="28">
        <f>VLOOKUP(Table106[[#This Row],[NAME]],SEA_H[[NAME]:['#]],11,0)</f>
        <v>6</v>
      </c>
      <c r="N157" s="28">
        <f>VLOOKUP(Table106[[#This Row],[NAME]],SEA_H[[NAME]:['#]],12,0)</f>
        <v>13</v>
      </c>
      <c r="O157" s="28">
        <f>VLOOKUP(Table106[[#This Row],[NAME]],SEA_H[[NAME]:['#]],13,0)</f>
        <v>10</v>
      </c>
      <c r="P157" s="28">
        <f>VLOOKUP(Table106[[#This Row],[NAME]],SEA_H[[NAME]:['#]],14,0)</f>
        <v>43</v>
      </c>
      <c r="Q157" s="77">
        <f>VLOOKUP(Table106[[#This Row],[NAME]],SEA_H[[NAME]:['#]],15,0)</f>
        <v>0</v>
      </c>
      <c r="R157" s="28">
        <f>VLOOKUP(Table106[[#This Row],[NAME]],SEA_H[[NAME]:['#]],16,0)</f>
        <v>0</v>
      </c>
      <c r="S157" s="28">
        <f>VLOOKUP(Table106[[#This Row],[NAME]],SEA_H[[NAME]:['#]],17,0)</f>
        <v>5</v>
      </c>
      <c r="T157" s="77">
        <f>VLOOKUP(Table106[[#This Row],[NAME]],SEA_H[[NAME]:['#]],18,0)</f>
        <v>48</v>
      </c>
      <c r="U157" s="72">
        <f>VLOOKUP(Table106[[#This Row],[NAME]],SEA_H[[NAME]:['#]],19,0)</f>
        <v>0.62137681159420288</v>
      </c>
      <c r="V157" s="28">
        <f>VLOOKUP(Table106[[#This Row],[NAME]],SEA_H[[NAME]:['#]],20,0)</f>
        <v>1</v>
      </c>
      <c r="W157" s="75">
        <v>155</v>
      </c>
      <c r="Z157" s="101" t="s">
        <v>611</v>
      </c>
      <c r="AA157" s="77" t="s">
        <v>179</v>
      </c>
      <c r="AB157" s="77" t="s">
        <v>621</v>
      </c>
      <c r="AC157" s="130">
        <v>0.2153846153846154</v>
      </c>
      <c r="AD157" s="72">
        <v>0.32</v>
      </c>
      <c r="AE157" s="72">
        <v>0.40769230769230769</v>
      </c>
      <c r="AF157" s="77">
        <v>37</v>
      </c>
      <c r="AG157" s="28">
        <v>130</v>
      </c>
      <c r="AH157" s="28">
        <v>15</v>
      </c>
      <c r="AI157" s="28">
        <v>28</v>
      </c>
      <c r="AJ157" s="28">
        <v>7</v>
      </c>
      <c r="AK157" s="28">
        <v>0</v>
      </c>
      <c r="AL157" s="28">
        <v>6</v>
      </c>
      <c r="AM157" s="28">
        <v>17</v>
      </c>
      <c r="AN157" s="28">
        <v>20</v>
      </c>
      <c r="AO157" s="28">
        <v>42</v>
      </c>
      <c r="AP157" s="77">
        <v>0</v>
      </c>
      <c r="AQ157" s="28">
        <v>0</v>
      </c>
      <c r="AR157" s="28">
        <v>8</v>
      </c>
      <c r="AS157" s="77">
        <v>53</v>
      </c>
      <c r="AT157" s="72">
        <v>0.72769230769230764</v>
      </c>
      <c r="AU157" s="28">
        <v>1</v>
      </c>
      <c r="AV157" s="75">
        <v>155</v>
      </c>
      <c r="AY157" s="101" t="s">
        <v>611</v>
      </c>
      <c r="AZ157" s="77" t="s">
        <v>179</v>
      </c>
      <c r="BA157" s="77" t="s">
        <v>624</v>
      </c>
      <c r="BB157" s="130">
        <v>0.21052631578947367</v>
      </c>
      <c r="BC157" s="72">
        <v>0.2857142857142857</v>
      </c>
      <c r="BD157" s="72">
        <v>0.2982456140350877</v>
      </c>
      <c r="BE157" s="77">
        <v>34</v>
      </c>
      <c r="BF157" s="28">
        <v>114</v>
      </c>
      <c r="BG157" s="28">
        <v>11</v>
      </c>
      <c r="BH157" s="28">
        <v>24</v>
      </c>
      <c r="BI157" s="28">
        <v>4</v>
      </c>
      <c r="BJ157" s="28">
        <v>0</v>
      </c>
      <c r="BK157" s="28">
        <v>2</v>
      </c>
      <c r="BL157" s="28">
        <v>11</v>
      </c>
      <c r="BM157" s="28">
        <v>12</v>
      </c>
      <c r="BN157" s="28">
        <v>28</v>
      </c>
      <c r="BO157" s="77">
        <v>0</v>
      </c>
      <c r="BP157" s="28">
        <v>1</v>
      </c>
      <c r="BQ157" s="28">
        <v>6</v>
      </c>
      <c r="BR157" s="77">
        <v>34</v>
      </c>
      <c r="BS157" s="72">
        <v>0.58395989974937335</v>
      </c>
      <c r="BT157" s="28">
        <v>1</v>
      </c>
      <c r="BU157" s="75">
        <v>155</v>
      </c>
    </row>
    <row r="158" spans="1:73">
      <c r="A158" s="101" t="s">
        <v>611</v>
      </c>
      <c r="B158" s="71" t="s">
        <v>154</v>
      </c>
      <c r="C158" s="71" t="s">
        <v>620</v>
      </c>
      <c r="D158" s="72">
        <f>VLOOKUP(Table106[[#This Row],[NAME]],SEA_H[[NAME]:['#]],2,0)</f>
        <v>0.23529411764705882</v>
      </c>
      <c r="E158" s="72">
        <f>VLOOKUP(Table106[[#This Row],[NAME]],SEA_H[[NAME]:['#]],3,0)</f>
        <v>0.29251700680272108</v>
      </c>
      <c r="F158" s="72">
        <f>VLOOKUP(Table106[[#This Row],[NAME]],SEA_H[[NAME]:['#]],4,0)</f>
        <v>0.47058823529411764</v>
      </c>
      <c r="G158" s="77">
        <f>VLOOKUP(Table106[[#This Row],[NAME]],SEA_H[[NAME]:['#]],5,0)</f>
        <v>36</v>
      </c>
      <c r="H158" s="28">
        <f>VLOOKUP(Table106[[#This Row],[NAME]],SEA_H[[NAME]:['#]],6,0)</f>
        <v>136</v>
      </c>
      <c r="I158" s="28">
        <f>VLOOKUP(Table106[[#This Row],[NAME]],SEA_H[[NAME]:['#]],7,0)</f>
        <v>16</v>
      </c>
      <c r="J158" s="28">
        <f>VLOOKUP(Table106[[#This Row],[NAME]],SEA_H[[NAME]:['#]],8,0)</f>
        <v>32</v>
      </c>
      <c r="K158" s="28">
        <f>VLOOKUP(Table106[[#This Row],[NAME]],SEA_H[[NAME]:['#]],9,0)</f>
        <v>11</v>
      </c>
      <c r="L158" s="28">
        <f>VLOOKUP(Table106[[#This Row],[NAME]],SEA_H[[NAME]:['#]],10,0)</f>
        <v>0</v>
      </c>
      <c r="M158" s="28">
        <f>VLOOKUP(Table106[[#This Row],[NAME]],SEA_H[[NAME]:['#]],11,0)</f>
        <v>7</v>
      </c>
      <c r="N158" s="28">
        <f>VLOOKUP(Table106[[#This Row],[NAME]],SEA_H[[NAME]:['#]],12,0)</f>
        <v>12</v>
      </c>
      <c r="O158" s="28">
        <f>VLOOKUP(Table106[[#This Row],[NAME]],SEA_H[[NAME]:['#]],13,0)</f>
        <v>11</v>
      </c>
      <c r="P158" s="28">
        <f>VLOOKUP(Table106[[#This Row],[NAME]],SEA_H[[NAME]:['#]],14,0)</f>
        <v>42</v>
      </c>
      <c r="Q158" s="77">
        <f>VLOOKUP(Table106[[#This Row],[NAME]],SEA_H[[NAME]:['#]],15,0)</f>
        <v>0</v>
      </c>
      <c r="R158" s="28">
        <f>VLOOKUP(Table106[[#This Row],[NAME]],SEA_H[[NAME]:['#]],16,0)</f>
        <v>0</v>
      </c>
      <c r="S158" s="28">
        <f>VLOOKUP(Table106[[#This Row],[NAME]],SEA_H[[NAME]:['#]],17,0)</f>
        <v>4</v>
      </c>
      <c r="T158" s="77">
        <f>VLOOKUP(Table106[[#This Row],[NAME]],SEA_H[[NAME]:['#]],18,0)</f>
        <v>64</v>
      </c>
      <c r="U158" s="72">
        <f>VLOOKUP(Table106[[#This Row],[NAME]],SEA_H[[NAME]:['#]],19,0)</f>
        <v>0.76310524209683872</v>
      </c>
      <c r="V158" s="28">
        <f>VLOOKUP(Table106[[#This Row],[NAME]],SEA_H[[NAME]:['#]],20,0)</f>
        <v>2</v>
      </c>
      <c r="W158" s="75">
        <v>156</v>
      </c>
      <c r="Z158" s="101" t="s">
        <v>611</v>
      </c>
      <c r="AA158" s="77" t="s">
        <v>154</v>
      </c>
      <c r="AB158" s="77" t="s">
        <v>623</v>
      </c>
      <c r="AC158" s="130">
        <v>0.21698113207547171</v>
      </c>
      <c r="AD158" s="72">
        <v>0.29059829059829062</v>
      </c>
      <c r="AE158" s="72">
        <v>0.39622641509433965</v>
      </c>
      <c r="AF158" s="77">
        <v>28</v>
      </c>
      <c r="AG158" s="28">
        <v>106</v>
      </c>
      <c r="AH158" s="28">
        <v>12</v>
      </c>
      <c r="AI158" s="28">
        <v>23</v>
      </c>
      <c r="AJ158" s="28">
        <v>4</v>
      </c>
      <c r="AK158" s="28">
        <v>0</v>
      </c>
      <c r="AL158" s="28">
        <v>5</v>
      </c>
      <c r="AM158" s="28">
        <v>15</v>
      </c>
      <c r="AN158" s="28">
        <v>11</v>
      </c>
      <c r="AO158" s="28">
        <v>25</v>
      </c>
      <c r="AP158" s="77">
        <v>0</v>
      </c>
      <c r="AQ158" s="28">
        <v>2</v>
      </c>
      <c r="AR158" s="28">
        <v>4</v>
      </c>
      <c r="AS158" s="77">
        <v>42</v>
      </c>
      <c r="AT158" s="72">
        <v>0.68682470569263021</v>
      </c>
      <c r="AU158" s="28">
        <v>1</v>
      </c>
      <c r="AV158" s="75">
        <v>156</v>
      </c>
      <c r="AY158" s="101" t="s">
        <v>611</v>
      </c>
      <c r="AZ158" s="77" t="s">
        <v>154</v>
      </c>
      <c r="BA158" s="77" t="s">
        <v>623</v>
      </c>
      <c r="BB158" s="130">
        <v>0.22807017543859648</v>
      </c>
      <c r="BC158" s="72">
        <v>0.3125</v>
      </c>
      <c r="BD158" s="72">
        <v>0.30701754385964913</v>
      </c>
      <c r="BE158" s="77">
        <v>32</v>
      </c>
      <c r="BF158" s="28">
        <v>114</v>
      </c>
      <c r="BG158" s="28">
        <v>7</v>
      </c>
      <c r="BH158" s="28">
        <v>26</v>
      </c>
      <c r="BI158" s="28">
        <v>3</v>
      </c>
      <c r="BJ158" s="28">
        <v>0</v>
      </c>
      <c r="BK158" s="28">
        <v>2</v>
      </c>
      <c r="BL158" s="28">
        <v>12</v>
      </c>
      <c r="BM158" s="28">
        <v>14</v>
      </c>
      <c r="BN158" s="28">
        <v>27</v>
      </c>
      <c r="BO158" s="77">
        <v>0</v>
      </c>
      <c r="BP158" s="28">
        <v>5</v>
      </c>
      <c r="BQ158" s="28">
        <v>5</v>
      </c>
      <c r="BR158" s="77">
        <v>35</v>
      </c>
      <c r="BS158" s="72">
        <v>0.61951754385964919</v>
      </c>
      <c r="BT158" s="28">
        <v>3</v>
      </c>
      <c r="BU158" s="75">
        <v>156</v>
      </c>
    </row>
    <row r="159" spans="1:73">
      <c r="A159" s="101" t="s">
        <v>611</v>
      </c>
      <c r="B159" s="71" t="s">
        <v>172</v>
      </c>
      <c r="C159" s="71" t="s">
        <v>622</v>
      </c>
      <c r="D159" s="72">
        <f>VLOOKUP(Table106[[#This Row],[NAME]],SEA_H[[NAME]:['#]],2,0)</f>
        <v>0.22580645161290322</v>
      </c>
      <c r="E159" s="72">
        <f>VLOOKUP(Table106[[#This Row],[NAME]],SEA_H[[NAME]:['#]],3,0)</f>
        <v>0.31428571428571428</v>
      </c>
      <c r="F159" s="72">
        <f>VLOOKUP(Table106[[#This Row],[NAME]],SEA_H[[NAME]:['#]],4,0)</f>
        <v>0.43548387096774194</v>
      </c>
      <c r="G159" s="77">
        <f>VLOOKUP(Table106[[#This Row],[NAME]],SEA_H[[NAME]:['#]],5,0)</f>
        <v>37</v>
      </c>
      <c r="H159" s="28">
        <f>VLOOKUP(Table106[[#This Row],[NAME]],SEA_H[[NAME]:['#]],6,0)</f>
        <v>124</v>
      </c>
      <c r="I159" s="28">
        <f>VLOOKUP(Table106[[#This Row],[NAME]],SEA_H[[NAME]:['#]],7,0)</f>
        <v>19</v>
      </c>
      <c r="J159" s="28">
        <f>VLOOKUP(Table106[[#This Row],[NAME]],SEA_H[[NAME]:['#]],8,0)</f>
        <v>28</v>
      </c>
      <c r="K159" s="28">
        <f>VLOOKUP(Table106[[#This Row],[NAME]],SEA_H[[NAME]:['#]],9,0)</f>
        <v>4</v>
      </c>
      <c r="L159" s="28">
        <f>VLOOKUP(Table106[[#This Row],[NAME]],SEA_H[[NAME]:['#]],10,0)</f>
        <v>2</v>
      </c>
      <c r="M159" s="28">
        <f>VLOOKUP(Table106[[#This Row],[NAME]],SEA_H[[NAME]:['#]],11,0)</f>
        <v>6</v>
      </c>
      <c r="N159" s="28">
        <f>VLOOKUP(Table106[[#This Row],[NAME]],SEA_H[[NAME]:['#]],12,0)</f>
        <v>15</v>
      </c>
      <c r="O159" s="28">
        <f>VLOOKUP(Table106[[#This Row],[NAME]],SEA_H[[NAME]:['#]],13,0)</f>
        <v>16</v>
      </c>
      <c r="P159" s="28">
        <f>VLOOKUP(Table106[[#This Row],[NAME]],SEA_H[[NAME]:['#]],14,0)</f>
        <v>32</v>
      </c>
      <c r="Q159" s="77">
        <f>VLOOKUP(Table106[[#This Row],[NAME]],SEA_H[[NAME]:['#]],15,0)</f>
        <v>0</v>
      </c>
      <c r="R159" s="28">
        <f>VLOOKUP(Table106[[#This Row],[NAME]],SEA_H[[NAME]:['#]],16,0)</f>
        <v>0</v>
      </c>
      <c r="S159" s="28">
        <f>VLOOKUP(Table106[[#This Row],[NAME]],SEA_H[[NAME]:['#]],17,0)</f>
        <v>7</v>
      </c>
      <c r="T159" s="77">
        <f>VLOOKUP(Table106[[#This Row],[NAME]],SEA_H[[NAME]:['#]],18,0)</f>
        <v>54</v>
      </c>
      <c r="U159" s="72">
        <f>VLOOKUP(Table106[[#This Row],[NAME]],SEA_H[[NAME]:['#]],19,0)</f>
        <v>0.74976958525345627</v>
      </c>
      <c r="V159" s="28">
        <f>VLOOKUP(Table106[[#This Row],[NAME]],SEA_H[[NAME]:['#]],20,0)</f>
        <v>2</v>
      </c>
      <c r="W159" s="75">
        <v>157</v>
      </c>
      <c r="Z159" s="101" t="s">
        <v>611</v>
      </c>
      <c r="AA159" s="77" t="s">
        <v>172</v>
      </c>
      <c r="AB159" s="77" t="s">
        <v>622</v>
      </c>
      <c r="AC159" s="130">
        <v>0.22142857142857142</v>
      </c>
      <c r="AD159" s="72">
        <v>0.310126582278481</v>
      </c>
      <c r="AE159" s="72">
        <v>0.33571428571428569</v>
      </c>
      <c r="AF159" s="77">
        <v>40</v>
      </c>
      <c r="AG159" s="28">
        <v>140</v>
      </c>
      <c r="AH159" s="28">
        <v>14</v>
      </c>
      <c r="AI159" s="28">
        <v>31</v>
      </c>
      <c r="AJ159" s="28">
        <v>8</v>
      </c>
      <c r="AK159" s="28">
        <v>1</v>
      </c>
      <c r="AL159" s="28">
        <v>2</v>
      </c>
      <c r="AM159" s="28">
        <v>9</v>
      </c>
      <c r="AN159" s="28">
        <v>18</v>
      </c>
      <c r="AO159" s="28">
        <v>33</v>
      </c>
      <c r="AP159" s="77">
        <v>0</v>
      </c>
      <c r="AQ159" s="28">
        <v>0</v>
      </c>
      <c r="AR159" s="28">
        <v>7</v>
      </c>
      <c r="AS159" s="77">
        <v>47</v>
      </c>
      <c r="AT159" s="72">
        <v>0.64584086799276674</v>
      </c>
      <c r="AU159" s="28">
        <v>0</v>
      </c>
      <c r="AV159" s="75">
        <v>157</v>
      </c>
      <c r="AY159" s="101" t="s">
        <v>611</v>
      </c>
      <c r="AZ159" s="77" t="s">
        <v>172</v>
      </c>
      <c r="BA159" s="77" t="s">
        <v>622</v>
      </c>
      <c r="BB159" s="130">
        <v>0.25190839694656486</v>
      </c>
      <c r="BC159" s="72">
        <v>0.3</v>
      </c>
      <c r="BD159" s="72">
        <v>0.3282442748091603</v>
      </c>
      <c r="BE159" s="77">
        <v>40</v>
      </c>
      <c r="BF159" s="28">
        <v>131</v>
      </c>
      <c r="BG159" s="28">
        <v>14</v>
      </c>
      <c r="BH159" s="28">
        <v>33</v>
      </c>
      <c r="BI159" s="28">
        <v>6</v>
      </c>
      <c r="BJ159" s="28">
        <v>2</v>
      </c>
      <c r="BK159" s="28">
        <v>0</v>
      </c>
      <c r="BL159" s="28">
        <v>8</v>
      </c>
      <c r="BM159" s="28">
        <v>9</v>
      </c>
      <c r="BN159" s="28">
        <v>28</v>
      </c>
      <c r="BO159" s="77">
        <v>0</v>
      </c>
      <c r="BP159" s="28">
        <v>4</v>
      </c>
      <c r="BQ159" s="28">
        <v>4</v>
      </c>
      <c r="BR159" s="77">
        <v>43</v>
      </c>
      <c r="BS159" s="72">
        <v>0.62824427480916034</v>
      </c>
      <c r="BT159" s="28">
        <v>0</v>
      </c>
      <c r="BU159" s="75">
        <v>157</v>
      </c>
    </row>
    <row r="160" spans="1:73">
      <c r="A160" s="101" t="s">
        <v>611</v>
      </c>
      <c r="B160" s="345" t="s">
        <v>153</v>
      </c>
      <c r="C160" s="71" t="s">
        <v>612</v>
      </c>
      <c r="D160" s="72">
        <f>VLOOKUP(Table106[[#This Row],[NAME]],SEA_H[[NAME]:['#]],2,0)</f>
        <v>0.33939393939393941</v>
      </c>
      <c r="E160" s="72">
        <f>VLOOKUP(Table106[[#This Row],[NAME]],SEA_H[[NAME]:['#]],3,0)</f>
        <v>0.37714285714285717</v>
      </c>
      <c r="F160" s="72">
        <f>VLOOKUP(Table106[[#This Row],[NAME]],SEA_H[[NAME]:['#]],4,0)</f>
        <v>0.65454545454545454</v>
      </c>
      <c r="G160" s="77">
        <f>VLOOKUP(Table106[[#This Row],[NAME]],SEA_H[[NAME]:['#]],5,0)</f>
        <v>39</v>
      </c>
      <c r="H160" s="28">
        <f>VLOOKUP(Table106[[#This Row],[NAME]],SEA_H[[NAME]:['#]],6,0)</f>
        <v>165</v>
      </c>
      <c r="I160" s="76">
        <f>VLOOKUP(Table106[[#This Row],[NAME]],SEA_H[[NAME]:['#]],7,0)</f>
        <v>34</v>
      </c>
      <c r="J160" s="28">
        <f>VLOOKUP(Table106[[#This Row],[NAME]],SEA_H[[NAME]:['#]],8,0)</f>
        <v>56</v>
      </c>
      <c r="K160" s="28">
        <f>VLOOKUP(Table106[[#This Row],[NAME]],SEA_H[[NAME]:['#]],9,0)</f>
        <v>16</v>
      </c>
      <c r="L160" s="28">
        <f>VLOOKUP(Table106[[#This Row],[NAME]],SEA_H[[NAME]:['#]],10,0)</f>
        <v>0</v>
      </c>
      <c r="M160" s="28">
        <f>VLOOKUP(Table106[[#This Row],[NAME]],SEA_H[[NAME]:['#]],11,0)</f>
        <v>12</v>
      </c>
      <c r="N160" s="28">
        <f>VLOOKUP(Table106[[#This Row],[NAME]],SEA_H[[NAME]:['#]],12,0)</f>
        <v>27</v>
      </c>
      <c r="O160" s="28">
        <f>VLOOKUP(Table106[[#This Row],[NAME]],SEA_H[[NAME]:['#]],13,0)</f>
        <v>10</v>
      </c>
      <c r="P160" s="28">
        <f>VLOOKUP(Table106[[#This Row],[NAME]],SEA_H[[NAME]:['#]],14,0)</f>
        <v>32</v>
      </c>
      <c r="Q160" s="77">
        <f>VLOOKUP(Table106[[#This Row],[NAME]],SEA_H[[NAME]:['#]],15,0)</f>
        <v>0</v>
      </c>
      <c r="R160" s="28">
        <f>VLOOKUP(Table106[[#This Row],[NAME]],SEA_H[[NAME]:['#]],16,0)</f>
        <v>5</v>
      </c>
      <c r="S160" s="28">
        <f>VLOOKUP(Table106[[#This Row],[NAME]],SEA_H[[NAME]:['#]],17,0)</f>
        <v>9</v>
      </c>
      <c r="T160" s="352">
        <f>VLOOKUP(Table106[[#This Row],[NAME]],SEA_H[[NAME]:['#]],18,0)</f>
        <v>108</v>
      </c>
      <c r="U160" s="72">
        <f>VLOOKUP(Table106[[#This Row],[NAME]],SEA_H[[NAME]:['#]],19,0)</f>
        <v>1.0316883116883118</v>
      </c>
      <c r="V160" s="28">
        <f>VLOOKUP(Table106[[#This Row],[NAME]],SEA_H[[NAME]:['#]],20,0)</f>
        <v>3</v>
      </c>
      <c r="W160" s="75">
        <v>158</v>
      </c>
      <c r="Z160" s="101" t="s">
        <v>611</v>
      </c>
      <c r="AA160" s="77" t="s">
        <v>153</v>
      </c>
      <c r="AB160" s="77" t="s">
        <v>612</v>
      </c>
      <c r="AC160" s="130">
        <v>0.30994152046783624</v>
      </c>
      <c r="AD160" s="72">
        <v>0.3551912568306011</v>
      </c>
      <c r="AE160" s="72">
        <v>0.47368421052631576</v>
      </c>
      <c r="AF160" s="77">
        <v>39</v>
      </c>
      <c r="AG160" s="28">
        <v>171</v>
      </c>
      <c r="AH160" s="28">
        <v>23</v>
      </c>
      <c r="AI160" s="28">
        <v>53</v>
      </c>
      <c r="AJ160" s="28">
        <v>10</v>
      </c>
      <c r="AK160" s="28">
        <v>0</v>
      </c>
      <c r="AL160" s="28">
        <v>6</v>
      </c>
      <c r="AM160" s="28">
        <v>19</v>
      </c>
      <c r="AN160" s="28">
        <v>12</v>
      </c>
      <c r="AO160" s="28">
        <v>24</v>
      </c>
      <c r="AP160" s="77">
        <v>0</v>
      </c>
      <c r="AQ160" s="28">
        <v>1</v>
      </c>
      <c r="AR160" s="28">
        <v>9</v>
      </c>
      <c r="AS160" s="77">
        <v>81</v>
      </c>
      <c r="AT160" s="72">
        <v>0.82887546735691686</v>
      </c>
      <c r="AU160" s="28">
        <v>3</v>
      </c>
      <c r="AV160" s="75">
        <v>158</v>
      </c>
      <c r="AY160" s="101" t="s">
        <v>611</v>
      </c>
      <c r="AZ160" s="77" t="s">
        <v>153</v>
      </c>
      <c r="BA160" s="77" t="s">
        <v>612</v>
      </c>
      <c r="BB160" s="130">
        <v>0.23030303030303031</v>
      </c>
      <c r="BC160" s="72">
        <v>0.26162790697674421</v>
      </c>
      <c r="BD160" s="72">
        <v>0.33939393939393941</v>
      </c>
      <c r="BE160" s="77">
        <v>39</v>
      </c>
      <c r="BF160" s="28">
        <v>165</v>
      </c>
      <c r="BG160" s="28">
        <v>21</v>
      </c>
      <c r="BH160" s="28">
        <v>38</v>
      </c>
      <c r="BI160" s="28">
        <v>9</v>
      </c>
      <c r="BJ160" s="28">
        <v>0</v>
      </c>
      <c r="BK160" s="28">
        <v>3</v>
      </c>
      <c r="BL160" s="28">
        <v>15</v>
      </c>
      <c r="BM160" s="28">
        <v>7</v>
      </c>
      <c r="BN160" s="28">
        <v>31</v>
      </c>
      <c r="BO160" s="77">
        <v>0</v>
      </c>
      <c r="BP160" s="28">
        <v>2</v>
      </c>
      <c r="BQ160" s="28">
        <v>6</v>
      </c>
      <c r="BR160" s="77">
        <v>56</v>
      </c>
      <c r="BS160" s="72">
        <v>0.60102184637068357</v>
      </c>
      <c r="BT160" s="28">
        <v>1</v>
      </c>
      <c r="BU160" s="75">
        <v>158</v>
      </c>
    </row>
    <row r="161" spans="1:73">
      <c r="A161" s="101" t="s">
        <v>611</v>
      </c>
      <c r="B161" s="71" t="s">
        <v>177</v>
      </c>
      <c r="C161" s="71" t="s">
        <v>615</v>
      </c>
      <c r="D161" s="72">
        <f>VLOOKUP(Table106[[#This Row],[NAME]],SEA_H[[NAME]:['#]],2,0)</f>
        <v>0.27814569536423839</v>
      </c>
      <c r="E161" s="72">
        <f>VLOOKUP(Table106[[#This Row],[NAME]],SEA_H[[NAME]:['#]],3,0)</f>
        <v>0.34337349397590361</v>
      </c>
      <c r="F161" s="72">
        <f>VLOOKUP(Table106[[#This Row],[NAME]],SEA_H[[NAME]:['#]],4,0)</f>
        <v>0.54966887417218546</v>
      </c>
      <c r="G161" s="77">
        <f>VLOOKUP(Table106[[#This Row],[NAME]],SEA_H[[NAME]:['#]],5,0)</f>
        <v>37</v>
      </c>
      <c r="H161" s="28">
        <f>VLOOKUP(Table106[[#This Row],[NAME]],SEA_H[[NAME]:['#]],6,0)</f>
        <v>151</v>
      </c>
      <c r="I161" s="28">
        <f>VLOOKUP(Table106[[#This Row],[NAME]],SEA_H[[NAME]:['#]],7,0)</f>
        <v>21</v>
      </c>
      <c r="J161" s="28">
        <f>VLOOKUP(Table106[[#This Row],[NAME]],SEA_H[[NAME]:['#]],8,0)</f>
        <v>42</v>
      </c>
      <c r="K161" s="28">
        <f>VLOOKUP(Table106[[#This Row],[NAME]],SEA_H[[NAME]:['#]],9,0)</f>
        <v>11</v>
      </c>
      <c r="L161" s="28">
        <f>VLOOKUP(Table106[[#This Row],[NAME]],SEA_H[[NAME]:['#]],10,0)</f>
        <v>0</v>
      </c>
      <c r="M161" s="28">
        <f>VLOOKUP(Table106[[#This Row],[NAME]],SEA_H[[NAME]:['#]],11,0)</f>
        <v>10</v>
      </c>
      <c r="N161" s="28">
        <f>VLOOKUP(Table106[[#This Row],[NAME]],SEA_H[[NAME]:['#]],12,0)</f>
        <v>22</v>
      </c>
      <c r="O161" s="28">
        <f>VLOOKUP(Table106[[#This Row],[NAME]],SEA_H[[NAME]:['#]],13,0)</f>
        <v>15</v>
      </c>
      <c r="P161" s="28">
        <f>VLOOKUP(Table106[[#This Row],[NAME]],SEA_H[[NAME]:['#]],14,0)</f>
        <v>34</v>
      </c>
      <c r="Q161" s="77">
        <f>VLOOKUP(Table106[[#This Row],[NAME]],SEA_H[[NAME]:['#]],15,0)</f>
        <v>0</v>
      </c>
      <c r="R161" s="28">
        <f>VLOOKUP(Table106[[#This Row],[NAME]],SEA_H[[NAME]:['#]],16,0)</f>
        <v>1</v>
      </c>
      <c r="S161" s="28">
        <f>VLOOKUP(Table106[[#This Row],[NAME]],SEA_H[[NAME]:['#]],17,0)</f>
        <v>14</v>
      </c>
      <c r="T161" s="77">
        <f>VLOOKUP(Table106[[#This Row],[NAME]],SEA_H[[NAME]:['#]],18,0)</f>
        <v>83</v>
      </c>
      <c r="U161" s="72">
        <f>VLOOKUP(Table106[[#This Row],[NAME]],SEA_H[[NAME]:['#]],19,0)</f>
        <v>0.89304236814808902</v>
      </c>
      <c r="V161" s="28">
        <f>VLOOKUP(Table106[[#This Row],[NAME]],SEA_H[[NAME]:['#]],20,0)</f>
        <v>2</v>
      </c>
      <c r="W161" s="75">
        <v>159</v>
      </c>
      <c r="Z161" s="101" t="s">
        <v>611</v>
      </c>
      <c r="AA161" s="77" t="s">
        <v>177</v>
      </c>
      <c r="AB161" s="77" t="s">
        <v>615</v>
      </c>
      <c r="AC161" s="130">
        <v>0.24489795918367346</v>
      </c>
      <c r="AD161" s="72">
        <v>0.31481481481481483</v>
      </c>
      <c r="AE161" s="72">
        <v>0.5714285714285714</v>
      </c>
      <c r="AF161" s="77">
        <v>26</v>
      </c>
      <c r="AG161" s="28">
        <v>98</v>
      </c>
      <c r="AH161" s="28">
        <v>14</v>
      </c>
      <c r="AI161" s="28">
        <v>24</v>
      </c>
      <c r="AJ161" s="28">
        <v>8</v>
      </c>
      <c r="AK161" s="28">
        <v>0</v>
      </c>
      <c r="AL161" s="28">
        <v>8</v>
      </c>
      <c r="AM161" s="28">
        <v>19</v>
      </c>
      <c r="AN161" s="28">
        <v>10</v>
      </c>
      <c r="AO161" s="28">
        <v>26</v>
      </c>
      <c r="AP161" s="77">
        <v>0</v>
      </c>
      <c r="AQ161" s="28">
        <v>10</v>
      </c>
      <c r="AR161" s="28">
        <v>10</v>
      </c>
      <c r="AS161" s="77">
        <v>56</v>
      </c>
      <c r="AT161" s="72">
        <v>0.88624338624338628</v>
      </c>
      <c r="AU161" s="28">
        <v>3</v>
      </c>
      <c r="AV161" s="75">
        <v>159</v>
      </c>
      <c r="AY161" s="101" t="s">
        <v>611</v>
      </c>
      <c r="AZ161" s="77" t="s">
        <v>177</v>
      </c>
      <c r="BA161" s="77" t="s">
        <v>618</v>
      </c>
      <c r="BB161" s="130">
        <v>0.24285714285714285</v>
      </c>
      <c r="BC161" s="72">
        <v>0.32051282051282054</v>
      </c>
      <c r="BD161" s="72">
        <v>0.41428571428571431</v>
      </c>
      <c r="BE161" s="77">
        <v>38</v>
      </c>
      <c r="BF161" s="28">
        <v>140</v>
      </c>
      <c r="BG161" s="28">
        <v>19</v>
      </c>
      <c r="BH161" s="28">
        <v>34</v>
      </c>
      <c r="BI161" s="28">
        <v>6</v>
      </c>
      <c r="BJ161" s="28">
        <v>0</v>
      </c>
      <c r="BK161" s="28">
        <v>6</v>
      </c>
      <c r="BL161" s="28">
        <v>21</v>
      </c>
      <c r="BM161" s="28">
        <v>16</v>
      </c>
      <c r="BN161" s="28">
        <v>35</v>
      </c>
      <c r="BO161" s="77">
        <v>0</v>
      </c>
      <c r="BP161" s="28">
        <v>1</v>
      </c>
      <c r="BQ161" s="28">
        <v>7</v>
      </c>
      <c r="BR161" s="77">
        <v>58</v>
      </c>
      <c r="BS161" s="72">
        <v>0.73479853479853485</v>
      </c>
      <c r="BT161" s="28">
        <v>2</v>
      </c>
      <c r="BU161" s="75">
        <v>159</v>
      </c>
    </row>
    <row r="162" spans="1:73">
      <c r="A162" s="101" t="s">
        <v>611</v>
      </c>
      <c r="B162" s="71" t="s">
        <v>174</v>
      </c>
      <c r="C162" s="71" t="s">
        <v>617</v>
      </c>
      <c r="D162" s="72">
        <f>VLOOKUP(Table106[[#This Row],[NAME]],SEA_H[[NAME]:['#]],2,0)</f>
        <v>0.25899280575539568</v>
      </c>
      <c r="E162" s="72">
        <f>VLOOKUP(Table106[[#This Row],[NAME]],SEA_H[[NAME]:['#]],3,0)</f>
        <v>0.32236842105263158</v>
      </c>
      <c r="F162" s="72">
        <f>VLOOKUP(Table106[[#This Row],[NAME]],SEA_H[[NAME]:['#]],4,0)</f>
        <v>0.51798561151079137</v>
      </c>
      <c r="G162" s="77">
        <f>VLOOKUP(Table106[[#This Row],[NAME]],SEA_H[[NAME]:['#]],5,0)</f>
        <v>37</v>
      </c>
      <c r="H162" s="28">
        <f>VLOOKUP(Table106[[#This Row],[NAME]],SEA_H[[NAME]:['#]],6,0)</f>
        <v>139</v>
      </c>
      <c r="I162" s="28">
        <f>VLOOKUP(Table106[[#This Row],[NAME]],SEA_H[[NAME]:['#]],7,0)</f>
        <v>20</v>
      </c>
      <c r="J162" s="28">
        <f>VLOOKUP(Table106[[#This Row],[NAME]],SEA_H[[NAME]:['#]],8,0)</f>
        <v>36</v>
      </c>
      <c r="K162" s="28">
        <f>VLOOKUP(Table106[[#This Row],[NAME]],SEA_H[[NAME]:['#]],9,0)</f>
        <v>6</v>
      </c>
      <c r="L162" s="28">
        <f>VLOOKUP(Table106[[#This Row],[NAME]],SEA_H[[NAME]:['#]],10,0)</f>
        <v>0</v>
      </c>
      <c r="M162" s="28">
        <f>VLOOKUP(Table106[[#This Row],[NAME]],SEA_H[[NAME]:['#]],11,0)</f>
        <v>10</v>
      </c>
      <c r="N162" s="28">
        <f>VLOOKUP(Table106[[#This Row],[NAME]],SEA_H[[NAME]:['#]],12,0)</f>
        <v>27</v>
      </c>
      <c r="O162" s="28">
        <f>VLOOKUP(Table106[[#This Row],[NAME]],SEA_H[[NAME]:['#]],13,0)</f>
        <v>13</v>
      </c>
      <c r="P162" s="28">
        <f>VLOOKUP(Table106[[#This Row],[NAME]],SEA_H[[NAME]:['#]],14,0)</f>
        <v>38</v>
      </c>
      <c r="Q162" s="77">
        <f>VLOOKUP(Table106[[#This Row],[NAME]],SEA_H[[NAME]:['#]],15,0)</f>
        <v>0</v>
      </c>
      <c r="R162" s="28">
        <f>VLOOKUP(Table106[[#This Row],[NAME]],SEA_H[[NAME]:['#]],16,0)</f>
        <v>2</v>
      </c>
      <c r="S162" s="28">
        <f>VLOOKUP(Table106[[#This Row],[NAME]],SEA_H[[NAME]:['#]],17,0)</f>
        <v>13</v>
      </c>
      <c r="T162" s="77">
        <f>VLOOKUP(Table106[[#This Row],[NAME]],SEA_H[[NAME]:['#]],18,0)</f>
        <v>72</v>
      </c>
      <c r="U162" s="72">
        <f>VLOOKUP(Table106[[#This Row],[NAME]],SEA_H[[NAME]:['#]],19,0)</f>
        <v>0.84035403256342289</v>
      </c>
      <c r="V162" s="28">
        <f>VLOOKUP(Table106[[#This Row],[NAME]],SEA_H[[NAME]:['#]],20,0)</f>
        <v>4</v>
      </c>
      <c r="W162" s="75">
        <v>160</v>
      </c>
      <c r="Z162" s="101" t="s">
        <v>611</v>
      </c>
      <c r="AA162" s="77" t="s">
        <v>174</v>
      </c>
      <c r="AB162" s="77" t="s">
        <v>617</v>
      </c>
      <c r="AC162" s="130">
        <v>0.23178807947019867</v>
      </c>
      <c r="AD162" s="72">
        <v>0.32558139534883723</v>
      </c>
      <c r="AE162" s="72">
        <v>0.43046357615894038</v>
      </c>
      <c r="AF162" s="77">
        <v>39</v>
      </c>
      <c r="AG162" s="28">
        <v>151</v>
      </c>
      <c r="AH162" s="28">
        <v>22</v>
      </c>
      <c r="AI162" s="28">
        <v>35</v>
      </c>
      <c r="AJ162" s="28">
        <v>10</v>
      </c>
      <c r="AK162" s="28">
        <v>1</v>
      </c>
      <c r="AL162" s="28">
        <v>6</v>
      </c>
      <c r="AM162" s="28">
        <v>19</v>
      </c>
      <c r="AN162" s="28">
        <v>21</v>
      </c>
      <c r="AO162" s="28">
        <v>47</v>
      </c>
      <c r="AP162" s="77">
        <v>0</v>
      </c>
      <c r="AQ162" s="28">
        <v>5</v>
      </c>
      <c r="AR162" s="28">
        <v>7</v>
      </c>
      <c r="AS162" s="77">
        <v>65</v>
      </c>
      <c r="AT162" s="72">
        <v>0.75604497150777761</v>
      </c>
      <c r="AU162" s="28">
        <v>2</v>
      </c>
      <c r="AV162" s="75">
        <v>160</v>
      </c>
      <c r="AY162" s="101" t="s">
        <v>611</v>
      </c>
      <c r="AZ162" s="77" t="s">
        <v>174</v>
      </c>
      <c r="BA162" s="77" t="s">
        <v>617</v>
      </c>
      <c r="BB162" s="130">
        <v>0.23809523809523808</v>
      </c>
      <c r="BC162" s="72">
        <v>0.30935251798561153</v>
      </c>
      <c r="BD162" s="72">
        <v>0.46825396825396826</v>
      </c>
      <c r="BE162" s="77">
        <v>34</v>
      </c>
      <c r="BF162" s="28">
        <v>126</v>
      </c>
      <c r="BG162" s="28">
        <v>16</v>
      </c>
      <c r="BH162" s="28">
        <v>30</v>
      </c>
      <c r="BI162" s="28">
        <v>12</v>
      </c>
      <c r="BJ162" s="28">
        <v>1</v>
      </c>
      <c r="BK162" s="28">
        <v>5</v>
      </c>
      <c r="BL162" s="28">
        <v>14</v>
      </c>
      <c r="BM162" s="28">
        <v>13</v>
      </c>
      <c r="BN162" s="28">
        <v>34</v>
      </c>
      <c r="BO162" s="77">
        <v>0</v>
      </c>
      <c r="BP162" s="28">
        <v>3</v>
      </c>
      <c r="BQ162" s="28">
        <v>7</v>
      </c>
      <c r="BR162" s="77">
        <v>59</v>
      </c>
      <c r="BS162" s="72">
        <v>0.77760648623957973</v>
      </c>
      <c r="BT162" s="28">
        <v>2</v>
      </c>
      <c r="BU162" s="75">
        <v>160</v>
      </c>
    </row>
    <row r="163" spans="1:73">
      <c r="A163" s="101" t="s">
        <v>611</v>
      </c>
      <c r="B163" s="71" t="s">
        <v>181</v>
      </c>
      <c r="C163" s="71" t="s">
        <v>614</v>
      </c>
      <c r="D163" s="72">
        <f>VLOOKUP(Table106[[#This Row],[NAME]],SEA_H[[NAME]:['#]],2,0)</f>
        <v>0.26623376623376621</v>
      </c>
      <c r="E163" s="72">
        <f>VLOOKUP(Table106[[#This Row],[NAME]],SEA_H[[NAME]:['#]],3,0)</f>
        <v>0.36871508379888268</v>
      </c>
      <c r="F163" s="72">
        <f>VLOOKUP(Table106[[#This Row],[NAME]],SEA_H[[NAME]:['#]],4,0)</f>
        <v>0.5</v>
      </c>
      <c r="G163" s="77">
        <f>VLOOKUP(Table106[[#This Row],[NAME]],SEA_H[[NAME]:['#]],5,0)</f>
        <v>40</v>
      </c>
      <c r="H163" s="28">
        <f>VLOOKUP(Table106[[#This Row],[NAME]],SEA_H[[NAME]:['#]],6,0)</f>
        <v>154</v>
      </c>
      <c r="I163" s="28">
        <f>VLOOKUP(Table106[[#This Row],[NAME]],SEA_H[[NAME]:['#]],7,0)</f>
        <v>26</v>
      </c>
      <c r="J163" s="28">
        <f>VLOOKUP(Table106[[#This Row],[NAME]],SEA_H[[NAME]:['#]],8,0)</f>
        <v>41</v>
      </c>
      <c r="K163" s="28">
        <f>VLOOKUP(Table106[[#This Row],[NAME]],SEA_H[[NAME]:['#]],9,0)</f>
        <v>9</v>
      </c>
      <c r="L163" s="28">
        <f>VLOOKUP(Table106[[#This Row],[NAME]],SEA_H[[NAME]:['#]],10,0)</f>
        <v>0</v>
      </c>
      <c r="M163" s="28">
        <f>VLOOKUP(Table106[[#This Row],[NAME]],SEA_H[[NAME]:['#]],11,0)</f>
        <v>9</v>
      </c>
      <c r="N163" s="28">
        <f>VLOOKUP(Table106[[#This Row],[NAME]],SEA_H[[NAME]:['#]],12,0)</f>
        <v>28</v>
      </c>
      <c r="O163" s="28">
        <f>VLOOKUP(Table106[[#This Row],[NAME]],SEA_H[[NAME]:['#]],13,0)</f>
        <v>25</v>
      </c>
      <c r="P163" s="28">
        <f>VLOOKUP(Table106[[#This Row],[NAME]],SEA_H[[NAME]:['#]],14,0)</f>
        <v>28</v>
      </c>
      <c r="Q163" s="77">
        <f>VLOOKUP(Table106[[#This Row],[NAME]],SEA_H[[NAME]:['#]],15,0)</f>
        <v>0</v>
      </c>
      <c r="R163" s="28">
        <f>VLOOKUP(Table106[[#This Row],[NAME]],SEA_H[[NAME]:['#]],16,0)</f>
        <v>1</v>
      </c>
      <c r="S163" s="28">
        <f>VLOOKUP(Table106[[#This Row],[NAME]],SEA_H[[NAME]:['#]],17,0)</f>
        <v>7</v>
      </c>
      <c r="T163" s="77">
        <f>VLOOKUP(Table106[[#This Row],[NAME]],SEA_H[[NAME]:['#]],18,0)</f>
        <v>77</v>
      </c>
      <c r="U163" s="72">
        <f>VLOOKUP(Table106[[#This Row],[NAME]],SEA_H[[NAME]:['#]],19,0)</f>
        <v>0.86871508379888263</v>
      </c>
      <c r="V163" s="28">
        <f>VLOOKUP(Table106[[#This Row],[NAME]],SEA_H[[NAME]:['#]],20,0)</f>
        <v>3</v>
      </c>
      <c r="W163" s="75">
        <v>161</v>
      </c>
      <c r="Z163" s="101" t="s">
        <v>611</v>
      </c>
      <c r="AA163" s="77" t="s">
        <v>181</v>
      </c>
      <c r="AB163" s="77" t="s">
        <v>614</v>
      </c>
      <c r="AC163" s="130">
        <v>0.26219512195121952</v>
      </c>
      <c r="AD163" s="72">
        <v>0.34594594594594597</v>
      </c>
      <c r="AE163" s="72">
        <v>0.47560975609756095</v>
      </c>
      <c r="AF163" s="77">
        <v>40</v>
      </c>
      <c r="AG163" s="28">
        <v>164</v>
      </c>
      <c r="AH163" s="28">
        <v>25</v>
      </c>
      <c r="AI163" s="28">
        <v>43</v>
      </c>
      <c r="AJ163" s="28">
        <v>8</v>
      </c>
      <c r="AK163" s="28">
        <v>0</v>
      </c>
      <c r="AL163" s="28">
        <v>9</v>
      </c>
      <c r="AM163" s="28">
        <v>24</v>
      </c>
      <c r="AN163" s="28">
        <v>21</v>
      </c>
      <c r="AO163" s="28">
        <v>38</v>
      </c>
      <c r="AP163" s="77">
        <v>0</v>
      </c>
      <c r="AQ163" s="28">
        <v>0</v>
      </c>
      <c r="AR163" s="28">
        <v>5</v>
      </c>
      <c r="AS163" s="77">
        <v>78</v>
      </c>
      <c r="AT163" s="72">
        <v>0.82155570204350692</v>
      </c>
      <c r="AU163" s="28">
        <v>3</v>
      </c>
      <c r="AV163" s="75">
        <v>161</v>
      </c>
      <c r="AY163" s="101" t="s">
        <v>611</v>
      </c>
      <c r="AZ163" s="77" t="s">
        <v>181</v>
      </c>
      <c r="BA163" s="77" t="s">
        <v>614</v>
      </c>
      <c r="BB163" s="130">
        <v>0.31372549019607843</v>
      </c>
      <c r="BC163" s="72">
        <v>0.36746987951807231</v>
      </c>
      <c r="BD163" s="72">
        <v>0.56862745098039214</v>
      </c>
      <c r="BE163" s="77">
        <v>39</v>
      </c>
      <c r="BF163" s="28">
        <v>153</v>
      </c>
      <c r="BG163" s="28">
        <v>18</v>
      </c>
      <c r="BH163" s="28">
        <v>48</v>
      </c>
      <c r="BI163" s="28">
        <v>9</v>
      </c>
      <c r="BJ163" s="28">
        <v>0</v>
      </c>
      <c r="BK163" s="28">
        <v>10</v>
      </c>
      <c r="BL163" s="28">
        <v>28</v>
      </c>
      <c r="BM163" s="28">
        <v>13</v>
      </c>
      <c r="BN163" s="28">
        <v>34</v>
      </c>
      <c r="BO163" s="77">
        <v>1</v>
      </c>
      <c r="BP163" s="28">
        <v>0</v>
      </c>
      <c r="BQ163" s="28">
        <v>12</v>
      </c>
      <c r="BR163" s="77">
        <v>87</v>
      </c>
      <c r="BS163" s="72">
        <v>0.93609733049846444</v>
      </c>
      <c r="BT163" s="28">
        <v>6</v>
      </c>
      <c r="BU163" s="75">
        <v>161</v>
      </c>
    </row>
    <row r="164" spans="1:73">
      <c r="A164" s="101" t="s">
        <v>611</v>
      </c>
      <c r="B164" s="71" t="s">
        <v>166</v>
      </c>
      <c r="C164" s="71" t="s">
        <v>616</v>
      </c>
      <c r="D164" s="72">
        <f>VLOOKUP(Table106[[#This Row],[NAME]],SEA_H[[NAME]:['#]],2,0)</f>
        <v>0.26111111111111113</v>
      </c>
      <c r="E164" s="72">
        <f>VLOOKUP(Table106[[#This Row],[NAME]],SEA_H[[NAME]:['#]],3,0)</f>
        <v>0.29255319148936171</v>
      </c>
      <c r="F164" s="72">
        <f>VLOOKUP(Table106[[#This Row],[NAME]],SEA_H[[NAME]:['#]],4,0)</f>
        <v>0.36666666666666664</v>
      </c>
      <c r="G164" s="77">
        <f>VLOOKUP(Table106[[#This Row],[NAME]],SEA_H[[NAME]:['#]],5,0)</f>
        <v>40</v>
      </c>
      <c r="H164" s="76">
        <f>VLOOKUP(Table106[[#This Row],[NAME]],SEA_H[[NAME]:['#]],6,0)</f>
        <v>180</v>
      </c>
      <c r="I164" s="28">
        <f>VLOOKUP(Table106[[#This Row],[NAME]],SEA_H[[NAME]:['#]],7,0)</f>
        <v>25</v>
      </c>
      <c r="J164" s="28">
        <f>VLOOKUP(Table106[[#This Row],[NAME]],SEA_H[[NAME]:['#]],8,0)</f>
        <v>47</v>
      </c>
      <c r="K164" s="28">
        <f>VLOOKUP(Table106[[#This Row],[NAME]],SEA_H[[NAME]:['#]],9,0)</f>
        <v>7</v>
      </c>
      <c r="L164" s="28">
        <f>VLOOKUP(Table106[[#This Row],[NAME]],SEA_H[[NAME]:['#]],10,0)</f>
        <v>0</v>
      </c>
      <c r="M164" s="28">
        <f>VLOOKUP(Table106[[#This Row],[NAME]],SEA_H[[NAME]:['#]],11,0)</f>
        <v>4</v>
      </c>
      <c r="N164" s="28">
        <f>VLOOKUP(Table106[[#This Row],[NAME]],SEA_H[[NAME]:['#]],12,0)</f>
        <v>18</v>
      </c>
      <c r="O164" s="28">
        <f>VLOOKUP(Table106[[#This Row],[NAME]],SEA_H[[NAME]:['#]],13,0)</f>
        <v>8</v>
      </c>
      <c r="P164" s="28">
        <f>VLOOKUP(Table106[[#This Row],[NAME]],SEA_H[[NAME]:['#]],14,0)</f>
        <v>47</v>
      </c>
      <c r="Q164" s="77">
        <f>VLOOKUP(Table106[[#This Row],[NAME]],SEA_H[[NAME]:['#]],15,0)</f>
        <v>8</v>
      </c>
      <c r="R164" s="28">
        <f>VLOOKUP(Table106[[#This Row],[NAME]],SEA_H[[NAME]:['#]],16,0)</f>
        <v>2</v>
      </c>
      <c r="S164" s="28">
        <f>VLOOKUP(Table106[[#This Row],[NAME]],SEA_H[[NAME]:['#]],17,0)</f>
        <v>11</v>
      </c>
      <c r="T164" s="77">
        <f>VLOOKUP(Table106[[#This Row],[NAME]],SEA_H[[NAME]:['#]],18,0)</f>
        <v>66</v>
      </c>
      <c r="U164" s="72">
        <f>VLOOKUP(Table106[[#This Row],[NAME]],SEA_H[[NAME]:['#]],19,0)</f>
        <v>0.65921985815602835</v>
      </c>
      <c r="V164" s="28">
        <f>VLOOKUP(Table106[[#This Row],[NAME]],SEA_H[[NAME]:['#]],20,0)</f>
        <v>2</v>
      </c>
      <c r="W164" s="75">
        <v>162</v>
      </c>
      <c r="Z164" s="101" t="s">
        <v>611</v>
      </c>
      <c r="AA164" s="77" t="s">
        <v>166</v>
      </c>
      <c r="AB164" s="77" t="s">
        <v>616</v>
      </c>
      <c r="AC164" s="130">
        <v>0.2247191011235955</v>
      </c>
      <c r="AD164" s="72">
        <v>0.26203208556149732</v>
      </c>
      <c r="AE164" s="72">
        <v>0.42134831460674155</v>
      </c>
      <c r="AF164" s="77">
        <v>40</v>
      </c>
      <c r="AG164" s="28">
        <v>178</v>
      </c>
      <c r="AH164" s="28">
        <v>22</v>
      </c>
      <c r="AI164" s="28">
        <v>40</v>
      </c>
      <c r="AJ164" s="28">
        <v>11</v>
      </c>
      <c r="AK164" s="28">
        <v>0</v>
      </c>
      <c r="AL164" s="28">
        <v>8</v>
      </c>
      <c r="AM164" s="28">
        <v>15</v>
      </c>
      <c r="AN164" s="28">
        <v>9</v>
      </c>
      <c r="AO164" s="28">
        <v>46</v>
      </c>
      <c r="AP164" s="77">
        <v>4</v>
      </c>
      <c r="AQ164" s="28">
        <v>1</v>
      </c>
      <c r="AR164" s="28">
        <v>4</v>
      </c>
      <c r="AS164" s="77">
        <v>75</v>
      </c>
      <c r="AT164" s="72">
        <v>0.68338040016823887</v>
      </c>
      <c r="AU164" s="28">
        <v>2</v>
      </c>
      <c r="AV164" s="75">
        <v>162</v>
      </c>
      <c r="AY164" s="101" t="s">
        <v>611</v>
      </c>
      <c r="AZ164" s="77" t="s">
        <v>240</v>
      </c>
      <c r="BA164" s="77" t="s">
        <v>616</v>
      </c>
      <c r="BB164" s="130">
        <v>0.26315789473684209</v>
      </c>
      <c r="BC164" s="72">
        <v>0.32800000000000001</v>
      </c>
      <c r="BD164" s="72">
        <v>0.53508771929824561</v>
      </c>
      <c r="BE164" s="77">
        <v>30</v>
      </c>
      <c r="BF164" s="28">
        <v>114</v>
      </c>
      <c r="BG164" s="28">
        <v>18</v>
      </c>
      <c r="BH164" s="28">
        <v>30</v>
      </c>
      <c r="BI164" s="28">
        <v>10</v>
      </c>
      <c r="BJ164" s="28">
        <v>0</v>
      </c>
      <c r="BK164" s="28">
        <v>7</v>
      </c>
      <c r="BL164" s="28">
        <v>17</v>
      </c>
      <c r="BM164" s="28">
        <v>11</v>
      </c>
      <c r="BN164" s="28">
        <v>36</v>
      </c>
      <c r="BO164" s="77">
        <v>9</v>
      </c>
      <c r="BP164" s="28">
        <v>0</v>
      </c>
      <c r="BQ164" s="28">
        <v>6</v>
      </c>
      <c r="BR164" s="77">
        <v>61</v>
      </c>
      <c r="BS164" s="72">
        <v>0.86308771929824557</v>
      </c>
      <c r="BT164" s="28">
        <v>2</v>
      </c>
      <c r="BU164" s="75">
        <v>162</v>
      </c>
    </row>
    <row r="165" spans="1:73">
      <c r="A165" s="101" t="s">
        <v>611</v>
      </c>
      <c r="B165" s="71" t="s">
        <v>168</v>
      </c>
      <c r="C165" s="71" t="s">
        <v>613</v>
      </c>
      <c r="D165" s="72">
        <f>VLOOKUP(Table106[[#This Row],[NAME]],SEA_H[[NAME]:['#]],2,0)</f>
        <v>0.32894736842105265</v>
      </c>
      <c r="E165" s="72">
        <f>VLOOKUP(Table106[[#This Row],[NAME]],SEA_H[[NAME]:['#]],3,0)</f>
        <v>0.40350877192982454</v>
      </c>
      <c r="F165" s="72">
        <f>VLOOKUP(Table106[[#This Row],[NAME]],SEA_H[[NAME]:['#]],4,0)</f>
        <v>0.51973684210526316</v>
      </c>
      <c r="G165" s="77">
        <f>VLOOKUP(Table106[[#This Row],[NAME]],SEA_H[[NAME]:['#]],5,0)</f>
        <v>40</v>
      </c>
      <c r="H165" s="28">
        <f>VLOOKUP(Table106[[#This Row],[NAME]],SEA_H[[NAME]:['#]],6,0)</f>
        <v>152</v>
      </c>
      <c r="I165" s="28">
        <f>VLOOKUP(Table106[[#This Row],[NAME]],SEA_H[[NAME]:['#]],7,0)</f>
        <v>23</v>
      </c>
      <c r="J165" s="28">
        <f>VLOOKUP(Table106[[#This Row],[NAME]],SEA_H[[NAME]:['#]],8,0)</f>
        <v>50</v>
      </c>
      <c r="K165" s="28">
        <f>VLOOKUP(Table106[[#This Row],[NAME]],SEA_H[[NAME]:['#]],9,0)</f>
        <v>11</v>
      </c>
      <c r="L165" s="28">
        <f>VLOOKUP(Table106[[#This Row],[NAME]],SEA_H[[NAME]:['#]],10,0)</f>
        <v>0</v>
      </c>
      <c r="M165" s="28">
        <f>VLOOKUP(Table106[[#This Row],[NAME]],SEA_H[[NAME]:['#]],11,0)</f>
        <v>6</v>
      </c>
      <c r="N165" s="28">
        <f>VLOOKUP(Table106[[#This Row],[NAME]],SEA_H[[NAME]:['#]],12,0)</f>
        <v>32</v>
      </c>
      <c r="O165" s="28">
        <f>VLOOKUP(Table106[[#This Row],[NAME]],SEA_H[[NAME]:['#]],13,0)</f>
        <v>19</v>
      </c>
      <c r="P165" s="28">
        <f>VLOOKUP(Table106[[#This Row],[NAME]],SEA_H[[NAME]:['#]],14,0)</f>
        <v>33</v>
      </c>
      <c r="Q165" s="77">
        <f>VLOOKUP(Table106[[#This Row],[NAME]],SEA_H[[NAME]:['#]],15,0)</f>
        <v>0</v>
      </c>
      <c r="R165" s="28">
        <f>VLOOKUP(Table106[[#This Row],[NAME]],SEA_H[[NAME]:['#]],16,0)</f>
        <v>3</v>
      </c>
      <c r="S165" s="28">
        <f>VLOOKUP(Table106[[#This Row],[NAME]],SEA_H[[NAME]:['#]],17,0)</f>
        <v>6</v>
      </c>
      <c r="T165" s="77">
        <f>VLOOKUP(Table106[[#This Row],[NAME]],SEA_H[[NAME]:['#]],18,0)</f>
        <v>79</v>
      </c>
      <c r="U165" s="72">
        <f>VLOOKUP(Table106[[#This Row],[NAME]],SEA_H[[NAME]:['#]],19,0)</f>
        <v>0.92324561403508776</v>
      </c>
      <c r="V165" s="28">
        <f>VLOOKUP(Table106[[#This Row],[NAME]],SEA_H[[NAME]:['#]],20,0)</f>
        <v>3</v>
      </c>
      <c r="W165" s="75">
        <v>163</v>
      </c>
      <c r="Z165" s="101" t="s">
        <v>611</v>
      </c>
      <c r="AA165" s="77" t="s">
        <v>168</v>
      </c>
      <c r="AB165" s="77" t="s">
        <v>613</v>
      </c>
      <c r="AC165" s="130">
        <v>0.34193548387096773</v>
      </c>
      <c r="AD165" s="72">
        <v>0.42372881355932202</v>
      </c>
      <c r="AE165" s="72">
        <v>0.55483870967741933</v>
      </c>
      <c r="AF165" s="77">
        <v>39</v>
      </c>
      <c r="AG165" s="28">
        <v>155</v>
      </c>
      <c r="AH165" s="28">
        <v>23</v>
      </c>
      <c r="AI165" s="28">
        <v>53</v>
      </c>
      <c r="AJ165" s="28">
        <v>15</v>
      </c>
      <c r="AK165" s="28">
        <v>0</v>
      </c>
      <c r="AL165" s="28">
        <v>6</v>
      </c>
      <c r="AM165" s="28">
        <v>28</v>
      </c>
      <c r="AN165" s="28">
        <v>22</v>
      </c>
      <c r="AO165" s="28">
        <v>25</v>
      </c>
      <c r="AP165" s="77">
        <v>0</v>
      </c>
      <c r="AQ165" s="28">
        <v>0</v>
      </c>
      <c r="AR165" s="28">
        <v>11</v>
      </c>
      <c r="AS165" s="77">
        <v>86</v>
      </c>
      <c r="AT165" s="72">
        <v>0.97856752323674134</v>
      </c>
      <c r="AU165" s="28">
        <v>5</v>
      </c>
      <c r="AV165" s="75">
        <v>163</v>
      </c>
      <c r="AY165" s="101" t="s">
        <v>611</v>
      </c>
      <c r="AZ165" s="77" t="s">
        <v>168</v>
      </c>
      <c r="BA165" s="77" t="s">
        <v>615</v>
      </c>
      <c r="BB165" s="130">
        <v>0.2807017543859649</v>
      </c>
      <c r="BC165" s="72">
        <v>0.359375</v>
      </c>
      <c r="BD165" s="72">
        <v>0.42105263157894735</v>
      </c>
      <c r="BE165" s="77">
        <v>31</v>
      </c>
      <c r="BF165" s="28">
        <v>114</v>
      </c>
      <c r="BG165" s="28">
        <v>12</v>
      </c>
      <c r="BH165" s="28">
        <v>32</v>
      </c>
      <c r="BI165" s="28">
        <v>4</v>
      </c>
      <c r="BJ165" s="28">
        <v>0</v>
      </c>
      <c r="BK165" s="28">
        <v>4</v>
      </c>
      <c r="BL165" s="28">
        <v>10</v>
      </c>
      <c r="BM165" s="28">
        <v>14</v>
      </c>
      <c r="BN165" s="28">
        <v>29</v>
      </c>
      <c r="BO165" s="77">
        <v>0</v>
      </c>
      <c r="BP165" s="28">
        <v>0</v>
      </c>
      <c r="BQ165" s="28">
        <v>5</v>
      </c>
      <c r="BR165" s="77">
        <v>48</v>
      </c>
      <c r="BS165" s="72">
        <v>0.78042763157894735</v>
      </c>
      <c r="BT165" s="28">
        <v>0</v>
      </c>
      <c r="BU165" s="75">
        <v>163</v>
      </c>
    </row>
    <row r="166" spans="1:73">
      <c r="A166" s="101" t="s">
        <v>611</v>
      </c>
      <c r="B166" s="71" t="s">
        <v>179</v>
      </c>
      <c r="C166" s="71" t="s">
        <v>624</v>
      </c>
      <c r="D166" s="72">
        <f>VLOOKUP(Table106[[#This Row],[NAME]],SEA_H[[NAME]:['#]],2,0)</f>
        <v>0.26315789473684209</v>
      </c>
      <c r="E166" s="72">
        <f>VLOOKUP(Table106[[#This Row],[NAME]],SEA_H[[NAME]:['#]],3,0)</f>
        <v>0.3</v>
      </c>
      <c r="F166" s="72">
        <f>VLOOKUP(Table106[[#This Row],[NAME]],SEA_H[[NAME]:['#]],4,0)</f>
        <v>0.47368421052631576</v>
      </c>
      <c r="G166" s="77">
        <f>VLOOKUP(Table106[[#This Row],[NAME]],SEA_H[[NAME]:['#]],5,0)</f>
        <v>5</v>
      </c>
      <c r="H166" s="28">
        <f>VLOOKUP(Table106[[#This Row],[NAME]],SEA_H[[NAME]:['#]],6,0)</f>
        <v>19</v>
      </c>
      <c r="I166" s="28">
        <f>VLOOKUP(Table106[[#This Row],[NAME]],SEA_H[[NAME]:['#]],7,0)</f>
        <v>3</v>
      </c>
      <c r="J166" s="28">
        <f>VLOOKUP(Table106[[#This Row],[NAME]],SEA_H[[NAME]:['#]],8,0)</f>
        <v>5</v>
      </c>
      <c r="K166" s="28">
        <f>VLOOKUP(Table106[[#This Row],[NAME]],SEA_H[[NAME]:['#]],9,0)</f>
        <v>1</v>
      </c>
      <c r="L166" s="28">
        <f>VLOOKUP(Table106[[#This Row],[NAME]],SEA_H[[NAME]:['#]],10,0)</f>
        <v>0</v>
      </c>
      <c r="M166" s="28">
        <f>VLOOKUP(Table106[[#This Row],[NAME]],SEA_H[[NAME]:['#]],11,0)</f>
        <v>1</v>
      </c>
      <c r="N166" s="28">
        <f>VLOOKUP(Table106[[#This Row],[NAME]],SEA_H[[NAME]:['#]],12,0)</f>
        <v>6</v>
      </c>
      <c r="O166" s="28">
        <f>VLOOKUP(Table106[[#This Row],[NAME]],SEA_H[[NAME]:['#]],13,0)</f>
        <v>1</v>
      </c>
      <c r="P166" s="28">
        <f>VLOOKUP(Table106[[#This Row],[NAME]],SEA_H[[NAME]:['#]],14,0)</f>
        <v>4</v>
      </c>
      <c r="Q166" s="77">
        <f>VLOOKUP(Table106[[#This Row],[NAME]],SEA_H[[NAME]:['#]],15,0)</f>
        <v>0</v>
      </c>
      <c r="R166" s="28">
        <f>VLOOKUP(Table106[[#This Row],[NAME]],SEA_H[[NAME]:['#]],16,0)</f>
        <v>4</v>
      </c>
      <c r="S166" s="28">
        <f>VLOOKUP(Table106[[#This Row],[NAME]],SEA_H[[NAME]:['#]],17,0)</f>
        <v>4</v>
      </c>
      <c r="T166" s="77">
        <f>VLOOKUP(Table106[[#This Row],[NAME]],SEA_H[[NAME]:['#]],18,0)</f>
        <v>9</v>
      </c>
      <c r="U166" s="72">
        <f>VLOOKUP(Table106[[#This Row],[NAME]],SEA_H[[NAME]:['#]],19,0)</f>
        <v>0.77368421052631575</v>
      </c>
      <c r="V166" s="28">
        <f>VLOOKUP(Table106[[#This Row],[NAME]],SEA_H[[NAME]:['#]],20,0)</f>
        <v>1</v>
      </c>
      <c r="W166" s="75">
        <v>164</v>
      </c>
      <c r="Z166" s="101" t="s">
        <v>611</v>
      </c>
      <c r="AA166" s="77" t="s">
        <v>179</v>
      </c>
      <c r="AB166" s="77" t="s">
        <v>624</v>
      </c>
      <c r="AC166" s="130">
        <v>0.4</v>
      </c>
      <c r="AD166" s="72">
        <v>0.5</v>
      </c>
      <c r="AE166" s="72">
        <v>0.8</v>
      </c>
      <c r="AF166" s="77">
        <v>3</v>
      </c>
      <c r="AG166" s="28">
        <v>10</v>
      </c>
      <c r="AH166" s="28">
        <v>1</v>
      </c>
      <c r="AI166" s="28">
        <v>4</v>
      </c>
      <c r="AJ166" s="28">
        <v>1</v>
      </c>
      <c r="AK166" s="28">
        <v>0</v>
      </c>
      <c r="AL166" s="28">
        <v>1</v>
      </c>
      <c r="AM166" s="28">
        <v>3</v>
      </c>
      <c r="AN166" s="28">
        <v>2</v>
      </c>
      <c r="AO166" s="28">
        <v>1</v>
      </c>
      <c r="AP166" s="77">
        <v>0</v>
      </c>
      <c r="AQ166" s="28">
        <v>3</v>
      </c>
      <c r="AR166" s="28">
        <v>3</v>
      </c>
      <c r="AS166" s="77">
        <v>8</v>
      </c>
      <c r="AT166" s="72">
        <v>1.3</v>
      </c>
      <c r="AU166" s="28">
        <v>1</v>
      </c>
      <c r="AV166" s="75">
        <v>164</v>
      </c>
      <c r="AY166" s="101" t="s">
        <v>611</v>
      </c>
      <c r="AZ166" s="77" t="s">
        <v>308</v>
      </c>
      <c r="BA166" s="77" t="s">
        <v>621</v>
      </c>
      <c r="BB166" s="130">
        <v>0.25</v>
      </c>
      <c r="BC166" s="72">
        <v>0.4</v>
      </c>
      <c r="BD166" s="72">
        <v>0.4</v>
      </c>
      <c r="BE166" s="77">
        <v>9</v>
      </c>
      <c r="BF166" s="28">
        <v>20</v>
      </c>
      <c r="BG166" s="28">
        <v>1</v>
      </c>
      <c r="BH166" s="28">
        <v>5</v>
      </c>
      <c r="BI166" s="28">
        <v>0</v>
      </c>
      <c r="BJ166" s="28">
        <v>0</v>
      </c>
      <c r="BK166" s="28">
        <v>1</v>
      </c>
      <c r="BL166" s="28">
        <v>0</v>
      </c>
      <c r="BM166" s="28">
        <v>5</v>
      </c>
      <c r="BN166" s="28">
        <v>5</v>
      </c>
      <c r="BO166" s="77">
        <v>0</v>
      </c>
      <c r="BP166" s="28">
        <v>1</v>
      </c>
      <c r="BQ166" s="28">
        <v>3</v>
      </c>
      <c r="BR166" s="77">
        <v>8</v>
      </c>
      <c r="BS166" s="72">
        <v>0.8</v>
      </c>
      <c r="BT166" s="28">
        <v>0</v>
      </c>
      <c r="BU166" s="75">
        <v>164</v>
      </c>
    </row>
    <row r="167" spans="1:73">
      <c r="A167" s="101" t="s">
        <v>611</v>
      </c>
      <c r="B167" s="71" t="s">
        <v>187</v>
      </c>
      <c r="C167" s="71" t="s">
        <v>618</v>
      </c>
      <c r="D167" s="72">
        <f>VLOOKUP(Table106[[#This Row],[NAME]],SEA_H[[NAME]:['#]],2,0)</f>
        <v>0.375</v>
      </c>
      <c r="E167" s="72">
        <f>VLOOKUP(Table106[[#This Row],[NAME]],SEA_H[[NAME]:['#]],3,0)</f>
        <v>0.4</v>
      </c>
      <c r="F167" s="72">
        <f>VLOOKUP(Table106[[#This Row],[NAME]],SEA_H[[NAME]:['#]],4,0)</f>
        <v>0.625</v>
      </c>
      <c r="G167" s="77">
        <f>VLOOKUP(Table106[[#This Row],[NAME]],SEA_H[[NAME]:['#]],5,0)</f>
        <v>6</v>
      </c>
      <c r="H167" s="28">
        <f>VLOOKUP(Table106[[#This Row],[NAME]],SEA_H[[NAME]:['#]],6,0)</f>
        <v>24</v>
      </c>
      <c r="I167" s="28">
        <f>VLOOKUP(Table106[[#This Row],[NAME]],SEA_H[[NAME]:['#]],7,0)</f>
        <v>4</v>
      </c>
      <c r="J167" s="28">
        <f>VLOOKUP(Table106[[#This Row],[NAME]],SEA_H[[NAME]:['#]],8,0)</f>
        <v>9</v>
      </c>
      <c r="K167" s="28">
        <f>VLOOKUP(Table106[[#This Row],[NAME]],SEA_H[[NAME]:['#]],9,0)</f>
        <v>0</v>
      </c>
      <c r="L167" s="28">
        <f>VLOOKUP(Table106[[#This Row],[NAME]],SEA_H[[NAME]:['#]],10,0)</f>
        <v>0</v>
      </c>
      <c r="M167" s="28">
        <f>VLOOKUP(Table106[[#This Row],[NAME]],SEA_H[[NAME]:['#]],11,0)</f>
        <v>2</v>
      </c>
      <c r="N167" s="28">
        <f>VLOOKUP(Table106[[#This Row],[NAME]],SEA_H[[NAME]:['#]],12,0)</f>
        <v>6</v>
      </c>
      <c r="O167" s="28">
        <f>VLOOKUP(Table106[[#This Row],[NAME]],SEA_H[[NAME]:['#]],13,0)</f>
        <v>1</v>
      </c>
      <c r="P167" s="28">
        <f>VLOOKUP(Table106[[#This Row],[NAME]],SEA_H[[NAME]:['#]],14,0)</f>
        <v>3</v>
      </c>
      <c r="Q167" s="77">
        <f>VLOOKUP(Table106[[#This Row],[NAME]],SEA_H[[NAME]:['#]],15,0)</f>
        <v>0</v>
      </c>
      <c r="R167" s="28">
        <f>VLOOKUP(Table106[[#This Row],[NAME]],SEA_H[[NAME]:['#]],16,0)</f>
        <v>3</v>
      </c>
      <c r="S167" s="28">
        <f>VLOOKUP(Table106[[#This Row],[NAME]],SEA_H[[NAME]:['#]],17,0)</f>
        <v>3</v>
      </c>
      <c r="T167" s="77">
        <f>VLOOKUP(Table106[[#This Row],[NAME]],SEA_H[[NAME]:['#]],18,0)</f>
        <v>15</v>
      </c>
      <c r="U167" s="72">
        <f>VLOOKUP(Table106[[#This Row],[NAME]],SEA_H[[NAME]:['#]],19,0)</f>
        <v>1.0249999999999999</v>
      </c>
      <c r="V167" s="28">
        <f>VLOOKUP(Table106[[#This Row],[NAME]],SEA_H[[NAME]:['#]],20,0)</f>
        <v>1</v>
      </c>
      <c r="W167" s="75">
        <v>165</v>
      </c>
      <c r="Z167" s="101" t="s">
        <v>611</v>
      </c>
      <c r="AA167" s="77" t="s">
        <v>187</v>
      </c>
      <c r="AB167" s="77" t="s">
        <v>618</v>
      </c>
      <c r="AC167" s="130">
        <v>0.17857142857142858</v>
      </c>
      <c r="AD167" s="72">
        <v>0.22033898305084745</v>
      </c>
      <c r="AE167" s="72">
        <v>0.29464285714285715</v>
      </c>
      <c r="AF167" s="77">
        <v>27</v>
      </c>
      <c r="AG167" s="28">
        <v>112</v>
      </c>
      <c r="AH167" s="28">
        <v>6</v>
      </c>
      <c r="AI167" s="28">
        <v>20</v>
      </c>
      <c r="AJ167" s="28">
        <v>4</v>
      </c>
      <c r="AK167" s="28">
        <v>0</v>
      </c>
      <c r="AL167" s="28">
        <v>3</v>
      </c>
      <c r="AM167" s="28">
        <v>8</v>
      </c>
      <c r="AN167" s="28">
        <v>6</v>
      </c>
      <c r="AO167" s="28">
        <v>32</v>
      </c>
      <c r="AP167" s="77">
        <v>0</v>
      </c>
      <c r="AQ167" s="28">
        <v>1</v>
      </c>
      <c r="AR167" s="28">
        <v>10</v>
      </c>
      <c r="AS167" s="77">
        <v>33</v>
      </c>
      <c r="AT167" s="72">
        <v>0.51498184019370463</v>
      </c>
      <c r="AU167" s="28">
        <v>1</v>
      </c>
      <c r="AV167" s="75">
        <v>165</v>
      </c>
      <c r="AY167" s="101" t="s">
        <v>611</v>
      </c>
      <c r="AZ167" s="77" t="s">
        <v>187</v>
      </c>
      <c r="BA167" s="77" t="s">
        <v>629</v>
      </c>
      <c r="BB167" s="130">
        <v>0.125</v>
      </c>
      <c r="BC167" s="72">
        <v>0.22222222222222221</v>
      </c>
      <c r="BD167" s="72">
        <v>0.125</v>
      </c>
      <c r="BE167" s="77">
        <v>2</v>
      </c>
      <c r="BF167" s="28">
        <v>8</v>
      </c>
      <c r="BG167" s="28">
        <v>1</v>
      </c>
      <c r="BH167" s="28">
        <v>1</v>
      </c>
      <c r="BI167" s="28">
        <v>0</v>
      </c>
      <c r="BJ167" s="28">
        <v>0</v>
      </c>
      <c r="BK167" s="28">
        <v>0</v>
      </c>
      <c r="BL167" s="28">
        <v>0</v>
      </c>
      <c r="BM167" s="28">
        <v>1</v>
      </c>
      <c r="BN167" s="28">
        <v>1</v>
      </c>
      <c r="BO167" s="77">
        <v>0</v>
      </c>
      <c r="BP167" s="28">
        <v>1</v>
      </c>
      <c r="BQ167" s="28">
        <v>1</v>
      </c>
      <c r="BR167" s="77">
        <v>1</v>
      </c>
      <c r="BS167" s="72">
        <v>0.34722222222222221</v>
      </c>
      <c r="BT167" s="28">
        <v>0</v>
      </c>
      <c r="BU167" s="75">
        <v>165</v>
      </c>
    </row>
    <row r="168" spans="1:73">
      <c r="A168" s="101" t="s">
        <v>611</v>
      </c>
      <c r="B168" s="71" t="s">
        <v>187</v>
      </c>
      <c r="C168" s="71" t="s">
        <v>625</v>
      </c>
      <c r="D168" s="72">
        <f>VLOOKUP(Table106[[#This Row],[NAME]],SEA_H[[NAME]:['#]],2,0)</f>
        <v>0.23076923076923078</v>
      </c>
      <c r="E168" s="72">
        <f>VLOOKUP(Table106[[#This Row],[NAME]],SEA_H[[NAME]:['#]],3,0)</f>
        <v>0.375</v>
      </c>
      <c r="F168" s="72">
        <f>VLOOKUP(Table106[[#This Row],[NAME]],SEA_H[[NAME]:['#]],4,0)</f>
        <v>0.46153846153846156</v>
      </c>
      <c r="G168" s="77">
        <f>VLOOKUP(Table106[[#This Row],[NAME]],SEA_H[[NAME]:['#]],5,0)</f>
        <v>4</v>
      </c>
      <c r="H168" s="28">
        <f>VLOOKUP(Table106[[#This Row],[NAME]],SEA_H[[NAME]:['#]],6,0)</f>
        <v>13</v>
      </c>
      <c r="I168" s="28">
        <f>VLOOKUP(Table106[[#This Row],[NAME]],SEA_H[[NAME]:['#]],7,0)</f>
        <v>2</v>
      </c>
      <c r="J168" s="28">
        <f>VLOOKUP(Table106[[#This Row],[NAME]],SEA_H[[NAME]:['#]],8,0)</f>
        <v>3</v>
      </c>
      <c r="K168" s="28">
        <f>VLOOKUP(Table106[[#This Row],[NAME]],SEA_H[[NAME]:['#]],9,0)</f>
        <v>3</v>
      </c>
      <c r="L168" s="28">
        <f>VLOOKUP(Table106[[#This Row],[NAME]],SEA_H[[NAME]:['#]],10,0)</f>
        <v>0</v>
      </c>
      <c r="M168" s="28">
        <f>VLOOKUP(Table106[[#This Row],[NAME]],SEA_H[[NAME]:['#]],11,0)</f>
        <v>0</v>
      </c>
      <c r="N168" s="28">
        <f>VLOOKUP(Table106[[#This Row],[NAME]],SEA_H[[NAME]:['#]],12,0)</f>
        <v>0</v>
      </c>
      <c r="O168" s="28">
        <f>VLOOKUP(Table106[[#This Row],[NAME]],SEA_H[[NAME]:['#]],13,0)</f>
        <v>3</v>
      </c>
      <c r="P168" s="28">
        <f>VLOOKUP(Table106[[#This Row],[NAME]],SEA_H[[NAME]:['#]],14,0)</f>
        <v>7</v>
      </c>
      <c r="Q168" s="77">
        <f>VLOOKUP(Table106[[#This Row],[NAME]],SEA_H[[NAME]:['#]],15,0)</f>
        <v>0</v>
      </c>
      <c r="R168" s="28">
        <f>VLOOKUP(Table106[[#This Row],[NAME]],SEA_H[[NAME]:['#]],16,0)</f>
        <v>2</v>
      </c>
      <c r="S168" s="28">
        <f>VLOOKUP(Table106[[#This Row],[NAME]],SEA_H[[NAME]:['#]],17,0)</f>
        <v>2</v>
      </c>
      <c r="T168" s="77">
        <f>VLOOKUP(Table106[[#This Row],[NAME]],SEA_H[[NAME]:['#]],18,0)</f>
        <v>6</v>
      </c>
      <c r="U168" s="72">
        <f>VLOOKUP(Table106[[#This Row],[NAME]],SEA_H[[NAME]:['#]],19,0)</f>
        <v>0.83653846153846156</v>
      </c>
      <c r="V168" s="28">
        <f>VLOOKUP(Table106[[#This Row],[NAME]],SEA_H[[NAME]:['#]],20,0)</f>
        <v>0</v>
      </c>
      <c r="W168" s="75">
        <v>166</v>
      </c>
      <c r="Z168" s="101" t="s">
        <v>611</v>
      </c>
      <c r="AA168" s="77" t="s">
        <v>187</v>
      </c>
      <c r="AB168" s="77" t="s">
        <v>625</v>
      </c>
      <c r="AC168" s="130">
        <v>0</v>
      </c>
      <c r="AD168" s="72">
        <v>0.25</v>
      </c>
      <c r="AE168" s="72">
        <v>0</v>
      </c>
      <c r="AF168" s="77">
        <v>2</v>
      </c>
      <c r="AG168" s="28">
        <v>3</v>
      </c>
      <c r="AH168" s="28">
        <v>1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1</v>
      </c>
      <c r="AO168" s="28">
        <v>2</v>
      </c>
      <c r="AP168" s="77">
        <v>0</v>
      </c>
      <c r="AQ168" s="28">
        <v>0</v>
      </c>
      <c r="AR168" s="28">
        <v>0</v>
      </c>
      <c r="AS168" s="77">
        <v>0</v>
      </c>
      <c r="AT168" s="72">
        <v>0.25</v>
      </c>
      <c r="AU168" s="28">
        <v>0</v>
      </c>
      <c r="AV168" s="75">
        <v>166</v>
      </c>
      <c r="AY168" s="101" t="s">
        <v>611</v>
      </c>
      <c r="AZ168" s="77" t="s">
        <v>192</v>
      </c>
      <c r="BA168" s="77" t="s">
        <v>625</v>
      </c>
      <c r="BB168" s="130">
        <v>0.1111111111111111</v>
      </c>
      <c r="BC168" s="72">
        <v>0.17241379310344829</v>
      </c>
      <c r="BD168" s="72">
        <v>0.1111111111111111</v>
      </c>
      <c r="BE168" s="77">
        <v>9</v>
      </c>
      <c r="BF168" s="28">
        <v>27</v>
      </c>
      <c r="BG168" s="28">
        <v>1</v>
      </c>
      <c r="BH168" s="28">
        <v>3</v>
      </c>
      <c r="BI168" s="28">
        <v>0</v>
      </c>
      <c r="BJ168" s="28">
        <v>0</v>
      </c>
      <c r="BK168" s="28">
        <v>0</v>
      </c>
      <c r="BL168" s="28">
        <v>4</v>
      </c>
      <c r="BM168" s="28">
        <v>2</v>
      </c>
      <c r="BN168" s="28">
        <v>13</v>
      </c>
      <c r="BO168" s="77">
        <v>0</v>
      </c>
      <c r="BP168" s="28">
        <v>0</v>
      </c>
      <c r="BQ168" s="28">
        <v>1</v>
      </c>
      <c r="BR168" s="77">
        <v>3</v>
      </c>
      <c r="BS168" s="72">
        <v>0.28352490421455939</v>
      </c>
      <c r="BT168" s="28">
        <v>0</v>
      </c>
      <c r="BU168" s="75">
        <v>166</v>
      </c>
    </row>
    <row r="169" spans="1:73">
      <c r="A169" s="101" t="s">
        <v>611</v>
      </c>
      <c r="B169" s="71" t="s">
        <v>186</v>
      </c>
      <c r="C169" s="71" t="s">
        <v>626</v>
      </c>
      <c r="D169" s="72">
        <f>VLOOKUP(Table106[[#This Row],[NAME]],SEA_H[[NAME]:['#]],2,0)</f>
        <v>0.15384615384615385</v>
      </c>
      <c r="E169" s="72">
        <f>VLOOKUP(Table106[[#This Row],[NAME]],SEA_H[[NAME]:['#]],3,0)</f>
        <v>0.15384615384615385</v>
      </c>
      <c r="F169" s="72">
        <f>VLOOKUP(Table106[[#This Row],[NAME]],SEA_H[[NAME]:['#]],4,0)</f>
        <v>0.15384615384615385</v>
      </c>
      <c r="G169" s="77">
        <f>VLOOKUP(Table106[[#This Row],[NAME]],SEA_H[[NAME]:['#]],5,0)</f>
        <v>6</v>
      </c>
      <c r="H169" s="28">
        <f>VLOOKUP(Table106[[#This Row],[NAME]],SEA_H[[NAME]:['#]],6,0)</f>
        <v>13</v>
      </c>
      <c r="I169" s="28">
        <f>VLOOKUP(Table106[[#This Row],[NAME]],SEA_H[[NAME]:['#]],7,0)</f>
        <v>1</v>
      </c>
      <c r="J169" s="28">
        <f>VLOOKUP(Table106[[#This Row],[NAME]],SEA_H[[NAME]:['#]],8,0)</f>
        <v>2</v>
      </c>
      <c r="K169" s="28">
        <f>VLOOKUP(Table106[[#This Row],[NAME]],SEA_H[[NAME]:['#]],9,0)</f>
        <v>0</v>
      </c>
      <c r="L169" s="28">
        <f>VLOOKUP(Table106[[#This Row],[NAME]],SEA_H[[NAME]:['#]],10,0)</f>
        <v>0</v>
      </c>
      <c r="M169" s="28">
        <f>VLOOKUP(Table106[[#This Row],[NAME]],SEA_H[[NAME]:['#]],11,0)</f>
        <v>0</v>
      </c>
      <c r="N169" s="28">
        <f>VLOOKUP(Table106[[#This Row],[NAME]],SEA_H[[NAME]:['#]],12,0)</f>
        <v>0</v>
      </c>
      <c r="O169" s="28">
        <f>VLOOKUP(Table106[[#This Row],[NAME]],SEA_H[[NAME]:['#]],13,0)</f>
        <v>0</v>
      </c>
      <c r="P169" s="28">
        <f>VLOOKUP(Table106[[#This Row],[NAME]],SEA_H[[NAME]:['#]],14,0)</f>
        <v>2</v>
      </c>
      <c r="Q169" s="77">
        <f>VLOOKUP(Table106[[#This Row],[NAME]],SEA_H[[NAME]:['#]],15,0)</f>
        <v>0</v>
      </c>
      <c r="R169" s="28">
        <f>VLOOKUP(Table106[[#This Row],[NAME]],SEA_H[[NAME]:['#]],16,0)</f>
        <v>0</v>
      </c>
      <c r="S169" s="28">
        <f>VLOOKUP(Table106[[#This Row],[NAME]],SEA_H[[NAME]:['#]],17,0)</f>
        <v>1</v>
      </c>
      <c r="T169" s="77">
        <f>VLOOKUP(Table106[[#This Row],[NAME]],SEA_H[[NAME]:['#]],18,0)</f>
        <v>2</v>
      </c>
      <c r="U169" s="72">
        <f>VLOOKUP(Table106[[#This Row],[NAME]],SEA_H[[NAME]:['#]],19,0)</f>
        <v>0.30769230769230771</v>
      </c>
      <c r="V169" s="28">
        <f>VLOOKUP(Table106[[#This Row],[NAME]],SEA_H[[NAME]:['#]],20,0)</f>
        <v>0</v>
      </c>
      <c r="W169" s="75">
        <v>167</v>
      </c>
      <c r="Z169" s="101" t="s">
        <v>611</v>
      </c>
      <c r="AA169" s="77" t="s">
        <v>186</v>
      </c>
      <c r="AB169" s="77" t="s">
        <v>626</v>
      </c>
      <c r="AC169" s="130">
        <v>0.16666666666666666</v>
      </c>
      <c r="AD169" s="72">
        <v>0.2857142857142857</v>
      </c>
      <c r="AE169" s="72">
        <v>0.16666666666666666</v>
      </c>
      <c r="AF169" s="77">
        <v>2</v>
      </c>
      <c r="AG169" s="28">
        <v>6</v>
      </c>
      <c r="AH169" s="28">
        <v>0</v>
      </c>
      <c r="AI169" s="28">
        <v>1</v>
      </c>
      <c r="AJ169" s="28">
        <v>0</v>
      </c>
      <c r="AK169" s="28">
        <v>0</v>
      </c>
      <c r="AL169" s="28">
        <v>0</v>
      </c>
      <c r="AM169" s="28">
        <v>0</v>
      </c>
      <c r="AN169" s="28">
        <v>1</v>
      </c>
      <c r="AO169" s="28">
        <v>2</v>
      </c>
      <c r="AP169" s="77">
        <v>0</v>
      </c>
      <c r="AQ169" s="28">
        <v>0</v>
      </c>
      <c r="AR169" s="28">
        <v>1</v>
      </c>
      <c r="AS169" s="77">
        <v>1</v>
      </c>
      <c r="AT169" s="72">
        <v>0.45238095238095233</v>
      </c>
      <c r="AU169" s="28">
        <v>0</v>
      </c>
      <c r="AV169" s="75">
        <v>167</v>
      </c>
      <c r="AY169" s="101" t="s">
        <v>611</v>
      </c>
      <c r="AZ169" s="77" t="s">
        <v>184</v>
      </c>
      <c r="BA169" s="77" t="s">
        <v>626</v>
      </c>
      <c r="BB169" s="130">
        <v>0.10714285714285714</v>
      </c>
      <c r="BC169" s="72">
        <v>0.19354838709677419</v>
      </c>
      <c r="BD169" s="72">
        <v>0.10714285714285714</v>
      </c>
      <c r="BE169" s="77">
        <v>8</v>
      </c>
      <c r="BF169" s="28">
        <v>28</v>
      </c>
      <c r="BG169" s="28">
        <v>2</v>
      </c>
      <c r="BH169" s="28">
        <v>3</v>
      </c>
      <c r="BI169" s="28">
        <v>0</v>
      </c>
      <c r="BJ169" s="28">
        <v>0</v>
      </c>
      <c r="BK169" s="28">
        <v>0</v>
      </c>
      <c r="BL169" s="28">
        <v>0</v>
      </c>
      <c r="BM169" s="28">
        <v>3</v>
      </c>
      <c r="BN169" s="28">
        <v>10</v>
      </c>
      <c r="BO169" s="77">
        <v>1</v>
      </c>
      <c r="BP169" s="28">
        <v>0</v>
      </c>
      <c r="BQ169" s="28">
        <v>2</v>
      </c>
      <c r="BR169" s="77">
        <v>3</v>
      </c>
      <c r="BS169" s="72">
        <v>0.30069124423963134</v>
      </c>
      <c r="BT169" s="28">
        <v>0</v>
      </c>
      <c r="BU169" s="75">
        <v>167</v>
      </c>
    </row>
    <row r="170" spans="1:73">
      <c r="A170" s="101" t="s">
        <v>611</v>
      </c>
      <c r="B170" s="71" t="s">
        <v>184</v>
      </c>
      <c r="C170" s="71" t="s">
        <v>627</v>
      </c>
      <c r="D170" s="72">
        <f>VLOOKUP(Table106[[#This Row],[NAME]],SEA_H[[NAME]:['#]],2,0)</f>
        <v>0</v>
      </c>
      <c r="E170" s="72">
        <f>VLOOKUP(Table106[[#This Row],[NAME]],SEA_H[[NAME]:['#]],3,0)</f>
        <v>0</v>
      </c>
      <c r="F170" s="72">
        <f>VLOOKUP(Table106[[#This Row],[NAME]],SEA_H[[NAME]:['#]],4,0)</f>
        <v>0</v>
      </c>
      <c r="G170" s="77">
        <f>VLOOKUP(Table106[[#This Row],[NAME]],SEA_H[[NAME]:['#]],5,0)</f>
        <v>0</v>
      </c>
      <c r="H170" s="28">
        <f>VLOOKUP(Table106[[#This Row],[NAME]],SEA_H[[NAME]:['#]],6,0)</f>
        <v>0</v>
      </c>
      <c r="I170" s="28">
        <f>VLOOKUP(Table106[[#This Row],[NAME]],SEA_H[[NAME]:['#]],7,0)</f>
        <v>0</v>
      </c>
      <c r="J170" s="28">
        <f>VLOOKUP(Table106[[#This Row],[NAME]],SEA_H[[NAME]:['#]],8,0)</f>
        <v>0</v>
      </c>
      <c r="K170" s="28">
        <f>VLOOKUP(Table106[[#This Row],[NAME]],SEA_H[[NAME]:['#]],9,0)</f>
        <v>0</v>
      </c>
      <c r="L170" s="28">
        <f>VLOOKUP(Table106[[#This Row],[NAME]],SEA_H[[NAME]:['#]],10,0)</f>
        <v>0</v>
      </c>
      <c r="M170" s="28">
        <f>VLOOKUP(Table106[[#This Row],[NAME]],SEA_H[[NAME]:['#]],11,0)</f>
        <v>0</v>
      </c>
      <c r="N170" s="28">
        <f>VLOOKUP(Table106[[#This Row],[NAME]],SEA_H[[NAME]:['#]],12,0)</f>
        <v>0</v>
      </c>
      <c r="O170" s="28">
        <f>VLOOKUP(Table106[[#This Row],[NAME]],SEA_H[[NAME]:['#]],13,0)</f>
        <v>0</v>
      </c>
      <c r="P170" s="28">
        <f>VLOOKUP(Table106[[#This Row],[NAME]],SEA_H[[NAME]:['#]],14,0)</f>
        <v>0</v>
      </c>
      <c r="Q170" s="77">
        <f>VLOOKUP(Table106[[#This Row],[NAME]],SEA_H[[NAME]:['#]],15,0)</f>
        <v>0</v>
      </c>
      <c r="R170" s="28">
        <f>VLOOKUP(Table106[[#This Row],[NAME]],SEA_H[[NAME]:['#]],16,0)</f>
        <v>0</v>
      </c>
      <c r="S170" s="28">
        <f>VLOOKUP(Table106[[#This Row],[NAME]],SEA_H[[NAME]:['#]],17,0)</f>
        <v>0</v>
      </c>
      <c r="T170" s="77">
        <f>VLOOKUP(Table106[[#This Row],[NAME]],SEA_H[[NAME]:['#]],18,0)</f>
        <v>0</v>
      </c>
      <c r="U170" s="72">
        <f>VLOOKUP(Table106[[#This Row],[NAME]],SEA_H[[NAME]:['#]],19,0)</f>
        <v>0</v>
      </c>
      <c r="V170" s="28">
        <f>VLOOKUP(Table106[[#This Row],[NAME]],SEA_H[[NAME]:['#]],20,0)</f>
        <v>0</v>
      </c>
      <c r="W170" s="75">
        <v>168</v>
      </c>
      <c r="Z170" s="101" t="s">
        <v>611</v>
      </c>
      <c r="AA170" s="77" t="s">
        <v>184</v>
      </c>
      <c r="AB170" s="77" t="s">
        <v>628</v>
      </c>
      <c r="AC170" s="130">
        <v>0</v>
      </c>
      <c r="AD170" s="72">
        <v>0</v>
      </c>
      <c r="AE170" s="72">
        <v>0</v>
      </c>
      <c r="AF170" s="77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8">
        <v>0</v>
      </c>
      <c r="AP170" s="77">
        <v>0</v>
      </c>
      <c r="AQ170" s="28">
        <v>0</v>
      </c>
      <c r="AR170" s="28">
        <v>0</v>
      </c>
      <c r="AS170" s="77">
        <v>0</v>
      </c>
      <c r="AT170" s="72">
        <v>0</v>
      </c>
      <c r="AU170" s="28">
        <v>0</v>
      </c>
      <c r="AV170" s="75">
        <v>168</v>
      </c>
      <c r="AY170" s="101" t="s">
        <v>611</v>
      </c>
      <c r="AZ170" s="77" t="s">
        <v>186</v>
      </c>
      <c r="BA170" s="77" t="s">
        <v>619</v>
      </c>
      <c r="BB170" s="130">
        <v>0.30097087378640774</v>
      </c>
      <c r="BC170" s="72">
        <v>0.36283185840707965</v>
      </c>
      <c r="BD170" s="72">
        <v>0.47572815533980584</v>
      </c>
      <c r="BE170" s="77">
        <v>25</v>
      </c>
      <c r="BF170" s="28">
        <v>103</v>
      </c>
      <c r="BG170" s="28">
        <v>13</v>
      </c>
      <c r="BH170" s="28">
        <v>31</v>
      </c>
      <c r="BI170" s="28">
        <v>6</v>
      </c>
      <c r="BJ170" s="28">
        <v>0</v>
      </c>
      <c r="BK170" s="28">
        <v>4</v>
      </c>
      <c r="BL170" s="28">
        <v>14</v>
      </c>
      <c r="BM170" s="28">
        <v>10</v>
      </c>
      <c r="BN170" s="28">
        <v>36</v>
      </c>
      <c r="BO170" s="77">
        <v>0</v>
      </c>
      <c r="BP170" s="28">
        <v>6</v>
      </c>
      <c r="BQ170" s="28">
        <v>9</v>
      </c>
      <c r="BR170" s="77">
        <v>49</v>
      </c>
      <c r="BS170" s="72">
        <v>0.83856001374688549</v>
      </c>
      <c r="BT170" s="28">
        <v>3</v>
      </c>
      <c r="BU170" s="75">
        <v>168</v>
      </c>
    </row>
    <row r="171" spans="1:73">
      <c r="A171" s="101" t="s">
        <v>650</v>
      </c>
      <c r="B171" s="71" t="s">
        <v>179</v>
      </c>
      <c r="C171" s="71" t="s">
        <v>657</v>
      </c>
      <c r="D171" s="72">
        <f>VLOOKUP(Table106[[#This Row],[NAME]],TEX_H[[NAME]:['#]],2,0)</f>
        <v>0.23026315789473684</v>
      </c>
      <c r="E171" s="72">
        <f>VLOOKUP(Table106[[#This Row],[NAME]],TEX_H[[NAME]:['#]],3,0)</f>
        <v>0.26874999999999999</v>
      </c>
      <c r="F171" s="72">
        <f>VLOOKUP(Table106[[#This Row],[NAME]],TEX_H[[NAME]:['#]],4,0)</f>
        <v>0.39473684210526316</v>
      </c>
      <c r="G171" s="77">
        <f>VLOOKUP(Table106[[#This Row],[NAME]],TEX_H[[NAME]:['#]],5,0)</f>
        <v>36</v>
      </c>
      <c r="H171" s="28">
        <f>VLOOKUP(Table106[[#This Row],[NAME]],TEX_H[[NAME]:['#]],6,0)</f>
        <v>152</v>
      </c>
      <c r="I171" s="28">
        <f>VLOOKUP(Table106[[#This Row],[NAME]],TEX_H[[NAME]:['#]],7,0)</f>
        <v>18</v>
      </c>
      <c r="J171" s="28">
        <f>VLOOKUP(Table106[[#This Row],[NAME]],TEX_H[[NAME]:['#]],8,0)</f>
        <v>35</v>
      </c>
      <c r="K171" s="28">
        <f>VLOOKUP(Table106[[#This Row],[NAME]],TEX_H[[NAME]:['#]],9,0)</f>
        <v>4</v>
      </c>
      <c r="L171" s="28">
        <f>VLOOKUP(Table106[[#This Row],[NAME]],TEX_H[[NAME]:['#]],10,0)</f>
        <v>0</v>
      </c>
      <c r="M171" s="28">
        <f>VLOOKUP(Table106[[#This Row],[NAME]],TEX_H[[NAME]:['#]],11,0)</f>
        <v>7</v>
      </c>
      <c r="N171" s="28">
        <f>VLOOKUP(Table106[[#This Row],[NAME]],TEX_H[[NAME]:['#]],12,0)</f>
        <v>14</v>
      </c>
      <c r="O171" s="28">
        <f>VLOOKUP(Table106[[#This Row],[NAME]],TEX_H[[NAME]:['#]],13,0)</f>
        <v>8</v>
      </c>
      <c r="P171" s="28">
        <f>VLOOKUP(Table106[[#This Row],[NAME]],TEX_H[[NAME]:['#]],14,0)</f>
        <v>23</v>
      </c>
      <c r="Q171" s="77">
        <f>VLOOKUP(Table106[[#This Row],[NAME]],TEX_H[[NAME]:['#]],15,0)</f>
        <v>0</v>
      </c>
      <c r="R171" s="28">
        <f>VLOOKUP(Table106[[#This Row],[NAME]],TEX_H[[NAME]:['#]],16,0)</f>
        <v>0</v>
      </c>
      <c r="S171" s="28">
        <f>VLOOKUP(Table106[[#This Row],[NAME]],TEX_H[[NAME]:['#]],17,0)</f>
        <v>9</v>
      </c>
      <c r="T171" s="77">
        <f>VLOOKUP(Table106[[#This Row],[NAME]],TEX_H[[NAME]:['#]],18,0)</f>
        <v>60</v>
      </c>
      <c r="U171" s="72">
        <f>VLOOKUP(Table106[[#This Row],[NAME]],TEX_H[[NAME]:['#]],19,0)</f>
        <v>0.6634868421052631</v>
      </c>
      <c r="V171" s="28">
        <f>VLOOKUP(Table106[[#This Row],[NAME]],TEX_H[[NAME]:['#]],20,0)</f>
        <v>1</v>
      </c>
      <c r="W171" s="75">
        <v>169</v>
      </c>
      <c r="Z171" s="101" t="s">
        <v>650</v>
      </c>
      <c r="AA171" s="77" t="s">
        <v>179</v>
      </c>
      <c r="AB171" s="77" t="s">
        <v>657</v>
      </c>
      <c r="AC171" s="130">
        <v>0.19863013698630136</v>
      </c>
      <c r="AD171" s="72">
        <v>0.24025974025974026</v>
      </c>
      <c r="AE171" s="72">
        <v>0.34246575342465752</v>
      </c>
      <c r="AF171" s="77">
        <v>37</v>
      </c>
      <c r="AG171" s="28">
        <v>146</v>
      </c>
      <c r="AH171" s="28">
        <v>14</v>
      </c>
      <c r="AI171" s="28">
        <v>29</v>
      </c>
      <c r="AJ171" s="28">
        <v>7</v>
      </c>
      <c r="AK171" s="28">
        <v>1</v>
      </c>
      <c r="AL171" s="28">
        <v>4</v>
      </c>
      <c r="AM171" s="28">
        <v>13</v>
      </c>
      <c r="AN171" s="28">
        <v>8</v>
      </c>
      <c r="AO171" s="28">
        <v>33</v>
      </c>
      <c r="AP171" s="77">
        <v>0</v>
      </c>
      <c r="AQ171" s="28">
        <v>0</v>
      </c>
      <c r="AR171" s="28">
        <v>6</v>
      </c>
      <c r="AS171" s="77">
        <v>50</v>
      </c>
      <c r="AT171" s="72">
        <v>0.58272549368439774</v>
      </c>
      <c r="AU171" s="28">
        <v>1</v>
      </c>
      <c r="AV171" s="75">
        <v>169</v>
      </c>
      <c r="AY171" s="101" t="s">
        <v>650</v>
      </c>
      <c r="AZ171" s="77" t="s">
        <v>179</v>
      </c>
      <c r="BA171" s="77" t="s">
        <v>661</v>
      </c>
      <c r="BB171" s="130">
        <v>0.25287356321839083</v>
      </c>
      <c r="BC171" s="72">
        <v>0.2857142857142857</v>
      </c>
      <c r="BD171" s="72">
        <v>0.42528735632183906</v>
      </c>
      <c r="BE171" s="77">
        <v>25</v>
      </c>
      <c r="BF171" s="28">
        <v>87</v>
      </c>
      <c r="BG171" s="28">
        <v>9</v>
      </c>
      <c r="BH171" s="28">
        <v>22</v>
      </c>
      <c r="BI171" s="28">
        <v>3</v>
      </c>
      <c r="BJ171" s="28">
        <v>0</v>
      </c>
      <c r="BK171" s="28">
        <v>4</v>
      </c>
      <c r="BL171" s="28">
        <v>10</v>
      </c>
      <c r="BM171" s="28">
        <v>4</v>
      </c>
      <c r="BN171" s="28">
        <v>22</v>
      </c>
      <c r="BO171" s="77">
        <v>0</v>
      </c>
      <c r="BP171" s="28">
        <v>0</v>
      </c>
      <c r="BQ171" s="28">
        <v>6</v>
      </c>
      <c r="BR171" s="77">
        <v>37</v>
      </c>
      <c r="BS171" s="72">
        <v>0.7110016420361247</v>
      </c>
      <c r="BT171" s="28">
        <v>1</v>
      </c>
      <c r="BU171" s="75">
        <v>169</v>
      </c>
    </row>
    <row r="172" spans="1:73">
      <c r="A172" s="101" t="s">
        <v>650</v>
      </c>
      <c r="B172" s="71" t="s">
        <v>154</v>
      </c>
      <c r="C172" s="71" t="s">
        <v>655</v>
      </c>
      <c r="D172" s="72">
        <f>VLOOKUP(Table106[[#This Row],[NAME]],TEX_H[[NAME]:['#]],2,0)</f>
        <v>0.28947368421052633</v>
      </c>
      <c r="E172" s="72">
        <f>VLOOKUP(Table106[[#This Row],[NAME]],TEX_H[[NAME]:['#]],3,0)</f>
        <v>0.3532934131736527</v>
      </c>
      <c r="F172" s="72">
        <f>VLOOKUP(Table106[[#This Row],[NAME]],TEX_H[[NAME]:['#]],4,0)</f>
        <v>0.42105263157894735</v>
      </c>
      <c r="G172" s="77">
        <f>VLOOKUP(Table106[[#This Row],[NAME]],TEX_H[[NAME]:['#]],5,0)</f>
        <v>38</v>
      </c>
      <c r="H172" s="28">
        <f>VLOOKUP(Table106[[#This Row],[NAME]],TEX_H[[NAME]:['#]],6,0)</f>
        <v>152</v>
      </c>
      <c r="I172" s="28">
        <f>VLOOKUP(Table106[[#This Row],[NAME]],TEX_H[[NAME]:['#]],7,0)</f>
        <v>17</v>
      </c>
      <c r="J172" s="28">
        <f>VLOOKUP(Table106[[#This Row],[NAME]],TEX_H[[NAME]:['#]],8,0)</f>
        <v>44</v>
      </c>
      <c r="K172" s="28">
        <f>VLOOKUP(Table106[[#This Row],[NAME]],TEX_H[[NAME]:['#]],9,0)</f>
        <v>5</v>
      </c>
      <c r="L172" s="28">
        <f>VLOOKUP(Table106[[#This Row],[NAME]],TEX_H[[NAME]:['#]],10,0)</f>
        <v>0</v>
      </c>
      <c r="M172" s="28">
        <f>VLOOKUP(Table106[[#This Row],[NAME]],TEX_H[[NAME]:['#]],11,0)</f>
        <v>5</v>
      </c>
      <c r="N172" s="28">
        <f>VLOOKUP(Table106[[#This Row],[NAME]],TEX_H[[NAME]:['#]],12,0)</f>
        <v>18</v>
      </c>
      <c r="O172" s="28">
        <f>VLOOKUP(Table106[[#This Row],[NAME]],TEX_H[[NAME]:['#]],13,0)</f>
        <v>15</v>
      </c>
      <c r="P172" s="28">
        <f>VLOOKUP(Table106[[#This Row],[NAME]],TEX_H[[NAME]:['#]],14,0)</f>
        <v>33</v>
      </c>
      <c r="Q172" s="77">
        <f>VLOOKUP(Table106[[#This Row],[NAME]],TEX_H[[NAME]:['#]],15,0)</f>
        <v>0</v>
      </c>
      <c r="R172" s="28">
        <f>VLOOKUP(Table106[[#This Row],[NAME]],TEX_H[[NAME]:['#]],16,0)</f>
        <v>1</v>
      </c>
      <c r="S172" s="28">
        <f>VLOOKUP(Table106[[#This Row],[NAME]],TEX_H[[NAME]:['#]],17,0)</f>
        <v>5</v>
      </c>
      <c r="T172" s="77">
        <f>VLOOKUP(Table106[[#This Row],[NAME]],TEX_H[[NAME]:['#]],18,0)</f>
        <v>64</v>
      </c>
      <c r="U172" s="72">
        <f>VLOOKUP(Table106[[#This Row],[NAME]],TEX_H[[NAME]:['#]],19,0)</f>
        <v>0.77434604475260005</v>
      </c>
      <c r="V172" s="28">
        <f>VLOOKUP(Table106[[#This Row],[NAME]],TEX_H[[NAME]:['#]],20,0)</f>
        <v>1</v>
      </c>
      <c r="W172" s="75">
        <v>170</v>
      </c>
      <c r="Z172" s="101" t="s">
        <v>650</v>
      </c>
      <c r="AA172" s="77" t="s">
        <v>154</v>
      </c>
      <c r="AB172" s="77" t="s">
        <v>655</v>
      </c>
      <c r="AC172" s="130">
        <v>0.29192546583850931</v>
      </c>
      <c r="AD172" s="72">
        <v>0.31736526946107785</v>
      </c>
      <c r="AE172" s="72">
        <v>0.453416149068323</v>
      </c>
      <c r="AF172" s="77">
        <v>39</v>
      </c>
      <c r="AG172" s="28">
        <v>161</v>
      </c>
      <c r="AH172" s="28">
        <v>18</v>
      </c>
      <c r="AI172" s="28">
        <v>47</v>
      </c>
      <c r="AJ172" s="28">
        <v>8</v>
      </c>
      <c r="AK172" s="28">
        <v>0</v>
      </c>
      <c r="AL172" s="28">
        <v>6</v>
      </c>
      <c r="AM172" s="28">
        <v>20</v>
      </c>
      <c r="AN172" s="28">
        <v>6</v>
      </c>
      <c r="AO172" s="28">
        <v>27</v>
      </c>
      <c r="AP172" s="77">
        <v>0</v>
      </c>
      <c r="AQ172" s="28">
        <v>6</v>
      </c>
      <c r="AR172" s="28">
        <v>6</v>
      </c>
      <c r="AS172" s="77">
        <v>73</v>
      </c>
      <c r="AT172" s="72">
        <v>0.77078141852940085</v>
      </c>
      <c r="AU172" s="28">
        <v>2</v>
      </c>
      <c r="AV172" s="75">
        <v>170</v>
      </c>
      <c r="AY172" s="101" t="s">
        <v>650</v>
      </c>
      <c r="AZ172" s="77" t="s">
        <v>154</v>
      </c>
      <c r="BA172" s="77" t="s">
        <v>655</v>
      </c>
      <c r="BB172" s="130">
        <v>0.24503311258278146</v>
      </c>
      <c r="BC172" s="72">
        <v>0.31325301204819278</v>
      </c>
      <c r="BD172" s="72">
        <v>0.37748344370860926</v>
      </c>
      <c r="BE172" s="77">
        <v>38</v>
      </c>
      <c r="BF172" s="28">
        <v>151</v>
      </c>
      <c r="BG172" s="28">
        <v>11</v>
      </c>
      <c r="BH172" s="28">
        <v>37</v>
      </c>
      <c r="BI172" s="28">
        <v>5</v>
      </c>
      <c r="BJ172" s="28">
        <v>0</v>
      </c>
      <c r="BK172" s="28">
        <v>5</v>
      </c>
      <c r="BL172" s="28">
        <v>24</v>
      </c>
      <c r="BM172" s="28">
        <v>15</v>
      </c>
      <c r="BN172" s="28">
        <v>30</v>
      </c>
      <c r="BO172" s="77">
        <v>0</v>
      </c>
      <c r="BP172" s="28">
        <v>4</v>
      </c>
      <c r="BQ172" s="28">
        <v>7</v>
      </c>
      <c r="BR172" s="77">
        <v>57</v>
      </c>
      <c r="BS172" s="72">
        <v>0.69073645575680209</v>
      </c>
      <c r="BT172" s="28">
        <v>0</v>
      </c>
      <c r="BU172" s="75">
        <v>170</v>
      </c>
    </row>
    <row r="173" spans="1:73">
      <c r="A173" s="101" t="s">
        <v>650</v>
      </c>
      <c r="B173" s="71" t="s">
        <v>172</v>
      </c>
      <c r="C173" s="71" t="s">
        <v>651</v>
      </c>
      <c r="D173" s="72">
        <f>VLOOKUP(Table106[[#This Row],[NAME]],TEX_H[[NAME]:['#]],2,0)</f>
        <v>0.27972027972027974</v>
      </c>
      <c r="E173" s="72">
        <f>VLOOKUP(Table106[[#This Row],[NAME]],TEX_H[[NAME]:['#]],3,0)</f>
        <v>0.34394904458598724</v>
      </c>
      <c r="F173" s="72">
        <f>VLOOKUP(Table106[[#This Row],[NAME]],TEX_H[[NAME]:['#]],4,0)</f>
        <v>0.5174825174825175</v>
      </c>
      <c r="G173" s="77">
        <f>VLOOKUP(Table106[[#This Row],[NAME]],TEX_H[[NAME]:['#]],5,0)</f>
        <v>35</v>
      </c>
      <c r="H173" s="28">
        <f>VLOOKUP(Table106[[#This Row],[NAME]],TEX_H[[NAME]:['#]],6,0)</f>
        <v>143</v>
      </c>
      <c r="I173" s="28">
        <f>VLOOKUP(Table106[[#This Row],[NAME]],TEX_H[[NAME]:['#]],7,0)</f>
        <v>20</v>
      </c>
      <c r="J173" s="28">
        <f>VLOOKUP(Table106[[#This Row],[NAME]],TEX_H[[NAME]:['#]],8,0)</f>
        <v>40</v>
      </c>
      <c r="K173" s="28">
        <f>VLOOKUP(Table106[[#This Row],[NAME]],TEX_H[[NAME]:['#]],9,0)</f>
        <v>16</v>
      </c>
      <c r="L173" s="28">
        <f>VLOOKUP(Table106[[#This Row],[NAME]],TEX_H[[NAME]:['#]],10,0)</f>
        <v>0</v>
      </c>
      <c r="M173" s="28">
        <f>VLOOKUP(Table106[[#This Row],[NAME]],TEX_H[[NAME]:['#]],11,0)</f>
        <v>6</v>
      </c>
      <c r="N173" s="28">
        <f>VLOOKUP(Table106[[#This Row],[NAME]],TEX_H[[NAME]:['#]],12,0)</f>
        <v>17</v>
      </c>
      <c r="O173" s="28">
        <f>VLOOKUP(Table106[[#This Row],[NAME]],TEX_H[[NAME]:['#]],13,0)</f>
        <v>14</v>
      </c>
      <c r="P173" s="28">
        <f>VLOOKUP(Table106[[#This Row],[NAME]],TEX_H[[NAME]:['#]],14,0)</f>
        <v>32</v>
      </c>
      <c r="Q173" s="77">
        <f>VLOOKUP(Table106[[#This Row],[NAME]],TEX_H[[NAME]:['#]],15,0)</f>
        <v>0</v>
      </c>
      <c r="R173" s="28">
        <f>VLOOKUP(Table106[[#This Row],[NAME]],TEX_H[[NAME]:['#]],16,0)</f>
        <v>2</v>
      </c>
      <c r="S173" s="28">
        <f>VLOOKUP(Table106[[#This Row],[NAME]],TEX_H[[NAME]:['#]],17,0)</f>
        <v>6</v>
      </c>
      <c r="T173" s="77">
        <f>VLOOKUP(Table106[[#This Row],[NAME]],TEX_H[[NAME]:['#]],18,0)</f>
        <v>74</v>
      </c>
      <c r="U173" s="72">
        <f>VLOOKUP(Table106[[#This Row],[NAME]],TEX_H[[NAME]:['#]],19,0)</f>
        <v>0.86143156206850469</v>
      </c>
      <c r="V173" s="28">
        <f>VLOOKUP(Table106[[#This Row],[NAME]],TEX_H[[NAME]:['#]],20,0)</f>
        <v>2</v>
      </c>
      <c r="W173" s="75">
        <v>171</v>
      </c>
      <c r="Z173" s="101" t="s">
        <v>650</v>
      </c>
      <c r="AA173" s="77" t="s">
        <v>172</v>
      </c>
      <c r="AB173" s="77" t="s">
        <v>651</v>
      </c>
      <c r="AC173" s="130">
        <v>0.2986111111111111</v>
      </c>
      <c r="AD173" s="72">
        <v>0.35668789808917195</v>
      </c>
      <c r="AE173" s="72">
        <v>0.4375</v>
      </c>
      <c r="AF173" s="77">
        <v>36</v>
      </c>
      <c r="AG173" s="28">
        <v>144</v>
      </c>
      <c r="AH173" s="28">
        <v>20</v>
      </c>
      <c r="AI173" s="28">
        <v>43</v>
      </c>
      <c r="AJ173" s="28">
        <v>11</v>
      </c>
      <c r="AK173" s="28">
        <v>0</v>
      </c>
      <c r="AL173" s="28">
        <v>3</v>
      </c>
      <c r="AM173" s="28">
        <v>13</v>
      </c>
      <c r="AN173" s="28">
        <v>13</v>
      </c>
      <c r="AO173" s="28">
        <v>32</v>
      </c>
      <c r="AP173" s="77">
        <v>0</v>
      </c>
      <c r="AQ173" s="28">
        <v>3</v>
      </c>
      <c r="AR173" s="28">
        <v>13</v>
      </c>
      <c r="AS173" s="77">
        <v>63</v>
      </c>
      <c r="AT173" s="72">
        <v>0.7941878980891719</v>
      </c>
      <c r="AU173" s="28">
        <v>1</v>
      </c>
      <c r="AV173" s="75">
        <v>171</v>
      </c>
      <c r="AY173" s="101" t="s">
        <v>650</v>
      </c>
      <c r="AZ173" s="77" t="s">
        <v>172</v>
      </c>
      <c r="BA173" s="77" t="s">
        <v>660</v>
      </c>
      <c r="BB173" s="130">
        <v>0.25409836065573771</v>
      </c>
      <c r="BC173" s="72">
        <v>0.29457364341085274</v>
      </c>
      <c r="BD173" s="72">
        <v>0.31967213114754101</v>
      </c>
      <c r="BE173" s="77">
        <v>34</v>
      </c>
      <c r="BF173" s="28">
        <v>122</v>
      </c>
      <c r="BG173" s="28">
        <v>12</v>
      </c>
      <c r="BH173" s="28">
        <v>31</v>
      </c>
      <c r="BI173" s="28">
        <v>5</v>
      </c>
      <c r="BJ173" s="28">
        <v>0</v>
      </c>
      <c r="BK173" s="28">
        <v>1</v>
      </c>
      <c r="BL173" s="28">
        <v>13</v>
      </c>
      <c r="BM173" s="28">
        <v>7</v>
      </c>
      <c r="BN173" s="28">
        <v>28</v>
      </c>
      <c r="BO173" s="77">
        <v>1</v>
      </c>
      <c r="BP173" s="28">
        <v>7</v>
      </c>
      <c r="BQ173" s="28">
        <v>7</v>
      </c>
      <c r="BR173" s="77">
        <v>39</v>
      </c>
      <c r="BS173" s="72">
        <v>0.6142457745583938</v>
      </c>
      <c r="BT173" s="28">
        <v>2</v>
      </c>
      <c r="BU173" s="75">
        <v>171</v>
      </c>
    </row>
    <row r="174" spans="1:73">
      <c r="A174" s="101" t="s">
        <v>650</v>
      </c>
      <c r="B174" s="71" t="s">
        <v>153</v>
      </c>
      <c r="C174" s="71" t="s">
        <v>274</v>
      </c>
      <c r="D174" s="72">
        <f>VLOOKUP(Table106[[#This Row],[NAME]],TEX_H[[NAME]:['#]],2,0)</f>
        <v>0.20155038759689922</v>
      </c>
      <c r="E174" s="72">
        <f>VLOOKUP(Table106[[#This Row],[NAME]],TEX_H[[NAME]:['#]],3,0)</f>
        <v>0.27464788732394368</v>
      </c>
      <c r="F174" s="72">
        <f>VLOOKUP(Table106[[#This Row],[NAME]],TEX_H[[NAME]:['#]],4,0)</f>
        <v>0.37984496124031009</v>
      </c>
      <c r="G174" s="77">
        <f>VLOOKUP(Table106[[#This Row],[NAME]],TEX_H[[NAME]:['#]],5,0)</f>
        <v>33</v>
      </c>
      <c r="H174" s="28">
        <f>VLOOKUP(Table106[[#This Row],[NAME]],TEX_H[[NAME]:['#]],6,0)</f>
        <v>129</v>
      </c>
      <c r="I174" s="28">
        <f>VLOOKUP(Table106[[#This Row],[NAME]],TEX_H[[NAME]:['#]],7,0)</f>
        <v>15</v>
      </c>
      <c r="J174" s="28">
        <f>VLOOKUP(Table106[[#This Row],[NAME]],TEX_H[[NAME]:['#]],8,0)</f>
        <v>26</v>
      </c>
      <c r="K174" s="28">
        <f>VLOOKUP(Table106[[#This Row],[NAME]],TEX_H[[NAME]:['#]],9,0)</f>
        <v>8</v>
      </c>
      <c r="L174" s="28">
        <f>VLOOKUP(Table106[[#This Row],[NAME]],TEX_H[[NAME]:['#]],10,0)</f>
        <v>0</v>
      </c>
      <c r="M174" s="28">
        <f>VLOOKUP(Table106[[#This Row],[NAME]],TEX_H[[NAME]:['#]],11,0)</f>
        <v>5</v>
      </c>
      <c r="N174" s="28">
        <f>VLOOKUP(Table106[[#This Row],[NAME]],TEX_H[[NAME]:['#]],12,0)</f>
        <v>20</v>
      </c>
      <c r="O174" s="28">
        <f>VLOOKUP(Table106[[#This Row],[NAME]],TEX_H[[NAME]:['#]],13,0)</f>
        <v>13</v>
      </c>
      <c r="P174" s="28">
        <f>VLOOKUP(Table106[[#This Row],[NAME]],TEX_H[[NAME]:['#]],14,0)</f>
        <v>34</v>
      </c>
      <c r="Q174" s="77">
        <f>VLOOKUP(Table106[[#This Row],[NAME]],TEX_H[[NAME]:['#]],15,0)</f>
        <v>0</v>
      </c>
      <c r="R174" s="28">
        <f>VLOOKUP(Table106[[#This Row],[NAME]],TEX_H[[NAME]:['#]],16,0)</f>
        <v>1</v>
      </c>
      <c r="S174" s="28">
        <f>VLOOKUP(Table106[[#This Row],[NAME]],TEX_H[[NAME]:['#]],17,0)</f>
        <v>6</v>
      </c>
      <c r="T174" s="77">
        <f>VLOOKUP(Table106[[#This Row],[NAME]],TEX_H[[NAME]:['#]],18,0)</f>
        <v>49</v>
      </c>
      <c r="U174" s="72">
        <f>VLOOKUP(Table106[[#This Row],[NAME]],TEX_H[[NAME]:['#]],19,0)</f>
        <v>0.65449284856425383</v>
      </c>
      <c r="V174" s="28">
        <f>VLOOKUP(Table106[[#This Row],[NAME]],TEX_H[[NAME]:['#]],20,0)</f>
        <v>3</v>
      </c>
      <c r="W174" s="75">
        <v>172</v>
      </c>
      <c r="Z174" s="101" t="s">
        <v>650</v>
      </c>
      <c r="AA174" s="77" t="s">
        <v>153</v>
      </c>
      <c r="AB174" s="77" t="s">
        <v>274</v>
      </c>
      <c r="AC174" s="130">
        <v>0.26277372262773724</v>
      </c>
      <c r="AD174" s="72">
        <v>0.35256410256410259</v>
      </c>
      <c r="AE174" s="72">
        <v>0.43065693430656932</v>
      </c>
      <c r="AF174" s="77">
        <v>38</v>
      </c>
      <c r="AG174" s="28">
        <v>137</v>
      </c>
      <c r="AH174" s="28">
        <v>18</v>
      </c>
      <c r="AI174" s="28">
        <v>36</v>
      </c>
      <c r="AJ174" s="28">
        <v>11</v>
      </c>
      <c r="AK174" s="28">
        <v>3</v>
      </c>
      <c r="AL174" s="28">
        <v>2</v>
      </c>
      <c r="AM174" s="28">
        <v>9</v>
      </c>
      <c r="AN174" s="28">
        <v>19</v>
      </c>
      <c r="AO174" s="28">
        <v>30</v>
      </c>
      <c r="AP174" s="77">
        <v>0</v>
      </c>
      <c r="AQ174" s="28">
        <v>3</v>
      </c>
      <c r="AR174" s="28">
        <v>3</v>
      </c>
      <c r="AS174" s="77">
        <v>59</v>
      </c>
      <c r="AT174" s="72">
        <v>0.78322103687067191</v>
      </c>
      <c r="AU174" s="28">
        <v>1</v>
      </c>
      <c r="AV174" s="75">
        <v>172</v>
      </c>
      <c r="AY174" s="101" t="s">
        <v>650</v>
      </c>
      <c r="AZ174" s="77" t="s">
        <v>153</v>
      </c>
      <c r="BA174" s="77" t="s">
        <v>666</v>
      </c>
      <c r="BB174" s="130">
        <v>0.1744186046511628</v>
      </c>
      <c r="BC174" s="72">
        <v>0.24468085106382978</v>
      </c>
      <c r="BD174" s="72">
        <v>0.23255813953488372</v>
      </c>
      <c r="BE174" s="77">
        <v>27</v>
      </c>
      <c r="BF174" s="28">
        <v>86</v>
      </c>
      <c r="BG174" s="28">
        <v>11</v>
      </c>
      <c r="BH174" s="28">
        <v>15</v>
      </c>
      <c r="BI174" s="28">
        <v>5</v>
      </c>
      <c r="BJ174" s="28">
        <v>0</v>
      </c>
      <c r="BK174" s="28">
        <v>0</v>
      </c>
      <c r="BL174" s="28">
        <v>1</v>
      </c>
      <c r="BM174" s="28">
        <v>8</v>
      </c>
      <c r="BN174" s="28">
        <v>19</v>
      </c>
      <c r="BO174" s="77">
        <v>0</v>
      </c>
      <c r="BP174" s="28">
        <v>0</v>
      </c>
      <c r="BQ174" s="28">
        <v>3</v>
      </c>
      <c r="BR174" s="77">
        <v>20</v>
      </c>
      <c r="BS174" s="72">
        <v>0.4772389905987135</v>
      </c>
      <c r="BT174" s="28">
        <v>0</v>
      </c>
      <c r="BU174" s="75">
        <v>172</v>
      </c>
    </row>
    <row r="175" spans="1:73">
      <c r="A175" s="101" t="s">
        <v>650</v>
      </c>
      <c r="B175" s="71" t="s">
        <v>177</v>
      </c>
      <c r="C175" s="71" t="s">
        <v>652</v>
      </c>
      <c r="D175" s="72">
        <f>VLOOKUP(Table106[[#This Row],[NAME]],TEX_H[[NAME]:['#]],2,0)</f>
        <v>0.28813559322033899</v>
      </c>
      <c r="E175" s="72">
        <f>VLOOKUP(Table106[[#This Row],[NAME]],TEX_H[[NAME]:['#]],3,0)</f>
        <v>0.37777777777777777</v>
      </c>
      <c r="F175" s="72">
        <f>VLOOKUP(Table106[[#This Row],[NAME]],TEX_H[[NAME]:['#]],4,0)</f>
        <v>0.40677966101694918</v>
      </c>
      <c r="G175" s="77">
        <f>VLOOKUP(Table106[[#This Row],[NAME]],TEX_H[[NAME]:['#]],5,0)</f>
        <v>33</v>
      </c>
      <c r="H175" s="28">
        <f>VLOOKUP(Table106[[#This Row],[NAME]],TEX_H[[NAME]:['#]],6,0)</f>
        <v>118</v>
      </c>
      <c r="I175" s="28">
        <f>VLOOKUP(Table106[[#This Row],[NAME]],TEX_H[[NAME]:['#]],7,0)</f>
        <v>8</v>
      </c>
      <c r="J175" s="28">
        <f>VLOOKUP(Table106[[#This Row],[NAME]],TEX_H[[NAME]:['#]],8,0)</f>
        <v>34</v>
      </c>
      <c r="K175" s="28">
        <f>VLOOKUP(Table106[[#This Row],[NAME]],TEX_H[[NAME]:['#]],9,0)</f>
        <v>8</v>
      </c>
      <c r="L175" s="28">
        <f>VLOOKUP(Table106[[#This Row],[NAME]],TEX_H[[NAME]:['#]],10,0)</f>
        <v>0</v>
      </c>
      <c r="M175" s="28">
        <f>VLOOKUP(Table106[[#This Row],[NAME]],TEX_H[[NAME]:['#]],11,0)</f>
        <v>2</v>
      </c>
      <c r="N175" s="28">
        <f>VLOOKUP(Table106[[#This Row],[NAME]],TEX_H[[NAME]:['#]],12,0)</f>
        <v>14</v>
      </c>
      <c r="O175" s="28">
        <f>VLOOKUP(Table106[[#This Row],[NAME]],TEX_H[[NAME]:['#]],13,0)</f>
        <v>17</v>
      </c>
      <c r="P175" s="28">
        <f>VLOOKUP(Table106[[#This Row],[NAME]],TEX_H[[NAME]:['#]],14,0)</f>
        <v>31</v>
      </c>
      <c r="Q175" s="77">
        <f>VLOOKUP(Table106[[#This Row],[NAME]],TEX_H[[NAME]:['#]],15,0)</f>
        <v>0</v>
      </c>
      <c r="R175" s="28">
        <f>VLOOKUP(Table106[[#This Row],[NAME]],TEX_H[[NAME]:['#]],16,0)</f>
        <v>4</v>
      </c>
      <c r="S175" s="28">
        <f>VLOOKUP(Table106[[#This Row],[NAME]],TEX_H[[NAME]:['#]],17,0)</f>
        <v>7</v>
      </c>
      <c r="T175" s="77">
        <f>VLOOKUP(Table106[[#This Row],[NAME]],TEX_H[[NAME]:['#]],18,0)</f>
        <v>48</v>
      </c>
      <c r="U175" s="72">
        <f>VLOOKUP(Table106[[#This Row],[NAME]],TEX_H[[NAME]:['#]],19,0)</f>
        <v>0.78455743879472695</v>
      </c>
      <c r="V175" s="28">
        <f>VLOOKUP(Table106[[#This Row],[NAME]],TEX_H[[NAME]:['#]],20,0)</f>
        <v>2</v>
      </c>
      <c r="W175" s="75">
        <v>173</v>
      </c>
      <c r="Z175" s="101" t="s">
        <v>650</v>
      </c>
      <c r="AA175" s="352" t="s">
        <v>177</v>
      </c>
      <c r="AB175" s="77" t="s">
        <v>652</v>
      </c>
      <c r="AC175" s="130">
        <v>0.32</v>
      </c>
      <c r="AD175" s="72">
        <v>0.39644970414201186</v>
      </c>
      <c r="AE175" s="72">
        <v>0.53333333333333333</v>
      </c>
      <c r="AF175" s="77">
        <v>39</v>
      </c>
      <c r="AG175" s="28">
        <v>150</v>
      </c>
      <c r="AH175" s="28">
        <v>21</v>
      </c>
      <c r="AI175" s="28">
        <v>48</v>
      </c>
      <c r="AJ175" s="28">
        <v>6</v>
      </c>
      <c r="AK175" s="28">
        <v>1</v>
      </c>
      <c r="AL175" s="28">
        <v>8</v>
      </c>
      <c r="AM175" s="28">
        <v>21</v>
      </c>
      <c r="AN175" s="28">
        <v>19</v>
      </c>
      <c r="AO175" s="28">
        <v>41</v>
      </c>
      <c r="AP175" s="77">
        <v>0</v>
      </c>
      <c r="AQ175" s="28">
        <v>1</v>
      </c>
      <c r="AR175" s="28">
        <v>14</v>
      </c>
      <c r="AS175" s="77">
        <v>80</v>
      </c>
      <c r="AT175" s="72">
        <v>0.92978303747534519</v>
      </c>
      <c r="AU175" s="28">
        <v>1</v>
      </c>
      <c r="AV175" s="75">
        <v>173</v>
      </c>
      <c r="AY175" s="101" t="s">
        <v>650</v>
      </c>
      <c r="AZ175" s="77" t="s">
        <v>177</v>
      </c>
      <c r="BA175" s="77" t="s">
        <v>652</v>
      </c>
      <c r="BB175" s="130">
        <v>0.22818791946308725</v>
      </c>
      <c r="BC175" s="72">
        <v>0.27215189873417722</v>
      </c>
      <c r="BD175" s="72">
        <v>0.41610738255033558</v>
      </c>
      <c r="BE175" s="77">
        <v>38</v>
      </c>
      <c r="BF175" s="28">
        <v>149</v>
      </c>
      <c r="BG175" s="28">
        <v>14</v>
      </c>
      <c r="BH175" s="28">
        <v>34</v>
      </c>
      <c r="BI175" s="28">
        <v>7</v>
      </c>
      <c r="BJ175" s="28">
        <v>0</v>
      </c>
      <c r="BK175" s="28">
        <v>7</v>
      </c>
      <c r="BL175" s="28">
        <v>11</v>
      </c>
      <c r="BM175" s="28">
        <v>9</v>
      </c>
      <c r="BN175" s="28">
        <v>38</v>
      </c>
      <c r="BO175" s="77">
        <v>0</v>
      </c>
      <c r="BP175" s="28">
        <v>0</v>
      </c>
      <c r="BQ175" s="28">
        <v>5</v>
      </c>
      <c r="BR175" s="77">
        <v>62</v>
      </c>
      <c r="BS175" s="72">
        <v>0.68825928128451275</v>
      </c>
      <c r="BT175" s="28">
        <v>1</v>
      </c>
      <c r="BU175" s="75">
        <v>173</v>
      </c>
    </row>
    <row r="176" spans="1:73">
      <c r="A176" s="101" t="s">
        <v>650</v>
      </c>
      <c r="B176" s="71" t="s">
        <v>234</v>
      </c>
      <c r="C176" s="71" t="s">
        <v>659</v>
      </c>
      <c r="D176" s="72">
        <f>VLOOKUP(Table106[[#This Row],[NAME]],TEX_H[[NAME]:['#]],2,0)</f>
        <v>0.21167883211678831</v>
      </c>
      <c r="E176" s="72">
        <f>VLOOKUP(Table106[[#This Row],[NAME]],TEX_H[[NAME]:['#]],3,0)</f>
        <v>0.26530612244897961</v>
      </c>
      <c r="F176" s="72">
        <f>VLOOKUP(Table106[[#This Row],[NAME]],TEX_H[[NAME]:['#]],4,0)</f>
        <v>0.41605839416058393</v>
      </c>
      <c r="G176" s="77">
        <f>VLOOKUP(Table106[[#This Row],[NAME]],TEX_H[[NAME]:['#]],5,0)</f>
        <v>37</v>
      </c>
      <c r="H176" s="28">
        <f>VLOOKUP(Table106[[#This Row],[NAME]],TEX_H[[NAME]:['#]],6,0)</f>
        <v>137</v>
      </c>
      <c r="I176" s="28">
        <f>VLOOKUP(Table106[[#This Row],[NAME]],TEX_H[[NAME]:['#]],7,0)</f>
        <v>18</v>
      </c>
      <c r="J176" s="28">
        <f>VLOOKUP(Table106[[#This Row],[NAME]],TEX_H[[NAME]:['#]],8,0)</f>
        <v>29</v>
      </c>
      <c r="K176" s="28">
        <f>VLOOKUP(Table106[[#This Row],[NAME]],TEX_H[[NAME]:['#]],9,0)</f>
        <v>8</v>
      </c>
      <c r="L176" s="28">
        <f>VLOOKUP(Table106[[#This Row],[NAME]],TEX_H[[NAME]:['#]],10,0)</f>
        <v>1</v>
      </c>
      <c r="M176" s="28">
        <f>VLOOKUP(Table106[[#This Row],[NAME]],TEX_H[[NAME]:['#]],11,0)</f>
        <v>6</v>
      </c>
      <c r="N176" s="28">
        <f>VLOOKUP(Table106[[#This Row],[NAME]],TEX_H[[NAME]:['#]],12,0)</f>
        <v>11</v>
      </c>
      <c r="O176" s="28">
        <f>VLOOKUP(Table106[[#This Row],[NAME]],TEX_H[[NAME]:['#]],13,0)</f>
        <v>10</v>
      </c>
      <c r="P176" s="28">
        <f>VLOOKUP(Table106[[#This Row],[NAME]],TEX_H[[NAME]:['#]],14,0)</f>
        <v>42</v>
      </c>
      <c r="Q176" s="77">
        <f>VLOOKUP(Table106[[#This Row],[NAME]],TEX_H[[NAME]:['#]],15,0)</f>
        <v>0</v>
      </c>
      <c r="R176" s="28">
        <f>VLOOKUP(Table106[[#This Row],[NAME]],TEX_H[[NAME]:['#]],16,0)</f>
        <v>0</v>
      </c>
      <c r="S176" s="28">
        <f>VLOOKUP(Table106[[#This Row],[NAME]],TEX_H[[NAME]:['#]],17,0)</f>
        <v>5</v>
      </c>
      <c r="T176" s="77">
        <f>VLOOKUP(Table106[[#This Row],[NAME]],TEX_H[[NAME]:['#]],18,0)</f>
        <v>57</v>
      </c>
      <c r="U176" s="72">
        <f>VLOOKUP(Table106[[#This Row],[NAME]],TEX_H[[NAME]:['#]],19,0)</f>
        <v>0.68136451660956354</v>
      </c>
      <c r="V176" s="28">
        <f>VLOOKUP(Table106[[#This Row],[NAME]],TEX_H[[NAME]:['#]],20,0)</f>
        <v>2</v>
      </c>
      <c r="W176" s="75">
        <v>174</v>
      </c>
      <c r="Z176" s="101" t="s">
        <v>650</v>
      </c>
      <c r="AA176" s="77" t="s">
        <v>174</v>
      </c>
      <c r="AB176" s="77" t="s">
        <v>656</v>
      </c>
      <c r="AC176" s="130">
        <v>0.26543209876543211</v>
      </c>
      <c r="AD176" s="72">
        <v>0.32386363636363635</v>
      </c>
      <c r="AE176" s="72">
        <v>0.44444444444444442</v>
      </c>
      <c r="AF176" s="77">
        <v>39</v>
      </c>
      <c r="AG176" s="28">
        <v>162</v>
      </c>
      <c r="AH176" s="28">
        <v>17</v>
      </c>
      <c r="AI176" s="28">
        <v>43</v>
      </c>
      <c r="AJ176" s="28">
        <v>11</v>
      </c>
      <c r="AK176" s="28">
        <v>0</v>
      </c>
      <c r="AL176" s="28">
        <v>6</v>
      </c>
      <c r="AM176" s="28">
        <v>20</v>
      </c>
      <c r="AN176" s="28">
        <v>14</v>
      </c>
      <c r="AO176" s="28">
        <v>43</v>
      </c>
      <c r="AP176" s="77">
        <v>0</v>
      </c>
      <c r="AQ176" s="28">
        <v>5</v>
      </c>
      <c r="AR176" s="28">
        <v>6</v>
      </c>
      <c r="AS176" s="77">
        <v>72</v>
      </c>
      <c r="AT176" s="72">
        <v>0.76830808080808077</v>
      </c>
      <c r="AU176" s="28">
        <v>2</v>
      </c>
      <c r="AV176" s="75">
        <v>174</v>
      </c>
      <c r="AY176" s="101" t="s">
        <v>650</v>
      </c>
      <c r="AZ176" s="77" t="s">
        <v>174</v>
      </c>
      <c r="BA176" s="77" t="s">
        <v>656</v>
      </c>
      <c r="BB176" s="130">
        <v>0.25786163522012578</v>
      </c>
      <c r="BC176" s="72">
        <v>0.28915662650602408</v>
      </c>
      <c r="BD176" s="72">
        <v>0.45283018867924529</v>
      </c>
      <c r="BE176" s="77">
        <v>39</v>
      </c>
      <c r="BF176" s="28">
        <v>159</v>
      </c>
      <c r="BG176" s="28">
        <v>19</v>
      </c>
      <c r="BH176" s="28">
        <v>41</v>
      </c>
      <c r="BI176" s="28">
        <v>9</v>
      </c>
      <c r="BJ176" s="28">
        <v>2</v>
      </c>
      <c r="BK176" s="28">
        <v>6</v>
      </c>
      <c r="BL176" s="28">
        <v>24</v>
      </c>
      <c r="BM176" s="28">
        <v>7</v>
      </c>
      <c r="BN176" s="28">
        <v>34</v>
      </c>
      <c r="BO176" s="77">
        <v>2</v>
      </c>
      <c r="BP176" s="28">
        <v>1</v>
      </c>
      <c r="BQ176" s="28">
        <v>4</v>
      </c>
      <c r="BR176" s="77">
        <v>72</v>
      </c>
      <c r="BS176" s="72">
        <v>0.74198681518526932</v>
      </c>
      <c r="BT176" s="28">
        <v>4</v>
      </c>
      <c r="BU176" s="75">
        <v>174</v>
      </c>
    </row>
    <row r="177" spans="1:73">
      <c r="A177" s="101" t="s">
        <v>650</v>
      </c>
      <c r="B177" s="71" t="s">
        <v>181</v>
      </c>
      <c r="C177" s="71" t="s">
        <v>654</v>
      </c>
      <c r="D177" s="72">
        <f>VLOOKUP(Table106[[#This Row],[NAME]],TEX_H[[NAME]:['#]],2,0)</f>
        <v>0.26</v>
      </c>
      <c r="E177" s="72">
        <f>VLOOKUP(Table106[[#This Row],[NAME]],TEX_H[[NAME]:['#]],3,0)</f>
        <v>0.28387096774193549</v>
      </c>
      <c r="F177" s="72">
        <f>VLOOKUP(Table106[[#This Row],[NAME]],TEX_H[[NAME]:['#]],4,0)</f>
        <v>0.43333333333333335</v>
      </c>
      <c r="G177" s="77">
        <f>VLOOKUP(Table106[[#This Row],[NAME]],TEX_H[[NAME]:['#]],5,0)</f>
        <v>37</v>
      </c>
      <c r="H177" s="28">
        <f>VLOOKUP(Table106[[#This Row],[NAME]],TEX_H[[NAME]:['#]],6,0)</f>
        <v>150</v>
      </c>
      <c r="I177" s="28">
        <f>VLOOKUP(Table106[[#This Row],[NAME]],TEX_H[[NAME]:['#]],7,0)</f>
        <v>14</v>
      </c>
      <c r="J177" s="28">
        <f>VLOOKUP(Table106[[#This Row],[NAME]],TEX_H[[NAME]:['#]],8,0)</f>
        <v>39</v>
      </c>
      <c r="K177" s="28">
        <f>VLOOKUP(Table106[[#This Row],[NAME]],TEX_H[[NAME]:['#]],9,0)</f>
        <v>6</v>
      </c>
      <c r="L177" s="28">
        <f>VLOOKUP(Table106[[#This Row],[NAME]],TEX_H[[NAME]:['#]],10,0)</f>
        <v>1</v>
      </c>
      <c r="M177" s="28">
        <f>VLOOKUP(Table106[[#This Row],[NAME]],TEX_H[[NAME]:['#]],11,0)</f>
        <v>6</v>
      </c>
      <c r="N177" s="28">
        <f>VLOOKUP(Table106[[#This Row],[NAME]],TEX_H[[NAME]:['#]],12,0)</f>
        <v>21</v>
      </c>
      <c r="O177" s="28">
        <f>VLOOKUP(Table106[[#This Row],[NAME]],TEX_H[[NAME]:['#]],13,0)</f>
        <v>5</v>
      </c>
      <c r="P177" s="28">
        <f>VLOOKUP(Table106[[#This Row],[NAME]],TEX_H[[NAME]:['#]],14,0)</f>
        <v>52</v>
      </c>
      <c r="Q177" s="77">
        <f>VLOOKUP(Table106[[#This Row],[NAME]],TEX_H[[NAME]:['#]],15,0)</f>
        <v>1</v>
      </c>
      <c r="R177" s="28">
        <f>VLOOKUP(Table106[[#This Row],[NAME]],TEX_H[[NAME]:['#]],16,0)</f>
        <v>1</v>
      </c>
      <c r="S177" s="28">
        <f>VLOOKUP(Table106[[#This Row],[NAME]],TEX_H[[NAME]:['#]],17,0)</f>
        <v>11</v>
      </c>
      <c r="T177" s="77">
        <f>VLOOKUP(Table106[[#This Row],[NAME]],TEX_H[[NAME]:['#]],18,0)</f>
        <v>65</v>
      </c>
      <c r="U177" s="72">
        <f>VLOOKUP(Table106[[#This Row],[NAME]],TEX_H[[NAME]:['#]],19,0)</f>
        <v>0.71720430107526889</v>
      </c>
      <c r="V177" s="28">
        <f>VLOOKUP(Table106[[#This Row],[NAME]],TEX_H[[NAME]:['#]],20,0)</f>
        <v>1</v>
      </c>
      <c r="W177" s="75">
        <v>175</v>
      </c>
      <c r="Z177" s="101" t="s">
        <v>650</v>
      </c>
      <c r="AA177" s="77" t="s">
        <v>181</v>
      </c>
      <c r="AB177" s="77" t="s">
        <v>654</v>
      </c>
      <c r="AC177" s="130">
        <v>0.16788321167883211</v>
      </c>
      <c r="AD177" s="72">
        <v>0.22972972972972974</v>
      </c>
      <c r="AE177" s="72">
        <v>0.30656934306569344</v>
      </c>
      <c r="AF177" s="77">
        <v>39</v>
      </c>
      <c r="AG177" s="28">
        <v>137</v>
      </c>
      <c r="AH177" s="28">
        <v>13</v>
      </c>
      <c r="AI177" s="28">
        <v>23</v>
      </c>
      <c r="AJ177" s="28">
        <v>4</v>
      </c>
      <c r="AK177" s="28">
        <v>0</v>
      </c>
      <c r="AL177" s="28">
        <v>5</v>
      </c>
      <c r="AM177" s="28">
        <v>17</v>
      </c>
      <c r="AN177" s="28">
        <v>11</v>
      </c>
      <c r="AO177" s="28">
        <v>48</v>
      </c>
      <c r="AP177" s="77">
        <v>0</v>
      </c>
      <c r="AQ177" s="28">
        <v>0</v>
      </c>
      <c r="AR177" s="28">
        <v>3</v>
      </c>
      <c r="AS177" s="77">
        <v>42</v>
      </c>
      <c r="AT177" s="72">
        <v>0.53629907279542322</v>
      </c>
      <c r="AU177" s="28">
        <v>1</v>
      </c>
      <c r="AV177" s="75">
        <v>175</v>
      </c>
      <c r="AY177" s="101" t="s">
        <v>650</v>
      </c>
      <c r="AZ177" s="77" t="s">
        <v>181</v>
      </c>
      <c r="BA177" s="77" t="s">
        <v>654</v>
      </c>
      <c r="BB177" s="130">
        <v>0.19090909090909092</v>
      </c>
      <c r="BC177" s="72">
        <v>0.24576271186440679</v>
      </c>
      <c r="BD177" s="72">
        <v>0.32727272727272727</v>
      </c>
      <c r="BE177" s="77">
        <v>31</v>
      </c>
      <c r="BF177" s="28">
        <v>110</v>
      </c>
      <c r="BG177" s="28">
        <v>12</v>
      </c>
      <c r="BH177" s="28">
        <v>21</v>
      </c>
      <c r="BI177" s="28">
        <v>3</v>
      </c>
      <c r="BJ177" s="28">
        <v>0</v>
      </c>
      <c r="BK177" s="28">
        <v>4</v>
      </c>
      <c r="BL177" s="28">
        <v>8</v>
      </c>
      <c r="BM177" s="28">
        <v>8</v>
      </c>
      <c r="BN177" s="28">
        <v>50</v>
      </c>
      <c r="BO177" s="77">
        <v>1</v>
      </c>
      <c r="BP177" s="28">
        <v>2</v>
      </c>
      <c r="BQ177" s="28">
        <v>4</v>
      </c>
      <c r="BR177" s="77">
        <v>36</v>
      </c>
      <c r="BS177" s="72">
        <v>0.57303543913713406</v>
      </c>
      <c r="BT177" s="28">
        <v>0</v>
      </c>
      <c r="BU177" s="75">
        <v>175</v>
      </c>
    </row>
    <row r="178" spans="1:73">
      <c r="A178" s="101" t="s">
        <v>650</v>
      </c>
      <c r="B178" s="71" t="s">
        <v>166</v>
      </c>
      <c r="C178" s="71" t="s">
        <v>658</v>
      </c>
      <c r="D178" s="72">
        <f>VLOOKUP(Table106[[#This Row],[NAME]],TEX_H[[NAME]:['#]],2,0)</f>
        <v>0.17105263157894737</v>
      </c>
      <c r="E178" s="72">
        <f>VLOOKUP(Table106[[#This Row],[NAME]],TEX_H[[NAME]:['#]],3,0)</f>
        <v>0.26744186046511625</v>
      </c>
      <c r="F178" s="72">
        <f>VLOOKUP(Table106[[#This Row],[NAME]],TEX_H[[NAME]:['#]],4,0)</f>
        <v>0.26315789473684209</v>
      </c>
      <c r="G178" s="77">
        <f>VLOOKUP(Table106[[#This Row],[NAME]],TEX_H[[NAME]:['#]],5,0)</f>
        <v>22</v>
      </c>
      <c r="H178" s="28">
        <f>VLOOKUP(Table106[[#This Row],[NAME]],TEX_H[[NAME]:['#]],6,0)</f>
        <v>76</v>
      </c>
      <c r="I178" s="28">
        <f>VLOOKUP(Table106[[#This Row],[NAME]],TEX_H[[NAME]:['#]],7,0)</f>
        <v>6</v>
      </c>
      <c r="J178" s="28">
        <f>VLOOKUP(Table106[[#This Row],[NAME]],TEX_H[[NAME]:['#]],8,0)</f>
        <v>13</v>
      </c>
      <c r="K178" s="28">
        <f>VLOOKUP(Table106[[#This Row],[NAME]],TEX_H[[NAME]:['#]],9,0)</f>
        <v>1</v>
      </c>
      <c r="L178" s="28">
        <f>VLOOKUP(Table106[[#This Row],[NAME]],TEX_H[[NAME]:['#]],10,0)</f>
        <v>0</v>
      </c>
      <c r="M178" s="28">
        <f>VLOOKUP(Table106[[#This Row],[NAME]],TEX_H[[NAME]:['#]],11,0)</f>
        <v>2</v>
      </c>
      <c r="N178" s="28">
        <f>VLOOKUP(Table106[[#This Row],[NAME]],TEX_H[[NAME]:['#]],12,0)</f>
        <v>8</v>
      </c>
      <c r="O178" s="28">
        <f>VLOOKUP(Table106[[#This Row],[NAME]],TEX_H[[NAME]:['#]],13,0)</f>
        <v>10</v>
      </c>
      <c r="P178" s="28">
        <f>VLOOKUP(Table106[[#This Row],[NAME]],TEX_H[[NAME]:['#]],14,0)</f>
        <v>29</v>
      </c>
      <c r="Q178" s="77">
        <f>VLOOKUP(Table106[[#This Row],[NAME]],TEX_H[[NAME]:['#]],15,0)</f>
        <v>0</v>
      </c>
      <c r="R178" s="28">
        <f>VLOOKUP(Table106[[#This Row],[NAME]],TEX_H[[NAME]:['#]],16,0)</f>
        <v>0</v>
      </c>
      <c r="S178" s="28">
        <f>VLOOKUP(Table106[[#This Row],[NAME]],TEX_H[[NAME]:['#]],17,0)</f>
        <v>2</v>
      </c>
      <c r="T178" s="77">
        <f>VLOOKUP(Table106[[#This Row],[NAME]],TEX_H[[NAME]:['#]],18,0)</f>
        <v>20</v>
      </c>
      <c r="U178" s="72">
        <f>VLOOKUP(Table106[[#This Row],[NAME]],TEX_H[[NAME]:['#]],19,0)</f>
        <v>0.53059975520195835</v>
      </c>
      <c r="V178" s="28">
        <f>VLOOKUP(Table106[[#This Row],[NAME]],TEX_H[[NAME]:['#]],20,0)</f>
        <v>1</v>
      </c>
      <c r="W178" s="75">
        <v>176</v>
      </c>
      <c r="Z178" s="101" t="s">
        <v>650</v>
      </c>
      <c r="AA178" s="77" t="s">
        <v>166</v>
      </c>
      <c r="AB178" s="77" t="s">
        <v>658</v>
      </c>
      <c r="AC178" s="130">
        <v>0.1875</v>
      </c>
      <c r="AD178" s="72">
        <v>0.28767123287671231</v>
      </c>
      <c r="AE178" s="72">
        <v>0.359375</v>
      </c>
      <c r="AF178" s="77">
        <v>36</v>
      </c>
      <c r="AG178" s="28">
        <v>128</v>
      </c>
      <c r="AH178" s="28">
        <v>16</v>
      </c>
      <c r="AI178" s="28">
        <v>24</v>
      </c>
      <c r="AJ178" s="28">
        <v>4</v>
      </c>
      <c r="AK178" s="28">
        <v>0</v>
      </c>
      <c r="AL178" s="28">
        <v>6</v>
      </c>
      <c r="AM178" s="28">
        <v>16</v>
      </c>
      <c r="AN178" s="28">
        <v>18</v>
      </c>
      <c r="AO178" s="28">
        <v>48</v>
      </c>
      <c r="AP178" s="77">
        <v>0</v>
      </c>
      <c r="AQ178" s="28">
        <v>0</v>
      </c>
      <c r="AR178" s="28">
        <v>3</v>
      </c>
      <c r="AS178" s="77">
        <v>46</v>
      </c>
      <c r="AT178" s="72">
        <v>0.64704623287671237</v>
      </c>
      <c r="AU178" s="28">
        <v>2</v>
      </c>
      <c r="AV178" s="75">
        <v>176</v>
      </c>
      <c r="AY178" s="101" t="s">
        <v>650</v>
      </c>
      <c r="AZ178" s="77" t="s">
        <v>166</v>
      </c>
      <c r="BA178" s="77" t="s">
        <v>658</v>
      </c>
      <c r="BB178" s="130">
        <v>0.19852941176470587</v>
      </c>
      <c r="BC178" s="72">
        <v>0.27333333333333332</v>
      </c>
      <c r="BD178" s="72">
        <v>0.41911764705882354</v>
      </c>
      <c r="BE178" s="77">
        <v>38</v>
      </c>
      <c r="BF178" s="28">
        <v>136</v>
      </c>
      <c r="BG178" s="28">
        <v>16</v>
      </c>
      <c r="BH178" s="28">
        <v>27</v>
      </c>
      <c r="BI178" s="28">
        <v>3</v>
      </c>
      <c r="BJ178" s="28">
        <v>0</v>
      </c>
      <c r="BK178" s="28">
        <v>9</v>
      </c>
      <c r="BL178" s="28">
        <v>21</v>
      </c>
      <c r="BM178" s="28">
        <v>14</v>
      </c>
      <c r="BN178" s="28">
        <v>48</v>
      </c>
      <c r="BO178" s="77">
        <v>0</v>
      </c>
      <c r="BP178" s="28">
        <v>1</v>
      </c>
      <c r="BQ178" s="28">
        <v>6</v>
      </c>
      <c r="BR178" s="77">
        <v>57</v>
      </c>
      <c r="BS178" s="72">
        <v>0.6924509803921568</v>
      </c>
      <c r="BT178" s="28">
        <v>2</v>
      </c>
      <c r="BU178" s="75">
        <v>176</v>
      </c>
    </row>
    <row r="179" spans="1:73">
      <c r="A179" s="101" t="s">
        <v>650</v>
      </c>
      <c r="B179" s="71" t="s">
        <v>168</v>
      </c>
      <c r="C179" s="71" t="s">
        <v>656</v>
      </c>
      <c r="D179" s="72">
        <f>VLOOKUP(Table106[[#This Row],[NAME]],TEX_H[[NAME]:['#]],2,0)</f>
        <v>0.27559055118110237</v>
      </c>
      <c r="E179" s="72">
        <f>VLOOKUP(Table106[[#This Row],[NAME]],TEX_H[[NAME]:['#]],3,0)</f>
        <v>0.32846715328467152</v>
      </c>
      <c r="F179" s="72">
        <f>VLOOKUP(Table106[[#This Row],[NAME]],TEX_H[[NAME]:['#]],4,0)</f>
        <v>0.45669291338582679</v>
      </c>
      <c r="G179" s="77">
        <f>VLOOKUP(Table106[[#This Row],[NAME]],TEX_H[[NAME]:['#]],5,0)</f>
        <v>33</v>
      </c>
      <c r="H179" s="28">
        <f>VLOOKUP(Table106[[#This Row],[NAME]],TEX_H[[NAME]:['#]],6,0)</f>
        <v>127</v>
      </c>
      <c r="I179" s="28">
        <f>VLOOKUP(Table106[[#This Row],[NAME]],TEX_H[[NAME]:['#]],7,0)</f>
        <v>17</v>
      </c>
      <c r="J179" s="28">
        <f>VLOOKUP(Table106[[#This Row],[NAME]],TEX_H[[NAME]:['#]],8,0)</f>
        <v>35</v>
      </c>
      <c r="K179" s="28">
        <f>VLOOKUP(Table106[[#This Row],[NAME]],TEX_H[[NAME]:['#]],9,0)</f>
        <v>8</v>
      </c>
      <c r="L179" s="28">
        <f>VLOOKUP(Table106[[#This Row],[NAME]],TEX_H[[NAME]:['#]],10,0)</f>
        <v>0</v>
      </c>
      <c r="M179" s="28">
        <f>VLOOKUP(Table106[[#This Row],[NAME]],TEX_H[[NAME]:['#]],11,0)</f>
        <v>5</v>
      </c>
      <c r="N179" s="28">
        <f>VLOOKUP(Table106[[#This Row],[NAME]],TEX_H[[NAME]:['#]],12,0)</f>
        <v>20</v>
      </c>
      <c r="O179" s="28">
        <f>VLOOKUP(Table106[[#This Row],[NAME]],TEX_H[[NAME]:['#]],13,0)</f>
        <v>10</v>
      </c>
      <c r="P179" s="28">
        <f>VLOOKUP(Table106[[#This Row],[NAME]],TEX_H[[NAME]:['#]],14,0)</f>
        <v>36</v>
      </c>
      <c r="Q179" s="77">
        <f>VLOOKUP(Table106[[#This Row],[NAME]],TEX_H[[NAME]:['#]],15,0)</f>
        <v>0</v>
      </c>
      <c r="R179" s="28">
        <f>VLOOKUP(Table106[[#This Row],[NAME]],TEX_H[[NAME]:['#]],16,0)</f>
        <v>0</v>
      </c>
      <c r="S179" s="28">
        <f>VLOOKUP(Table106[[#This Row],[NAME]],TEX_H[[NAME]:['#]],17,0)</f>
        <v>10</v>
      </c>
      <c r="T179" s="77">
        <f>VLOOKUP(Table106[[#This Row],[NAME]],TEX_H[[NAME]:['#]],18,0)</f>
        <v>58</v>
      </c>
      <c r="U179" s="72">
        <f>VLOOKUP(Table106[[#This Row],[NAME]],TEX_H[[NAME]:['#]],19,0)</f>
        <v>0.78516006667049831</v>
      </c>
      <c r="V179" s="28">
        <f>VLOOKUP(Table106[[#This Row],[NAME]],TEX_H[[NAME]:['#]],20,0)</f>
        <v>2</v>
      </c>
      <c r="W179" s="75">
        <v>177</v>
      </c>
      <c r="Z179" s="101" t="s">
        <v>650</v>
      </c>
      <c r="AA179" s="77" t="s">
        <v>168</v>
      </c>
      <c r="AB179" s="77" t="s">
        <v>653</v>
      </c>
      <c r="AC179" s="130">
        <v>0.23376623376623376</v>
      </c>
      <c r="AD179" s="72">
        <v>0.28484848484848485</v>
      </c>
      <c r="AE179" s="72">
        <v>0.39610389610389612</v>
      </c>
      <c r="AF179" s="77">
        <v>38</v>
      </c>
      <c r="AG179" s="28">
        <v>154</v>
      </c>
      <c r="AH179" s="28">
        <v>20</v>
      </c>
      <c r="AI179" s="28">
        <v>36</v>
      </c>
      <c r="AJ179" s="28">
        <v>4</v>
      </c>
      <c r="AK179" s="28">
        <v>0</v>
      </c>
      <c r="AL179" s="28">
        <v>7</v>
      </c>
      <c r="AM179" s="28">
        <v>25</v>
      </c>
      <c r="AN179" s="28">
        <v>11</v>
      </c>
      <c r="AO179" s="28">
        <v>34</v>
      </c>
      <c r="AP179" s="77">
        <v>0</v>
      </c>
      <c r="AQ179" s="28">
        <v>0</v>
      </c>
      <c r="AR179" s="28">
        <v>5</v>
      </c>
      <c r="AS179" s="77">
        <v>61</v>
      </c>
      <c r="AT179" s="72">
        <v>0.68095238095238098</v>
      </c>
      <c r="AU179" s="28">
        <v>3</v>
      </c>
      <c r="AV179" s="75">
        <v>177</v>
      </c>
      <c r="AY179" s="101" t="s">
        <v>650</v>
      </c>
      <c r="AZ179" s="77" t="s">
        <v>168</v>
      </c>
      <c r="BA179" s="77" t="s">
        <v>653</v>
      </c>
      <c r="BB179" s="130">
        <v>0.23225806451612904</v>
      </c>
      <c r="BC179" s="72">
        <v>0.25624999999999998</v>
      </c>
      <c r="BD179" s="72">
        <v>0.47096774193548385</v>
      </c>
      <c r="BE179" s="77">
        <v>39</v>
      </c>
      <c r="BF179" s="28">
        <v>155</v>
      </c>
      <c r="BG179" s="28">
        <v>15</v>
      </c>
      <c r="BH179" s="28">
        <v>36</v>
      </c>
      <c r="BI179" s="28">
        <v>7</v>
      </c>
      <c r="BJ179" s="28">
        <v>0</v>
      </c>
      <c r="BK179" s="28">
        <v>10</v>
      </c>
      <c r="BL179" s="28">
        <v>18</v>
      </c>
      <c r="BM179" s="28">
        <v>5</v>
      </c>
      <c r="BN179" s="28">
        <v>39</v>
      </c>
      <c r="BO179" s="77">
        <v>0</v>
      </c>
      <c r="BP179" s="28">
        <v>1</v>
      </c>
      <c r="BQ179" s="28">
        <v>4</v>
      </c>
      <c r="BR179" s="77">
        <v>73</v>
      </c>
      <c r="BS179" s="72">
        <v>0.72721774193548383</v>
      </c>
      <c r="BT179" s="28">
        <v>2</v>
      </c>
      <c r="BU179" s="75">
        <v>177</v>
      </c>
    </row>
    <row r="180" spans="1:73">
      <c r="A180" s="101" t="s">
        <v>650</v>
      </c>
      <c r="B180" s="71" t="s">
        <v>179</v>
      </c>
      <c r="C180" s="71" t="s">
        <v>661</v>
      </c>
      <c r="D180" s="72">
        <f>VLOOKUP(Table106[[#This Row],[NAME]],TEX_H[[NAME]:['#]],2,0)</f>
        <v>0.28125</v>
      </c>
      <c r="E180" s="72">
        <f>VLOOKUP(Table106[[#This Row],[NAME]],TEX_H[[NAME]:['#]],3,0)</f>
        <v>0.3235294117647059</v>
      </c>
      <c r="F180" s="72">
        <f>VLOOKUP(Table106[[#This Row],[NAME]],TEX_H[[NAME]:['#]],4,0)</f>
        <v>0.34375</v>
      </c>
      <c r="G180" s="77">
        <f>VLOOKUP(Table106[[#This Row],[NAME]],TEX_H[[NAME]:['#]],5,0)</f>
        <v>9</v>
      </c>
      <c r="H180" s="28">
        <f>VLOOKUP(Table106[[#This Row],[NAME]],TEX_H[[NAME]:['#]],6,0)</f>
        <v>32</v>
      </c>
      <c r="I180" s="28">
        <f>VLOOKUP(Table106[[#This Row],[NAME]],TEX_H[[NAME]:['#]],7,0)</f>
        <v>4</v>
      </c>
      <c r="J180" s="28">
        <f>VLOOKUP(Table106[[#This Row],[NAME]],TEX_H[[NAME]:['#]],8,0)</f>
        <v>9</v>
      </c>
      <c r="K180" s="28">
        <f>VLOOKUP(Table106[[#This Row],[NAME]],TEX_H[[NAME]:['#]],9,0)</f>
        <v>2</v>
      </c>
      <c r="L180" s="28">
        <f>VLOOKUP(Table106[[#This Row],[NAME]],TEX_H[[NAME]:['#]],10,0)</f>
        <v>0</v>
      </c>
      <c r="M180" s="28">
        <f>VLOOKUP(Table106[[#This Row],[NAME]],TEX_H[[NAME]:['#]],11,0)</f>
        <v>0</v>
      </c>
      <c r="N180" s="28">
        <f>VLOOKUP(Table106[[#This Row],[NAME]],TEX_H[[NAME]:['#]],12,0)</f>
        <v>0</v>
      </c>
      <c r="O180" s="28">
        <f>VLOOKUP(Table106[[#This Row],[NAME]],TEX_H[[NAME]:['#]],13,0)</f>
        <v>2</v>
      </c>
      <c r="P180" s="28">
        <f>VLOOKUP(Table106[[#This Row],[NAME]],TEX_H[[NAME]:['#]],14,0)</f>
        <v>11</v>
      </c>
      <c r="Q180" s="77">
        <f>VLOOKUP(Table106[[#This Row],[NAME]],TEX_H[[NAME]:['#]],15,0)</f>
        <v>0</v>
      </c>
      <c r="R180" s="28">
        <f>VLOOKUP(Table106[[#This Row],[NAME]],TEX_H[[NAME]:['#]],16,0)</f>
        <v>6</v>
      </c>
      <c r="S180" s="28">
        <f>VLOOKUP(Table106[[#This Row],[NAME]],TEX_H[[NAME]:['#]],17,0)</f>
        <v>6</v>
      </c>
      <c r="T180" s="77">
        <f>VLOOKUP(Table106[[#This Row],[NAME]],TEX_H[[NAME]:['#]],18,0)</f>
        <v>11</v>
      </c>
      <c r="U180" s="72">
        <f>VLOOKUP(Table106[[#This Row],[NAME]],TEX_H[[NAME]:['#]],19,0)</f>
        <v>0.66727941176470584</v>
      </c>
      <c r="V180" s="28">
        <f>VLOOKUP(Table106[[#This Row],[NAME]],TEX_H[[NAME]:['#]],20,0)</f>
        <v>0</v>
      </c>
      <c r="W180" s="75">
        <v>178</v>
      </c>
      <c r="Z180" s="101" t="s">
        <v>650</v>
      </c>
      <c r="AA180" s="77" t="s">
        <v>179</v>
      </c>
      <c r="AB180" s="77" t="s">
        <v>661</v>
      </c>
      <c r="AC180" s="130">
        <v>0.35714285714285715</v>
      </c>
      <c r="AD180" s="72">
        <v>0.47058823529411764</v>
      </c>
      <c r="AE180" s="72">
        <v>0.42857142857142855</v>
      </c>
      <c r="AF180" s="77">
        <v>5</v>
      </c>
      <c r="AG180" s="28">
        <v>14</v>
      </c>
      <c r="AH180" s="28">
        <v>0</v>
      </c>
      <c r="AI180" s="28">
        <v>5</v>
      </c>
      <c r="AJ180" s="28">
        <v>1</v>
      </c>
      <c r="AK180" s="28">
        <v>0</v>
      </c>
      <c r="AL180" s="28">
        <v>0</v>
      </c>
      <c r="AM180" s="28">
        <v>2</v>
      </c>
      <c r="AN180" s="28">
        <v>3</v>
      </c>
      <c r="AO180" s="28">
        <v>2</v>
      </c>
      <c r="AP180" s="77">
        <v>0</v>
      </c>
      <c r="AQ180" s="28">
        <v>2</v>
      </c>
      <c r="AR180" s="28">
        <v>2</v>
      </c>
      <c r="AS180" s="77">
        <v>6</v>
      </c>
      <c r="AT180" s="72">
        <v>0.89915966386554613</v>
      </c>
      <c r="AU180" s="28">
        <v>1</v>
      </c>
      <c r="AV180" s="75">
        <v>178</v>
      </c>
      <c r="AY180" s="101" t="s">
        <v>650</v>
      </c>
      <c r="AZ180" s="77" t="s">
        <v>308</v>
      </c>
      <c r="BA180" s="77" t="s">
        <v>663</v>
      </c>
      <c r="BB180" s="130">
        <v>0.22641509433962265</v>
      </c>
      <c r="BC180" s="72">
        <v>0.36923076923076925</v>
      </c>
      <c r="BD180" s="72">
        <v>0.45283018867924529</v>
      </c>
      <c r="BE180" s="77">
        <v>18</v>
      </c>
      <c r="BF180" s="28">
        <v>53</v>
      </c>
      <c r="BG180" s="28">
        <v>11</v>
      </c>
      <c r="BH180" s="28">
        <v>12</v>
      </c>
      <c r="BI180" s="28">
        <v>6</v>
      </c>
      <c r="BJ180" s="28">
        <v>0</v>
      </c>
      <c r="BK180" s="28">
        <v>2</v>
      </c>
      <c r="BL180" s="28">
        <v>5</v>
      </c>
      <c r="BM180" s="28">
        <v>12</v>
      </c>
      <c r="BN180" s="28">
        <v>17</v>
      </c>
      <c r="BO180" s="77">
        <v>0</v>
      </c>
      <c r="BP180" s="28">
        <v>0</v>
      </c>
      <c r="BQ180" s="28">
        <v>2</v>
      </c>
      <c r="BR180" s="77">
        <v>24</v>
      </c>
      <c r="BS180" s="72">
        <v>0.82206095791001454</v>
      </c>
      <c r="BT180" s="28">
        <v>0</v>
      </c>
      <c r="BU180" s="75">
        <v>178</v>
      </c>
    </row>
    <row r="181" spans="1:73">
      <c r="A181" s="101" t="s">
        <v>650</v>
      </c>
      <c r="B181" s="71" t="s">
        <v>187</v>
      </c>
      <c r="C181" s="71" t="s">
        <v>665</v>
      </c>
      <c r="D181" s="72">
        <f>VLOOKUP(Table106[[#This Row],[NAME]],TEX_H[[NAME]:['#]],2,0)</f>
        <v>0.37777777777777777</v>
      </c>
      <c r="E181" s="72">
        <f>VLOOKUP(Table106[[#This Row],[NAME]],TEX_H[[NAME]:['#]],3,0)</f>
        <v>0.40425531914893614</v>
      </c>
      <c r="F181" s="72">
        <f>VLOOKUP(Table106[[#This Row],[NAME]],TEX_H[[NAME]:['#]],4,0)</f>
        <v>0.57777777777777772</v>
      </c>
      <c r="G181" s="77">
        <f>VLOOKUP(Table106[[#This Row],[NAME]],TEX_H[[NAME]:['#]],5,0)</f>
        <v>12</v>
      </c>
      <c r="H181" s="28">
        <f>VLOOKUP(Table106[[#This Row],[NAME]],TEX_H[[NAME]:['#]],6,0)</f>
        <v>45</v>
      </c>
      <c r="I181" s="28">
        <f>VLOOKUP(Table106[[#This Row],[NAME]],TEX_H[[NAME]:['#]],7,0)</f>
        <v>7</v>
      </c>
      <c r="J181" s="28">
        <f>VLOOKUP(Table106[[#This Row],[NAME]],TEX_H[[NAME]:['#]],8,0)</f>
        <v>17</v>
      </c>
      <c r="K181" s="28">
        <f>VLOOKUP(Table106[[#This Row],[NAME]],TEX_H[[NAME]:['#]],9,0)</f>
        <v>0</v>
      </c>
      <c r="L181" s="28">
        <f>VLOOKUP(Table106[[#This Row],[NAME]],TEX_H[[NAME]:['#]],10,0)</f>
        <v>0</v>
      </c>
      <c r="M181" s="28">
        <f>VLOOKUP(Table106[[#This Row],[NAME]],TEX_H[[NAME]:['#]],11,0)</f>
        <v>3</v>
      </c>
      <c r="N181" s="28">
        <f>VLOOKUP(Table106[[#This Row],[NAME]],TEX_H[[NAME]:['#]],12,0)</f>
        <v>4</v>
      </c>
      <c r="O181" s="28">
        <f>VLOOKUP(Table106[[#This Row],[NAME]],TEX_H[[NAME]:['#]],13,0)</f>
        <v>2</v>
      </c>
      <c r="P181" s="28">
        <f>VLOOKUP(Table106[[#This Row],[NAME]],TEX_H[[NAME]:['#]],14,0)</f>
        <v>7</v>
      </c>
      <c r="Q181" s="77">
        <f>VLOOKUP(Table106[[#This Row],[NAME]],TEX_H[[NAME]:['#]],15,0)</f>
        <v>0</v>
      </c>
      <c r="R181" s="28">
        <f>VLOOKUP(Table106[[#This Row],[NAME]],TEX_H[[NAME]:['#]],16,0)</f>
        <v>11</v>
      </c>
      <c r="S181" s="28">
        <f>VLOOKUP(Table106[[#This Row],[NAME]],TEX_H[[NAME]:['#]],17,0)</f>
        <v>11</v>
      </c>
      <c r="T181" s="77">
        <f>VLOOKUP(Table106[[#This Row],[NAME]],TEX_H[[NAME]:['#]],18,0)</f>
        <v>26</v>
      </c>
      <c r="U181" s="72">
        <f>VLOOKUP(Table106[[#This Row],[NAME]],TEX_H[[NAME]:['#]],19,0)</f>
        <v>0.98203309692671392</v>
      </c>
      <c r="V181" s="28">
        <f>VLOOKUP(Table106[[#This Row],[NAME]],TEX_H[[NAME]:['#]],20,0)</f>
        <v>0</v>
      </c>
      <c r="W181" s="75">
        <v>179</v>
      </c>
      <c r="Z181" s="101" t="s">
        <v>650</v>
      </c>
      <c r="AA181" s="77" t="s">
        <v>192</v>
      </c>
      <c r="AB181" s="77" t="s">
        <v>665</v>
      </c>
      <c r="AC181" s="130">
        <v>0.2</v>
      </c>
      <c r="AD181" s="72">
        <v>0.2857142857142857</v>
      </c>
      <c r="AE181" s="72">
        <v>0.4</v>
      </c>
      <c r="AF181" s="77">
        <v>7</v>
      </c>
      <c r="AG181" s="28">
        <v>25</v>
      </c>
      <c r="AH181" s="28">
        <v>2</v>
      </c>
      <c r="AI181" s="28">
        <v>5</v>
      </c>
      <c r="AJ181" s="28">
        <v>2</v>
      </c>
      <c r="AK181" s="28">
        <v>0</v>
      </c>
      <c r="AL181" s="28">
        <v>1</v>
      </c>
      <c r="AM181" s="28">
        <v>1</v>
      </c>
      <c r="AN181" s="28">
        <v>3</v>
      </c>
      <c r="AO181" s="28">
        <v>7</v>
      </c>
      <c r="AP181" s="77">
        <v>0</v>
      </c>
      <c r="AQ181" s="28">
        <v>1</v>
      </c>
      <c r="AR181" s="28">
        <v>2</v>
      </c>
      <c r="AS181" s="77">
        <v>10</v>
      </c>
      <c r="AT181" s="72">
        <v>0.68571428571428572</v>
      </c>
      <c r="AU181" s="28">
        <v>0</v>
      </c>
      <c r="AV181" s="75">
        <v>179</v>
      </c>
      <c r="AY181" s="101" t="s">
        <v>650</v>
      </c>
      <c r="AZ181" s="77" t="s">
        <v>192</v>
      </c>
      <c r="BA181" s="77" t="s">
        <v>668</v>
      </c>
      <c r="BB181" s="130">
        <v>0.125</v>
      </c>
      <c r="BC181" s="72">
        <v>0.16</v>
      </c>
      <c r="BD181" s="72">
        <v>0.125</v>
      </c>
      <c r="BE181" s="77">
        <v>8</v>
      </c>
      <c r="BF181" s="28">
        <v>24</v>
      </c>
      <c r="BG181" s="28">
        <v>1</v>
      </c>
      <c r="BH181" s="28">
        <v>3</v>
      </c>
      <c r="BI181" s="28">
        <v>0</v>
      </c>
      <c r="BJ181" s="28">
        <v>0</v>
      </c>
      <c r="BK181" s="28">
        <v>0</v>
      </c>
      <c r="BL181" s="28">
        <v>0</v>
      </c>
      <c r="BM181" s="28">
        <v>1</v>
      </c>
      <c r="BN181" s="28">
        <v>9</v>
      </c>
      <c r="BO181" s="77">
        <v>0</v>
      </c>
      <c r="BP181" s="28">
        <v>2</v>
      </c>
      <c r="BQ181" s="28">
        <v>2</v>
      </c>
      <c r="BR181" s="77">
        <v>3</v>
      </c>
      <c r="BS181" s="72">
        <v>0.28500000000000003</v>
      </c>
      <c r="BT181" s="28">
        <v>0</v>
      </c>
      <c r="BU181" s="75">
        <v>179</v>
      </c>
    </row>
    <row r="182" spans="1:73">
      <c r="A182" s="101" t="s">
        <v>650</v>
      </c>
      <c r="B182" s="71" t="s">
        <v>187</v>
      </c>
      <c r="C182" s="71" t="s">
        <v>662</v>
      </c>
      <c r="D182" s="72">
        <f>VLOOKUP(Table106[[#This Row],[NAME]],TEX_H[[NAME]:['#]],2,0)</f>
        <v>0.27397260273972601</v>
      </c>
      <c r="E182" s="72">
        <f>VLOOKUP(Table106[[#This Row],[NAME]],TEX_H[[NAME]:['#]],3,0)</f>
        <v>0.30263157894736842</v>
      </c>
      <c r="F182" s="72">
        <f>VLOOKUP(Table106[[#This Row],[NAME]],TEX_H[[NAME]:['#]],4,0)</f>
        <v>0.38356164383561642</v>
      </c>
      <c r="G182" s="77">
        <f>VLOOKUP(Table106[[#This Row],[NAME]],TEX_H[[NAME]:['#]],5,0)</f>
        <v>19</v>
      </c>
      <c r="H182" s="28">
        <f>VLOOKUP(Table106[[#This Row],[NAME]],TEX_H[[NAME]:['#]],6,0)</f>
        <v>73</v>
      </c>
      <c r="I182" s="28">
        <f>VLOOKUP(Table106[[#This Row],[NAME]],TEX_H[[NAME]:['#]],7,0)</f>
        <v>6</v>
      </c>
      <c r="J182" s="28">
        <f>VLOOKUP(Table106[[#This Row],[NAME]],TEX_H[[NAME]:['#]],8,0)</f>
        <v>20</v>
      </c>
      <c r="K182" s="28">
        <f>VLOOKUP(Table106[[#This Row],[NAME]],TEX_H[[NAME]:['#]],9,0)</f>
        <v>2</v>
      </c>
      <c r="L182" s="28">
        <f>VLOOKUP(Table106[[#This Row],[NAME]],TEX_H[[NAME]:['#]],10,0)</f>
        <v>0</v>
      </c>
      <c r="M182" s="28">
        <f>VLOOKUP(Table106[[#This Row],[NAME]],TEX_H[[NAME]:['#]],11,0)</f>
        <v>2</v>
      </c>
      <c r="N182" s="28">
        <f>VLOOKUP(Table106[[#This Row],[NAME]],TEX_H[[NAME]:['#]],12,0)</f>
        <v>9</v>
      </c>
      <c r="O182" s="28">
        <f>VLOOKUP(Table106[[#This Row],[NAME]],TEX_H[[NAME]:['#]],13,0)</f>
        <v>3</v>
      </c>
      <c r="P182" s="28">
        <f>VLOOKUP(Table106[[#This Row],[NAME]],TEX_H[[NAME]:['#]],14,0)</f>
        <v>18</v>
      </c>
      <c r="Q182" s="77">
        <f>VLOOKUP(Table106[[#This Row],[NAME]],TEX_H[[NAME]:['#]],15,0)</f>
        <v>0</v>
      </c>
      <c r="R182" s="28">
        <f>VLOOKUP(Table106[[#This Row],[NAME]],TEX_H[[NAME]:['#]],16,0)</f>
        <v>0</v>
      </c>
      <c r="S182" s="28">
        <f>VLOOKUP(Table106[[#This Row],[NAME]],TEX_H[[NAME]:['#]],17,0)</f>
        <v>7</v>
      </c>
      <c r="T182" s="77">
        <f>VLOOKUP(Table106[[#This Row],[NAME]],TEX_H[[NAME]:['#]],18,0)</f>
        <v>28</v>
      </c>
      <c r="U182" s="72">
        <f>VLOOKUP(Table106[[#This Row],[NAME]],TEX_H[[NAME]:['#]],19,0)</f>
        <v>0.68619322278298478</v>
      </c>
      <c r="V182" s="28">
        <f>VLOOKUP(Table106[[#This Row],[NAME]],TEX_H[[NAME]:['#]],20,0)</f>
        <v>0</v>
      </c>
      <c r="W182" s="75">
        <v>180</v>
      </c>
      <c r="Z182" s="101" t="s">
        <v>650</v>
      </c>
      <c r="AA182" s="77" t="s">
        <v>187</v>
      </c>
      <c r="AB182" s="77" t="s">
        <v>662</v>
      </c>
      <c r="AC182" s="130">
        <v>0.25</v>
      </c>
      <c r="AD182" s="72">
        <v>0.25</v>
      </c>
      <c r="AE182" s="72">
        <v>0.5</v>
      </c>
      <c r="AF182" s="77">
        <v>4</v>
      </c>
      <c r="AG182" s="28">
        <v>12</v>
      </c>
      <c r="AH182" s="28">
        <v>1</v>
      </c>
      <c r="AI182" s="28">
        <v>3</v>
      </c>
      <c r="AJ182" s="28">
        <v>0</v>
      </c>
      <c r="AK182" s="28">
        <v>0</v>
      </c>
      <c r="AL182" s="28">
        <v>1</v>
      </c>
      <c r="AM182" s="28">
        <v>2</v>
      </c>
      <c r="AN182" s="28">
        <v>0</v>
      </c>
      <c r="AO182" s="28">
        <v>3</v>
      </c>
      <c r="AP182" s="77">
        <v>0</v>
      </c>
      <c r="AQ182" s="28">
        <v>3</v>
      </c>
      <c r="AR182" s="28">
        <v>3</v>
      </c>
      <c r="AS182" s="77">
        <v>6</v>
      </c>
      <c r="AT182" s="72">
        <v>0.75</v>
      </c>
      <c r="AU182" s="28">
        <v>0</v>
      </c>
      <c r="AV182" s="75">
        <v>180</v>
      </c>
      <c r="AY182" s="101" t="s">
        <v>650</v>
      </c>
      <c r="AZ182" s="77" t="s">
        <v>187</v>
      </c>
      <c r="BA182" s="77" t="s">
        <v>662</v>
      </c>
      <c r="BB182" s="130">
        <v>0.25</v>
      </c>
      <c r="BC182" s="72">
        <v>0.3</v>
      </c>
      <c r="BD182" s="72">
        <v>0.39285714285714285</v>
      </c>
      <c r="BE182" s="77">
        <v>21</v>
      </c>
      <c r="BF182" s="28">
        <v>56</v>
      </c>
      <c r="BG182" s="28">
        <v>9</v>
      </c>
      <c r="BH182" s="28">
        <v>14</v>
      </c>
      <c r="BI182" s="28">
        <v>3</v>
      </c>
      <c r="BJ182" s="28">
        <v>1</v>
      </c>
      <c r="BK182" s="28">
        <v>1</v>
      </c>
      <c r="BL182" s="28">
        <v>8</v>
      </c>
      <c r="BM182" s="28">
        <v>4</v>
      </c>
      <c r="BN182" s="28">
        <v>15</v>
      </c>
      <c r="BO182" s="77">
        <v>0</v>
      </c>
      <c r="BP182" s="28">
        <v>0</v>
      </c>
      <c r="BQ182" s="28">
        <v>2</v>
      </c>
      <c r="BR182" s="77">
        <v>22</v>
      </c>
      <c r="BS182" s="72">
        <v>0.69285714285714284</v>
      </c>
      <c r="BT182" s="28">
        <v>1</v>
      </c>
      <c r="BU182" s="75">
        <v>180</v>
      </c>
    </row>
    <row r="183" spans="1:73">
      <c r="A183" s="101" t="s">
        <v>650</v>
      </c>
      <c r="B183" s="71" t="s">
        <v>187</v>
      </c>
      <c r="C183" s="71" t="s">
        <v>660</v>
      </c>
      <c r="D183" s="72">
        <f>VLOOKUP(Table106[[#This Row],[NAME]],TEX_H[[NAME]:['#]],2,0)</f>
        <v>0.19230769230769232</v>
      </c>
      <c r="E183" s="72">
        <f>VLOOKUP(Table106[[#This Row],[NAME]],TEX_H[[NAME]:['#]],3,0)</f>
        <v>0.22222222222222221</v>
      </c>
      <c r="F183" s="72">
        <f>VLOOKUP(Table106[[#This Row],[NAME]],TEX_H[[NAME]:['#]],4,0)</f>
        <v>0.19230769230769232</v>
      </c>
      <c r="G183" s="77">
        <f>VLOOKUP(Table106[[#This Row],[NAME]],TEX_H[[NAME]:['#]],5,0)</f>
        <v>8</v>
      </c>
      <c r="H183" s="28">
        <f>VLOOKUP(Table106[[#This Row],[NAME]],TEX_H[[NAME]:['#]],6,0)</f>
        <v>26</v>
      </c>
      <c r="I183" s="28">
        <f>VLOOKUP(Table106[[#This Row],[NAME]],TEX_H[[NAME]:['#]],7,0)</f>
        <v>3</v>
      </c>
      <c r="J183" s="28">
        <f>VLOOKUP(Table106[[#This Row],[NAME]],TEX_H[[NAME]:['#]],8,0)</f>
        <v>5</v>
      </c>
      <c r="K183" s="28">
        <f>VLOOKUP(Table106[[#This Row],[NAME]],TEX_H[[NAME]:['#]],9,0)</f>
        <v>0</v>
      </c>
      <c r="L183" s="28">
        <f>VLOOKUP(Table106[[#This Row],[NAME]],TEX_H[[NAME]:['#]],10,0)</f>
        <v>0</v>
      </c>
      <c r="M183" s="28">
        <f>VLOOKUP(Table106[[#This Row],[NAME]],TEX_H[[NAME]:['#]],11,0)</f>
        <v>0</v>
      </c>
      <c r="N183" s="28">
        <f>VLOOKUP(Table106[[#This Row],[NAME]],TEX_H[[NAME]:['#]],12,0)</f>
        <v>1</v>
      </c>
      <c r="O183" s="28">
        <f>VLOOKUP(Table106[[#This Row],[NAME]],TEX_H[[NAME]:['#]],13,0)</f>
        <v>1</v>
      </c>
      <c r="P183" s="28">
        <f>VLOOKUP(Table106[[#This Row],[NAME]],TEX_H[[NAME]:['#]],14,0)</f>
        <v>7</v>
      </c>
      <c r="Q183" s="77">
        <f>VLOOKUP(Table106[[#This Row],[NAME]],TEX_H[[NAME]:['#]],15,0)</f>
        <v>0</v>
      </c>
      <c r="R183" s="28">
        <f>VLOOKUP(Table106[[#This Row],[NAME]],TEX_H[[NAME]:['#]],16,0)</f>
        <v>0</v>
      </c>
      <c r="S183" s="28">
        <f>VLOOKUP(Table106[[#This Row],[NAME]],TEX_H[[NAME]:['#]],17,0)</f>
        <v>2</v>
      </c>
      <c r="T183" s="77">
        <f>VLOOKUP(Table106[[#This Row],[NAME]],TEX_H[[NAME]:['#]],18,0)</f>
        <v>5</v>
      </c>
      <c r="U183" s="72">
        <f>VLOOKUP(Table106[[#This Row],[NAME]],TEX_H[[NAME]:['#]],19,0)</f>
        <v>0.4145299145299145</v>
      </c>
      <c r="V183" s="28">
        <f>VLOOKUP(Table106[[#This Row],[NAME]],TEX_H[[NAME]:['#]],20,0)</f>
        <v>0</v>
      </c>
      <c r="W183" s="75">
        <v>181</v>
      </c>
      <c r="Z183" s="101" t="s">
        <v>650</v>
      </c>
      <c r="AA183" s="77" t="s">
        <v>187</v>
      </c>
      <c r="AB183" s="77" t="s">
        <v>660</v>
      </c>
      <c r="AC183" s="130">
        <v>0.14285714285714285</v>
      </c>
      <c r="AD183" s="72">
        <v>0.29411764705882354</v>
      </c>
      <c r="AE183" s="72">
        <v>0.14285714285714285</v>
      </c>
      <c r="AF183" s="77">
        <v>5</v>
      </c>
      <c r="AG183" s="28">
        <v>14</v>
      </c>
      <c r="AH183" s="28">
        <v>1</v>
      </c>
      <c r="AI183" s="28">
        <v>2</v>
      </c>
      <c r="AJ183" s="28">
        <v>0</v>
      </c>
      <c r="AK183" s="28">
        <v>0</v>
      </c>
      <c r="AL183" s="28">
        <v>0</v>
      </c>
      <c r="AM183" s="28">
        <v>0</v>
      </c>
      <c r="AN183" s="28">
        <v>3</v>
      </c>
      <c r="AO183" s="28">
        <v>1</v>
      </c>
      <c r="AP183" s="77">
        <v>0</v>
      </c>
      <c r="AQ183" s="28">
        <v>1</v>
      </c>
      <c r="AR183" s="28">
        <v>1</v>
      </c>
      <c r="AS183" s="77">
        <v>2</v>
      </c>
      <c r="AT183" s="72">
        <v>0.43697478991596639</v>
      </c>
      <c r="AU183" s="28">
        <v>0</v>
      </c>
      <c r="AV183" s="75">
        <v>181</v>
      </c>
      <c r="AY183" s="101" t="s">
        <v>650</v>
      </c>
      <c r="AZ183" s="77" t="s">
        <v>186</v>
      </c>
      <c r="BA183" s="77" t="s">
        <v>667</v>
      </c>
      <c r="BB183" s="130">
        <v>0.10810810810810811</v>
      </c>
      <c r="BC183" s="72">
        <v>0.25</v>
      </c>
      <c r="BD183" s="72">
        <v>0.10810810810810811</v>
      </c>
      <c r="BE183" s="77">
        <v>11</v>
      </c>
      <c r="BF183" s="28">
        <v>37</v>
      </c>
      <c r="BG183" s="28">
        <v>2</v>
      </c>
      <c r="BH183" s="28">
        <v>4</v>
      </c>
      <c r="BI183" s="28">
        <v>0</v>
      </c>
      <c r="BJ183" s="28">
        <v>0</v>
      </c>
      <c r="BK183" s="28">
        <v>0</v>
      </c>
      <c r="BL183" s="28">
        <v>0</v>
      </c>
      <c r="BM183" s="28">
        <v>7</v>
      </c>
      <c r="BN183" s="28">
        <v>12</v>
      </c>
      <c r="BO183" s="77">
        <v>0</v>
      </c>
      <c r="BP183" s="28">
        <v>0</v>
      </c>
      <c r="BQ183" s="28">
        <v>2</v>
      </c>
      <c r="BR183" s="77">
        <v>4</v>
      </c>
      <c r="BS183" s="72">
        <v>0.35810810810810811</v>
      </c>
      <c r="BT183" s="28">
        <v>0</v>
      </c>
      <c r="BU183" s="75">
        <v>181</v>
      </c>
    </row>
    <row r="184" spans="1:73">
      <c r="A184" s="101" t="s">
        <v>650</v>
      </c>
      <c r="B184" s="71" t="s">
        <v>186</v>
      </c>
      <c r="C184" s="71" t="s">
        <v>664</v>
      </c>
      <c r="D184" s="72">
        <f>VLOOKUP(Table106[[#This Row],[NAME]],TEX_H[[NAME]:['#]],2,0)</f>
        <v>0.41860465116279072</v>
      </c>
      <c r="E184" s="72">
        <f>VLOOKUP(Table106[[#This Row],[NAME]],TEX_H[[NAME]:['#]],3,0)</f>
        <v>0.44444444444444442</v>
      </c>
      <c r="F184" s="72">
        <f>VLOOKUP(Table106[[#This Row],[NAME]],TEX_H[[NAME]:['#]],4,0)</f>
        <v>0.65116279069767447</v>
      </c>
      <c r="G184" s="77">
        <f>VLOOKUP(Table106[[#This Row],[NAME]],TEX_H[[NAME]:['#]],5,0)</f>
        <v>12</v>
      </c>
      <c r="H184" s="28">
        <f>VLOOKUP(Table106[[#This Row],[NAME]],TEX_H[[NAME]:['#]],6,0)</f>
        <v>43</v>
      </c>
      <c r="I184" s="28">
        <f>VLOOKUP(Table106[[#This Row],[NAME]],TEX_H[[NAME]:['#]],7,0)</f>
        <v>8</v>
      </c>
      <c r="J184" s="28">
        <f>VLOOKUP(Table106[[#This Row],[NAME]],TEX_H[[NAME]:['#]],8,0)</f>
        <v>18</v>
      </c>
      <c r="K184" s="28">
        <f>VLOOKUP(Table106[[#This Row],[NAME]],TEX_H[[NAME]:['#]],9,0)</f>
        <v>5</v>
      </c>
      <c r="L184" s="28">
        <f>VLOOKUP(Table106[[#This Row],[NAME]],TEX_H[[NAME]:['#]],10,0)</f>
        <v>1</v>
      </c>
      <c r="M184" s="28">
        <f>VLOOKUP(Table106[[#This Row],[NAME]],TEX_H[[NAME]:['#]],11,0)</f>
        <v>1</v>
      </c>
      <c r="N184" s="28">
        <f>VLOOKUP(Table106[[#This Row],[NAME]],TEX_H[[NAME]:['#]],12,0)</f>
        <v>4</v>
      </c>
      <c r="O184" s="28">
        <f>VLOOKUP(Table106[[#This Row],[NAME]],TEX_H[[NAME]:['#]],13,0)</f>
        <v>2</v>
      </c>
      <c r="P184" s="28">
        <f>VLOOKUP(Table106[[#This Row],[NAME]],TEX_H[[NAME]:['#]],14,0)</f>
        <v>10</v>
      </c>
      <c r="Q184" s="77">
        <f>VLOOKUP(Table106[[#This Row],[NAME]],TEX_H[[NAME]:['#]],15,0)</f>
        <v>4</v>
      </c>
      <c r="R184" s="28">
        <f>VLOOKUP(Table106[[#This Row],[NAME]],TEX_H[[NAME]:['#]],16,0)</f>
        <v>8</v>
      </c>
      <c r="S184" s="28">
        <f>VLOOKUP(Table106[[#This Row],[NAME]],TEX_H[[NAME]:['#]],17,0)</f>
        <v>8</v>
      </c>
      <c r="T184" s="77">
        <f>VLOOKUP(Table106[[#This Row],[NAME]],TEX_H[[NAME]:['#]],18,0)</f>
        <v>28</v>
      </c>
      <c r="U184" s="72">
        <f>VLOOKUP(Table106[[#This Row],[NAME]],TEX_H[[NAME]:['#]],19,0)</f>
        <v>1.0956072351421189</v>
      </c>
      <c r="V184" s="28">
        <f>VLOOKUP(Table106[[#This Row],[NAME]],TEX_H[[NAME]:['#]],20,0)</f>
        <v>0</v>
      </c>
      <c r="W184" s="75">
        <v>182</v>
      </c>
      <c r="Z184" s="101" t="s">
        <v>650</v>
      </c>
      <c r="AA184" s="77" t="s">
        <v>186</v>
      </c>
      <c r="AB184" s="77" t="s">
        <v>664</v>
      </c>
      <c r="AC184" s="130">
        <v>0.13043478260869565</v>
      </c>
      <c r="AD184" s="72">
        <v>0.13043478260869565</v>
      </c>
      <c r="AE184" s="72">
        <v>0.17391304347826086</v>
      </c>
      <c r="AF184" s="77">
        <v>7</v>
      </c>
      <c r="AG184" s="28">
        <v>23</v>
      </c>
      <c r="AH184" s="28">
        <v>0</v>
      </c>
      <c r="AI184" s="28">
        <v>3</v>
      </c>
      <c r="AJ184" s="28">
        <v>1</v>
      </c>
      <c r="AK184" s="28">
        <v>0</v>
      </c>
      <c r="AL184" s="28">
        <v>0</v>
      </c>
      <c r="AM184" s="28">
        <v>1</v>
      </c>
      <c r="AN184" s="28">
        <v>0</v>
      </c>
      <c r="AO184" s="28">
        <v>10</v>
      </c>
      <c r="AP184" s="77">
        <v>0</v>
      </c>
      <c r="AQ184" s="28">
        <v>2</v>
      </c>
      <c r="AR184" s="28">
        <v>2</v>
      </c>
      <c r="AS184" s="77">
        <v>4</v>
      </c>
      <c r="AT184" s="72">
        <v>0.30434782608695654</v>
      </c>
      <c r="AU184" s="28">
        <v>0</v>
      </c>
      <c r="AV184" s="75">
        <v>182</v>
      </c>
      <c r="AY184" s="101" t="s">
        <v>650</v>
      </c>
      <c r="AZ184" s="77" t="s">
        <v>184</v>
      </c>
      <c r="BA184" s="77" t="s">
        <v>664</v>
      </c>
      <c r="BB184" s="130">
        <v>0.47058823529411764</v>
      </c>
      <c r="BC184" s="72">
        <v>0.52631578947368418</v>
      </c>
      <c r="BD184" s="72">
        <v>0.70588235294117652</v>
      </c>
      <c r="BE184" s="77">
        <v>4</v>
      </c>
      <c r="BF184" s="28">
        <v>17</v>
      </c>
      <c r="BG184" s="28">
        <v>4</v>
      </c>
      <c r="BH184" s="28">
        <v>8</v>
      </c>
      <c r="BI184" s="28">
        <v>1</v>
      </c>
      <c r="BJ184" s="28">
        <v>0</v>
      </c>
      <c r="BK184" s="28">
        <v>1</v>
      </c>
      <c r="BL184" s="28">
        <v>1</v>
      </c>
      <c r="BM184" s="28">
        <v>2</v>
      </c>
      <c r="BN184" s="28">
        <v>2</v>
      </c>
      <c r="BO184" s="77">
        <v>0</v>
      </c>
      <c r="BP184" s="28">
        <v>4</v>
      </c>
      <c r="BQ184" s="28">
        <v>4</v>
      </c>
      <c r="BR184" s="77">
        <v>12</v>
      </c>
      <c r="BS184" s="72">
        <v>1.2321981424148607</v>
      </c>
      <c r="BT184" s="28">
        <v>0</v>
      </c>
      <c r="BU184" s="75">
        <v>182</v>
      </c>
    </row>
    <row r="185" spans="1:73">
      <c r="A185" s="101" t="s">
        <v>685</v>
      </c>
      <c r="B185" s="345" t="s">
        <v>179</v>
      </c>
      <c r="C185" s="71" t="s">
        <v>689</v>
      </c>
      <c r="D185" s="72">
        <f>VLOOKUP(Table106[[#This Row],[NAME]],LAA_H[[NAME]:['#]],2,0)</f>
        <v>0.25827814569536423</v>
      </c>
      <c r="E185" s="72">
        <f>VLOOKUP(Table106[[#This Row],[NAME]],LAA_H[[NAME]:['#]],3,0)</f>
        <v>0.30434782608695654</v>
      </c>
      <c r="F185" s="72">
        <f>VLOOKUP(Table106[[#This Row],[NAME]],LAA_H[[NAME]:['#]],4,0)</f>
        <v>0.57615894039735094</v>
      </c>
      <c r="G185" s="77">
        <f>VLOOKUP(Table106[[#This Row],[NAME]],LAA_H[[NAME]:['#]],5,0)</f>
        <v>40</v>
      </c>
      <c r="H185" s="28">
        <f>VLOOKUP(Table106[[#This Row],[NAME]],LAA_H[[NAME]:['#]],6,0)</f>
        <v>151</v>
      </c>
      <c r="I185" s="28">
        <f>VLOOKUP(Table106[[#This Row],[NAME]],LAA_H[[NAME]:['#]],7,0)</f>
        <v>24</v>
      </c>
      <c r="J185" s="28">
        <f>VLOOKUP(Table106[[#This Row],[NAME]],LAA_H[[NAME]:['#]],8,0)</f>
        <v>39</v>
      </c>
      <c r="K185" s="28">
        <f>VLOOKUP(Table106[[#This Row],[NAME]],LAA_H[[NAME]:['#]],9,0)</f>
        <v>3</v>
      </c>
      <c r="L185" s="28">
        <f>VLOOKUP(Table106[[#This Row],[NAME]],LAA_H[[NAME]:['#]],10,0)</f>
        <v>0</v>
      </c>
      <c r="M185" s="76">
        <f>VLOOKUP(Table106[[#This Row],[NAME]],LAA_H[[NAME]:['#]],11,0)</f>
        <v>15</v>
      </c>
      <c r="N185" s="28">
        <f>VLOOKUP(Table106[[#This Row],[NAME]],LAA_H[[NAME]:['#]],12,0)</f>
        <v>21</v>
      </c>
      <c r="O185" s="28">
        <f>VLOOKUP(Table106[[#This Row],[NAME]],LAA_H[[NAME]:['#]],13,0)</f>
        <v>10</v>
      </c>
      <c r="P185" s="28">
        <f>VLOOKUP(Table106[[#This Row],[NAME]],LAA_H[[NAME]:['#]],14,0)</f>
        <v>52</v>
      </c>
      <c r="Q185" s="77">
        <f>VLOOKUP(Table106[[#This Row],[NAME]],LAA_H[[NAME]:['#]],15,0)</f>
        <v>0</v>
      </c>
      <c r="R185" s="28">
        <f>VLOOKUP(Table106[[#This Row],[NAME]],LAA_H[[NAME]:['#]],16,0)</f>
        <v>0</v>
      </c>
      <c r="S185" s="28">
        <f>VLOOKUP(Table106[[#This Row],[NAME]],LAA_H[[NAME]:['#]],17,0)</f>
        <v>4</v>
      </c>
      <c r="T185" s="77">
        <f>VLOOKUP(Table106[[#This Row],[NAME]],LAA_H[[NAME]:['#]],18,0)</f>
        <v>87</v>
      </c>
      <c r="U185" s="72">
        <f>VLOOKUP(Table106[[#This Row],[NAME]],LAA_H[[NAME]:['#]],19,0)</f>
        <v>0.88050676648430748</v>
      </c>
      <c r="V185" s="28">
        <f>VLOOKUP(Table106[[#This Row],[NAME]],LAA_H[[NAME]:['#]],20,0)</f>
        <v>1</v>
      </c>
      <c r="W185" s="75">
        <v>183</v>
      </c>
      <c r="Z185" s="101" t="s">
        <v>685</v>
      </c>
      <c r="AA185" s="77" t="s">
        <v>308</v>
      </c>
      <c r="AB185" s="77" t="s">
        <v>689</v>
      </c>
      <c r="AC185" s="130">
        <v>0.16326530612244897</v>
      </c>
      <c r="AD185" s="72">
        <v>0.21656050955414013</v>
      </c>
      <c r="AE185" s="72">
        <v>0.25850340136054423</v>
      </c>
      <c r="AF185" s="77">
        <v>40</v>
      </c>
      <c r="AG185" s="28">
        <v>147</v>
      </c>
      <c r="AH185" s="28">
        <v>12</v>
      </c>
      <c r="AI185" s="28">
        <v>24</v>
      </c>
      <c r="AJ185" s="28">
        <v>2</v>
      </c>
      <c r="AK185" s="28">
        <v>0</v>
      </c>
      <c r="AL185" s="28">
        <v>4</v>
      </c>
      <c r="AM185" s="28">
        <v>11</v>
      </c>
      <c r="AN185" s="28">
        <v>10</v>
      </c>
      <c r="AO185" s="28">
        <v>43</v>
      </c>
      <c r="AP185" s="77">
        <v>0</v>
      </c>
      <c r="AQ185" s="28">
        <v>4</v>
      </c>
      <c r="AR185" s="28">
        <v>4</v>
      </c>
      <c r="AS185" s="77">
        <v>38</v>
      </c>
      <c r="AT185" s="72">
        <v>0.47506391091468436</v>
      </c>
      <c r="AU185" s="28">
        <v>1</v>
      </c>
      <c r="AV185" s="75">
        <v>183</v>
      </c>
      <c r="AY185" s="101" t="s">
        <v>685</v>
      </c>
      <c r="AZ185" s="77" t="s">
        <v>179</v>
      </c>
      <c r="BA185" s="77" t="s">
        <v>695</v>
      </c>
      <c r="BB185" s="130">
        <v>0.18518518518518517</v>
      </c>
      <c r="BC185" s="72">
        <v>0.29487179487179488</v>
      </c>
      <c r="BD185" s="72">
        <v>0.37037037037037035</v>
      </c>
      <c r="BE185" s="77">
        <v>40</v>
      </c>
      <c r="BF185" s="28">
        <v>135</v>
      </c>
      <c r="BG185" s="28">
        <v>14</v>
      </c>
      <c r="BH185" s="28">
        <v>25</v>
      </c>
      <c r="BI185" s="28">
        <v>4</v>
      </c>
      <c r="BJ185" s="28">
        <v>0</v>
      </c>
      <c r="BK185" s="28">
        <v>7</v>
      </c>
      <c r="BL185" s="28">
        <v>20</v>
      </c>
      <c r="BM185" s="28">
        <v>21</v>
      </c>
      <c r="BN185" s="28">
        <v>42</v>
      </c>
      <c r="BO185" s="77">
        <v>0</v>
      </c>
      <c r="BP185" s="28">
        <v>0</v>
      </c>
      <c r="BQ185" s="28">
        <v>4</v>
      </c>
      <c r="BR185" s="77">
        <v>50</v>
      </c>
      <c r="BS185" s="72">
        <v>0.66524216524216517</v>
      </c>
      <c r="BT185" s="28">
        <v>2</v>
      </c>
      <c r="BU185" s="75">
        <v>183</v>
      </c>
    </row>
    <row r="186" spans="1:73">
      <c r="A186" s="101" t="s">
        <v>685</v>
      </c>
      <c r="B186" s="71" t="s">
        <v>154</v>
      </c>
      <c r="C186" s="71" t="s">
        <v>690</v>
      </c>
      <c r="D186" s="72">
        <f>VLOOKUP(Table106[[#This Row],[NAME]],LAA_H[[NAME]:['#]],2,0)</f>
        <v>0.25</v>
      </c>
      <c r="E186" s="72">
        <f>VLOOKUP(Table106[[#This Row],[NAME]],LAA_H[[NAME]:['#]],3,0)</f>
        <v>0.32317073170731708</v>
      </c>
      <c r="F186" s="72">
        <f>VLOOKUP(Table106[[#This Row],[NAME]],LAA_H[[NAME]:['#]],4,0)</f>
        <v>0.38513513513513514</v>
      </c>
      <c r="G186" s="77">
        <f>VLOOKUP(Table106[[#This Row],[NAME]],LAA_H[[NAME]:['#]],5,0)</f>
        <v>39</v>
      </c>
      <c r="H186" s="28">
        <f>VLOOKUP(Table106[[#This Row],[NAME]],LAA_H[[NAME]:['#]],6,0)</f>
        <v>148</v>
      </c>
      <c r="I186" s="28">
        <f>VLOOKUP(Table106[[#This Row],[NAME]],LAA_H[[NAME]:['#]],7,0)</f>
        <v>13</v>
      </c>
      <c r="J186" s="28">
        <f>VLOOKUP(Table106[[#This Row],[NAME]],LAA_H[[NAME]:['#]],8,0)</f>
        <v>37</v>
      </c>
      <c r="K186" s="28">
        <f>VLOOKUP(Table106[[#This Row],[NAME]],LAA_H[[NAME]:['#]],9,0)</f>
        <v>8</v>
      </c>
      <c r="L186" s="28">
        <f>VLOOKUP(Table106[[#This Row],[NAME]],LAA_H[[NAME]:['#]],10,0)</f>
        <v>0</v>
      </c>
      <c r="M186" s="28">
        <f>VLOOKUP(Table106[[#This Row],[NAME]],LAA_H[[NAME]:['#]],11,0)</f>
        <v>4</v>
      </c>
      <c r="N186" s="28">
        <f>VLOOKUP(Table106[[#This Row],[NAME]],LAA_H[[NAME]:['#]],12,0)</f>
        <v>21</v>
      </c>
      <c r="O186" s="28">
        <f>VLOOKUP(Table106[[#This Row],[NAME]],LAA_H[[NAME]:['#]],13,0)</f>
        <v>16</v>
      </c>
      <c r="P186" s="28">
        <f>VLOOKUP(Table106[[#This Row],[NAME]],LAA_H[[NAME]:['#]],14,0)</f>
        <v>36</v>
      </c>
      <c r="Q186" s="77">
        <f>VLOOKUP(Table106[[#This Row],[NAME]],LAA_H[[NAME]:['#]],15,0)</f>
        <v>0</v>
      </c>
      <c r="R186" s="28">
        <f>VLOOKUP(Table106[[#This Row],[NAME]],LAA_H[[NAME]:['#]],16,0)</f>
        <v>14</v>
      </c>
      <c r="S186" s="28">
        <f>VLOOKUP(Table106[[#This Row],[NAME]],LAA_H[[NAME]:['#]],17,0)</f>
        <v>14</v>
      </c>
      <c r="T186" s="77">
        <f>VLOOKUP(Table106[[#This Row],[NAME]],LAA_H[[NAME]:['#]],18,0)</f>
        <v>57</v>
      </c>
      <c r="U186" s="72">
        <f>VLOOKUP(Table106[[#This Row],[NAME]],LAA_H[[NAME]:['#]],19,0)</f>
        <v>0.70830586684245223</v>
      </c>
      <c r="V186" s="28">
        <f>VLOOKUP(Table106[[#This Row],[NAME]],LAA_H[[NAME]:['#]],20,0)</f>
        <v>2</v>
      </c>
      <c r="W186" s="75">
        <v>184</v>
      </c>
      <c r="Z186" s="101" t="s">
        <v>685</v>
      </c>
      <c r="AA186" s="77" t="s">
        <v>154</v>
      </c>
      <c r="AB186" s="77" t="s">
        <v>690</v>
      </c>
      <c r="AC186" s="130">
        <v>0.2389937106918239</v>
      </c>
      <c r="AD186" s="72">
        <v>0.27108433734939757</v>
      </c>
      <c r="AE186" s="72">
        <v>0.40251572327044027</v>
      </c>
      <c r="AF186" s="77">
        <v>40</v>
      </c>
      <c r="AG186" s="28">
        <v>159</v>
      </c>
      <c r="AH186" s="28">
        <v>13</v>
      </c>
      <c r="AI186" s="28">
        <v>38</v>
      </c>
      <c r="AJ186" s="28">
        <v>12</v>
      </c>
      <c r="AK186" s="28">
        <v>1</v>
      </c>
      <c r="AL186" s="28">
        <v>4</v>
      </c>
      <c r="AM186" s="28">
        <v>12</v>
      </c>
      <c r="AN186" s="28">
        <v>7</v>
      </c>
      <c r="AO186" s="28">
        <v>40</v>
      </c>
      <c r="AP186" s="77">
        <v>0</v>
      </c>
      <c r="AQ186" s="28">
        <v>0</v>
      </c>
      <c r="AR186" s="28">
        <v>8</v>
      </c>
      <c r="AS186" s="77">
        <v>64</v>
      </c>
      <c r="AT186" s="72">
        <v>0.67360006061983779</v>
      </c>
      <c r="AU186" s="28">
        <v>2</v>
      </c>
      <c r="AV186" s="75">
        <v>184</v>
      </c>
      <c r="AY186" s="101" t="s">
        <v>685</v>
      </c>
      <c r="AZ186" s="77" t="s">
        <v>154</v>
      </c>
      <c r="BA186" s="77" t="s">
        <v>690</v>
      </c>
      <c r="BB186" s="130">
        <v>0.26315789473684209</v>
      </c>
      <c r="BC186" s="72">
        <v>0.34502923976608185</v>
      </c>
      <c r="BD186" s="72">
        <v>0.44736842105263158</v>
      </c>
      <c r="BE186" s="77">
        <v>40</v>
      </c>
      <c r="BF186" s="28">
        <v>152</v>
      </c>
      <c r="BG186" s="28">
        <v>21</v>
      </c>
      <c r="BH186" s="28">
        <v>40</v>
      </c>
      <c r="BI186" s="28">
        <v>10</v>
      </c>
      <c r="BJ186" s="28">
        <v>0</v>
      </c>
      <c r="BK186" s="28">
        <v>6</v>
      </c>
      <c r="BL186" s="28">
        <v>21</v>
      </c>
      <c r="BM186" s="28">
        <v>19</v>
      </c>
      <c r="BN186" s="28">
        <v>28</v>
      </c>
      <c r="BO186" s="77">
        <v>0</v>
      </c>
      <c r="BP186" s="28">
        <v>3</v>
      </c>
      <c r="BQ186" s="28">
        <v>4</v>
      </c>
      <c r="BR186" s="77">
        <v>68</v>
      </c>
      <c r="BS186" s="72">
        <v>0.79239766081871343</v>
      </c>
      <c r="BT186" s="28">
        <v>3</v>
      </c>
      <c r="BU186" s="75">
        <v>184</v>
      </c>
    </row>
    <row r="187" spans="1:73">
      <c r="A187" s="101" t="s">
        <v>685</v>
      </c>
      <c r="B187" s="71" t="s">
        <v>235</v>
      </c>
      <c r="C187" s="71" t="s">
        <v>693</v>
      </c>
      <c r="D187" s="72">
        <f>VLOOKUP(Table106[[#This Row],[NAME]],LAA_H[[NAME]:['#]],2,0)</f>
        <v>0.26495726495726496</v>
      </c>
      <c r="E187" s="72">
        <f>VLOOKUP(Table106[[#This Row],[NAME]],LAA_H[[NAME]:['#]],3,0)</f>
        <v>0.34351145038167941</v>
      </c>
      <c r="F187" s="72">
        <f>VLOOKUP(Table106[[#This Row],[NAME]],LAA_H[[NAME]:['#]],4,0)</f>
        <v>0.53846153846153844</v>
      </c>
      <c r="G187" s="77">
        <f>VLOOKUP(Table106[[#This Row],[NAME]],LAA_H[[NAME]:['#]],5,0)</f>
        <v>34</v>
      </c>
      <c r="H187" s="28">
        <f>VLOOKUP(Table106[[#This Row],[NAME]],LAA_H[[NAME]:['#]],6,0)</f>
        <v>117</v>
      </c>
      <c r="I187" s="28">
        <f>VLOOKUP(Table106[[#This Row],[NAME]],LAA_H[[NAME]:['#]],7,0)</f>
        <v>23</v>
      </c>
      <c r="J187" s="28">
        <f>VLOOKUP(Table106[[#This Row],[NAME]],LAA_H[[NAME]:['#]],8,0)</f>
        <v>31</v>
      </c>
      <c r="K187" s="28">
        <f>VLOOKUP(Table106[[#This Row],[NAME]],LAA_H[[NAME]:['#]],9,0)</f>
        <v>8</v>
      </c>
      <c r="L187" s="28">
        <f>VLOOKUP(Table106[[#This Row],[NAME]],LAA_H[[NAME]:['#]],10,0)</f>
        <v>0</v>
      </c>
      <c r="M187" s="28">
        <f>VLOOKUP(Table106[[#This Row],[NAME]],LAA_H[[NAME]:['#]],11,0)</f>
        <v>8</v>
      </c>
      <c r="N187" s="28">
        <f>VLOOKUP(Table106[[#This Row],[NAME]],LAA_H[[NAME]:['#]],12,0)</f>
        <v>13</v>
      </c>
      <c r="O187" s="28">
        <f>VLOOKUP(Table106[[#This Row],[NAME]],LAA_H[[NAME]:['#]],13,0)</f>
        <v>14</v>
      </c>
      <c r="P187" s="28">
        <f>VLOOKUP(Table106[[#This Row],[NAME]],LAA_H[[NAME]:['#]],14,0)</f>
        <v>27</v>
      </c>
      <c r="Q187" s="77">
        <f>VLOOKUP(Table106[[#This Row],[NAME]],LAA_H[[NAME]:['#]],15,0)</f>
        <v>0</v>
      </c>
      <c r="R187" s="28">
        <f>VLOOKUP(Table106[[#This Row],[NAME]],LAA_H[[NAME]:['#]],16,0)</f>
        <v>3</v>
      </c>
      <c r="S187" s="28">
        <f>VLOOKUP(Table106[[#This Row],[NAME]],LAA_H[[NAME]:['#]],17,0)</f>
        <v>6</v>
      </c>
      <c r="T187" s="77">
        <f>VLOOKUP(Table106[[#This Row],[NAME]],LAA_H[[NAME]:['#]],18,0)</f>
        <v>63</v>
      </c>
      <c r="U187" s="72">
        <f>VLOOKUP(Table106[[#This Row],[NAME]],LAA_H[[NAME]:['#]],19,0)</f>
        <v>0.88197298884321784</v>
      </c>
      <c r="V187" s="28">
        <f>VLOOKUP(Table106[[#This Row],[NAME]],LAA_H[[NAME]:['#]],20,0)</f>
        <v>1</v>
      </c>
      <c r="W187" s="75">
        <v>185</v>
      </c>
      <c r="Z187" s="101" t="s">
        <v>685</v>
      </c>
      <c r="AA187" s="77" t="s">
        <v>172</v>
      </c>
      <c r="AB187" s="77" t="s">
        <v>697</v>
      </c>
      <c r="AC187" s="130">
        <v>0.18181818181818182</v>
      </c>
      <c r="AD187" s="72">
        <v>0.22857142857142856</v>
      </c>
      <c r="AE187" s="72">
        <v>0.26515151515151514</v>
      </c>
      <c r="AF187" s="77">
        <v>38</v>
      </c>
      <c r="AG187" s="28">
        <v>132</v>
      </c>
      <c r="AH187" s="28">
        <v>14</v>
      </c>
      <c r="AI187" s="28">
        <v>24</v>
      </c>
      <c r="AJ187" s="28">
        <v>3</v>
      </c>
      <c r="AK187" s="28">
        <v>1</v>
      </c>
      <c r="AL187" s="28">
        <v>2</v>
      </c>
      <c r="AM187" s="28">
        <v>8</v>
      </c>
      <c r="AN187" s="28">
        <v>8</v>
      </c>
      <c r="AO187" s="28">
        <v>28</v>
      </c>
      <c r="AP187" s="77">
        <v>0</v>
      </c>
      <c r="AQ187" s="28">
        <v>1</v>
      </c>
      <c r="AR187" s="28">
        <v>2</v>
      </c>
      <c r="AS187" s="77">
        <v>35</v>
      </c>
      <c r="AT187" s="72">
        <v>0.49372294372294367</v>
      </c>
      <c r="AU187" s="28">
        <v>0</v>
      </c>
      <c r="AV187" s="75">
        <v>185</v>
      </c>
      <c r="AY187" s="101" t="s">
        <v>685</v>
      </c>
      <c r="AZ187" s="77" t="s">
        <v>172</v>
      </c>
      <c r="BA187" s="77" t="s">
        <v>697</v>
      </c>
      <c r="BB187" s="130">
        <v>0.2932330827067669</v>
      </c>
      <c r="BC187" s="72">
        <v>0.32857142857142857</v>
      </c>
      <c r="BD187" s="72">
        <v>0.37593984962406013</v>
      </c>
      <c r="BE187" s="77">
        <v>40</v>
      </c>
      <c r="BF187" s="28">
        <v>133</v>
      </c>
      <c r="BG187" s="28">
        <v>20</v>
      </c>
      <c r="BH187" s="28">
        <v>39</v>
      </c>
      <c r="BI187" s="28">
        <v>5</v>
      </c>
      <c r="BJ187" s="28">
        <v>0</v>
      </c>
      <c r="BK187" s="28">
        <v>2</v>
      </c>
      <c r="BL187" s="28">
        <v>18</v>
      </c>
      <c r="BM187" s="28">
        <v>7</v>
      </c>
      <c r="BN187" s="28">
        <v>21</v>
      </c>
      <c r="BO187" s="77">
        <v>0</v>
      </c>
      <c r="BP187" s="28">
        <v>4</v>
      </c>
      <c r="BQ187" s="28">
        <v>4</v>
      </c>
      <c r="BR187" s="77">
        <v>50</v>
      </c>
      <c r="BS187" s="72">
        <v>0.70451127819548875</v>
      </c>
      <c r="BT187" s="28">
        <v>3</v>
      </c>
      <c r="BU187" s="75">
        <v>185</v>
      </c>
    </row>
    <row r="188" spans="1:73">
      <c r="A188" s="101" t="s">
        <v>685</v>
      </c>
      <c r="B188" s="71" t="s">
        <v>311</v>
      </c>
      <c r="C188" s="71" t="s">
        <v>698</v>
      </c>
      <c r="D188" s="72">
        <f>VLOOKUP(Table106[[#This Row],[NAME]],LAA_H[[NAME]:['#]],2,0)</f>
        <v>0.24096385542168675</v>
      </c>
      <c r="E188" s="72">
        <f>VLOOKUP(Table106[[#This Row],[NAME]],LAA_H[[NAME]:['#]],3,0)</f>
        <v>0.27586206896551724</v>
      </c>
      <c r="F188" s="72">
        <f>VLOOKUP(Table106[[#This Row],[NAME]],LAA_H[[NAME]:['#]],4,0)</f>
        <v>0.43373493975903615</v>
      </c>
      <c r="G188" s="77">
        <f>VLOOKUP(Table106[[#This Row],[NAME]],LAA_H[[NAME]:['#]],5,0)</f>
        <v>23</v>
      </c>
      <c r="H188" s="28">
        <f>VLOOKUP(Table106[[#This Row],[NAME]],LAA_H[[NAME]:['#]],6,0)</f>
        <v>83</v>
      </c>
      <c r="I188" s="28">
        <f>VLOOKUP(Table106[[#This Row],[NAME]],LAA_H[[NAME]:['#]],7,0)</f>
        <v>11</v>
      </c>
      <c r="J188" s="28">
        <f>VLOOKUP(Table106[[#This Row],[NAME]],LAA_H[[NAME]:['#]],8,0)</f>
        <v>20</v>
      </c>
      <c r="K188" s="28">
        <f>VLOOKUP(Table106[[#This Row],[NAME]],LAA_H[[NAME]:['#]],9,0)</f>
        <v>1</v>
      </c>
      <c r="L188" s="28">
        <f>VLOOKUP(Table106[[#This Row],[NAME]],LAA_H[[NAME]:['#]],10,0)</f>
        <v>0</v>
      </c>
      <c r="M188" s="28">
        <f>VLOOKUP(Table106[[#This Row],[NAME]],LAA_H[[NAME]:['#]],11,0)</f>
        <v>5</v>
      </c>
      <c r="N188" s="28">
        <f>VLOOKUP(Table106[[#This Row],[NAME]],LAA_H[[NAME]:['#]],12,0)</f>
        <v>7</v>
      </c>
      <c r="O188" s="28">
        <f>VLOOKUP(Table106[[#This Row],[NAME]],LAA_H[[NAME]:['#]],13,0)</f>
        <v>4</v>
      </c>
      <c r="P188" s="28">
        <f>VLOOKUP(Table106[[#This Row],[NAME]],LAA_H[[NAME]:['#]],14,0)</f>
        <v>26</v>
      </c>
      <c r="Q188" s="77">
        <f>VLOOKUP(Table106[[#This Row],[NAME]],LAA_H[[NAME]:['#]],15,0)</f>
        <v>0</v>
      </c>
      <c r="R188" s="28">
        <f>VLOOKUP(Table106[[#This Row],[NAME]],LAA_H[[NAME]:['#]],16,0)</f>
        <v>0</v>
      </c>
      <c r="S188" s="28">
        <f>VLOOKUP(Table106[[#This Row],[NAME]],LAA_H[[NAME]:['#]],17,0)</f>
        <v>4</v>
      </c>
      <c r="T188" s="77">
        <f>VLOOKUP(Table106[[#This Row],[NAME]],LAA_H[[NAME]:['#]],18,0)</f>
        <v>36</v>
      </c>
      <c r="U188" s="72">
        <f>VLOOKUP(Table106[[#This Row],[NAME]],LAA_H[[NAME]:['#]],19,0)</f>
        <v>0.70959700872455334</v>
      </c>
      <c r="V188" s="28">
        <f>VLOOKUP(Table106[[#This Row],[NAME]],LAA_H[[NAME]:['#]],20,0)</f>
        <v>1</v>
      </c>
      <c r="W188" s="75">
        <v>186</v>
      </c>
      <c r="Z188" s="101" t="s">
        <v>685</v>
      </c>
      <c r="AA188" s="77" t="s">
        <v>153</v>
      </c>
      <c r="AB188" s="77" t="s">
        <v>696</v>
      </c>
      <c r="AC188" s="130">
        <v>0.24444444444444444</v>
      </c>
      <c r="AD188" s="72">
        <v>0.30136986301369861</v>
      </c>
      <c r="AE188" s="72">
        <v>0.2814814814814815</v>
      </c>
      <c r="AF188" s="77">
        <v>38</v>
      </c>
      <c r="AG188" s="28">
        <v>135</v>
      </c>
      <c r="AH188" s="28">
        <v>13</v>
      </c>
      <c r="AI188" s="28">
        <v>33</v>
      </c>
      <c r="AJ188" s="28">
        <v>2</v>
      </c>
      <c r="AK188" s="28">
        <v>0</v>
      </c>
      <c r="AL188" s="28">
        <v>1</v>
      </c>
      <c r="AM188" s="28">
        <v>13</v>
      </c>
      <c r="AN188" s="28">
        <v>11</v>
      </c>
      <c r="AO188" s="28">
        <v>18</v>
      </c>
      <c r="AP188" s="77">
        <v>0</v>
      </c>
      <c r="AQ188" s="28">
        <v>1</v>
      </c>
      <c r="AR188" s="28">
        <v>10</v>
      </c>
      <c r="AS188" s="77">
        <v>38</v>
      </c>
      <c r="AT188" s="72">
        <v>0.58285134449518017</v>
      </c>
      <c r="AU188" s="28">
        <v>0</v>
      </c>
      <c r="AV188" s="75">
        <v>186</v>
      </c>
      <c r="AY188" s="101" t="s">
        <v>685</v>
      </c>
      <c r="AZ188" s="77" t="s">
        <v>153</v>
      </c>
      <c r="BA188" s="77" t="s">
        <v>696</v>
      </c>
      <c r="BB188" s="130">
        <v>0.27611940298507465</v>
      </c>
      <c r="BC188" s="72">
        <v>0.3263888888888889</v>
      </c>
      <c r="BD188" s="72">
        <v>0.35820895522388058</v>
      </c>
      <c r="BE188" s="77">
        <v>37</v>
      </c>
      <c r="BF188" s="28">
        <v>134</v>
      </c>
      <c r="BG188" s="28">
        <v>15</v>
      </c>
      <c r="BH188" s="28">
        <v>37</v>
      </c>
      <c r="BI188" s="28">
        <v>6</v>
      </c>
      <c r="BJ188" s="28">
        <v>1</v>
      </c>
      <c r="BK188" s="28">
        <v>1</v>
      </c>
      <c r="BL188" s="28">
        <v>9</v>
      </c>
      <c r="BM188" s="28">
        <v>10</v>
      </c>
      <c r="BN188" s="28">
        <v>19</v>
      </c>
      <c r="BO188" s="77">
        <v>0</v>
      </c>
      <c r="BP188" s="28">
        <v>2</v>
      </c>
      <c r="BQ188" s="28">
        <v>8</v>
      </c>
      <c r="BR188" s="77">
        <v>48</v>
      </c>
      <c r="BS188" s="72">
        <v>0.68459784411276947</v>
      </c>
      <c r="BT188" s="28">
        <v>0</v>
      </c>
      <c r="BU188" s="75">
        <v>186</v>
      </c>
    </row>
    <row r="189" spans="1:73">
      <c r="A189" s="101" t="s">
        <v>685</v>
      </c>
      <c r="B189" s="71" t="s">
        <v>177</v>
      </c>
      <c r="C189" s="71" t="s">
        <v>699</v>
      </c>
      <c r="D189" s="72">
        <f>VLOOKUP(Table106[[#This Row],[NAME]],LAA_H[[NAME]:['#]],2,0)</f>
        <v>0.14814814814814814</v>
      </c>
      <c r="E189" s="72">
        <f>VLOOKUP(Table106[[#This Row],[NAME]],LAA_H[[NAME]:['#]],3,0)</f>
        <v>0.2247191011235955</v>
      </c>
      <c r="F189" s="72">
        <f>VLOOKUP(Table106[[#This Row],[NAME]],LAA_H[[NAME]:['#]],4,0)</f>
        <v>0.22222222222222221</v>
      </c>
      <c r="G189" s="77">
        <f>VLOOKUP(Table106[[#This Row],[NAME]],LAA_H[[NAME]:['#]],5,0)</f>
        <v>22</v>
      </c>
      <c r="H189" s="28">
        <f>VLOOKUP(Table106[[#This Row],[NAME]],LAA_H[[NAME]:['#]],6,0)</f>
        <v>81</v>
      </c>
      <c r="I189" s="28">
        <f>VLOOKUP(Table106[[#This Row],[NAME]],LAA_H[[NAME]:['#]],7,0)</f>
        <v>5</v>
      </c>
      <c r="J189" s="28">
        <f>VLOOKUP(Table106[[#This Row],[NAME]],LAA_H[[NAME]:['#]],8,0)</f>
        <v>12</v>
      </c>
      <c r="K189" s="28">
        <f>VLOOKUP(Table106[[#This Row],[NAME]],LAA_H[[NAME]:['#]],9,0)</f>
        <v>3</v>
      </c>
      <c r="L189" s="28">
        <f>VLOOKUP(Table106[[#This Row],[NAME]],LAA_H[[NAME]:['#]],10,0)</f>
        <v>0</v>
      </c>
      <c r="M189" s="28">
        <f>VLOOKUP(Table106[[#This Row],[NAME]],LAA_H[[NAME]:['#]],11,0)</f>
        <v>1</v>
      </c>
      <c r="N189" s="28">
        <f>VLOOKUP(Table106[[#This Row],[NAME]],LAA_H[[NAME]:['#]],12,0)</f>
        <v>5</v>
      </c>
      <c r="O189" s="28">
        <f>VLOOKUP(Table106[[#This Row],[NAME]],LAA_H[[NAME]:['#]],13,0)</f>
        <v>8</v>
      </c>
      <c r="P189" s="28">
        <f>VLOOKUP(Table106[[#This Row],[NAME]],LAA_H[[NAME]:['#]],14,0)</f>
        <v>27</v>
      </c>
      <c r="Q189" s="77">
        <f>VLOOKUP(Table106[[#This Row],[NAME]],LAA_H[[NAME]:['#]],15,0)</f>
        <v>0</v>
      </c>
      <c r="R189" s="28">
        <f>VLOOKUP(Table106[[#This Row],[NAME]],LAA_H[[NAME]:['#]],16,0)</f>
        <v>0</v>
      </c>
      <c r="S189" s="28">
        <f>VLOOKUP(Table106[[#This Row],[NAME]],LAA_H[[NAME]:['#]],17,0)</f>
        <v>3</v>
      </c>
      <c r="T189" s="77">
        <f>VLOOKUP(Table106[[#This Row],[NAME]],LAA_H[[NAME]:['#]],18,0)</f>
        <v>18</v>
      </c>
      <c r="U189" s="72">
        <f>VLOOKUP(Table106[[#This Row],[NAME]],LAA_H[[NAME]:['#]],19,0)</f>
        <v>0.44694132334581771</v>
      </c>
      <c r="V189" s="28">
        <f>VLOOKUP(Table106[[#This Row],[NAME]],LAA_H[[NAME]:['#]],20,0)</f>
        <v>0</v>
      </c>
      <c r="W189" s="75">
        <v>187</v>
      </c>
      <c r="Z189" s="101" t="s">
        <v>685</v>
      </c>
      <c r="AA189" s="77" t="s">
        <v>177</v>
      </c>
      <c r="AB189" s="77" t="s">
        <v>688</v>
      </c>
      <c r="AC189" s="130">
        <v>0.17834394904458598</v>
      </c>
      <c r="AD189" s="72">
        <v>0.23214285714285715</v>
      </c>
      <c r="AE189" s="72">
        <v>0.35668789808917195</v>
      </c>
      <c r="AF189" s="77">
        <v>39</v>
      </c>
      <c r="AG189" s="28">
        <v>157</v>
      </c>
      <c r="AH189" s="28">
        <v>18</v>
      </c>
      <c r="AI189" s="28">
        <v>28</v>
      </c>
      <c r="AJ189" s="28">
        <v>7</v>
      </c>
      <c r="AK189" s="28">
        <v>0</v>
      </c>
      <c r="AL189" s="28">
        <v>7</v>
      </c>
      <c r="AM189" s="28">
        <v>25</v>
      </c>
      <c r="AN189" s="28">
        <v>11</v>
      </c>
      <c r="AO189" s="28">
        <v>28</v>
      </c>
      <c r="AP189" s="77">
        <v>0</v>
      </c>
      <c r="AQ189" s="28">
        <v>0</v>
      </c>
      <c r="AR189" s="28">
        <v>6</v>
      </c>
      <c r="AS189" s="77">
        <v>56</v>
      </c>
      <c r="AT189" s="72">
        <v>0.5888307552320291</v>
      </c>
      <c r="AU189" s="28">
        <v>2</v>
      </c>
      <c r="AV189" s="75">
        <v>187</v>
      </c>
      <c r="AY189" s="101" t="s">
        <v>685</v>
      </c>
      <c r="AZ189" s="77" t="s">
        <v>177</v>
      </c>
      <c r="BA189" s="77" t="s">
        <v>688</v>
      </c>
      <c r="BB189" s="130">
        <v>0.3081761006289308</v>
      </c>
      <c r="BC189" s="72">
        <v>0.36046511627906974</v>
      </c>
      <c r="BD189" s="72">
        <v>0.5220125786163522</v>
      </c>
      <c r="BE189" s="77">
        <v>40</v>
      </c>
      <c r="BF189" s="28">
        <v>159</v>
      </c>
      <c r="BG189" s="28">
        <v>24</v>
      </c>
      <c r="BH189" s="28">
        <v>49</v>
      </c>
      <c r="BI189" s="28">
        <v>13</v>
      </c>
      <c r="BJ189" s="28">
        <v>0</v>
      </c>
      <c r="BK189" s="28">
        <v>7</v>
      </c>
      <c r="BL189" s="28">
        <v>30</v>
      </c>
      <c r="BM189" s="28">
        <v>13</v>
      </c>
      <c r="BN189" s="28">
        <v>18</v>
      </c>
      <c r="BO189" s="77">
        <v>0</v>
      </c>
      <c r="BP189" s="28">
        <v>4</v>
      </c>
      <c r="BQ189" s="28">
        <v>13</v>
      </c>
      <c r="BR189" s="77">
        <v>83</v>
      </c>
      <c r="BS189" s="72">
        <v>0.88247769489542194</v>
      </c>
      <c r="BT189" s="28">
        <v>3</v>
      </c>
      <c r="BU189" s="75">
        <v>187</v>
      </c>
    </row>
    <row r="190" spans="1:73">
      <c r="A190" s="101" t="s">
        <v>685</v>
      </c>
      <c r="B190" s="71" t="s">
        <v>174</v>
      </c>
      <c r="C190" s="71" t="s">
        <v>692</v>
      </c>
      <c r="D190" s="72">
        <f>VLOOKUP(Table106[[#This Row],[NAME]],LAA_H[[NAME]:['#]],2,0)</f>
        <v>0.26451612903225807</v>
      </c>
      <c r="E190" s="72">
        <f>VLOOKUP(Table106[[#This Row],[NAME]],LAA_H[[NAME]:['#]],3,0)</f>
        <v>0.32941176470588235</v>
      </c>
      <c r="F190" s="72">
        <f>VLOOKUP(Table106[[#This Row],[NAME]],LAA_H[[NAME]:['#]],4,0)</f>
        <v>0.45161290322580644</v>
      </c>
      <c r="G190" s="77">
        <f>VLOOKUP(Table106[[#This Row],[NAME]],LAA_H[[NAME]:['#]],5,0)</f>
        <v>40</v>
      </c>
      <c r="H190" s="28">
        <f>VLOOKUP(Table106[[#This Row],[NAME]],LAA_H[[NAME]:['#]],6,0)</f>
        <v>155</v>
      </c>
      <c r="I190" s="28">
        <f>VLOOKUP(Table106[[#This Row],[NAME]],LAA_H[[NAME]:['#]],7,0)</f>
        <v>17</v>
      </c>
      <c r="J190" s="28">
        <f>VLOOKUP(Table106[[#This Row],[NAME]],LAA_H[[NAME]:['#]],8,0)</f>
        <v>41</v>
      </c>
      <c r="K190" s="28">
        <f>VLOOKUP(Table106[[#This Row],[NAME]],LAA_H[[NAME]:['#]],9,0)</f>
        <v>14</v>
      </c>
      <c r="L190" s="28">
        <f>VLOOKUP(Table106[[#This Row],[NAME]],LAA_H[[NAME]:['#]],10,0)</f>
        <v>0</v>
      </c>
      <c r="M190" s="28">
        <f>VLOOKUP(Table106[[#This Row],[NAME]],LAA_H[[NAME]:['#]],11,0)</f>
        <v>5</v>
      </c>
      <c r="N190" s="28">
        <f>VLOOKUP(Table106[[#This Row],[NAME]],LAA_H[[NAME]:['#]],12,0)</f>
        <v>22</v>
      </c>
      <c r="O190" s="28">
        <f>VLOOKUP(Table106[[#This Row],[NAME]],LAA_H[[NAME]:['#]],13,0)</f>
        <v>15</v>
      </c>
      <c r="P190" s="28">
        <f>VLOOKUP(Table106[[#This Row],[NAME]],LAA_H[[NAME]:['#]],14,0)</f>
        <v>45</v>
      </c>
      <c r="Q190" s="77">
        <f>VLOOKUP(Table106[[#This Row],[NAME]],LAA_H[[NAME]:['#]],15,0)</f>
        <v>0</v>
      </c>
      <c r="R190" s="28">
        <f>VLOOKUP(Table106[[#This Row],[NAME]],LAA_H[[NAME]:['#]],16,0)</f>
        <v>0</v>
      </c>
      <c r="S190" s="28">
        <f>VLOOKUP(Table106[[#This Row],[NAME]],LAA_H[[NAME]:['#]],17,0)</f>
        <v>12</v>
      </c>
      <c r="T190" s="77">
        <f>VLOOKUP(Table106[[#This Row],[NAME]],LAA_H[[NAME]:['#]],18,0)</f>
        <v>70</v>
      </c>
      <c r="U190" s="72">
        <f>VLOOKUP(Table106[[#This Row],[NAME]],LAA_H[[NAME]:['#]],19,0)</f>
        <v>0.78102466793168879</v>
      </c>
      <c r="V190" s="28">
        <f>VLOOKUP(Table106[[#This Row],[NAME]],LAA_H[[NAME]:['#]],20,0)</f>
        <v>1</v>
      </c>
      <c r="W190" s="75">
        <v>188</v>
      </c>
      <c r="Z190" s="101" t="s">
        <v>685</v>
      </c>
      <c r="AA190" s="77" t="s">
        <v>174</v>
      </c>
      <c r="AB190" s="77" t="s">
        <v>691</v>
      </c>
      <c r="AC190" s="130">
        <v>0.216</v>
      </c>
      <c r="AD190" s="72">
        <v>0.28467153284671531</v>
      </c>
      <c r="AE190" s="72">
        <v>0.376</v>
      </c>
      <c r="AF190" s="77">
        <v>34</v>
      </c>
      <c r="AG190" s="28">
        <v>125</v>
      </c>
      <c r="AH190" s="28">
        <v>15</v>
      </c>
      <c r="AI190" s="28">
        <v>27</v>
      </c>
      <c r="AJ190" s="28">
        <v>5</v>
      </c>
      <c r="AK190" s="28">
        <v>0</v>
      </c>
      <c r="AL190" s="28">
        <v>5</v>
      </c>
      <c r="AM190" s="28">
        <v>14</v>
      </c>
      <c r="AN190" s="28">
        <v>12</v>
      </c>
      <c r="AO190" s="28">
        <v>29</v>
      </c>
      <c r="AP190" s="77">
        <v>0</v>
      </c>
      <c r="AQ190" s="28">
        <v>1</v>
      </c>
      <c r="AR190" s="28">
        <v>3</v>
      </c>
      <c r="AS190" s="77">
        <v>47</v>
      </c>
      <c r="AT190" s="72">
        <v>0.66067153284671531</v>
      </c>
      <c r="AU190" s="28">
        <v>1</v>
      </c>
      <c r="AV190" s="75">
        <v>188</v>
      </c>
      <c r="AY190" s="101" t="s">
        <v>685</v>
      </c>
      <c r="AZ190" s="77" t="s">
        <v>174</v>
      </c>
      <c r="BA190" s="77" t="s">
        <v>691</v>
      </c>
      <c r="BB190" s="130">
        <v>0.25517241379310346</v>
      </c>
      <c r="BC190" s="72">
        <v>0.32919254658385094</v>
      </c>
      <c r="BD190" s="72">
        <v>0.53103448275862064</v>
      </c>
      <c r="BE190" s="77">
        <v>40</v>
      </c>
      <c r="BF190" s="28">
        <v>145</v>
      </c>
      <c r="BG190" s="28">
        <v>20</v>
      </c>
      <c r="BH190" s="28">
        <v>37</v>
      </c>
      <c r="BI190" s="28">
        <v>8</v>
      </c>
      <c r="BJ190" s="28">
        <v>1</v>
      </c>
      <c r="BK190" s="28">
        <v>10</v>
      </c>
      <c r="BL190" s="28">
        <v>27</v>
      </c>
      <c r="BM190" s="28">
        <v>16</v>
      </c>
      <c r="BN190" s="28">
        <v>43</v>
      </c>
      <c r="BO190" s="77">
        <v>0</v>
      </c>
      <c r="BP190" s="28">
        <v>0</v>
      </c>
      <c r="BQ190" s="28">
        <v>10</v>
      </c>
      <c r="BR190" s="77">
        <v>77</v>
      </c>
      <c r="BS190" s="72">
        <v>0.86022702934247164</v>
      </c>
      <c r="BT190" s="28">
        <v>2</v>
      </c>
      <c r="BU190" s="75">
        <v>188</v>
      </c>
    </row>
    <row r="191" spans="1:73">
      <c r="A191" s="101" t="s">
        <v>685</v>
      </c>
      <c r="B191" s="345" t="s">
        <v>181</v>
      </c>
      <c r="C191" s="71" t="s">
        <v>686</v>
      </c>
      <c r="D191" s="72">
        <f>VLOOKUP(Table106[[#This Row],[NAME]],LAA_H[[NAME]:['#]],2,0)</f>
        <v>0.33548387096774196</v>
      </c>
      <c r="E191" s="72">
        <f>VLOOKUP(Table106[[#This Row],[NAME]],LAA_H[[NAME]:['#]],3,0)</f>
        <v>0.43406593406593408</v>
      </c>
      <c r="F191" s="594">
        <f>VLOOKUP(Table106[[#This Row],[NAME]],LAA_H[[NAME]:['#]],4,0)</f>
        <v>0.67741935483870963</v>
      </c>
      <c r="G191" s="77">
        <f>VLOOKUP(Table106[[#This Row],[NAME]],LAA_H[[NAME]:['#]],5,0)</f>
        <v>40</v>
      </c>
      <c r="H191" s="28">
        <f>VLOOKUP(Table106[[#This Row],[NAME]],LAA_H[[NAME]:['#]],6,0)</f>
        <v>155</v>
      </c>
      <c r="I191" s="28">
        <f>VLOOKUP(Table106[[#This Row],[NAME]],LAA_H[[NAME]:['#]],7,0)</f>
        <v>26</v>
      </c>
      <c r="J191" s="28">
        <f>VLOOKUP(Table106[[#This Row],[NAME]],LAA_H[[NAME]:['#]],8,0)</f>
        <v>52</v>
      </c>
      <c r="K191" s="28">
        <f>VLOOKUP(Table106[[#This Row],[NAME]],LAA_H[[NAME]:['#]],9,0)</f>
        <v>9</v>
      </c>
      <c r="L191" s="28">
        <f>VLOOKUP(Table106[[#This Row],[NAME]],LAA_H[[NAME]:['#]],10,0)</f>
        <v>1</v>
      </c>
      <c r="M191" s="28">
        <f>VLOOKUP(Table106[[#This Row],[NAME]],LAA_H[[NAME]:['#]],11,0)</f>
        <v>14</v>
      </c>
      <c r="N191" s="28">
        <f>VLOOKUP(Table106[[#This Row],[NAME]],LAA_H[[NAME]:['#]],12,0)</f>
        <v>32</v>
      </c>
      <c r="O191" s="28">
        <f>VLOOKUP(Table106[[#This Row],[NAME]],LAA_H[[NAME]:['#]],13,0)</f>
        <v>27</v>
      </c>
      <c r="P191" s="28">
        <f>VLOOKUP(Table106[[#This Row],[NAME]],LAA_H[[NAME]:['#]],14,0)</f>
        <v>47</v>
      </c>
      <c r="Q191" s="77">
        <f>VLOOKUP(Table106[[#This Row],[NAME]],LAA_H[[NAME]:['#]],15,0)</f>
        <v>7</v>
      </c>
      <c r="R191" s="28">
        <f>VLOOKUP(Table106[[#This Row],[NAME]],LAA_H[[NAME]:['#]],16,0)</f>
        <v>2</v>
      </c>
      <c r="S191" s="28">
        <f>VLOOKUP(Table106[[#This Row],[NAME]],LAA_H[[NAME]:['#]],17,0)</f>
        <v>8</v>
      </c>
      <c r="T191" s="77">
        <f>VLOOKUP(Table106[[#This Row],[NAME]],LAA_H[[NAME]:['#]],18,0)</f>
        <v>105</v>
      </c>
      <c r="U191" s="594">
        <f>VLOOKUP(Table106[[#This Row],[NAME]],LAA_H[[NAME]:['#]],19,0)</f>
        <v>1.1114852889046438</v>
      </c>
      <c r="V191" s="28">
        <f>VLOOKUP(Table106[[#This Row],[NAME]],LAA_H[[NAME]:['#]],20,0)</f>
        <v>5</v>
      </c>
      <c r="W191" s="75">
        <v>189</v>
      </c>
      <c r="Z191" s="101" t="s">
        <v>685</v>
      </c>
      <c r="AA191" s="77" t="s">
        <v>181</v>
      </c>
      <c r="AB191" s="77" t="s">
        <v>686</v>
      </c>
      <c r="AC191" s="130">
        <v>0.24698795180722891</v>
      </c>
      <c r="AD191" s="72">
        <v>0.30939226519337015</v>
      </c>
      <c r="AE191" s="72">
        <v>0.44578313253012047</v>
      </c>
      <c r="AF191" s="77">
        <v>40</v>
      </c>
      <c r="AG191" s="28">
        <v>166</v>
      </c>
      <c r="AH191" s="28">
        <v>28</v>
      </c>
      <c r="AI191" s="28">
        <v>41</v>
      </c>
      <c r="AJ191" s="28">
        <v>6</v>
      </c>
      <c r="AK191" s="28">
        <v>0</v>
      </c>
      <c r="AL191" s="28">
        <v>9</v>
      </c>
      <c r="AM191" s="28">
        <v>28</v>
      </c>
      <c r="AN191" s="28">
        <v>15</v>
      </c>
      <c r="AO191" s="28">
        <v>53</v>
      </c>
      <c r="AP191" s="77">
        <v>4</v>
      </c>
      <c r="AQ191" s="28">
        <v>0</v>
      </c>
      <c r="AR191" s="28">
        <v>8</v>
      </c>
      <c r="AS191" s="77">
        <v>74</v>
      </c>
      <c r="AT191" s="72">
        <v>0.75517539772349063</v>
      </c>
      <c r="AU191" s="76">
        <v>7</v>
      </c>
      <c r="AV191" s="75">
        <v>189</v>
      </c>
      <c r="AY191" s="101" t="s">
        <v>685</v>
      </c>
      <c r="AZ191" s="352" t="s">
        <v>181</v>
      </c>
      <c r="BA191" s="77" t="s">
        <v>686</v>
      </c>
      <c r="BB191" s="130">
        <v>0.33112582781456956</v>
      </c>
      <c r="BC191" s="72">
        <v>0.36075949367088606</v>
      </c>
      <c r="BD191" s="72">
        <v>0.5629139072847682</v>
      </c>
      <c r="BE191" s="77">
        <v>40</v>
      </c>
      <c r="BF191" s="28">
        <v>151</v>
      </c>
      <c r="BG191" s="28">
        <v>27</v>
      </c>
      <c r="BH191" s="28">
        <v>50</v>
      </c>
      <c r="BI191" s="28">
        <v>8</v>
      </c>
      <c r="BJ191" s="28">
        <v>0</v>
      </c>
      <c r="BK191" s="28">
        <v>9</v>
      </c>
      <c r="BL191" s="28">
        <v>27</v>
      </c>
      <c r="BM191" s="28">
        <v>7</v>
      </c>
      <c r="BN191" s="28">
        <v>36</v>
      </c>
      <c r="BO191" s="77">
        <v>16</v>
      </c>
      <c r="BP191" s="28">
        <v>1</v>
      </c>
      <c r="BQ191" s="28">
        <v>16</v>
      </c>
      <c r="BR191" s="77">
        <v>85</v>
      </c>
      <c r="BS191" s="72">
        <v>0.9236734009556542</v>
      </c>
      <c r="BT191" s="28">
        <v>2</v>
      </c>
      <c r="BU191" s="75">
        <v>189</v>
      </c>
    </row>
    <row r="192" spans="1:73">
      <c r="A192" s="101" t="s">
        <v>685</v>
      </c>
      <c r="B192" s="71" t="s">
        <v>166</v>
      </c>
      <c r="C192" s="71" t="s">
        <v>694</v>
      </c>
      <c r="D192" s="72">
        <f>VLOOKUP(Table106[[#This Row],[NAME]],LAA_H[[NAME]:['#]],2,0)</f>
        <v>0.28828828828828829</v>
      </c>
      <c r="E192" s="72">
        <f>VLOOKUP(Table106[[#This Row],[NAME]],LAA_H[[NAME]:['#]],3,0)</f>
        <v>0.3247863247863248</v>
      </c>
      <c r="F192" s="72">
        <f>VLOOKUP(Table106[[#This Row],[NAME]],LAA_H[[NAME]:['#]],4,0)</f>
        <v>0.52252252252252251</v>
      </c>
      <c r="G192" s="77">
        <f>VLOOKUP(Table106[[#This Row],[NAME]],LAA_H[[NAME]:['#]],5,0)</f>
        <v>27</v>
      </c>
      <c r="H192" s="28">
        <f>VLOOKUP(Table106[[#This Row],[NAME]],LAA_H[[NAME]:['#]],6,0)</f>
        <v>111</v>
      </c>
      <c r="I192" s="28">
        <f>VLOOKUP(Table106[[#This Row],[NAME]],LAA_H[[NAME]:['#]],7,0)</f>
        <v>12</v>
      </c>
      <c r="J192" s="28">
        <f>VLOOKUP(Table106[[#This Row],[NAME]],LAA_H[[NAME]:['#]],8,0)</f>
        <v>32</v>
      </c>
      <c r="K192" s="28">
        <f>VLOOKUP(Table106[[#This Row],[NAME]],LAA_H[[NAME]:['#]],9,0)</f>
        <v>4</v>
      </c>
      <c r="L192" s="28">
        <f>VLOOKUP(Table106[[#This Row],[NAME]],LAA_H[[NAME]:['#]],10,0)</f>
        <v>2</v>
      </c>
      <c r="M192" s="28">
        <f>VLOOKUP(Table106[[#This Row],[NAME]],LAA_H[[NAME]:['#]],11,0)</f>
        <v>6</v>
      </c>
      <c r="N192" s="28">
        <f>VLOOKUP(Table106[[#This Row],[NAME]],LAA_H[[NAME]:['#]],12,0)</f>
        <v>17</v>
      </c>
      <c r="O192" s="28">
        <f>VLOOKUP(Table106[[#This Row],[NAME]],LAA_H[[NAME]:['#]],13,0)</f>
        <v>6</v>
      </c>
      <c r="P192" s="28">
        <f>VLOOKUP(Table106[[#This Row],[NAME]],LAA_H[[NAME]:['#]],14,0)</f>
        <v>38</v>
      </c>
      <c r="Q192" s="77">
        <f>VLOOKUP(Table106[[#This Row],[NAME]],LAA_H[[NAME]:['#]],15,0)</f>
        <v>0</v>
      </c>
      <c r="R192" s="28">
        <f>VLOOKUP(Table106[[#This Row],[NAME]],LAA_H[[NAME]:['#]],16,0)</f>
        <v>1</v>
      </c>
      <c r="S192" s="28">
        <f>VLOOKUP(Table106[[#This Row],[NAME]],LAA_H[[NAME]:['#]],17,0)</f>
        <v>11</v>
      </c>
      <c r="T192" s="77">
        <f>VLOOKUP(Table106[[#This Row],[NAME]],LAA_H[[NAME]:['#]],18,0)</f>
        <v>58</v>
      </c>
      <c r="U192" s="72">
        <f>VLOOKUP(Table106[[#This Row],[NAME]],LAA_H[[NAME]:['#]],19,0)</f>
        <v>0.84730884730884726</v>
      </c>
      <c r="V192" s="28">
        <f>VLOOKUP(Table106[[#This Row],[NAME]],LAA_H[[NAME]:['#]],20,0)</f>
        <v>3</v>
      </c>
      <c r="W192" s="75">
        <v>190</v>
      </c>
      <c r="Z192" s="101" t="s">
        <v>685</v>
      </c>
      <c r="AA192" s="77" t="s">
        <v>166</v>
      </c>
      <c r="AB192" s="77" t="s">
        <v>687</v>
      </c>
      <c r="AC192" s="130">
        <v>0.27710843373493976</v>
      </c>
      <c r="AD192" s="72">
        <v>0.33333333333333331</v>
      </c>
      <c r="AE192" s="72">
        <v>0.52409638554216864</v>
      </c>
      <c r="AF192" s="77">
        <v>40</v>
      </c>
      <c r="AG192" s="28">
        <v>166</v>
      </c>
      <c r="AH192" s="28">
        <v>21</v>
      </c>
      <c r="AI192" s="28">
        <v>46</v>
      </c>
      <c r="AJ192" s="28">
        <v>13</v>
      </c>
      <c r="AK192" s="28">
        <v>2</v>
      </c>
      <c r="AL192" s="28">
        <v>8</v>
      </c>
      <c r="AM192" s="28">
        <v>27</v>
      </c>
      <c r="AN192" s="28">
        <v>14</v>
      </c>
      <c r="AO192" s="28">
        <v>48</v>
      </c>
      <c r="AP192" s="77">
        <v>7</v>
      </c>
      <c r="AQ192" s="28">
        <v>1</v>
      </c>
      <c r="AR192" s="28">
        <v>11</v>
      </c>
      <c r="AS192" s="77">
        <v>87</v>
      </c>
      <c r="AT192" s="72">
        <v>0.85742971887550201</v>
      </c>
      <c r="AU192" s="28">
        <v>4</v>
      </c>
      <c r="AV192" s="75">
        <v>190</v>
      </c>
      <c r="AY192" s="101" t="s">
        <v>685</v>
      </c>
      <c r="AZ192" s="77" t="s">
        <v>166</v>
      </c>
      <c r="BA192" s="77" t="s">
        <v>700</v>
      </c>
      <c r="BB192" s="130">
        <v>0.15044247787610621</v>
      </c>
      <c r="BC192" s="72">
        <v>0.21951219512195122</v>
      </c>
      <c r="BD192" s="72">
        <v>0.24778761061946902</v>
      </c>
      <c r="BE192" s="77">
        <v>32</v>
      </c>
      <c r="BF192" s="28">
        <v>113</v>
      </c>
      <c r="BG192" s="28">
        <v>9</v>
      </c>
      <c r="BH192" s="28">
        <v>17</v>
      </c>
      <c r="BI192" s="28">
        <v>5</v>
      </c>
      <c r="BJ192" s="28">
        <v>0</v>
      </c>
      <c r="BK192" s="28">
        <v>2</v>
      </c>
      <c r="BL192" s="28">
        <v>6</v>
      </c>
      <c r="BM192" s="28">
        <v>10</v>
      </c>
      <c r="BN192" s="28">
        <v>37</v>
      </c>
      <c r="BO192" s="77">
        <v>0</v>
      </c>
      <c r="BP192" s="28">
        <v>0</v>
      </c>
      <c r="BQ192" s="28">
        <v>4</v>
      </c>
      <c r="BR192" s="77">
        <v>28</v>
      </c>
      <c r="BS192" s="72">
        <v>0.46729980574142027</v>
      </c>
      <c r="BT192" s="28">
        <v>0</v>
      </c>
      <c r="BU192" s="75">
        <v>190</v>
      </c>
    </row>
    <row r="193" spans="1:73">
      <c r="A193" s="101" t="s">
        <v>685</v>
      </c>
      <c r="B193" s="71" t="s">
        <v>168</v>
      </c>
      <c r="C193" s="71" t="s">
        <v>687</v>
      </c>
      <c r="D193" s="72">
        <f>VLOOKUP(Table106[[#This Row],[NAME]],LAA_H[[NAME]:['#]],2,0)</f>
        <v>0.28235294117647058</v>
      </c>
      <c r="E193" s="72">
        <f>VLOOKUP(Table106[[#This Row],[NAME]],LAA_H[[NAME]:['#]],3,0)</f>
        <v>0.33333333333333331</v>
      </c>
      <c r="F193" s="72">
        <f>VLOOKUP(Table106[[#This Row],[NAME]],LAA_H[[NAME]:['#]],4,0)</f>
        <v>0.58235294117647063</v>
      </c>
      <c r="G193" s="77">
        <f>VLOOKUP(Table106[[#This Row],[NAME]],LAA_H[[NAME]:['#]],5,0)</f>
        <v>40</v>
      </c>
      <c r="H193" s="28">
        <f>VLOOKUP(Table106[[#This Row],[NAME]],LAA_H[[NAME]:['#]],6,0)</f>
        <v>170</v>
      </c>
      <c r="I193" s="76">
        <f>VLOOKUP(Table106[[#This Row],[NAME]],LAA_H[[NAME]:['#]],7,0)</f>
        <v>34</v>
      </c>
      <c r="J193" s="28">
        <f>VLOOKUP(Table106[[#This Row],[NAME]],LAA_H[[NAME]:['#]],8,0)</f>
        <v>48</v>
      </c>
      <c r="K193" s="28">
        <f>VLOOKUP(Table106[[#This Row],[NAME]],LAA_H[[NAME]:['#]],9,0)</f>
        <v>11</v>
      </c>
      <c r="L193" s="28">
        <f>VLOOKUP(Table106[[#This Row],[NAME]],LAA_H[[NAME]:['#]],10,0)</f>
        <v>2</v>
      </c>
      <c r="M193" s="28">
        <f>VLOOKUP(Table106[[#This Row],[NAME]],LAA_H[[NAME]:['#]],11,0)</f>
        <v>12</v>
      </c>
      <c r="N193" s="28">
        <f>VLOOKUP(Table106[[#This Row],[NAME]],LAA_H[[NAME]:['#]],12,0)</f>
        <v>31</v>
      </c>
      <c r="O193" s="28">
        <f>VLOOKUP(Table106[[#This Row],[NAME]],LAA_H[[NAME]:['#]],13,0)</f>
        <v>13</v>
      </c>
      <c r="P193" s="28">
        <f>VLOOKUP(Table106[[#This Row],[NAME]],LAA_H[[NAME]:['#]],14,0)</f>
        <v>49</v>
      </c>
      <c r="Q193" s="77">
        <f>VLOOKUP(Table106[[#This Row],[NAME]],LAA_H[[NAME]:['#]],15,0)</f>
        <v>1</v>
      </c>
      <c r="R193" s="28">
        <f>VLOOKUP(Table106[[#This Row],[NAME]],LAA_H[[NAME]:['#]],16,0)</f>
        <v>1</v>
      </c>
      <c r="S193" s="28">
        <f>VLOOKUP(Table106[[#This Row],[NAME]],LAA_H[[NAME]:['#]],17,0)</f>
        <v>8</v>
      </c>
      <c r="T193" s="77">
        <f>VLOOKUP(Table106[[#This Row],[NAME]],LAA_H[[NAME]:['#]],18,0)</f>
        <v>99</v>
      </c>
      <c r="U193" s="72">
        <f>VLOOKUP(Table106[[#This Row],[NAME]],LAA_H[[NAME]:['#]],19,0)</f>
        <v>0.915686274509804</v>
      </c>
      <c r="V193" s="28">
        <f>VLOOKUP(Table106[[#This Row],[NAME]],LAA_H[[NAME]:['#]],20,0)</f>
        <v>2</v>
      </c>
      <c r="W193" s="75">
        <v>191</v>
      </c>
      <c r="Z193" s="101" t="s">
        <v>685</v>
      </c>
      <c r="AA193" s="77" t="s">
        <v>168</v>
      </c>
      <c r="AB193" s="77" t="s">
        <v>699</v>
      </c>
      <c r="AC193" s="130">
        <v>0.22857142857142856</v>
      </c>
      <c r="AD193" s="72">
        <v>0.28000000000000003</v>
      </c>
      <c r="AE193" s="72">
        <v>0.51428571428571423</v>
      </c>
      <c r="AF193" s="77">
        <v>18</v>
      </c>
      <c r="AG193" s="28">
        <v>70</v>
      </c>
      <c r="AH193" s="28">
        <v>14</v>
      </c>
      <c r="AI193" s="28">
        <v>16</v>
      </c>
      <c r="AJ193" s="28">
        <v>5</v>
      </c>
      <c r="AK193" s="28">
        <v>0</v>
      </c>
      <c r="AL193" s="28">
        <v>5</v>
      </c>
      <c r="AM193" s="28">
        <v>15</v>
      </c>
      <c r="AN193" s="28">
        <v>5</v>
      </c>
      <c r="AO193" s="28">
        <v>17</v>
      </c>
      <c r="AP193" s="77">
        <v>0</v>
      </c>
      <c r="AQ193" s="28">
        <v>0</v>
      </c>
      <c r="AR193" s="28">
        <v>5</v>
      </c>
      <c r="AS193" s="77">
        <v>36</v>
      </c>
      <c r="AT193" s="72">
        <v>0.79428571428571426</v>
      </c>
      <c r="AU193" s="28">
        <v>1</v>
      </c>
      <c r="AV193" s="75">
        <v>191</v>
      </c>
      <c r="AY193" s="101" t="s">
        <v>685</v>
      </c>
      <c r="AZ193" s="77" t="s">
        <v>168</v>
      </c>
      <c r="BA193" s="77" t="s">
        <v>687</v>
      </c>
      <c r="BB193" s="130">
        <v>0.22727272727272727</v>
      </c>
      <c r="BC193" s="72">
        <v>0.34254143646408841</v>
      </c>
      <c r="BD193" s="72">
        <v>0.48051948051948051</v>
      </c>
      <c r="BE193" s="77">
        <v>40</v>
      </c>
      <c r="BF193" s="28">
        <v>154</v>
      </c>
      <c r="BG193" s="28">
        <v>31</v>
      </c>
      <c r="BH193" s="28">
        <v>35</v>
      </c>
      <c r="BI193" s="28">
        <v>9</v>
      </c>
      <c r="BJ193" s="28">
        <v>0</v>
      </c>
      <c r="BK193" s="28">
        <v>10</v>
      </c>
      <c r="BL193" s="28">
        <v>22</v>
      </c>
      <c r="BM193" s="28">
        <v>27</v>
      </c>
      <c r="BN193" s="28">
        <v>58</v>
      </c>
      <c r="BO193" s="77">
        <v>3</v>
      </c>
      <c r="BP193" s="28">
        <v>3</v>
      </c>
      <c r="BQ193" s="28">
        <v>5</v>
      </c>
      <c r="BR193" s="77">
        <v>74</v>
      </c>
      <c r="BS193" s="72">
        <v>0.82306091698356898</v>
      </c>
      <c r="BT193" s="28">
        <v>7</v>
      </c>
      <c r="BU193" s="75">
        <v>191</v>
      </c>
    </row>
    <row r="194" spans="1:73">
      <c r="A194" s="101" t="s">
        <v>685</v>
      </c>
      <c r="B194" s="71" t="s">
        <v>187</v>
      </c>
      <c r="C194" s="71" t="s">
        <v>700</v>
      </c>
      <c r="D194" s="72">
        <f>VLOOKUP(Table106[[#This Row],[NAME]],LAA_H[[NAME]:['#]],2,0)</f>
        <v>0.15686274509803921</v>
      </c>
      <c r="E194" s="72">
        <f>VLOOKUP(Table106[[#This Row],[NAME]],LAA_H[[NAME]:['#]],3,0)</f>
        <v>0.21818181818181817</v>
      </c>
      <c r="F194" s="72">
        <f>VLOOKUP(Table106[[#This Row],[NAME]],LAA_H[[NAME]:['#]],4,0)</f>
        <v>0.21568627450980393</v>
      </c>
      <c r="G194" s="77">
        <f>VLOOKUP(Table106[[#This Row],[NAME]],LAA_H[[NAME]:['#]],5,0)</f>
        <v>14</v>
      </c>
      <c r="H194" s="28">
        <f>VLOOKUP(Table106[[#This Row],[NAME]],LAA_H[[NAME]:['#]],6,0)</f>
        <v>51</v>
      </c>
      <c r="I194" s="28">
        <f>VLOOKUP(Table106[[#This Row],[NAME]],LAA_H[[NAME]:['#]],7,0)</f>
        <v>2</v>
      </c>
      <c r="J194" s="28">
        <f>VLOOKUP(Table106[[#This Row],[NAME]],LAA_H[[NAME]:['#]],8,0)</f>
        <v>8</v>
      </c>
      <c r="K194" s="28">
        <f>VLOOKUP(Table106[[#This Row],[NAME]],LAA_H[[NAME]:['#]],9,0)</f>
        <v>0</v>
      </c>
      <c r="L194" s="28">
        <f>VLOOKUP(Table106[[#This Row],[NAME]],LAA_H[[NAME]:['#]],10,0)</f>
        <v>0</v>
      </c>
      <c r="M194" s="28">
        <f>VLOOKUP(Table106[[#This Row],[NAME]],LAA_H[[NAME]:['#]],11,0)</f>
        <v>1</v>
      </c>
      <c r="N194" s="28">
        <f>VLOOKUP(Table106[[#This Row],[NAME]],LAA_H[[NAME]:['#]],12,0)</f>
        <v>4</v>
      </c>
      <c r="O194" s="28">
        <f>VLOOKUP(Table106[[#This Row],[NAME]],LAA_H[[NAME]:['#]],13,0)</f>
        <v>4</v>
      </c>
      <c r="P194" s="28">
        <f>VLOOKUP(Table106[[#This Row],[NAME]],LAA_H[[NAME]:['#]],14,0)</f>
        <v>10</v>
      </c>
      <c r="Q194" s="77">
        <f>VLOOKUP(Table106[[#This Row],[NAME]],LAA_H[[NAME]:['#]],15,0)</f>
        <v>0</v>
      </c>
      <c r="R194" s="28">
        <f>VLOOKUP(Table106[[#This Row],[NAME]],LAA_H[[NAME]:['#]],16,0)</f>
        <v>0</v>
      </c>
      <c r="S194" s="28">
        <f>VLOOKUP(Table106[[#This Row],[NAME]],LAA_H[[NAME]:['#]],17,0)</f>
        <v>4</v>
      </c>
      <c r="T194" s="77">
        <f>VLOOKUP(Table106[[#This Row],[NAME]],LAA_H[[NAME]:['#]],18,0)</f>
        <v>11</v>
      </c>
      <c r="U194" s="72">
        <f>VLOOKUP(Table106[[#This Row],[NAME]],LAA_H[[NAME]:['#]],19,0)</f>
        <v>0.43386809269162208</v>
      </c>
      <c r="V194" s="28">
        <f>VLOOKUP(Table106[[#This Row],[NAME]],LAA_H[[NAME]:['#]],20,0)</f>
        <v>0</v>
      </c>
      <c r="W194" s="75">
        <v>192</v>
      </c>
      <c r="Z194" s="101" t="s">
        <v>685</v>
      </c>
      <c r="AA194" s="77" t="s">
        <v>187</v>
      </c>
      <c r="AB194" s="77" t="s">
        <v>701</v>
      </c>
      <c r="AC194" s="130">
        <v>0</v>
      </c>
      <c r="AD194" s="72">
        <v>0.2</v>
      </c>
      <c r="AE194" s="72">
        <v>0</v>
      </c>
      <c r="AF194" s="77">
        <v>3</v>
      </c>
      <c r="AG194" s="28">
        <v>4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1</v>
      </c>
      <c r="AO194" s="28">
        <v>0</v>
      </c>
      <c r="AP194" s="77">
        <v>0</v>
      </c>
      <c r="AQ194" s="28">
        <v>0</v>
      </c>
      <c r="AR194" s="28">
        <v>0</v>
      </c>
      <c r="AS194" s="77">
        <v>0</v>
      </c>
      <c r="AT194" s="72">
        <v>0.2</v>
      </c>
      <c r="AU194" s="28">
        <v>0</v>
      </c>
      <c r="AV194" s="75">
        <v>192</v>
      </c>
      <c r="AY194" s="101" t="s">
        <v>685</v>
      </c>
      <c r="AZ194" s="77" t="s">
        <v>187</v>
      </c>
      <c r="BA194" s="77" t="s">
        <v>701</v>
      </c>
      <c r="BB194" s="130">
        <v>0.13333333333333333</v>
      </c>
      <c r="BC194" s="72">
        <v>0.1875</v>
      </c>
      <c r="BD194" s="72">
        <v>0.13333333333333333</v>
      </c>
      <c r="BE194" s="77">
        <v>7</v>
      </c>
      <c r="BF194" s="28">
        <v>15</v>
      </c>
      <c r="BG194" s="28">
        <v>0</v>
      </c>
      <c r="BH194" s="28">
        <v>2</v>
      </c>
      <c r="BI194" s="28">
        <v>0</v>
      </c>
      <c r="BJ194" s="28">
        <v>0</v>
      </c>
      <c r="BK194" s="28">
        <v>0</v>
      </c>
      <c r="BL194" s="28">
        <v>1</v>
      </c>
      <c r="BM194" s="28">
        <v>1</v>
      </c>
      <c r="BN194" s="28">
        <v>3</v>
      </c>
      <c r="BO194" s="77">
        <v>0</v>
      </c>
      <c r="BP194" s="28">
        <v>0</v>
      </c>
      <c r="BQ194" s="28">
        <v>1</v>
      </c>
      <c r="BR194" s="77">
        <v>2</v>
      </c>
      <c r="BS194" s="72">
        <v>0.3208333333333333</v>
      </c>
      <c r="BT194" s="28">
        <v>0</v>
      </c>
      <c r="BU194" s="75">
        <v>192</v>
      </c>
    </row>
    <row r="195" spans="1:73">
      <c r="A195" s="101" t="s">
        <v>685</v>
      </c>
      <c r="B195" s="71" t="s">
        <v>187</v>
      </c>
      <c r="C195" s="71" t="s">
        <v>697</v>
      </c>
      <c r="D195" s="72">
        <f>VLOOKUP(Table106[[#This Row],[NAME]],LAA_H[[NAME]:['#]],2,0)</f>
        <v>0.20689655172413793</v>
      </c>
      <c r="E195" s="72">
        <f>VLOOKUP(Table106[[#This Row],[NAME]],LAA_H[[NAME]:['#]],3,0)</f>
        <v>0.25806451612903225</v>
      </c>
      <c r="F195" s="72">
        <f>VLOOKUP(Table106[[#This Row],[NAME]],LAA_H[[NAME]:['#]],4,0)</f>
        <v>0.27586206896551724</v>
      </c>
      <c r="G195" s="77">
        <f>VLOOKUP(Table106[[#This Row],[NAME]],LAA_H[[NAME]:['#]],5,0)</f>
        <v>10</v>
      </c>
      <c r="H195" s="28">
        <f>VLOOKUP(Table106[[#This Row],[NAME]],LAA_H[[NAME]:['#]],6,0)</f>
        <v>29</v>
      </c>
      <c r="I195" s="28">
        <f>VLOOKUP(Table106[[#This Row],[NAME]],LAA_H[[NAME]:['#]],7,0)</f>
        <v>3</v>
      </c>
      <c r="J195" s="28">
        <f>VLOOKUP(Table106[[#This Row],[NAME]],LAA_H[[NAME]:['#]],8,0)</f>
        <v>6</v>
      </c>
      <c r="K195" s="28">
        <f>VLOOKUP(Table106[[#This Row],[NAME]],LAA_H[[NAME]:['#]],9,0)</f>
        <v>2</v>
      </c>
      <c r="L195" s="28">
        <f>VLOOKUP(Table106[[#This Row],[NAME]],LAA_H[[NAME]:['#]],10,0)</f>
        <v>0</v>
      </c>
      <c r="M195" s="28">
        <f>VLOOKUP(Table106[[#This Row],[NAME]],LAA_H[[NAME]:['#]],11,0)</f>
        <v>0</v>
      </c>
      <c r="N195" s="28">
        <f>VLOOKUP(Table106[[#This Row],[NAME]],LAA_H[[NAME]:['#]],12,0)</f>
        <v>0</v>
      </c>
      <c r="O195" s="28">
        <f>VLOOKUP(Table106[[#This Row],[NAME]],LAA_H[[NAME]:['#]],13,0)</f>
        <v>2</v>
      </c>
      <c r="P195" s="28">
        <f>VLOOKUP(Table106[[#This Row],[NAME]],LAA_H[[NAME]:['#]],14,0)</f>
        <v>5</v>
      </c>
      <c r="Q195" s="77">
        <f>VLOOKUP(Table106[[#This Row],[NAME]],LAA_H[[NAME]:['#]],15,0)</f>
        <v>0</v>
      </c>
      <c r="R195" s="28">
        <f>VLOOKUP(Table106[[#This Row],[NAME]],LAA_H[[NAME]:['#]],16,0)</f>
        <v>4</v>
      </c>
      <c r="S195" s="28">
        <f>VLOOKUP(Table106[[#This Row],[NAME]],LAA_H[[NAME]:['#]],17,0)</f>
        <v>4</v>
      </c>
      <c r="T195" s="77">
        <f>VLOOKUP(Table106[[#This Row],[NAME]],LAA_H[[NAME]:['#]],18,0)</f>
        <v>8</v>
      </c>
      <c r="U195" s="72">
        <f>VLOOKUP(Table106[[#This Row],[NAME]],LAA_H[[NAME]:['#]],19,0)</f>
        <v>0.53392658509454949</v>
      </c>
      <c r="V195" s="28">
        <f>VLOOKUP(Table106[[#This Row],[NAME]],LAA_H[[NAME]:['#]],20,0)</f>
        <v>0</v>
      </c>
      <c r="W195" s="75">
        <v>193</v>
      </c>
      <c r="Z195" s="101" t="s">
        <v>685</v>
      </c>
      <c r="AA195" s="77" t="s">
        <v>187</v>
      </c>
      <c r="AB195" s="77" t="s">
        <v>700</v>
      </c>
      <c r="AC195" s="130">
        <v>0.21917808219178081</v>
      </c>
      <c r="AD195" s="72">
        <v>0.26923076923076922</v>
      </c>
      <c r="AE195" s="72">
        <v>0.32876712328767121</v>
      </c>
      <c r="AF195" s="77">
        <v>20</v>
      </c>
      <c r="AG195" s="28">
        <v>73</v>
      </c>
      <c r="AH195" s="28">
        <v>8</v>
      </c>
      <c r="AI195" s="28">
        <v>16</v>
      </c>
      <c r="AJ195" s="28">
        <v>0</v>
      </c>
      <c r="AK195" s="28">
        <v>1</v>
      </c>
      <c r="AL195" s="28">
        <v>2</v>
      </c>
      <c r="AM195" s="28">
        <v>4</v>
      </c>
      <c r="AN195" s="28">
        <v>5</v>
      </c>
      <c r="AO195" s="28">
        <v>23</v>
      </c>
      <c r="AP195" s="77">
        <v>0</v>
      </c>
      <c r="AQ195" s="28">
        <v>7</v>
      </c>
      <c r="AR195" s="28">
        <v>7</v>
      </c>
      <c r="AS195" s="77">
        <v>24</v>
      </c>
      <c r="AT195" s="72">
        <v>0.59799789251844038</v>
      </c>
      <c r="AU195" s="28">
        <v>1</v>
      </c>
      <c r="AV195" s="75">
        <v>193</v>
      </c>
      <c r="AY195" s="101" t="s">
        <v>685</v>
      </c>
      <c r="AZ195" s="77" t="s">
        <v>187</v>
      </c>
      <c r="BA195" s="77" t="s">
        <v>699</v>
      </c>
      <c r="BB195" s="130">
        <v>8.3333333333333329E-2</v>
      </c>
      <c r="BC195" s="72">
        <v>0.15384615384615385</v>
      </c>
      <c r="BD195" s="72">
        <v>8.3333333333333329E-2</v>
      </c>
      <c r="BE195" s="77">
        <v>8</v>
      </c>
      <c r="BF195" s="28">
        <v>12</v>
      </c>
      <c r="BG195" s="28">
        <v>0</v>
      </c>
      <c r="BH195" s="28">
        <v>1</v>
      </c>
      <c r="BI195" s="28">
        <v>0</v>
      </c>
      <c r="BJ195" s="28">
        <v>0</v>
      </c>
      <c r="BK195" s="28">
        <v>0</v>
      </c>
      <c r="BL195" s="28">
        <v>0</v>
      </c>
      <c r="BM195" s="28">
        <v>1</v>
      </c>
      <c r="BN195" s="28">
        <v>5</v>
      </c>
      <c r="BO195" s="77">
        <v>0</v>
      </c>
      <c r="BP195" s="28">
        <v>0</v>
      </c>
      <c r="BQ195" s="28">
        <v>1</v>
      </c>
      <c r="BR195" s="77">
        <v>1</v>
      </c>
      <c r="BS195" s="72">
        <v>0.23717948717948717</v>
      </c>
      <c r="BT195" s="28">
        <v>0</v>
      </c>
      <c r="BU195" s="75">
        <v>193</v>
      </c>
    </row>
    <row r="196" spans="1:73">
      <c r="A196" s="101" t="s">
        <v>685</v>
      </c>
      <c r="B196" s="71" t="s">
        <v>187</v>
      </c>
      <c r="C196" s="71" t="s">
        <v>696</v>
      </c>
      <c r="D196" s="72">
        <f>VLOOKUP(Table106[[#This Row],[NAME]],LAA_H[[NAME]:['#]],2,0)</f>
        <v>0.18867924528301888</v>
      </c>
      <c r="E196" s="72">
        <f>VLOOKUP(Table106[[#This Row],[NAME]],LAA_H[[NAME]:['#]],3,0)</f>
        <v>0.21818181818181817</v>
      </c>
      <c r="F196" s="72">
        <f>VLOOKUP(Table106[[#This Row],[NAME]],LAA_H[[NAME]:['#]],4,0)</f>
        <v>0.28301886792452829</v>
      </c>
      <c r="G196" s="77">
        <f>VLOOKUP(Table106[[#This Row],[NAME]],LAA_H[[NAME]:['#]],5,0)</f>
        <v>15</v>
      </c>
      <c r="H196" s="28">
        <f>VLOOKUP(Table106[[#This Row],[NAME]],LAA_H[[NAME]:['#]],6,0)</f>
        <v>53</v>
      </c>
      <c r="I196" s="28">
        <f>VLOOKUP(Table106[[#This Row],[NAME]],LAA_H[[NAME]:['#]],7,0)</f>
        <v>5</v>
      </c>
      <c r="J196" s="28">
        <f>VLOOKUP(Table106[[#This Row],[NAME]],LAA_H[[NAME]:['#]],8,0)</f>
        <v>10</v>
      </c>
      <c r="K196" s="28">
        <f>VLOOKUP(Table106[[#This Row],[NAME]],LAA_H[[NAME]:['#]],9,0)</f>
        <v>1</v>
      </c>
      <c r="L196" s="28">
        <f>VLOOKUP(Table106[[#This Row],[NAME]],LAA_H[[NAME]:['#]],10,0)</f>
        <v>2</v>
      </c>
      <c r="M196" s="28">
        <f>VLOOKUP(Table106[[#This Row],[NAME]],LAA_H[[NAME]:['#]],11,0)</f>
        <v>0</v>
      </c>
      <c r="N196" s="28">
        <f>VLOOKUP(Table106[[#This Row],[NAME]],LAA_H[[NAME]:['#]],12,0)</f>
        <v>1</v>
      </c>
      <c r="O196" s="28">
        <f>VLOOKUP(Table106[[#This Row],[NAME]],LAA_H[[NAME]:['#]],13,0)</f>
        <v>2</v>
      </c>
      <c r="P196" s="28">
        <f>VLOOKUP(Table106[[#This Row],[NAME]],LAA_H[[NAME]:['#]],14,0)</f>
        <v>11</v>
      </c>
      <c r="Q196" s="77">
        <f>VLOOKUP(Table106[[#This Row],[NAME]],LAA_H[[NAME]:['#]],15,0)</f>
        <v>0</v>
      </c>
      <c r="R196" s="28">
        <f>VLOOKUP(Table106[[#This Row],[NAME]],LAA_H[[NAME]:['#]],16,0)</f>
        <v>0</v>
      </c>
      <c r="S196" s="28">
        <f>VLOOKUP(Table106[[#This Row],[NAME]],LAA_H[[NAME]:['#]],17,0)</f>
        <v>7</v>
      </c>
      <c r="T196" s="77">
        <f>VLOOKUP(Table106[[#This Row],[NAME]],LAA_H[[NAME]:['#]],18,0)</f>
        <v>15</v>
      </c>
      <c r="U196" s="72">
        <f>VLOOKUP(Table106[[#This Row],[NAME]],LAA_H[[NAME]:['#]],19,0)</f>
        <v>0.50120068610634649</v>
      </c>
      <c r="V196" s="28">
        <f>VLOOKUP(Table106[[#This Row],[NAME]],LAA_H[[NAME]:['#]],20,0)</f>
        <v>0</v>
      </c>
      <c r="W196" s="75">
        <v>194</v>
      </c>
      <c r="Z196" s="101" t="s">
        <v>685</v>
      </c>
      <c r="AA196" s="77" t="s">
        <v>186</v>
      </c>
      <c r="AB196" s="77" t="s">
        <v>692</v>
      </c>
      <c r="AC196" s="130">
        <v>0.14285714285714285</v>
      </c>
      <c r="AD196" s="72">
        <v>0.21739130434782608</v>
      </c>
      <c r="AE196" s="72">
        <v>0.19047619047619047</v>
      </c>
      <c r="AF196" s="77">
        <v>5</v>
      </c>
      <c r="AG196" s="28">
        <v>21</v>
      </c>
      <c r="AH196" s="28">
        <v>3</v>
      </c>
      <c r="AI196" s="28">
        <v>3</v>
      </c>
      <c r="AJ196" s="28">
        <v>1</v>
      </c>
      <c r="AK196" s="28">
        <v>0</v>
      </c>
      <c r="AL196" s="28">
        <v>0</v>
      </c>
      <c r="AM196" s="28">
        <v>2</v>
      </c>
      <c r="AN196" s="28">
        <v>2</v>
      </c>
      <c r="AO196" s="28">
        <v>9</v>
      </c>
      <c r="AP196" s="77">
        <v>0</v>
      </c>
      <c r="AQ196" s="28">
        <v>0</v>
      </c>
      <c r="AR196" s="28">
        <v>2</v>
      </c>
      <c r="AS196" s="77">
        <v>4</v>
      </c>
      <c r="AT196" s="72">
        <v>0.40786749482401652</v>
      </c>
      <c r="AU196" s="28">
        <v>0</v>
      </c>
      <c r="AV196" s="75">
        <v>194</v>
      </c>
      <c r="AY196" s="101" t="s">
        <v>685</v>
      </c>
      <c r="AZ196" s="77" t="s">
        <v>184</v>
      </c>
      <c r="BA196" s="77" t="s">
        <v>692</v>
      </c>
      <c r="BB196" s="130">
        <v>0</v>
      </c>
      <c r="BC196" s="72">
        <v>0.25</v>
      </c>
      <c r="BD196" s="72">
        <v>0</v>
      </c>
      <c r="BE196" s="77">
        <v>2</v>
      </c>
      <c r="BF196" s="28">
        <v>3</v>
      </c>
      <c r="BG196" s="28">
        <v>0</v>
      </c>
      <c r="BH196" s="28">
        <v>0</v>
      </c>
      <c r="BI196" s="28">
        <v>0</v>
      </c>
      <c r="BJ196" s="28">
        <v>0</v>
      </c>
      <c r="BK196" s="28">
        <v>0</v>
      </c>
      <c r="BL196" s="28">
        <v>0</v>
      </c>
      <c r="BM196" s="28">
        <v>1</v>
      </c>
      <c r="BN196" s="28">
        <v>2</v>
      </c>
      <c r="BO196" s="77">
        <v>0</v>
      </c>
      <c r="BP196" s="28">
        <v>0</v>
      </c>
      <c r="BQ196" s="28">
        <v>0</v>
      </c>
      <c r="BR196" s="77">
        <v>0</v>
      </c>
      <c r="BS196" s="72">
        <v>0.25</v>
      </c>
      <c r="BT196" s="28">
        <v>0</v>
      </c>
      <c r="BU196" s="75">
        <v>194</v>
      </c>
    </row>
    <row r="197" spans="1:73">
      <c r="A197" s="101" t="s">
        <v>685</v>
      </c>
      <c r="B197" s="71" t="s">
        <v>186</v>
      </c>
      <c r="C197" s="71" t="s">
        <v>691</v>
      </c>
      <c r="D197" s="72">
        <f>VLOOKUP(Table106[[#This Row],[NAME]],LAA_H[[NAME]:['#]],2,0)</f>
        <v>0.15789473684210525</v>
      </c>
      <c r="E197" s="72">
        <f>VLOOKUP(Table106[[#This Row],[NAME]],LAA_H[[NAME]:['#]],3,0)</f>
        <v>0.1864406779661017</v>
      </c>
      <c r="F197" s="72">
        <f>VLOOKUP(Table106[[#This Row],[NAME]],LAA_H[[NAME]:['#]],4,0)</f>
        <v>0.22807017543859648</v>
      </c>
      <c r="G197" s="77">
        <f>VLOOKUP(Table106[[#This Row],[NAME]],LAA_H[[NAME]:['#]],5,0)</f>
        <v>14</v>
      </c>
      <c r="H197" s="28">
        <f>VLOOKUP(Table106[[#This Row],[NAME]],LAA_H[[NAME]:['#]],6,0)</f>
        <v>57</v>
      </c>
      <c r="I197" s="28">
        <f>VLOOKUP(Table106[[#This Row],[NAME]],LAA_H[[NAME]:['#]],7,0)</f>
        <v>2</v>
      </c>
      <c r="J197" s="28">
        <f>VLOOKUP(Table106[[#This Row],[NAME]],LAA_H[[NAME]:['#]],8,0)</f>
        <v>9</v>
      </c>
      <c r="K197" s="28">
        <f>VLOOKUP(Table106[[#This Row],[NAME]],LAA_H[[NAME]:['#]],9,0)</f>
        <v>2</v>
      </c>
      <c r="L197" s="28">
        <f>VLOOKUP(Table106[[#This Row],[NAME]],LAA_H[[NAME]:['#]],10,0)</f>
        <v>1</v>
      </c>
      <c r="M197" s="28">
        <f>VLOOKUP(Table106[[#This Row],[NAME]],LAA_H[[NAME]:['#]],11,0)</f>
        <v>0</v>
      </c>
      <c r="N197" s="28">
        <f>VLOOKUP(Table106[[#This Row],[NAME]],LAA_H[[NAME]:['#]],12,0)</f>
        <v>3</v>
      </c>
      <c r="O197" s="28">
        <f>VLOOKUP(Table106[[#This Row],[NAME]],LAA_H[[NAME]:['#]],13,0)</f>
        <v>2</v>
      </c>
      <c r="P197" s="28">
        <f>VLOOKUP(Table106[[#This Row],[NAME]],LAA_H[[NAME]:['#]],14,0)</f>
        <v>19</v>
      </c>
      <c r="Q197" s="77">
        <f>VLOOKUP(Table106[[#This Row],[NAME]],LAA_H[[NAME]:['#]],15,0)</f>
        <v>0</v>
      </c>
      <c r="R197" s="28">
        <f>VLOOKUP(Table106[[#This Row],[NAME]],LAA_H[[NAME]:['#]],16,0)</f>
        <v>0</v>
      </c>
      <c r="S197" s="28">
        <f>VLOOKUP(Table106[[#This Row],[NAME]],LAA_H[[NAME]:['#]],17,0)</f>
        <v>3</v>
      </c>
      <c r="T197" s="77">
        <f>VLOOKUP(Table106[[#This Row],[NAME]],LAA_H[[NAME]:['#]],18,0)</f>
        <v>13</v>
      </c>
      <c r="U197" s="72">
        <f>VLOOKUP(Table106[[#This Row],[NAME]],LAA_H[[NAME]:['#]],19,0)</f>
        <v>0.41451085340469818</v>
      </c>
      <c r="V197" s="28">
        <f>VLOOKUP(Table106[[#This Row],[NAME]],LAA_H[[NAME]:['#]],20,0)</f>
        <v>0</v>
      </c>
      <c r="W197" s="75">
        <v>195</v>
      </c>
      <c r="Z197" s="101" t="s">
        <v>685</v>
      </c>
      <c r="AA197" s="77" t="s">
        <v>186</v>
      </c>
      <c r="AB197" s="77" t="s">
        <v>694</v>
      </c>
      <c r="AC197" s="130">
        <v>0</v>
      </c>
      <c r="AD197" s="72">
        <v>0</v>
      </c>
      <c r="AE197" s="72">
        <v>0</v>
      </c>
      <c r="AF197" s="77">
        <v>4</v>
      </c>
      <c r="AG197" s="28">
        <v>14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8">
        <v>4</v>
      </c>
      <c r="AP197" s="77">
        <v>0</v>
      </c>
      <c r="AQ197" s="28">
        <v>0</v>
      </c>
      <c r="AR197" s="28">
        <v>0</v>
      </c>
      <c r="AS197" s="77">
        <v>0</v>
      </c>
      <c r="AT197" s="72">
        <v>0</v>
      </c>
      <c r="AU197" s="28">
        <v>0</v>
      </c>
      <c r="AV197" s="75">
        <v>195</v>
      </c>
      <c r="AY197" s="101" t="s">
        <v>685</v>
      </c>
      <c r="AZ197" s="77" t="s">
        <v>184</v>
      </c>
      <c r="BA197" s="77" t="s">
        <v>694</v>
      </c>
      <c r="BB197" s="130">
        <v>0.23255813953488372</v>
      </c>
      <c r="BC197" s="72">
        <v>0.3125</v>
      </c>
      <c r="BD197" s="72">
        <v>0.30232558139534882</v>
      </c>
      <c r="BE197" s="77">
        <v>13</v>
      </c>
      <c r="BF197" s="28">
        <v>43</v>
      </c>
      <c r="BG197" s="28">
        <v>5</v>
      </c>
      <c r="BH197" s="28">
        <v>10</v>
      </c>
      <c r="BI197" s="28">
        <v>0</v>
      </c>
      <c r="BJ197" s="28">
        <v>0</v>
      </c>
      <c r="BK197" s="28">
        <v>1</v>
      </c>
      <c r="BL197" s="28">
        <v>4</v>
      </c>
      <c r="BM197" s="28">
        <v>5</v>
      </c>
      <c r="BN197" s="28">
        <v>15</v>
      </c>
      <c r="BO197" s="77">
        <v>3</v>
      </c>
      <c r="BP197" s="28">
        <v>2</v>
      </c>
      <c r="BQ197" s="28">
        <v>3</v>
      </c>
      <c r="BR197" s="77">
        <v>13</v>
      </c>
      <c r="BS197" s="72">
        <v>0.61482558139534882</v>
      </c>
      <c r="BT197" s="28">
        <v>0</v>
      </c>
      <c r="BU197" s="75">
        <v>195</v>
      </c>
    </row>
    <row r="198" spans="1:73">
      <c r="A198" s="101" t="s">
        <v>685</v>
      </c>
      <c r="B198" s="71" t="s">
        <v>186</v>
      </c>
      <c r="C198" s="71" t="s">
        <v>702</v>
      </c>
      <c r="D198" s="72">
        <f>VLOOKUP(Table106[[#This Row],[NAME]],LAA_H[[NAME]:['#]],2,0)</f>
        <v>0.15384615384615385</v>
      </c>
      <c r="E198" s="72">
        <f>VLOOKUP(Table106[[#This Row],[NAME]],LAA_H[[NAME]:['#]],3,0)</f>
        <v>0.21428571428571427</v>
      </c>
      <c r="F198" s="72">
        <f>VLOOKUP(Table106[[#This Row],[NAME]],LAA_H[[NAME]:['#]],4,0)</f>
        <v>0.19230769230769232</v>
      </c>
      <c r="G198" s="77">
        <f>VLOOKUP(Table106[[#This Row],[NAME]],LAA_H[[NAME]:['#]],5,0)</f>
        <v>9</v>
      </c>
      <c r="H198" s="28">
        <f>VLOOKUP(Table106[[#This Row],[NAME]],LAA_H[[NAME]:['#]],6,0)</f>
        <v>26</v>
      </c>
      <c r="I198" s="28">
        <f>VLOOKUP(Table106[[#This Row],[NAME]],LAA_H[[NAME]:['#]],7,0)</f>
        <v>1</v>
      </c>
      <c r="J198" s="28">
        <f>VLOOKUP(Table106[[#This Row],[NAME]],LAA_H[[NAME]:['#]],8,0)</f>
        <v>4</v>
      </c>
      <c r="K198" s="28">
        <f>VLOOKUP(Table106[[#This Row],[NAME]],LAA_H[[NAME]:['#]],9,0)</f>
        <v>1</v>
      </c>
      <c r="L198" s="28">
        <f>VLOOKUP(Table106[[#This Row],[NAME]],LAA_H[[NAME]:['#]],10,0)</f>
        <v>0</v>
      </c>
      <c r="M198" s="28">
        <f>VLOOKUP(Table106[[#This Row],[NAME]],LAA_H[[NAME]:['#]],11,0)</f>
        <v>0</v>
      </c>
      <c r="N198" s="28">
        <f>VLOOKUP(Table106[[#This Row],[NAME]],LAA_H[[NAME]:['#]],12,0)</f>
        <v>1</v>
      </c>
      <c r="O198" s="28">
        <f>VLOOKUP(Table106[[#This Row],[NAME]],LAA_H[[NAME]:['#]],13,0)</f>
        <v>2</v>
      </c>
      <c r="P198" s="28">
        <f>VLOOKUP(Table106[[#This Row],[NAME]],LAA_H[[NAME]:['#]],14,0)</f>
        <v>8</v>
      </c>
      <c r="Q198" s="77">
        <f>VLOOKUP(Table106[[#This Row],[NAME]],LAA_H[[NAME]:['#]],15,0)</f>
        <v>0</v>
      </c>
      <c r="R198" s="28">
        <f>VLOOKUP(Table106[[#This Row],[NAME]],LAA_H[[NAME]:['#]],16,0)</f>
        <v>0</v>
      </c>
      <c r="S198" s="28">
        <f>VLOOKUP(Table106[[#This Row],[NAME]],LAA_H[[NAME]:['#]],17,0)</f>
        <v>2</v>
      </c>
      <c r="T198" s="77">
        <f>VLOOKUP(Table106[[#This Row],[NAME]],LAA_H[[NAME]:['#]],18,0)</f>
        <v>5</v>
      </c>
      <c r="U198" s="72">
        <f>VLOOKUP(Table106[[#This Row],[NAME]],LAA_H[[NAME]:['#]],19,0)</f>
        <v>0.40659340659340659</v>
      </c>
      <c r="V198" s="28">
        <f>VLOOKUP(Table106[[#This Row],[NAME]],LAA_H[[NAME]:['#]],20,0)</f>
        <v>0</v>
      </c>
      <c r="W198" s="75">
        <v>196</v>
      </c>
      <c r="Z198" s="101" t="s">
        <v>685</v>
      </c>
      <c r="AA198" s="77" t="s">
        <v>186</v>
      </c>
      <c r="AB198" s="77" t="s">
        <v>702</v>
      </c>
      <c r="AC198" s="130">
        <v>0.1</v>
      </c>
      <c r="AD198" s="72">
        <v>0.1</v>
      </c>
      <c r="AE198" s="72">
        <v>0.1</v>
      </c>
      <c r="AF198" s="77">
        <v>6</v>
      </c>
      <c r="AG198" s="28">
        <v>20</v>
      </c>
      <c r="AH198" s="28">
        <v>0</v>
      </c>
      <c r="AI198" s="28">
        <v>2</v>
      </c>
      <c r="AJ198" s="28">
        <v>0</v>
      </c>
      <c r="AK198" s="28">
        <v>0</v>
      </c>
      <c r="AL198" s="28">
        <v>0</v>
      </c>
      <c r="AM198" s="28">
        <v>0</v>
      </c>
      <c r="AN198" s="28">
        <v>0</v>
      </c>
      <c r="AO198" s="28">
        <v>6</v>
      </c>
      <c r="AP198" s="77">
        <v>0</v>
      </c>
      <c r="AQ198" s="28">
        <v>0</v>
      </c>
      <c r="AR198" s="28">
        <v>1</v>
      </c>
      <c r="AS198" s="77">
        <v>2</v>
      </c>
      <c r="AT198" s="72">
        <v>0.2</v>
      </c>
      <c r="AU198" s="28">
        <v>0</v>
      </c>
      <c r="AV198" s="75">
        <v>196</v>
      </c>
      <c r="AY198" s="101" t="s">
        <v>685</v>
      </c>
      <c r="AZ198" s="77" t="s">
        <v>184</v>
      </c>
      <c r="BA198" s="77" t="s">
        <v>702</v>
      </c>
      <c r="BB198" s="130">
        <v>0</v>
      </c>
      <c r="BC198" s="72">
        <v>0</v>
      </c>
      <c r="BD198" s="72">
        <v>0</v>
      </c>
      <c r="BE198" s="77">
        <v>0</v>
      </c>
      <c r="BF198" s="28">
        <v>0</v>
      </c>
      <c r="BG198" s="28">
        <v>0</v>
      </c>
      <c r="BH198" s="28">
        <v>0</v>
      </c>
      <c r="BI198" s="28">
        <v>0</v>
      </c>
      <c r="BJ198" s="28">
        <v>0</v>
      </c>
      <c r="BK198" s="28">
        <v>0</v>
      </c>
      <c r="BL198" s="28">
        <v>0</v>
      </c>
      <c r="BM198" s="28">
        <v>0</v>
      </c>
      <c r="BN198" s="28">
        <v>0</v>
      </c>
      <c r="BO198" s="77">
        <v>0</v>
      </c>
      <c r="BP198" s="28">
        <v>0</v>
      </c>
      <c r="BQ198" s="28">
        <v>0</v>
      </c>
      <c r="BR198" s="77">
        <v>0</v>
      </c>
      <c r="BS198" s="72">
        <v>0</v>
      </c>
      <c r="BT198" s="28">
        <v>0</v>
      </c>
      <c r="BU198" s="75">
        <v>196</v>
      </c>
    </row>
    <row r="199" spans="1:73">
      <c r="A199" s="101" t="s">
        <v>717</v>
      </c>
      <c r="B199" s="71" t="s">
        <v>308</v>
      </c>
      <c r="C199" s="71" t="s">
        <v>733</v>
      </c>
      <c r="D199" s="72">
        <f>VLOOKUP(Table106[[#This Row],[NAME]],OAK_H[[NAME]:['#]],2,0)</f>
        <v>0.29411764705882354</v>
      </c>
      <c r="E199" s="72">
        <f>VLOOKUP(Table106[[#This Row],[NAME]],OAK_H[[NAME]:['#]],3,0)</f>
        <v>0.35483870967741937</v>
      </c>
      <c r="F199" s="72">
        <f>VLOOKUP(Table106[[#This Row],[NAME]],OAK_H[[NAME]:['#]],4,0)</f>
        <v>0.49411764705882355</v>
      </c>
      <c r="G199" s="77">
        <f>VLOOKUP(Table106[[#This Row],[NAME]],OAK_H[[NAME]:['#]],5,0)</f>
        <v>24</v>
      </c>
      <c r="H199" s="28">
        <f>VLOOKUP(Table106[[#This Row],[NAME]],OAK_H[[NAME]:['#]],6,0)</f>
        <v>85</v>
      </c>
      <c r="I199" s="28">
        <f>VLOOKUP(Table106[[#This Row],[NAME]],OAK_H[[NAME]:['#]],7,0)</f>
        <v>15</v>
      </c>
      <c r="J199" s="28">
        <f>VLOOKUP(Table106[[#This Row],[NAME]],OAK_H[[NAME]:['#]],8,0)</f>
        <v>25</v>
      </c>
      <c r="K199" s="28">
        <f>VLOOKUP(Table106[[#This Row],[NAME]],OAK_H[[NAME]:['#]],9,0)</f>
        <v>2</v>
      </c>
      <c r="L199" s="28">
        <f>VLOOKUP(Table106[[#This Row],[NAME]],OAK_H[[NAME]:['#]],10,0)</f>
        <v>0</v>
      </c>
      <c r="M199" s="28">
        <f>VLOOKUP(Table106[[#This Row],[NAME]],OAK_H[[NAME]:['#]],11,0)</f>
        <v>5</v>
      </c>
      <c r="N199" s="28">
        <f>VLOOKUP(Table106[[#This Row],[NAME]],OAK_H[[NAME]:['#]],12,0)</f>
        <v>11</v>
      </c>
      <c r="O199" s="28">
        <f>VLOOKUP(Table106[[#This Row],[NAME]],OAK_H[[NAME]:['#]],13,0)</f>
        <v>8</v>
      </c>
      <c r="P199" s="28">
        <f>VLOOKUP(Table106[[#This Row],[NAME]],OAK_H[[NAME]:['#]],14,0)</f>
        <v>26</v>
      </c>
      <c r="Q199" s="77">
        <f>VLOOKUP(Table106[[#This Row],[NAME]],OAK_H[[NAME]:['#]],15,0)</f>
        <v>0</v>
      </c>
      <c r="R199" s="28">
        <f>VLOOKUP(Table106[[#This Row],[NAME]],OAK_H[[NAME]:['#]],16,0)</f>
        <v>1</v>
      </c>
      <c r="S199" s="28">
        <f>VLOOKUP(Table106[[#This Row],[NAME]],OAK_H[[NAME]:['#]],17,0)</f>
        <v>8</v>
      </c>
      <c r="T199" s="77">
        <f>VLOOKUP(Table106[[#This Row],[NAME]],OAK_H[[NAME]:['#]],18,0)</f>
        <v>42</v>
      </c>
      <c r="U199" s="72">
        <f>VLOOKUP(Table106[[#This Row],[NAME]],OAK_H[[NAME]:['#]],19,0)</f>
        <v>0.84895635673624292</v>
      </c>
      <c r="V199" s="28">
        <f>VLOOKUP(Table106[[#This Row],[NAME]],OAK_H[[NAME]:['#]],20,0)</f>
        <v>1</v>
      </c>
      <c r="W199" s="75">
        <v>197</v>
      </c>
      <c r="Z199" s="101" t="s">
        <v>717</v>
      </c>
      <c r="AA199" s="77" t="s">
        <v>179</v>
      </c>
      <c r="AB199" s="77" t="s">
        <v>725</v>
      </c>
      <c r="AC199" s="130">
        <v>0.14516129032258066</v>
      </c>
      <c r="AD199" s="72">
        <v>0.2318840579710145</v>
      </c>
      <c r="AE199" s="72">
        <v>0.29032258064516131</v>
      </c>
      <c r="AF199" s="77">
        <v>33</v>
      </c>
      <c r="AG199" s="28">
        <v>124</v>
      </c>
      <c r="AH199" s="28">
        <v>7</v>
      </c>
      <c r="AI199" s="28">
        <v>18</v>
      </c>
      <c r="AJ199" s="28">
        <v>6</v>
      </c>
      <c r="AK199" s="28">
        <v>0</v>
      </c>
      <c r="AL199" s="28">
        <v>4</v>
      </c>
      <c r="AM199" s="28">
        <v>10</v>
      </c>
      <c r="AN199" s="28">
        <v>14</v>
      </c>
      <c r="AO199" s="28">
        <v>44</v>
      </c>
      <c r="AP199" s="77">
        <v>0</v>
      </c>
      <c r="AQ199" s="28">
        <v>0</v>
      </c>
      <c r="AR199" s="28">
        <v>3</v>
      </c>
      <c r="AS199" s="77">
        <v>36</v>
      </c>
      <c r="AT199" s="72">
        <v>0.52220663861617578</v>
      </c>
      <c r="AU199" s="28">
        <v>1</v>
      </c>
      <c r="AV199" s="75">
        <v>197</v>
      </c>
      <c r="AY199" s="101" t="s">
        <v>717</v>
      </c>
      <c r="AZ199" s="77" t="s">
        <v>179</v>
      </c>
      <c r="BA199" s="77" t="s">
        <v>725</v>
      </c>
      <c r="BB199" s="130">
        <v>0.24031007751937986</v>
      </c>
      <c r="BC199" s="72">
        <v>0.32413793103448274</v>
      </c>
      <c r="BD199" s="72">
        <v>0.51162790697674421</v>
      </c>
      <c r="BE199" s="77">
        <v>37</v>
      </c>
      <c r="BF199" s="28">
        <v>129</v>
      </c>
      <c r="BG199" s="28">
        <v>21</v>
      </c>
      <c r="BH199" s="28">
        <v>31</v>
      </c>
      <c r="BI199" s="28">
        <v>2</v>
      </c>
      <c r="BJ199" s="28">
        <v>0</v>
      </c>
      <c r="BK199" s="28">
        <v>11</v>
      </c>
      <c r="BL199" s="28">
        <v>18</v>
      </c>
      <c r="BM199" s="28">
        <v>16</v>
      </c>
      <c r="BN199" s="28">
        <v>26</v>
      </c>
      <c r="BO199" s="77">
        <v>0</v>
      </c>
      <c r="BP199" s="28">
        <v>2</v>
      </c>
      <c r="BQ199" s="28">
        <v>6</v>
      </c>
      <c r="BR199" s="77">
        <v>66</v>
      </c>
      <c r="BS199" s="72">
        <v>0.83576583801122695</v>
      </c>
      <c r="BT199" s="28">
        <v>2</v>
      </c>
      <c r="BU199" s="75">
        <v>197</v>
      </c>
    </row>
    <row r="200" spans="1:73">
      <c r="A200" s="101" t="s">
        <v>717</v>
      </c>
      <c r="B200" s="71" t="s">
        <v>349</v>
      </c>
      <c r="C200" s="71" t="s">
        <v>721</v>
      </c>
      <c r="D200" s="72">
        <f>VLOOKUP(Table106[[#This Row],[NAME]],OAK_H[[NAME]:['#]],2,0)</f>
        <v>0.29054054054054052</v>
      </c>
      <c r="E200" s="72">
        <f>VLOOKUP(Table106[[#This Row],[NAME]],OAK_H[[NAME]:['#]],3,0)</f>
        <v>0.34782608695652173</v>
      </c>
      <c r="F200" s="72">
        <f>VLOOKUP(Table106[[#This Row],[NAME]],OAK_H[[NAME]:['#]],4,0)</f>
        <v>0.46621621621621623</v>
      </c>
      <c r="G200" s="77">
        <f>VLOOKUP(Table106[[#This Row],[NAME]],OAK_H[[NAME]:['#]],5,0)</f>
        <v>40</v>
      </c>
      <c r="H200" s="28">
        <f>VLOOKUP(Table106[[#This Row],[NAME]],OAK_H[[NAME]:['#]],6,0)</f>
        <v>148</v>
      </c>
      <c r="I200" s="28">
        <f>VLOOKUP(Table106[[#This Row],[NAME]],OAK_H[[NAME]:['#]],7,0)</f>
        <v>23</v>
      </c>
      <c r="J200" s="28">
        <f>VLOOKUP(Table106[[#This Row],[NAME]],OAK_H[[NAME]:['#]],8,0)</f>
        <v>43</v>
      </c>
      <c r="K200" s="28">
        <f>VLOOKUP(Table106[[#This Row],[NAME]],OAK_H[[NAME]:['#]],9,0)</f>
        <v>11</v>
      </c>
      <c r="L200" s="28">
        <f>VLOOKUP(Table106[[#This Row],[NAME]],OAK_H[[NAME]:['#]],10,0)</f>
        <v>0</v>
      </c>
      <c r="M200" s="28">
        <f>VLOOKUP(Table106[[#This Row],[NAME]],OAK_H[[NAME]:['#]],11,0)</f>
        <v>5</v>
      </c>
      <c r="N200" s="28">
        <f>VLOOKUP(Table106[[#This Row],[NAME]],OAK_H[[NAME]:['#]],12,0)</f>
        <v>17</v>
      </c>
      <c r="O200" s="28">
        <f>VLOOKUP(Table106[[#This Row],[NAME]],OAK_H[[NAME]:['#]],13,0)</f>
        <v>13</v>
      </c>
      <c r="P200" s="28">
        <f>VLOOKUP(Table106[[#This Row],[NAME]],OAK_H[[NAME]:['#]],14,0)</f>
        <v>27</v>
      </c>
      <c r="Q200" s="77">
        <f>VLOOKUP(Table106[[#This Row],[NAME]],OAK_H[[NAME]:['#]],15,0)</f>
        <v>0</v>
      </c>
      <c r="R200" s="28">
        <f>VLOOKUP(Table106[[#This Row],[NAME]],OAK_H[[NAME]:['#]],16,0)</f>
        <v>0</v>
      </c>
      <c r="S200" s="28">
        <f>VLOOKUP(Table106[[#This Row],[NAME]],OAK_H[[NAME]:['#]],17,0)</f>
        <v>7</v>
      </c>
      <c r="T200" s="77">
        <f>VLOOKUP(Table106[[#This Row],[NAME]],OAK_H[[NAME]:['#]],18,0)</f>
        <v>69</v>
      </c>
      <c r="U200" s="72">
        <f>VLOOKUP(Table106[[#This Row],[NAME]],OAK_H[[NAME]:['#]],19,0)</f>
        <v>0.81404230317273796</v>
      </c>
      <c r="V200" s="28">
        <f>VLOOKUP(Table106[[#This Row],[NAME]],OAK_H[[NAME]:['#]],20,0)</f>
        <v>2</v>
      </c>
      <c r="W200" s="75">
        <v>198</v>
      </c>
      <c r="Z200" s="101" t="s">
        <v>717</v>
      </c>
      <c r="AA200" s="77" t="s">
        <v>154</v>
      </c>
      <c r="AB200" s="77" t="s">
        <v>719</v>
      </c>
      <c r="AC200" s="130">
        <v>0.3048780487804878</v>
      </c>
      <c r="AD200" s="72">
        <v>0.37016574585635359</v>
      </c>
      <c r="AE200" s="72">
        <v>0.61585365853658536</v>
      </c>
      <c r="AF200" s="77">
        <v>40</v>
      </c>
      <c r="AG200" s="28">
        <v>164</v>
      </c>
      <c r="AH200" s="28">
        <v>15</v>
      </c>
      <c r="AI200" s="28">
        <v>50</v>
      </c>
      <c r="AJ200" s="28">
        <v>12</v>
      </c>
      <c r="AK200" s="28">
        <v>3</v>
      </c>
      <c r="AL200" s="28">
        <v>11</v>
      </c>
      <c r="AM200" s="28">
        <v>32</v>
      </c>
      <c r="AN200" s="28">
        <v>17</v>
      </c>
      <c r="AO200" s="28">
        <v>29</v>
      </c>
      <c r="AP200" s="77">
        <v>0</v>
      </c>
      <c r="AQ200" s="28">
        <v>7</v>
      </c>
      <c r="AR200" s="28">
        <v>7</v>
      </c>
      <c r="AS200" s="77">
        <v>101</v>
      </c>
      <c r="AT200" s="72">
        <v>0.98601940439293889</v>
      </c>
      <c r="AU200" s="28">
        <v>5</v>
      </c>
      <c r="AV200" s="75">
        <v>198</v>
      </c>
      <c r="AY200" s="101" t="s">
        <v>717</v>
      </c>
      <c r="AZ200" s="77" t="s">
        <v>154</v>
      </c>
      <c r="BA200" s="77" t="s">
        <v>277</v>
      </c>
      <c r="BB200" s="130">
        <v>0.21472392638036811</v>
      </c>
      <c r="BC200" s="72">
        <v>0.28491620111731841</v>
      </c>
      <c r="BD200" s="72">
        <v>0.36809815950920244</v>
      </c>
      <c r="BE200" s="77">
        <v>40</v>
      </c>
      <c r="BF200" s="28">
        <v>163</v>
      </c>
      <c r="BG200" s="28">
        <v>17</v>
      </c>
      <c r="BH200" s="28">
        <v>35</v>
      </c>
      <c r="BI200" s="28">
        <v>8</v>
      </c>
      <c r="BJ200" s="28">
        <v>1</v>
      </c>
      <c r="BK200" s="28">
        <v>5</v>
      </c>
      <c r="BL200" s="28">
        <v>18</v>
      </c>
      <c r="BM200" s="28">
        <v>16</v>
      </c>
      <c r="BN200" s="28">
        <v>58</v>
      </c>
      <c r="BO200" s="77">
        <v>0</v>
      </c>
      <c r="BP200" s="28">
        <v>0</v>
      </c>
      <c r="BQ200" s="28">
        <v>7</v>
      </c>
      <c r="BR200" s="77">
        <v>60</v>
      </c>
      <c r="BS200" s="72">
        <v>0.65301436062652085</v>
      </c>
      <c r="BT200" s="28">
        <v>0</v>
      </c>
      <c r="BU200" s="75">
        <v>198</v>
      </c>
    </row>
    <row r="201" spans="1:73">
      <c r="A201" s="101" t="s">
        <v>717</v>
      </c>
      <c r="B201" s="71" t="s">
        <v>235</v>
      </c>
      <c r="C201" s="71" t="s">
        <v>726</v>
      </c>
      <c r="D201" s="72">
        <f>VLOOKUP(Table106[[#This Row],[NAME]],OAK_H[[NAME]:['#]],2,0)</f>
        <v>0.32575757575757575</v>
      </c>
      <c r="E201" s="72">
        <f>VLOOKUP(Table106[[#This Row],[NAME]],OAK_H[[NAME]:['#]],3,0)</f>
        <v>0.3776223776223776</v>
      </c>
      <c r="F201" s="72">
        <f>VLOOKUP(Table106[[#This Row],[NAME]],OAK_H[[NAME]:['#]],4,0)</f>
        <v>0.51515151515151514</v>
      </c>
      <c r="G201" s="77">
        <f>VLOOKUP(Table106[[#This Row],[NAME]],OAK_H[[NAME]:['#]],5,0)</f>
        <v>36</v>
      </c>
      <c r="H201" s="28">
        <f>VLOOKUP(Table106[[#This Row],[NAME]],OAK_H[[NAME]:['#]],6,0)</f>
        <v>132</v>
      </c>
      <c r="I201" s="28">
        <f>VLOOKUP(Table106[[#This Row],[NAME]],OAK_H[[NAME]:['#]],7,0)</f>
        <v>16</v>
      </c>
      <c r="J201" s="28">
        <f>VLOOKUP(Table106[[#This Row],[NAME]],OAK_H[[NAME]:['#]],8,0)</f>
        <v>43</v>
      </c>
      <c r="K201" s="28">
        <f>VLOOKUP(Table106[[#This Row],[NAME]],OAK_H[[NAME]:['#]],9,0)</f>
        <v>10</v>
      </c>
      <c r="L201" s="28">
        <f>VLOOKUP(Table106[[#This Row],[NAME]],OAK_H[[NAME]:['#]],10,0)</f>
        <v>0</v>
      </c>
      <c r="M201" s="28">
        <f>VLOOKUP(Table106[[#This Row],[NAME]],OAK_H[[NAME]:['#]],11,0)</f>
        <v>5</v>
      </c>
      <c r="N201" s="28">
        <f>VLOOKUP(Table106[[#This Row],[NAME]],OAK_H[[NAME]:['#]],12,0)</f>
        <v>21</v>
      </c>
      <c r="O201" s="28">
        <f>VLOOKUP(Table106[[#This Row],[NAME]],OAK_H[[NAME]:['#]],13,0)</f>
        <v>11</v>
      </c>
      <c r="P201" s="28">
        <f>VLOOKUP(Table106[[#This Row],[NAME]],OAK_H[[NAME]:['#]],14,0)</f>
        <v>19</v>
      </c>
      <c r="Q201" s="77">
        <f>VLOOKUP(Table106[[#This Row],[NAME]],OAK_H[[NAME]:['#]],15,0)</f>
        <v>0</v>
      </c>
      <c r="R201" s="28">
        <f>VLOOKUP(Table106[[#This Row],[NAME]],OAK_H[[NAME]:['#]],16,0)</f>
        <v>6</v>
      </c>
      <c r="S201" s="28">
        <f>VLOOKUP(Table106[[#This Row],[NAME]],OAK_H[[NAME]:['#]],17,0)</f>
        <v>6</v>
      </c>
      <c r="T201" s="77">
        <f>VLOOKUP(Table106[[#This Row],[NAME]],OAK_H[[NAME]:['#]],18,0)</f>
        <v>68</v>
      </c>
      <c r="U201" s="72">
        <f>VLOOKUP(Table106[[#This Row],[NAME]],OAK_H[[NAME]:['#]],19,0)</f>
        <v>0.89277389277389274</v>
      </c>
      <c r="V201" s="28">
        <f>VLOOKUP(Table106[[#This Row],[NAME]],OAK_H[[NAME]:['#]],20,0)</f>
        <v>2</v>
      </c>
      <c r="W201" s="75">
        <v>199</v>
      </c>
      <c r="Z201" s="101" t="s">
        <v>717</v>
      </c>
      <c r="AA201" s="77" t="s">
        <v>172</v>
      </c>
      <c r="AB201" s="77" t="s">
        <v>728</v>
      </c>
      <c r="AC201" s="130">
        <v>0.20833333333333334</v>
      </c>
      <c r="AD201" s="72">
        <v>0.25196850393700787</v>
      </c>
      <c r="AE201" s="72">
        <v>0.30833333333333335</v>
      </c>
      <c r="AF201" s="77">
        <v>33</v>
      </c>
      <c r="AG201" s="28">
        <v>120</v>
      </c>
      <c r="AH201" s="28">
        <v>7</v>
      </c>
      <c r="AI201" s="28">
        <v>25</v>
      </c>
      <c r="AJ201" s="28">
        <v>4</v>
      </c>
      <c r="AK201" s="28">
        <v>1</v>
      </c>
      <c r="AL201" s="28">
        <v>2</v>
      </c>
      <c r="AM201" s="28">
        <v>10</v>
      </c>
      <c r="AN201" s="28">
        <v>7</v>
      </c>
      <c r="AO201" s="28">
        <v>23</v>
      </c>
      <c r="AP201" s="77">
        <v>0</v>
      </c>
      <c r="AQ201" s="28">
        <v>0</v>
      </c>
      <c r="AR201" s="28">
        <v>8</v>
      </c>
      <c r="AS201" s="77">
        <v>37</v>
      </c>
      <c r="AT201" s="72">
        <v>0.56030183727034122</v>
      </c>
      <c r="AU201" s="28">
        <v>0</v>
      </c>
      <c r="AV201" s="75">
        <v>199</v>
      </c>
      <c r="AY201" s="101" t="s">
        <v>717</v>
      </c>
      <c r="AZ201" s="77" t="s">
        <v>172</v>
      </c>
      <c r="BA201" s="77" t="s">
        <v>728</v>
      </c>
      <c r="BB201" s="130">
        <v>0.18018018018018017</v>
      </c>
      <c r="BC201" s="72">
        <v>0.2661290322580645</v>
      </c>
      <c r="BD201" s="72">
        <v>0.2072072072072072</v>
      </c>
      <c r="BE201" s="77">
        <v>36</v>
      </c>
      <c r="BF201" s="28">
        <v>111</v>
      </c>
      <c r="BG201" s="28">
        <v>8</v>
      </c>
      <c r="BH201" s="28">
        <v>20</v>
      </c>
      <c r="BI201" s="28">
        <v>1</v>
      </c>
      <c r="BJ201" s="28">
        <v>1</v>
      </c>
      <c r="BK201" s="28">
        <v>0</v>
      </c>
      <c r="BL201" s="28">
        <v>2</v>
      </c>
      <c r="BM201" s="28">
        <v>13</v>
      </c>
      <c r="BN201" s="28">
        <v>27</v>
      </c>
      <c r="BO201" s="77">
        <v>5</v>
      </c>
      <c r="BP201" s="28">
        <v>1</v>
      </c>
      <c r="BQ201" s="28">
        <v>5</v>
      </c>
      <c r="BR201" s="77">
        <v>23</v>
      </c>
      <c r="BS201" s="72">
        <v>0.4733362394652717</v>
      </c>
      <c r="BT201" s="28">
        <v>1</v>
      </c>
      <c r="BU201" s="75">
        <v>199</v>
      </c>
    </row>
    <row r="202" spans="1:73">
      <c r="A202" s="101" t="s">
        <v>717</v>
      </c>
      <c r="B202" s="71" t="s">
        <v>153</v>
      </c>
      <c r="C202" s="71" t="s">
        <v>728</v>
      </c>
      <c r="D202" s="72">
        <f>VLOOKUP(Table106[[#This Row],[NAME]],OAK_H[[NAME]:['#]],2,0)</f>
        <v>0.2814814814814815</v>
      </c>
      <c r="E202" s="72">
        <f>VLOOKUP(Table106[[#This Row],[NAME]],OAK_H[[NAME]:['#]],3,0)</f>
        <v>0.31690140845070425</v>
      </c>
      <c r="F202" s="72">
        <f>VLOOKUP(Table106[[#This Row],[NAME]],OAK_H[[NAME]:['#]],4,0)</f>
        <v>0.37777777777777777</v>
      </c>
      <c r="G202" s="77">
        <f>VLOOKUP(Table106[[#This Row],[NAME]],OAK_H[[NAME]:['#]],5,0)</f>
        <v>36</v>
      </c>
      <c r="H202" s="28">
        <f>VLOOKUP(Table106[[#This Row],[NAME]],OAK_H[[NAME]:['#]],6,0)</f>
        <v>135</v>
      </c>
      <c r="I202" s="28">
        <f>VLOOKUP(Table106[[#This Row],[NAME]],OAK_H[[NAME]:['#]],7,0)</f>
        <v>12</v>
      </c>
      <c r="J202" s="28">
        <f>VLOOKUP(Table106[[#This Row],[NAME]],OAK_H[[NAME]:['#]],8,0)</f>
        <v>38</v>
      </c>
      <c r="K202" s="28">
        <f>VLOOKUP(Table106[[#This Row],[NAME]],OAK_H[[NAME]:['#]],9,0)</f>
        <v>9</v>
      </c>
      <c r="L202" s="28">
        <f>VLOOKUP(Table106[[#This Row],[NAME]],OAK_H[[NAME]:['#]],10,0)</f>
        <v>2</v>
      </c>
      <c r="M202" s="28">
        <f>VLOOKUP(Table106[[#This Row],[NAME]],OAK_H[[NAME]:['#]],11,0)</f>
        <v>0</v>
      </c>
      <c r="N202" s="28">
        <f>VLOOKUP(Table106[[#This Row],[NAME]],OAK_H[[NAME]:['#]],12,0)</f>
        <v>21</v>
      </c>
      <c r="O202" s="28">
        <f>VLOOKUP(Table106[[#This Row],[NAME]],OAK_H[[NAME]:['#]],13,0)</f>
        <v>7</v>
      </c>
      <c r="P202" s="28">
        <f>VLOOKUP(Table106[[#This Row],[NAME]],OAK_H[[NAME]:['#]],14,0)</f>
        <v>28</v>
      </c>
      <c r="Q202" s="77">
        <f>VLOOKUP(Table106[[#This Row],[NAME]],OAK_H[[NAME]:['#]],15,0)</f>
        <v>4</v>
      </c>
      <c r="R202" s="28">
        <f>VLOOKUP(Table106[[#This Row],[NAME]],OAK_H[[NAME]:['#]],16,0)</f>
        <v>3</v>
      </c>
      <c r="S202" s="28">
        <f>VLOOKUP(Table106[[#This Row],[NAME]],OAK_H[[NAME]:['#]],17,0)</f>
        <v>7</v>
      </c>
      <c r="T202" s="77">
        <f>VLOOKUP(Table106[[#This Row],[NAME]],OAK_H[[NAME]:['#]],18,0)</f>
        <v>51</v>
      </c>
      <c r="U202" s="72">
        <f>VLOOKUP(Table106[[#This Row],[NAME]],OAK_H[[NAME]:['#]],19,0)</f>
        <v>0.69467918622848202</v>
      </c>
      <c r="V202" s="28">
        <f>VLOOKUP(Table106[[#This Row],[NAME]],OAK_H[[NAME]:['#]],20,0)</f>
        <v>1</v>
      </c>
      <c r="W202" s="75">
        <v>200</v>
      </c>
      <c r="Z202" s="101" t="s">
        <v>717</v>
      </c>
      <c r="AA202" s="77" t="s">
        <v>153</v>
      </c>
      <c r="AB202" s="77" t="s">
        <v>731</v>
      </c>
      <c r="AC202" s="130">
        <v>0.22033898305084745</v>
      </c>
      <c r="AD202" s="72">
        <v>0.29770992366412213</v>
      </c>
      <c r="AE202" s="72">
        <v>0.26271186440677968</v>
      </c>
      <c r="AF202" s="77">
        <v>32</v>
      </c>
      <c r="AG202" s="28">
        <v>118</v>
      </c>
      <c r="AH202" s="28">
        <v>8</v>
      </c>
      <c r="AI202" s="28">
        <v>26</v>
      </c>
      <c r="AJ202" s="28">
        <v>2</v>
      </c>
      <c r="AK202" s="28">
        <v>0</v>
      </c>
      <c r="AL202" s="28">
        <v>1</v>
      </c>
      <c r="AM202" s="28">
        <v>6</v>
      </c>
      <c r="AN202" s="28">
        <v>13</v>
      </c>
      <c r="AO202" s="28">
        <v>20</v>
      </c>
      <c r="AP202" s="77">
        <v>0</v>
      </c>
      <c r="AQ202" s="28">
        <v>2</v>
      </c>
      <c r="AR202" s="28">
        <v>9</v>
      </c>
      <c r="AS202" s="77">
        <v>31</v>
      </c>
      <c r="AT202" s="72">
        <v>0.56042178807090182</v>
      </c>
      <c r="AU202" s="28">
        <v>0</v>
      </c>
      <c r="AV202" s="75">
        <v>200</v>
      </c>
      <c r="AY202" s="101" t="s">
        <v>717</v>
      </c>
      <c r="AZ202" s="77" t="s">
        <v>153</v>
      </c>
      <c r="BA202" s="77" t="s">
        <v>731</v>
      </c>
      <c r="BB202" s="130">
        <v>0.2857142857142857</v>
      </c>
      <c r="BC202" s="72">
        <v>0.375</v>
      </c>
      <c r="BD202" s="72">
        <v>0.38775510204081631</v>
      </c>
      <c r="BE202" s="77">
        <v>30</v>
      </c>
      <c r="BF202" s="28">
        <v>98</v>
      </c>
      <c r="BG202" s="28">
        <v>14</v>
      </c>
      <c r="BH202" s="28">
        <v>28</v>
      </c>
      <c r="BI202" s="28">
        <v>5</v>
      </c>
      <c r="BJ202" s="28">
        <v>1</v>
      </c>
      <c r="BK202" s="28">
        <v>1</v>
      </c>
      <c r="BL202" s="28">
        <v>11</v>
      </c>
      <c r="BM202" s="28">
        <v>14</v>
      </c>
      <c r="BN202" s="28">
        <v>23</v>
      </c>
      <c r="BO202" s="77">
        <v>0</v>
      </c>
      <c r="BP202" s="28">
        <v>2</v>
      </c>
      <c r="BQ202" s="28">
        <v>7</v>
      </c>
      <c r="BR202" s="77">
        <v>38</v>
      </c>
      <c r="BS202" s="72">
        <v>0.76275510204081631</v>
      </c>
      <c r="BT202" s="28">
        <v>2</v>
      </c>
      <c r="BU202" s="75">
        <v>200</v>
      </c>
    </row>
    <row r="203" spans="1:73">
      <c r="A203" s="101" t="s">
        <v>717</v>
      </c>
      <c r="B203" s="71" t="s">
        <v>177</v>
      </c>
      <c r="C203" s="71" t="s">
        <v>724</v>
      </c>
      <c r="D203" s="72">
        <f>VLOOKUP(Table106[[#This Row],[NAME]],OAK_H[[NAME]:['#]],2,0)</f>
        <v>0.25874125874125875</v>
      </c>
      <c r="E203" s="72">
        <f>VLOOKUP(Table106[[#This Row],[NAME]],OAK_H[[NAME]:['#]],3,0)</f>
        <v>0.39772727272727271</v>
      </c>
      <c r="F203" s="72">
        <f>VLOOKUP(Table106[[#This Row],[NAME]],OAK_H[[NAME]:['#]],4,0)</f>
        <v>0.47552447552447552</v>
      </c>
      <c r="G203" s="77">
        <f>VLOOKUP(Table106[[#This Row],[NAME]],OAK_H[[NAME]:['#]],5,0)</f>
        <v>40</v>
      </c>
      <c r="H203" s="28">
        <f>VLOOKUP(Table106[[#This Row],[NAME]],OAK_H[[NAME]:['#]],6,0)</f>
        <v>143</v>
      </c>
      <c r="I203" s="28">
        <f>VLOOKUP(Table106[[#This Row],[NAME]],OAK_H[[NAME]:['#]],7,0)</f>
        <v>24</v>
      </c>
      <c r="J203" s="28">
        <f>VLOOKUP(Table106[[#This Row],[NAME]],OAK_H[[NAME]:['#]],8,0)</f>
        <v>37</v>
      </c>
      <c r="K203" s="28">
        <f>VLOOKUP(Table106[[#This Row],[NAME]],OAK_H[[NAME]:['#]],9,0)</f>
        <v>4</v>
      </c>
      <c r="L203" s="28">
        <f>VLOOKUP(Table106[[#This Row],[NAME]],OAK_H[[NAME]:['#]],10,0)</f>
        <v>0</v>
      </c>
      <c r="M203" s="28">
        <f>VLOOKUP(Table106[[#This Row],[NAME]],OAK_H[[NAME]:['#]],11,0)</f>
        <v>9</v>
      </c>
      <c r="N203" s="28">
        <f>VLOOKUP(Table106[[#This Row],[NAME]],OAK_H[[NAME]:['#]],12,0)</f>
        <v>22</v>
      </c>
      <c r="O203" s="28">
        <f>VLOOKUP(Table106[[#This Row],[NAME]],OAK_H[[NAME]:['#]],13,0)</f>
        <v>33</v>
      </c>
      <c r="P203" s="28">
        <f>VLOOKUP(Table106[[#This Row],[NAME]],OAK_H[[NAME]:['#]],14,0)</f>
        <v>30</v>
      </c>
      <c r="Q203" s="77">
        <f>VLOOKUP(Table106[[#This Row],[NAME]],OAK_H[[NAME]:['#]],15,0)</f>
        <v>0</v>
      </c>
      <c r="R203" s="28">
        <f>VLOOKUP(Table106[[#This Row],[NAME]],OAK_H[[NAME]:['#]],16,0)</f>
        <v>0</v>
      </c>
      <c r="S203" s="28">
        <f>VLOOKUP(Table106[[#This Row],[NAME]],OAK_H[[NAME]:['#]],17,0)</f>
        <v>5</v>
      </c>
      <c r="T203" s="77">
        <f>VLOOKUP(Table106[[#This Row],[NAME]],OAK_H[[NAME]:['#]],18,0)</f>
        <v>68</v>
      </c>
      <c r="U203" s="72">
        <f>VLOOKUP(Table106[[#This Row],[NAME]],OAK_H[[NAME]:['#]],19,0)</f>
        <v>0.87325174825174823</v>
      </c>
      <c r="V203" s="28">
        <f>VLOOKUP(Table106[[#This Row],[NAME]],OAK_H[[NAME]:['#]],20,0)</f>
        <v>1</v>
      </c>
      <c r="W203" s="75">
        <v>201</v>
      </c>
      <c r="Z203" s="101" t="s">
        <v>717</v>
      </c>
      <c r="AA203" s="77" t="s">
        <v>177</v>
      </c>
      <c r="AB203" s="77" t="s">
        <v>732</v>
      </c>
      <c r="AC203" s="130">
        <v>0.19587628865979381</v>
      </c>
      <c r="AD203" s="72">
        <v>0.27777777777777779</v>
      </c>
      <c r="AE203" s="72">
        <v>0.31958762886597936</v>
      </c>
      <c r="AF203" s="77">
        <v>26</v>
      </c>
      <c r="AG203" s="28">
        <v>97</v>
      </c>
      <c r="AH203" s="28">
        <v>8</v>
      </c>
      <c r="AI203" s="28">
        <v>19</v>
      </c>
      <c r="AJ203" s="28">
        <v>3</v>
      </c>
      <c r="AK203" s="28">
        <v>0</v>
      </c>
      <c r="AL203" s="28">
        <v>3</v>
      </c>
      <c r="AM203" s="28">
        <v>3</v>
      </c>
      <c r="AN203" s="28">
        <v>11</v>
      </c>
      <c r="AO203" s="28">
        <v>31</v>
      </c>
      <c r="AP203" s="77">
        <v>0</v>
      </c>
      <c r="AQ203" s="28">
        <v>0</v>
      </c>
      <c r="AR203" s="28">
        <v>4</v>
      </c>
      <c r="AS203" s="77">
        <v>31</v>
      </c>
      <c r="AT203" s="72">
        <v>0.59736540664375715</v>
      </c>
      <c r="AU203" s="28">
        <v>0</v>
      </c>
      <c r="AV203" s="75">
        <v>201</v>
      </c>
      <c r="AY203" s="101" t="s">
        <v>717</v>
      </c>
      <c r="AZ203" s="352" t="s">
        <v>177</v>
      </c>
      <c r="BA203" s="77" t="s">
        <v>720</v>
      </c>
      <c r="BB203" s="130">
        <v>0.32298136645962733</v>
      </c>
      <c r="BC203" s="72">
        <v>0.38068181818181818</v>
      </c>
      <c r="BD203" s="72">
        <v>0.56521739130434778</v>
      </c>
      <c r="BE203" s="77">
        <v>40</v>
      </c>
      <c r="BF203" s="28">
        <v>161</v>
      </c>
      <c r="BG203" s="28">
        <v>22</v>
      </c>
      <c r="BH203" s="28">
        <v>52</v>
      </c>
      <c r="BI203" s="28">
        <v>9</v>
      </c>
      <c r="BJ203" s="28">
        <v>0</v>
      </c>
      <c r="BK203" s="28">
        <v>10</v>
      </c>
      <c r="BL203" s="28">
        <v>41</v>
      </c>
      <c r="BM203" s="28">
        <v>15</v>
      </c>
      <c r="BN203" s="28">
        <v>40</v>
      </c>
      <c r="BO203" s="77">
        <v>0</v>
      </c>
      <c r="BP203" s="28">
        <v>2</v>
      </c>
      <c r="BQ203" s="28">
        <v>7</v>
      </c>
      <c r="BR203" s="77">
        <v>91</v>
      </c>
      <c r="BS203" s="72">
        <v>0.94589920948616601</v>
      </c>
      <c r="BT203" s="28">
        <v>4</v>
      </c>
      <c r="BU203" s="75">
        <v>201</v>
      </c>
    </row>
    <row r="204" spans="1:73">
      <c r="A204" s="101" t="s">
        <v>717</v>
      </c>
      <c r="B204" s="71" t="s">
        <v>174</v>
      </c>
      <c r="C204" s="71" t="s">
        <v>722</v>
      </c>
      <c r="D204" s="72">
        <f>VLOOKUP(Table106[[#This Row],[NAME]],OAK_H[[NAME]:['#]],2,0)</f>
        <v>0.26708074534161491</v>
      </c>
      <c r="E204" s="72">
        <f>VLOOKUP(Table106[[#This Row],[NAME]],OAK_H[[NAME]:['#]],3,0)</f>
        <v>0.36898395721925131</v>
      </c>
      <c r="F204" s="72">
        <f>VLOOKUP(Table106[[#This Row],[NAME]],OAK_H[[NAME]:['#]],4,0)</f>
        <v>0.40372670807453415</v>
      </c>
      <c r="G204" s="77">
        <f>VLOOKUP(Table106[[#This Row],[NAME]],OAK_H[[NAME]:['#]],5,0)</f>
        <v>40</v>
      </c>
      <c r="H204" s="28">
        <f>VLOOKUP(Table106[[#This Row],[NAME]],OAK_H[[NAME]:['#]],6,0)</f>
        <v>161</v>
      </c>
      <c r="I204" s="28">
        <f>VLOOKUP(Table106[[#This Row],[NAME]],OAK_H[[NAME]:['#]],7,0)</f>
        <v>24</v>
      </c>
      <c r="J204" s="28">
        <f>VLOOKUP(Table106[[#This Row],[NAME]],OAK_H[[NAME]:['#]],8,0)</f>
        <v>43</v>
      </c>
      <c r="K204" s="28">
        <f>VLOOKUP(Table106[[#This Row],[NAME]],OAK_H[[NAME]:['#]],9,0)</f>
        <v>7</v>
      </c>
      <c r="L204" s="28">
        <f>VLOOKUP(Table106[[#This Row],[NAME]],OAK_H[[NAME]:['#]],10,0)</f>
        <v>0</v>
      </c>
      <c r="M204" s="28">
        <f>VLOOKUP(Table106[[#This Row],[NAME]],OAK_H[[NAME]:['#]],11,0)</f>
        <v>5</v>
      </c>
      <c r="N204" s="28">
        <f>VLOOKUP(Table106[[#This Row],[NAME]],OAK_H[[NAME]:['#]],12,0)</f>
        <v>11</v>
      </c>
      <c r="O204" s="28">
        <f>VLOOKUP(Table106[[#This Row],[NAME]],OAK_H[[NAME]:['#]],13,0)</f>
        <v>26</v>
      </c>
      <c r="P204" s="28">
        <f>VLOOKUP(Table106[[#This Row],[NAME]],OAK_H[[NAME]:['#]],14,0)</f>
        <v>31</v>
      </c>
      <c r="Q204" s="352">
        <f>VLOOKUP(Table106[[#This Row],[NAME]],OAK_H[[NAME]:['#]],15,0)</f>
        <v>23</v>
      </c>
      <c r="R204" s="28">
        <f>VLOOKUP(Table106[[#This Row],[NAME]],OAK_H[[NAME]:['#]],16,0)</f>
        <v>1</v>
      </c>
      <c r="S204" s="28">
        <f>VLOOKUP(Table106[[#This Row],[NAME]],OAK_H[[NAME]:['#]],17,0)</f>
        <v>5</v>
      </c>
      <c r="T204" s="77">
        <f>VLOOKUP(Table106[[#This Row],[NAME]],OAK_H[[NAME]:['#]],18,0)</f>
        <v>65</v>
      </c>
      <c r="U204" s="72">
        <f>VLOOKUP(Table106[[#This Row],[NAME]],OAK_H[[NAME]:['#]],19,0)</f>
        <v>0.7727106652937854</v>
      </c>
      <c r="V204" s="28">
        <f>VLOOKUP(Table106[[#This Row],[NAME]],OAK_H[[NAME]:['#]],20,0)</f>
        <v>1</v>
      </c>
      <c r="W204" s="75">
        <v>202</v>
      </c>
      <c r="Z204" s="101" t="s">
        <v>717</v>
      </c>
      <c r="AA204" s="77" t="s">
        <v>174</v>
      </c>
      <c r="AB204" s="77" t="s">
        <v>722</v>
      </c>
      <c r="AC204" s="130">
        <v>0.26315789473684209</v>
      </c>
      <c r="AD204" s="72">
        <v>0.34375</v>
      </c>
      <c r="AE204" s="72">
        <v>0.391812865497076</v>
      </c>
      <c r="AF204" s="77">
        <v>40</v>
      </c>
      <c r="AG204" s="28">
        <v>171</v>
      </c>
      <c r="AH204" s="28">
        <v>28</v>
      </c>
      <c r="AI204" s="28">
        <v>45</v>
      </c>
      <c r="AJ204" s="28">
        <v>8</v>
      </c>
      <c r="AK204" s="28">
        <v>4</v>
      </c>
      <c r="AL204" s="28">
        <v>2</v>
      </c>
      <c r="AM204" s="28">
        <v>10</v>
      </c>
      <c r="AN204" s="28">
        <v>21</v>
      </c>
      <c r="AO204" s="28">
        <v>27</v>
      </c>
      <c r="AP204" s="352">
        <v>19</v>
      </c>
      <c r="AQ204" s="28">
        <v>1</v>
      </c>
      <c r="AR204" s="28">
        <v>9</v>
      </c>
      <c r="AS204" s="77">
        <v>67</v>
      </c>
      <c r="AT204" s="72">
        <v>0.73556286549707606</v>
      </c>
      <c r="AU204" s="28">
        <v>0</v>
      </c>
      <c r="AV204" s="75">
        <v>202</v>
      </c>
      <c r="AY204" s="101" t="s">
        <v>717</v>
      </c>
      <c r="AZ204" s="77" t="s">
        <v>174</v>
      </c>
      <c r="BA204" s="77" t="s">
        <v>722</v>
      </c>
      <c r="BB204" s="130">
        <v>0.23809523809523808</v>
      </c>
      <c r="BC204" s="72">
        <v>0.39459459459459462</v>
      </c>
      <c r="BD204" s="72">
        <v>0.31292517006802723</v>
      </c>
      <c r="BE204" s="77">
        <v>40</v>
      </c>
      <c r="BF204" s="28">
        <v>147</v>
      </c>
      <c r="BG204" s="28">
        <v>28</v>
      </c>
      <c r="BH204" s="28">
        <v>35</v>
      </c>
      <c r="BI204" s="28">
        <v>6</v>
      </c>
      <c r="BJ204" s="28">
        <v>1</v>
      </c>
      <c r="BK204" s="28">
        <v>1</v>
      </c>
      <c r="BL204" s="28">
        <v>17</v>
      </c>
      <c r="BM204" s="76">
        <v>38</v>
      </c>
      <c r="BN204" s="28">
        <v>31</v>
      </c>
      <c r="BO204" s="531">
        <v>29</v>
      </c>
      <c r="BP204" s="28">
        <v>0</v>
      </c>
      <c r="BQ204" s="28">
        <v>4</v>
      </c>
      <c r="BR204" s="77">
        <v>46</v>
      </c>
      <c r="BS204" s="72">
        <v>0.7075197646626219</v>
      </c>
      <c r="BT204" s="28">
        <v>2</v>
      </c>
      <c r="BU204" s="75">
        <v>202</v>
      </c>
    </row>
    <row r="205" spans="1:73">
      <c r="A205" s="101" t="s">
        <v>717</v>
      </c>
      <c r="B205" s="71" t="s">
        <v>383</v>
      </c>
      <c r="C205" s="71" t="s">
        <v>730</v>
      </c>
      <c r="D205" s="72">
        <f>VLOOKUP(Table106[[#This Row],[NAME]],OAK_H[[NAME]:['#]],2,0)</f>
        <v>0.23376623376623376</v>
      </c>
      <c r="E205" s="72">
        <f>VLOOKUP(Table106[[#This Row],[NAME]],OAK_H[[NAME]:['#]],3,0)</f>
        <v>0.25786163522012578</v>
      </c>
      <c r="F205" s="72">
        <f>VLOOKUP(Table106[[#This Row],[NAME]],OAK_H[[NAME]:['#]],4,0)</f>
        <v>0.42207792207792205</v>
      </c>
      <c r="G205" s="77">
        <f>VLOOKUP(Table106[[#This Row],[NAME]],OAK_H[[NAME]:['#]],5,0)</f>
        <v>35</v>
      </c>
      <c r="H205" s="28">
        <f>VLOOKUP(Table106[[#This Row],[NAME]],OAK_H[[NAME]:['#]],6,0)</f>
        <v>154</v>
      </c>
      <c r="I205" s="28">
        <f>VLOOKUP(Table106[[#This Row],[NAME]],OAK_H[[NAME]:['#]],7,0)</f>
        <v>15</v>
      </c>
      <c r="J205" s="28">
        <f>VLOOKUP(Table106[[#This Row],[NAME]],OAK_H[[NAME]:['#]],8,0)</f>
        <v>36</v>
      </c>
      <c r="K205" s="28">
        <f>VLOOKUP(Table106[[#This Row],[NAME]],OAK_H[[NAME]:['#]],9,0)</f>
        <v>7</v>
      </c>
      <c r="L205" s="28">
        <f>VLOOKUP(Table106[[#This Row],[NAME]],OAK_H[[NAME]:['#]],10,0)</f>
        <v>2</v>
      </c>
      <c r="M205" s="28">
        <f>VLOOKUP(Table106[[#This Row],[NAME]],OAK_H[[NAME]:['#]],11,0)</f>
        <v>6</v>
      </c>
      <c r="N205" s="28">
        <f>VLOOKUP(Table106[[#This Row],[NAME]],OAK_H[[NAME]:['#]],12,0)</f>
        <v>23</v>
      </c>
      <c r="O205" s="28">
        <f>VLOOKUP(Table106[[#This Row],[NAME]],OAK_H[[NAME]:['#]],13,0)</f>
        <v>5</v>
      </c>
      <c r="P205" s="28">
        <f>VLOOKUP(Table106[[#This Row],[NAME]],OAK_H[[NAME]:['#]],14,0)</f>
        <v>36</v>
      </c>
      <c r="Q205" s="77">
        <f>VLOOKUP(Table106[[#This Row],[NAME]],OAK_H[[NAME]:['#]],15,0)</f>
        <v>4</v>
      </c>
      <c r="R205" s="28">
        <f>VLOOKUP(Table106[[#This Row],[NAME]],OAK_H[[NAME]:['#]],16,0)</f>
        <v>0</v>
      </c>
      <c r="S205" s="28">
        <f>VLOOKUP(Table106[[#This Row],[NAME]],OAK_H[[NAME]:['#]],17,0)</f>
        <v>6</v>
      </c>
      <c r="T205" s="77">
        <f>VLOOKUP(Table106[[#This Row],[NAME]],OAK_H[[NAME]:['#]],18,0)</f>
        <v>65</v>
      </c>
      <c r="U205" s="72">
        <f>VLOOKUP(Table106[[#This Row],[NAME]],OAK_H[[NAME]:['#]],19,0)</f>
        <v>0.67993955729804778</v>
      </c>
      <c r="V205" s="28">
        <f>VLOOKUP(Table106[[#This Row],[NAME]],OAK_H[[NAME]:['#]],20,0)</f>
        <v>2</v>
      </c>
      <c r="W205" s="75">
        <v>203</v>
      </c>
      <c r="Z205" s="101" t="s">
        <v>717</v>
      </c>
      <c r="AA205" s="77" t="s">
        <v>181</v>
      </c>
      <c r="AB205" s="77" t="s">
        <v>723</v>
      </c>
      <c r="AC205" s="130">
        <v>0.23030303030303031</v>
      </c>
      <c r="AD205" s="72">
        <v>0.28651685393258425</v>
      </c>
      <c r="AE205" s="72">
        <v>0.32727272727272727</v>
      </c>
      <c r="AF205" s="77">
        <v>40</v>
      </c>
      <c r="AG205" s="28">
        <v>165</v>
      </c>
      <c r="AH205" s="28">
        <v>20</v>
      </c>
      <c r="AI205" s="28">
        <v>38</v>
      </c>
      <c r="AJ205" s="28">
        <v>2</v>
      </c>
      <c r="AK205" s="28">
        <v>1</v>
      </c>
      <c r="AL205" s="28">
        <v>4</v>
      </c>
      <c r="AM205" s="28">
        <v>24</v>
      </c>
      <c r="AN205" s="28">
        <v>13</v>
      </c>
      <c r="AO205" s="28">
        <v>48</v>
      </c>
      <c r="AP205" s="77">
        <v>5</v>
      </c>
      <c r="AQ205" s="28">
        <v>1</v>
      </c>
      <c r="AR205" s="28">
        <v>10</v>
      </c>
      <c r="AS205" s="77">
        <v>54</v>
      </c>
      <c r="AT205" s="72">
        <v>0.61378958120531157</v>
      </c>
      <c r="AU205" s="28">
        <v>2</v>
      </c>
      <c r="AV205" s="75">
        <v>203</v>
      </c>
      <c r="AY205" s="101" t="s">
        <v>717</v>
      </c>
      <c r="AZ205" s="77" t="s">
        <v>181</v>
      </c>
      <c r="BA205" s="77" t="s">
        <v>723</v>
      </c>
      <c r="BB205" s="130">
        <v>0.27058823529411763</v>
      </c>
      <c r="BC205" s="72">
        <v>0.31868131868131866</v>
      </c>
      <c r="BD205" s="72">
        <v>0.41764705882352943</v>
      </c>
      <c r="BE205" s="77">
        <v>40</v>
      </c>
      <c r="BF205" s="28">
        <v>170</v>
      </c>
      <c r="BG205" s="28">
        <v>24</v>
      </c>
      <c r="BH205" s="28">
        <v>46</v>
      </c>
      <c r="BI205" s="28">
        <v>11</v>
      </c>
      <c r="BJ205" s="28">
        <v>1</v>
      </c>
      <c r="BK205" s="28">
        <v>4</v>
      </c>
      <c r="BL205" s="28">
        <v>16</v>
      </c>
      <c r="BM205" s="28">
        <v>12</v>
      </c>
      <c r="BN205" s="28">
        <v>39</v>
      </c>
      <c r="BO205" s="77">
        <v>15</v>
      </c>
      <c r="BP205" s="28">
        <v>0</v>
      </c>
      <c r="BQ205" s="28">
        <v>6</v>
      </c>
      <c r="BR205" s="77">
        <v>71</v>
      </c>
      <c r="BS205" s="72">
        <v>0.73632837750484814</v>
      </c>
      <c r="BT205" s="28">
        <v>1</v>
      </c>
      <c r="BU205" s="75">
        <v>203</v>
      </c>
    </row>
    <row r="206" spans="1:73">
      <c r="A206" s="101" t="s">
        <v>717</v>
      </c>
      <c r="B206" s="71" t="s">
        <v>166</v>
      </c>
      <c r="C206" s="71" t="s">
        <v>727</v>
      </c>
      <c r="D206" s="72">
        <f>VLOOKUP(Table106[[#This Row],[NAME]],OAK_H[[NAME]:['#]],2,0)</f>
        <v>0.19354838709677419</v>
      </c>
      <c r="E206" s="72">
        <f>VLOOKUP(Table106[[#This Row],[NAME]],OAK_H[[NAME]:['#]],3,0)</f>
        <v>0.27536231884057971</v>
      </c>
      <c r="F206" s="72">
        <f>VLOOKUP(Table106[[#This Row],[NAME]],OAK_H[[NAME]:['#]],4,0)</f>
        <v>0.36290322580645162</v>
      </c>
      <c r="G206" s="77">
        <f>VLOOKUP(Table106[[#This Row],[NAME]],OAK_H[[NAME]:['#]],5,0)</f>
        <v>33</v>
      </c>
      <c r="H206" s="28">
        <f>VLOOKUP(Table106[[#This Row],[NAME]],OAK_H[[NAME]:['#]],6,0)</f>
        <v>124</v>
      </c>
      <c r="I206" s="28">
        <f>VLOOKUP(Table106[[#This Row],[NAME]],OAK_H[[NAME]:['#]],7,0)</f>
        <v>16</v>
      </c>
      <c r="J206" s="28">
        <f>VLOOKUP(Table106[[#This Row],[NAME]],OAK_H[[NAME]:['#]],8,0)</f>
        <v>24</v>
      </c>
      <c r="K206" s="28">
        <f>VLOOKUP(Table106[[#This Row],[NAME]],OAK_H[[NAME]:['#]],9,0)</f>
        <v>3</v>
      </c>
      <c r="L206" s="28">
        <f>VLOOKUP(Table106[[#This Row],[NAME]],OAK_H[[NAME]:['#]],10,0)</f>
        <v>0</v>
      </c>
      <c r="M206" s="28">
        <f>VLOOKUP(Table106[[#This Row],[NAME]],OAK_H[[NAME]:['#]],11,0)</f>
        <v>6</v>
      </c>
      <c r="N206" s="28">
        <f>VLOOKUP(Table106[[#This Row],[NAME]],OAK_H[[NAME]:['#]],12,0)</f>
        <v>11</v>
      </c>
      <c r="O206" s="28">
        <f>VLOOKUP(Table106[[#This Row],[NAME]],OAK_H[[NAME]:['#]],13,0)</f>
        <v>14</v>
      </c>
      <c r="P206" s="28">
        <f>VLOOKUP(Table106[[#This Row],[NAME]],OAK_H[[NAME]:['#]],14,0)</f>
        <v>37</v>
      </c>
      <c r="Q206" s="77">
        <f>VLOOKUP(Table106[[#This Row],[NAME]],OAK_H[[NAME]:['#]],15,0)</f>
        <v>0</v>
      </c>
      <c r="R206" s="28">
        <f>VLOOKUP(Table106[[#This Row],[NAME]],OAK_H[[NAME]:['#]],16,0)</f>
        <v>0</v>
      </c>
      <c r="S206" s="28">
        <f>VLOOKUP(Table106[[#This Row],[NAME]],OAK_H[[NAME]:['#]],17,0)</f>
        <v>7</v>
      </c>
      <c r="T206" s="77">
        <f>VLOOKUP(Table106[[#This Row],[NAME]],OAK_H[[NAME]:['#]],18,0)</f>
        <v>45</v>
      </c>
      <c r="U206" s="72">
        <f>VLOOKUP(Table106[[#This Row],[NAME]],OAK_H[[NAME]:['#]],19,0)</f>
        <v>0.63826554464703134</v>
      </c>
      <c r="V206" s="28">
        <f>VLOOKUP(Table106[[#This Row],[NAME]],OAK_H[[NAME]:['#]],20,0)</f>
        <v>1</v>
      </c>
      <c r="W206" s="75">
        <v>204</v>
      </c>
      <c r="Z206" s="101" t="s">
        <v>717</v>
      </c>
      <c r="AA206" s="77" t="s">
        <v>166</v>
      </c>
      <c r="AB206" s="77" t="s">
        <v>727</v>
      </c>
      <c r="AC206" s="130">
        <v>0.2032520325203252</v>
      </c>
      <c r="AD206" s="72">
        <v>0.26865671641791045</v>
      </c>
      <c r="AE206" s="72">
        <v>0.36585365853658536</v>
      </c>
      <c r="AF206" s="77">
        <v>32</v>
      </c>
      <c r="AG206" s="28">
        <v>123</v>
      </c>
      <c r="AH206" s="28">
        <v>14</v>
      </c>
      <c r="AI206" s="28">
        <v>25</v>
      </c>
      <c r="AJ206" s="28">
        <v>8</v>
      </c>
      <c r="AK206" s="28">
        <v>0</v>
      </c>
      <c r="AL206" s="28">
        <v>4</v>
      </c>
      <c r="AM206" s="28">
        <v>12</v>
      </c>
      <c r="AN206" s="28">
        <v>11</v>
      </c>
      <c r="AO206" s="28">
        <v>46</v>
      </c>
      <c r="AP206" s="77">
        <v>0</v>
      </c>
      <c r="AQ206" s="28">
        <v>0</v>
      </c>
      <c r="AR206" s="28">
        <v>3</v>
      </c>
      <c r="AS206" s="77">
        <v>45</v>
      </c>
      <c r="AT206" s="72">
        <v>0.6345103749544958</v>
      </c>
      <c r="AU206" s="28">
        <v>3</v>
      </c>
      <c r="AV206" s="75">
        <v>204</v>
      </c>
      <c r="AY206" s="101" t="s">
        <v>717</v>
      </c>
      <c r="AZ206" s="77" t="s">
        <v>166</v>
      </c>
      <c r="BA206" s="77" t="s">
        <v>727</v>
      </c>
      <c r="BB206" s="130">
        <v>0.32142857142857145</v>
      </c>
      <c r="BC206" s="72">
        <v>0.3559322033898305</v>
      </c>
      <c r="BD206" s="72">
        <v>0.625</v>
      </c>
      <c r="BE206" s="77">
        <v>20</v>
      </c>
      <c r="BF206" s="28">
        <v>56</v>
      </c>
      <c r="BG206" s="28">
        <v>8</v>
      </c>
      <c r="BH206" s="28">
        <v>18</v>
      </c>
      <c r="BI206" s="28">
        <v>2</v>
      </c>
      <c r="BJ206" s="28">
        <v>0</v>
      </c>
      <c r="BK206" s="28">
        <v>5</v>
      </c>
      <c r="BL206" s="28">
        <v>10</v>
      </c>
      <c r="BM206" s="28">
        <v>3</v>
      </c>
      <c r="BN206" s="28">
        <v>17</v>
      </c>
      <c r="BO206" s="77">
        <v>0</v>
      </c>
      <c r="BP206" s="28">
        <v>0</v>
      </c>
      <c r="BQ206" s="28">
        <v>7</v>
      </c>
      <c r="BR206" s="77">
        <v>35</v>
      </c>
      <c r="BS206" s="72">
        <v>0.98093220338983045</v>
      </c>
      <c r="BT206" s="28">
        <v>2</v>
      </c>
      <c r="BU206" s="75">
        <v>204</v>
      </c>
    </row>
    <row r="207" spans="1:73">
      <c r="A207" s="101" t="s">
        <v>717</v>
      </c>
      <c r="B207" s="71" t="s">
        <v>168</v>
      </c>
      <c r="C207" s="71" t="s">
        <v>718</v>
      </c>
      <c r="D207" s="72">
        <f>VLOOKUP(Table106[[#This Row],[NAME]],OAK_H[[NAME]:['#]],2,0)</f>
        <v>0.24683544303797469</v>
      </c>
      <c r="E207" s="72">
        <f>VLOOKUP(Table106[[#This Row],[NAME]],OAK_H[[NAME]:['#]],3,0)</f>
        <v>0.31609195402298851</v>
      </c>
      <c r="F207" s="72">
        <f>VLOOKUP(Table106[[#This Row],[NAME]],OAK_H[[NAME]:['#]],4,0)</f>
        <v>0.53164556962025311</v>
      </c>
      <c r="G207" s="77">
        <f>VLOOKUP(Table106[[#This Row],[NAME]],OAK_H[[NAME]:['#]],5,0)</f>
        <v>40</v>
      </c>
      <c r="H207" s="28">
        <f>VLOOKUP(Table106[[#This Row],[NAME]],OAK_H[[NAME]:['#]],6,0)</f>
        <v>158</v>
      </c>
      <c r="I207" s="28">
        <f>VLOOKUP(Table106[[#This Row],[NAME]],OAK_H[[NAME]:['#]],7,0)</f>
        <v>22</v>
      </c>
      <c r="J207" s="28">
        <f>VLOOKUP(Table106[[#This Row],[NAME]],OAK_H[[NAME]:['#]],8,0)</f>
        <v>39</v>
      </c>
      <c r="K207" s="28">
        <f>VLOOKUP(Table106[[#This Row],[NAME]],OAK_H[[NAME]:['#]],9,0)</f>
        <v>9</v>
      </c>
      <c r="L207" s="28">
        <f>VLOOKUP(Table106[[#This Row],[NAME]],OAK_H[[NAME]:['#]],10,0)</f>
        <v>0</v>
      </c>
      <c r="M207" s="28">
        <f>VLOOKUP(Table106[[#This Row],[NAME]],OAK_H[[NAME]:['#]],11,0)</f>
        <v>12</v>
      </c>
      <c r="N207" s="28">
        <f>VLOOKUP(Table106[[#This Row],[NAME]],OAK_H[[NAME]:['#]],12,0)</f>
        <v>27</v>
      </c>
      <c r="O207" s="28">
        <f>VLOOKUP(Table106[[#This Row],[NAME]],OAK_H[[NAME]:['#]],13,0)</f>
        <v>16</v>
      </c>
      <c r="P207" s="28">
        <f>VLOOKUP(Table106[[#This Row],[NAME]],OAK_H[[NAME]:['#]],14,0)</f>
        <v>46</v>
      </c>
      <c r="Q207" s="77">
        <f>VLOOKUP(Table106[[#This Row],[NAME]],OAK_H[[NAME]:['#]],15,0)</f>
        <v>0</v>
      </c>
      <c r="R207" s="28">
        <f>VLOOKUP(Table106[[#This Row],[NAME]],OAK_H[[NAME]:['#]],16,0)</f>
        <v>0</v>
      </c>
      <c r="S207" s="28">
        <f>VLOOKUP(Table106[[#This Row],[NAME]],OAK_H[[NAME]:['#]],17,0)</f>
        <v>5</v>
      </c>
      <c r="T207" s="77">
        <f>VLOOKUP(Table106[[#This Row],[NAME]],OAK_H[[NAME]:['#]],18,0)</f>
        <v>84</v>
      </c>
      <c r="U207" s="72">
        <f>VLOOKUP(Table106[[#This Row],[NAME]],OAK_H[[NAME]:['#]],19,0)</f>
        <v>0.84773752364324162</v>
      </c>
      <c r="V207" s="28">
        <f>VLOOKUP(Table106[[#This Row],[NAME]],OAK_H[[NAME]:['#]],20,0)</f>
        <v>3</v>
      </c>
      <c r="W207" s="75">
        <v>205</v>
      </c>
      <c r="Z207" s="101" t="s">
        <v>717</v>
      </c>
      <c r="AA207" s="77" t="s">
        <v>168</v>
      </c>
      <c r="AB207" s="77" t="s">
        <v>718</v>
      </c>
      <c r="AC207" s="130">
        <v>0.15909090909090909</v>
      </c>
      <c r="AD207" s="72">
        <v>0.27450980392156865</v>
      </c>
      <c r="AE207" s="72">
        <v>0.29545454545454547</v>
      </c>
      <c r="AF207" s="77">
        <v>25</v>
      </c>
      <c r="AG207" s="28">
        <v>88</v>
      </c>
      <c r="AH207" s="28">
        <v>12</v>
      </c>
      <c r="AI207" s="28">
        <v>14</v>
      </c>
      <c r="AJ207" s="28">
        <v>0</v>
      </c>
      <c r="AK207" s="28">
        <v>0</v>
      </c>
      <c r="AL207" s="28">
        <v>4</v>
      </c>
      <c r="AM207" s="28">
        <v>8</v>
      </c>
      <c r="AN207" s="28">
        <v>14</v>
      </c>
      <c r="AO207" s="28">
        <v>32</v>
      </c>
      <c r="AP207" s="77">
        <v>0</v>
      </c>
      <c r="AQ207" s="28">
        <v>0</v>
      </c>
      <c r="AR207" s="28">
        <v>4</v>
      </c>
      <c r="AS207" s="77">
        <v>26</v>
      </c>
      <c r="AT207" s="72">
        <v>0.56996434937611418</v>
      </c>
      <c r="AU207" s="28">
        <v>0</v>
      </c>
      <c r="AV207" s="75">
        <v>205</v>
      </c>
      <c r="AY207" s="101" t="s">
        <v>717</v>
      </c>
      <c r="AZ207" s="77" t="s">
        <v>168</v>
      </c>
      <c r="BA207" s="77" t="s">
        <v>718</v>
      </c>
      <c r="BB207" s="130">
        <v>0.21794871794871795</v>
      </c>
      <c r="BC207" s="72">
        <v>0.34408602150537637</v>
      </c>
      <c r="BD207" s="72">
        <v>0.39743589743589741</v>
      </c>
      <c r="BE207" s="77">
        <v>24</v>
      </c>
      <c r="BF207" s="28">
        <v>78</v>
      </c>
      <c r="BG207" s="28">
        <v>8</v>
      </c>
      <c r="BH207" s="28">
        <v>17</v>
      </c>
      <c r="BI207" s="28">
        <v>5</v>
      </c>
      <c r="BJ207" s="28">
        <v>0</v>
      </c>
      <c r="BK207" s="28">
        <v>3</v>
      </c>
      <c r="BL207" s="28">
        <v>14</v>
      </c>
      <c r="BM207" s="28">
        <v>15</v>
      </c>
      <c r="BN207" s="28">
        <v>22</v>
      </c>
      <c r="BO207" s="77">
        <v>0</v>
      </c>
      <c r="BP207" s="28">
        <v>0</v>
      </c>
      <c r="BQ207" s="28">
        <v>3</v>
      </c>
      <c r="BR207" s="77">
        <v>31</v>
      </c>
      <c r="BS207" s="72">
        <v>0.74152191894127384</v>
      </c>
      <c r="BT207" s="28">
        <v>1</v>
      </c>
      <c r="BU207" s="75">
        <v>205</v>
      </c>
    </row>
    <row r="208" spans="1:73">
      <c r="A208" s="101" t="s">
        <v>717</v>
      </c>
      <c r="B208" s="71" t="s">
        <v>179</v>
      </c>
      <c r="C208" s="71" t="s">
        <v>734</v>
      </c>
      <c r="D208" s="72">
        <f>VLOOKUP(Table106[[#This Row],[NAME]],OAK_H[[NAME]:['#]],2,0)</f>
        <v>0.18518518518518517</v>
      </c>
      <c r="E208" s="72">
        <f>VLOOKUP(Table106[[#This Row],[NAME]],OAK_H[[NAME]:['#]],3,0)</f>
        <v>0.2413793103448276</v>
      </c>
      <c r="F208" s="72">
        <f>VLOOKUP(Table106[[#This Row],[NAME]],OAK_H[[NAME]:['#]],4,0)</f>
        <v>0.30864197530864196</v>
      </c>
      <c r="G208" s="77">
        <f>VLOOKUP(Table106[[#This Row],[NAME]],OAK_H[[NAME]:['#]],5,0)</f>
        <v>22</v>
      </c>
      <c r="H208" s="28">
        <f>VLOOKUP(Table106[[#This Row],[NAME]],OAK_H[[NAME]:['#]],6,0)</f>
        <v>81</v>
      </c>
      <c r="I208" s="28">
        <f>VLOOKUP(Table106[[#This Row],[NAME]],OAK_H[[NAME]:['#]],7,0)</f>
        <v>9</v>
      </c>
      <c r="J208" s="28">
        <f>VLOOKUP(Table106[[#This Row],[NAME]],OAK_H[[NAME]:['#]],8,0)</f>
        <v>15</v>
      </c>
      <c r="K208" s="28">
        <f>VLOOKUP(Table106[[#This Row],[NAME]],OAK_H[[NAME]:['#]],9,0)</f>
        <v>4</v>
      </c>
      <c r="L208" s="28">
        <f>VLOOKUP(Table106[[#This Row],[NAME]],OAK_H[[NAME]:['#]],10,0)</f>
        <v>0</v>
      </c>
      <c r="M208" s="28">
        <f>VLOOKUP(Table106[[#This Row],[NAME]],OAK_H[[NAME]:['#]],11,0)</f>
        <v>2</v>
      </c>
      <c r="N208" s="28">
        <f>VLOOKUP(Table106[[#This Row],[NAME]],OAK_H[[NAME]:['#]],12,0)</f>
        <v>11</v>
      </c>
      <c r="O208" s="28">
        <f>VLOOKUP(Table106[[#This Row],[NAME]],OAK_H[[NAME]:['#]],13,0)</f>
        <v>6</v>
      </c>
      <c r="P208" s="28">
        <f>VLOOKUP(Table106[[#This Row],[NAME]],OAK_H[[NAME]:['#]],14,0)</f>
        <v>28</v>
      </c>
      <c r="Q208" s="77">
        <f>VLOOKUP(Table106[[#This Row],[NAME]],OAK_H[[NAME]:['#]],15,0)</f>
        <v>0</v>
      </c>
      <c r="R208" s="28">
        <f>VLOOKUP(Table106[[#This Row],[NAME]],OAK_H[[NAME]:['#]],16,0)</f>
        <v>0</v>
      </c>
      <c r="S208" s="28">
        <f>VLOOKUP(Table106[[#This Row],[NAME]],OAK_H[[NAME]:['#]],17,0)</f>
        <v>4</v>
      </c>
      <c r="T208" s="77">
        <f>VLOOKUP(Table106[[#This Row],[NAME]],OAK_H[[NAME]:['#]],18,0)</f>
        <v>25</v>
      </c>
      <c r="U208" s="72">
        <f>VLOOKUP(Table106[[#This Row],[NAME]],OAK_H[[NAME]:['#]],19,0)</f>
        <v>0.55002128565346953</v>
      </c>
      <c r="V208" s="28">
        <f>VLOOKUP(Table106[[#This Row],[NAME]],OAK_H[[NAME]:['#]],20,0)</f>
        <v>1</v>
      </c>
      <c r="W208" s="75">
        <v>206</v>
      </c>
      <c r="Z208" s="101" t="s">
        <v>717</v>
      </c>
      <c r="AA208" s="77" t="s">
        <v>308</v>
      </c>
      <c r="AB208" s="77" t="s">
        <v>734</v>
      </c>
      <c r="AC208" s="130">
        <v>0.20689655172413793</v>
      </c>
      <c r="AD208" s="72">
        <v>0.25806451612903225</v>
      </c>
      <c r="AE208" s="72">
        <v>0.37931034482758619</v>
      </c>
      <c r="AF208" s="77">
        <v>8</v>
      </c>
      <c r="AG208" s="28">
        <v>29</v>
      </c>
      <c r="AH208" s="28">
        <v>2</v>
      </c>
      <c r="AI208" s="28">
        <v>6</v>
      </c>
      <c r="AJ208" s="28">
        <v>2</v>
      </c>
      <c r="AK208" s="28">
        <v>0</v>
      </c>
      <c r="AL208" s="28">
        <v>1</v>
      </c>
      <c r="AM208" s="28">
        <v>4</v>
      </c>
      <c r="AN208" s="28">
        <v>2</v>
      </c>
      <c r="AO208" s="28">
        <v>5</v>
      </c>
      <c r="AP208" s="77">
        <v>0</v>
      </c>
      <c r="AQ208" s="28">
        <v>0</v>
      </c>
      <c r="AR208" s="28">
        <v>1</v>
      </c>
      <c r="AS208" s="77">
        <v>11</v>
      </c>
      <c r="AT208" s="72">
        <v>0.63737486095661844</v>
      </c>
      <c r="AU208" s="28">
        <v>1</v>
      </c>
      <c r="AV208" s="75">
        <v>206</v>
      </c>
      <c r="AY208" s="101" t="s">
        <v>717</v>
      </c>
      <c r="AZ208" s="77" t="s">
        <v>179</v>
      </c>
      <c r="BA208" s="77" t="s">
        <v>741</v>
      </c>
      <c r="BB208" s="130">
        <v>7.1428571428571425E-2</v>
      </c>
      <c r="BC208" s="72">
        <v>0.1875</v>
      </c>
      <c r="BD208" s="72">
        <v>0.14285714285714285</v>
      </c>
      <c r="BE208" s="77">
        <v>6</v>
      </c>
      <c r="BF208" s="28">
        <v>14</v>
      </c>
      <c r="BG208" s="28">
        <v>1</v>
      </c>
      <c r="BH208" s="28">
        <v>1</v>
      </c>
      <c r="BI208" s="28">
        <v>1</v>
      </c>
      <c r="BJ208" s="28">
        <v>0</v>
      </c>
      <c r="BK208" s="28">
        <v>0</v>
      </c>
      <c r="BL208" s="28">
        <v>0</v>
      </c>
      <c r="BM208" s="28">
        <v>2</v>
      </c>
      <c r="BN208" s="28">
        <v>5</v>
      </c>
      <c r="BO208" s="77">
        <v>0</v>
      </c>
      <c r="BP208" s="28">
        <v>0</v>
      </c>
      <c r="BQ208" s="28">
        <v>1</v>
      </c>
      <c r="BR208" s="77">
        <v>2</v>
      </c>
      <c r="BS208" s="72">
        <v>0.33035714285714285</v>
      </c>
      <c r="BT208" s="28">
        <v>0</v>
      </c>
      <c r="BU208" s="75">
        <v>206</v>
      </c>
    </row>
    <row r="209" spans="1:73">
      <c r="A209" s="101" t="s">
        <v>717</v>
      </c>
      <c r="B209" s="71" t="s">
        <v>192</v>
      </c>
      <c r="C209" s="71" t="s">
        <v>737</v>
      </c>
      <c r="D209" s="72">
        <f>VLOOKUP(Table106[[#This Row],[NAME]],OAK_H[[NAME]:['#]],2,0)</f>
        <v>0</v>
      </c>
      <c r="E209" s="72">
        <f>VLOOKUP(Table106[[#This Row],[NAME]],OAK_H[[NAME]:['#]],3,0)</f>
        <v>0</v>
      </c>
      <c r="F209" s="72">
        <f>VLOOKUP(Table106[[#This Row],[NAME]],OAK_H[[NAME]:['#]],4,0)</f>
        <v>0</v>
      </c>
      <c r="G209" s="77">
        <f>VLOOKUP(Table106[[#This Row],[NAME]],OAK_H[[NAME]:['#]],5,0)</f>
        <v>0</v>
      </c>
      <c r="H209" s="28">
        <f>VLOOKUP(Table106[[#This Row],[NAME]],OAK_H[[NAME]:['#]],6,0)</f>
        <v>0</v>
      </c>
      <c r="I209" s="28">
        <f>VLOOKUP(Table106[[#This Row],[NAME]],OAK_H[[NAME]:['#]],7,0)</f>
        <v>0</v>
      </c>
      <c r="J209" s="28">
        <f>VLOOKUP(Table106[[#This Row],[NAME]],OAK_H[[NAME]:['#]],8,0)</f>
        <v>0</v>
      </c>
      <c r="K209" s="28">
        <f>VLOOKUP(Table106[[#This Row],[NAME]],OAK_H[[NAME]:['#]],9,0)</f>
        <v>0</v>
      </c>
      <c r="L209" s="28">
        <f>VLOOKUP(Table106[[#This Row],[NAME]],OAK_H[[NAME]:['#]],10,0)</f>
        <v>0</v>
      </c>
      <c r="M209" s="28">
        <f>VLOOKUP(Table106[[#This Row],[NAME]],OAK_H[[NAME]:['#]],11,0)</f>
        <v>0</v>
      </c>
      <c r="N209" s="28">
        <f>VLOOKUP(Table106[[#This Row],[NAME]],OAK_H[[NAME]:['#]],12,0)</f>
        <v>0</v>
      </c>
      <c r="O209" s="28">
        <f>VLOOKUP(Table106[[#This Row],[NAME]],OAK_H[[NAME]:['#]],13,0)</f>
        <v>0</v>
      </c>
      <c r="P209" s="28">
        <f>VLOOKUP(Table106[[#This Row],[NAME]],OAK_H[[NAME]:['#]],14,0)</f>
        <v>0</v>
      </c>
      <c r="Q209" s="77">
        <f>VLOOKUP(Table106[[#This Row],[NAME]],OAK_H[[NAME]:['#]],15,0)</f>
        <v>0</v>
      </c>
      <c r="R209" s="28">
        <f>VLOOKUP(Table106[[#This Row],[NAME]],OAK_H[[NAME]:['#]],16,0)</f>
        <v>0</v>
      </c>
      <c r="S209" s="28">
        <f>VLOOKUP(Table106[[#This Row],[NAME]],OAK_H[[NAME]:['#]],17,0)</f>
        <v>0</v>
      </c>
      <c r="T209" s="77">
        <f>VLOOKUP(Table106[[#This Row],[NAME]],OAK_H[[NAME]:['#]],18,0)</f>
        <v>0</v>
      </c>
      <c r="U209" s="72">
        <f>VLOOKUP(Table106[[#This Row],[NAME]],OAK_H[[NAME]:['#]],19,0)</f>
        <v>0</v>
      </c>
      <c r="V209" s="28">
        <f>VLOOKUP(Table106[[#This Row],[NAME]],OAK_H[[NAME]:['#]],20,0)</f>
        <v>0</v>
      </c>
      <c r="W209" s="75">
        <v>207</v>
      </c>
      <c r="Z209" s="101" t="s">
        <v>717</v>
      </c>
      <c r="AA209" s="77" t="s">
        <v>192</v>
      </c>
      <c r="AB209" s="77" t="s">
        <v>740</v>
      </c>
      <c r="AC209" s="130">
        <v>0.18518518518518517</v>
      </c>
      <c r="AD209" s="72">
        <v>0.29032258064516131</v>
      </c>
      <c r="AE209" s="72">
        <v>0.18518518518518517</v>
      </c>
      <c r="AF209" s="77">
        <v>8</v>
      </c>
      <c r="AG209" s="28">
        <v>27</v>
      </c>
      <c r="AH209" s="28">
        <v>4</v>
      </c>
      <c r="AI209" s="28">
        <v>5</v>
      </c>
      <c r="AJ209" s="28">
        <v>0</v>
      </c>
      <c r="AK209" s="28">
        <v>0</v>
      </c>
      <c r="AL209" s="28">
        <v>0</v>
      </c>
      <c r="AM209" s="28">
        <v>0</v>
      </c>
      <c r="AN209" s="28">
        <v>4</v>
      </c>
      <c r="AO209" s="28">
        <v>4</v>
      </c>
      <c r="AP209" s="77">
        <v>0</v>
      </c>
      <c r="AQ209" s="28">
        <v>1</v>
      </c>
      <c r="AR209" s="28">
        <v>2</v>
      </c>
      <c r="AS209" s="77">
        <v>5</v>
      </c>
      <c r="AT209" s="72">
        <v>0.47550776583034648</v>
      </c>
      <c r="AU209" s="28">
        <v>0</v>
      </c>
      <c r="AV209" s="75">
        <v>207</v>
      </c>
      <c r="AY209" s="101" t="s">
        <v>717</v>
      </c>
      <c r="AZ209" s="77" t="s">
        <v>187</v>
      </c>
      <c r="BA209" s="77" t="s">
        <v>736</v>
      </c>
      <c r="BB209" s="130">
        <v>0.25806451612903225</v>
      </c>
      <c r="BC209" s="72">
        <v>0.29230769230769232</v>
      </c>
      <c r="BD209" s="72">
        <v>0.40322580645161288</v>
      </c>
      <c r="BE209" s="77">
        <v>21</v>
      </c>
      <c r="BF209" s="28">
        <v>62</v>
      </c>
      <c r="BG209" s="28">
        <v>6</v>
      </c>
      <c r="BH209" s="28">
        <v>16</v>
      </c>
      <c r="BI209" s="28">
        <v>3</v>
      </c>
      <c r="BJ209" s="28">
        <v>0</v>
      </c>
      <c r="BK209" s="28">
        <v>2</v>
      </c>
      <c r="BL209" s="28">
        <v>8</v>
      </c>
      <c r="BM209" s="28">
        <v>3</v>
      </c>
      <c r="BN209" s="28">
        <v>21</v>
      </c>
      <c r="BO209" s="77">
        <v>0</v>
      </c>
      <c r="BP209" s="28">
        <v>2</v>
      </c>
      <c r="BQ209" s="28">
        <v>4</v>
      </c>
      <c r="BR209" s="77">
        <v>25</v>
      </c>
      <c r="BS209" s="72">
        <v>0.69553349875930515</v>
      </c>
      <c r="BT209" s="28">
        <v>0</v>
      </c>
      <c r="BU209" s="75">
        <v>207</v>
      </c>
    </row>
    <row r="210" spans="1:73">
      <c r="A210" s="101" t="s">
        <v>717</v>
      </c>
      <c r="B210" s="71" t="s">
        <v>187</v>
      </c>
      <c r="C210" s="71" t="s">
        <v>731</v>
      </c>
      <c r="D210" s="72">
        <f>VLOOKUP(Table106[[#This Row],[NAME]],OAK_H[[NAME]:['#]],2,0)</f>
        <v>0.125</v>
      </c>
      <c r="E210" s="72">
        <f>VLOOKUP(Table106[[#This Row],[NAME]],OAK_H[[NAME]:['#]],3,0)</f>
        <v>0.16</v>
      </c>
      <c r="F210" s="72">
        <f>VLOOKUP(Table106[[#This Row],[NAME]],OAK_H[[NAME]:['#]],4,0)</f>
        <v>0.125</v>
      </c>
      <c r="G210" s="77">
        <f>VLOOKUP(Table106[[#This Row],[NAME]],OAK_H[[NAME]:['#]],5,0)</f>
        <v>7</v>
      </c>
      <c r="H210" s="28">
        <f>VLOOKUP(Table106[[#This Row],[NAME]],OAK_H[[NAME]:['#]],6,0)</f>
        <v>24</v>
      </c>
      <c r="I210" s="28">
        <f>VLOOKUP(Table106[[#This Row],[NAME]],OAK_H[[NAME]:['#]],7,0)</f>
        <v>1</v>
      </c>
      <c r="J210" s="28">
        <f>VLOOKUP(Table106[[#This Row],[NAME]],OAK_H[[NAME]:['#]],8,0)</f>
        <v>3</v>
      </c>
      <c r="K210" s="28">
        <f>VLOOKUP(Table106[[#This Row],[NAME]],OAK_H[[NAME]:['#]],9,0)</f>
        <v>0</v>
      </c>
      <c r="L210" s="28">
        <f>VLOOKUP(Table106[[#This Row],[NAME]],OAK_H[[NAME]:['#]],10,0)</f>
        <v>0</v>
      </c>
      <c r="M210" s="28">
        <f>VLOOKUP(Table106[[#This Row],[NAME]],OAK_H[[NAME]:['#]],11,0)</f>
        <v>0</v>
      </c>
      <c r="N210" s="28">
        <f>VLOOKUP(Table106[[#This Row],[NAME]],OAK_H[[NAME]:['#]],12,0)</f>
        <v>2</v>
      </c>
      <c r="O210" s="28">
        <f>VLOOKUP(Table106[[#This Row],[NAME]],OAK_H[[NAME]:['#]],13,0)</f>
        <v>1</v>
      </c>
      <c r="P210" s="28">
        <f>VLOOKUP(Table106[[#This Row],[NAME]],OAK_H[[NAME]:['#]],14,0)</f>
        <v>4</v>
      </c>
      <c r="Q210" s="77">
        <f>VLOOKUP(Table106[[#This Row],[NAME]],OAK_H[[NAME]:['#]],15,0)</f>
        <v>0</v>
      </c>
      <c r="R210" s="28">
        <f>VLOOKUP(Table106[[#This Row],[NAME]],OAK_H[[NAME]:['#]],16,0)</f>
        <v>0</v>
      </c>
      <c r="S210" s="28">
        <f>VLOOKUP(Table106[[#This Row],[NAME]],OAK_H[[NAME]:['#]],17,0)</f>
        <v>2</v>
      </c>
      <c r="T210" s="77">
        <f>VLOOKUP(Table106[[#This Row],[NAME]],OAK_H[[NAME]:['#]],18,0)</f>
        <v>3</v>
      </c>
      <c r="U210" s="72">
        <f>VLOOKUP(Table106[[#This Row],[NAME]],OAK_H[[NAME]:['#]],19,0)</f>
        <v>0.28500000000000003</v>
      </c>
      <c r="V210" s="28">
        <f>VLOOKUP(Table106[[#This Row],[NAME]],OAK_H[[NAME]:['#]],20,0)</f>
        <v>0</v>
      </c>
      <c r="W210" s="75">
        <v>208</v>
      </c>
      <c r="Z210" s="101" t="s">
        <v>717</v>
      </c>
      <c r="AA210" s="77" t="s">
        <v>192</v>
      </c>
      <c r="AB210" s="77" t="s">
        <v>738</v>
      </c>
      <c r="AC210" s="130">
        <v>0.15384615384615385</v>
      </c>
      <c r="AD210" s="72">
        <v>0.2413793103448276</v>
      </c>
      <c r="AE210" s="72">
        <v>0.19230769230769232</v>
      </c>
      <c r="AF210" s="77">
        <v>9</v>
      </c>
      <c r="AG210" s="28">
        <v>26</v>
      </c>
      <c r="AH210" s="28">
        <v>3</v>
      </c>
      <c r="AI210" s="28">
        <v>4</v>
      </c>
      <c r="AJ210" s="28">
        <v>1</v>
      </c>
      <c r="AK210" s="28">
        <v>0</v>
      </c>
      <c r="AL210" s="28">
        <v>0</v>
      </c>
      <c r="AM210" s="28">
        <v>1</v>
      </c>
      <c r="AN210" s="28">
        <v>3</v>
      </c>
      <c r="AO210" s="28">
        <v>4</v>
      </c>
      <c r="AP210" s="77">
        <v>0</v>
      </c>
      <c r="AQ210" s="28">
        <v>0</v>
      </c>
      <c r="AR210" s="28">
        <v>4</v>
      </c>
      <c r="AS210" s="77">
        <v>5</v>
      </c>
      <c r="AT210" s="72">
        <v>0.43368700265251992</v>
      </c>
      <c r="AU210" s="28">
        <v>0</v>
      </c>
      <c r="AV210" s="75">
        <v>208</v>
      </c>
      <c r="AY210" s="101" t="s">
        <v>717</v>
      </c>
      <c r="AZ210" s="77" t="s">
        <v>186</v>
      </c>
      <c r="BA210" s="77" t="s">
        <v>732</v>
      </c>
      <c r="BB210" s="130">
        <v>0.20370370370370369</v>
      </c>
      <c r="BC210" s="72">
        <v>0.21818181818181817</v>
      </c>
      <c r="BD210" s="72">
        <v>0.42592592592592593</v>
      </c>
      <c r="BE210" s="77">
        <v>19</v>
      </c>
      <c r="BF210" s="28">
        <v>54</v>
      </c>
      <c r="BG210" s="28">
        <v>8</v>
      </c>
      <c r="BH210" s="28">
        <v>11</v>
      </c>
      <c r="BI210" s="28">
        <v>1</v>
      </c>
      <c r="BJ210" s="28">
        <v>1</v>
      </c>
      <c r="BK210" s="28">
        <v>3</v>
      </c>
      <c r="BL210" s="28">
        <v>7</v>
      </c>
      <c r="BM210" s="28">
        <v>1</v>
      </c>
      <c r="BN210" s="28">
        <v>15</v>
      </c>
      <c r="BO210" s="77">
        <v>0</v>
      </c>
      <c r="BP210" s="28">
        <v>0</v>
      </c>
      <c r="BQ210" s="28">
        <v>3</v>
      </c>
      <c r="BR210" s="77">
        <v>23</v>
      </c>
      <c r="BS210" s="72">
        <v>0.64410774410774407</v>
      </c>
      <c r="BT210" s="28">
        <v>0</v>
      </c>
      <c r="BU210" s="75">
        <v>208</v>
      </c>
    </row>
    <row r="211" spans="1:73">
      <c r="A211" s="101" t="s">
        <v>717</v>
      </c>
      <c r="B211" s="71" t="s">
        <v>186</v>
      </c>
      <c r="C211" s="71" t="s">
        <v>732</v>
      </c>
      <c r="D211" s="72">
        <f>VLOOKUP(Table106[[#This Row],[NAME]],OAK_H[[NAME]:['#]],2,0)</f>
        <v>0.13157894736842105</v>
      </c>
      <c r="E211" s="72">
        <f>VLOOKUP(Table106[[#This Row],[NAME]],OAK_H[[NAME]:['#]],3,0)</f>
        <v>0.15384615384615385</v>
      </c>
      <c r="F211" s="72">
        <f>VLOOKUP(Table106[[#This Row],[NAME]],OAK_H[[NAME]:['#]],4,0)</f>
        <v>0.18421052631578946</v>
      </c>
      <c r="G211" s="77">
        <f>VLOOKUP(Table106[[#This Row],[NAME]],OAK_H[[NAME]:['#]],5,0)</f>
        <v>11</v>
      </c>
      <c r="H211" s="28">
        <f>VLOOKUP(Table106[[#This Row],[NAME]],OAK_H[[NAME]:['#]],6,0)</f>
        <v>38</v>
      </c>
      <c r="I211" s="28">
        <f>VLOOKUP(Table106[[#This Row],[NAME]],OAK_H[[NAME]:['#]],7,0)</f>
        <v>4</v>
      </c>
      <c r="J211" s="28">
        <f>VLOOKUP(Table106[[#This Row],[NAME]],OAK_H[[NAME]:['#]],8,0)</f>
        <v>5</v>
      </c>
      <c r="K211" s="28">
        <f>VLOOKUP(Table106[[#This Row],[NAME]],OAK_H[[NAME]:['#]],9,0)</f>
        <v>2</v>
      </c>
      <c r="L211" s="28">
        <f>VLOOKUP(Table106[[#This Row],[NAME]],OAK_H[[NAME]:['#]],10,0)</f>
        <v>0</v>
      </c>
      <c r="M211" s="28">
        <f>VLOOKUP(Table106[[#This Row],[NAME]],OAK_H[[NAME]:['#]],11,0)</f>
        <v>0</v>
      </c>
      <c r="N211" s="28">
        <f>VLOOKUP(Table106[[#This Row],[NAME]],OAK_H[[NAME]:['#]],12,0)</f>
        <v>4</v>
      </c>
      <c r="O211" s="28">
        <f>VLOOKUP(Table106[[#This Row],[NAME]],OAK_H[[NAME]:['#]],13,0)</f>
        <v>1</v>
      </c>
      <c r="P211" s="28">
        <f>VLOOKUP(Table106[[#This Row],[NAME]],OAK_H[[NAME]:['#]],14,0)</f>
        <v>14</v>
      </c>
      <c r="Q211" s="77">
        <f>VLOOKUP(Table106[[#This Row],[NAME]],OAK_H[[NAME]:['#]],15,0)</f>
        <v>0</v>
      </c>
      <c r="R211" s="28">
        <f>VLOOKUP(Table106[[#This Row],[NAME]],OAK_H[[NAME]:['#]],16,0)</f>
        <v>0</v>
      </c>
      <c r="S211" s="28">
        <f>VLOOKUP(Table106[[#This Row],[NAME]],OAK_H[[NAME]:['#]],17,0)</f>
        <v>2</v>
      </c>
      <c r="T211" s="77">
        <f>VLOOKUP(Table106[[#This Row],[NAME]],OAK_H[[NAME]:['#]],18,0)</f>
        <v>7</v>
      </c>
      <c r="U211" s="72">
        <f>VLOOKUP(Table106[[#This Row],[NAME]],OAK_H[[NAME]:['#]],19,0)</f>
        <v>0.33805668016194335</v>
      </c>
      <c r="V211" s="28">
        <f>VLOOKUP(Table106[[#This Row],[NAME]],OAK_H[[NAME]:['#]],20,0)</f>
        <v>1</v>
      </c>
      <c r="W211" s="75">
        <v>209</v>
      </c>
      <c r="Z211" s="101" t="s">
        <v>717</v>
      </c>
      <c r="AA211" s="77" t="s">
        <v>186</v>
      </c>
      <c r="AB211" s="77" t="s">
        <v>735</v>
      </c>
      <c r="AC211" s="130">
        <v>0.15294117647058825</v>
      </c>
      <c r="AD211" s="72">
        <v>0.25</v>
      </c>
      <c r="AE211" s="72">
        <v>0.27058823529411763</v>
      </c>
      <c r="AF211" s="77">
        <v>22</v>
      </c>
      <c r="AG211" s="28">
        <v>85</v>
      </c>
      <c r="AH211" s="28">
        <v>4</v>
      </c>
      <c r="AI211" s="28">
        <v>13</v>
      </c>
      <c r="AJ211" s="28">
        <v>1</v>
      </c>
      <c r="AK211" s="28">
        <v>0</v>
      </c>
      <c r="AL211" s="28">
        <v>3</v>
      </c>
      <c r="AM211" s="28">
        <v>9</v>
      </c>
      <c r="AN211" s="28">
        <v>11</v>
      </c>
      <c r="AO211" s="28">
        <v>29</v>
      </c>
      <c r="AP211" s="77">
        <v>0</v>
      </c>
      <c r="AQ211" s="28">
        <v>0</v>
      </c>
      <c r="AR211" s="28">
        <v>7</v>
      </c>
      <c r="AS211" s="77">
        <v>23</v>
      </c>
      <c r="AT211" s="72">
        <v>0.52058823529411757</v>
      </c>
      <c r="AU211" s="28">
        <v>1</v>
      </c>
      <c r="AV211" s="75">
        <v>209</v>
      </c>
      <c r="AY211" s="101" t="s">
        <v>717</v>
      </c>
      <c r="AZ211" s="77" t="s">
        <v>186</v>
      </c>
      <c r="BA211" s="77" t="s">
        <v>735</v>
      </c>
      <c r="BB211" s="130">
        <v>0.2318840579710145</v>
      </c>
      <c r="BC211" s="72">
        <v>0.30263157894736842</v>
      </c>
      <c r="BD211" s="72">
        <v>0.34782608695652173</v>
      </c>
      <c r="BE211" s="77">
        <v>24</v>
      </c>
      <c r="BF211" s="28">
        <v>69</v>
      </c>
      <c r="BG211" s="28">
        <v>6</v>
      </c>
      <c r="BH211" s="28">
        <v>16</v>
      </c>
      <c r="BI211" s="28">
        <v>2</v>
      </c>
      <c r="BJ211" s="28">
        <v>0</v>
      </c>
      <c r="BK211" s="28">
        <v>2</v>
      </c>
      <c r="BL211" s="28">
        <v>6</v>
      </c>
      <c r="BM211" s="28">
        <v>7</v>
      </c>
      <c r="BN211" s="28">
        <v>28</v>
      </c>
      <c r="BO211" s="77">
        <v>0</v>
      </c>
      <c r="BP211" s="28">
        <v>1</v>
      </c>
      <c r="BQ211" s="28">
        <v>4</v>
      </c>
      <c r="BR211" s="77">
        <v>24</v>
      </c>
      <c r="BS211" s="72">
        <v>0.65045766590389009</v>
      </c>
      <c r="BT211" s="28">
        <v>0</v>
      </c>
      <c r="BU211" s="75">
        <v>209</v>
      </c>
    </row>
    <row r="212" spans="1:73">
      <c r="A212" s="102" t="s">
        <v>717</v>
      </c>
      <c r="B212" s="78" t="s">
        <v>184</v>
      </c>
      <c r="C212" s="78" t="s">
        <v>739</v>
      </c>
      <c r="D212" s="79">
        <f>VLOOKUP(Table106[[#This Row],[NAME]],OAK_H[[NAME]:['#]],2,0)</f>
        <v>0</v>
      </c>
      <c r="E212" s="79">
        <f>VLOOKUP(Table106[[#This Row],[NAME]],OAK_H[[NAME]:['#]],3,0)</f>
        <v>0</v>
      </c>
      <c r="F212" s="79">
        <f>VLOOKUP(Table106[[#This Row],[NAME]],OAK_H[[NAME]:['#]],4,0)</f>
        <v>0</v>
      </c>
      <c r="G212" s="103">
        <f>VLOOKUP(Table106[[#This Row],[NAME]],OAK_H[[NAME]:['#]],5,0)</f>
        <v>0</v>
      </c>
      <c r="H212" s="25">
        <f>VLOOKUP(Table106[[#This Row],[NAME]],OAK_H[[NAME]:['#]],6,0)</f>
        <v>0</v>
      </c>
      <c r="I212" s="25">
        <f>VLOOKUP(Table106[[#This Row],[NAME]],OAK_H[[NAME]:['#]],7,0)</f>
        <v>0</v>
      </c>
      <c r="J212" s="25">
        <f>VLOOKUP(Table106[[#This Row],[NAME]],OAK_H[[NAME]:['#]],8,0)</f>
        <v>0</v>
      </c>
      <c r="K212" s="25">
        <f>VLOOKUP(Table106[[#This Row],[NAME]],OAK_H[[NAME]:['#]],9,0)</f>
        <v>0</v>
      </c>
      <c r="L212" s="25">
        <f>VLOOKUP(Table106[[#This Row],[NAME]],OAK_H[[NAME]:['#]],10,0)</f>
        <v>0</v>
      </c>
      <c r="M212" s="25">
        <f>VLOOKUP(Table106[[#This Row],[NAME]],OAK_H[[NAME]:['#]],11,0)</f>
        <v>0</v>
      </c>
      <c r="N212" s="25">
        <f>VLOOKUP(Table106[[#This Row],[NAME]],OAK_H[[NAME]:['#]],12,0)</f>
        <v>0</v>
      </c>
      <c r="O212" s="25">
        <f>VLOOKUP(Table106[[#This Row],[NAME]],OAK_H[[NAME]:['#]],13,0)</f>
        <v>0</v>
      </c>
      <c r="P212" s="25">
        <f>VLOOKUP(Table106[[#This Row],[NAME]],OAK_H[[NAME]:['#]],14,0)</f>
        <v>0</v>
      </c>
      <c r="Q212" s="103">
        <f>VLOOKUP(Table106[[#This Row],[NAME]],OAK_H[[NAME]:['#]],15,0)</f>
        <v>0</v>
      </c>
      <c r="R212" s="25">
        <f>VLOOKUP(Table106[[#This Row],[NAME]],OAK_H[[NAME]:['#]],16,0)</f>
        <v>0</v>
      </c>
      <c r="S212" s="25">
        <f>VLOOKUP(Table106[[#This Row],[NAME]],OAK_H[[NAME]:['#]],17,0)</f>
        <v>0</v>
      </c>
      <c r="T212" s="103">
        <f>VLOOKUP(Table106[[#This Row],[NAME]],OAK_H[[NAME]:['#]],18,0)</f>
        <v>0</v>
      </c>
      <c r="U212" s="79">
        <f>VLOOKUP(Table106[[#This Row],[NAME]],OAK_H[[NAME]:['#]],19,0)</f>
        <v>0</v>
      </c>
      <c r="V212" s="25">
        <f>VLOOKUP(Table106[[#This Row],[NAME]],OAK_H[[NAME]:['#]],20,0)</f>
        <v>0</v>
      </c>
      <c r="W212" s="82">
        <v>210</v>
      </c>
      <c r="Z212" s="102" t="s">
        <v>717</v>
      </c>
      <c r="AA212" s="103" t="s">
        <v>186</v>
      </c>
      <c r="AB212" s="103" t="s">
        <v>729</v>
      </c>
      <c r="AC212" s="131">
        <v>0.16438356164383561</v>
      </c>
      <c r="AD212" s="79">
        <v>0.22784810126582278</v>
      </c>
      <c r="AE212" s="79">
        <v>0.31506849315068491</v>
      </c>
      <c r="AF212" s="103">
        <v>19</v>
      </c>
      <c r="AG212" s="25">
        <v>73</v>
      </c>
      <c r="AH212" s="25">
        <v>7</v>
      </c>
      <c r="AI212" s="25">
        <v>12</v>
      </c>
      <c r="AJ212" s="25">
        <v>2</v>
      </c>
      <c r="AK212" s="25">
        <v>0</v>
      </c>
      <c r="AL212" s="25">
        <v>3</v>
      </c>
      <c r="AM212" s="25">
        <v>10</v>
      </c>
      <c r="AN212" s="25">
        <v>6</v>
      </c>
      <c r="AO212" s="25">
        <v>27</v>
      </c>
      <c r="AP212" s="103">
        <v>0</v>
      </c>
      <c r="AQ212" s="25">
        <v>0</v>
      </c>
      <c r="AR212" s="25">
        <v>3</v>
      </c>
      <c r="AS212" s="103">
        <v>23</v>
      </c>
      <c r="AT212" s="79">
        <v>0.54291659441650775</v>
      </c>
      <c r="AU212" s="25">
        <v>1</v>
      </c>
      <c r="AV212" s="82">
        <v>210</v>
      </c>
      <c r="AY212" s="102" t="s">
        <v>717</v>
      </c>
      <c r="AZ212" s="103" t="s">
        <v>186</v>
      </c>
      <c r="BA212" s="103" t="s">
        <v>729</v>
      </c>
      <c r="BB212" s="131">
        <v>0.34848484848484851</v>
      </c>
      <c r="BC212" s="79">
        <v>0.39436619718309857</v>
      </c>
      <c r="BD212" s="79">
        <v>0.74242424242424243</v>
      </c>
      <c r="BE212" s="103">
        <v>22</v>
      </c>
      <c r="BF212" s="25">
        <v>66</v>
      </c>
      <c r="BG212" s="25">
        <v>10</v>
      </c>
      <c r="BH212" s="25">
        <v>23</v>
      </c>
      <c r="BI212" s="25">
        <v>6</v>
      </c>
      <c r="BJ212" s="25">
        <v>1</v>
      </c>
      <c r="BK212" s="25">
        <v>6</v>
      </c>
      <c r="BL212" s="25">
        <v>12</v>
      </c>
      <c r="BM212" s="25">
        <v>5</v>
      </c>
      <c r="BN212" s="25">
        <v>16</v>
      </c>
      <c r="BO212" s="103">
        <v>0</v>
      </c>
      <c r="BP212" s="25">
        <v>7</v>
      </c>
      <c r="BQ212" s="25">
        <v>7</v>
      </c>
      <c r="BR212" s="103">
        <v>49</v>
      </c>
      <c r="BS212" s="79">
        <v>1.1367904396073409</v>
      </c>
      <c r="BT212" s="25">
        <v>4</v>
      </c>
      <c r="BU212" s="82">
        <v>210</v>
      </c>
    </row>
  </sheetData>
  <mergeCells count="3">
    <mergeCell ref="A1:W1"/>
    <mergeCell ref="Z1:AV1"/>
    <mergeCell ref="AY1:BU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BU212"/>
  <sheetViews>
    <sheetView zoomScale="110" zoomScaleNormal="11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D3" sqref="D3"/>
    </sheetView>
  </sheetViews>
  <sheetFormatPr baseColWidth="10" defaultRowHeight="16"/>
  <cols>
    <col min="1" max="1" width="6.83203125" customWidth="1"/>
    <col min="2" max="2" width="5.83203125" customWidth="1"/>
    <col min="3" max="3" width="18.83203125" customWidth="1"/>
    <col min="4" max="4" width="6" customWidth="1"/>
    <col min="5" max="6" width="7.1640625" customWidth="1"/>
    <col min="7" max="7" width="5" customWidth="1"/>
    <col min="8" max="8" width="6" customWidth="1"/>
    <col min="9" max="9" width="4.83203125" customWidth="1"/>
    <col min="10" max="10" width="5" customWidth="1"/>
    <col min="11" max="11" width="5.83203125" customWidth="1"/>
    <col min="12" max="12" width="5.6640625" customWidth="1"/>
    <col min="13" max="13" width="6.1640625" customWidth="1"/>
    <col min="14" max="14" width="6.6640625" customWidth="1"/>
    <col min="15" max="15" width="6" customWidth="1"/>
    <col min="16" max="16" width="5" customWidth="1"/>
    <col min="17" max="17" width="5.83203125" customWidth="1"/>
    <col min="18" max="18" width="6" customWidth="1"/>
    <col min="19" max="19" width="5.83203125" customWidth="1"/>
    <col min="20" max="20" width="6" customWidth="1"/>
    <col min="21" max="21" width="7.1640625" customWidth="1"/>
    <col min="22" max="23" width="4.6640625" customWidth="1"/>
    <col min="24" max="25" width="2.5" customWidth="1"/>
    <col min="26" max="26" width="6.33203125" customWidth="1"/>
    <col min="27" max="27" width="5.83203125" customWidth="1"/>
    <col min="28" max="28" width="17.33203125" customWidth="1"/>
    <col min="29" max="29" width="6" customWidth="1"/>
    <col min="30" max="31" width="7.1640625" customWidth="1"/>
    <col min="32" max="32" width="5" customWidth="1"/>
    <col min="33" max="33" width="6" customWidth="1"/>
    <col min="34" max="34" width="4.83203125" customWidth="1"/>
    <col min="35" max="35" width="5" customWidth="1"/>
    <col min="36" max="37" width="5.6640625" customWidth="1"/>
    <col min="38" max="38" width="6.1640625" customWidth="1"/>
    <col min="39" max="39" width="6.6640625" customWidth="1"/>
    <col min="40" max="40" width="6" customWidth="1"/>
    <col min="41" max="41" width="5" customWidth="1"/>
    <col min="42" max="42" width="5.83203125" customWidth="1"/>
    <col min="43" max="43" width="6" customWidth="1"/>
    <col min="44" max="44" width="5.83203125" customWidth="1"/>
    <col min="45" max="45" width="6" customWidth="1"/>
    <col min="46" max="46" width="7" customWidth="1"/>
    <col min="47" max="48" width="4.5" customWidth="1"/>
    <col min="49" max="50" width="2.5" customWidth="1"/>
    <col min="51" max="51" width="6.83203125" customWidth="1"/>
    <col min="52" max="52" width="5.83203125" customWidth="1"/>
    <col min="53" max="53" width="13.83203125" customWidth="1"/>
    <col min="54" max="54" width="6.5" customWidth="1"/>
    <col min="55" max="56" width="7.6640625" customWidth="1"/>
    <col min="57" max="57" width="5.1640625" customWidth="1"/>
    <col min="58" max="58" width="6.5" customWidth="1"/>
    <col min="59" max="60" width="5.1640625" customWidth="1"/>
    <col min="61" max="62" width="6" customWidth="1"/>
    <col min="63" max="63" width="6.6640625" customWidth="1"/>
    <col min="64" max="64" width="7.33203125" customWidth="1"/>
    <col min="65" max="65" width="6.33203125" customWidth="1"/>
    <col min="66" max="66" width="5.1640625" customWidth="1"/>
    <col min="67" max="67" width="6.1640625" customWidth="1"/>
    <col min="68" max="68" width="6.33203125" customWidth="1"/>
    <col min="69" max="69" width="6.1640625" customWidth="1"/>
    <col min="70" max="70" width="6.33203125" customWidth="1"/>
    <col min="71" max="71" width="7.5" customWidth="1"/>
    <col min="72" max="73" width="4.6640625" customWidth="1"/>
    <col min="74" max="74" width="2.5" customWidth="1"/>
  </cols>
  <sheetData>
    <row r="1" spans="1:73" ht="26" thickBot="1">
      <c r="A1" s="1090" t="s">
        <v>1</v>
      </c>
      <c r="B1" s="1091"/>
      <c r="C1" s="1091"/>
      <c r="D1" s="1091"/>
      <c r="E1" s="1091"/>
      <c r="F1" s="1091"/>
      <c r="G1" s="1091"/>
      <c r="H1" s="1091"/>
      <c r="I1" s="1091"/>
      <c r="J1" s="1091"/>
      <c r="K1" s="1091"/>
      <c r="L1" s="1091"/>
      <c r="M1" s="1091"/>
      <c r="N1" s="1091"/>
      <c r="O1" s="1091"/>
      <c r="P1" s="1091"/>
      <c r="Q1" s="1091"/>
      <c r="R1" s="1091"/>
      <c r="S1" s="1091"/>
      <c r="T1" s="1091"/>
      <c r="U1" s="1091"/>
      <c r="V1" s="1091"/>
      <c r="W1" s="1092"/>
      <c r="Z1" s="1090" t="s">
        <v>3</v>
      </c>
      <c r="AA1" s="1091"/>
      <c r="AB1" s="1091"/>
      <c r="AC1" s="1091"/>
      <c r="AD1" s="1091"/>
      <c r="AE1" s="1091"/>
      <c r="AF1" s="1091"/>
      <c r="AG1" s="1091"/>
      <c r="AH1" s="1091"/>
      <c r="AI1" s="1091"/>
      <c r="AJ1" s="1091"/>
      <c r="AK1" s="1091"/>
      <c r="AL1" s="1091"/>
      <c r="AM1" s="1091"/>
      <c r="AN1" s="1091"/>
      <c r="AO1" s="1091"/>
      <c r="AP1" s="1091"/>
      <c r="AQ1" s="1091"/>
      <c r="AR1" s="1091"/>
      <c r="AS1" s="1091"/>
      <c r="AT1" s="1091"/>
      <c r="AU1" s="1091"/>
      <c r="AV1" s="1092"/>
      <c r="AY1" s="1090" t="s">
        <v>5</v>
      </c>
      <c r="AZ1" s="1091"/>
      <c r="BA1" s="1091"/>
      <c r="BB1" s="1091"/>
      <c r="BC1" s="1091"/>
      <c r="BD1" s="1091"/>
      <c r="BE1" s="1091"/>
      <c r="BF1" s="1091"/>
      <c r="BG1" s="1091"/>
      <c r="BH1" s="1091"/>
      <c r="BI1" s="1091"/>
      <c r="BJ1" s="1091"/>
      <c r="BK1" s="1091"/>
      <c r="BL1" s="1091"/>
      <c r="BM1" s="1091"/>
      <c r="BN1" s="1091"/>
      <c r="BO1" s="1091"/>
      <c r="BP1" s="1091"/>
      <c r="BQ1" s="1091"/>
      <c r="BR1" s="1091"/>
      <c r="BS1" s="1091"/>
      <c r="BT1" s="1091"/>
      <c r="BU1" s="1092"/>
    </row>
    <row r="2" spans="1:73" s="108" customFormat="1" ht="17" thickBot="1">
      <c r="A2" s="376" t="s">
        <v>143</v>
      </c>
      <c r="B2" s="377" t="s">
        <v>144</v>
      </c>
      <c r="C2" s="377" t="s">
        <v>145</v>
      </c>
      <c r="D2" s="377" t="s">
        <v>146</v>
      </c>
      <c r="E2" s="377" t="s">
        <v>147</v>
      </c>
      <c r="F2" s="377" t="s">
        <v>148</v>
      </c>
      <c r="G2" s="377" t="s">
        <v>149</v>
      </c>
      <c r="H2" s="377" t="s">
        <v>150</v>
      </c>
      <c r="I2" s="377" t="s">
        <v>151</v>
      </c>
      <c r="J2" s="377" t="s">
        <v>152</v>
      </c>
      <c r="K2" s="377" t="s">
        <v>153</v>
      </c>
      <c r="L2" s="377" t="s">
        <v>154</v>
      </c>
      <c r="M2" s="377" t="s">
        <v>155</v>
      </c>
      <c r="N2" s="377" t="s">
        <v>156</v>
      </c>
      <c r="O2" s="377" t="s">
        <v>157</v>
      </c>
      <c r="P2" s="377" t="s">
        <v>158</v>
      </c>
      <c r="Q2" s="377" t="s">
        <v>159</v>
      </c>
      <c r="R2" s="377" t="s">
        <v>160</v>
      </c>
      <c r="S2" s="377" t="s">
        <v>16</v>
      </c>
      <c r="T2" s="377" t="s">
        <v>161</v>
      </c>
      <c r="U2" s="377" t="s">
        <v>162</v>
      </c>
      <c r="V2" s="377" t="s">
        <v>163</v>
      </c>
      <c r="W2" s="378" t="s">
        <v>164</v>
      </c>
      <c r="Z2" s="376" t="s">
        <v>143</v>
      </c>
      <c r="AA2" s="377" t="s">
        <v>144</v>
      </c>
      <c r="AB2" s="377" t="s">
        <v>145</v>
      </c>
      <c r="AC2" s="377" t="s">
        <v>146</v>
      </c>
      <c r="AD2" s="377" t="s">
        <v>147</v>
      </c>
      <c r="AE2" s="377" t="s">
        <v>148</v>
      </c>
      <c r="AF2" s="377" t="s">
        <v>149</v>
      </c>
      <c r="AG2" s="377" t="s">
        <v>150</v>
      </c>
      <c r="AH2" s="377" t="s">
        <v>151</v>
      </c>
      <c r="AI2" s="377" t="s">
        <v>152</v>
      </c>
      <c r="AJ2" s="377" t="s">
        <v>153</v>
      </c>
      <c r="AK2" s="377" t="s">
        <v>154</v>
      </c>
      <c r="AL2" s="377" t="s">
        <v>155</v>
      </c>
      <c r="AM2" s="377" t="s">
        <v>156</v>
      </c>
      <c r="AN2" s="377" t="s">
        <v>157</v>
      </c>
      <c r="AO2" s="377" t="s">
        <v>158</v>
      </c>
      <c r="AP2" s="377" t="s">
        <v>159</v>
      </c>
      <c r="AQ2" s="377" t="s">
        <v>160</v>
      </c>
      <c r="AR2" s="377" t="s">
        <v>16</v>
      </c>
      <c r="AS2" s="377" t="s">
        <v>161</v>
      </c>
      <c r="AT2" s="377" t="s">
        <v>162</v>
      </c>
      <c r="AU2" s="377" t="s">
        <v>163</v>
      </c>
      <c r="AV2" s="378" t="s">
        <v>164</v>
      </c>
      <c r="AY2" s="39" t="s">
        <v>143</v>
      </c>
      <c r="AZ2" s="187" t="s">
        <v>144</v>
      </c>
      <c r="BA2" s="187" t="s">
        <v>145</v>
      </c>
      <c r="BB2" s="187" t="s">
        <v>146</v>
      </c>
      <c r="BC2" s="187" t="s">
        <v>147</v>
      </c>
      <c r="BD2" s="187" t="s">
        <v>148</v>
      </c>
      <c r="BE2" s="187" t="s">
        <v>149</v>
      </c>
      <c r="BF2" s="187" t="s">
        <v>150</v>
      </c>
      <c r="BG2" s="187" t="s">
        <v>151</v>
      </c>
      <c r="BH2" s="187" t="s">
        <v>152</v>
      </c>
      <c r="BI2" s="187" t="s">
        <v>153</v>
      </c>
      <c r="BJ2" s="187" t="s">
        <v>154</v>
      </c>
      <c r="BK2" s="187" t="s">
        <v>155</v>
      </c>
      <c r="BL2" s="187" t="s">
        <v>156</v>
      </c>
      <c r="BM2" s="187" t="s">
        <v>157</v>
      </c>
      <c r="BN2" s="187" t="s">
        <v>158</v>
      </c>
      <c r="BO2" s="187" t="s">
        <v>159</v>
      </c>
      <c r="BP2" s="187" t="s">
        <v>160</v>
      </c>
      <c r="BQ2" s="187" t="s">
        <v>16</v>
      </c>
      <c r="BR2" s="187" t="s">
        <v>161</v>
      </c>
      <c r="BS2" s="187" t="s">
        <v>162</v>
      </c>
      <c r="BT2" s="187" t="s">
        <v>163</v>
      </c>
      <c r="BU2" s="189" t="s">
        <v>164</v>
      </c>
    </row>
    <row r="3" spans="1:73">
      <c r="A3" s="97" t="s">
        <v>770</v>
      </c>
      <c r="B3" s="65" t="s">
        <v>179</v>
      </c>
      <c r="C3" s="69" t="s">
        <v>779</v>
      </c>
      <c r="D3" s="129">
        <f>VLOOKUP(Table88[[#This Row],[NAME]],PHI_H[[NAME]:['#]],2,0)</f>
        <v>0.25</v>
      </c>
      <c r="E3" s="66">
        <f>VLOOKUP(Table88[[#This Row],[NAME]],PHI_H[[NAME]:['#]],3,0)</f>
        <v>0.3032258064516129</v>
      </c>
      <c r="F3" s="66">
        <f>VLOOKUP(Table88[[#This Row],[NAME]],PHI_H[[NAME]:['#]],4,0)</f>
        <v>0.44444444444444442</v>
      </c>
      <c r="G3" s="99">
        <f>VLOOKUP(Table88[[#This Row],[NAME]],PHI_H[[NAME]:['#]],5,0)</f>
        <v>40</v>
      </c>
      <c r="H3" s="68">
        <f>VLOOKUP(Table88[[#This Row],[NAME]],PHI_H[[NAME]:['#]],6,0)</f>
        <v>144</v>
      </c>
      <c r="I3" s="68">
        <f>VLOOKUP(Table88[[#This Row],[NAME]],PHI_H[[NAME]:['#]],7,0)</f>
        <v>18</v>
      </c>
      <c r="J3" s="68">
        <f>VLOOKUP(Table88[[#This Row],[NAME]],PHI_H[[NAME]:['#]],8,0)</f>
        <v>36</v>
      </c>
      <c r="K3" s="68">
        <f>VLOOKUP(Table88[[#This Row],[NAME]],PHI_H[[NAME]:['#]],9,0)</f>
        <v>7</v>
      </c>
      <c r="L3" s="68">
        <f>VLOOKUP(Table88[[#This Row],[NAME]],PHI_H[[NAME]:['#]],10,0)</f>
        <v>3</v>
      </c>
      <c r="M3" s="68">
        <f>VLOOKUP(Table88[[#This Row],[NAME]],PHI_H[[NAME]:['#]],11,0)</f>
        <v>5</v>
      </c>
      <c r="N3" s="68">
        <f>VLOOKUP(Table88[[#This Row],[NAME]],PHI_H[[NAME]:['#]],12,0)</f>
        <v>10</v>
      </c>
      <c r="O3" s="68">
        <f>VLOOKUP(Table88[[#This Row],[NAME]],PHI_H[[NAME]:['#]],13,0)</f>
        <v>11</v>
      </c>
      <c r="P3" s="68">
        <f>VLOOKUP(Table88[[#This Row],[NAME]],PHI_H[[NAME]:['#]],14,0)</f>
        <v>34</v>
      </c>
      <c r="Q3" s="99">
        <f>VLOOKUP(Table88[[#This Row],[NAME]],PHI_H[[NAME]:['#]],15,0)</f>
        <v>0</v>
      </c>
      <c r="R3" s="68">
        <f>VLOOKUP(Table88[[#This Row],[NAME]],PHI_H[[NAME]:['#]],16,0)</f>
        <v>0</v>
      </c>
      <c r="S3" s="68">
        <f>VLOOKUP(Table88[[#This Row],[NAME]],PHI_H[[NAME]:['#]],17,0)</f>
        <v>5</v>
      </c>
      <c r="T3" s="99">
        <f>VLOOKUP(Table88[[#This Row],[NAME]],PHI_H[[NAME]:['#]],18,0)</f>
        <v>64</v>
      </c>
      <c r="U3" s="66">
        <f>VLOOKUP(Table88[[#This Row],[NAME]],PHI_H[[NAME]:['#]],19,0)</f>
        <v>0.74767025089605732</v>
      </c>
      <c r="V3" s="68">
        <f>VLOOKUP(Table88[[#This Row],[NAME]],PHI_H[[NAME]:['#]],20,0)</f>
        <v>1</v>
      </c>
      <c r="W3" s="70">
        <v>1</v>
      </c>
      <c r="Z3" s="97" t="s">
        <v>770</v>
      </c>
      <c r="AA3" s="99" t="s">
        <v>179</v>
      </c>
      <c r="AB3" s="99" t="s">
        <v>779</v>
      </c>
      <c r="AC3" s="129">
        <v>0.18954248366013071</v>
      </c>
      <c r="AD3" s="66">
        <v>0.22012578616352202</v>
      </c>
      <c r="AE3" s="66">
        <v>0.31372549019607843</v>
      </c>
      <c r="AF3" s="99">
        <v>38</v>
      </c>
      <c r="AG3" s="68">
        <v>153</v>
      </c>
      <c r="AH3" s="68">
        <v>14</v>
      </c>
      <c r="AI3" s="68">
        <v>29</v>
      </c>
      <c r="AJ3" s="68">
        <v>4</v>
      </c>
      <c r="AK3" s="68">
        <v>0</v>
      </c>
      <c r="AL3" s="68">
        <v>5</v>
      </c>
      <c r="AM3" s="68">
        <v>16</v>
      </c>
      <c r="AN3" s="68">
        <v>6</v>
      </c>
      <c r="AO3" s="68">
        <v>44</v>
      </c>
      <c r="AP3" s="99">
        <v>0</v>
      </c>
      <c r="AQ3" s="68">
        <v>0</v>
      </c>
      <c r="AR3" s="68">
        <v>5</v>
      </c>
      <c r="AS3" s="99">
        <v>48</v>
      </c>
      <c r="AT3" s="66">
        <v>0.53385127635960039</v>
      </c>
      <c r="AU3" s="68">
        <v>1</v>
      </c>
      <c r="AV3" s="70">
        <v>1</v>
      </c>
      <c r="AY3" s="576" t="s">
        <v>770</v>
      </c>
      <c r="AZ3" s="99" t="s">
        <v>179</v>
      </c>
      <c r="BA3" s="99" t="s">
        <v>779</v>
      </c>
      <c r="BB3" s="129">
        <v>0.22368421052631579</v>
      </c>
      <c r="BC3" s="66">
        <v>0.28915662650602408</v>
      </c>
      <c r="BD3" s="66">
        <v>0.40131578947368424</v>
      </c>
      <c r="BE3" s="99">
        <v>40</v>
      </c>
      <c r="BF3" s="68">
        <v>152</v>
      </c>
      <c r="BG3" s="68">
        <v>14</v>
      </c>
      <c r="BH3" s="68">
        <v>34</v>
      </c>
      <c r="BI3" s="68">
        <v>6</v>
      </c>
      <c r="BJ3" s="68">
        <v>0</v>
      </c>
      <c r="BK3" s="68">
        <v>7</v>
      </c>
      <c r="BL3" s="68">
        <v>20</v>
      </c>
      <c r="BM3" s="68">
        <v>14</v>
      </c>
      <c r="BN3" s="68">
        <v>52</v>
      </c>
      <c r="BO3" s="99">
        <v>0</v>
      </c>
      <c r="BP3" s="68">
        <v>3</v>
      </c>
      <c r="BQ3" s="68">
        <v>4</v>
      </c>
      <c r="BR3" s="99">
        <v>61</v>
      </c>
      <c r="BS3" s="66">
        <v>0.69047241597970832</v>
      </c>
      <c r="BT3" s="68">
        <v>2</v>
      </c>
      <c r="BU3" s="70">
        <v>1</v>
      </c>
    </row>
    <row r="4" spans="1:73">
      <c r="A4" s="101" t="s">
        <v>770</v>
      </c>
      <c r="B4" s="71" t="s">
        <v>154</v>
      </c>
      <c r="C4" s="74" t="s">
        <v>771</v>
      </c>
      <c r="D4" s="130">
        <f>VLOOKUP(Table88[[#This Row],[NAME]],PHI_H[[NAME]:['#]],2,0)</f>
        <v>0.31690140845070425</v>
      </c>
      <c r="E4" s="72">
        <f>VLOOKUP(Table88[[#This Row],[NAME]],PHI_H[[NAME]:['#]],3,0)</f>
        <v>0.41212121212121211</v>
      </c>
      <c r="F4" s="72">
        <f>VLOOKUP(Table88[[#This Row],[NAME]],PHI_H[[NAME]:['#]],4,0)</f>
        <v>0.62676056338028174</v>
      </c>
      <c r="G4" s="77">
        <f>VLOOKUP(Table88[[#This Row],[NAME]],PHI_H[[NAME]:['#]],5,0)</f>
        <v>40</v>
      </c>
      <c r="H4" s="28">
        <f>VLOOKUP(Table88[[#This Row],[NAME]],PHI_H[[NAME]:['#]],6,0)</f>
        <v>142</v>
      </c>
      <c r="I4" s="28">
        <f>VLOOKUP(Table88[[#This Row],[NAME]],PHI_H[[NAME]:['#]],7,0)</f>
        <v>20</v>
      </c>
      <c r="J4" s="28">
        <f>VLOOKUP(Table88[[#This Row],[NAME]],PHI_H[[NAME]:['#]],8,0)</f>
        <v>45</v>
      </c>
      <c r="K4" s="28">
        <f>VLOOKUP(Table88[[#This Row],[NAME]],PHI_H[[NAME]:['#]],9,0)</f>
        <v>12</v>
      </c>
      <c r="L4" s="28">
        <f>VLOOKUP(Table88[[#This Row],[NAME]],PHI_H[[NAME]:['#]],10,0)</f>
        <v>1</v>
      </c>
      <c r="M4" s="28">
        <f>VLOOKUP(Table88[[#This Row],[NAME]],PHI_H[[NAME]:['#]],11,0)</f>
        <v>10</v>
      </c>
      <c r="N4" s="28">
        <f>VLOOKUP(Table88[[#This Row],[NAME]],PHI_H[[NAME]:['#]],12,0)</f>
        <v>29</v>
      </c>
      <c r="O4" s="28">
        <f>VLOOKUP(Table88[[#This Row],[NAME]],PHI_H[[NAME]:['#]],13,0)</f>
        <v>23</v>
      </c>
      <c r="P4" s="28">
        <f>VLOOKUP(Table88[[#This Row],[NAME]],PHI_H[[NAME]:['#]],14,0)</f>
        <v>28</v>
      </c>
      <c r="Q4" s="77">
        <f>VLOOKUP(Table88[[#This Row],[NAME]],PHI_H[[NAME]:['#]],15,0)</f>
        <v>0</v>
      </c>
      <c r="R4" s="28">
        <f>VLOOKUP(Table88[[#This Row],[NAME]],PHI_H[[NAME]:['#]],16,0)</f>
        <v>0</v>
      </c>
      <c r="S4" s="28">
        <f>VLOOKUP(Table88[[#This Row],[NAME]],PHI_H[[NAME]:['#]],17,0)</f>
        <v>10</v>
      </c>
      <c r="T4" s="77">
        <f>VLOOKUP(Table88[[#This Row],[NAME]],PHI_H[[NAME]:['#]],18,0)</f>
        <v>89</v>
      </c>
      <c r="U4" s="72">
        <f>VLOOKUP(Table88[[#This Row],[NAME]],PHI_H[[NAME]:['#]],19,0)</f>
        <v>1.0388817755014939</v>
      </c>
      <c r="V4" s="28">
        <f>VLOOKUP(Table88[[#This Row],[NAME]],PHI_H[[NAME]:['#]],20,0)</f>
        <v>4</v>
      </c>
      <c r="W4" s="75">
        <v>2</v>
      </c>
      <c r="Z4" s="101" t="s">
        <v>770</v>
      </c>
      <c r="AA4" s="77" t="s">
        <v>154</v>
      </c>
      <c r="AB4" s="77" t="s">
        <v>775</v>
      </c>
      <c r="AC4" s="130">
        <v>0.21323529411764705</v>
      </c>
      <c r="AD4" s="72">
        <v>0.31847133757961782</v>
      </c>
      <c r="AE4" s="72">
        <v>0.47058823529411764</v>
      </c>
      <c r="AF4" s="77">
        <v>38</v>
      </c>
      <c r="AG4" s="28">
        <v>136</v>
      </c>
      <c r="AH4" s="28">
        <v>25</v>
      </c>
      <c r="AI4" s="28">
        <v>29</v>
      </c>
      <c r="AJ4" s="28">
        <v>4</v>
      </c>
      <c r="AK4" s="28">
        <v>2</v>
      </c>
      <c r="AL4" s="28">
        <v>9</v>
      </c>
      <c r="AM4" s="28">
        <v>24</v>
      </c>
      <c r="AN4" s="28">
        <v>21</v>
      </c>
      <c r="AO4" s="28">
        <v>34</v>
      </c>
      <c r="AP4" s="77">
        <v>0</v>
      </c>
      <c r="AQ4" s="28">
        <v>0</v>
      </c>
      <c r="AR4" s="28">
        <v>6</v>
      </c>
      <c r="AS4" s="77">
        <v>64</v>
      </c>
      <c r="AT4" s="72">
        <v>0.78905957287373552</v>
      </c>
      <c r="AU4" s="28">
        <v>5</v>
      </c>
      <c r="AV4" s="75">
        <v>2</v>
      </c>
      <c r="AY4" s="365" t="s">
        <v>770</v>
      </c>
      <c r="AZ4" s="77" t="s">
        <v>154</v>
      </c>
      <c r="BA4" s="77" t="s">
        <v>775</v>
      </c>
      <c r="BB4" s="130">
        <v>0.23684210526315788</v>
      </c>
      <c r="BC4" s="72">
        <v>0.33333333333333331</v>
      </c>
      <c r="BD4" s="72">
        <v>0.42763157894736842</v>
      </c>
      <c r="BE4" s="77">
        <v>40</v>
      </c>
      <c r="BF4" s="28">
        <v>152</v>
      </c>
      <c r="BG4" s="28">
        <v>19</v>
      </c>
      <c r="BH4" s="28">
        <v>36</v>
      </c>
      <c r="BI4" s="28">
        <v>6</v>
      </c>
      <c r="BJ4" s="28">
        <v>1</v>
      </c>
      <c r="BK4" s="28">
        <v>7</v>
      </c>
      <c r="BL4" s="28">
        <v>26</v>
      </c>
      <c r="BM4" s="28">
        <v>22</v>
      </c>
      <c r="BN4" s="28">
        <v>40</v>
      </c>
      <c r="BO4" s="77">
        <v>0</v>
      </c>
      <c r="BP4" s="28">
        <v>0</v>
      </c>
      <c r="BQ4" s="28">
        <v>6</v>
      </c>
      <c r="BR4" s="77">
        <v>65</v>
      </c>
      <c r="BS4" s="72">
        <v>0.76096491228070173</v>
      </c>
      <c r="BT4" s="28">
        <v>4</v>
      </c>
      <c r="BU4" s="75">
        <v>2</v>
      </c>
    </row>
    <row r="5" spans="1:73">
      <c r="A5" s="101" t="s">
        <v>770</v>
      </c>
      <c r="B5" s="71" t="s">
        <v>172</v>
      </c>
      <c r="C5" s="74" t="s">
        <v>778</v>
      </c>
      <c r="D5" s="130">
        <f>VLOOKUP(Table88[[#This Row],[NAME]],PHI_H[[NAME]:['#]],2,0)</f>
        <v>0.184</v>
      </c>
      <c r="E5" s="72">
        <f>VLOOKUP(Table88[[#This Row],[NAME]],PHI_H[[NAME]:['#]],3,0)</f>
        <v>0.2608695652173913</v>
      </c>
      <c r="F5" s="72">
        <f>VLOOKUP(Table88[[#This Row],[NAME]],PHI_H[[NAME]:['#]],4,0)</f>
        <v>0.312</v>
      </c>
      <c r="G5" s="77">
        <f>VLOOKUP(Table88[[#This Row],[NAME]],PHI_H[[NAME]:['#]],5,0)</f>
        <v>37</v>
      </c>
      <c r="H5" s="28">
        <f>VLOOKUP(Table88[[#This Row],[NAME]],PHI_H[[NAME]:['#]],6,0)</f>
        <v>125</v>
      </c>
      <c r="I5" s="28">
        <f>VLOOKUP(Table88[[#This Row],[NAME]],PHI_H[[NAME]:['#]],7,0)</f>
        <v>11</v>
      </c>
      <c r="J5" s="28">
        <f>VLOOKUP(Table88[[#This Row],[NAME]],PHI_H[[NAME]:['#]],8,0)</f>
        <v>23</v>
      </c>
      <c r="K5" s="28">
        <f>VLOOKUP(Table88[[#This Row],[NAME]],PHI_H[[NAME]:['#]],9,0)</f>
        <v>4</v>
      </c>
      <c r="L5" s="28">
        <f>VLOOKUP(Table88[[#This Row],[NAME]],PHI_H[[NAME]:['#]],10,0)</f>
        <v>0</v>
      </c>
      <c r="M5" s="28">
        <f>VLOOKUP(Table88[[#This Row],[NAME]],PHI_H[[NAME]:['#]],11,0)</f>
        <v>4</v>
      </c>
      <c r="N5" s="28">
        <f>VLOOKUP(Table88[[#This Row],[NAME]],PHI_H[[NAME]:['#]],12,0)</f>
        <v>15</v>
      </c>
      <c r="O5" s="28">
        <f>VLOOKUP(Table88[[#This Row],[NAME]],PHI_H[[NAME]:['#]],13,0)</f>
        <v>13</v>
      </c>
      <c r="P5" s="28">
        <f>VLOOKUP(Table88[[#This Row],[NAME]],PHI_H[[NAME]:['#]],14,0)</f>
        <v>33</v>
      </c>
      <c r="Q5" s="77">
        <f>VLOOKUP(Table88[[#This Row],[NAME]],PHI_H[[NAME]:['#]],15,0)</f>
        <v>0</v>
      </c>
      <c r="R5" s="28">
        <f>VLOOKUP(Table88[[#This Row],[NAME]],PHI_H[[NAME]:['#]],16,0)</f>
        <v>0</v>
      </c>
      <c r="S5" s="28">
        <f>VLOOKUP(Table88[[#This Row],[NAME]],PHI_H[[NAME]:['#]],17,0)</f>
        <v>4</v>
      </c>
      <c r="T5" s="77">
        <f>VLOOKUP(Table88[[#This Row],[NAME]],PHI_H[[NAME]:['#]],18,0)</f>
        <v>39</v>
      </c>
      <c r="U5" s="72">
        <f>VLOOKUP(Table88[[#This Row],[NAME]],PHI_H[[NAME]:['#]],19,0)</f>
        <v>0.5728695652173913</v>
      </c>
      <c r="V5" s="28">
        <f>VLOOKUP(Table88[[#This Row],[NAME]],PHI_H[[NAME]:['#]],20,0)</f>
        <v>1</v>
      </c>
      <c r="W5" s="75">
        <v>3</v>
      </c>
      <c r="Z5" s="101" t="s">
        <v>770</v>
      </c>
      <c r="AA5" s="77" t="s">
        <v>172</v>
      </c>
      <c r="AB5" s="77" t="s">
        <v>778</v>
      </c>
      <c r="AC5" s="130">
        <v>0.24113475177304963</v>
      </c>
      <c r="AD5" s="72">
        <v>0.30065359477124182</v>
      </c>
      <c r="AE5" s="72">
        <v>0.41843971631205673</v>
      </c>
      <c r="AF5" s="77">
        <v>40</v>
      </c>
      <c r="AG5" s="28">
        <v>141</v>
      </c>
      <c r="AH5" s="28">
        <v>19</v>
      </c>
      <c r="AI5" s="28">
        <v>34</v>
      </c>
      <c r="AJ5" s="28">
        <v>6</v>
      </c>
      <c r="AK5" s="28">
        <v>2</v>
      </c>
      <c r="AL5" s="28">
        <v>5</v>
      </c>
      <c r="AM5" s="28">
        <v>15</v>
      </c>
      <c r="AN5" s="28">
        <v>12</v>
      </c>
      <c r="AO5" s="28">
        <v>35</v>
      </c>
      <c r="AP5" s="77">
        <v>0</v>
      </c>
      <c r="AQ5" s="28">
        <v>8</v>
      </c>
      <c r="AR5" s="28">
        <v>8</v>
      </c>
      <c r="AS5" s="77">
        <v>59</v>
      </c>
      <c r="AT5" s="72">
        <v>0.71909331108329855</v>
      </c>
      <c r="AU5" s="28">
        <v>1</v>
      </c>
      <c r="AV5" s="75">
        <v>3</v>
      </c>
      <c r="AY5" s="365" t="s">
        <v>770</v>
      </c>
      <c r="AZ5" s="77" t="s">
        <v>235</v>
      </c>
      <c r="BA5" s="77" t="s">
        <v>778</v>
      </c>
      <c r="BB5" s="130">
        <v>0.22047244094488189</v>
      </c>
      <c r="BC5" s="72">
        <v>0.28776978417266186</v>
      </c>
      <c r="BD5" s="72">
        <v>0.28346456692913385</v>
      </c>
      <c r="BE5" s="77">
        <v>36</v>
      </c>
      <c r="BF5" s="28">
        <v>127</v>
      </c>
      <c r="BG5" s="28">
        <v>9</v>
      </c>
      <c r="BH5" s="28">
        <v>28</v>
      </c>
      <c r="BI5" s="28">
        <v>8</v>
      </c>
      <c r="BJ5" s="28">
        <v>0</v>
      </c>
      <c r="BK5" s="28">
        <v>0</v>
      </c>
      <c r="BL5" s="28">
        <v>10</v>
      </c>
      <c r="BM5" s="28">
        <v>12</v>
      </c>
      <c r="BN5" s="28">
        <v>39</v>
      </c>
      <c r="BO5" s="77">
        <v>0</v>
      </c>
      <c r="BP5" s="28">
        <v>0</v>
      </c>
      <c r="BQ5" s="28">
        <v>5</v>
      </c>
      <c r="BR5" s="77">
        <v>36</v>
      </c>
      <c r="BS5" s="72">
        <v>0.57123435110179566</v>
      </c>
      <c r="BT5" s="28">
        <v>1</v>
      </c>
      <c r="BU5" s="75">
        <v>3</v>
      </c>
    </row>
    <row r="6" spans="1:73">
      <c r="A6" s="101" t="s">
        <v>770</v>
      </c>
      <c r="B6" s="71" t="s">
        <v>153</v>
      </c>
      <c r="C6" s="77" t="s">
        <v>777</v>
      </c>
      <c r="D6" s="130">
        <f>VLOOKUP(Table88[[#This Row],[NAME]],PHI_H[[NAME]:['#]],2,0)</f>
        <v>0.2857142857142857</v>
      </c>
      <c r="E6" s="72">
        <f>VLOOKUP(Table88[[#This Row],[NAME]],PHI_H[[NAME]:['#]],3,0)</f>
        <v>0.35135135135135137</v>
      </c>
      <c r="F6" s="72">
        <f>VLOOKUP(Table88[[#This Row],[NAME]],PHI_H[[NAME]:['#]],4,0)</f>
        <v>0.42857142857142855</v>
      </c>
      <c r="G6" s="77">
        <f>VLOOKUP(Table88[[#This Row],[NAME]],PHI_H[[NAME]:['#]],5,0)</f>
        <v>40</v>
      </c>
      <c r="H6" s="28">
        <f>VLOOKUP(Table88[[#This Row],[NAME]],PHI_H[[NAME]:['#]],6,0)</f>
        <v>168</v>
      </c>
      <c r="I6" s="28">
        <f>VLOOKUP(Table88[[#This Row],[NAME]],PHI_H[[NAME]:['#]],7,0)</f>
        <v>24</v>
      </c>
      <c r="J6" s="28">
        <f>VLOOKUP(Table88[[#This Row],[NAME]],PHI_H[[NAME]:['#]],8,0)</f>
        <v>48</v>
      </c>
      <c r="K6" s="28">
        <f>VLOOKUP(Table88[[#This Row],[NAME]],PHI_H[[NAME]:['#]],9,0)</f>
        <v>5</v>
      </c>
      <c r="L6" s="28">
        <f>VLOOKUP(Table88[[#This Row],[NAME]],PHI_H[[NAME]:['#]],10,0)</f>
        <v>2</v>
      </c>
      <c r="M6" s="28">
        <f>VLOOKUP(Table88[[#This Row],[NAME]],PHI_H[[NAME]:['#]],11,0)</f>
        <v>5</v>
      </c>
      <c r="N6" s="28">
        <f>VLOOKUP(Table88[[#This Row],[NAME]],PHI_H[[NAME]:['#]],12,0)</f>
        <v>21</v>
      </c>
      <c r="O6" s="28">
        <f>VLOOKUP(Table88[[#This Row],[NAME]],PHI_H[[NAME]:['#]],13,0)</f>
        <v>17</v>
      </c>
      <c r="P6" s="28">
        <f>VLOOKUP(Table88[[#This Row],[NAME]],PHI_H[[NAME]:['#]],14,0)</f>
        <v>32</v>
      </c>
      <c r="Q6" s="77">
        <f>VLOOKUP(Table88[[#This Row],[NAME]],PHI_H[[NAME]:['#]],15,0)</f>
        <v>9</v>
      </c>
      <c r="R6" s="28">
        <f>VLOOKUP(Table88[[#This Row],[NAME]],PHI_H[[NAME]:['#]],16,0)</f>
        <v>0</v>
      </c>
      <c r="S6" s="28">
        <f>VLOOKUP(Table88[[#This Row],[NAME]],PHI_H[[NAME]:['#]],17,0)</f>
        <v>14</v>
      </c>
      <c r="T6" s="77">
        <f>VLOOKUP(Table88[[#This Row],[NAME]],PHI_H[[NAME]:['#]],18,0)</f>
        <v>72</v>
      </c>
      <c r="U6" s="72">
        <f>VLOOKUP(Table88[[#This Row],[NAME]],PHI_H[[NAME]:['#]],19,0)</f>
        <v>0.77992277992277992</v>
      </c>
      <c r="V6" s="28">
        <f>VLOOKUP(Table88[[#This Row],[NAME]],PHI_H[[NAME]:['#]],20,0)</f>
        <v>2</v>
      </c>
      <c r="W6" s="75">
        <v>4</v>
      </c>
      <c r="Z6" s="101" t="s">
        <v>770</v>
      </c>
      <c r="AA6" s="77" t="s">
        <v>153</v>
      </c>
      <c r="AB6" s="77" t="s">
        <v>780</v>
      </c>
      <c r="AC6" s="130">
        <v>0.27972027972027974</v>
      </c>
      <c r="AD6" s="72">
        <v>0.31788079470198677</v>
      </c>
      <c r="AE6" s="72">
        <v>0.38461538461538464</v>
      </c>
      <c r="AF6" s="77">
        <v>38</v>
      </c>
      <c r="AG6" s="28">
        <v>143</v>
      </c>
      <c r="AH6" s="28">
        <v>15</v>
      </c>
      <c r="AI6" s="28">
        <v>40</v>
      </c>
      <c r="AJ6" s="28">
        <v>7</v>
      </c>
      <c r="AK6" s="28">
        <v>1</v>
      </c>
      <c r="AL6" s="28">
        <v>2</v>
      </c>
      <c r="AM6" s="28">
        <v>3</v>
      </c>
      <c r="AN6" s="28">
        <v>8</v>
      </c>
      <c r="AO6" s="28">
        <v>35</v>
      </c>
      <c r="AP6" s="77">
        <v>1</v>
      </c>
      <c r="AQ6" s="28">
        <v>0</v>
      </c>
      <c r="AR6" s="28">
        <v>6</v>
      </c>
      <c r="AS6" s="77">
        <v>55</v>
      </c>
      <c r="AT6" s="72">
        <v>0.70249617931737141</v>
      </c>
      <c r="AU6" s="28">
        <v>0</v>
      </c>
      <c r="AV6" s="75">
        <v>4</v>
      </c>
      <c r="AY6" s="365" t="s">
        <v>770</v>
      </c>
      <c r="AZ6" s="77" t="s">
        <v>153</v>
      </c>
      <c r="BA6" s="77" t="s">
        <v>780</v>
      </c>
      <c r="BB6" s="130">
        <v>0.24358974358974358</v>
      </c>
      <c r="BC6" s="72">
        <v>0.27607361963190186</v>
      </c>
      <c r="BD6" s="72">
        <v>0.33333333333333331</v>
      </c>
      <c r="BE6" s="77">
        <v>40</v>
      </c>
      <c r="BF6" s="28">
        <v>156</v>
      </c>
      <c r="BG6" s="28">
        <v>12</v>
      </c>
      <c r="BH6" s="28">
        <v>38</v>
      </c>
      <c r="BI6" s="28">
        <v>8</v>
      </c>
      <c r="BJ6" s="28">
        <v>0</v>
      </c>
      <c r="BK6" s="28">
        <v>2</v>
      </c>
      <c r="BL6" s="28">
        <v>14</v>
      </c>
      <c r="BM6" s="28">
        <v>7</v>
      </c>
      <c r="BN6" s="28">
        <v>27</v>
      </c>
      <c r="BO6" s="77">
        <v>6</v>
      </c>
      <c r="BP6" s="28">
        <v>7</v>
      </c>
      <c r="BQ6" s="28">
        <v>7</v>
      </c>
      <c r="BR6" s="77">
        <v>52</v>
      </c>
      <c r="BS6" s="72">
        <v>0.60940695296523517</v>
      </c>
      <c r="BT6" s="28">
        <v>1</v>
      </c>
      <c r="BU6" s="75">
        <v>4</v>
      </c>
    </row>
    <row r="7" spans="1:73">
      <c r="A7" s="101" t="s">
        <v>770</v>
      </c>
      <c r="B7" s="71" t="s">
        <v>177</v>
      </c>
      <c r="C7" s="74" t="s">
        <v>773</v>
      </c>
      <c r="D7" s="130">
        <f>VLOOKUP(Table88[[#This Row],[NAME]],PHI_H[[NAME]:['#]],2,0)</f>
        <v>0.24161073825503357</v>
      </c>
      <c r="E7" s="72">
        <f>VLOOKUP(Table88[[#This Row],[NAME]],PHI_H[[NAME]:['#]],3,0)</f>
        <v>0.32335329341317365</v>
      </c>
      <c r="F7" s="72">
        <f>VLOOKUP(Table88[[#This Row],[NAME]],PHI_H[[NAME]:['#]],4,0)</f>
        <v>0.57046979865771807</v>
      </c>
      <c r="G7" s="77">
        <f>VLOOKUP(Table88[[#This Row],[NAME]],PHI_H[[NAME]:['#]],5,0)</f>
        <v>39</v>
      </c>
      <c r="H7" s="28">
        <f>VLOOKUP(Table88[[#This Row],[NAME]],PHI_H[[NAME]:['#]],6,0)</f>
        <v>149</v>
      </c>
      <c r="I7" s="28">
        <f>VLOOKUP(Table88[[#This Row],[NAME]],PHI_H[[NAME]:['#]],7,0)</f>
        <v>25</v>
      </c>
      <c r="J7" s="28">
        <f>VLOOKUP(Table88[[#This Row],[NAME]],PHI_H[[NAME]:['#]],8,0)</f>
        <v>36</v>
      </c>
      <c r="K7" s="28">
        <f>VLOOKUP(Table88[[#This Row],[NAME]],PHI_H[[NAME]:['#]],9,0)</f>
        <v>10</v>
      </c>
      <c r="L7" s="28">
        <f>VLOOKUP(Table88[[#This Row],[NAME]],PHI_H[[NAME]:['#]],10,0)</f>
        <v>0</v>
      </c>
      <c r="M7" s="28">
        <f>VLOOKUP(Table88[[#This Row],[NAME]],PHI_H[[NAME]:['#]],11,0)</f>
        <v>13</v>
      </c>
      <c r="N7" s="28">
        <f>VLOOKUP(Table88[[#This Row],[NAME]],PHI_H[[NAME]:['#]],12,0)</f>
        <v>32</v>
      </c>
      <c r="O7" s="28">
        <f>VLOOKUP(Table88[[#This Row],[NAME]],PHI_H[[NAME]:['#]],13,0)</f>
        <v>18</v>
      </c>
      <c r="P7" s="28">
        <f>VLOOKUP(Table88[[#This Row],[NAME]],PHI_H[[NAME]:['#]],14,0)</f>
        <v>36</v>
      </c>
      <c r="Q7" s="77">
        <f>VLOOKUP(Table88[[#This Row],[NAME]],PHI_H[[NAME]:['#]],15,0)</f>
        <v>0</v>
      </c>
      <c r="R7" s="28">
        <f>VLOOKUP(Table88[[#This Row],[NAME]],PHI_H[[NAME]:['#]],16,0)</f>
        <v>0</v>
      </c>
      <c r="S7" s="28">
        <f>VLOOKUP(Table88[[#This Row],[NAME]],PHI_H[[NAME]:['#]],17,0)</f>
        <v>8</v>
      </c>
      <c r="T7" s="77">
        <f>VLOOKUP(Table88[[#This Row],[NAME]],PHI_H[[NAME]:['#]],18,0)</f>
        <v>85</v>
      </c>
      <c r="U7" s="72">
        <f>VLOOKUP(Table88[[#This Row],[NAME]],PHI_H[[NAME]:['#]],19,0)</f>
        <v>0.89382309207089172</v>
      </c>
      <c r="V7" s="76">
        <f>VLOOKUP(Table88[[#This Row],[NAME]],PHI_H[[NAME]:['#]],20,0)</f>
        <v>6</v>
      </c>
      <c r="W7" s="75">
        <v>5</v>
      </c>
      <c r="Z7" s="101" t="s">
        <v>770</v>
      </c>
      <c r="AA7" s="77" t="s">
        <v>177</v>
      </c>
      <c r="AB7" s="77" t="s">
        <v>782</v>
      </c>
      <c r="AC7" s="130">
        <v>0.29457364341085274</v>
      </c>
      <c r="AD7" s="72">
        <v>0.35915492957746481</v>
      </c>
      <c r="AE7" s="72">
        <v>0.39534883720930231</v>
      </c>
      <c r="AF7" s="77">
        <v>31</v>
      </c>
      <c r="AG7" s="28">
        <v>129</v>
      </c>
      <c r="AH7" s="28">
        <v>15</v>
      </c>
      <c r="AI7" s="28">
        <v>38</v>
      </c>
      <c r="AJ7" s="28">
        <v>5</v>
      </c>
      <c r="AK7" s="28">
        <v>1</v>
      </c>
      <c r="AL7" s="28">
        <v>2</v>
      </c>
      <c r="AM7" s="28">
        <v>13</v>
      </c>
      <c r="AN7" s="28">
        <v>13</v>
      </c>
      <c r="AO7" s="28">
        <v>21</v>
      </c>
      <c r="AP7" s="77">
        <v>0</v>
      </c>
      <c r="AQ7" s="28">
        <v>6</v>
      </c>
      <c r="AR7" s="28">
        <v>9</v>
      </c>
      <c r="AS7" s="77">
        <v>51</v>
      </c>
      <c r="AT7" s="72">
        <v>0.75450376678676712</v>
      </c>
      <c r="AU7" s="28">
        <v>2</v>
      </c>
      <c r="AV7" s="75">
        <v>5</v>
      </c>
      <c r="AY7" s="365" t="s">
        <v>770</v>
      </c>
      <c r="AZ7" s="77" t="s">
        <v>177</v>
      </c>
      <c r="BA7" s="77" t="s">
        <v>781</v>
      </c>
      <c r="BB7" s="130">
        <v>0.2119205298013245</v>
      </c>
      <c r="BC7" s="72">
        <v>0.35326086956521741</v>
      </c>
      <c r="BD7" s="72">
        <v>0.41059602649006621</v>
      </c>
      <c r="BE7" s="77">
        <v>40</v>
      </c>
      <c r="BF7" s="28">
        <v>151</v>
      </c>
      <c r="BG7" s="28">
        <v>27</v>
      </c>
      <c r="BH7" s="28">
        <v>32</v>
      </c>
      <c r="BI7" s="28">
        <v>9</v>
      </c>
      <c r="BJ7" s="28">
        <v>0</v>
      </c>
      <c r="BK7" s="28">
        <v>7</v>
      </c>
      <c r="BL7" s="28">
        <v>21</v>
      </c>
      <c r="BM7" s="28">
        <v>33</v>
      </c>
      <c r="BN7" s="28">
        <v>47</v>
      </c>
      <c r="BO7" s="77">
        <v>0</v>
      </c>
      <c r="BP7" s="28">
        <v>4</v>
      </c>
      <c r="BQ7" s="28">
        <v>4</v>
      </c>
      <c r="BR7" s="77">
        <v>62</v>
      </c>
      <c r="BS7" s="72">
        <v>0.76385689605528362</v>
      </c>
      <c r="BT7" s="28">
        <v>2</v>
      </c>
      <c r="BU7" s="75">
        <v>5</v>
      </c>
    </row>
    <row r="8" spans="1:73">
      <c r="A8" s="101" t="s">
        <v>770</v>
      </c>
      <c r="B8" s="71" t="s">
        <v>174</v>
      </c>
      <c r="C8" s="74" t="s">
        <v>782</v>
      </c>
      <c r="D8" s="130">
        <f>VLOOKUP(Table88[[#This Row],[NAME]],PHI_H[[NAME]:['#]],2,0)</f>
        <v>0.26717557251908397</v>
      </c>
      <c r="E8" s="72">
        <f>VLOOKUP(Table88[[#This Row],[NAME]],PHI_H[[NAME]:['#]],3,0)</f>
        <v>0.35570469798657717</v>
      </c>
      <c r="F8" s="72">
        <f>VLOOKUP(Table88[[#This Row],[NAME]],PHI_H[[NAME]:['#]],4,0)</f>
        <v>0.36641221374045801</v>
      </c>
      <c r="G8" s="77">
        <f>VLOOKUP(Table88[[#This Row],[NAME]],PHI_H[[NAME]:['#]],5,0)</f>
        <v>37</v>
      </c>
      <c r="H8" s="28">
        <f>VLOOKUP(Table88[[#This Row],[NAME]],PHI_H[[NAME]:['#]],6,0)</f>
        <v>131</v>
      </c>
      <c r="I8" s="28">
        <f>VLOOKUP(Table88[[#This Row],[NAME]],PHI_H[[NAME]:['#]],7,0)</f>
        <v>6</v>
      </c>
      <c r="J8" s="28">
        <f>VLOOKUP(Table88[[#This Row],[NAME]],PHI_H[[NAME]:['#]],8,0)</f>
        <v>35</v>
      </c>
      <c r="K8" s="28">
        <f>VLOOKUP(Table88[[#This Row],[NAME]],PHI_H[[NAME]:['#]],9,0)</f>
        <v>8</v>
      </c>
      <c r="L8" s="28">
        <f>VLOOKUP(Table88[[#This Row],[NAME]],PHI_H[[NAME]:['#]],10,0)</f>
        <v>1</v>
      </c>
      <c r="M8" s="28">
        <f>VLOOKUP(Table88[[#This Row],[NAME]],PHI_H[[NAME]:['#]],11,0)</f>
        <v>1</v>
      </c>
      <c r="N8" s="28">
        <f>VLOOKUP(Table88[[#This Row],[NAME]],PHI_H[[NAME]:['#]],12,0)</f>
        <v>16</v>
      </c>
      <c r="O8" s="28">
        <f>VLOOKUP(Table88[[#This Row],[NAME]],PHI_H[[NAME]:['#]],13,0)</f>
        <v>18</v>
      </c>
      <c r="P8" s="28">
        <f>VLOOKUP(Table88[[#This Row],[NAME]],PHI_H[[NAME]:['#]],14,0)</f>
        <v>32</v>
      </c>
      <c r="Q8" s="77">
        <f>VLOOKUP(Table88[[#This Row],[NAME]],PHI_H[[NAME]:['#]],15,0)</f>
        <v>0</v>
      </c>
      <c r="R8" s="28">
        <f>VLOOKUP(Table88[[#This Row],[NAME]],PHI_H[[NAME]:['#]],16,0)</f>
        <v>1</v>
      </c>
      <c r="S8" s="28">
        <f>VLOOKUP(Table88[[#This Row],[NAME]],PHI_H[[NAME]:['#]],17,0)</f>
        <v>9</v>
      </c>
      <c r="T8" s="77">
        <f>VLOOKUP(Table88[[#This Row],[NAME]],PHI_H[[NAME]:['#]],18,0)</f>
        <v>48</v>
      </c>
      <c r="U8" s="72">
        <f>VLOOKUP(Table88[[#This Row],[NAME]],PHI_H[[NAME]:['#]],19,0)</f>
        <v>0.72211691172703518</v>
      </c>
      <c r="V8" s="28">
        <f>VLOOKUP(Table88[[#This Row],[NAME]],PHI_H[[NAME]:['#]],20,0)</f>
        <v>2</v>
      </c>
      <c r="W8" s="75">
        <v>6</v>
      </c>
      <c r="Z8" s="101" t="s">
        <v>770</v>
      </c>
      <c r="AA8" s="77" t="s">
        <v>174</v>
      </c>
      <c r="AB8" s="77" t="s">
        <v>774</v>
      </c>
      <c r="AC8" s="130">
        <v>0.22875816993464052</v>
      </c>
      <c r="AD8" s="72">
        <v>0.28915662650602408</v>
      </c>
      <c r="AE8" s="72">
        <v>0.47058823529411764</v>
      </c>
      <c r="AF8" s="77">
        <v>39</v>
      </c>
      <c r="AG8" s="28">
        <v>153</v>
      </c>
      <c r="AH8" s="28">
        <v>14</v>
      </c>
      <c r="AI8" s="28">
        <v>35</v>
      </c>
      <c r="AJ8" s="28">
        <v>4</v>
      </c>
      <c r="AK8" s="28">
        <v>0</v>
      </c>
      <c r="AL8" s="28">
        <v>11</v>
      </c>
      <c r="AM8" s="28">
        <v>25</v>
      </c>
      <c r="AN8" s="28">
        <v>13</v>
      </c>
      <c r="AO8" s="28">
        <v>55</v>
      </c>
      <c r="AP8" s="77">
        <v>0</v>
      </c>
      <c r="AQ8" s="28">
        <v>0</v>
      </c>
      <c r="AR8" s="28">
        <v>6</v>
      </c>
      <c r="AS8" s="77">
        <v>72</v>
      </c>
      <c r="AT8" s="72">
        <v>0.75974486180014167</v>
      </c>
      <c r="AU8" s="28">
        <v>3</v>
      </c>
      <c r="AV8" s="75">
        <v>6</v>
      </c>
      <c r="AY8" s="365" t="s">
        <v>770</v>
      </c>
      <c r="AZ8" s="77" t="s">
        <v>174</v>
      </c>
      <c r="BA8" s="77" t="s">
        <v>783</v>
      </c>
      <c r="BB8" s="130">
        <v>0.22222222222222221</v>
      </c>
      <c r="BC8" s="72">
        <v>0.30630630630630629</v>
      </c>
      <c r="BD8" s="72">
        <v>0.35353535353535354</v>
      </c>
      <c r="BE8" s="77">
        <v>27</v>
      </c>
      <c r="BF8" s="28">
        <v>99</v>
      </c>
      <c r="BG8" s="28">
        <v>9</v>
      </c>
      <c r="BH8" s="28">
        <v>22</v>
      </c>
      <c r="BI8" s="28">
        <v>6</v>
      </c>
      <c r="BJ8" s="28">
        <v>2</v>
      </c>
      <c r="BK8" s="28">
        <v>1</v>
      </c>
      <c r="BL8" s="28">
        <v>5</v>
      </c>
      <c r="BM8" s="28">
        <v>12</v>
      </c>
      <c r="BN8" s="28">
        <v>26</v>
      </c>
      <c r="BO8" s="77">
        <v>0</v>
      </c>
      <c r="BP8" s="28">
        <v>1</v>
      </c>
      <c r="BQ8" s="28">
        <v>4</v>
      </c>
      <c r="BR8" s="77">
        <v>35</v>
      </c>
      <c r="BS8" s="72">
        <v>0.65984165984165988</v>
      </c>
      <c r="BT8" s="28">
        <v>0</v>
      </c>
      <c r="BU8" s="75">
        <v>6</v>
      </c>
    </row>
    <row r="9" spans="1:73">
      <c r="A9" s="101" t="s">
        <v>770</v>
      </c>
      <c r="B9" s="71" t="s">
        <v>181</v>
      </c>
      <c r="C9" s="74" t="s">
        <v>776</v>
      </c>
      <c r="D9" s="130">
        <f>VLOOKUP(Table88[[#This Row],[NAME]],PHI_H[[NAME]:['#]],2,0)</f>
        <v>0.26900584795321636</v>
      </c>
      <c r="E9" s="72">
        <f>VLOOKUP(Table88[[#This Row],[NAME]],PHI_H[[NAME]:['#]],3,0)</f>
        <v>0.33862433862433861</v>
      </c>
      <c r="F9" s="72">
        <f>VLOOKUP(Table88[[#This Row],[NAME]],PHI_H[[NAME]:['#]],4,0)</f>
        <v>0.36842105263157893</v>
      </c>
      <c r="G9" s="77">
        <f>VLOOKUP(Table88[[#This Row],[NAME]],PHI_H[[NAME]:['#]],5,0)</f>
        <v>40</v>
      </c>
      <c r="H9" s="28">
        <f>VLOOKUP(Table88[[#This Row],[NAME]],PHI_H[[NAME]:['#]],6,0)</f>
        <v>171</v>
      </c>
      <c r="I9" s="28">
        <f>VLOOKUP(Table88[[#This Row],[NAME]],PHI_H[[NAME]:['#]],7,0)</f>
        <v>23</v>
      </c>
      <c r="J9" s="28">
        <f>VLOOKUP(Table88[[#This Row],[NAME]],PHI_H[[NAME]:['#]],8,0)</f>
        <v>46</v>
      </c>
      <c r="K9" s="28">
        <f>VLOOKUP(Table88[[#This Row],[NAME]],PHI_H[[NAME]:['#]],9,0)</f>
        <v>10</v>
      </c>
      <c r="L9" s="28">
        <f>VLOOKUP(Table88[[#This Row],[NAME]],PHI_H[[NAME]:['#]],10,0)</f>
        <v>2</v>
      </c>
      <c r="M9" s="28">
        <f>VLOOKUP(Table88[[#This Row],[NAME]],PHI_H[[NAME]:['#]],11,0)</f>
        <v>1</v>
      </c>
      <c r="N9" s="28">
        <f>VLOOKUP(Table88[[#This Row],[NAME]],PHI_H[[NAME]:['#]],12,0)</f>
        <v>8</v>
      </c>
      <c r="O9" s="28">
        <f>VLOOKUP(Table88[[#This Row],[NAME]],PHI_H[[NAME]:['#]],13,0)</f>
        <v>18</v>
      </c>
      <c r="P9" s="28">
        <f>VLOOKUP(Table88[[#This Row],[NAME]],PHI_H[[NAME]:['#]],14,0)</f>
        <v>38</v>
      </c>
      <c r="Q9" s="77">
        <f>VLOOKUP(Table88[[#This Row],[NAME]],PHI_H[[NAME]:['#]],15,0)</f>
        <v>13</v>
      </c>
      <c r="R9" s="28">
        <f>VLOOKUP(Table88[[#This Row],[NAME]],PHI_H[[NAME]:['#]],16,0)</f>
        <v>4</v>
      </c>
      <c r="S9" s="76">
        <f>VLOOKUP(Table88[[#This Row],[NAME]],PHI_H[[NAME]:['#]],17,0)</f>
        <v>17</v>
      </c>
      <c r="T9" s="77">
        <f>VLOOKUP(Table88[[#This Row],[NAME]],PHI_H[[NAME]:['#]],18,0)</f>
        <v>63</v>
      </c>
      <c r="U9" s="72">
        <f>VLOOKUP(Table88[[#This Row],[NAME]],PHI_H[[NAME]:['#]],19,0)</f>
        <v>0.70704539125591759</v>
      </c>
      <c r="V9" s="28">
        <f>VLOOKUP(Table88[[#This Row],[NAME]],PHI_H[[NAME]:['#]],20,0)</f>
        <v>2</v>
      </c>
      <c r="W9" s="75">
        <v>7</v>
      </c>
      <c r="Z9" s="101" t="s">
        <v>770</v>
      </c>
      <c r="AA9" s="77" t="s">
        <v>181</v>
      </c>
      <c r="AB9" s="77" t="s">
        <v>776</v>
      </c>
      <c r="AC9" s="130">
        <v>0.29838709677419356</v>
      </c>
      <c r="AD9" s="72">
        <v>0.36496350364963503</v>
      </c>
      <c r="AE9" s="72">
        <v>0.40322580645161288</v>
      </c>
      <c r="AF9" s="77">
        <v>29</v>
      </c>
      <c r="AG9" s="28">
        <v>124</v>
      </c>
      <c r="AH9" s="28">
        <v>14</v>
      </c>
      <c r="AI9" s="28">
        <v>37</v>
      </c>
      <c r="AJ9" s="28">
        <v>10</v>
      </c>
      <c r="AK9" s="28">
        <v>0</v>
      </c>
      <c r="AL9" s="28">
        <v>1</v>
      </c>
      <c r="AM9" s="28">
        <v>13</v>
      </c>
      <c r="AN9" s="28">
        <v>13</v>
      </c>
      <c r="AO9" s="28">
        <v>22</v>
      </c>
      <c r="AP9" s="77">
        <v>4</v>
      </c>
      <c r="AQ9" s="28">
        <v>0</v>
      </c>
      <c r="AR9" s="28">
        <v>11</v>
      </c>
      <c r="AS9" s="77">
        <v>50</v>
      </c>
      <c r="AT9" s="72">
        <v>0.76818931010124791</v>
      </c>
      <c r="AU9" s="28">
        <v>2</v>
      </c>
      <c r="AV9" s="75">
        <v>7</v>
      </c>
      <c r="AY9" s="365" t="s">
        <v>770</v>
      </c>
      <c r="AZ9" s="77" t="s">
        <v>181</v>
      </c>
      <c r="BA9" s="77" t="s">
        <v>776</v>
      </c>
      <c r="BB9" s="130">
        <v>0.31874999999999998</v>
      </c>
      <c r="BC9" s="72">
        <v>0.38068181818181818</v>
      </c>
      <c r="BD9" s="72">
        <v>0.45624999999999999</v>
      </c>
      <c r="BE9" s="77">
        <v>38</v>
      </c>
      <c r="BF9" s="28">
        <v>160</v>
      </c>
      <c r="BG9" s="28">
        <v>28</v>
      </c>
      <c r="BH9" s="28">
        <v>51</v>
      </c>
      <c r="BI9" s="28">
        <v>10</v>
      </c>
      <c r="BJ9" s="28">
        <v>0</v>
      </c>
      <c r="BK9" s="28">
        <v>4</v>
      </c>
      <c r="BL9" s="28">
        <v>14</v>
      </c>
      <c r="BM9" s="28">
        <v>16</v>
      </c>
      <c r="BN9" s="28">
        <v>26</v>
      </c>
      <c r="BO9" s="77">
        <v>18</v>
      </c>
      <c r="BP9" s="28">
        <v>6</v>
      </c>
      <c r="BQ9" s="28">
        <v>9</v>
      </c>
      <c r="BR9" s="77">
        <v>73</v>
      </c>
      <c r="BS9" s="72">
        <v>0.83693181818181817</v>
      </c>
      <c r="BT9" s="28">
        <v>2</v>
      </c>
      <c r="BU9" s="75">
        <v>7</v>
      </c>
    </row>
    <row r="10" spans="1:73">
      <c r="A10" s="101" t="s">
        <v>770</v>
      </c>
      <c r="B10" s="71" t="s">
        <v>166</v>
      </c>
      <c r="C10" s="77" t="s">
        <v>772</v>
      </c>
      <c r="D10" s="130">
        <f>VLOOKUP(Table88[[#This Row],[NAME]],PHI_H[[NAME]:['#]],2,0)</f>
        <v>0.25</v>
      </c>
      <c r="E10" s="72">
        <f>VLOOKUP(Table88[[#This Row],[NAME]],PHI_H[[NAME]:['#]],3,0)</f>
        <v>0.33522727272727271</v>
      </c>
      <c r="F10" s="72">
        <f>VLOOKUP(Table88[[#This Row],[NAME]],PHI_H[[NAME]:['#]],4,0)</f>
        <v>0.49358974358974361</v>
      </c>
      <c r="G10" s="77">
        <f>VLOOKUP(Table88[[#This Row],[NAME]],PHI_H[[NAME]:['#]],5,0)</f>
        <v>40</v>
      </c>
      <c r="H10" s="28">
        <f>VLOOKUP(Table88[[#This Row],[NAME]],PHI_H[[NAME]:['#]],6,0)</f>
        <v>156</v>
      </c>
      <c r="I10" s="28">
        <f>VLOOKUP(Table88[[#This Row],[NAME]],PHI_H[[NAME]:['#]],7,0)</f>
        <v>22</v>
      </c>
      <c r="J10" s="28">
        <f>VLOOKUP(Table88[[#This Row],[NAME]],PHI_H[[NAME]:['#]],8,0)</f>
        <v>39</v>
      </c>
      <c r="K10" s="76">
        <f>VLOOKUP(Table88[[#This Row],[NAME]],PHI_H[[NAME]:['#]],9,0)</f>
        <v>16</v>
      </c>
      <c r="L10" s="28">
        <f>VLOOKUP(Table88[[#This Row],[NAME]],PHI_H[[NAME]:['#]],10,0)</f>
        <v>2</v>
      </c>
      <c r="M10" s="28">
        <f>VLOOKUP(Table88[[#This Row],[NAME]],PHI_H[[NAME]:['#]],11,0)</f>
        <v>6</v>
      </c>
      <c r="N10" s="28">
        <f>VLOOKUP(Table88[[#This Row],[NAME]],PHI_H[[NAME]:['#]],12,0)</f>
        <v>18</v>
      </c>
      <c r="O10" s="28">
        <f>VLOOKUP(Table88[[#This Row],[NAME]],PHI_H[[NAME]:['#]],13,0)</f>
        <v>20</v>
      </c>
      <c r="P10" s="28">
        <f>VLOOKUP(Table88[[#This Row],[NAME]],PHI_H[[NAME]:['#]],14,0)</f>
        <v>41</v>
      </c>
      <c r="Q10" s="77">
        <f>VLOOKUP(Table88[[#This Row],[NAME]],PHI_H[[NAME]:['#]],15,0)</f>
        <v>0</v>
      </c>
      <c r="R10" s="28">
        <f>VLOOKUP(Table88[[#This Row],[NAME]],PHI_H[[NAME]:['#]],16,0)</f>
        <v>7</v>
      </c>
      <c r="S10" s="28">
        <f>VLOOKUP(Table88[[#This Row],[NAME]],PHI_H[[NAME]:['#]],17,0)</f>
        <v>7</v>
      </c>
      <c r="T10" s="77">
        <f>VLOOKUP(Table88[[#This Row],[NAME]],PHI_H[[NAME]:['#]],18,0)</f>
        <v>77</v>
      </c>
      <c r="U10" s="72">
        <f>VLOOKUP(Table88[[#This Row],[NAME]],PHI_H[[NAME]:['#]],19,0)</f>
        <v>0.82881701631701632</v>
      </c>
      <c r="V10" s="28">
        <f>VLOOKUP(Table88[[#This Row],[NAME]],PHI_H[[NAME]:['#]],20,0)</f>
        <v>3</v>
      </c>
      <c r="W10" s="75">
        <v>8</v>
      </c>
      <c r="Z10" s="101" t="s">
        <v>770</v>
      </c>
      <c r="AA10" s="77" t="s">
        <v>166</v>
      </c>
      <c r="AB10" s="77" t="s">
        <v>772</v>
      </c>
      <c r="AC10" s="130">
        <v>0.26923076923076922</v>
      </c>
      <c r="AD10" s="72">
        <v>0.34482758620689657</v>
      </c>
      <c r="AE10" s="72">
        <v>0.52564102564102566</v>
      </c>
      <c r="AF10" s="77">
        <v>40</v>
      </c>
      <c r="AG10" s="28">
        <v>156</v>
      </c>
      <c r="AH10" s="28">
        <v>22</v>
      </c>
      <c r="AI10" s="28">
        <v>42</v>
      </c>
      <c r="AJ10" s="28">
        <v>10</v>
      </c>
      <c r="AK10" s="28">
        <v>0</v>
      </c>
      <c r="AL10" s="28">
        <v>10</v>
      </c>
      <c r="AM10" s="28">
        <v>28</v>
      </c>
      <c r="AN10" s="28">
        <v>18</v>
      </c>
      <c r="AO10" s="28">
        <v>36</v>
      </c>
      <c r="AP10" s="77">
        <v>0</v>
      </c>
      <c r="AQ10" s="28">
        <v>5</v>
      </c>
      <c r="AR10" s="28">
        <v>8</v>
      </c>
      <c r="AS10" s="77">
        <v>82</v>
      </c>
      <c r="AT10" s="72">
        <v>0.87046861184792224</v>
      </c>
      <c r="AU10" s="28">
        <v>5</v>
      </c>
      <c r="AV10" s="75">
        <v>8</v>
      </c>
      <c r="AY10" s="365" t="s">
        <v>770</v>
      </c>
      <c r="AZ10" s="77" t="s">
        <v>166</v>
      </c>
      <c r="BA10" s="77" t="s">
        <v>772</v>
      </c>
      <c r="BB10" s="130">
        <v>0.27329192546583853</v>
      </c>
      <c r="BC10" s="72">
        <v>0.35714285714285715</v>
      </c>
      <c r="BD10" s="72">
        <v>0.47826086956521741</v>
      </c>
      <c r="BE10" s="77">
        <v>40</v>
      </c>
      <c r="BF10" s="28">
        <v>161</v>
      </c>
      <c r="BG10" s="28">
        <v>29</v>
      </c>
      <c r="BH10" s="28">
        <v>44</v>
      </c>
      <c r="BI10" s="28">
        <v>12</v>
      </c>
      <c r="BJ10" s="28">
        <v>0</v>
      </c>
      <c r="BK10" s="28">
        <v>7</v>
      </c>
      <c r="BL10" s="28">
        <v>26</v>
      </c>
      <c r="BM10" s="28">
        <v>21</v>
      </c>
      <c r="BN10" s="28">
        <v>53</v>
      </c>
      <c r="BO10" s="77">
        <v>1</v>
      </c>
      <c r="BP10" s="28">
        <v>7</v>
      </c>
      <c r="BQ10" s="28">
        <v>7</v>
      </c>
      <c r="BR10" s="77">
        <v>77</v>
      </c>
      <c r="BS10" s="72">
        <v>0.8354037267080745</v>
      </c>
      <c r="BT10" s="28">
        <v>2</v>
      </c>
      <c r="BU10" s="75">
        <v>8</v>
      </c>
    </row>
    <row r="11" spans="1:73">
      <c r="A11" s="101" t="s">
        <v>770</v>
      </c>
      <c r="B11" s="71" t="s">
        <v>168</v>
      </c>
      <c r="C11" s="74" t="s">
        <v>774</v>
      </c>
      <c r="D11" s="130">
        <f>VLOOKUP(Table88[[#This Row],[NAME]],PHI_H[[NAME]:['#]],2,0)</f>
        <v>0.16296296296296298</v>
      </c>
      <c r="E11" s="72">
        <f>VLOOKUP(Table88[[#This Row],[NAME]],PHI_H[[NAME]:['#]],3,0)</f>
        <v>0.28025477707006369</v>
      </c>
      <c r="F11" s="72">
        <f>VLOOKUP(Table88[[#This Row],[NAME]],PHI_H[[NAME]:['#]],4,0)</f>
        <v>0.27407407407407408</v>
      </c>
      <c r="G11" s="77">
        <f>VLOOKUP(Table88[[#This Row],[NAME]],PHI_H[[NAME]:['#]],5,0)</f>
        <v>40</v>
      </c>
      <c r="H11" s="28">
        <f>VLOOKUP(Table88[[#This Row],[NAME]],PHI_H[[NAME]:['#]],6,0)</f>
        <v>135</v>
      </c>
      <c r="I11" s="28">
        <f>VLOOKUP(Table88[[#This Row],[NAME]],PHI_H[[NAME]:['#]],7,0)</f>
        <v>13</v>
      </c>
      <c r="J11" s="28">
        <f>VLOOKUP(Table88[[#This Row],[NAME]],PHI_H[[NAME]:['#]],8,0)</f>
        <v>22</v>
      </c>
      <c r="K11" s="28">
        <f>VLOOKUP(Table88[[#This Row],[NAME]],PHI_H[[NAME]:['#]],9,0)</f>
        <v>3</v>
      </c>
      <c r="L11" s="28">
        <f>VLOOKUP(Table88[[#This Row],[NAME]],PHI_H[[NAME]:['#]],10,0)</f>
        <v>0</v>
      </c>
      <c r="M11" s="28">
        <f>VLOOKUP(Table88[[#This Row],[NAME]],PHI_H[[NAME]:['#]],11,0)</f>
        <v>4</v>
      </c>
      <c r="N11" s="28">
        <f>VLOOKUP(Table88[[#This Row],[NAME]],PHI_H[[NAME]:['#]],12,0)</f>
        <v>11</v>
      </c>
      <c r="O11" s="28">
        <f>VLOOKUP(Table88[[#This Row],[NAME]],PHI_H[[NAME]:['#]],13,0)</f>
        <v>22</v>
      </c>
      <c r="P11" s="28">
        <f>VLOOKUP(Table88[[#This Row],[NAME]],PHI_H[[NAME]:['#]],14,0)</f>
        <v>46</v>
      </c>
      <c r="Q11" s="77">
        <f>VLOOKUP(Table88[[#This Row],[NAME]],PHI_H[[NAME]:['#]],15,0)</f>
        <v>0</v>
      </c>
      <c r="R11" s="28">
        <f>VLOOKUP(Table88[[#This Row],[NAME]],PHI_H[[NAME]:['#]],16,0)</f>
        <v>1</v>
      </c>
      <c r="S11" s="28">
        <f>VLOOKUP(Table88[[#This Row],[NAME]],PHI_H[[NAME]:['#]],17,0)</f>
        <v>4</v>
      </c>
      <c r="T11" s="77">
        <f>VLOOKUP(Table88[[#This Row],[NAME]],PHI_H[[NAME]:['#]],18,0)</f>
        <v>37</v>
      </c>
      <c r="U11" s="72">
        <f>VLOOKUP(Table88[[#This Row],[NAME]],PHI_H[[NAME]:['#]],19,0)</f>
        <v>0.55432885114413777</v>
      </c>
      <c r="V11" s="28">
        <f>VLOOKUP(Table88[[#This Row],[NAME]],PHI_H[[NAME]:['#]],20,0)</f>
        <v>2</v>
      </c>
      <c r="W11" s="75">
        <v>9</v>
      </c>
      <c r="Z11" s="101" t="s">
        <v>770</v>
      </c>
      <c r="AA11" s="77" t="s">
        <v>168</v>
      </c>
      <c r="AB11" s="77" t="s">
        <v>773</v>
      </c>
      <c r="AC11" s="130">
        <v>0.21481481481481482</v>
      </c>
      <c r="AD11" s="72">
        <v>0.29333333333333333</v>
      </c>
      <c r="AE11" s="72">
        <v>0.3925925925925926</v>
      </c>
      <c r="AF11" s="77">
        <v>36</v>
      </c>
      <c r="AG11" s="28">
        <v>135</v>
      </c>
      <c r="AH11" s="28">
        <v>12</v>
      </c>
      <c r="AI11" s="28">
        <v>29</v>
      </c>
      <c r="AJ11" s="28">
        <v>6</v>
      </c>
      <c r="AK11" s="28">
        <v>0</v>
      </c>
      <c r="AL11" s="28">
        <v>6</v>
      </c>
      <c r="AM11" s="28">
        <v>14</v>
      </c>
      <c r="AN11" s="28">
        <v>15</v>
      </c>
      <c r="AO11" s="28">
        <v>49</v>
      </c>
      <c r="AP11" s="77">
        <v>0</v>
      </c>
      <c r="AQ11" s="28">
        <v>2</v>
      </c>
      <c r="AR11" s="28">
        <v>6</v>
      </c>
      <c r="AS11" s="77">
        <v>53</v>
      </c>
      <c r="AT11" s="72">
        <v>0.68592592592592594</v>
      </c>
      <c r="AU11" s="28">
        <v>1</v>
      </c>
      <c r="AV11" s="75">
        <v>9</v>
      </c>
      <c r="AY11" s="365" t="s">
        <v>770</v>
      </c>
      <c r="AZ11" s="352" t="s">
        <v>168</v>
      </c>
      <c r="BA11" s="77" t="s">
        <v>773</v>
      </c>
      <c r="BB11" s="130">
        <v>0.31159420289855072</v>
      </c>
      <c r="BC11" s="72">
        <v>0.38311688311688313</v>
      </c>
      <c r="BD11" s="72">
        <v>0.65217391304347827</v>
      </c>
      <c r="BE11" s="77">
        <v>39</v>
      </c>
      <c r="BF11" s="28">
        <v>138</v>
      </c>
      <c r="BG11" s="28">
        <v>23</v>
      </c>
      <c r="BH11" s="28">
        <v>43</v>
      </c>
      <c r="BI11" s="28">
        <v>11</v>
      </c>
      <c r="BJ11" s="28">
        <v>0</v>
      </c>
      <c r="BK11" s="28">
        <v>12</v>
      </c>
      <c r="BL11" s="28">
        <v>41</v>
      </c>
      <c r="BM11" s="28">
        <v>16</v>
      </c>
      <c r="BN11" s="28">
        <v>44</v>
      </c>
      <c r="BO11" s="77">
        <v>0</v>
      </c>
      <c r="BP11" s="28">
        <v>2</v>
      </c>
      <c r="BQ11" s="28">
        <v>4</v>
      </c>
      <c r="BR11" s="77">
        <v>90</v>
      </c>
      <c r="BS11" s="72">
        <v>1.0352907961603615</v>
      </c>
      <c r="BT11" s="28">
        <v>8</v>
      </c>
      <c r="BU11" s="75">
        <v>9</v>
      </c>
    </row>
    <row r="12" spans="1:73">
      <c r="A12" s="101" t="s">
        <v>770</v>
      </c>
      <c r="B12" s="71" t="s">
        <v>179</v>
      </c>
      <c r="C12" s="74" t="s">
        <v>787</v>
      </c>
      <c r="D12" s="130">
        <f>VLOOKUP(Table88[[#This Row],[NAME]],PHI_H[[NAME]:['#]],2,0)</f>
        <v>0</v>
      </c>
      <c r="E12" s="72">
        <f>VLOOKUP(Table88[[#This Row],[NAME]],PHI_H[[NAME]:['#]],3,0)</f>
        <v>0</v>
      </c>
      <c r="F12" s="72">
        <f>VLOOKUP(Table88[[#This Row],[NAME]],PHI_H[[NAME]:['#]],4,0)</f>
        <v>0</v>
      </c>
      <c r="G12" s="77">
        <f>VLOOKUP(Table88[[#This Row],[NAME]],PHI_H[[NAME]:['#]],5,0)</f>
        <v>0</v>
      </c>
      <c r="H12" s="28">
        <f>VLOOKUP(Table88[[#This Row],[NAME]],PHI_H[[NAME]:['#]],6,0)</f>
        <v>0</v>
      </c>
      <c r="I12" s="28">
        <f>VLOOKUP(Table88[[#This Row],[NAME]],PHI_H[[NAME]:['#]],7,0)</f>
        <v>0</v>
      </c>
      <c r="J12" s="28">
        <f>VLOOKUP(Table88[[#This Row],[NAME]],PHI_H[[NAME]:['#]],8,0)</f>
        <v>0</v>
      </c>
      <c r="K12" s="28">
        <f>VLOOKUP(Table88[[#This Row],[NAME]],PHI_H[[NAME]:['#]],9,0)</f>
        <v>0</v>
      </c>
      <c r="L12" s="28">
        <f>VLOOKUP(Table88[[#This Row],[NAME]],PHI_H[[NAME]:['#]],10,0)</f>
        <v>0</v>
      </c>
      <c r="M12" s="28">
        <f>VLOOKUP(Table88[[#This Row],[NAME]],PHI_H[[NAME]:['#]],11,0)</f>
        <v>0</v>
      </c>
      <c r="N12" s="28">
        <f>VLOOKUP(Table88[[#This Row],[NAME]],PHI_H[[NAME]:['#]],12,0)</f>
        <v>0</v>
      </c>
      <c r="O12" s="28">
        <f>VLOOKUP(Table88[[#This Row],[NAME]],PHI_H[[NAME]:['#]],13,0)</f>
        <v>0</v>
      </c>
      <c r="P12" s="28">
        <f>VLOOKUP(Table88[[#This Row],[NAME]],PHI_H[[NAME]:['#]],14,0)</f>
        <v>0</v>
      </c>
      <c r="Q12" s="77">
        <f>VLOOKUP(Table88[[#This Row],[NAME]],PHI_H[[NAME]:['#]],15,0)</f>
        <v>0</v>
      </c>
      <c r="R12" s="28">
        <f>VLOOKUP(Table88[[#This Row],[NAME]],PHI_H[[NAME]:['#]],16,0)</f>
        <v>0</v>
      </c>
      <c r="S12" s="28">
        <f>VLOOKUP(Table88[[#This Row],[NAME]],PHI_H[[NAME]:['#]],17,0)</f>
        <v>0</v>
      </c>
      <c r="T12" s="77">
        <f>VLOOKUP(Table88[[#This Row],[NAME]],PHI_H[[NAME]:['#]],18,0)</f>
        <v>0</v>
      </c>
      <c r="U12" s="72">
        <f>VLOOKUP(Table88[[#This Row],[NAME]],PHI_H[[NAME]:['#]],19,0)</f>
        <v>0</v>
      </c>
      <c r="V12" s="28">
        <f>VLOOKUP(Table88[[#This Row],[NAME]],PHI_H[[NAME]:['#]],20,0)</f>
        <v>0</v>
      </c>
      <c r="W12" s="75">
        <v>10</v>
      </c>
      <c r="Z12" s="101" t="s">
        <v>770</v>
      </c>
      <c r="AA12" s="77" t="s">
        <v>179</v>
      </c>
      <c r="AB12" s="77" t="s">
        <v>787</v>
      </c>
      <c r="AC12" s="130">
        <v>0</v>
      </c>
      <c r="AD12" s="72">
        <v>0.2</v>
      </c>
      <c r="AE12" s="72">
        <v>0</v>
      </c>
      <c r="AF12" s="77">
        <v>2</v>
      </c>
      <c r="AG12" s="28">
        <v>8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2</v>
      </c>
      <c r="AO12" s="28">
        <v>2</v>
      </c>
      <c r="AP12" s="77">
        <v>0</v>
      </c>
      <c r="AQ12" s="28">
        <v>0</v>
      </c>
      <c r="AR12" s="28">
        <v>0</v>
      </c>
      <c r="AS12" s="77">
        <v>0</v>
      </c>
      <c r="AT12" s="72">
        <v>0.2</v>
      </c>
      <c r="AU12" s="28">
        <v>0</v>
      </c>
      <c r="AV12" s="75">
        <v>10</v>
      </c>
      <c r="AY12" s="365" t="s">
        <v>770</v>
      </c>
      <c r="AZ12" s="77" t="s">
        <v>179</v>
      </c>
      <c r="BA12" s="77" t="s">
        <v>787</v>
      </c>
      <c r="BB12" s="130">
        <v>0</v>
      </c>
      <c r="BC12" s="72">
        <v>0</v>
      </c>
      <c r="BD12" s="72">
        <v>0</v>
      </c>
      <c r="BE12" s="77">
        <v>2</v>
      </c>
      <c r="BF12" s="28">
        <v>4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1</v>
      </c>
      <c r="BO12" s="77">
        <v>0</v>
      </c>
      <c r="BP12" s="28">
        <v>0</v>
      </c>
      <c r="BQ12" s="28">
        <v>0</v>
      </c>
      <c r="BR12" s="77">
        <v>0</v>
      </c>
      <c r="BS12" s="72">
        <v>0</v>
      </c>
      <c r="BT12" s="28">
        <v>0</v>
      </c>
      <c r="BU12" s="75">
        <v>10</v>
      </c>
    </row>
    <row r="13" spans="1:73">
      <c r="A13" s="101" t="s">
        <v>770</v>
      </c>
      <c r="B13" s="71" t="s">
        <v>187</v>
      </c>
      <c r="C13" s="74" t="s">
        <v>786</v>
      </c>
      <c r="D13" s="130">
        <f>VLOOKUP(Table88[[#This Row],[NAME]],PHI_H[[NAME]:['#]],2,0)</f>
        <v>0.2</v>
      </c>
      <c r="E13" s="72">
        <f>VLOOKUP(Table88[[#This Row],[NAME]],PHI_H[[NAME]:['#]],3,0)</f>
        <v>0.2</v>
      </c>
      <c r="F13" s="72">
        <f>VLOOKUP(Table88[[#This Row],[NAME]],PHI_H[[NAME]:['#]],4,0)</f>
        <v>0.2</v>
      </c>
      <c r="G13" s="77">
        <f>VLOOKUP(Table88[[#This Row],[NAME]],PHI_H[[NAME]:['#]],5,0)</f>
        <v>2</v>
      </c>
      <c r="H13" s="28">
        <f>VLOOKUP(Table88[[#This Row],[NAME]],PHI_H[[NAME]:['#]],6,0)</f>
        <v>5</v>
      </c>
      <c r="I13" s="28">
        <f>VLOOKUP(Table88[[#This Row],[NAME]],PHI_H[[NAME]:['#]],7,0)</f>
        <v>0</v>
      </c>
      <c r="J13" s="28">
        <f>VLOOKUP(Table88[[#This Row],[NAME]],PHI_H[[NAME]:['#]],8,0)</f>
        <v>1</v>
      </c>
      <c r="K13" s="28">
        <f>VLOOKUP(Table88[[#This Row],[NAME]],PHI_H[[NAME]:['#]],9,0)</f>
        <v>0</v>
      </c>
      <c r="L13" s="28">
        <f>VLOOKUP(Table88[[#This Row],[NAME]],PHI_H[[NAME]:['#]],10,0)</f>
        <v>0</v>
      </c>
      <c r="M13" s="28">
        <f>VLOOKUP(Table88[[#This Row],[NAME]],PHI_H[[NAME]:['#]],11,0)</f>
        <v>0</v>
      </c>
      <c r="N13" s="28">
        <f>VLOOKUP(Table88[[#This Row],[NAME]],PHI_H[[NAME]:['#]],12,0)</f>
        <v>1</v>
      </c>
      <c r="O13" s="28">
        <f>VLOOKUP(Table88[[#This Row],[NAME]],PHI_H[[NAME]:['#]],13,0)</f>
        <v>0</v>
      </c>
      <c r="P13" s="28">
        <f>VLOOKUP(Table88[[#This Row],[NAME]],PHI_H[[NAME]:['#]],14,0)</f>
        <v>2</v>
      </c>
      <c r="Q13" s="77">
        <f>VLOOKUP(Table88[[#This Row],[NAME]],PHI_H[[NAME]:['#]],15,0)</f>
        <v>0</v>
      </c>
      <c r="R13" s="28">
        <f>VLOOKUP(Table88[[#This Row],[NAME]],PHI_H[[NAME]:['#]],16,0)</f>
        <v>0</v>
      </c>
      <c r="S13" s="28">
        <f>VLOOKUP(Table88[[#This Row],[NAME]],PHI_H[[NAME]:['#]],17,0)</f>
        <v>1</v>
      </c>
      <c r="T13" s="77">
        <f>VLOOKUP(Table88[[#This Row],[NAME]],PHI_H[[NAME]:['#]],18,0)</f>
        <v>1</v>
      </c>
      <c r="U13" s="72">
        <f>VLOOKUP(Table88[[#This Row],[NAME]],PHI_H[[NAME]:['#]],19,0)</f>
        <v>0.4</v>
      </c>
      <c r="V13" s="28">
        <f>VLOOKUP(Table88[[#This Row],[NAME]],PHI_H[[NAME]:['#]],20,0)</f>
        <v>0</v>
      </c>
      <c r="W13" s="75">
        <v>11</v>
      </c>
      <c r="Z13" s="101" t="s">
        <v>770</v>
      </c>
      <c r="AA13" s="77" t="s">
        <v>187</v>
      </c>
      <c r="AB13" s="77" t="s">
        <v>786</v>
      </c>
      <c r="AC13" s="130">
        <v>0.5</v>
      </c>
      <c r="AD13" s="72">
        <v>0.7</v>
      </c>
      <c r="AE13" s="72">
        <v>0.5</v>
      </c>
      <c r="AF13" s="77">
        <v>2</v>
      </c>
      <c r="AG13" s="28">
        <v>6</v>
      </c>
      <c r="AH13" s="28">
        <v>4</v>
      </c>
      <c r="AI13" s="28">
        <v>3</v>
      </c>
      <c r="AJ13" s="28">
        <v>0</v>
      </c>
      <c r="AK13" s="28">
        <v>0</v>
      </c>
      <c r="AL13" s="28">
        <v>0</v>
      </c>
      <c r="AM13" s="28">
        <v>0</v>
      </c>
      <c r="AN13" s="28">
        <v>4</v>
      </c>
      <c r="AO13" s="28">
        <v>3</v>
      </c>
      <c r="AP13" s="77">
        <v>0</v>
      </c>
      <c r="AQ13" s="28">
        <v>2</v>
      </c>
      <c r="AR13" s="28">
        <v>2</v>
      </c>
      <c r="AS13" s="77">
        <v>3</v>
      </c>
      <c r="AT13" s="72">
        <v>1.2</v>
      </c>
      <c r="AU13" s="28">
        <v>0</v>
      </c>
      <c r="AV13" s="75">
        <v>11</v>
      </c>
      <c r="AY13" s="365" t="s">
        <v>770</v>
      </c>
      <c r="AZ13" s="77" t="s">
        <v>192</v>
      </c>
      <c r="BA13" s="77" t="s">
        <v>786</v>
      </c>
      <c r="BB13" s="130">
        <v>0.19047619047619047</v>
      </c>
      <c r="BC13" s="72">
        <v>0.29166666666666669</v>
      </c>
      <c r="BD13" s="72">
        <v>0.19047619047619047</v>
      </c>
      <c r="BE13" s="77">
        <v>8</v>
      </c>
      <c r="BF13" s="28">
        <v>21</v>
      </c>
      <c r="BG13" s="28">
        <v>1</v>
      </c>
      <c r="BH13" s="28">
        <v>4</v>
      </c>
      <c r="BI13" s="28">
        <v>0</v>
      </c>
      <c r="BJ13" s="28">
        <v>0</v>
      </c>
      <c r="BK13" s="28">
        <v>0</v>
      </c>
      <c r="BL13" s="28">
        <v>0</v>
      </c>
      <c r="BM13" s="28">
        <v>3</v>
      </c>
      <c r="BN13" s="28">
        <v>6</v>
      </c>
      <c r="BO13" s="77">
        <v>0</v>
      </c>
      <c r="BP13" s="28">
        <v>1</v>
      </c>
      <c r="BQ13" s="28">
        <v>2</v>
      </c>
      <c r="BR13" s="77">
        <v>4</v>
      </c>
      <c r="BS13" s="72">
        <v>0.48214285714285715</v>
      </c>
      <c r="BT13" s="28">
        <v>0</v>
      </c>
      <c r="BU13" s="75">
        <v>11</v>
      </c>
    </row>
    <row r="14" spans="1:73">
      <c r="A14" s="101" t="s">
        <v>770</v>
      </c>
      <c r="B14" s="71" t="s">
        <v>187</v>
      </c>
      <c r="C14" s="28" t="s">
        <v>780</v>
      </c>
      <c r="D14" s="130">
        <f>VLOOKUP(Table88[[#This Row],[NAME]],PHI_H[[NAME]:['#]],2,0)</f>
        <v>0.2</v>
      </c>
      <c r="E14" s="72">
        <f>VLOOKUP(Table88[[#This Row],[NAME]],PHI_H[[NAME]:['#]],3,0)</f>
        <v>0.27272727272727271</v>
      </c>
      <c r="F14" s="72">
        <f>VLOOKUP(Table88[[#This Row],[NAME]],PHI_H[[NAME]:['#]],4,0)</f>
        <v>0.2</v>
      </c>
      <c r="G14" s="77">
        <f>VLOOKUP(Table88[[#This Row],[NAME]],PHI_H[[NAME]:['#]],5,0)</f>
        <v>6</v>
      </c>
      <c r="H14" s="28">
        <f>VLOOKUP(Table88[[#This Row],[NAME]],PHI_H[[NAME]:['#]],6,0)</f>
        <v>10</v>
      </c>
      <c r="I14" s="28">
        <f>VLOOKUP(Table88[[#This Row],[NAME]],PHI_H[[NAME]:['#]],7,0)</f>
        <v>2</v>
      </c>
      <c r="J14" s="28">
        <f>VLOOKUP(Table88[[#This Row],[NAME]],PHI_H[[NAME]:['#]],8,0)</f>
        <v>2</v>
      </c>
      <c r="K14" s="28">
        <f>VLOOKUP(Table88[[#This Row],[NAME]],PHI_H[[NAME]:['#]],9,0)</f>
        <v>0</v>
      </c>
      <c r="L14" s="28">
        <f>VLOOKUP(Table88[[#This Row],[NAME]],PHI_H[[NAME]:['#]],10,0)</f>
        <v>0</v>
      </c>
      <c r="M14" s="28">
        <f>VLOOKUP(Table88[[#This Row],[NAME]],PHI_H[[NAME]:['#]],11,0)</f>
        <v>0</v>
      </c>
      <c r="N14" s="28">
        <f>VLOOKUP(Table88[[#This Row],[NAME]],PHI_H[[NAME]:['#]],12,0)</f>
        <v>2</v>
      </c>
      <c r="O14" s="28">
        <f>VLOOKUP(Table88[[#This Row],[NAME]],PHI_H[[NAME]:['#]],13,0)</f>
        <v>1</v>
      </c>
      <c r="P14" s="28">
        <f>VLOOKUP(Table88[[#This Row],[NAME]],PHI_H[[NAME]:['#]],14,0)</f>
        <v>2</v>
      </c>
      <c r="Q14" s="77">
        <f>VLOOKUP(Table88[[#This Row],[NAME]],PHI_H[[NAME]:['#]],15,0)</f>
        <v>0</v>
      </c>
      <c r="R14" s="28">
        <f>VLOOKUP(Table88[[#This Row],[NAME]],PHI_H[[NAME]:['#]],16,0)</f>
        <v>2</v>
      </c>
      <c r="S14" s="28">
        <f>VLOOKUP(Table88[[#This Row],[NAME]],PHI_H[[NAME]:['#]],17,0)</f>
        <v>2</v>
      </c>
      <c r="T14" s="77">
        <f>VLOOKUP(Table88[[#This Row],[NAME]],PHI_H[[NAME]:['#]],18,0)</f>
        <v>2</v>
      </c>
      <c r="U14" s="72">
        <f>VLOOKUP(Table88[[#This Row],[NAME]],PHI_H[[NAME]:['#]],19,0)</f>
        <v>0.47272727272727272</v>
      </c>
      <c r="V14" s="28">
        <f>VLOOKUP(Table88[[#This Row],[NAME]],PHI_H[[NAME]:['#]],20,0)</f>
        <v>0</v>
      </c>
      <c r="W14" s="75">
        <v>12</v>
      </c>
      <c r="Z14" s="101" t="s">
        <v>770</v>
      </c>
      <c r="AA14" s="77" t="s">
        <v>187</v>
      </c>
      <c r="AB14" s="77" t="s">
        <v>785</v>
      </c>
      <c r="AC14" s="130">
        <v>0.125</v>
      </c>
      <c r="AD14" s="72">
        <v>0.22222222222222221</v>
      </c>
      <c r="AE14" s="72">
        <v>0.125</v>
      </c>
      <c r="AF14" s="77">
        <v>2</v>
      </c>
      <c r="AG14" s="28">
        <v>8</v>
      </c>
      <c r="AH14" s="28">
        <v>1</v>
      </c>
      <c r="AI14" s="28">
        <v>1</v>
      </c>
      <c r="AJ14" s="28">
        <v>0</v>
      </c>
      <c r="AK14" s="28">
        <v>0</v>
      </c>
      <c r="AL14" s="28">
        <v>0</v>
      </c>
      <c r="AM14" s="28">
        <v>1</v>
      </c>
      <c r="AN14" s="28">
        <v>1</v>
      </c>
      <c r="AO14" s="28">
        <v>3</v>
      </c>
      <c r="AP14" s="77">
        <v>0</v>
      </c>
      <c r="AQ14" s="28">
        <v>0</v>
      </c>
      <c r="AR14" s="28">
        <v>1</v>
      </c>
      <c r="AS14" s="77">
        <v>1</v>
      </c>
      <c r="AT14" s="72">
        <v>0.34722222222222221</v>
      </c>
      <c r="AU14" s="28">
        <v>0</v>
      </c>
      <c r="AV14" s="75">
        <v>12</v>
      </c>
      <c r="AY14" s="365" t="s">
        <v>770</v>
      </c>
      <c r="AZ14" s="77" t="s">
        <v>192</v>
      </c>
      <c r="BA14" s="77" t="s">
        <v>785</v>
      </c>
      <c r="BB14" s="130">
        <v>0.2</v>
      </c>
      <c r="BC14" s="72">
        <v>0.25</v>
      </c>
      <c r="BD14" s="72">
        <v>0.26666666666666666</v>
      </c>
      <c r="BE14" s="77">
        <v>6</v>
      </c>
      <c r="BF14" s="28">
        <v>15</v>
      </c>
      <c r="BG14" s="28">
        <v>2</v>
      </c>
      <c r="BH14" s="28">
        <v>3</v>
      </c>
      <c r="BI14" s="28">
        <v>1</v>
      </c>
      <c r="BJ14" s="28">
        <v>0</v>
      </c>
      <c r="BK14" s="28">
        <v>0</v>
      </c>
      <c r="BL14" s="28">
        <v>1</v>
      </c>
      <c r="BM14" s="28">
        <v>1</v>
      </c>
      <c r="BN14" s="28">
        <v>6</v>
      </c>
      <c r="BO14" s="77">
        <v>0</v>
      </c>
      <c r="BP14" s="28">
        <v>1</v>
      </c>
      <c r="BQ14" s="28">
        <v>1</v>
      </c>
      <c r="BR14" s="77">
        <v>4</v>
      </c>
      <c r="BS14" s="72">
        <v>0.51666666666666661</v>
      </c>
      <c r="BT14" s="28">
        <v>0</v>
      </c>
      <c r="BU14" s="75">
        <v>12</v>
      </c>
    </row>
    <row r="15" spans="1:73">
      <c r="A15" s="101" t="s">
        <v>770</v>
      </c>
      <c r="B15" s="71" t="s">
        <v>187</v>
      </c>
      <c r="C15" s="74" t="s">
        <v>781</v>
      </c>
      <c r="D15" s="130">
        <f>VLOOKUP(Table88[[#This Row],[NAME]],PHI_H[[NAME]:['#]],2,0)</f>
        <v>0.16666666666666666</v>
      </c>
      <c r="E15" s="72">
        <f>VLOOKUP(Table88[[#This Row],[NAME]],PHI_H[[NAME]:['#]],3,0)</f>
        <v>0.23076923076923078</v>
      </c>
      <c r="F15" s="72">
        <f>VLOOKUP(Table88[[#This Row],[NAME]],PHI_H[[NAME]:['#]],4,0)</f>
        <v>0.16666666666666666</v>
      </c>
      <c r="G15" s="77">
        <f>VLOOKUP(Table88[[#This Row],[NAME]],PHI_H[[NAME]:['#]],5,0)</f>
        <v>4</v>
      </c>
      <c r="H15" s="28">
        <f>VLOOKUP(Table88[[#This Row],[NAME]],PHI_H[[NAME]:['#]],6,0)</f>
        <v>12</v>
      </c>
      <c r="I15" s="28">
        <f>VLOOKUP(Table88[[#This Row],[NAME]],PHI_H[[NAME]:['#]],7,0)</f>
        <v>0</v>
      </c>
      <c r="J15" s="28">
        <f>VLOOKUP(Table88[[#This Row],[NAME]],PHI_H[[NAME]:['#]],8,0)</f>
        <v>2</v>
      </c>
      <c r="K15" s="28">
        <f>VLOOKUP(Table88[[#This Row],[NAME]],PHI_H[[NAME]:['#]],9,0)</f>
        <v>0</v>
      </c>
      <c r="L15" s="28">
        <f>VLOOKUP(Table88[[#This Row],[NAME]],PHI_H[[NAME]:['#]],10,0)</f>
        <v>0</v>
      </c>
      <c r="M15" s="28">
        <f>VLOOKUP(Table88[[#This Row],[NAME]],PHI_H[[NAME]:['#]],11,0)</f>
        <v>0</v>
      </c>
      <c r="N15" s="28">
        <f>VLOOKUP(Table88[[#This Row],[NAME]],PHI_H[[NAME]:['#]],12,0)</f>
        <v>0</v>
      </c>
      <c r="O15" s="28">
        <f>VLOOKUP(Table88[[#This Row],[NAME]],PHI_H[[NAME]:['#]],13,0)</f>
        <v>1</v>
      </c>
      <c r="P15" s="28">
        <f>VLOOKUP(Table88[[#This Row],[NAME]],PHI_H[[NAME]:['#]],14,0)</f>
        <v>5</v>
      </c>
      <c r="Q15" s="77">
        <f>VLOOKUP(Table88[[#This Row],[NAME]],PHI_H[[NAME]:['#]],15,0)</f>
        <v>0</v>
      </c>
      <c r="R15" s="28">
        <f>VLOOKUP(Table88[[#This Row],[NAME]],PHI_H[[NAME]:['#]],16,0)</f>
        <v>1</v>
      </c>
      <c r="S15" s="28">
        <f>VLOOKUP(Table88[[#This Row],[NAME]],PHI_H[[NAME]:['#]],17,0)</f>
        <v>1</v>
      </c>
      <c r="T15" s="77">
        <f>VLOOKUP(Table88[[#This Row],[NAME]],PHI_H[[NAME]:['#]],18,0)</f>
        <v>2</v>
      </c>
      <c r="U15" s="72">
        <f>VLOOKUP(Table88[[#This Row],[NAME]],PHI_H[[NAME]:['#]],19,0)</f>
        <v>0.39743589743589747</v>
      </c>
      <c r="V15" s="28">
        <f>VLOOKUP(Table88[[#This Row],[NAME]],PHI_H[[NAME]:['#]],20,0)</f>
        <v>0</v>
      </c>
      <c r="W15" s="75">
        <v>13</v>
      </c>
      <c r="Z15" s="101" t="s">
        <v>770</v>
      </c>
      <c r="AA15" s="77" t="s">
        <v>187</v>
      </c>
      <c r="AB15" s="77" t="s">
        <v>781</v>
      </c>
      <c r="AC15" s="130">
        <v>0.20212765957446807</v>
      </c>
      <c r="AD15" s="72">
        <v>0.29245283018867924</v>
      </c>
      <c r="AE15" s="72">
        <v>0.34042553191489361</v>
      </c>
      <c r="AF15" s="77">
        <v>24</v>
      </c>
      <c r="AG15" s="28">
        <v>94</v>
      </c>
      <c r="AH15" s="28">
        <v>12</v>
      </c>
      <c r="AI15" s="28">
        <v>19</v>
      </c>
      <c r="AJ15" s="28">
        <v>4</v>
      </c>
      <c r="AK15" s="28">
        <v>0</v>
      </c>
      <c r="AL15" s="28">
        <v>3</v>
      </c>
      <c r="AM15" s="28">
        <v>12</v>
      </c>
      <c r="AN15" s="28">
        <v>12</v>
      </c>
      <c r="AO15" s="28">
        <v>35</v>
      </c>
      <c r="AP15" s="77">
        <v>0</v>
      </c>
      <c r="AQ15" s="28">
        <v>2</v>
      </c>
      <c r="AR15" s="28">
        <v>3</v>
      </c>
      <c r="AS15" s="77">
        <v>32</v>
      </c>
      <c r="AT15" s="72">
        <v>0.63287836210357284</v>
      </c>
      <c r="AU15" s="28">
        <v>0</v>
      </c>
      <c r="AV15" s="75">
        <v>13</v>
      </c>
      <c r="AY15" s="365" t="s">
        <v>770</v>
      </c>
      <c r="AZ15" s="77" t="s">
        <v>187</v>
      </c>
      <c r="BA15" s="77" t="s">
        <v>789</v>
      </c>
      <c r="BB15" s="130">
        <v>0</v>
      </c>
      <c r="BC15" s="72">
        <v>0</v>
      </c>
      <c r="BD15" s="72">
        <v>0</v>
      </c>
      <c r="BE15" s="77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77">
        <v>0</v>
      </c>
      <c r="BP15" s="28">
        <v>0</v>
      </c>
      <c r="BQ15" s="28">
        <v>0</v>
      </c>
      <c r="BR15" s="77">
        <v>0</v>
      </c>
      <c r="BS15" s="72">
        <v>0</v>
      </c>
      <c r="BT15" s="28">
        <v>0</v>
      </c>
      <c r="BU15" s="75">
        <v>13</v>
      </c>
    </row>
    <row r="16" spans="1:73">
      <c r="A16" s="101" t="s">
        <v>770</v>
      </c>
      <c r="B16" s="71" t="s">
        <v>184</v>
      </c>
      <c r="C16" s="77" t="s">
        <v>788</v>
      </c>
      <c r="D16" s="130">
        <f>VLOOKUP(Table88[[#This Row],[NAME]],PHI_H[[NAME]:['#]],2,0)</f>
        <v>0</v>
      </c>
      <c r="E16" s="72">
        <f>VLOOKUP(Table88[[#This Row],[NAME]],PHI_H[[NAME]:['#]],3,0)</f>
        <v>0</v>
      </c>
      <c r="F16" s="72">
        <f>VLOOKUP(Table88[[#This Row],[NAME]],PHI_H[[NAME]:['#]],4,0)</f>
        <v>0</v>
      </c>
      <c r="G16" s="77">
        <f>VLOOKUP(Table88[[#This Row],[NAME]],PHI_H[[NAME]:['#]],5,0)</f>
        <v>0</v>
      </c>
      <c r="H16" s="28">
        <f>VLOOKUP(Table88[[#This Row],[NAME]],PHI_H[[NAME]:['#]],6,0)</f>
        <v>0</v>
      </c>
      <c r="I16" s="28">
        <f>VLOOKUP(Table88[[#This Row],[NAME]],PHI_H[[NAME]:['#]],7,0)</f>
        <v>0</v>
      </c>
      <c r="J16" s="28">
        <f>VLOOKUP(Table88[[#This Row],[NAME]],PHI_H[[NAME]:['#]],8,0)</f>
        <v>0</v>
      </c>
      <c r="K16" s="28">
        <f>VLOOKUP(Table88[[#This Row],[NAME]],PHI_H[[NAME]:['#]],9,0)</f>
        <v>0</v>
      </c>
      <c r="L16" s="28">
        <f>VLOOKUP(Table88[[#This Row],[NAME]],PHI_H[[NAME]:['#]],10,0)</f>
        <v>0</v>
      </c>
      <c r="M16" s="28">
        <f>VLOOKUP(Table88[[#This Row],[NAME]],PHI_H[[NAME]:['#]],11,0)</f>
        <v>0</v>
      </c>
      <c r="N16" s="28">
        <f>VLOOKUP(Table88[[#This Row],[NAME]],PHI_H[[NAME]:['#]],12,0)</f>
        <v>0</v>
      </c>
      <c r="O16" s="28">
        <f>VLOOKUP(Table88[[#This Row],[NAME]],PHI_H[[NAME]:['#]],13,0)</f>
        <v>0</v>
      </c>
      <c r="P16" s="28">
        <f>VLOOKUP(Table88[[#This Row],[NAME]],PHI_H[[NAME]:['#]],14,0)</f>
        <v>0</v>
      </c>
      <c r="Q16" s="77">
        <f>VLOOKUP(Table88[[#This Row],[NAME]],PHI_H[[NAME]:['#]],15,0)</f>
        <v>0</v>
      </c>
      <c r="R16" s="28">
        <f>VLOOKUP(Table88[[#This Row],[NAME]],PHI_H[[NAME]:['#]],16,0)</f>
        <v>0</v>
      </c>
      <c r="S16" s="28">
        <f>VLOOKUP(Table88[[#This Row],[NAME]],PHI_H[[NAME]:['#]],17,0)</f>
        <v>0</v>
      </c>
      <c r="T16" s="77">
        <f>VLOOKUP(Table88[[#This Row],[NAME]],PHI_H[[NAME]:['#]],18,0)</f>
        <v>0</v>
      </c>
      <c r="U16" s="72">
        <f>VLOOKUP(Table88[[#This Row],[NAME]],PHI_H[[NAME]:['#]],19,0)</f>
        <v>0</v>
      </c>
      <c r="V16" s="28">
        <f>VLOOKUP(Table88[[#This Row],[NAME]],PHI_H[[NAME]:['#]],20,0)</f>
        <v>0</v>
      </c>
      <c r="W16" s="75">
        <v>14</v>
      </c>
      <c r="Z16" s="101" t="s">
        <v>770</v>
      </c>
      <c r="AA16" s="77" t="s">
        <v>186</v>
      </c>
      <c r="AB16" s="77" t="s">
        <v>784</v>
      </c>
      <c r="AC16" s="130">
        <v>0.33333333333333331</v>
      </c>
      <c r="AD16" s="72">
        <v>0.4</v>
      </c>
      <c r="AE16" s="72">
        <v>0.55555555555555558</v>
      </c>
      <c r="AF16" s="77">
        <v>2</v>
      </c>
      <c r="AG16" s="28">
        <v>9</v>
      </c>
      <c r="AH16" s="28">
        <v>1</v>
      </c>
      <c r="AI16" s="28">
        <v>3</v>
      </c>
      <c r="AJ16" s="28">
        <v>2</v>
      </c>
      <c r="AK16" s="28">
        <v>0</v>
      </c>
      <c r="AL16" s="28">
        <v>0</v>
      </c>
      <c r="AM16" s="28">
        <v>2</v>
      </c>
      <c r="AN16" s="28">
        <v>1</v>
      </c>
      <c r="AO16" s="28">
        <v>2</v>
      </c>
      <c r="AP16" s="77">
        <v>0</v>
      </c>
      <c r="AQ16" s="28">
        <v>2</v>
      </c>
      <c r="AR16" s="28">
        <v>2</v>
      </c>
      <c r="AS16" s="77">
        <v>5</v>
      </c>
      <c r="AT16" s="72">
        <v>0.9555555555555556</v>
      </c>
      <c r="AU16" s="28">
        <v>0</v>
      </c>
      <c r="AV16" s="75">
        <v>14</v>
      </c>
      <c r="AY16" s="365" t="s">
        <v>770</v>
      </c>
      <c r="AZ16" s="77" t="s">
        <v>184</v>
      </c>
      <c r="BA16" s="77" t="s">
        <v>784</v>
      </c>
      <c r="BB16" s="130">
        <v>0.32307692307692309</v>
      </c>
      <c r="BC16" s="72">
        <v>0.36231884057971014</v>
      </c>
      <c r="BD16" s="72">
        <v>0.50769230769230766</v>
      </c>
      <c r="BE16" s="77">
        <v>16</v>
      </c>
      <c r="BF16" s="28">
        <v>65</v>
      </c>
      <c r="BG16" s="28">
        <v>12</v>
      </c>
      <c r="BH16" s="28">
        <v>21</v>
      </c>
      <c r="BI16" s="28">
        <v>3</v>
      </c>
      <c r="BJ16" s="28">
        <v>0</v>
      </c>
      <c r="BK16" s="28">
        <v>3</v>
      </c>
      <c r="BL16" s="28">
        <v>7</v>
      </c>
      <c r="BM16" s="28">
        <v>4</v>
      </c>
      <c r="BN16" s="28">
        <v>22</v>
      </c>
      <c r="BO16" s="77">
        <v>0</v>
      </c>
      <c r="BP16" s="28">
        <v>0</v>
      </c>
      <c r="BQ16" s="28">
        <v>5</v>
      </c>
      <c r="BR16" s="77">
        <v>33</v>
      </c>
      <c r="BS16" s="72">
        <v>0.87001114827201786</v>
      </c>
      <c r="BT16" s="28">
        <v>1</v>
      </c>
      <c r="BU16" s="75">
        <v>14</v>
      </c>
    </row>
    <row r="17" spans="1:73">
      <c r="A17" s="101" t="s">
        <v>804</v>
      </c>
      <c r="B17" s="77" t="s">
        <v>179</v>
      </c>
      <c r="C17" s="77" t="s">
        <v>813</v>
      </c>
      <c r="D17" s="996">
        <f>VLOOKUP(Table88[[#This Row],[NAME]],NYM_H[[NAME]:['#]],2,0)</f>
        <v>0.28037383177570091</v>
      </c>
      <c r="E17" s="72">
        <f>VLOOKUP(Table88[[#This Row],[NAME]],NYM_H[[NAME]:['#]],3,0)</f>
        <v>0.36885245901639346</v>
      </c>
      <c r="F17" s="72">
        <f>VLOOKUP(Table88[[#This Row],[NAME]],NYM_H[[NAME]:['#]],4,0)</f>
        <v>0.50467289719626163</v>
      </c>
      <c r="G17" s="77">
        <f>VLOOKUP(Table88[[#This Row],[NAME]],NYM_H[[NAME]:['#]],5,0)</f>
        <v>32</v>
      </c>
      <c r="H17" s="28">
        <f>VLOOKUP(Table88[[#This Row],[NAME]],NYM_H[[NAME]:['#]],6,0)</f>
        <v>107</v>
      </c>
      <c r="I17" s="28">
        <f>VLOOKUP(Table88[[#This Row],[NAME]],NYM_H[[NAME]:['#]],7,0)</f>
        <v>15</v>
      </c>
      <c r="J17" s="28">
        <f>VLOOKUP(Table88[[#This Row],[NAME]],NYM_H[[NAME]:['#]],8,0)</f>
        <v>30</v>
      </c>
      <c r="K17" s="28">
        <f>VLOOKUP(Table88[[#This Row],[NAME]],NYM_H[[NAME]:['#]],9,0)</f>
        <v>6</v>
      </c>
      <c r="L17" s="28">
        <f>VLOOKUP(Table88[[#This Row],[NAME]],NYM_H[[NAME]:['#]],10,0)</f>
        <v>0</v>
      </c>
      <c r="M17" s="28">
        <f>VLOOKUP(Table88[[#This Row],[NAME]],NYM_H[[NAME]:['#]],11,0)</f>
        <v>6</v>
      </c>
      <c r="N17" s="28">
        <f>VLOOKUP(Table88[[#This Row],[NAME]],NYM_H[[NAME]:['#]],12,0)</f>
        <v>14</v>
      </c>
      <c r="O17" s="28">
        <f>VLOOKUP(Table88[[#This Row],[NAME]],NYM_H[[NAME]:['#]],13,0)</f>
        <v>15</v>
      </c>
      <c r="P17" s="28">
        <f>VLOOKUP(Table88[[#This Row],[NAME]],NYM_H[[NAME]:['#]],14,0)</f>
        <v>22</v>
      </c>
      <c r="Q17" s="77">
        <f>VLOOKUP(Table88[[#This Row],[NAME]],NYM_H[[NAME]:['#]],15,0)</f>
        <v>0</v>
      </c>
      <c r="R17" s="28">
        <f>VLOOKUP(Table88[[#This Row],[NAME]],NYM_H[[NAME]:['#]],16,0)</f>
        <v>0</v>
      </c>
      <c r="S17" s="28">
        <f>VLOOKUP(Table88[[#This Row],[NAME]],NYM_H[[NAME]:['#]],17,0)</f>
        <v>5</v>
      </c>
      <c r="T17" s="77">
        <f>VLOOKUP(Table88[[#This Row],[NAME]],NYM_H[[NAME]:['#]],18,0)</f>
        <v>54</v>
      </c>
      <c r="U17" s="72">
        <f>VLOOKUP(Table88[[#This Row],[NAME]],NYM_H[[NAME]:['#]],19,0)</f>
        <v>0.87352535621265504</v>
      </c>
      <c r="V17" s="28">
        <f>VLOOKUP(Table88[[#This Row],[NAME]],NYM_H[[NAME]:['#]],20,0)</f>
        <v>3</v>
      </c>
      <c r="W17" s="75">
        <v>15</v>
      </c>
      <c r="Z17" s="101" t="s">
        <v>804</v>
      </c>
      <c r="AA17" s="77" t="s">
        <v>179</v>
      </c>
      <c r="AB17" s="77" t="s">
        <v>813</v>
      </c>
      <c r="AC17" s="130">
        <v>0.27480916030534353</v>
      </c>
      <c r="AD17" s="72">
        <v>0.34027777777777779</v>
      </c>
      <c r="AE17" s="72">
        <v>0.42748091603053434</v>
      </c>
      <c r="AF17" s="77">
        <v>38</v>
      </c>
      <c r="AG17" s="28">
        <v>131</v>
      </c>
      <c r="AH17" s="28">
        <v>16</v>
      </c>
      <c r="AI17" s="28">
        <v>36</v>
      </c>
      <c r="AJ17" s="28">
        <v>11</v>
      </c>
      <c r="AK17" s="28">
        <v>0</v>
      </c>
      <c r="AL17" s="28">
        <v>3</v>
      </c>
      <c r="AM17" s="28">
        <v>13</v>
      </c>
      <c r="AN17" s="28">
        <v>13</v>
      </c>
      <c r="AO17" s="28">
        <v>27</v>
      </c>
      <c r="AP17" s="77">
        <v>0</v>
      </c>
      <c r="AQ17" s="28">
        <v>0</v>
      </c>
      <c r="AR17" s="28">
        <v>7</v>
      </c>
      <c r="AS17" s="77">
        <v>56</v>
      </c>
      <c r="AT17" s="72">
        <v>0.76775869380831208</v>
      </c>
      <c r="AU17" s="28">
        <v>1</v>
      </c>
      <c r="AV17" s="75">
        <v>15</v>
      </c>
      <c r="AY17" s="101" t="s">
        <v>804</v>
      </c>
      <c r="AZ17" s="77" t="s">
        <v>179</v>
      </c>
      <c r="BA17" s="77" t="s">
        <v>813</v>
      </c>
      <c r="BB17" s="130">
        <v>0.29133858267716534</v>
      </c>
      <c r="BC17" s="72">
        <v>0.35251798561151076</v>
      </c>
      <c r="BD17" s="72">
        <v>0.38582677165354329</v>
      </c>
      <c r="BE17" s="77">
        <v>37</v>
      </c>
      <c r="BF17" s="28">
        <v>127</v>
      </c>
      <c r="BG17" s="28">
        <v>10</v>
      </c>
      <c r="BH17" s="28">
        <v>37</v>
      </c>
      <c r="BI17" s="28">
        <v>9</v>
      </c>
      <c r="BJ17" s="28">
        <v>0</v>
      </c>
      <c r="BK17" s="28">
        <v>1</v>
      </c>
      <c r="BL17" s="28">
        <v>15</v>
      </c>
      <c r="BM17" s="28">
        <v>12</v>
      </c>
      <c r="BN17" s="28">
        <v>23</v>
      </c>
      <c r="BO17" s="77">
        <v>0</v>
      </c>
      <c r="BP17" s="28">
        <v>0</v>
      </c>
      <c r="BQ17" s="28">
        <v>4</v>
      </c>
      <c r="BR17" s="77">
        <v>49</v>
      </c>
      <c r="BS17" s="72">
        <v>0.73834475726505411</v>
      </c>
      <c r="BT17" s="28">
        <v>1</v>
      </c>
      <c r="BU17" s="75">
        <v>15</v>
      </c>
    </row>
    <row r="18" spans="1:73">
      <c r="A18" s="101" t="s">
        <v>804</v>
      </c>
      <c r="B18" s="71" t="s">
        <v>154</v>
      </c>
      <c r="C18" s="74" t="s">
        <v>808</v>
      </c>
      <c r="D18" s="72">
        <f>VLOOKUP(Table88[[#This Row],[NAME]],NYM_H[[NAME]:['#]],2,0)</f>
        <v>0.2348993288590604</v>
      </c>
      <c r="E18" s="72">
        <f>VLOOKUP(Table88[[#This Row],[NAME]],NYM_H[[NAME]:['#]],3,0)</f>
        <v>0.31736526946107785</v>
      </c>
      <c r="F18" s="72">
        <f>VLOOKUP(Table88[[#This Row],[NAME]],NYM_H[[NAME]:['#]],4,0)</f>
        <v>0.42953020134228187</v>
      </c>
      <c r="G18" s="77">
        <f>VLOOKUP(Table88[[#This Row],[NAME]],NYM_H[[NAME]:['#]],5,0)</f>
        <v>38</v>
      </c>
      <c r="H18" s="28">
        <f>VLOOKUP(Table88[[#This Row],[NAME]],NYM_H[[NAME]:['#]],6,0)</f>
        <v>149</v>
      </c>
      <c r="I18" s="28">
        <f>VLOOKUP(Table88[[#This Row],[NAME]],NYM_H[[NAME]:['#]],7,0)</f>
        <v>29</v>
      </c>
      <c r="J18" s="28">
        <f>VLOOKUP(Table88[[#This Row],[NAME]],NYM_H[[NAME]:['#]],8,0)</f>
        <v>35</v>
      </c>
      <c r="K18" s="28">
        <f>VLOOKUP(Table88[[#This Row],[NAME]],NYM_H[[NAME]:['#]],9,0)</f>
        <v>8</v>
      </c>
      <c r="L18" s="28">
        <f>VLOOKUP(Table88[[#This Row],[NAME]],NYM_H[[NAME]:['#]],10,0)</f>
        <v>0</v>
      </c>
      <c r="M18" s="28">
        <f>VLOOKUP(Table88[[#This Row],[NAME]],NYM_H[[NAME]:['#]],11,0)</f>
        <v>7</v>
      </c>
      <c r="N18" s="28">
        <f>VLOOKUP(Table88[[#This Row],[NAME]],NYM_H[[NAME]:['#]],12,0)</f>
        <v>14</v>
      </c>
      <c r="O18" s="28">
        <f>VLOOKUP(Table88[[#This Row],[NAME]],NYM_H[[NAME]:['#]],13,0)</f>
        <v>18</v>
      </c>
      <c r="P18" s="28">
        <f>VLOOKUP(Table88[[#This Row],[NAME]],NYM_H[[NAME]:['#]],14,0)</f>
        <v>36</v>
      </c>
      <c r="Q18" s="77">
        <f>VLOOKUP(Table88[[#This Row],[NAME]],NYM_H[[NAME]:['#]],15,0)</f>
        <v>0</v>
      </c>
      <c r="R18" s="28">
        <f>VLOOKUP(Table88[[#This Row],[NAME]],NYM_H[[NAME]:['#]],16,0)</f>
        <v>1</v>
      </c>
      <c r="S18" s="28">
        <f>VLOOKUP(Table88[[#This Row],[NAME]],NYM_H[[NAME]:['#]],17,0)</f>
        <v>6</v>
      </c>
      <c r="T18" s="77">
        <f>VLOOKUP(Table88[[#This Row],[NAME]],NYM_H[[NAME]:['#]],18,0)</f>
        <v>64</v>
      </c>
      <c r="U18" s="72">
        <f>VLOOKUP(Table88[[#This Row],[NAME]],NYM_H[[NAME]:['#]],19,0)</f>
        <v>0.74689547080335972</v>
      </c>
      <c r="V18" s="28">
        <f>VLOOKUP(Table88[[#This Row],[NAME]],NYM_H[[NAME]:['#]],20,0)</f>
        <v>2</v>
      </c>
      <c r="W18" s="75">
        <v>16</v>
      </c>
      <c r="Z18" s="101" t="s">
        <v>804</v>
      </c>
      <c r="AA18" s="77" t="s">
        <v>154</v>
      </c>
      <c r="AB18" s="77" t="s">
        <v>808</v>
      </c>
      <c r="AC18" s="130">
        <v>0.3</v>
      </c>
      <c r="AD18" s="72">
        <v>0.378698224852071</v>
      </c>
      <c r="AE18" s="72">
        <v>0.5</v>
      </c>
      <c r="AF18" s="77">
        <v>40</v>
      </c>
      <c r="AG18" s="28">
        <v>150</v>
      </c>
      <c r="AH18" s="28">
        <v>24</v>
      </c>
      <c r="AI18" s="28">
        <v>45</v>
      </c>
      <c r="AJ18" s="28">
        <v>9</v>
      </c>
      <c r="AK18" s="28">
        <v>3</v>
      </c>
      <c r="AL18" s="28">
        <v>5</v>
      </c>
      <c r="AM18" s="28">
        <v>22</v>
      </c>
      <c r="AN18" s="28">
        <v>19</v>
      </c>
      <c r="AO18" s="28">
        <v>40</v>
      </c>
      <c r="AP18" s="77">
        <v>0</v>
      </c>
      <c r="AQ18" s="28">
        <v>0</v>
      </c>
      <c r="AR18" s="28">
        <v>6</v>
      </c>
      <c r="AS18" s="77">
        <v>75</v>
      </c>
      <c r="AT18" s="72">
        <v>0.87869822485207094</v>
      </c>
      <c r="AU18" s="28">
        <v>1</v>
      </c>
      <c r="AV18" s="75">
        <v>16</v>
      </c>
      <c r="AY18" s="101" t="s">
        <v>804</v>
      </c>
      <c r="AZ18" s="77" t="s">
        <v>154</v>
      </c>
      <c r="BA18" s="77" t="s">
        <v>808</v>
      </c>
      <c r="BB18" s="130">
        <v>0.2</v>
      </c>
      <c r="BC18" s="72">
        <v>0.27472527472527475</v>
      </c>
      <c r="BD18" s="72">
        <v>0.27878787878787881</v>
      </c>
      <c r="BE18" s="77">
        <v>40</v>
      </c>
      <c r="BF18" s="28">
        <v>165</v>
      </c>
      <c r="BG18" s="28">
        <v>22</v>
      </c>
      <c r="BH18" s="28">
        <v>33</v>
      </c>
      <c r="BI18" s="28">
        <v>5</v>
      </c>
      <c r="BJ18" s="28">
        <v>1</v>
      </c>
      <c r="BK18" s="28">
        <v>2</v>
      </c>
      <c r="BL18" s="28">
        <v>17</v>
      </c>
      <c r="BM18" s="28">
        <v>17</v>
      </c>
      <c r="BN18" s="28">
        <v>51</v>
      </c>
      <c r="BO18" s="77">
        <v>0</v>
      </c>
      <c r="BP18" s="28">
        <v>3</v>
      </c>
      <c r="BQ18" s="28">
        <v>6</v>
      </c>
      <c r="BR18" s="77">
        <v>46</v>
      </c>
      <c r="BS18" s="72">
        <v>0.55351315351315356</v>
      </c>
      <c r="BT18" s="28">
        <v>2</v>
      </c>
      <c r="BU18" s="75">
        <v>16</v>
      </c>
    </row>
    <row r="19" spans="1:73">
      <c r="A19" s="101" t="s">
        <v>804</v>
      </c>
      <c r="B19" s="345" t="s">
        <v>172</v>
      </c>
      <c r="C19" s="74" t="s">
        <v>805</v>
      </c>
      <c r="D19" s="72">
        <f>VLOOKUP(Table88[[#This Row],[NAME]],NYM_H[[NAME]:['#]],2,0)</f>
        <v>0.29545454545454547</v>
      </c>
      <c r="E19" s="72">
        <f>VLOOKUP(Table88[[#This Row],[NAME]],NYM_H[[NAME]:['#]],3,0)</f>
        <v>0.3439153439153439</v>
      </c>
      <c r="F19" s="72">
        <f>VLOOKUP(Table88[[#This Row],[NAME]],NYM_H[[NAME]:['#]],4,0)</f>
        <v>0.49431818181818182</v>
      </c>
      <c r="G19" s="77">
        <f>VLOOKUP(Table88[[#This Row],[NAME]],NYM_H[[NAME]:['#]],5,0)</f>
        <v>39</v>
      </c>
      <c r="H19" s="76">
        <f>VLOOKUP(Table88[[#This Row],[NAME]],NYM_H[[NAME]:['#]],6,0)</f>
        <v>176</v>
      </c>
      <c r="I19" s="28">
        <f>VLOOKUP(Table88[[#This Row],[NAME]],NYM_H[[NAME]:['#]],7,0)</f>
        <v>26</v>
      </c>
      <c r="J19" s="28">
        <f>VLOOKUP(Table88[[#This Row],[NAME]],NYM_H[[NAME]:['#]],8,0)</f>
        <v>52</v>
      </c>
      <c r="K19" s="28">
        <f>VLOOKUP(Table88[[#This Row],[NAME]],NYM_H[[NAME]:['#]],9,0)</f>
        <v>6</v>
      </c>
      <c r="L19" s="28">
        <f>VLOOKUP(Table88[[#This Row],[NAME]],NYM_H[[NAME]:['#]],10,0)</f>
        <v>1</v>
      </c>
      <c r="M19" s="28">
        <f>VLOOKUP(Table88[[#This Row],[NAME]],NYM_H[[NAME]:['#]],11,0)</f>
        <v>9</v>
      </c>
      <c r="N19" s="28">
        <f>VLOOKUP(Table88[[#This Row],[NAME]],NYM_H[[NAME]:['#]],12,0)</f>
        <v>23</v>
      </c>
      <c r="O19" s="28">
        <f>VLOOKUP(Table88[[#This Row],[NAME]],NYM_H[[NAME]:['#]],13,0)</f>
        <v>13</v>
      </c>
      <c r="P19" s="28">
        <f>VLOOKUP(Table88[[#This Row],[NAME]],NYM_H[[NAME]:['#]],14,0)</f>
        <v>33</v>
      </c>
      <c r="Q19" s="77">
        <f>VLOOKUP(Table88[[#This Row],[NAME]],NYM_H[[NAME]:['#]],15,0)</f>
        <v>0</v>
      </c>
      <c r="R19" s="28">
        <f>VLOOKUP(Table88[[#This Row],[NAME]],NYM_H[[NAME]:['#]],16,0)</f>
        <v>1</v>
      </c>
      <c r="S19" s="28">
        <f>VLOOKUP(Table88[[#This Row],[NAME]],NYM_H[[NAME]:['#]],17,0)</f>
        <v>8</v>
      </c>
      <c r="T19" s="77">
        <f>VLOOKUP(Table88[[#This Row],[NAME]],NYM_H[[NAME]:['#]],18,0)</f>
        <v>87</v>
      </c>
      <c r="U19" s="72">
        <f>VLOOKUP(Table88[[#This Row],[NAME]],NYM_H[[NAME]:['#]],19,0)</f>
        <v>0.83823352573352572</v>
      </c>
      <c r="V19" s="28">
        <f>VLOOKUP(Table88[[#This Row],[NAME]],NYM_H[[NAME]:['#]],20,0)</f>
        <v>3</v>
      </c>
      <c r="W19" s="75">
        <v>17</v>
      </c>
      <c r="Z19" s="101" t="s">
        <v>804</v>
      </c>
      <c r="AA19" s="352" t="s">
        <v>172</v>
      </c>
      <c r="AB19" s="77" t="s">
        <v>805</v>
      </c>
      <c r="AC19" s="130">
        <v>0.29714285714285715</v>
      </c>
      <c r="AD19" s="72">
        <v>0.34920634920634919</v>
      </c>
      <c r="AE19" s="72">
        <v>0.49142857142857144</v>
      </c>
      <c r="AF19" s="77">
        <v>40</v>
      </c>
      <c r="AG19" s="28">
        <v>175</v>
      </c>
      <c r="AH19" s="28">
        <v>29</v>
      </c>
      <c r="AI19" s="28">
        <v>52</v>
      </c>
      <c r="AJ19" s="28">
        <v>6</v>
      </c>
      <c r="AK19" s="28">
        <v>2</v>
      </c>
      <c r="AL19" s="28">
        <v>8</v>
      </c>
      <c r="AM19" s="28">
        <v>22</v>
      </c>
      <c r="AN19" s="28">
        <v>14</v>
      </c>
      <c r="AO19" s="28">
        <v>30</v>
      </c>
      <c r="AP19" s="77">
        <v>1</v>
      </c>
      <c r="AQ19" s="28">
        <v>3</v>
      </c>
      <c r="AR19" s="28">
        <v>10</v>
      </c>
      <c r="AS19" s="77">
        <v>86</v>
      </c>
      <c r="AT19" s="72">
        <v>0.84063492063492062</v>
      </c>
      <c r="AU19" s="28">
        <v>2</v>
      </c>
      <c r="AV19" s="75">
        <v>17</v>
      </c>
      <c r="AY19" s="101" t="s">
        <v>804</v>
      </c>
      <c r="AZ19" s="77" t="s">
        <v>172</v>
      </c>
      <c r="BA19" s="77" t="s">
        <v>805</v>
      </c>
      <c r="BB19" s="130">
        <v>0.31034482758620691</v>
      </c>
      <c r="BC19" s="72">
        <v>0.36170212765957449</v>
      </c>
      <c r="BD19" s="72">
        <v>0.43678160919540232</v>
      </c>
      <c r="BE19" s="77">
        <v>40</v>
      </c>
      <c r="BF19" s="28">
        <v>174</v>
      </c>
      <c r="BG19" s="28">
        <v>18</v>
      </c>
      <c r="BH19" s="76">
        <v>54</v>
      </c>
      <c r="BI19" s="28">
        <v>13</v>
      </c>
      <c r="BJ19" s="28">
        <v>0</v>
      </c>
      <c r="BK19" s="28">
        <v>3</v>
      </c>
      <c r="BL19" s="28">
        <v>16</v>
      </c>
      <c r="BM19" s="28">
        <v>14</v>
      </c>
      <c r="BN19" s="28">
        <v>40</v>
      </c>
      <c r="BO19" s="77">
        <v>4</v>
      </c>
      <c r="BP19" s="28">
        <v>11</v>
      </c>
      <c r="BQ19" s="28">
        <v>11</v>
      </c>
      <c r="BR19" s="77">
        <v>76</v>
      </c>
      <c r="BS19" s="72">
        <v>0.79848373685497687</v>
      </c>
      <c r="BT19" s="28">
        <v>1</v>
      </c>
      <c r="BU19" s="75">
        <v>17</v>
      </c>
    </row>
    <row r="20" spans="1:73">
      <c r="A20" s="101" t="s">
        <v>804</v>
      </c>
      <c r="B20" s="71" t="s">
        <v>153</v>
      </c>
      <c r="C20" s="74" t="s">
        <v>811</v>
      </c>
      <c r="D20" s="72">
        <f>VLOOKUP(Table88[[#This Row],[NAME]],NYM_H[[NAME]:['#]],2,0)</f>
        <v>0.28688524590163933</v>
      </c>
      <c r="E20" s="72">
        <f>VLOOKUP(Table88[[#This Row],[NAME]],NYM_H[[NAME]:['#]],3,0)</f>
        <v>0.31496062992125984</v>
      </c>
      <c r="F20" s="72">
        <f>VLOOKUP(Table88[[#This Row],[NAME]],NYM_H[[NAME]:['#]],4,0)</f>
        <v>0.47540983606557374</v>
      </c>
      <c r="G20" s="77">
        <f>VLOOKUP(Table88[[#This Row],[NAME]],NYM_H[[NAME]:['#]],5,0)</f>
        <v>34</v>
      </c>
      <c r="H20" s="28">
        <f>VLOOKUP(Table88[[#This Row],[NAME]],NYM_H[[NAME]:['#]],6,0)</f>
        <v>122</v>
      </c>
      <c r="I20" s="28">
        <f>VLOOKUP(Table88[[#This Row],[NAME]],NYM_H[[NAME]:['#]],7,0)</f>
        <v>17</v>
      </c>
      <c r="J20" s="28">
        <f>VLOOKUP(Table88[[#This Row],[NAME]],NYM_H[[NAME]:['#]],8,0)</f>
        <v>35</v>
      </c>
      <c r="K20" s="28">
        <f>VLOOKUP(Table88[[#This Row],[NAME]],NYM_H[[NAME]:['#]],9,0)</f>
        <v>12</v>
      </c>
      <c r="L20" s="28">
        <f>VLOOKUP(Table88[[#This Row],[NAME]],NYM_H[[NAME]:['#]],10,0)</f>
        <v>1</v>
      </c>
      <c r="M20" s="28">
        <f>VLOOKUP(Table88[[#This Row],[NAME]],NYM_H[[NAME]:['#]],11,0)</f>
        <v>3</v>
      </c>
      <c r="N20" s="28">
        <f>VLOOKUP(Table88[[#This Row],[NAME]],NYM_H[[NAME]:['#]],12,0)</f>
        <v>16</v>
      </c>
      <c r="O20" s="28">
        <f>VLOOKUP(Table88[[#This Row],[NAME]],NYM_H[[NAME]:['#]],13,0)</f>
        <v>5</v>
      </c>
      <c r="P20" s="28">
        <f>VLOOKUP(Table88[[#This Row],[NAME]],NYM_H[[NAME]:['#]],14,0)</f>
        <v>26</v>
      </c>
      <c r="Q20" s="77">
        <f>VLOOKUP(Table88[[#This Row],[NAME]],NYM_H[[NAME]:['#]],15,0)</f>
        <v>0</v>
      </c>
      <c r="R20" s="28">
        <f>VLOOKUP(Table88[[#This Row],[NAME]],NYM_H[[NAME]:['#]],16,0)</f>
        <v>5</v>
      </c>
      <c r="S20" s="28">
        <f>VLOOKUP(Table88[[#This Row],[NAME]],NYM_H[[NAME]:['#]],17,0)</f>
        <v>6</v>
      </c>
      <c r="T20" s="77">
        <f>VLOOKUP(Table88[[#This Row],[NAME]],NYM_H[[NAME]:['#]],18,0)</f>
        <v>58</v>
      </c>
      <c r="U20" s="72">
        <f>VLOOKUP(Table88[[#This Row],[NAME]],NYM_H[[NAME]:['#]],19,0)</f>
        <v>0.79037046598683358</v>
      </c>
      <c r="V20" s="28">
        <f>VLOOKUP(Table88[[#This Row],[NAME]],NYM_H[[NAME]:['#]],20,0)</f>
        <v>2</v>
      </c>
      <c r="W20" s="75">
        <v>18</v>
      </c>
      <c r="Z20" s="101" t="s">
        <v>804</v>
      </c>
      <c r="AA20" s="77" t="s">
        <v>153</v>
      </c>
      <c r="AB20" s="77" t="s">
        <v>811</v>
      </c>
      <c r="AC20" s="130">
        <v>0.2608695652173913</v>
      </c>
      <c r="AD20" s="72">
        <v>0.31543624161073824</v>
      </c>
      <c r="AE20" s="72">
        <v>0.39130434782608697</v>
      </c>
      <c r="AF20" s="77">
        <v>39</v>
      </c>
      <c r="AG20" s="28">
        <v>138</v>
      </c>
      <c r="AH20" s="28">
        <v>9</v>
      </c>
      <c r="AI20" s="28">
        <v>36</v>
      </c>
      <c r="AJ20" s="28">
        <v>9</v>
      </c>
      <c r="AK20" s="28">
        <v>0</v>
      </c>
      <c r="AL20" s="28">
        <v>3</v>
      </c>
      <c r="AM20" s="28">
        <v>19</v>
      </c>
      <c r="AN20" s="28">
        <v>11</v>
      </c>
      <c r="AO20" s="28">
        <v>38</v>
      </c>
      <c r="AP20" s="77">
        <v>0</v>
      </c>
      <c r="AQ20" s="28">
        <v>0</v>
      </c>
      <c r="AR20" s="28">
        <v>6</v>
      </c>
      <c r="AS20" s="77">
        <v>54</v>
      </c>
      <c r="AT20" s="72">
        <v>0.70674058943682527</v>
      </c>
      <c r="AU20" s="28">
        <v>2</v>
      </c>
      <c r="AV20" s="75">
        <v>18</v>
      </c>
      <c r="AY20" s="101" t="s">
        <v>804</v>
      </c>
      <c r="AZ20" s="77" t="s">
        <v>153</v>
      </c>
      <c r="BA20" s="77" t="s">
        <v>811</v>
      </c>
      <c r="BB20" s="130">
        <v>0.28104575163398693</v>
      </c>
      <c r="BC20" s="72">
        <v>0.33734939759036142</v>
      </c>
      <c r="BD20" s="72">
        <v>0.39869281045751637</v>
      </c>
      <c r="BE20" s="77">
        <v>40</v>
      </c>
      <c r="BF20" s="28">
        <v>153</v>
      </c>
      <c r="BG20" s="28">
        <v>20</v>
      </c>
      <c r="BH20" s="28">
        <v>43</v>
      </c>
      <c r="BI20" s="28">
        <v>7</v>
      </c>
      <c r="BJ20" s="28">
        <v>1</v>
      </c>
      <c r="BK20" s="28">
        <v>3</v>
      </c>
      <c r="BL20" s="28">
        <v>23</v>
      </c>
      <c r="BM20" s="28">
        <v>13</v>
      </c>
      <c r="BN20" s="28">
        <v>27</v>
      </c>
      <c r="BO20" s="77">
        <v>0</v>
      </c>
      <c r="BP20" s="28">
        <v>0</v>
      </c>
      <c r="BQ20" s="28">
        <v>6</v>
      </c>
      <c r="BR20" s="77">
        <v>61</v>
      </c>
      <c r="BS20" s="72">
        <v>0.73604220804787779</v>
      </c>
      <c r="BT20" s="28">
        <v>1</v>
      </c>
      <c r="BU20" s="75">
        <v>18</v>
      </c>
    </row>
    <row r="21" spans="1:73">
      <c r="A21" s="101" t="s">
        <v>804</v>
      </c>
      <c r="B21" s="71" t="s">
        <v>177</v>
      </c>
      <c r="C21" s="74" t="s">
        <v>806</v>
      </c>
      <c r="D21" s="72">
        <f>VLOOKUP(Table88[[#This Row],[NAME]],NYM_H[[NAME]:['#]],2,0)</f>
        <v>0.28187919463087246</v>
      </c>
      <c r="E21" s="72">
        <f>VLOOKUP(Table88[[#This Row],[NAME]],NYM_H[[NAME]:['#]],3,0)</f>
        <v>0.3515151515151515</v>
      </c>
      <c r="F21" s="72">
        <f>VLOOKUP(Table88[[#This Row],[NAME]],NYM_H[[NAME]:['#]],4,0)</f>
        <v>0.57718120805369133</v>
      </c>
      <c r="G21" s="77">
        <f>VLOOKUP(Table88[[#This Row],[NAME]],NYM_H[[NAME]:['#]],5,0)</f>
        <v>38</v>
      </c>
      <c r="H21" s="28">
        <f>VLOOKUP(Table88[[#This Row],[NAME]],NYM_H[[NAME]:['#]],6,0)</f>
        <v>149</v>
      </c>
      <c r="I21" s="28">
        <f>VLOOKUP(Table88[[#This Row],[NAME]],NYM_H[[NAME]:['#]],7,0)</f>
        <v>23</v>
      </c>
      <c r="J21" s="28">
        <f>VLOOKUP(Table88[[#This Row],[NAME]],NYM_H[[NAME]:['#]],8,0)</f>
        <v>42</v>
      </c>
      <c r="K21" s="28">
        <f>VLOOKUP(Table88[[#This Row],[NAME]],NYM_H[[NAME]:['#]],9,0)</f>
        <v>11</v>
      </c>
      <c r="L21" s="28">
        <f>VLOOKUP(Table88[[#This Row],[NAME]],NYM_H[[NAME]:['#]],10,0)</f>
        <v>0</v>
      </c>
      <c r="M21" s="28">
        <f>VLOOKUP(Table88[[#This Row],[NAME]],NYM_H[[NAME]:['#]],11,0)</f>
        <v>11</v>
      </c>
      <c r="N21" s="28">
        <f>VLOOKUP(Table88[[#This Row],[NAME]],NYM_H[[NAME]:['#]],12,0)</f>
        <v>32</v>
      </c>
      <c r="O21" s="28">
        <f>VLOOKUP(Table88[[#This Row],[NAME]],NYM_H[[NAME]:['#]],13,0)</f>
        <v>16</v>
      </c>
      <c r="P21" s="28">
        <f>VLOOKUP(Table88[[#This Row],[NAME]],NYM_H[[NAME]:['#]],14,0)</f>
        <v>45</v>
      </c>
      <c r="Q21" s="77">
        <f>VLOOKUP(Table88[[#This Row],[NAME]],NYM_H[[NAME]:['#]],15,0)</f>
        <v>0</v>
      </c>
      <c r="R21" s="28">
        <f>VLOOKUP(Table88[[#This Row],[NAME]],NYM_H[[NAME]:['#]],16,0)</f>
        <v>1</v>
      </c>
      <c r="S21" s="28">
        <f>VLOOKUP(Table88[[#This Row],[NAME]],NYM_H[[NAME]:['#]],17,0)</f>
        <v>7</v>
      </c>
      <c r="T21" s="77">
        <f>VLOOKUP(Table88[[#This Row],[NAME]],NYM_H[[NAME]:['#]],18,0)</f>
        <v>86</v>
      </c>
      <c r="U21" s="72">
        <f>VLOOKUP(Table88[[#This Row],[NAME]],NYM_H[[NAME]:['#]],19,0)</f>
        <v>0.92869635956884289</v>
      </c>
      <c r="V21" s="28">
        <f>VLOOKUP(Table88[[#This Row],[NAME]],NYM_H[[NAME]:['#]],20,0)</f>
        <v>5</v>
      </c>
      <c r="W21" s="75">
        <v>19</v>
      </c>
      <c r="Z21" s="101" t="s">
        <v>804</v>
      </c>
      <c r="AA21" s="352" t="s">
        <v>177</v>
      </c>
      <c r="AB21" s="77" t="s">
        <v>806</v>
      </c>
      <c r="AC21" s="130">
        <v>0.27702702702702703</v>
      </c>
      <c r="AD21" s="72">
        <v>0.3592814371257485</v>
      </c>
      <c r="AE21" s="72">
        <v>0.6216216216216216</v>
      </c>
      <c r="AF21" s="77">
        <v>40</v>
      </c>
      <c r="AG21" s="28">
        <v>148</v>
      </c>
      <c r="AH21" s="28">
        <v>23</v>
      </c>
      <c r="AI21" s="28">
        <v>41</v>
      </c>
      <c r="AJ21" s="28">
        <v>12</v>
      </c>
      <c r="AK21" s="28">
        <v>0</v>
      </c>
      <c r="AL21" s="28">
        <v>13</v>
      </c>
      <c r="AM21" s="28">
        <v>32</v>
      </c>
      <c r="AN21" s="28">
        <v>19</v>
      </c>
      <c r="AO21" s="28">
        <v>45</v>
      </c>
      <c r="AP21" s="77">
        <v>0</v>
      </c>
      <c r="AQ21" s="28">
        <v>0</v>
      </c>
      <c r="AR21" s="28">
        <v>7</v>
      </c>
      <c r="AS21" s="77">
        <v>92</v>
      </c>
      <c r="AT21" s="594">
        <v>0.98090305874737016</v>
      </c>
      <c r="AU21" s="28">
        <v>4</v>
      </c>
      <c r="AV21" s="75">
        <v>19</v>
      </c>
      <c r="AY21" s="101" t="s">
        <v>804</v>
      </c>
      <c r="AZ21" s="77" t="s">
        <v>177</v>
      </c>
      <c r="BA21" s="77" t="s">
        <v>806</v>
      </c>
      <c r="BB21" s="130">
        <v>0.25850340136054423</v>
      </c>
      <c r="BC21" s="72">
        <v>0.35882352941176471</v>
      </c>
      <c r="BD21" s="72">
        <v>0.46938775510204084</v>
      </c>
      <c r="BE21" s="77">
        <v>40</v>
      </c>
      <c r="BF21" s="28">
        <v>147</v>
      </c>
      <c r="BG21" s="28">
        <v>28</v>
      </c>
      <c r="BH21" s="28">
        <v>38</v>
      </c>
      <c r="BI21" s="28">
        <v>7</v>
      </c>
      <c r="BJ21" s="28">
        <v>0</v>
      </c>
      <c r="BK21" s="28">
        <v>8</v>
      </c>
      <c r="BL21" s="28">
        <v>25</v>
      </c>
      <c r="BM21" s="28">
        <v>23</v>
      </c>
      <c r="BN21" s="28">
        <v>42</v>
      </c>
      <c r="BO21" s="77">
        <v>0</v>
      </c>
      <c r="BP21" s="28">
        <v>0</v>
      </c>
      <c r="BQ21" s="28">
        <v>9</v>
      </c>
      <c r="BR21" s="77">
        <v>69</v>
      </c>
      <c r="BS21" s="72">
        <v>0.82821128451380555</v>
      </c>
      <c r="BT21" s="28">
        <v>4</v>
      </c>
      <c r="BU21" s="75">
        <v>19</v>
      </c>
    </row>
    <row r="22" spans="1:73">
      <c r="A22" s="101" t="s">
        <v>804</v>
      </c>
      <c r="B22" s="77" t="s">
        <v>174</v>
      </c>
      <c r="C22" s="77" t="s">
        <v>814</v>
      </c>
      <c r="D22" s="996">
        <f>VLOOKUP(Table88[[#This Row],[NAME]],NYM_H[[NAME]:['#]],2,0)</f>
        <v>0.30645161290322581</v>
      </c>
      <c r="E22" s="72">
        <f>VLOOKUP(Table88[[#This Row],[NAME]],NYM_H[[NAME]:['#]],3,0)</f>
        <v>0.36764705882352944</v>
      </c>
      <c r="F22" s="72">
        <f>VLOOKUP(Table88[[#This Row],[NAME]],NYM_H[[NAME]:['#]],4,0)</f>
        <v>0.62903225806451613</v>
      </c>
      <c r="G22" s="77">
        <f>VLOOKUP(Table88[[#This Row],[NAME]],NYM_H[[NAME]:['#]],5,0)</f>
        <v>16</v>
      </c>
      <c r="H22" s="28">
        <f>VLOOKUP(Table88[[#This Row],[NAME]],NYM_H[[NAME]:['#]],6,0)</f>
        <v>62</v>
      </c>
      <c r="I22" s="28">
        <f>VLOOKUP(Table88[[#This Row],[NAME]],NYM_H[[NAME]:['#]],7,0)</f>
        <v>9</v>
      </c>
      <c r="J22" s="28">
        <f>VLOOKUP(Table88[[#This Row],[NAME]],NYM_H[[NAME]:['#]],8,0)</f>
        <v>19</v>
      </c>
      <c r="K22" s="28">
        <f>VLOOKUP(Table88[[#This Row],[NAME]],NYM_H[[NAME]:['#]],9,0)</f>
        <v>5</v>
      </c>
      <c r="L22" s="28">
        <f>VLOOKUP(Table88[[#This Row],[NAME]],NYM_H[[NAME]:['#]],10,0)</f>
        <v>0</v>
      </c>
      <c r="M22" s="28">
        <f>VLOOKUP(Table88[[#This Row],[NAME]],NYM_H[[NAME]:['#]],11,0)</f>
        <v>5</v>
      </c>
      <c r="N22" s="28">
        <f>VLOOKUP(Table88[[#This Row],[NAME]],NYM_H[[NAME]:['#]],12,0)</f>
        <v>14</v>
      </c>
      <c r="O22" s="28">
        <f>VLOOKUP(Table88[[#This Row],[NAME]],NYM_H[[NAME]:['#]],13,0)</f>
        <v>6</v>
      </c>
      <c r="P22" s="28">
        <f>VLOOKUP(Table88[[#This Row],[NAME]],NYM_H[[NAME]:['#]],14,0)</f>
        <v>13</v>
      </c>
      <c r="Q22" s="77">
        <f>VLOOKUP(Table88[[#This Row],[NAME]],NYM_H[[NAME]:['#]],15,0)</f>
        <v>0</v>
      </c>
      <c r="R22" s="28">
        <f>VLOOKUP(Table88[[#This Row],[NAME]],NYM_H[[NAME]:['#]],16,0)</f>
        <v>10</v>
      </c>
      <c r="S22" s="28">
        <f>VLOOKUP(Table88[[#This Row],[NAME]],NYM_H[[NAME]:['#]],17,0)</f>
        <v>10</v>
      </c>
      <c r="T22" s="77">
        <f>VLOOKUP(Table88[[#This Row],[NAME]],NYM_H[[NAME]:['#]],18,0)</f>
        <v>39</v>
      </c>
      <c r="U22" s="72">
        <f>VLOOKUP(Table88[[#This Row],[NAME]],NYM_H[[NAME]:['#]],19,0)</f>
        <v>0.99667931688804556</v>
      </c>
      <c r="V22" s="28">
        <f>VLOOKUP(Table88[[#This Row],[NAME]],NYM_H[[NAME]:['#]],20,0)</f>
        <v>1</v>
      </c>
      <c r="W22" s="75">
        <v>20</v>
      </c>
      <c r="Z22" s="101" t="s">
        <v>804</v>
      </c>
      <c r="AA22" s="77" t="s">
        <v>174</v>
      </c>
      <c r="AB22" s="77" t="s">
        <v>812</v>
      </c>
      <c r="AC22" s="130">
        <v>0.21951219512195122</v>
      </c>
      <c r="AD22" s="72">
        <v>0.32867132867132864</v>
      </c>
      <c r="AE22" s="72">
        <v>0.43902439024390244</v>
      </c>
      <c r="AF22" s="77">
        <v>36</v>
      </c>
      <c r="AG22" s="28">
        <v>123</v>
      </c>
      <c r="AH22" s="28">
        <v>15</v>
      </c>
      <c r="AI22" s="28">
        <v>27</v>
      </c>
      <c r="AJ22" s="28">
        <v>6</v>
      </c>
      <c r="AK22" s="28">
        <v>0</v>
      </c>
      <c r="AL22" s="28">
        <v>7</v>
      </c>
      <c r="AM22" s="28">
        <v>21</v>
      </c>
      <c r="AN22" s="28">
        <v>20</v>
      </c>
      <c r="AO22" s="28">
        <v>42</v>
      </c>
      <c r="AP22" s="77">
        <v>0</v>
      </c>
      <c r="AQ22" s="28">
        <v>0</v>
      </c>
      <c r="AR22" s="28">
        <v>4</v>
      </c>
      <c r="AS22" s="77">
        <v>54</v>
      </c>
      <c r="AT22" s="72">
        <v>0.76769571891523114</v>
      </c>
      <c r="AU22" s="28">
        <v>3</v>
      </c>
      <c r="AV22" s="75">
        <v>20</v>
      </c>
      <c r="AY22" s="101" t="s">
        <v>804</v>
      </c>
      <c r="AZ22" s="77" t="s">
        <v>174</v>
      </c>
      <c r="BA22" s="77" t="s">
        <v>812</v>
      </c>
      <c r="BB22" s="130">
        <v>0.31818181818181818</v>
      </c>
      <c r="BC22" s="72">
        <v>0.39516129032258063</v>
      </c>
      <c r="BD22" s="72">
        <v>0.52727272727272723</v>
      </c>
      <c r="BE22" s="77">
        <v>33</v>
      </c>
      <c r="BF22" s="28">
        <v>110</v>
      </c>
      <c r="BG22" s="28">
        <v>14</v>
      </c>
      <c r="BH22" s="28">
        <v>35</v>
      </c>
      <c r="BI22" s="28">
        <v>8</v>
      </c>
      <c r="BJ22" s="28">
        <v>0</v>
      </c>
      <c r="BK22" s="28">
        <v>5</v>
      </c>
      <c r="BL22" s="28">
        <v>16</v>
      </c>
      <c r="BM22" s="28">
        <v>14</v>
      </c>
      <c r="BN22" s="28">
        <v>34</v>
      </c>
      <c r="BO22" s="77">
        <v>0</v>
      </c>
      <c r="BP22" s="28">
        <v>0</v>
      </c>
      <c r="BQ22" s="28">
        <v>6</v>
      </c>
      <c r="BR22" s="77">
        <v>58</v>
      </c>
      <c r="BS22" s="72">
        <v>0.92243401759530785</v>
      </c>
      <c r="BT22" s="28">
        <v>2</v>
      </c>
      <c r="BU22" s="75">
        <v>20</v>
      </c>
    </row>
    <row r="23" spans="1:73">
      <c r="A23" s="101" t="s">
        <v>804</v>
      </c>
      <c r="B23" s="71" t="s">
        <v>181</v>
      </c>
      <c r="C23" s="74" t="s">
        <v>810</v>
      </c>
      <c r="D23" s="72">
        <f>VLOOKUP(Table88[[#This Row],[NAME]],NYM_H[[NAME]:['#]],2,0)</f>
        <v>0.2231404958677686</v>
      </c>
      <c r="E23" s="72">
        <f>VLOOKUP(Table88[[#This Row],[NAME]],NYM_H[[NAME]:['#]],3,0)</f>
        <v>0.32374100719424459</v>
      </c>
      <c r="F23" s="72">
        <f>VLOOKUP(Table88[[#This Row],[NAME]],NYM_H[[NAME]:['#]],4,0)</f>
        <v>0.32231404958677684</v>
      </c>
      <c r="G23" s="77">
        <f>VLOOKUP(Table88[[#This Row],[NAME]],NYM_H[[NAME]:['#]],5,0)</f>
        <v>33</v>
      </c>
      <c r="H23" s="28">
        <f>VLOOKUP(Table88[[#This Row],[NAME]],NYM_H[[NAME]:['#]],6,0)</f>
        <v>121</v>
      </c>
      <c r="I23" s="28">
        <f>VLOOKUP(Table88[[#This Row],[NAME]],NYM_H[[NAME]:['#]],7,0)</f>
        <v>10</v>
      </c>
      <c r="J23" s="28">
        <f>VLOOKUP(Table88[[#This Row],[NAME]],NYM_H[[NAME]:['#]],8,0)</f>
        <v>27</v>
      </c>
      <c r="K23" s="28">
        <f>VLOOKUP(Table88[[#This Row],[NAME]],NYM_H[[NAME]:['#]],9,0)</f>
        <v>7</v>
      </c>
      <c r="L23" s="28">
        <f>VLOOKUP(Table88[[#This Row],[NAME]],NYM_H[[NAME]:['#]],10,0)</f>
        <v>1</v>
      </c>
      <c r="M23" s="28">
        <f>VLOOKUP(Table88[[#This Row],[NAME]],NYM_H[[NAME]:['#]],11,0)</f>
        <v>1</v>
      </c>
      <c r="N23" s="28">
        <f>VLOOKUP(Table88[[#This Row],[NAME]],NYM_H[[NAME]:['#]],12,0)</f>
        <v>10</v>
      </c>
      <c r="O23" s="28">
        <f>VLOOKUP(Table88[[#This Row],[NAME]],NYM_H[[NAME]:['#]],13,0)</f>
        <v>18</v>
      </c>
      <c r="P23" s="28">
        <f>VLOOKUP(Table88[[#This Row],[NAME]],NYM_H[[NAME]:['#]],14,0)</f>
        <v>30</v>
      </c>
      <c r="Q23" s="77">
        <f>VLOOKUP(Table88[[#This Row],[NAME]],NYM_H[[NAME]:['#]],15,0)</f>
        <v>0</v>
      </c>
      <c r="R23" s="28">
        <f>VLOOKUP(Table88[[#This Row],[NAME]],NYM_H[[NAME]:['#]],16,0)</f>
        <v>2</v>
      </c>
      <c r="S23" s="28">
        <f>VLOOKUP(Table88[[#This Row],[NAME]],NYM_H[[NAME]:['#]],17,0)</f>
        <v>4</v>
      </c>
      <c r="T23" s="77">
        <f>VLOOKUP(Table88[[#This Row],[NAME]],NYM_H[[NAME]:['#]],18,0)</f>
        <v>39</v>
      </c>
      <c r="U23" s="72">
        <f>VLOOKUP(Table88[[#This Row],[NAME]],NYM_H[[NAME]:['#]],19,0)</f>
        <v>0.64605505678102149</v>
      </c>
      <c r="V23" s="28">
        <f>VLOOKUP(Table88[[#This Row],[NAME]],NYM_H[[NAME]:['#]],20,0)</f>
        <v>3</v>
      </c>
      <c r="W23" s="75">
        <v>21</v>
      </c>
      <c r="Z23" s="101" t="s">
        <v>804</v>
      </c>
      <c r="AA23" s="77" t="s">
        <v>181</v>
      </c>
      <c r="AB23" s="77" t="s">
        <v>810</v>
      </c>
      <c r="AC23" s="130">
        <v>0.26114649681528662</v>
      </c>
      <c r="AD23" s="72">
        <v>0.33714285714285713</v>
      </c>
      <c r="AE23" s="72">
        <v>0.43312101910828027</v>
      </c>
      <c r="AF23" s="77">
        <v>39</v>
      </c>
      <c r="AG23" s="28">
        <v>157</v>
      </c>
      <c r="AH23" s="28">
        <v>23</v>
      </c>
      <c r="AI23" s="28">
        <v>41</v>
      </c>
      <c r="AJ23" s="28">
        <v>7</v>
      </c>
      <c r="AK23" s="28">
        <v>1</v>
      </c>
      <c r="AL23" s="28">
        <v>6</v>
      </c>
      <c r="AM23" s="28">
        <v>16</v>
      </c>
      <c r="AN23" s="28">
        <v>18</v>
      </c>
      <c r="AO23" s="28">
        <v>52</v>
      </c>
      <c r="AP23" s="77">
        <v>0</v>
      </c>
      <c r="AQ23" s="28">
        <v>6</v>
      </c>
      <c r="AR23" s="28">
        <v>6</v>
      </c>
      <c r="AS23" s="77">
        <v>68</v>
      </c>
      <c r="AT23" s="72">
        <v>0.77026387625113735</v>
      </c>
      <c r="AU23" s="28">
        <v>1</v>
      </c>
      <c r="AV23" s="75">
        <v>21</v>
      </c>
      <c r="AY23" s="101" t="s">
        <v>804</v>
      </c>
      <c r="AZ23" s="77" t="s">
        <v>166</v>
      </c>
      <c r="BA23" s="77" t="s">
        <v>809</v>
      </c>
      <c r="BB23" s="130">
        <v>0.26582278481012656</v>
      </c>
      <c r="BC23" s="72">
        <v>0.32163742690058478</v>
      </c>
      <c r="BD23" s="72">
        <v>0.46835443037974683</v>
      </c>
      <c r="BE23" s="77">
        <v>40</v>
      </c>
      <c r="BF23" s="28">
        <v>158</v>
      </c>
      <c r="BG23" s="28">
        <v>17</v>
      </c>
      <c r="BH23" s="28">
        <v>42</v>
      </c>
      <c r="BI23" s="28">
        <v>5</v>
      </c>
      <c r="BJ23" s="28">
        <v>0</v>
      </c>
      <c r="BK23" s="28">
        <v>9</v>
      </c>
      <c r="BL23" s="28">
        <v>21</v>
      </c>
      <c r="BM23" s="28">
        <v>13</v>
      </c>
      <c r="BN23" s="28">
        <v>53</v>
      </c>
      <c r="BO23" s="77">
        <v>0</v>
      </c>
      <c r="BP23" s="28">
        <v>1</v>
      </c>
      <c r="BQ23" s="28">
        <v>7</v>
      </c>
      <c r="BR23" s="77">
        <v>74</v>
      </c>
      <c r="BS23" s="72">
        <v>0.78999185728033161</v>
      </c>
      <c r="BT23" s="28">
        <v>1</v>
      </c>
      <c r="BU23" s="75">
        <v>21</v>
      </c>
    </row>
    <row r="24" spans="1:73">
      <c r="A24" s="101" t="s">
        <v>804</v>
      </c>
      <c r="B24" s="71" t="s">
        <v>166</v>
      </c>
      <c r="C24" s="74" t="s">
        <v>809</v>
      </c>
      <c r="D24" s="72">
        <f>VLOOKUP(Table88[[#This Row],[NAME]],NYM_H[[NAME]:['#]],2,0)</f>
        <v>0.2348993288590604</v>
      </c>
      <c r="E24" s="72">
        <f>VLOOKUP(Table88[[#This Row],[NAME]],NYM_H[[NAME]:['#]],3,0)</f>
        <v>0.31736526946107785</v>
      </c>
      <c r="F24" s="72">
        <f>VLOOKUP(Table88[[#This Row],[NAME]],NYM_H[[NAME]:['#]],4,0)</f>
        <v>0.44295302013422821</v>
      </c>
      <c r="G24" s="77">
        <f>VLOOKUP(Table88[[#This Row],[NAME]],NYM_H[[NAME]:['#]],5,0)</f>
        <v>40</v>
      </c>
      <c r="H24" s="28">
        <f>VLOOKUP(Table88[[#This Row],[NAME]],NYM_H[[NAME]:['#]],6,0)</f>
        <v>149</v>
      </c>
      <c r="I24" s="28">
        <f>VLOOKUP(Table88[[#This Row],[NAME]],NYM_H[[NAME]:['#]],7,0)</f>
        <v>21</v>
      </c>
      <c r="J24" s="28">
        <f>VLOOKUP(Table88[[#This Row],[NAME]],NYM_H[[NAME]:['#]],8,0)</f>
        <v>35</v>
      </c>
      <c r="K24" s="28">
        <f>VLOOKUP(Table88[[#This Row],[NAME]],NYM_H[[NAME]:['#]],9,0)</f>
        <v>6</v>
      </c>
      <c r="L24" s="28">
        <f>VLOOKUP(Table88[[#This Row],[NAME]],NYM_H[[NAME]:['#]],10,0)</f>
        <v>2</v>
      </c>
      <c r="M24" s="28">
        <f>VLOOKUP(Table88[[#This Row],[NAME]],NYM_H[[NAME]:['#]],11,0)</f>
        <v>7</v>
      </c>
      <c r="N24" s="28">
        <f>VLOOKUP(Table88[[#This Row],[NAME]],NYM_H[[NAME]:['#]],12,0)</f>
        <v>21</v>
      </c>
      <c r="O24" s="28">
        <f>VLOOKUP(Table88[[#This Row],[NAME]],NYM_H[[NAME]:['#]],13,0)</f>
        <v>18</v>
      </c>
      <c r="P24" s="28">
        <f>VLOOKUP(Table88[[#This Row],[NAME]],NYM_H[[NAME]:['#]],14,0)</f>
        <v>47</v>
      </c>
      <c r="Q24" s="77">
        <f>VLOOKUP(Table88[[#This Row],[NAME]],NYM_H[[NAME]:['#]],15,0)</f>
        <v>0</v>
      </c>
      <c r="R24" s="28">
        <f>VLOOKUP(Table88[[#This Row],[NAME]],NYM_H[[NAME]:['#]],16,0)</f>
        <v>0</v>
      </c>
      <c r="S24" s="28">
        <f>VLOOKUP(Table88[[#This Row],[NAME]],NYM_H[[NAME]:['#]],17,0)</f>
        <v>6</v>
      </c>
      <c r="T24" s="77">
        <f>VLOOKUP(Table88[[#This Row],[NAME]],NYM_H[[NAME]:['#]],18,0)</f>
        <v>66</v>
      </c>
      <c r="U24" s="72">
        <f>VLOOKUP(Table88[[#This Row],[NAME]],NYM_H[[NAME]:['#]],19,0)</f>
        <v>0.76031828959530601</v>
      </c>
      <c r="V24" s="28">
        <f>VLOOKUP(Table88[[#This Row],[NAME]],NYM_H[[NAME]:['#]],20,0)</f>
        <v>4</v>
      </c>
      <c r="W24" s="75">
        <v>22</v>
      </c>
      <c r="Z24" s="101" t="s">
        <v>804</v>
      </c>
      <c r="AA24" s="77" t="s">
        <v>166</v>
      </c>
      <c r="AB24" s="77" t="s">
        <v>809</v>
      </c>
      <c r="AC24" s="130">
        <v>0.28859060402684567</v>
      </c>
      <c r="AD24" s="72">
        <v>0.3575757575757576</v>
      </c>
      <c r="AE24" s="72">
        <v>0.48993288590604028</v>
      </c>
      <c r="AF24" s="77">
        <v>40</v>
      </c>
      <c r="AG24" s="28">
        <v>149</v>
      </c>
      <c r="AH24" s="28">
        <v>28</v>
      </c>
      <c r="AI24" s="28">
        <v>43</v>
      </c>
      <c r="AJ24" s="28">
        <v>7</v>
      </c>
      <c r="AK24" s="28">
        <v>1</v>
      </c>
      <c r="AL24" s="28">
        <v>7</v>
      </c>
      <c r="AM24" s="28">
        <v>21</v>
      </c>
      <c r="AN24" s="28">
        <v>16</v>
      </c>
      <c r="AO24" s="28">
        <v>42</v>
      </c>
      <c r="AP24" s="77">
        <v>0</v>
      </c>
      <c r="AQ24" s="28">
        <v>0</v>
      </c>
      <c r="AR24" s="28">
        <v>11</v>
      </c>
      <c r="AS24" s="77">
        <v>73</v>
      </c>
      <c r="AT24" s="72">
        <v>0.84750864348179789</v>
      </c>
      <c r="AU24" s="28">
        <v>5</v>
      </c>
      <c r="AV24" s="75">
        <v>22</v>
      </c>
      <c r="AY24" s="101" t="s">
        <v>804</v>
      </c>
      <c r="AZ24" s="77" t="s">
        <v>181</v>
      </c>
      <c r="BA24" s="77" t="s">
        <v>810</v>
      </c>
      <c r="BB24" s="130">
        <v>0.2288135593220339</v>
      </c>
      <c r="BC24" s="72">
        <v>0.31060606060606061</v>
      </c>
      <c r="BD24" s="72">
        <v>0.29661016949152541</v>
      </c>
      <c r="BE24" s="77">
        <v>32</v>
      </c>
      <c r="BF24" s="28">
        <v>118</v>
      </c>
      <c r="BG24" s="28">
        <v>12</v>
      </c>
      <c r="BH24" s="28">
        <v>27</v>
      </c>
      <c r="BI24" s="28">
        <v>5</v>
      </c>
      <c r="BJ24" s="28">
        <v>0</v>
      </c>
      <c r="BK24" s="28">
        <v>1</v>
      </c>
      <c r="BL24" s="28">
        <v>9</v>
      </c>
      <c r="BM24" s="28">
        <v>14</v>
      </c>
      <c r="BN24" s="28">
        <v>50</v>
      </c>
      <c r="BO24" s="77">
        <v>0</v>
      </c>
      <c r="BP24" s="28">
        <v>7</v>
      </c>
      <c r="BQ24" s="28">
        <v>7</v>
      </c>
      <c r="BR24" s="77">
        <v>35</v>
      </c>
      <c r="BS24" s="72">
        <v>0.60721623009758607</v>
      </c>
      <c r="BT24" s="28">
        <v>1</v>
      </c>
      <c r="BU24" s="75">
        <v>22</v>
      </c>
    </row>
    <row r="25" spans="1:73">
      <c r="A25" s="101" t="s">
        <v>804</v>
      </c>
      <c r="B25" s="71" t="s">
        <v>168</v>
      </c>
      <c r="C25" s="74" t="s">
        <v>807</v>
      </c>
      <c r="D25" s="72">
        <f>VLOOKUP(Table88[[#This Row],[NAME]],NYM_H[[NAME]:['#]],2,0)</f>
        <v>0.31034482758620691</v>
      </c>
      <c r="E25" s="72">
        <f>VLOOKUP(Table88[[#This Row],[NAME]],NYM_H[[NAME]:['#]],3,0)</f>
        <v>0.38650306748466257</v>
      </c>
      <c r="F25" s="72">
        <f>VLOOKUP(Table88[[#This Row],[NAME]],NYM_H[[NAME]:['#]],4,0)</f>
        <v>0.54482758620689653</v>
      </c>
      <c r="G25" s="77">
        <f>VLOOKUP(Table88[[#This Row],[NAME]],NYM_H[[NAME]:['#]],5,0)</f>
        <v>40</v>
      </c>
      <c r="H25" s="28">
        <f>VLOOKUP(Table88[[#This Row],[NAME]],NYM_H[[NAME]:['#]],6,0)</f>
        <v>145</v>
      </c>
      <c r="I25" s="28">
        <f>VLOOKUP(Table88[[#This Row],[NAME]],NYM_H[[NAME]:['#]],7,0)</f>
        <v>26</v>
      </c>
      <c r="J25" s="28">
        <f>VLOOKUP(Table88[[#This Row],[NAME]],NYM_H[[NAME]:['#]],8,0)</f>
        <v>45</v>
      </c>
      <c r="K25" s="28">
        <f>VLOOKUP(Table88[[#This Row],[NAME]],NYM_H[[NAME]:['#]],9,0)</f>
        <v>7</v>
      </c>
      <c r="L25" s="28">
        <f>VLOOKUP(Table88[[#This Row],[NAME]],NYM_H[[NAME]:['#]],10,0)</f>
        <v>0</v>
      </c>
      <c r="M25" s="28">
        <f>VLOOKUP(Table88[[#This Row],[NAME]],NYM_H[[NAME]:['#]],11,0)</f>
        <v>9</v>
      </c>
      <c r="N25" s="28">
        <f>VLOOKUP(Table88[[#This Row],[NAME]],NYM_H[[NAME]:['#]],12,0)</f>
        <v>29</v>
      </c>
      <c r="O25" s="28">
        <f>VLOOKUP(Table88[[#This Row],[NAME]],NYM_H[[NAME]:['#]],13,0)</f>
        <v>18</v>
      </c>
      <c r="P25" s="28">
        <f>VLOOKUP(Table88[[#This Row],[NAME]],NYM_H[[NAME]:['#]],14,0)</f>
        <v>29</v>
      </c>
      <c r="Q25" s="77">
        <f>VLOOKUP(Table88[[#This Row],[NAME]],NYM_H[[NAME]:['#]],15,0)</f>
        <v>0</v>
      </c>
      <c r="R25" s="28">
        <f>VLOOKUP(Table88[[#This Row],[NAME]],NYM_H[[NAME]:['#]],16,0)</f>
        <v>1</v>
      </c>
      <c r="S25" s="28">
        <f>VLOOKUP(Table88[[#This Row],[NAME]],NYM_H[[NAME]:['#]],17,0)</f>
        <v>9</v>
      </c>
      <c r="T25" s="77">
        <f>VLOOKUP(Table88[[#This Row],[NAME]],NYM_H[[NAME]:['#]],18,0)</f>
        <v>79</v>
      </c>
      <c r="U25" s="72">
        <f>VLOOKUP(Table88[[#This Row],[NAME]],NYM_H[[NAME]:['#]],19,0)</f>
        <v>0.9313306536915591</v>
      </c>
      <c r="V25" s="28">
        <f>VLOOKUP(Table88[[#This Row],[NAME]],NYM_H[[NAME]:['#]],20,0)</f>
        <v>3</v>
      </c>
      <c r="W25" s="75">
        <v>23</v>
      </c>
      <c r="Z25" s="101" t="s">
        <v>804</v>
      </c>
      <c r="AA25" s="77" t="s">
        <v>168</v>
      </c>
      <c r="AB25" s="77" t="s">
        <v>807</v>
      </c>
      <c r="AC25" s="130">
        <v>0.23026315789473684</v>
      </c>
      <c r="AD25" s="72">
        <v>0.30357142857142855</v>
      </c>
      <c r="AE25" s="72">
        <v>0.43421052631578949</v>
      </c>
      <c r="AF25" s="77">
        <v>40</v>
      </c>
      <c r="AG25" s="28">
        <v>152</v>
      </c>
      <c r="AH25" s="28">
        <v>20</v>
      </c>
      <c r="AI25" s="28">
        <v>35</v>
      </c>
      <c r="AJ25" s="28">
        <v>7</v>
      </c>
      <c r="AK25" s="28">
        <v>0</v>
      </c>
      <c r="AL25" s="28">
        <v>8</v>
      </c>
      <c r="AM25" s="28">
        <v>26</v>
      </c>
      <c r="AN25" s="28">
        <v>16</v>
      </c>
      <c r="AO25" s="28">
        <v>31</v>
      </c>
      <c r="AP25" s="77">
        <v>0</v>
      </c>
      <c r="AQ25" s="28">
        <v>0</v>
      </c>
      <c r="AR25" s="28">
        <v>9</v>
      </c>
      <c r="AS25" s="77">
        <v>66</v>
      </c>
      <c r="AT25" s="72">
        <v>0.73778195488721798</v>
      </c>
      <c r="AU25" s="28">
        <v>3</v>
      </c>
      <c r="AV25" s="75">
        <v>23</v>
      </c>
      <c r="AY25" s="101" t="s">
        <v>804</v>
      </c>
      <c r="AZ25" s="77" t="s">
        <v>168</v>
      </c>
      <c r="BA25" s="77" t="s">
        <v>807</v>
      </c>
      <c r="BB25" s="130">
        <v>0.27607361963190186</v>
      </c>
      <c r="BC25" s="72">
        <v>0.3551912568306011</v>
      </c>
      <c r="BD25" s="72">
        <v>0.52760736196319014</v>
      </c>
      <c r="BE25" s="77">
        <v>40</v>
      </c>
      <c r="BF25" s="28">
        <v>163</v>
      </c>
      <c r="BG25" s="28">
        <v>29</v>
      </c>
      <c r="BH25" s="28">
        <v>45</v>
      </c>
      <c r="BI25" s="28">
        <v>14</v>
      </c>
      <c r="BJ25" s="28">
        <v>0</v>
      </c>
      <c r="BK25" s="28">
        <v>9</v>
      </c>
      <c r="BL25" s="28">
        <v>26</v>
      </c>
      <c r="BM25" s="28">
        <v>20</v>
      </c>
      <c r="BN25" s="28">
        <v>24</v>
      </c>
      <c r="BO25" s="77">
        <v>0</v>
      </c>
      <c r="BP25" s="28">
        <v>2</v>
      </c>
      <c r="BQ25" s="28">
        <v>4</v>
      </c>
      <c r="BR25" s="77">
        <v>86</v>
      </c>
      <c r="BS25" s="72">
        <v>0.88279861879379129</v>
      </c>
      <c r="BT25" s="28">
        <v>7</v>
      </c>
      <c r="BU25" s="75">
        <v>23</v>
      </c>
    </row>
    <row r="26" spans="1:73">
      <c r="A26" s="101" t="s">
        <v>804</v>
      </c>
      <c r="B26" s="71" t="s">
        <v>179</v>
      </c>
      <c r="C26" s="74" t="s">
        <v>818</v>
      </c>
      <c r="D26" s="72">
        <f>VLOOKUP(Table88[[#This Row],[NAME]],NYM_H[[NAME]:['#]],2,0)</f>
        <v>0.2</v>
      </c>
      <c r="E26" s="72">
        <f>VLOOKUP(Table88[[#This Row],[NAME]],NYM_H[[NAME]:['#]],3,0)</f>
        <v>0.33333333333333331</v>
      </c>
      <c r="F26" s="72">
        <f>VLOOKUP(Table88[[#This Row],[NAME]],NYM_H[[NAME]:['#]],4,0)</f>
        <v>0.4</v>
      </c>
      <c r="G26" s="77">
        <f>VLOOKUP(Table88[[#This Row],[NAME]],NYM_H[[NAME]:['#]],5,0)</f>
        <v>12</v>
      </c>
      <c r="H26" s="28">
        <f>VLOOKUP(Table88[[#This Row],[NAME]],NYM_H[[NAME]:['#]],6,0)</f>
        <v>30</v>
      </c>
      <c r="I26" s="28">
        <f>VLOOKUP(Table88[[#This Row],[NAME]],NYM_H[[NAME]:['#]],7,0)</f>
        <v>6</v>
      </c>
      <c r="J26" s="28">
        <f>VLOOKUP(Table88[[#This Row],[NAME]],NYM_H[[NAME]:['#]],8,0)</f>
        <v>6</v>
      </c>
      <c r="K26" s="28">
        <f>VLOOKUP(Table88[[#This Row],[NAME]],NYM_H[[NAME]:['#]],9,0)</f>
        <v>0</v>
      </c>
      <c r="L26" s="28">
        <f>VLOOKUP(Table88[[#This Row],[NAME]],NYM_H[[NAME]:['#]],10,0)</f>
        <v>0</v>
      </c>
      <c r="M26" s="28">
        <f>VLOOKUP(Table88[[#This Row],[NAME]],NYM_H[[NAME]:['#]],11,0)</f>
        <v>2</v>
      </c>
      <c r="N26" s="28">
        <f>VLOOKUP(Table88[[#This Row],[NAME]],NYM_H[[NAME]:['#]],12,0)</f>
        <v>3</v>
      </c>
      <c r="O26" s="28">
        <f>VLOOKUP(Table88[[#This Row],[NAME]],NYM_H[[NAME]:['#]],13,0)</f>
        <v>6</v>
      </c>
      <c r="P26" s="28">
        <f>VLOOKUP(Table88[[#This Row],[NAME]],NYM_H[[NAME]:['#]],14,0)</f>
        <v>9</v>
      </c>
      <c r="Q26" s="77">
        <f>VLOOKUP(Table88[[#This Row],[NAME]],NYM_H[[NAME]:['#]],15,0)</f>
        <v>0</v>
      </c>
      <c r="R26" s="28">
        <f>VLOOKUP(Table88[[#This Row],[NAME]],NYM_H[[NAME]:['#]],16,0)</f>
        <v>5</v>
      </c>
      <c r="S26" s="28">
        <f>VLOOKUP(Table88[[#This Row],[NAME]],NYM_H[[NAME]:['#]],17,0)</f>
        <v>5</v>
      </c>
      <c r="T26" s="77">
        <f>VLOOKUP(Table88[[#This Row],[NAME]],NYM_H[[NAME]:['#]],18,0)</f>
        <v>12</v>
      </c>
      <c r="U26" s="72">
        <f>VLOOKUP(Table88[[#This Row],[NAME]],NYM_H[[NAME]:['#]],19,0)</f>
        <v>0.73333333333333339</v>
      </c>
      <c r="V26" s="28">
        <f>VLOOKUP(Table88[[#This Row],[NAME]],NYM_H[[NAME]:['#]],20,0)</f>
        <v>1</v>
      </c>
      <c r="W26" s="75">
        <v>24</v>
      </c>
      <c r="Z26" s="101" t="s">
        <v>804</v>
      </c>
      <c r="AA26" s="77" t="s">
        <v>179</v>
      </c>
      <c r="AB26" s="77" t="s">
        <v>818</v>
      </c>
      <c r="AC26" s="130">
        <v>0.4</v>
      </c>
      <c r="AD26" s="72">
        <v>0.5</v>
      </c>
      <c r="AE26" s="72">
        <v>0.5</v>
      </c>
      <c r="AF26" s="77">
        <v>6</v>
      </c>
      <c r="AG26" s="28">
        <v>10</v>
      </c>
      <c r="AH26" s="28">
        <v>3</v>
      </c>
      <c r="AI26" s="28">
        <v>4</v>
      </c>
      <c r="AJ26" s="28">
        <v>1</v>
      </c>
      <c r="AK26" s="28">
        <v>0</v>
      </c>
      <c r="AL26" s="28">
        <v>0</v>
      </c>
      <c r="AM26" s="28">
        <v>0</v>
      </c>
      <c r="AN26" s="28">
        <v>2</v>
      </c>
      <c r="AO26" s="28">
        <v>2</v>
      </c>
      <c r="AP26" s="77">
        <v>0</v>
      </c>
      <c r="AQ26" s="28">
        <v>0</v>
      </c>
      <c r="AR26" s="28">
        <v>2</v>
      </c>
      <c r="AS26" s="77">
        <v>5</v>
      </c>
      <c r="AT26" s="72">
        <v>1</v>
      </c>
      <c r="AU26" s="28">
        <v>0</v>
      </c>
      <c r="AV26" s="75">
        <v>24</v>
      </c>
      <c r="AY26" s="101" t="s">
        <v>804</v>
      </c>
      <c r="AZ26" s="77" t="s">
        <v>308</v>
      </c>
      <c r="BA26" s="77" t="s">
        <v>818</v>
      </c>
      <c r="BB26" s="130">
        <v>0</v>
      </c>
      <c r="BC26" s="72">
        <v>0</v>
      </c>
      <c r="BD26" s="72">
        <v>0</v>
      </c>
      <c r="BE26" s="77">
        <v>8</v>
      </c>
      <c r="BF26" s="28">
        <v>5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1</v>
      </c>
      <c r="BO26" s="77">
        <v>0</v>
      </c>
      <c r="BP26" s="28">
        <v>0</v>
      </c>
      <c r="BQ26" s="28">
        <v>0</v>
      </c>
      <c r="BR26" s="77">
        <v>0</v>
      </c>
      <c r="BS26" s="72">
        <v>0</v>
      </c>
      <c r="BT26" s="28">
        <v>0</v>
      </c>
      <c r="BU26" s="75">
        <v>24</v>
      </c>
    </row>
    <row r="27" spans="1:73">
      <c r="A27" s="101" t="s">
        <v>804</v>
      </c>
      <c r="B27" s="71" t="s">
        <v>187</v>
      </c>
      <c r="C27" s="74" t="s">
        <v>817</v>
      </c>
      <c r="D27" s="72">
        <f>VLOOKUP(Table88[[#This Row],[NAME]],NYM_H[[NAME]:['#]],2,0)</f>
        <v>0.21212121212121213</v>
      </c>
      <c r="E27" s="72">
        <f>VLOOKUP(Table88[[#This Row],[NAME]],NYM_H[[NAME]:['#]],3,0)</f>
        <v>0.27777777777777779</v>
      </c>
      <c r="F27" s="72">
        <f>VLOOKUP(Table88[[#This Row],[NAME]],NYM_H[[NAME]:['#]],4,0)</f>
        <v>0.30303030303030304</v>
      </c>
      <c r="G27" s="77">
        <f>VLOOKUP(Table88[[#This Row],[NAME]],NYM_H[[NAME]:['#]],5,0)</f>
        <v>12</v>
      </c>
      <c r="H27" s="28">
        <f>VLOOKUP(Table88[[#This Row],[NAME]],NYM_H[[NAME]:['#]],6,0)</f>
        <v>33</v>
      </c>
      <c r="I27" s="28">
        <f>VLOOKUP(Table88[[#This Row],[NAME]],NYM_H[[NAME]:['#]],7,0)</f>
        <v>2</v>
      </c>
      <c r="J27" s="28">
        <f>VLOOKUP(Table88[[#This Row],[NAME]],NYM_H[[NAME]:['#]],8,0)</f>
        <v>7</v>
      </c>
      <c r="K27" s="28">
        <f>VLOOKUP(Table88[[#This Row],[NAME]],NYM_H[[NAME]:['#]],9,0)</f>
        <v>0</v>
      </c>
      <c r="L27" s="28">
        <f>VLOOKUP(Table88[[#This Row],[NAME]],NYM_H[[NAME]:['#]],10,0)</f>
        <v>0</v>
      </c>
      <c r="M27" s="28">
        <f>VLOOKUP(Table88[[#This Row],[NAME]],NYM_H[[NAME]:['#]],11,0)</f>
        <v>1</v>
      </c>
      <c r="N27" s="28">
        <f>VLOOKUP(Table88[[#This Row],[NAME]],NYM_H[[NAME]:['#]],12,0)</f>
        <v>1</v>
      </c>
      <c r="O27" s="28">
        <f>VLOOKUP(Table88[[#This Row],[NAME]],NYM_H[[NAME]:['#]],13,0)</f>
        <v>3</v>
      </c>
      <c r="P27" s="28">
        <f>VLOOKUP(Table88[[#This Row],[NAME]],NYM_H[[NAME]:['#]],14,0)</f>
        <v>11</v>
      </c>
      <c r="Q27" s="77">
        <f>VLOOKUP(Table88[[#This Row],[NAME]],NYM_H[[NAME]:['#]],15,0)</f>
        <v>0</v>
      </c>
      <c r="R27" s="28">
        <f>VLOOKUP(Table88[[#This Row],[NAME]],NYM_H[[NAME]:['#]],16,0)</f>
        <v>1</v>
      </c>
      <c r="S27" s="28">
        <f>VLOOKUP(Table88[[#This Row],[NAME]],NYM_H[[NAME]:['#]],17,0)</f>
        <v>2</v>
      </c>
      <c r="T27" s="77">
        <f>VLOOKUP(Table88[[#This Row],[NAME]],NYM_H[[NAME]:['#]],18,0)</f>
        <v>10</v>
      </c>
      <c r="U27" s="72">
        <f>VLOOKUP(Table88[[#This Row],[NAME]],NYM_H[[NAME]:['#]],19,0)</f>
        <v>0.58080808080808088</v>
      </c>
      <c r="V27" s="28">
        <f>VLOOKUP(Table88[[#This Row],[NAME]],NYM_H[[NAME]:['#]],20,0)</f>
        <v>0</v>
      </c>
      <c r="W27" s="75">
        <v>25</v>
      </c>
      <c r="Z27" s="101" t="s">
        <v>804</v>
      </c>
      <c r="AA27" s="77" t="s">
        <v>187</v>
      </c>
      <c r="AB27" s="77" t="s">
        <v>817</v>
      </c>
      <c r="AC27" s="130">
        <v>0.27272727272727271</v>
      </c>
      <c r="AD27" s="72">
        <v>0.38461538461538464</v>
      </c>
      <c r="AE27" s="72">
        <v>0.63636363636363635</v>
      </c>
      <c r="AF27" s="77">
        <v>7</v>
      </c>
      <c r="AG27" s="28">
        <v>11</v>
      </c>
      <c r="AH27" s="28">
        <v>3</v>
      </c>
      <c r="AI27" s="28">
        <v>3</v>
      </c>
      <c r="AJ27" s="28">
        <v>1</v>
      </c>
      <c r="AK27" s="28">
        <v>0</v>
      </c>
      <c r="AL27" s="28">
        <v>1</v>
      </c>
      <c r="AM27" s="28">
        <v>1</v>
      </c>
      <c r="AN27" s="28">
        <v>2</v>
      </c>
      <c r="AO27" s="28">
        <v>3</v>
      </c>
      <c r="AP27" s="77">
        <v>0</v>
      </c>
      <c r="AQ27" s="28">
        <v>0</v>
      </c>
      <c r="AR27" s="28">
        <v>1</v>
      </c>
      <c r="AS27" s="77">
        <v>7</v>
      </c>
      <c r="AT27" s="72">
        <v>1.020979020979021</v>
      </c>
      <c r="AU27" s="28">
        <v>0</v>
      </c>
      <c r="AV27" s="75">
        <v>25</v>
      </c>
      <c r="AY27" s="101" t="s">
        <v>804</v>
      </c>
      <c r="AZ27" s="77" t="s">
        <v>192</v>
      </c>
      <c r="BA27" s="77" t="s">
        <v>817</v>
      </c>
      <c r="BB27" s="130">
        <v>0.14285714285714285</v>
      </c>
      <c r="BC27" s="72">
        <v>0.14285714285714285</v>
      </c>
      <c r="BD27" s="72">
        <v>0.14285714285714285</v>
      </c>
      <c r="BE27" s="77">
        <v>7</v>
      </c>
      <c r="BF27" s="28">
        <v>7</v>
      </c>
      <c r="BG27" s="28">
        <v>0</v>
      </c>
      <c r="BH27" s="28">
        <v>1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1</v>
      </c>
      <c r="BO27" s="77">
        <v>0</v>
      </c>
      <c r="BP27" s="28">
        <v>0</v>
      </c>
      <c r="BQ27" s="28">
        <v>1</v>
      </c>
      <c r="BR27" s="77">
        <v>1</v>
      </c>
      <c r="BS27" s="72">
        <v>0.2857142857142857</v>
      </c>
      <c r="BT27" s="28">
        <v>0</v>
      </c>
      <c r="BU27" s="75">
        <v>25</v>
      </c>
    </row>
    <row r="28" spans="1:73">
      <c r="A28" s="101" t="s">
        <v>804</v>
      </c>
      <c r="B28" s="71" t="s">
        <v>192</v>
      </c>
      <c r="C28" s="74" t="s">
        <v>819</v>
      </c>
      <c r="D28" s="72">
        <f>VLOOKUP(Table88[[#This Row],[NAME]],NYM_H[[NAME]:['#]],2,0)</f>
        <v>0.14285714285714285</v>
      </c>
      <c r="E28" s="72">
        <f>VLOOKUP(Table88[[#This Row],[NAME]],NYM_H[[NAME]:['#]],3,0)</f>
        <v>0.30769230769230771</v>
      </c>
      <c r="F28" s="72">
        <f>VLOOKUP(Table88[[#This Row],[NAME]],NYM_H[[NAME]:['#]],4,0)</f>
        <v>0.14285714285714285</v>
      </c>
      <c r="G28" s="77">
        <f>VLOOKUP(Table88[[#This Row],[NAME]],NYM_H[[NAME]:['#]],5,0)</f>
        <v>8</v>
      </c>
      <c r="H28" s="28">
        <f>VLOOKUP(Table88[[#This Row],[NAME]],NYM_H[[NAME]:['#]],6,0)</f>
        <v>21</v>
      </c>
      <c r="I28" s="28">
        <f>VLOOKUP(Table88[[#This Row],[NAME]],NYM_H[[NAME]:['#]],7,0)</f>
        <v>1</v>
      </c>
      <c r="J28" s="28">
        <f>VLOOKUP(Table88[[#This Row],[NAME]],NYM_H[[NAME]:['#]],8,0)</f>
        <v>3</v>
      </c>
      <c r="K28" s="28">
        <f>VLOOKUP(Table88[[#This Row],[NAME]],NYM_H[[NAME]:['#]],9,0)</f>
        <v>0</v>
      </c>
      <c r="L28" s="28">
        <f>VLOOKUP(Table88[[#This Row],[NAME]],NYM_H[[NAME]:['#]],10,0)</f>
        <v>0</v>
      </c>
      <c r="M28" s="28">
        <f>VLOOKUP(Table88[[#This Row],[NAME]],NYM_H[[NAME]:['#]],11,0)</f>
        <v>0</v>
      </c>
      <c r="N28" s="28">
        <f>VLOOKUP(Table88[[#This Row],[NAME]],NYM_H[[NAME]:['#]],12,0)</f>
        <v>1</v>
      </c>
      <c r="O28" s="28">
        <f>VLOOKUP(Table88[[#This Row],[NAME]],NYM_H[[NAME]:['#]],13,0)</f>
        <v>5</v>
      </c>
      <c r="P28" s="28">
        <f>VLOOKUP(Table88[[#This Row],[NAME]],NYM_H[[NAME]:['#]],14,0)</f>
        <v>8</v>
      </c>
      <c r="Q28" s="77">
        <f>VLOOKUP(Table88[[#This Row],[NAME]],NYM_H[[NAME]:['#]],15,0)</f>
        <v>0</v>
      </c>
      <c r="R28" s="28">
        <f>VLOOKUP(Table88[[#This Row],[NAME]],NYM_H[[NAME]:['#]],16,0)</f>
        <v>3</v>
      </c>
      <c r="S28" s="28">
        <f>VLOOKUP(Table88[[#This Row],[NAME]],NYM_H[[NAME]:['#]],17,0)</f>
        <v>3</v>
      </c>
      <c r="T28" s="77">
        <f>VLOOKUP(Table88[[#This Row],[NAME]],NYM_H[[NAME]:['#]],18,0)</f>
        <v>3</v>
      </c>
      <c r="U28" s="72">
        <f>VLOOKUP(Table88[[#This Row],[NAME]],NYM_H[[NAME]:['#]],19,0)</f>
        <v>0.45054945054945056</v>
      </c>
      <c r="V28" s="28">
        <f>VLOOKUP(Table88[[#This Row],[NAME]],NYM_H[[NAME]:['#]],20,0)</f>
        <v>0</v>
      </c>
      <c r="W28" s="75">
        <v>26</v>
      </c>
      <c r="Z28" s="101" t="s">
        <v>804</v>
      </c>
      <c r="AA28" s="77" t="s">
        <v>187</v>
      </c>
      <c r="AB28" s="77" t="s">
        <v>815</v>
      </c>
      <c r="AC28" s="130">
        <v>0.25</v>
      </c>
      <c r="AD28" s="72">
        <v>0.25</v>
      </c>
      <c r="AE28" s="72">
        <v>0.4375</v>
      </c>
      <c r="AF28" s="77">
        <v>6</v>
      </c>
      <c r="AG28" s="28">
        <v>16</v>
      </c>
      <c r="AH28" s="28">
        <v>2</v>
      </c>
      <c r="AI28" s="28">
        <v>4</v>
      </c>
      <c r="AJ28" s="28">
        <v>0</v>
      </c>
      <c r="AK28" s="28">
        <v>0</v>
      </c>
      <c r="AL28" s="28">
        <v>1</v>
      </c>
      <c r="AM28" s="28">
        <v>3</v>
      </c>
      <c r="AN28" s="28">
        <v>0</v>
      </c>
      <c r="AO28" s="28">
        <v>6</v>
      </c>
      <c r="AP28" s="77">
        <v>0</v>
      </c>
      <c r="AQ28" s="28">
        <v>0</v>
      </c>
      <c r="AR28" s="28">
        <v>3</v>
      </c>
      <c r="AS28" s="77">
        <v>7</v>
      </c>
      <c r="AT28" s="72">
        <v>0.6875</v>
      </c>
      <c r="AU28" s="28">
        <v>1</v>
      </c>
      <c r="AV28" s="75">
        <v>26</v>
      </c>
      <c r="AY28" s="101" t="s">
        <v>804</v>
      </c>
      <c r="AZ28" s="77" t="s">
        <v>187</v>
      </c>
      <c r="BA28" s="77" t="s">
        <v>815</v>
      </c>
      <c r="BB28" s="130">
        <v>0.32608695652173914</v>
      </c>
      <c r="BC28" s="72">
        <v>0.34042553191489361</v>
      </c>
      <c r="BD28" s="72">
        <v>0.43478260869565216</v>
      </c>
      <c r="BE28" s="77">
        <v>17</v>
      </c>
      <c r="BF28" s="28">
        <v>46</v>
      </c>
      <c r="BG28" s="28">
        <v>3</v>
      </c>
      <c r="BH28" s="28">
        <v>15</v>
      </c>
      <c r="BI28" s="28">
        <v>2</v>
      </c>
      <c r="BJ28" s="28">
        <v>0</v>
      </c>
      <c r="BK28" s="28">
        <v>1</v>
      </c>
      <c r="BL28" s="28">
        <v>6</v>
      </c>
      <c r="BM28" s="28">
        <v>1</v>
      </c>
      <c r="BN28" s="28">
        <v>21</v>
      </c>
      <c r="BO28" s="77">
        <v>0</v>
      </c>
      <c r="BP28" s="28">
        <v>0</v>
      </c>
      <c r="BQ28" s="28">
        <v>5</v>
      </c>
      <c r="BR28" s="77">
        <v>20</v>
      </c>
      <c r="BS28" s="72">
        <v>0.77520814061054577</v>
      </c>
      <c r="BT28" s="28">
        <v>1</v>
      </c>
      <c r="BU28" s="75">
        <v>26</v>
      </c>
    </row>
    <row r="29" spans="1:73">
      <c r="A29" s="101" t="s">
        <v>804</v>
      </c>
      <c r="B29" s="71" t="s">
        <v>186</v>
      </c>
      <c r="C29" s="74" t="s">
        <v>812</v>
      </c>
      <c r="D29" s="72">
        <f>VLOOKUP(Table88[[#This Row],[NAME]],NYM_H[[NAME]:['#]],2,0)</f>
        <v>0.18055555555555555</v>
      </c>
      <c r="E29" s="72">
        <f>VLOOKUP(Table88[[#This Row],[NAME]],NYM_H[[NAME]:['#]],3,0)</f>
        <v>0.30588235294117649</v>
      </c>
      <c r="F29" s="72">
        <f>VLOOKUP(Table88[[#This Row],[NAME]],NYM_H[[NAME]:['#]],4,0)</f>
        <v>0.33333333333333331</v>
      </c>
      <c r="G29" s="77">
        <f>VLOOKUP(Table88[[#This Row],[NAME]],NYM_H[[NAME]:['#]],5,0)</f>
        <v>20</v>
      </c>
      <c r="H29" s="28">
        <f>VLOOKUP(Table88[[#This Row],[NAME]],NYM_H[[NAME]:['#]],6,0)</f>
        <v>72</v>
      </c>
      <c r="I29" s="28">
        <f>VLOOKUP(Table88[[#This Row],[NAME]],NYM_H[[NAME]:['#]],7,0)</f>
        <v>7</v>
      </c>
      <c r="J29" s="28">
        <f>VLOOKUP(Table88[[#This Row],[NAME]],NYM_H[[NAME]:['#]],8,0)</f>
        <v>13</v>
      </c>
      <c r="K29" s="28">
        <f>VLOOKUP(Table88[[#This Row],[NAME]],NYM_H[[NAME]:['#]],9,0)</f>
        <v>5</v>
      </c>
      <c r="L29" s="28">
        <f>VLOOKUP(Table88[[#This Row],[NAME]],NYM_H[[NAME]:['#]],10,0)</f>
        <v>0</v>
      </c>
      <c r="M29" s="28">
        <f>VLOOKUP(Table88[[#This Row],[NAME]],NYM_H[[NAME]:['#]],11,0)</f>
        <v>2</v>
      </c>
      <c r="N29" s="28">
        <f>VLOOKUP(Table88[[#This Row],[NAME]],NYM_H[[NAME]:['#]],12,0)</f>
        <v>10</v>
      </c>
      <c r="O29" s="28">
        <f>VLOOKUP(Table88[[#This Row],[NAME]],NYM_H[[NAME]:['#]],13,0)</f>
        <v>13</v>
      </c>
      <c r="P29" s="28">
        <f>VLOOKUP(Table88[[#This Row],[NAME]],NYM_H[[NAME]:['#]],14,0)</f>
        <v>23</v>
      </c>
      <c r="Q29" s="77">
        <f>VLOOKUP(Table88[[#This Row],[NAME]],NYM_H[[NAME]:['#]],15,0)</f>
        <v>0</v>
      </c>
      <c r="R29" s="28">
        <f>VLOOKUP(Table88[[#This Row],[NAME]],NYM_H[[NAME]:['#]],16,0)</f>
        <v>1</v>
      </c>
      <c r="S29" s="28">
        <f>VLOOKUP(Table88[[#This Row],[NAME]],NYM_H[[NAME]:['#]],17,0)</f>
        <v>3</v>
      </c>
      <c r="T29" s="77">
        <f>VLOOKUP(Table88[[#This Row],[NAME]],NYM_H[[NAME]:['#]],18,0)</f>
        <v>24</v>
      </c>
      <c r="U29" s="72">
        <f>VLOOKUP(Table88[[#This Row],[NAME]],NYM_H[[NAME]:['#]],19,0)</f>
        <v>0.63921568627450975</v>
      </c>
      <c r="V29" s="28">
        <f>VLOOKUP(Table88[[#This Row],[NAME]],NYM_H[[NAME]:['#]],20,0)</f>
        <v>1</v>
      </c>
      <c r="W29" s="75">
        <v>27</v>
      </c>
      <c r="Z29" s="101" t="s">
        <v>804</v>
      </c>
      <c r="AA29" s="77" t="s">
        <v>186</v>
      </c>
      <c r="AB29" s="77" t="s">
        <v>814</v>
      </c>
      <c r="AC29" s="130">
        <v>0.2857142857142857</v>
      </c>
      <c r="AD29" s="72">
        <v>0.2857142857142857</v>
      </c>
      <c r="AE29" s="72">
        <v>0.33333333333333331</v>
      </c>
      <c r="AF29" s="77">
        <v>8</v>
      </c>
      <c r="AG29" s="28">
        <v>21</v>
      </c>
      <c r="AH29" s="28">
        <v>3</v>
      </c>
      <c r="AI29" s="28">
        <v>6</v>
      </c>
      <c r="AJ29" s="28">
        <v>1</v>
      </c>
      <c r="AK29" s="28">
        <v>0</v>
      </c>
      <c r="AL29" s="28">
        <v>0</v>
      </c>
      <c r="AM29" s="28">
        <v>1</v>
      </c>
      <c r="AN29" s="28">
        <v>0</v>
      </c>
      <c r="AO29" s="28">
        <v>4</v>
      </c>
      <c r="AP29" s="77">
        <v>0</v>
      </c>
      <c r="AQ29" s="28">
        <v>2</v>
      </c>
      <c r="AR29" s="28">
        <v>3</v>
      </c>
      <c r="AS29" s="77">
        <v>7</v>
      </c>
      <c r="AT29" s="72">
        <v>0.61904761904761907</v>
      </c>
      <c r="AU29" s="28">
        <v>0</v>
      </c>
      <c r="AV29" s="75">
        <v>27</v>
      </c>
      <c r="AY29" s="101" t="s">
        <v>804</v>
      </c>
      <c r="AZ29" s="77" t="s">
        <v>186</v>
      </c>
      <c r="BA29" s="77" t="s">
        <v>814</v>
      </c>
      <c r="BB29" s="130">
        <v>0.23076923076923078</v>
      </c>
      <c r="BC29" s="72">
        <v>0.2857142857142857</v>
      </c>
      <c r="BD29" s="72">
        <v>0.38461538461538464</v>
      </c>
      <c r="BE29" s="77">
        <v>10</v>
      </c>
      <c r="BF29" s="28">
        <v>26</v>
      </c>
      <c r="BG29" s="28">
        <v>2</v>
      </c>
      <c r="BH29" s="28">
        <v>6</v>
      </c>
      <c r="BI29" s="28">
        <v>1</v>
      </c>
      <c r="BJ29" s="28">
        <v>0</v>
      </c>
      <c r="BK29" s="28">
        <v>1</v>
      </c>
      <c r="BL29" s="28">
        <v>2</v>
      </c>
      <c r="BM29" s="28">
        <v>2</v>
      </c>
      <c r="BN29" s="28">
        <v>8</v>
      </c>
      <c r="BO29" s="77">
        <v>0</v>
      </c>
      <c r="BP29" s="28">
        <v>0</v>
      </c>
      <c r="BQ29" s="28">
        <v>3</v>
      </c>
      <c r="BR29" s="77">
        <v>10</v>
      </c>
      <c r="BS29" s="72">
        <v>0.67032967032967039</v>
      </c>
      <c r="BT29" s="28">
        <v>0</v>
      </c>
      <c r="BU29" s="75">
        <v>27</v>
      </c>
    </row>
    <row r="30" spans="1:73">
      <c r="A30" s="101" t="s">
        <v>804</v>
      </c>
      <c r="B30" s="71" t="s">
        <v>186</v>
      </c>
      <c r="C30" s="77" t="s">
        <v>816</v>
      </c>
      <c r="D30" s="72">
        <f>VLOOKUP(Table88[[#This Row],[NAME]],NYM_H[[NAME]:['#]],2,0)</f>
        <v>0.22916666666666666</v>
      </c>
      <c r="E30" s="72">
        <f>VLOOKUP(Table88[[#This Row],[NAME]],NYM_H[[NAME]:['#]],3,0)</f>
        <v>0.32727272727272727</v>
      </c>
      <c r="F30" s="72">
        <f>VLOOKUP(Table88[[#This Row],[NAME]],NYM_H[[NAME]:['#]],4,0)</f>
        <v>0.29166666666666669</v>
      </c>
      <c r="G30" s="77">
        <f>VLOOKUP(Table88[[#This Row],[NAME]],NYM_H[[NAME]:['#]],5,0)</f>
        <v>17</v>
      </c>
      <c r="H30" s="28">
        <f>VLOOKUP(Table88[[#This Row],[NAME]],NYM_H[[NAME]:['#]],6,0)</f>
        <v>48</v>
      </c>
      <c r="I30" s="28">
        <f>VLOOKUP(Table88[[#This Row],[NAME]],NYM_H[[NAME]:['#]],7,0)</f>
        <v>3</v>
      </c>
      <c r="J30" s="28">
        <f>VLOOKUP(Table88[[#This Row],[NAME]],NYM_H[[NAME]:['#]],8,0)</f>
        <v>11</v>
      </c>
      <c r="K30" s="28">
        <f>VLOOKUP(Table88[[#This Row],[NAME]],NYM_H[[NAME]:['#]],9,0)</f>
        <v>0</v>
      </c>
      <c r="L30" s="28">
        <f>VLOOKUP(Table88[[#This Row],[NAME]],NYM_H[[NAME]:['#]],10,0)</f>
        <v>0</v>
      </c>
      <c r="M30" s="28">
        <f>VLOOKUP(Table88[[#This Row],[NAME]],NYM_H[[NAME]:['#]],11,0)</f>
        <v>1</v>
      </c>
      <c r="N30" s="28">
        <f>VLOOKUP(Table88[[#This Row],[NAME]],NYM_H[[NAME]:['#]],12,0)</f>
        <v>6</v>
      </c>
      <c r="O30" s="28">
        <f>VLOOKUP(Table88[[#This Row],[NAME]],NYM_H[[NAME]:['#]],13,0)</f>
        <v>7</v>
      </c>
      <c r="P30" s="28">
        <f>VLOOKUP(Table88[[#This Row],[NAME]],NYM_H[[NAME]:['#]],14,0)</f>
        <v>18</v>
      </c>
      <c r="Q30" s="77">
        <f>VLOOKUP(Table88[[#This Row],[NAME]],NYM_H[[NAME]:['#]],15,0)</f>
        <v>0</v>
      </c>
      <c r="R30" s="28">
        <f>VLOOKUP(Table88[[#This Row],[NAME]],NYM_H[[NAME]:['#]],16,0)</f>
        <v>1</v>
      </c>
      <c r="S30" s="28">
        <f>VLOOKUP(Table88[[#This Row],[NAME]],NYM_H[[NAME]:['#]],17,0)</f>
        <v>3</v>
      </c>
      <c r="T30" s="77">
        <f>VLOOKUP(Table88[[#This Row],[NAME]],NYM_H[[NAME]:['#]],18,0)</f>
        <v>14</v>
      </c>
      <c r="U30" s="72">
        <f>VLOOKUP(Table88[[#This Row],[NAME]],NYM_H[[NAME]:['#]],19,0)</f>
        <v>0.6189393939393939</v>
      </c>
      <c r="V30" s="28">
        <f>VLOOKUP(Table88[[#This Row],[NAME]],NYM_H[[NAME]:['#]],20,0)</f>
        <v>2</v>
      </c>
      <c r="W30" s="75">
        <v>28</v>
      </c>
      <c r="Z30" s="101" t="s">
        <v>804</v>
      </c>
      <c r="AA30" s="77" t="s">
        <v>186</v>
      </c>
      <c r="AB30" s="77" t="s">
        <v>816</v>
      </c>
      <c r="AC30" s="130">
        <v>0.23809523809523808</v>
      </c>
      <c r="AD30" s="72">
        <v>0.23809523809523808</v>
      </c>
      <c r="AE30" s="72">
        <v>0.2857142857142857</v>
      </c>
      <c r="AF30" s="77">
        <v>8</v>
      </c>
      <c r="AG30" s="28">
        <v>21</v>
      </c>
      <c r="AH30" s="28">
        <v>2</v>
      </c>
      <c r="AI30" s="28">
        <v>5</v>
      </c>
      <c r="AJ30" s="28">
        <v>1</v>
      </c>
      <c r="AK30" s="28">
        <v>0</v>
      </c>
      <c r="AL30" s="28">
        <v>0</v>
      </c>
      <c r="AM30" s="28">
        <v>2</v>
      </c>
      <c r="AN30" s="28">
        <v>0</v>
      </c>
      <c r="AO30" s="28">
        <v>3</v>
      </c>
      <c r="AP30" s="77">
        <v>0</v>
      </c>
      <c r="AQ30" s="28">
        <v>4</v>
      </c>
      <c r="AR30" s="28">
        <v>4</v>
      </c>
      <c r="AS30" s="77">
        <v>6</v>
      </c>
      <c r="AT30" s="72">
        <v>0.52380952380952372</v>
      </c>
      <c r="AU30" s="28">
        <v>0</v>
      </c>
      <c r="AV30" s="75">
        <v>28</v>
      </c>
      <c r="AY30" s="101" t="s">
        <v>804</v>
      </c>
      <c r="AZ30" s="77" t="s">
        <v>186</v>
      </c>
      <c r="BA30" s="77" t="s">
        <v>816</v>
      </c>
      <c r="BB30" s="130">
        <v>0.23529411764705882</v>
      </c>
      <c r="BC30" s="72">
        <v>0.36585365853658536</v>
      </c>
      <c r="BD30" s="72">
        <v>0.3235294117647059</v>
      </c>
      <c r="BE30" s="77">
        <v>15</v>
      </c>
      <c r="BF30" s="28">
        <v>34</v>
      </c>
      <c r="BG30" s="28">
        <v>4</v>
      </c>
      <c r="BH30" s="28">
        <v>8</v>
      </c>
      <c r="BI30" s="28">
        <v>0</v>
      </c>
      <c r="BJ30" s="28">
        <v>0</v>
      </c>
      <c r="BK30" s="28">
        <v>1</v>
      </c>
      <c r="BL30" s="28">
        <v>3</v>
      </c>
      <c r="BM30" s="28">
        <v>7</v>
      </c>
      <c r="BN30" s="28">
        <v>11</v>
      </c>
      <c r="BO30" s="77">
        <v>0</v>
      </c>
      <c r="BP30" s="28">
        <v>0</v>
      </c>
      <c r="BQ30" s="28">
        <v>4</v>
      </c>
      <c r="BR30" s="77">
        <v>11</v>
      </c>
      <c r="BS30" s="72">
        <v>0.68938307030129131</v>
      </c>
      <c r="BT30" s="28">
        <v>1</v>
      </c>
      <c r="BU30" s="75">
        <v>28</v>
      </c>
    </row>
    <row r="31" spans="1:73">
      <c r="A31" s="101" t="s">
        <v>835</v>
      </c>
      <c r="B31" s="71" t="s">
        <v>179</v>
      </c>
      <c r="C31" s="28" t="s">
        <v>846</v>
      </c>
      <c r="D31" s="72">
        <f>VLOOKUP(Table88[[#This Row],[NAME]],ATL_H[[NAME]:['#]],2,0)</f>
        <v>0.3253012048192771</v>
      </c>
      <c r="E31" s="72">
        <f>VLOOKUP(Table88[[#This Row],[NAME]],ATL_H[[NAME]:['#]],3,0)</f>
        <v>0.37777777777777777</v>
      </c>
      <c r="F31" s="72">
        <f>VLOOKUP(Table88[[#This Row],[NAME]],ATL_H[[NAME]:['#]],4,0)</f>
        <v>0.54216867469879515</v>
      </c>
      <c r="G31" s="77">
        <f>VLOOKUP(Table88[[#This Row],[NAME]],ATL_H[[NAME]:['#]],5,0)</f>
        <v>24</v>
      </c>
      <c r="H31" s="28">
        <f>VLOOKUP(Table88[[#This Row],[NAME]],ATL_H[[NAME]:['#]],6,0)</f>
        <v>83</v>
      </c>
      <c r="I31" s="28">
        <f>VLOOKUP(Table88[[#This Row],[NAME]],ATL_H[[NAME]:['#]],7,0)</f>
        <v>14</v>
      </c>
      <c r="J31" s="28">
        <f>VLOOKUP(Table88[[#This Row],[NAME]],ATL_H[[NAME]:['#]],8,0)</f>
        <v>27</v>
      </c>
      <c r="K31" s="28">
        <f>VLOOKUP(Table88[[#This Row],[NAME]],ATL_H[[NAME]:['#]],9,0)</f>
        <v>3</v>
      </c>
      <c r="L31" s="28">
        <f>VLOOKUP(Table88[[#This Row],[NAME]],ATL_H[[NAME]:['#]],10,0)</f>
        <v>0</v>
      </c>
      <c r="M31" s="28">
        <f>VLOOKUP(Table88[[#This Row],[NAME]],ATL_H[[NAME]:['#]],11,0)</f>
        <v>5</v>
      </c>
      <c r="N31" s="28">
        <f>VLOOKUP(Table88[[#This Row],[NAME]],ATL_H[[NAME]:['#]],12,0)</f>
        <v>17</v>
      </c>
      <c r="O31" s="28">
        <f>VLOOKUP(Table88[[#This Row],[NAME]],ATL_H[[NAME]:['#]],13,0)</f>
        <v>7</v>
      </c>
      <c r="P31" s="28">
        <f>VLOOKUP(Table88[[#This Row],[NAME]],ATL_H[[NAME]:['#]],14,0)</f>
        <v>12</v>
      </c>
      <c r="Q31" s="77">
        <f>VLOOKUP(Table88[[#This Row],[NAME]],ATL_H[[NAME]:['#]],15,0)</f>
        <v>0</v>
      </c>
      <c r="R31" s="28">
        <f>VLOOKUP(Table88[[#This Row],[NAME]],ATL_H[[NAME]:['#]],16,0)</f>
        <v>0</v>
      </c>
      <c r="S31" s="28">
        <f>VLOOKUP(Table88[[#This Row],[NAME]],ATL_H[[NAME]:['#]],17,0)</f>
        <v>7</v>
      </c>
      <c r="T31" s="77">
        <f>VLOOKUP(Table88[[#This Row],[NAME]],ATL_H[[NAME]:['#]],18,0)</f>
        <v>45</v>
      </c>
      <c r="U31" s="72">
        <f>VLOOKUP(Table88[[#This Row],[NAME]],ATL_H[[NAME]:['#]],19,0)</f>
        <v>0.91994645247657292</v>
      </c>
      <c r="V31" s="28">
        <f>VLOOKUP(Table88[[#This Row],[NAME]],ATL_H[[NAME]:['#]],20,0)</f>
        <v>1</v>
      </c>
      <c r="W31" s="75">
        <v>29</v>
      </c>
      <c r="Z31" s="101" t="s">
        <v>835</v>
      </c>
      <c r="AA31" s="352" t="s">
        <v>179</v>
      </c>
      <c r="AB31" s="77" t="s">
        <v>842</v>
      </c>
      <c r="AC31" s="130">
        <v>0.25190839694656486</v>
      </c>
      <c r="AD31" s="72">
        <v>0.32413793103448274</v>
      </c>
      <c r="AE31" s="72">
        <v>0.56488549618320616</v>
      </c>
      <c r="AF31" s="77">
        <v>36</v>
      </c>
      <c r="AG31" s="28">
        <v>131</v>
      </c>
      <c r="AH31" s="28">
        <v>20</v>
      </c>
      <c r="AI31" s="28">
        <v>33</v>
      </c>
      <c r="AJ31" s="28">
        <v>5</v>
      </c>
      <c r="AK31" s="28">
        <v>0</v>
      </c>
      <c r="AL31" s="28">
        <v>12</v>
      </c>
      <c r="AM31" s="28">
        <v>25</v>
      </c>
      <c r="AN31" s="28">
        <v>14</v>
      </c>
      <c r="AO31" s="28">
        <v>46</v>
      </c>
      <c r="AP31" s="77">
        <v>0</v>
      </c>
      <c r="AQ31" s="28">
        <v>2</v>
      </c>
      <c r="AR31" s="28">
        <v>6</v>
      </c>
      <c r="AS31" s="77">
        <v>74</v>
      </c>
      <c r="AT31" s="72">
        <v>0.8890234272176889</v>
      </c>
      <c r="AU31" s="28">
        <v>3</v>
      </c>
      <c r="AV31" s="75">
        <v>29</v>
      </c>
      <c r="AY31" s="101" t="s">
        <v>835</v>
      </c>
      <c r="AZ31" s="77" t="s">
        <v>308</v>
      </c>
      <c r="BA31" s="77" t="s">
        <v>842</v>
      </c>
      <c r="BB31" s="130">
        <v>0.23287671232876711</v>
      </c>
      <c r="BC31" s="72">
        <v>0.3253012048192771</v>
      </c>
      <c r="BD31" s="72">
        <v>0.34246575342465752</v>
      </c>
      <c r="BE31" s="77">
        <v>26</v>
      </c>
      <c r="BF31" s="28">
        <v>73</v>
      </c>
      <c r="BG31" s="28">
        <v>7</v>
      </c>
      <c r="BH31" s="28">
        <v>17</v>
      </c>
      <c r="BI31" s="28">
        <v>2</v>
      </c>
      <c r="BJ31" s="28">
        <v>0</v>
      </c>
      <c r="BK31" s="28">
        <v>2</v>
      </c>
      <c r="BL31" s="28">
        <v>6</v>
      </c>
      <c r="BM31" s="28">
        <v>10</v>
      </c>
      <c r="BN31" s="28">
        <v>20</v>
      </c>
      <c r="BO31" s="77">
        <v>0</v>
      </c>
      <c r="BP31" s="28">
        <v>0</v>
      </c>
      <c r="BQ31" s="28">
        <v>5</v>
      </c>
      <c r="BR31" s="77">
        <v>25</v>
      </c>
      <c r="BS31" s="72">
        <v>0.66776695824393462</v>
      </c>
      <c r="BT31" s="28">
        <v>0</v>
      </c>
      <c r="BU31" s="75">
        <v>29</v>
      </c>
    </row>
    <row r="32" spans="1:73">
      <c r="A32" s="101" t="s">
        <v>835</v>
      </c>
      <c r="B32" s="71" t="s">
        <v>154</v>
      </c>
      <c r="C32" s="74" t="s">
        <v>836</v>
      </c>
      <c r="D32" s="72">
        <f>VLOOKUP(Table88[[#This Row],[NAME]],ATL_H[[NAME]:['#]],2,0)</f>
        <v>0.32317073170731708</v>
      </c>
      <c r="E32" s="72">
        <f>VLOOKUP(Table88[[#This Row],[NAME]],ATL_H[[NAME]:['#]],3,0)</f>
        <v>0.37988826815642457</v>
      </c>
      <c r="F32" s="72">
        <f>VLOOKUP(Table88[[#This Row],[NAME]],ATL_H[[NAME]:['#]],4,0)</f>
        <v>0.51219512195121952</v>
      </c>
      <c r="G32" s="77">
        <f>VLOOKUP(Table88[[#This Row],[NAME]],ATL_H[[NAME]:['#]],5,0)</f>
        <v>40</v>
      </c>
      <c r="H32" s="28">
        <f>VLOOKUP(Table88[[#This Row],[NAME]],ATL_H[[NAME]:['#]],6,0)</f>
        <v>164</v>
      </c>
      <c r="I32" s="28">
        <f>VLOOKUP(Table88[[#This Row],[NAME]],ATL_H[[NAME]:['#]],7,0)</f>
        <v>24</v>
      </c>
      <c r="J32" s="28">
        <f>VLOOKUP(Table88[[#This Row],[NAME]],ATL_H[[NAME]:['#]],8,0)</f>
        <v>53</v>
      </c>
      <c r="K32" s="28">
        <f>VLOOKUP(Table88[[#This Row],[NAME]],ATL_H[[NAME]:['#]],9,0)</f>
        <v>10</v>
      </c>
      <c r="L32" s="28">
        <f>VLOOKUP(Table88[[#This Row],[NAME]],ATL_H[[NAME]:['#]],10,0)</f>
        <v>0</v>
      </c>
      <c r="M32" s="28">
        <f>VLOOKUP(Table88[[#This Row],[NAME]],ATL_H[[NAME]:['#]],11,0)</f>
        <v>7</v>
      </c>
      <c r="N32" s="28">
        <f>VLOOKUP(Table88[[#This Row],[NAME]],ATL_H[[NAME]:['#]],12,0)</f>
        <v>26</v>
      </c>
      <c r="O32" s="28">
        <f>VLOOKUP(Table88[[#This Row],[NAME]],ATL_H[[NAME]:['#]],13,0)</f>
        <v>15</v>
      </c>
      <c r="P32" s="28">
        <f>VLOOKUP(Table88[[#This Row],[NAME]],ATL_H[[NAME]:['#]],14,0)</f>
        <v>34</v>
      </c>
      <c r="Q32" s="77">
        <f>VLOOKUP(Table88[[#This Row],[NAME]],ATL_H[[NAME]:['#]],15,0)</f>
        <v>0</v>
      </c>
      <c r="R32" s="28">
        <f>VLOOKUP(Table88[[#This Row],[NAME]],ATL_H[[NAME]:['#]],16,0)</f>
        <v>1</v>
      </c>
      <c r="S32" s="28">
        <f>VLOOKUP(Table88[[#This Row],[NAME]],ATL_H[[NAME]:['#]],17,0)</f>
        <v>10</v>
      </c>
      <c r="T32" s="77">
        <f>VLOOKUP(Table88[[#This Row],[NAME]],ATL_H[[NAME]:['#]],18,0)</f>
        <v>84</v>
      </c>
      <c r="U32" s="72">
        <f>VLOOKUP(Table88[[#This Row],[NAME]],ATL_H[[NAME]:['#]],19,0)</f>
        <v>0.89208339010764415</v>
      </c>
      <c r="V32" s="28">
        <f>VLOOKUP(Table88[[#This Row],[NAME]],ATL_H[[NAME]:['#]],20,0)</f>
        <v>4</v>
      </c>
      <c r="W32" s="75">
        <v>30</v>
      </c>
      <c r="Z32" s="101" t="s">
        <v>835</v>
      </c>
      <c r="AA32" s="77" t="s">
        <v>154</v>
      </c>
      <c r="AB32" s="77" t="s">
        <v>836</v>
      </c>
      <c r="AC32" s="130">
        <v>0.29518072289156627</v>
      </c>
      <c r="AD32" s="72">
        <v>0.35714285714285715</v>
      </c>
      <c r="AE32" s="72">
        <v>0.49397590361445781</v>
      </c>
      <c r="AF32" s="77">
        <v>40</v>
      </c>
      <c r="AG32" s="28">
        <v>166</v>
      </c>
      <c r="AH32" s="28">
        <v>23</v>
      </c>
      <c r="AI32" s="28">
        <v>49</v>
      </c>
      <c r="AJ32" s="28">
        <v>9</v>
      </c>
      <c r="AK32" s="28">
        <v>0</v>
      </c>
      <c r="AL32" s="28">
        <v>8</v>
      </c>
      <c r="AM32" s="28">
        <v>25</v>
      </c>
      <c r="AN32" s="28">
        <v>16</v>
      </c>
      <c r="AO32" s="28">
        <v>31</v>
      </c>
      <c r="AP32" s="77">
        <v>0</v>
      </c>
      <c r="AQ32" s="28">
        <v>2</v>
      </c>
      <c r="AR32" s="28">
        <v>9</v>
      </c>
      <c r="AS32" s="77">
        <v>82</v>
      </c>
      <c r="AT32" s="72">
        <v>0.85111876075731496</v>
      </c>
      <c r="AU32" s="28">
        <v>5</v>
      </c>
      <c r="AV32" s="75">
        <v>30</v>
      </c>
      <c r="AY32" s="101" t="s">
        <v>835</v>
      </c>
      <c r="AZ32" s="77" t="s">
        <v>349</v>
      </c>
      <c r="BA32" s="77" t="s">
        <v>837</v>
      </c>
      <c r="BB32" s="130">
        <v>0.26984126984126983</v>
      </c>
      <c r="BC32" s="72">
        <v>0.3235294117647059</v>
      </c>
      <c r="BD32" s="72">
        <v>0.48412698412698413</v>
      </c>
      <c r="BE32" s="77">
        <v>32</v>
      </c>
      <c r="BF32" s="28">
        <v>126</v>
      </c>
      <c r="BG32" s="28">
        <v>14</v>
      </c>
      <c r="BH32" s="28">
        <v>34</v>
      </c>
      <c r="BI32" s="28">
        <v>6</v>
      </c>
      <c r="BJ32" s="28">
        <v>0</v>
      </c>
      <c r="BK32" s="28">
        <v>7</v>
      </c>
      <c r="BL32" s="28">
        <v>24</v>
      </c>
      <c r="BM32" s="28">
        <v>10</v>
      </c>
      <c r="BN32" s="28">
        <v>45</v>
      </c>
      <c r="BO32" s="77">
        <v>0</v>
      </c>
      <c r="BP32" s="28">
        <v>3</v>
      </c>
      <c r="BQ32" s="28">
        <v>3</v>
      </c>
      <c r="BR32" s="77">
        <v>61</v>
      </c>
      <c r="BS32" s="72">
        <v>0.80765639589169003</v>
      </c>
      <c r="BT32" s="28">
        <v>4</v>
      </c>
      <c r="BU32" s="75">
        <v>30</v>
      </c>
    </row>
    <row r="33" spans="1:73">
      <c r="A33" s="101" t="s">
        <v>835</v>
      </c>
      <c r="B33" s="71" t="s">
        <v>172</v>
      </c>
      <c r="C33" s="74" t="s">
        <v>847</v>
      </c>
      <c r="D33" s="72">
        <f>VLOOKUP(Table88[[#This Row],[NAME]],ATL_H[[NAME]:['#]],2,0)</f>
        <v>0.19259259259259259</v>
      </c>
      <c r="E33" s="72">
        <f>VLOOKUP(Table88[[#This Row],[NAME]],ATL_H[[NAME]:['#]],3,0)</f>
        <v>0.24305555555555555</v>
      </c>
      <c r="F33" s="72">
        <f>VLOOKUP(Table88[[#This Row],[NAME]],ATL_H[[NAME]:['#]],4,0)</f>
        <v>0.32592592592592595</v>
      </c>
      <c r="G33" s="77">
        <f>VLOOKUP(Table88[[#This Row],[NAME]],ATL_H[[NAME]:['#]],5,0)</f>
        <v>38</v>
      </c>
      <c r="H33" s="28">
        <f>VLOOKUP(Table88[[#This Row],[NAME]],ATL_H[[NAME]:['#]],6,0)</f>
        <v>135</v>
      </c>
      <c r="I33" s="28">
        <f>VLOOKUP(Table88[[#This Row],[NAME]],ATL_H[[NAME]:['#]],7,0)</f>
        <v>11</v>
      </c>
      <c r="J33" s="28">
        <f>VLOOKUP(Table88[[#This Row],[NAME]],ATL_H[[NAME]:['#]],8,0)</f>
        <v>26</v>
      </c>
      <c r="K33" s="28">
        <f>VLOOKUP(Table88[[#This Row],[NAME]],ATL_H[[NAME]:['#]],9,0)</f>
        <v>4</v>
      </c>
      <c r="L33" s="28">
        <f>VLOOKUP(Table88[[#This Row],[NAME]],ATL_H[[NAME]:['#]],10,0)</f>
        <v>1</v>
      </c>
      <c r="M33" s="28">
        <f>VLOOKUP(Table88[[#This Row],[NAME]],ATL_H[[NAME]:['#]],11,0)</f>
        <v>4</v>
      </c>
      <c r="N33" s="28">
        <f>VLOOKUP(Table88[[#This Row],[NAME]],ATL_H[[NAME]:['#]],12,0)</f>
        <v>7</v>
      </c>
      <c r="O33" s="28">
        <f>VLOOKUP(Table88[[#This Row],[NAME]],ATL_H[[NAME]:['#]],13,0)</f>
        <v>9</v>
      </c>
      <c r="P33" s="28">
        <f>VLOOKUP(Table88[[#This Row],[NAME]],ATL_H[[NAME]:['#]],14,0)</f>
        <v>42</v>
      </c>
      <c r="Q33" s="77">
        <f>VLOOKUP(Table88[[#This Row],[NAME]],ATL_H[[NAME]:['#]],15,0)</f>
        <v>0</v>
      </c>
      <c r="R33" s="28">
        <f>VLOOKUP(Table88[[#This Row],[NAME]],ATL_H[[NAME]:['#]],16,0)</f>
        <v>1</v>
      </c>
      <c r="S33" s="28">
        <f>VLOOKUP(Table88[[#This Row],[NAME]],ATL_H[[NAME]:['#]],17,0)</f>
        <v>4</v>
      </c>
      <c r="T33" s="77">
        <f>VLOOKUP(Table88[[#This Row],[NAME]],ATL_H[[NAME]:['#]],18,0)</f>
        <v>44</v>
      </c>
      <c r="U33" s="72">
        <f>VLOOKUP(Table88[[#This Row],[NAME]],ATL_H[[NAME]:['#]],19,0)</f>
        <v>0.56898148148148153</v>
      </c>
      <c r="V33" s="28">
        <f>VLOOKUP(Table88[[#This Row],[NAME]],ATL_H[[NAME]:['#]],20,0)</f>
        <v>0</v>
      </c>
      <c r="W33" s="75">
        <v>31</v>
      </c>
      <c r="Z33" s="101" t="s">
        <v>835</v>
      </c>
      <c r="AA33" s="77" t="s">
        <v>172</v>
      </c>
      <c r="AB33" s="77" t="s">
        <v>847</v>
      </c>
      <c r="AC33" s="130">
        <v>0.176056338028169</v>
      </c>
      <c r="AD33" s="72">
        <v>0.22</v>
      </c>
      <c r="AE33" s="72">
        <v>0.28169014084507044</v>
      </c>
      <c r="AF33" s="77">
        <v>40</v>
      </c>
      <c r="AG33" s="28">
        <v>142</v>
      </c>
      <c r="AH33" s="28">
        <v>14</v>
      </c>
      <c r="AI33" s="28">
        <v>25</v>
      </c>
      <c r="AJ33" s="28">
        <v>5</v>
      </c>
      <c r="AK33" s="28">
        <v>2</v>
      </c>
      <c r="AL33" s="28">
        <v>2</v>
      </c>
      <c r="AM33" s="28">
        <v>6</v>
      </c>
      <c r="AN33" s="28">
        <v>8</v>
      </c>
      <c r="AO33" s="28">
        <v>47</v>
      </c>
      <c r="AP33" s="77">
        <v>0</v>
      </c>
      <c r="AQ33" s="28">
        <v>2</v>
      </c>
      <c r="AR33" s="28">
        <v>4</v>
      </c>
      <c r="AS33" s="77">
        <v>40</v>
      </c>
      <c r="AT33" s="72">
        <v>0.50169014084507046</v>
      </c>
      <c r="AU33" s="28">
        <v>0</v>
      </c>
      <c r="AV33" s="75">
        <v>31</v>
      </c>
      <c r="AY33" s="101" t="s">
        <v>835</v>
      </c>
      <c r="AZ33" s="77" t="s">
        <v>172</v>
      </c>
      <c r="BA33" s="77" t="s">
        <v>836</v>
      </c>
      <c r="BB33" s="130">
        <v>0.31874999999999998</v>
      </c>
      <c r="BC33" s="72">
        <v>0.39779005524861877</v>
      </c>
      <c r="BD33" s="72">
        <v>0.41249999999999998</v>
      </c>
      <c r="BE33" s="77">
        <v>40</v>
      </c>
      <c r="BF33" s="28">
        <v>160</v>
      </c>
      <c r="BG33" s="28">
        <v>28</v>
      </c>
      <c r="BH33" s="28">
        <v>51</v>
      </c>
      <c r="BI33" s="28">
        <v>9</v>
      </c>
      <c r="BJ33" s="28">
        <v>0</v>
      </c>
      <c r="BK33" s="28">
        <v>2</v>
      </c>
      <c r="BL33" s="28">
        <v>21</v>
      </c>
      <c r="BM33" s="28">
        <v>21</v>
      </c>
      <c r="BN33" s="28">
        <v>37</v>
      </c>
      <c r="BO33" s="77">
        <v>0</v>
      </c>
      <c r="BP33" s="28">
        <v>3</v>
      </c>
      <c r="BQ33" s="28">
        <v>12</v>
      </c>
      <c r="BR33" s="77">
        <v>66</v>
      </c>
      <c r="BS33" s="72">
        <v>0.81029005524861875</v>
      </c>
      <c r="BT33" s="28">
        <v>2</v>
      </c>
      <c r="BU33" s="75">
        <v>31</v>
      </c>
    </row>
    <row r="34" spans="1:73">
      <c r="A34" s="101" t="s">
        <v>835</v>
      </c>
      <c r="B34" s="71" t="s">
        <v>153</v>
      </c>
      <c r="C34" s="74" t="s">
        <v>839</v>
      </c>
      <c r="D34" s="72">
        <f>VLOOKUP(Table88[[#This Row],[NAME]],ATL_H[[NAME]:['#]],2,0)</f>
        <v>0.31645569620253167</v>
      </c>
      <c r="E34" s="72">
        <f>VLOOKUP(Table88[[#This Row],[NAME]],ATL_H[[NAME]:['#]],3,0)</f>
        <v>0.33742331288343558</v>
      </c>
      <c r="F34" s="72">
        <f>VLOOKUP(Table88[[#This Row],[NAME]],ATL_H[[NAME]:['#]],4,0)</f>
        <v>0.48734177215189872</v>
      </c>
      <c r="G34" s="77">
        <f>VLOOKUP(Table88[[#This Row],[NAME]],ATL_H[[NAME]:['#]],5,0)</f>
        <v>40</v>
      </c>
      <c r="H34" s="28">
        <f>VLOOKUP(Table88[[#This Row],[NAME]],ATL_H[[NAME]:['#]],6,0)</f>
        <v>158</v>
      </c>
      <c r="I34" s="28">
        <f>VLOOKUP(Table88[[#This Row],[NAME]],ATL_H[[NAME]:['#]],7,0)</f>
        <v>21</v>
      </c>
      <c r="J34" s="28">
        <f>VLOOKUP(Table88[[#This Row],[NAME]],ATL_H[[NAME]:['#]],8,0)</f>
        <v>50</v>
      </c>
      <c r="K34" s="76">
        <f>VLOOKUP(Table88[[#This Row],[NAME]],ATL_H[[NAME]:['#]],9,0)</f>
        <v>16</v>
      </c>
      <c r="L34" s="28">
        <f>VLOOKUP(Table88[[#This Row],[NAME]],ATL_H[[NAME]:['#]],10,0)</f>
        <v>1</v>
      </c>
      <c r="M34" s="28">
        <f>VLOOKUP(Table88[[#This Row],[NAME]],ATL_H[[NAME]:['#]],11,0)</f>
        <v>3</v>
      </c>
      <c r="N34" s="28">
        <f>VLOOKUP(Table88[[#This Row],[NAME]],ATL_H[[NAME]:['#]],12,0)</f>
        <v>18</v>
      </c>
      <c r="O34" s="28">
        <f>VLOOKUP(Table88[[#This Row],[NAME]],ATL_H[[NAME]:['#]],13,0)</f>
        <v>5</v>
      </c>
      <c r="P34" s="28">
        <f>VLOOKUP(Table88[[#This Row],[NAME]],ATL_H[[NAME]:['#]],14,0)</f>
        <v>26</v>
      </c>
      <c r="Q34" s="77">
        <f>VLOOKUP(Table88[[#This Row],[NAME]],ATL_H[[NAME]:['#]],15,0)</f>
        <v>4</v>
      </c>
      <c r="R34" s="28">
        <f>VLOOKUP(Table88[[#This Row],[NAME]],ATL_H[[NAME]:['#]],16,0)</f>
        <v>0</v>
      </c>
      <c r="S34" s="28">
        <f>VLOOKUP(Table88[[#This Row],[NAME]],ATL_H[[NAME]:['#]],17,0)</f>
        <v>11</v>
      </c>
      <c r="T34" s="77">
        <f>VLOOKUP(Table88[[#This Row],[NAME]],ATL_H[[NAME]:['#]],18,0)</f>
        <v>77</v>
      </c>
      <c r="U34" s="72">
        <f>VLOOKUP(Table88[[#This Row],[NAME]],ATL_H[[NAME]:['#]],19,0)</f>
        <v>0.8247650850353343</v>
      </c>
      <c r="V34" s="28">
        <f>VLOOKUP(Table88[[#This Row],[NAME]],ATL_H[[NAME]:['#]],20,0)</f>
        <v>1</v>
      </c>
      <c r="W34" s="75">
        <v>32</v>
      </c>
      <c r="Z34" s="101" t="s">
        <v>835</v>
      </c>
      <c r="AA34" s="77" t="s">
        <v>153</v>
      </c>
      <c r="AB34" s="77" t="s">
        <v>839</v>
      </c>
      <c r="AC34" s="130">
        <v>0.25531914893617019</v>
      </c>
      <c r="AD34" s="72">
        <v>0.33544303797468356</v>
      </c>
      <c r="AE34" s="72">
        <v>0.42553191489361702</v>
      </c>
      <c r="AF34" s="77">
        <v>40</v>
      </c>
      <c r="AG34" s="28">
        <v>141</v>
      </c>
      <c r="AH34" s="28">
        <v>17</v>
      </c>
      <c r="AI34" s="28">
        <v>36</v>
      </c>
      <c r="AJ34" s="28">
        <v>6</v>
      </c>
      <c r="AK34" s="28">
        <v>3</v>
      </c>
      <c r="AL34" s="28">
        <v>4</v>
      </c>
      <c r="AM34" s="28">
        <v>18</v>
      </c>
      <c r="AN34" s="28">
        <v>17</v>
      </c>
      <c r="AO34" s="28">
        <v>33</v>
      </c>
      <c r="AP34" s="77">
        <v>0</v>
      </c>
      <c r="AQ34" s="28">
        <v>0</v>
      </c>
      <c r="AR34" s="28">
        <v>7</v>
      </c>
      <c r="AS34" s="77">
        <v>60</v>
      </c>
      <c r="AT34" s="72">
        <v>0.76097495286830052</v>
      </c>
      <c r="AU34" s="28">
        <v>3</v>
      </c>
      <c r="AV34" s="75">
        <v>32</v>
      </c>
      <c r="AY34" s="101" t="s">
        <v>835</v>
      </c>
      <c r="AZ34" s="77" t="s">
        <v>153</v>
      </c>
      <c r="BA34" s="77" t="s">
        <v>839</v>
      </c>
      <c r="BB34" s="130">
        <v>0.19298245614035087</v>
      </c>
      <c r="BC34" s="72">
        <v>0.25203252032520324</v>
      </c>
      <c r="BD34" s="72">
        <v>0.30701754385964913</v>
      </c>
      <c r="BE34" s="77">
        <v>31</v>
      </c>
      <c r="BF34" s="28">
        <v>114</v>
      </c>
      <c r="BG34" s="28">
        <v>10</v>
      </c>
      <c r="BH34" s="28">
        <v>22</v>
      </c>
      <c r="BI34" s="28">
        <v>4</v>
      </c>
      <c r="BJ34" s="28">
        <v>0</v>
      </c>
      <c r="BK34" s="28">
        <v>3</v>
      </c>
      <c r="BL34" s="28">
        <v>9</v>
      </c>
      <c r="BM34" s="28">
        <v>9</v>
      </c>
      <c r="BN34" s="28">
        <v>23</v>
      </c>
      <c r="BO34" s="77">
        <v>1</v>
      </c>
      <c r="BP34" s="28">
        <v>2</v>
      </c>
      <c r="BQ34" s="28">
        <v>4</v>
      </c>
      <c r="BR34" s="77">
        <v>35</v>
      </c>
      <c r="BS34" s="72">
        <v>0.55905006418485237</v>
      </c>
      <c r="BT34" s="28">
        <v>0</v>
      </c>
      <c r="BU34" s="75">
        <v>32</v>
      </c>
    </row>
    <row r="35" spans="1:73">
      <c r="A35" s="101" t="s">
        <v>835</v>
      </c>
      <c r="B35" s="71" t="s">
        <v>177</v>
      </c>
      <c r="C35" s="74" t="s">
        <v>720</v>
      </c>
      <c r="D35" s="72">
        <f>VLOOKUP(Table88[[#This Row],[NAME]],ATL_H[[NAME]:['#]],2,0)</f>
        <v>0.21794871794871795</v>
      </c>
      <c r="E35" s="72">
        <f>VLOOKUP(Table88[[#This Row],[NAME]],ATL_H[[NAME]:['#]],3,0)</f>
        <v>0.30681818181818182</v>
      </c>
      <c r="F35" s="72">
        <f>VLOOKUP(Table88[[#This Row],[NAME]],ATL_H[[NAME]:['#]],4,0)</f>
        <v>0.39102564102564102</v>
      </c>
      <c r="G35" s="77">
        <f>VLOOKUP(Table88[[#This Row],[NAME]],ATL_H[[NAME]:['#]],5,0)</f>
        <v>40</v>
      </c>
      <c r="H35" s="28">
        <f>VLOOKUP(Table88[[#This Row],[NAME]],ATL_H[[NAME]:['#]],6,0)</f>
        <v>156</v>
      </c>
      <c r="I35" s="28">
        <f>VLOOKUP(Table88[[#This Row],[NAME]],ATL_H[[NAME]:['#]],7,0)</f>
        <v>22</v>
      </c>
      <c r="J35" s="28">
        <f>VLOOKUP(Table88[[#This Row],[NAME]],ATL_H[[NAME]:['#]],8,0)</f>
        <v>34</v>
      </c>
      <c r="K35" s="28">
        <f>VLOOKUP(Table88[[#This Row],[NAME]],ATL_H[[NAME]:['#]],9,0)</f>
        <v>12</v>
      </c>
      <c r="L35" s="28">
        <f>VLOOKUP(Table88[[#This Row],[NAME]],ATL_H[[NAME]:['#]],10,0)</f>
        <v>0</v>
      </c>
      <c r="M35" s="28">
        <f>VLOOKUP(Table88[[#This Row],[NAME]],ATL_H[[NAME]:['#]],11,0)</f>
        <v>5</v>
      </c>
      <c r="N35" s="28">
        <f>VLOOKUP(Table88[[#This Row],[NAME]],ATL_H[[NAME]:['#]],12,0)</f>
        <v>17</v>
      </c>
      <c r="O35" s="28">
        <f>VLOOKUP(Table88[[#This Row],[NAME]],ATL_H[[NAME]:['#]],13,0)</f>
        <v>20</v>
      </c>
      <c r="P35" s="28">
        <f>VLOOKUP(Table88[[#This Row],[NAME]],ATL_H[[NAME]:['#]],14,0)</f>
        <v>48</v>
      </c>
      <c r="Q35" s="77">
        <f>VLOOKUP(Table88[[#This Row],[NAME]],ATL_H[[NAME]:['#]],15,0)</f>
        <v>0</v>
      </c>
      <c r="R35" s="28">
        <f>VLOOKUP(Table88[[#This Row],[NAME]],ATL_H[[NAME]:['#]],16,0)</f>
        <v>3</v>
      </c>
      <c r="S35" s="28">
        <f>VLOOKUP(Table88[[#This Row],[NAME]],ATL_H[[NAME]:['#]],17,0)</f>
        <v>6</v>
      </c>
      <c r="T35" s="77">
        <f>VLOOKUP(Table88[[#This Row],[NAME]],ATL_H[[NAME]:['#]],18,0)</f>
        <v>61</v>
      </c>
      <c r="U35" s="72">
        <f>VLOOKUP(Table88[[#This Row],[NAME]],ATL_H[[NAME]:['#]],19,0)</f>
        <v>0.69784382284382285</v>
      </c>
      <c r="V35" s="28">
        <f>VLOOKUP(Table88[[#This Row],[NAME]],ATL_H[[NAME]:['#]],20,0)</f>
        <v>3</v>
      </c>
      <c r="W35" s="75">
        <v>33</v>
      </c>
      <c r="Z35" s="101" t="s">
        <v>835</v>
      </c>
      <c r="AA35" s="77" t="s">
        <v>177</v>
      </c>
      <c r="AB35" s="77" t="s">
        <v>720</v>
      </c>
      <c r="AC35" s="130">
        <v>0.2236024844720497</v>
      </c>
      <c r="AD35" s="72">
        <v>0.29378531073446329</v>
      </c>
      <c r="AE35" s="72">
        <v>0.43478260869565216</v>
      </c>
      <c r="AF35" s="77">
        <v>40</v>
      </c>
      <c r="AG35" s="28">
        <v>161</v>
      </c>
      <c r="AH35" s="28">
        <v>19</v>
      </c>
      <c r="AI35" s="28">
        <v>36</v>
      </c>
      <c r="AJ35" s="28">
        <v>10</v>
      </c>
      <c r="AK35" s="28">
        <v>0</v>
      </c>
      <c r="AL35" s="28">
        <v>8</v>
      </c>
      <c r="AM35" s="28">
        <v>31</v>
      </c>
      <c r="AN35" s="28">
        <v>16</v>
      </c>
      <c r="AO35" s="28">
        <v>45</v>
      </c>
      <c r="AP35" s="77">
        <v>0</v>
      </c>
      <c r="AQ35" s="28">
        <v>1</v>
      </c>
      <c r="AR35" s="28">
        <v>6</v>
      </c>
      <c r="AS35" s="77">
        <v>70</v>
      </c>
      <c r="AT35" s="72">
        <v>0.72856791943011545</v>
      </c>
      <c r="AU35" s="28">
        <v>3</v>
      </c>
      <c r="AV35" s="75">
        <v>33</v>
      </c>
      <c r="AY35" s="101" t="s">
        <v>835</v>
      </c>
      <c r="AZ35" s="77" t="s">
        <v>177</v>
      </c>
      <c r="BA35" s="77" t="s">
        <v>838</v>
      </c>
      <c r="BB35" s="130">
        <v>0.23636363636363636</v>
      </c>
      <c r="BC35" s="72">
        <v>0.30769230769230771</v>
      </c>
      <c r="BD35" s="72">
        <v>0.44242424242424244</v>
      </c>
      <c r="BE35" s="77">
        <v>40</v>
      </c>
      <c r="BF35" s="28">
        <v>165</v>
      </c>
      <c r="BG35" s="28">
        <v>21</v>
      </c>
      <c r="BH35" s="28">
        <v>39</v>
      </c>
      <c r="BI35" s="28">
        <v>8</v>
      </c>
      <c r="BJ35" s="28">
        <v>1</v>
      </c>
      <c r="BK35" s="28">
        <v>8</v>
      </c>
      <c r="BL35" s="28">
        <v>21</v>
      </c>
      <c r="BM35" s="28">
        <v>17</v>
      </c>
      <c r="BN35" s="28">
        <v>35</v>
      </c>
      <c r="BO35" s="77">
        <v>0</v>
      </c>
      <c r="BP35" s="28">
        <v>0</v>
      </c>
      <c r="BQ35" s="28">
        <v>4</v>
      </c>
      <c r="BR35" s="77">
        <v>73</v>
      </c>
      <c r="BS35" s="72">
        <v>0.7501165501165501</v>
      </c>
      <c r="BT35" s="28">
        <v>3</v>
      </c>
      <c r="BU35" s="75">
        <v>33</v>
      </c>
    </row>
    <row r="36" spans="1:73">
      <c r="A36" s="101" t="s">
        <v>835</v>
      </c>
      <c r="B36" s="71" t="s">
        <v>174</v>
      </c>
      <c r="C36" s="74" t="s">
        <v>843</v>
      </c>
      <c r="D36" s="72">
        <f>VLOOKUP(Table88[[#This Row],[NAME]],ATL_H[[NAME]:['#]],2,0)</f>
        <v>0.25362318840579712</v>
      </c>
      <c r="E36" s="72">
        <f>VLOOKUP(Table88[[#This Row],[NAME]],ATL_H[[NAME]:['#]],3,0)</f>
        <v>0.3087248322147651</v>
      </c>
      <c r="F36" s="72">
        <f>VLOOKUP(Table88[[#This Row],[NAME]],ATL_H[[NAME]:['#]],4,0)</f>
        <v>0.42753623188405798</v>
      </c>
      <c r="G36" s="77">
        <f>VLOOKUP(Table88[[#This Row],[NAME]],ATL_H[[NAME]:['#]],5,0)</f>
        <v>35</v>
      </c>
      <c r="H36" s="28">
        <f>VLOOKUP(Table88[[#This Row],[NAME]],ATL_H[[NAME]:['#]],6,0)</f>
        <v>138</v>
      </c>
      <c r="I36" s="28">
        <f>VLOOKUP(Table88[[#This Row],[NAME]],ATL_H[[NAME]:['#]],7,0)</f>
        <v>18</v>
      </c>
      <c r="J36" s="28">
        <f>VLOOKUP(Table88[[#This Row],[NAME]],ATL_H[[NAME]:['#]],8,0)</f>
        <v>35</v>
      </c>
      <c r="K36" s="28">
        <f>VLOOKUP(Table88[[#This Row],[NAME]],ATL_H[[NAME]:['#]],9,0)</f>
        <v>9</v>
      </c>
      <c r="L36" s="28">
        <f>VLOOKUP(Table88[[#This Row],[NAME]],ATL_H[[NAME]:['#]],10,0)</f>
        <v>0</v>
      </c>
      <c r="M36" s="28">
        <f>VLOOKUP(Table88[[#This Row],[NAME]],ATL_H[[NAME]:['#]],11,0)</f>
        <v>5</v>
      </c>
      <c r="N36" s="28">
        <f>VLOOKUP(Table88[[#This Row],[NAME]],ATL_H[[NAME]:['#]],12,0)</f>
        <v>12</v>
      </c>
      <c r="O36" s="28">
        <f>VLOOKUP(Table88[[#This Row],[NAME]],ATL_H[[NAME]:['#]],13,0)</f>
        <v>11</v>
      </c>
      <c r="P36" s="28">
        <f>VLOOKUP(Table88[[#This Row],[NAME]],ATL_H[[NAME]:['#]],14,0)</f>
        <v>40</v>
      </c>
      <c r="Q36" s="77">
        <f>VLOOKUP(Table88[[#This Row],[NAME]],ATL_H[[NAME]:['#]],15,0)</f>
        <v>0</v>
      </c>
      <c r="R36" s="28">
        <f>VLOOKUP(Table88[[#This Row],[NAME]],ATL_H[[NAME]:['#]],16,0)</f>
        <v>8</v>
      </c>
      <c r="S36" s="28">
        <f>VLOOKUP(Table88[[#This Row],[NAME]],ATL_H[[NAME]:['#]],17,0)</f>
        <v>8</v>
      </c>
      <c r="T36" s="77">
        <f>VLOOKUP(Table88[[#This Row],[NAME]],ATL_H[[NAME]:['#]],18,0)</f>
        <v>59</v>
      </c>
      <c r="U36" s="72">
        <f>VLOOKUP(Table88[[#This Row],[NAME]],ATL_H[[NAME]:['#]],19,0)</f>
        <v>0.73626106409882308</v>
      </c>
      <c r="V36" s="28">
        <f>VLOOKUP(Table88[[#This Row],[NAME]],ATL_H[[NAME]:['#]],20,0)</f>
        <v>3</v>
      </c>
      <c r="W36" s="75">
        <v>34</v>
      </c>
      <c r="Z36" s="101" t="s">
        <v>835</v>
      </c>
      <c r="AA36" s="77" t="s">
        <v>174</v>
      </c>
      <c r="AB36" s="77" t="s">
        <v>843</v>
      </c>
      <c r="AC36" s="130">
        <v>0.26785714285714285</v>
      </c>
      <c r="AD36" s="72">
        <v>0.31666666666666665</v>
      </c>
      <c r="AE36" s="72">
        <v>0.42857142857142855</v>
      </c>
      <c r="AF36" s="77">
        <v>14</v>
      </c>
      <c r="AG36" s="28">
        <v>56</v>
      </c>
      <c r="AH36" s="28">
        <v>7</v>
      </c>
      <c r="AI36" s="28">
        <v>15</v>
      </c>
      <c r="AJ36" s="28">
        <v>3</v>
      </c>
      <c r="AK36" s="28">
        <v>0</v>
      </c>
      <c r="AL36" s="28">
        <v>2</v>
      </c>
      <c r="AM36" s="28">
        <v>6</v>
      </c>
      <c r="AN36" s="28">
        <v>4</v>
      </c>
      <c r="AO36" s="28">
        <v>13</v>
      </c>
      <c r="AP36" s="77">
        <v>0</v>
      </c>
      <c r="AQ36" s="28">
        <v>5</v>
      </c>
      <c r="AR36" s="28">
        <v>5</v>
      </c>
      <c r="AS36" s="77">
        <v>24</v>
      </c>
      <c r="AT36" s="72">
        <v>0.74523809523809526</v>
      </c>
      <c r="AU36" s="28">
        <v>0</v>
      </c>
      <c r="AV36" s="75">
        <v>34</v>
      </c>
      <c r="AY36" s="101" t="s">
        <v>835</v>
      </c>
      <c r="AZ36" s="77" t="s">
        <v>174</v>
      </c>
      <c r="BA36" s="77" t="s">
        <v>843</v>
      </c>
      <c r="BB36" s="130">
        <v>0.20481927710843373</v>
      </c>
      <c r="BC36" s="72">
        <v>0.30526315789473685</v>
      </c>
      <c r="BD36" s="72">
        <v>0.27710843373493976</v>
      </c>
      <c r="BE36" s="77">
        <v>23</v>
      </c>
      <c r="BF36" s="28">
        <v>83</v>
      </c>
      <c r="BG36" s="28">
        <v>9</v>
      </c>
      <c r="BH36" s="28">
        <v>17</v>
      </c>
      <c r="BI36" s="28">
        <v>3</v>
      </c>
      <c r="BJ36" s="28">
        <v>0</v>
      </c>
      <c r="BK36" s="28">
        <v>1</v>
      </c>
      <c r="BL36" s="28">
        <v>9</v>
      </c>
      <c r="BM36" s="28">
        <v>12</v>
      </c>
      <c r="BN36" s="28">
        <v>27</v>
      </c>
      <c r="BO36" s="77">
        <v>0</v>
      </c>
      <c r="BP36" s="28">
        <v>1</v>
      </c>
      <c r="BQ36" s="28">
        <v>3</v>
      </c>
      <c r="BR36" s="77">
        <v>23</v>
      </c>
      <c r="BS36" s="72">
        <v>0.58237159162967655</v>
      </c>
      <c r="BT36" s="28">
        <v>1</v>
      </c>
      <c r="BU36" s="75">
        <v>34</v>
      </c>
    </row>
    <row r="37" spans="1:73">
      <c r="A37" s="101" t="s">
        <v>835</v>
      </c>
      <c r="B37" s="71" t="s">
        <v>181</v>
      </c>
      <c r="C37" s="74" t="s">
        <v>841</v>
      </c>
      <c r="D37" s="72">
        <f>VLOOKUP(Table88[[#This Row],[NAME]],ATL_H[[NAME]:['#]],2,0)</f>
        <v>0.26865671641791045</v>
      </c>
      <c r="E37" s="72">
        <f>VLOOKUP(Table88[[#This Row],[NAME]],ATL_H[[NAME]:['#]],3,0)</f>
        <v>0.28985507246376813</v>
      </c>
      <c r="F37" s="72">
        <f>VLOOKUP(Table88[[#This Row],[NAME]],ATL_H[[NAME]:['#]],4,0)</f>
        <v>0.4925373134328358</v>
      </c>
      <c r="G37" s="77">
        <f>VLOOKUP(Table88[[#This Row],[NAME]],ATL_H[[NAME]:['#]],5,0)</f>
        <v>35</v>
      </c>
      <c r="H37" s="28">
        <f>VLOOKUP(Table88[[#This Row],[NAME]],ATL_H[[NAME]:['#]],6,0)</f>
        <v>134</v>
      </c>
      <c r="I37" s="28">
        <f>VLOOKUP(Table88[[#This Row],[NAME]],ATL_H[[NAME]:['#]],7,0)</f>
        <v>13</v>
      </c>
      <c r="J37" s="28">
        <f>VLOOKUP(Table88[[#This Row],[NAME]],ATL_H[[NAME]:['#]],8,0)</f>
        <v>36</v>
      </c>
      <c r="K37" s="28">
        <f>VLOOKUP(Table88[[#This Row],[NAME]],ATL_H[[NAME]:['#]],9,0)</f>
        <v>11</v>
      </c>
      <c r="L37" s="28">
        <f>VLOOKUP(Table88[[#This Row],[NAME]],ATL_H[[NAME]:['#]],10,0)</f>
        <v>2</v>
      </c>
      <c r="M37" s="28">
        <f>VLOOKUP(Table88[[#This Row],[NAME]],ATL_H[[NAME]:['#]],11,0)</f>
        <v>5</v>
      </c>
      <c r="N37" s="28">
        <f>VLOOKUP(Table88[[#This Row],[NAME]],ATL_H[[NAME]:['#]],12,0)</f>
        <v>27</v>
      </c>
      <c r="O37" s="28">
        <f>VLOOKUP(Table88[[#This Row],[NAME]],ATL_H[[NAME]:['#]],13,0)</f>
        <v>4</v>
      </c>
      <c r="P37" s="28">
        <f>VLOOKUP(Table88[[#This Row],[NAME]],ATL_H[[NAME]:['#]],14,0)</f>
        <v>36</v>
      </c>
      <c r="Q37" s="77">
        <f>VLOOKUP(Table88[[#This Row],[NAME]],ATL_H[[NAME]:['#]],15,0)</f>
        <v>0</v>
      </c>
      <c r="R37" s="28">
        <f>VLOOKUP(Table88[[#This Row],[NAME]],ATL_H[[NAME]:['#]],16,0)</f>
        <v>4</v>
      </c>
      <c r="S37" s="28">
        <f>VLOOKUP(Table88[[#This Row],[NAME]],ATL_H[[NAME]:['#]],17,0)</f>
        <v>8</v>
      </c>
      <c r="T37" s="77">
        <f>VLOOKUP(Table88[[#This Row],[NAME]],ATL_H[[NAME]:['#]],18,0)</f>
        <v>66</v>
      </c>
      <c r="U37" s="72">
        <f>VLOOKUP(Table88[[#This Row],[NAME]],ATL_H[[NAME]:['#]],19,0)</f>
        <v>0.78239238589660398</v>
      </c>
      <c r="V37" s="28">
        <f>VLOOKUP(Table88[[#This Row],[NAME]],ATL_H[[NAME]:['#]],20,0)</f>
        <v>5</v>
      </c>
      <c r="W37" s="75">
        <v>35</v>
      </c>
      <c r="Z37" s="101" t="s">
        <v>835</v>
      </c>
      <c r="AA37" s="77" t="s">
        <v>383</v>
      </c>
      <c r="AB37" s="77" t="s">
        <v>841</v>
      </c>
      <c r="AC37" s="130">
        <v>0.27464788732394368</v>
      </c>
      <c r="AD37" s="72">
        <v>0.32236842105263158</v>
      </c>
      <c r="AE37" s="72">
        <v>0.42957746478873238</v>
      </c>
      <c r="AF37" s="77">
        <v>39</v>
      </c>
      <c r="AG37" s="28">
        <v>142</v>
      </c>
      <c r="AH37" s="28">
        <v>13</v>
      </c>
      <c r="AI37" s="28">
        <v>39</v>
      </c>
      <c r="AJ37" s="28">
        <v>10</v>
      </c>
      <c r="AK37" s="28">
        <v>0</v>
      </c>
      <c r="AL37" s="28">
        <v>4</v>
      </c>
      <c r="AM37" s="28">
        <v>18</v>
      </c>
      <c r="AN37" s="28">
        <v>10</v>
      </c>
      <c r="AO37" s="28">
        <v>34</v>
      </c>
      <c r="AP37" s="77">
        <v>2</v>
      </c>
      <c r="AQ37" s="28">
        <v>2</v>
      </c>
      <c r="AR37" s="28">
        <v>8</v>
      </c>
      <c r="AS37" s="77">
        <v>61</v>
      </c>
      <c r="AT37" s="72">
        <v>0.7519458858413639</v>
      </c>
      <c r="AU37" s="28">
        <v>2</v>
      </c>
      <c r="AV37" s="75">
        <v>35</v>
      </c>
      <c r="AY37" s="101" t="s">
        <v>835</v>
      </c>
      <c r="AZ37" s="77" t="s">
        <v>181</v>
      </c>
      <c r="BA37" s="77" t="s">
        <v>840</v>
      </c>
      <c r="BB37" s="130">
        <v>0.25</v>
      </c>
      <c r="BC37" s="72">
        <v>0.33513513513513515</v>
      </c>
      <c r="BD37" s="72">
        <v>0.42073170731707316</v>
      </c>
      <c r="BE37" s="77">
        <v>40</v>
      </c>
      <c r="BF37" s="28">
        <v>164</v>
      </c>
      <c r="BG37" s="28">
        <v>25</v>
      </c>
      <c r="BH37" s="28">
        <v>41</v>
      </c>
      <c r="BI37" s="28">
        <v>8</v>
      </c>
      <c r="BJ37" s="28">
        <v>1</v>
      </c>
      <c r="BK37" s="28">
        <v>6</v>
      </c>
      <c r="BL37" s="28">
        <v>19</v>
      </c>
      <c r="BM37" s="28">
        <v>21</v>
      </c>
      <c r="BN37" s="76">
        <v>55</v>
      </c>
      <c r="BO37" s="77">
        <v>14</v>
      </c>
      <c r="BP37" s="28">
        <v>1</v>
      </c>
      <c r="BQ37" s="28">
        <v>6</v>
      </c>
      <c r="BR37" s="77">
        <v>69</v>
      </c>
      <c r="BS37" s="72">
        <v>0.75586684245220837</v>
      </c>
      <c r="BT37" s="28">
        <v>2</v>
      </c>
      <c r="BU37" s="75">
        <v>35</v>
      </c>
    </row>
    <row r="38" spans="1:73">
      <c r="A38" s="101" t="s">
        <v>835</v>
      </c>
      <c r="B38" s="71" t="s">
        <v>166</v>
      </c>
      <c r="C38" s="74" t="s">
        <v>840</v>
      </c>
      <c r="D38" s="72">
        <f>VLOOKUP(Table88[[#This Row],[NAME]],ATL_H[[NAME]:['#]],2,0)</f>
        <v>0.20359281437125748</v>
      </c>
      <c r="E38" s="72">
        <f>VLOOKUP(Table88[[#This Row],[NAME]],ATL_H[[NAME]:['#]],3,0)</f>
        <v>0.26923076923076922</v>
      </c>
      <c r="F38" s="72">
        <f>VLOOKUP(Table88[[#This Row],[NAME]],ATL_H[[NAME]:['#]],4,0)</f>
        <v>0.33532934131736525</v>
      </c>
      <c r="G38" s="77">
        <f>VLOOKUP(Table88[[#This Row],[NAME]],ATL_H[[NAME]:['#]],5,0)</f>
        <v>39</v>
      </c>
      <c r="H38" s="28">
        <f>VLOOKUP(Table88[[#This Row],[NAME]],ATL_H[[NAME]:['#]],6,0)</f>
        <v>167</v>
      </c>
      <c r="I38" s="28">
        <f>VLOOKUP(Table88[[#This Row],[NAME]],ATL_H[[NAME]:['#]],7,0)</f>
        <v>17</v>
      </c>
      <c r="J38" s="28">
        <f>VLOOKUP(Table88[[#This Row],[NAME]],ATL_H[[NAME]:['#]],8,0)</f>
        <v>34</v>
      </c>
      <c r="K38" s="28">
        <f>VLOOKUP(Table88[[#This Row],[NAME]],ATL_H[[NAME]:['#]],9,0)</f>
        <v>5</v>
      </c>
      <c r="L38" s="28">
        <f>VLOOKUP(Table88[[#This Row],[NAME]],ATL_H[[NAME]:['#]],10,0)</f>
        <v>1</v>
      </c>
      <c r="M38" s="28">
        <f>VLOOKUP(Table88[[#This Row],[NAME]],ATL_H[[NAME]:['#]],11,0)</f>
        <v>5</v>
      </c>
      <c r="N38" s="28">
        <f>VLOOKUP(Table88[[#This Row],[NAME]],ATL_H[[NAME]:['#]],12,0)</f>
        <v>15</v>
      </c>
      <c r="O38" s="28">
        <f>VLOOKUP(Table88[[#This Row],[NAME]],ATL_H[[NAME]:['#]],13,0)</f>
        <v>15</v>
      </c>
      <c r="P38" s="28">
        <f>VLOOKUP(Table88[[#This Row],[NAME]],ATL_H[[NAME]:['#]],14,0)</f>
        <v>47</v>
      </c>
      <c r="Q38" s="77">
        <f>VLOOKUP(Table88[[#This Row],[NAME]],ATL_H[[NAME]:['#]],15,0)</f>
        <v>10</v>
      </c>
      <c r="R38" s="28">
        <f>VLOOKUP(Table88[[#This Row],[NAME]],ATL_H[[NAME]:['#]],16,0)</f>
        <v>0</v>
      </c>
      <c r="S38" s="28">
        <f>VLOOKUP(Table88[[#This Row],[NAME]],ATL_H[[NAME]:['#]],17,0)</f>
        <v>4</v>
      </c>
      <c r="T38" s="77">
        <f>VLOOKUP(Table88[[#This Row],[NAME]],ATL_H[[NAME]:['#]],18,0)</f>
        <v>56</v>
      </c>
      <c r="U38" s="72">
        <f>VLOOKUP(Table88[[#This Row],[NAME]],ATL_H[[NAME]:['#]],19,0)</f>
        <v>0.60456011054813441</v>
      </c>
      <c r="V38" s="28">
        <f>VLOOKUP(Table88[[#This Row],[NAME]],ATL_H[[NAME]:['#]],20,0)</f>
        <v>1</v>
      </c>
      <c r="W38" s="75">
        <v>36</v>
      </c>
      <c r="Z38" s="101" t="s">
        <v>835</v>
      </c>
      <c r="AA38" s="77" t="s">
        <v>166</v>
      </c>
      <c r="AB38" s="77" t="s">
        <v>840</v>
      </c>
      <c r="AC38" s="130">
        <v>0.24390243902439024</v>
      </c>
      <c r="AD38" s="72">
        <v>0.33333333333333331</v>
      </c>
      <c r="AE38" s="72">
        <v>0.34146341463414637</v>
      </c>
      <c r="AF38" s="77">
        <v>40</v>
      </c>
      <c r="AG38" s="28">
        <v>164</v>
      </c>
      <c r="AH38" s="28">
        <v>24</v>
      </c>
      <c r="AI38" s="28">
        <v>40</v>
      </c>
      <c r="AJ38" s="28">
        <v>7</v>
      </c>
      <c r="AK38" s="28">
        <v>0</v>
      </c>
      <c r="AL38" s="28">
        <v>3</v>
      </c>
      <c r="AM38" s="28">
        <v>13</v>
      </c>
      <c r="AN38" s="28">
        <v>22</v>
      </c>
      <c r="AO38" s="28">
        <v>48</v>
      </c>
      <c r="AP38" s="352">
        <v>19</v>
      </c>
      <c r="AQ38" s="28">
        <v>5</v>
      </c>
      <c r="AR38" s="28">
        <v>11</v>
      </c>
      <c r="AS38" s="77">
        <v>56</v>
      </c>
      <c r="AT38" s="72">
        <v>0.67479674796747968</v>
      </c>
      <c r="AU38" s="28">
        <v>1</v>
      </c>
      <c r="AV38" s="75">
        <v>36</v>
      </c>
      <c r="AY38" s="101" t="s">
        <v>835</v>
      </c>
      <c r="AZ38" s="77" t="s">
        <v>166</v>
      </c>
      <c r="BA38" s="77" t="s">
        <v>845</v>
      </c>
      <c r="BB38" s="130">
        <v>0.3125</v>
      </c>
      <c r="BC38" s="72">
        <v>0.36781609195402298</v>
      </c>
      <c r="BD38" s="72">
        <v>0.55000000000000004</v>
      </c>
      <c r="BE38" s="77">
        <v>26</v>
      </c>
      <c r="BF38" s="28">
        <v>80</v>
      </c>
      <c r="BG38" s="28">
        <v>7</v>
      </c>
      <c r="BH38" s="28">
        <v>25</v>
      </c>
      <c r="BI38" s="28">
        <v>4</v>
      </c>
      <c r="BJ38" s="28">
        <v>0</v>
      </c>
      <c r="BK38" s="28">
        <v>5</v>
      </c>
      <c r="BL38" s="28">
        <v>10</v>
      </c>
      <c r="BM38" s="28">
        <v>7</v>
      </c>
      <c r="BN38" s="28">
        <v>15</v>
      </c>
      <c r="BO38" s="77">
        <v>0</v>
      </c>
      <c r="BP38" s="28">
        <v>4</v>
      </c>
      <c r="BQ38" s="28">
        <v>4</v>
      </c>
      <c r="BR38" s="77">
        <v>44</v>
      </c>
      <c r="BS38" s="72">
        <v>0.91781609195402303</v>
      </c>
      <c r="BT38" s="28">
        <v>1</v>
      </c>
      <c r="BU38" s="75">
        <v>36</v>
      </c>
    </row>
    <row r="39" spans="1:73">
      <c r="A39" s="101" t="s">
        <v>835</v>
      </c>
      <c r="B39" s="71" t="s">
        <v>168</v>
      </c>
      <c r="C39" s="74" t="s">
        <v>848</v>
      </c>
      <c r="D39" s="72">
        <f>VLOOKUP(Table88[[#This Row],[NAME]],ATL_H[[NAME]:['#]],2,0)</f>
        <v>0.31428571428571428</v>
      </c>
      <c r="E39" s="72">
        <f>VLOOKUP(Table88[[#This Row],[NAME]],ATL_H[[NAME]:['#]],3,0)</f>
        <v>0.38461538461538464</v>
      </c>
      <c r="F39" s="72">
        <f>VLOOKUP(Table88[[#This Row],[NAME]],ATL_H[[NAME]:['#]],4,0)</f>
        <v>0.61428571428571432</v>
      </c>
      <c r="G39" s="77">
        <f>VLOOKUP(Table88[[#This Row],[NAME]],ATL_H[[NAME]:['#]],5,0)</f>
        <v>17</v>
      </c>
      <c r="H39" s="28">
        <f>VLOOKUP(Table88[[#This Row],[NAME]],ATL_H[[NAME]:['#]],6,0)</f>
        <v>70</v>
      </c>
      <c r="I39" s="28">
        <f>VLOOKUP(Table88[[#This Row],[NAME]],ATL_H[[NAME]:['#]],7,0)</f>
        <v>12</v>
      </c>
      <c r="J39" s="28">
        <f>VLOOKUP(Table88[[#This Row],[NAME]],ATL_H[[NAME]:['#]],8,0)</f>
        <v>22</v>
      </c>
      <c r="K39" s="28">
        <f>VLOOKUP(Table88[[#This Row],[NAME]],ATL_H[[NAME]:['#]],9,0)</f>
        <v>6</v>
      </c>
      <c r="L39" s="28">
        <f>VLOOKUP(Table88[[#This Row],[NAME]],ATL_H[[NAME]:['#]],10,0)</f>
        <v>0</v>
      </c>
      <c r="M39" s="28">
        <f>VLOOKUP(Table88[[#This Row],[NAME]],ATL_H[[NAME]:['#]],11,0)</f>
        <v>5</v>
      </c>
      <c r="N39" s="28">
        <f>VLOOKUP(Table88[[#This Row],[NAME]],ATL_H[[NAME]:['#]],12,0)</f>
        <v>17</v>
      </c>
      <c r="O39" s="28">
        <f>VLOOKUP(Table88[[#This Row],[NAME]],ATL_H[[NAME]:['#]],13,0)</f>
        <v>8</v>
      </c>
      <c r="P39" s="28">
        <f>VLOOKUP(Table88[[#This Row],[NAME]],ATL_H[[NAME]:['#]],14,0)</f>
        <v>21</v>
      </c>
      <c r="Q39" s="77">
        <f>VLOOKUP(Table88[[#This Row],[NAME]],ATL_H[[NAME]:['#]],15,0)</f>
        <v>0</v>
      </c>
      <c r="R39" s="28">
        <f>VLOOKUP(Table88[[#This Row],[NAME]],ATL_H[[NAME]:['#]],16,0)</f>
        <v>8</v>
      </c>
      <c r="S39" s="28">
        <f>VLOOKUP(Table88[[#This Row],[NAME]],ATL_H[[NAME]:['#]],17,0)</f>
        <v>8</v>
      </c>
      <c r="T39" s="77">
        <f>VLOOKUP(Table88[[#This Row],[NAME]],ATL_H[[NAME]:['#]],18,0)</f>
        <v>43</v>
      </c>
      <c r="U39" s="72">
        <f>VLOOKUP(Table88[[#This Row],[NAME]],ATL_H[[NAME]:['#]],19,0)</f>
        <v>0.99890109890109891</v>
      </c>
      <c r="V39" s="28">
        <f>VLOOKUP(Table88[[#This Row],[NAME]],ATL_H[[NAME]:['#]],20,0)</f>
        <v>2</v>
      </c>
      <c r="W39" s="75">
        <v>37</v>
      </c>
      <c r="Z39" s="101" t="s">
        <v>835</v>
      </c>
      <c r="AA39" s="77" t="s">
        <v>168</v>
      </c>
      <c r="AB39" s="77" t="s">
        <v>837</v>
      </c>
      <c r="AC39" s="130">
        <v>0.2857142857142857</v>
      </c>
      <c r="AD39" s="72">
        <v>0.34659090909090912</v>
      </c>
      <c r="AE39" s="72">
        <v>0.55279503105590067</v>
      </c>
      <c r="AF39" s="77">
        <v>40</v>
      </c>
      <c r="AG39" s="28">
        <v>161</v>
      </c>
      <c r="AH39" s="28">
        <v>24</v>
      </c>
      <c r="AI39" s="28">
        <v>46</v>
      </c>
      <c r="AJ39" s="28">
        <v>13</v>
      </c>
      <c r="AK39" s="28">
        <v>0</v>
      </c>
      <c r="AL39" s="28">
        <v>10</v>
      </c>
      <c r="AM39" s="28">
        <v>23</v>
      </c>
      <c r="AN39" s="28">
        <v>15</v>
      </c>
      <c r="AO39" s="28">
        <v>55</v>
      </c>
      <c r="AP39" s="77">
        <v>0</v>
      </c>
      <c r="AQ39" s="28">
        <v>3</v>
      </c>
      <c r="AR39" s="28">
        <v>11</v>
      </c>
      <c r="AS39" s="77">
        <v>89</v>
      </c>
      <c r="AT39" s="72">
        <v>0.89938594014680984</v>
      </c>
      <c r="AU39" s="28">
        <v>5</v>
      </c>
      <c r="AV39" s="75">
        <v>37</v>
      </c>
      <c r="AY39" s="101" t="s">
        <v>835</v>
      </c>
      <c r="AZ39" s="77" t="s">
        <v>168</v>
      </c>
      <c r="BA39" s="77" t="s">
        <v>844</v>
      </c>
      <c r="BB39" s="130">
        <v>0.24603174603174602</v>
      </c>
      <c r="BC39" s="72">
        <v>0.34482758620689657</v>
      </c>
      <c r="BD39" s="72">
        <v>0.40476190476190477</v>
      </c>
      <c r="BE39" s="77">
        <v>34</v>
      </c>
      <c r="BF39" s="28">
        <v>126</v>
      </c>
      <c r="BG39" s="28">
        <v>13</v>
      </c>
      <c r="BH39" s="28">
        <v>31</v>
      </c>
      <c r="BI39" s="28">
        <v>2</v>
      </c>
      <c r="BJ39" s="28">
        <v>0</v>
      </c>
      <c r="BK39" s="28">
        <v>6</v>
      </c>
      <c r="BL39" s="28">
        <v>18</v>
      </c>
      <c r="BM39" s="28">
        <v>19</v>
      </c>
      <c r="BN39" s="28">
        <v>28</v>
      </c>
      <c r="BO39" s="77">
        <v>0</v>
      </c>
      <c r="BP39" s="28">
        <v>1</v>
      </c>
      <c r="BQ39" s="28">
        <v>5</v>
      </c>
      <c r="BR39" s="77">
        <v>51</v>
      </c>
      <c r="BS39" s="72">
        <v>0.74958949096880134</v>
      </c>
      <c r="BT39" s="28">
        <v>3</v>
      </c>
      <c r="BU39" s="75">
        <v>37</v>
      </c>
    </row>
    <row r="40" spans="1:73">
      <c r="A40" s="101" t="s">
        <v>835</v>
      </c>
      <c r="B40" s="71" t="s">
        <v>179</v>
      </c>
      <c r="C40" s="74" t="s">
        <v>725</v>
      </c>
      <c r="D40" s="72">
        <f>VLOOKUP(Table88[[#This Row],[NAME]],ATL_H[[NAME]:['#]],2,0)</f>
        <v>0.20754716981132076</v>
      </c>
      <c r="E40" s="72">
        <f>VLOOKUP(Table88[[#This Row],[NAME]],ATL_H[[NAME]:['#]],3,0)</f>
        <v>0.32258064516129031</v>
      </c>
      <c r="F40" s="72">
        <f>VLOOKUP(Table88[[#This Row],[NAME]],ATL_H[[NAME]:['#]],4,0)</f>
        <v>0.26415094339622641</v>
      </c>
      <c r="G40" s="77">
        <f>VLOOKUP(Table88[[#This Row],[NAME]],ATL_H[[NAME]:['#]],5,0)</f>
        <v>19</v>
      </c>
      <c r="H40" s="28">
        <f>VLOOKUP(Table88[[#This Row],[NAME]],ATL_H[[NAME]:['#]],6,0)</f>
        <v>53</v>
      </c>
      <c r="I40" s="28">
        <f>VLOOKUP(Table88[[#This Row],[NAME]],ATL_H[[NAME]:['#]],7,0)</f>
        <v>5</v>
      </c>
      <c r="J40" s="28">
        <f>VLOOKUP(Table88[[#This Row],[NAME]],ATL_H[[NAME]:['#]],8,0)</f>
        <v>11</v>
      </c>
      <c r="K40" s="28">
        <f>VLOOKUP(Table88[[#This Row],[NAME]],ATL_H[[NAME]:['#]],9,0)</f>
        <v>3</v>
      </c>
      <c r="L40" s="28">
        <f>VLOOKUP(Table88[[#This Row],[NAME]],ATL_H[[NAME]:['#]],10,0)</f>
        <v>0</v>
      </c>
      <c r="M40" s="28">
        <f>VLOOKUP(Table88[[#This Row],[NAME]],ATL_H[[NAME]:['#]],11,0)</f>
        <v>0</v>
      </c>
      <c r="N40" s="28">
        <f>VLOOKUP(Table88[[#This Row],[NAME]],ATL_H[[NAME]:['#]],12,0)</f>
        <v>3</v>
      </c>
      <c r="O40" s="28">
        <f>VLOOKUP(Table88[[#This Row],[NAME]],ATL_H[[NAME]:['#]],13,0)</f>
        <v>9</v>
      </c>
      <c r="P40" s="28">
        <f>VLOOKUP(Table88[[#This Row],[NAME]],ATL_H[[NAME]:['#]],14,0)</f>
        <v>11</v>
      </c>
      <c r="Q40" s="77">
        <f>VLOOKUP(Table88[[#This Row],[NAME]],ATL_H[[NAME]:['#]],15,0)</f>
        <v>0</v>
      </c>
      <c r="R40" s="28">
        <f>VLOOKUP(Table88[[#This Row],[NAME]],ATL_H[[NAME]:['#]],16,0)</f>
        <v>0</v>
      </c>
      <c r="S40" s="28">
        <f>VLOOKUP(Table88[[#This Row],[NAME]],ATL_H[[NAME]:['#]],17,0)</f>
        <v>3</v>
      </c>
      <c r="T40" s="77">
        <f>VLOOKUP(Table88[[#This Row],[NAME]],ATL_H[[NAME]:['#]],18,0)</f>
        <v>14</v>
      </c>
      <c r="U40" s="72">
        <f>VLOOKUP(Table88[[#This Row],[NAME]],ATL_H[[NAME]:['#]],19,0)</f>
        <v>0.58673158855751673</v>
      </c>
      <c r="V40" s="28">
        <f>VLOOKUP(Table88[[#This Row],[NAME]],ATL_H[[NAME]:['#]],20,0)</f>
        <v>1</v>
      </c>
      <c r="W40" s="75">
        <v>38</v>
      </c>
      <c r="Z40" s="101" t="s">
        <v>835</v>
      </c>
      <c r="AA40" s="77" t="s">
        <v>179</v>
      </c>
      <c r="AB40" s="77" t="s">
        <v>846</v>
      </c>
      <c r="AC40" s="130">
        <v>0.2</v>
      </c>
      <c r="AD40" s="72">
        <v>0.2</v>
      </c>
      <c r="AE40" s="72">
        <v>0.4</v>
      </c>
      <c r="AF40" s="77">
        <v>4</v>
      </c>
      <c r="AG40" s="28">
        <v>15</v>
      </c>
      <c r="AH40" s="28">
        <v>1</v>
      </c>
      <c r="AI40" s="28">
        <v>3</v>
      </c>
      <c r="AJ40" s="28">
        <v>0</v>
      </c>
      <c r="AK40" s="28">
        <v>0</v>
      </c>
      <c r="AL40" s="28">
        <v>1</v>
      </c>
      <c r="AM40" s="28">
        <v>2</v>
      </c>
      <c r="AN40" s="28">
        <v>0</v>
      </c>
      <c r="AO40" s="28">
        <v>2</v>
      </c>
      <c r="AP40" s="77">
        <v>0</v>
      </c>
      <c r="AQ40" s="28">
        <v>2</v>
      </c>
      <c r="AR40" s="28">
        <v>2</v>
      </c>
      <c r="AS40" s="77">
        <v>6</v>
      </c>
      <c r="AT40" s="72">
        <v>0.60000000000000009</v>
      </c>
      <c r="AU40" s="28">
        <v>1</v>
      </c>
      <c r="AV40" s="75">
        <v>38</v>
      </c>
      <c r="AY40" s="101" t="s">
        <v>835</v>
      </c>
      <c r="AZ40" s="77" t="s">
        <v>179</v>
      </c>
      <c r="BA40" s="77" t="s">
        <v>846</v>
      </c>
      <c r="BB40" s="130">
        <v>0.19047619047619047</v>
      </c>
      <c r="BC40" s="72">
        <v>0.25</v>
      </c>
      <c r="BD40" s="72">
        <v>0.34920634920634919</v>
      </c>
      <c r="BE40" s="77">
        <v>20</v>
      </c>
      <c r="BF40" s="28">
        <v>63</v>
      </c>
      <c r="BG40" s="28">
        <v>5</v>
      </c>
      <c r="BH40" s="28">
        <v>12</v>
      </c>
      <c r="BI40" s="28">
        <v>4</v>
      </c>
      <c r="BJ40" s="28">
        <v>0</v>
      </c>
      <c r="BK40" s="28">
        <v>2</v>
      </c>
      <c r="BL40" s="28">
        <v>9</v>
      </c>
      <c r="BM40" s="28">
        <v>5</v>
      </c>
      <c r="BN40" s="28">
        <v>14</v>
      </c>
      <c r="BO40" s="77">
        <v>0</v>
      </c>
      <c r="BP40" s="28">
        <v>0</v>
      </c>
      <c r="BQ40" s="28">
        <v>4</v>
      </c>
      <c r="BR40" s="77">
        <v>22</v>
      </c>
      <c r="BS40" s="72">
        <v>0.59920634920634919</v>
      </c>
      <c r="BT40" s="28">
        <v>1</v>
      </c>
      <c r="BU40" s="75">
        <v>38</v>
      </c>
    </row>
    <row r="41" spans="1:73">
      <c r="A41" s="101" t="s">
        <v>835</v>
      </c>
      <c r="B41" s="71" t="s">
        <v>187</v>
      </c>
      <c r="C41" s="74" t="s">
        <v>837</v>
      </c>
      <c r="D41" s="72">
        <f>VLOOKUP(Table88[[#This Row],[NAME]],ATL_H[[NAME]:['#]],2,0)</f>
        <v>0.23</v>
      </c>
      <c r="E41" s="72">
        <f>VLOOKUP(Table88[[#This Row],[NAME]],ATL_H[[NAME]:['#]],3,0)</f>
        <v>0.28703703703703703</v>
      </c>
      <c r="F41" s="72">
        <f>VLOOKUP(Table88[[#This Row],[NAME]],ATL_H[[NAME]:['#]],4,0)</f>
        <v>0.39</v>
      </c>
      <c r="G41" s="77">
        <f>VLOOKUP(Table88[[#This Row],[NAME]],ATL_H[[NAME]:['#]],5,0)</f>
        <v>28</v>
      </c>
      <c r="H41" s="28">
        <f>VLOOKUP(Table88[[#This Row],[NAME]],ATL_H[[NAME]:['#]],6,0)</f>
        <v>100</v>
      </c>
      <c r="I41" s="28">
        <f>VLOOKUP(Table88[[#This Row],[NAME]],ATL_H[[NAME]:['#]],7,0)</f>
        <v>12</v>
      </c>
      <c r="J41" s="28">
        <f>VLOOKUP(Table88[[#This Row],[NAME]],ATL_H[[NAME]:['#]],8,0)</f>
        <v>23</v>
      </c>
      <c r="K41" s="28">
        <f>VLOOKUP(Table88[[#This Row],[NAME]],ATL_H[[NAME]:['#]],9,0)</f>
        <v>4</v>
      </c>
      <c r="L41" s="28">
        <f>VLOOKUP(Table88[[#This Row],[NAME]],ATL_H[[NAME]:['#]],10,0)</f>
        <v>0</v>
      </c>
      <c r="M41" s="28">
        <f>VLOOKUP(Table88[[#This Row],[NAME]],ATL_H[[NAME]:['#]],11,0)</f>
        <v>4</v>
      </c>
      <c r="N41" s="28">
        <f>VLOOKUP(Table88[[#This Row],[NAME]],ATL_H[[NAME]:['#]],12,0)</f>
        <v>15</v>
      </c>
      <c r="O41" s="28">
        <f>VLOOKUP(Table88[[#This Row],[NAME]],ATL_H[[NAME]:['#]],13,0)</f>
        <v>8</v>
      </c>
      <c r="P41" s="28">
        <f>VLOOKUP(Table88[[#This Row],[NAME]],ATL_H[[NAME]:['#]],14,0)</f>
        <v>37</v>
      </c>
      <c r="Q41" s="77">
        <f>VLOOKUP(Table88[[#This Row],[NAME]],ATL_H[[NAME]:['#]],15,0)</f>
        <v>0</v>
      </c>
      <c r="R41" s="28">
        <f>VLOOKUP(Table88[[#This Row],[NAME]],ATL_H[[NAME]:['#]],16,0)</f>
        <v>1</v>
      </c>
      <c r="S41" s="28">
        <f>VLOOKUP(Table88[[#This Row],[NAME]],ATL_H[[NAME]:['#]],17,0)</f>
        <v>6</v>
      </c>
      <c r="T41" s="77">
        <f>VLOOKUP(Table88[[#This Row],[NAME]],ATL_H[[NAME]:['#]],18,0)</f>
        <v>39</v>
      </c>
      <c r="U41" s="72">
        <f>VLOOKUP(Table88[[#This Row],[NAME]],ATL_H[[NAME]:['#]],19,0)</f>
        <v>0.6770370370370371</v>
      </c>
      <c r="V41" s="28">
        <f>VLOOKUP(Table88[[#This Row],[NAME]],ATL_H[[NAME]:['#]],20,0)</f>
        <v>2</v>
      </c>
      <c r="W41" s="75">
        <v>39</v>
      </c>
      <c r="Z41" s="101" t="s">
        <v>835</v>
      </c>
      <c r="AA41" s="77" t="s">
        <v>192</v>
      </c>
      <c r="AB41" s="77" t="s">
        <v>851</v>
      </c>
      <c r="AC41" s="130">
        <v>0</v>
      </c>
      <c r="AD41" s="72">
        <v>0</v>
      </c>
      <c r="AE41" s="72">
        <v>0</v>
      </c>
      <c r="AF41" s="77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77">
        <v>0</v>
      </c>
      <c r="AQ41" s="28">
        <v>0</v>
      </c>
      <c r="AR41" s="28">
        <v>0</v>
      </c>
      <c r="AS41" s="77">
        <v>0</v>
      </c>
      <c r="AT41" s="72">
        <v>0</v>
      </c>
      <c r="AU41" s="28">
        <v>0</v>
      </c>
      <c r="AV41" s="75">
        <v>39</v>
      </c>
      <c r="AY41" s="101" t="s">
        <v>835</v>
      </c>
      <c r="AZ41" s="77" t="s">
        <v>187</v>
      </c>
      <c r="BA41" s="77" t="s">
        <v>847</v>
      </c>
      <c r="BB41" s="130">
        <v>0.1702127659574468</v>
      </c>
      <c r="BC41" s="72">
        <v>0.21212121212121213</v>
      </c>
      <c r="BD41" s="72">
        <v>0.28723404255319152</v>
      </c>
      <c r="BE41" s="77">
        <v>28</v>
      </c>
      <c r="BF41" s="28">
        <v>94</v>
      </c>
      <c r="BG41" s="28">
        <v>9</v>
      </c>
      <c r="BH41" s="28">
        <v>16</v>
      </c>
      <c r="BI41" s="28">
        <v>3</v>
      </c>
      <c r="BJ41" s="28">
        <v>1</v>
      </c>
      <c r="BK41" s="28">
        <v>2</v>
      </c>
      <c r="BL41" s="28">
        <v>7</v>
      </c>
      <c r="BM41" s="28">
        <v>5</v>
      </c>
      <c r="BN41" s="28">
        <v>29</v>
      </c>
      <c r="BO41" s="77">
        <v>0</v>
      </c>
      <c r="BP41" s="28">
        <v>0</v>
      </c>
      <c r="BQ41" s="28">
        <v>3</v>
      </c>
      <c r="BR41" s="77">
        <v>27</v>
      </c>
      <c r="BS41" s="72">
        <v>0.49935525467440367</v>
      </c>
      <c r="BT41" s="28">
        <v>1</v>
      </c>
      <c r="BU41" s="75">
        <v>39</v>
      </c>
    </row>
    <row r="42" spans="1:73">
      <c r="A42" s="101" t="s">
        <v>835</v>
      </c>
      <c r="B42" s="71" t="s">
        <v>187</v>
      </c>
      <c r="C42" s="74" t="s">
        <v>851</v>
      </c>
      <c r="D42" s="72">
        <f>VLOOKUP(Table88[[#This Row],[NAME]],ATL_H[[NAME]:['#]],2,0)</f>
        <v>0</v>
      </c>
      <c r="E42" s="72">
        <f>VLOOKUP(Table88[[#This Row],[NAME]],ATL_H[[NAME]:['#]],3,0)</f>
        <v>0</v>
      </c>
      <c r="F42" s="72">
        <f>VLOOKUP(Table88[[#This Row],[NAME]],ATL_H[[NAME]:['#]],4,0)</f>
        <v>0</v>
      </c>
      <c r="G42" s="77">
        <f>VLOOKUP(Table88[[#This Row],[NAME]],ATL_H[[NAME]:['#]],5,0)</f>
        <v>0</v>
      </c>
      <c r="H42" s="28">
        <f>VLOOKUP(Table88[[#This Row],[NAME]],ATL_H[[NAME]:['#]],6,0)</f>
        <v>0</v>
      </c>
      <c r="I42" s="28">
        <f>VLOOKUP(Table88[[#This Row],[NAME]],ATL_H[[NAME]:['#]],7,0)</f>
        <v>0</v>
      </c>
      <c r="J42" s="28">
        <f>VLOOKUP(Table88[[#This Row],[NAME]],ATL_H[[NAME]:['#]],8,0)</f>
        <v>0</v>
      </c>
      <c r="K42" s="28">
        <f>VLOOKUP(Table88[[#This Row],[NAME]],ATL_H[[NAME]:['#]],9,0)</f>
        <v>0</v>
      </c>
      <c r="L42" s="28">
        <f>VLOOKUP(Table88[[#This Row],[NAME]],ATL_H[[NAME]:['#]],10,0)</f>
        <v>0</v>
      </c>
      <c r="M42" s="28">
        <f>VLOOKUP(Table88[[#This Row],[NAME]],ATL_H[[NAME]:['#]],11,0)</f>
        <v>0</v>
      </c>
      <c r="N42" s="28">
        <f>VLOOKUP(Table88[[#This Row],[NAME]],ATL_H[[NAME]:['#]],12,0)</f>
        <v>0</v>
      </c>
      <c r="O42" s="28">
        <f>VLOOKUP(Table88[[#This Row],[NAME]],ATL_H[[NAME]:['#]],13,0)</f>
        <v>0</v>
      </c>
      <c r="P42" s="28">
        <f>VLOOKUP(Table88[[#This Row],[NAME]],ATL_H[[NAME]:['#]],14,0)</f>
        <v>0</v>
      </c>
      <c r="Q42" s="77">
        <f>VLOOKUP(Table88[[#This Row],[NAME]],ATL_H[[NAME]:['#]],15,0)</f>
        <v>0</v>
      </c>
      <c r="R42" s="28">
        <f>VLOOKUP(Table88[[#This Row],[NAME]],ATL_H[[NAME]:['#]],16,0)</f>
        <v>0</v>
      </c>
      <c r="S42" s="28">
        <f>VLOOKUP(Table88[[#This Row],[NAME]],ATL_H[[NAME]:['#]],17,0)</f>
        <v>0</v>
      </c>
      <c r="T42" s="77">
        <f>VLOOKUP(Table88[[#This Row],[NAME]],ATL_H[[NAME]:['#]],18,0)</f>
        <v>0</v>
      </c>
      <c r="U42" s="72">
        <f>VLOOKUP(Table88[[#This Row],[NAME]],ATL_H[[NAME]:['#]],19,0)</f>
        <v>0</v>
      </c>
      <c r="V42" s="28">
        <f>VLOOKUP(Table88[[#This Row],[NAME]],ATL_H[[NAME]:['#]],20,0)</f>
        <v>0</v>
      </c>
      <c r="W42" s="75">
        <v>40</v>
      </c>
      <c r="Z42" s="101" t="s">
        <v>835</v>
      </c>
      <c r="AA42" s="77" t="s">
        <v>186</v>
      </c>
      <c r="AB42" s="77" t="s">
        <v>845</v>
      </c>
      <c r="AC42" s="130">
        <v>0</v>
      </c>
      <c r="AD42" s="72">
        <v>0.23529411764705882</v>
      </c>
      <c r="AE42" s="72">
        <v>0</v>
      </c>
      <c r="AF42" s="77">
        <v>8</v>
      </c>
      <c r="AG42" s="28">
        <v>26</v>
      </c>
      <c r="AH42" s="28">
        <v>3</v>
      </c>
      <c r="AI42" s="28">
        <v>0</v>
      </c>
      <c r="AJ42" s="28">
        <v>0</v>
      </c>
      <c r="AK42" s="28">
        <v>0</v>
      </c>
      <c r="AL42" s="28">
        <v>0</v>
      </c>
      <c r="AM42" s="28">
        <v>1</v>
      </c>
      <c r="AN42" s="28">
        <v>8</v>
      </c>
      <c r="AO42" s="28">
        <v>9</v>
      </c>
      <c r="AP42" s="77">
        <v>0</v>
      </c>
      <c r="AQ42" s="28">
        <v>0</v>
      </c>
      <c r="AR42" s="28">
        <v>0</v>
      </c>
      <c r="AS42" s="77">
        <v>0</v>
      </c>
      <c r="AT42" s="72">
        <v>0.23529411764705882</v>
      </c>
      <c r="AU42" s="28">
        <v>0</v>
      </c>
      <c r="AV42" s="75">
        <v>40</v>
      </c>
      <c r="AY42" s="101" t="s">
        <v>835</v>
      </c>
      <c r="AZ42" s="77" t="s">
        <v>184</v>
      </c>
      <c r="BA42" s="77" t="s">
        <v>852</v>
      </c>
      <c r="BB42" s="130">
        <v>0</v>
      </c>
      <c r="BC42" s="72">
        <v>0</v>
      </c>
      <c r="BD42" s="72">
        <v>0</v>
      </c>
      <c r="BE42" s="77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77">
        <v>0</v>
      </c>
      <c r="BP42" s="28">
        <v>0</v>
      </c>
      <c r="BQ42" s="28">
        <v>0</v>
      </c>
      <c r="BR42" s="77">
        <v>0</v>
      </c>
      <c r="BS42" s="72">
        <v>0</v>
      </c>
      <c r="BT42" s="28">
        <v>0</v>
      </c>
      <c r="BU42" s="75">
        <v>40</v>
      </c>
    </row>
    <row r="43" spans="1:73">
      <c r="A43" s="101" t="s">
        <v>835</v>
      </c>
      <c r="B43" s="71" t="s">
        <v>192</v>
      </c>
      <c r="C43" s="74" t="s">
        <v>850</v>
      </c>
      <c r="D43" s="72">
        <f>VLOOKUP(Table88[[#This Row],[NAME]],ATL_H[[NAME]:['#]],2,0)</f>
        <v>0</v>
      </c>
      <c r="E43" s="72">
        <f>VLOOKUP(Table88[[#This Row],[NAME]],ATL_H[[NAME]:['#]],3,0)</f>
        <v>0</v>
      </c>
      <c r="F43" s="72">
        <f>VLOOKUP(Table88[[#This Row],[NAME]],ATL_H[[NAME]:['#]],4,0)</f>
        <v>0</v>
      </c>
      <c r="G43" s="77">
        <f>VLOOKUP(Table88[[#This Row],[NAME]],ATL_H[[NAME]:['#]],5,0)</f>
        <v>0</v>
      </c>
      <c r="H43" s="28">
        <f>VLOOKUP(Table88[[#This Row],[NAME]],ATL_H[[NAME]:['#]],6,0)</f>
        <v>0</v>
      </c>
      <c r="I43" s="28">
        <f>VLOOKUP(Table88[[#This Row],[NAME]],ATL_H[[NAME]:['#]],7,0)</f>
        <v>0</v>
      </c>
      <c r="J43" s="28">
        <f>VLOOKUP(Table88[[#This Row],[NAME]],ATL_H[[NAME]:['#]],8,0)</f>
        <v>0</v>
      </c>
      <c r="K43" s="28">
        <f>VLOOKUP(Table88[[#This Row],[NAME]],ATL_H[[NAME]:['#]],9,0)</f>
        <v>0</v>
      </c>
      <c r="L43" s="28">
        <f>VLOOKUP(Table88[[#This Row],[NAME]],ATL_H[[NAME]:['#]],10,0)</f>
        <v>0</v>
      </c>
      <c r="M43" s="28">
        <f>VLOOKUP(Table88[[#This Row],[NAME]],ATL_H[[NAME]:['#]],11,0)</f>
        <v>0</v>
      </c>
      <c r="N43" s="28">
        <f>VLOOKUP(Table88[[#This Row],[NAME]],ATL_H[[NAME]:['#]],12,0)</f>
        <v>0</v>
      </c>
      <c r="O43" s="28">
        <f>VLOOKUP(Table88[[#This Row],[NAME]],ATL_H[[NAME]:['#]],13,0)</f>
        <v>0</v>
      </c>
      <c r="P43" s="28">
        <f>VLOOKUP(Table88[[#This Row],[NAME]],ATL_H[[NAME]:['#]],14,0)</f>
        <v>0</v>
      </c>
      <c r="Q43" s="77">
        <f>VLOOKUP(Table88[[#This Row],[NAME]],ATL_H[[NAME]:['#]],15,0)</f>
        <v>0</v>
      </c>
      <c r="R43" s="28">
        <f>VLOOKUP(Table88[[#This Row],[NAME]],ATL_H[[NAME]:['#]],16,0)</f>
        <v>0</v>
      </c>
      <c r="S43" s="28">
        <f>VLOOKUP(Table88[[#This Row],[NAME]],ATL_H[[NAME]:['#]],17,0)</f>
        <v>0</v>
      </c>
      <c r="T43" s="77">
        <f>VLOOKUP(Table88[[#This Row],[NAME]],ATL_H[[NAME]:['#]],18,0)</f>
        <v>0</v>
      </c>
      <c r="U43" s="72">
        <f>VLOOKUP(Table88[[#This Row],[NAME]],ATL_H[[NAME]:['#]],19,0)</f>
        <v>0</v>
      </c>
      <c r="V43" s="28">
        <f>VLOOKUP(Table88[[#This Row],[NAME]],ATL_H[[NAME]:['#]],20,0)</f>
        <v>0</v>
      </c>
      <c r="W43" s="75">
        <v>41</v>
      </c>
      <c r="Z43" s="101" t="s">
        <v>835</v>
      </c>
      <c r="AA43" s="77" t="s">
        <v>186</v>
      </c>
      <c r="AB43" s="77" t="s">
        <v>848</v>
      </c>
      <c r="AC43" s="130">
        <v>8.3333333333333329E-2</v>
      </c>
      <c r="AD43" s="72">
        <v>0.21428571428571427</v>
      </c>
      <c r="AE43" s="72">
        <v>0.16666666666666666</v>
      </c>
      <c r="AF43" s="77">
        <v>3</v>
      </c>
      <c r="AG43" s="28">
        <v>12</v>
      </c>
      <c r="AH43" s="28">
        <v>1</v>
      </c>
      <c r="AI43" s="28">
        <v>1</v>
      </c>
      <c r="AJ43" s="28">
        <v>1</v>
      </c>
      <c r="AK43" s="28">
        <v>0</v>
      </c>
      <c r="AL43" s="28">
        <v>0</v>
      </c>
      <c r="AM43" s="28">
        <v>0</v>
      </c>
      <c r="AN43" s="28">
        <v>2</v>
      </c>
      <c r="AO43" s="28">
        <v>1</v>
      </c>
      <c r="AP43" s="77">
        <v>0</v>
      </c>
      <c r="AQ43" s="28">
        <v>0</v>
      </c>
      <c r="AR43" s="28">
        <v>1</v>
      </c>
      <c r="AS43" s="77">
        <v>2</v>
      </c>
      <c r="AT43" s="72">
        <v>0.38095238095238093</v>
      </c>
      <c r="AU43" s="28">
        <v>0</v>
      </c>
      <c r="AV43" s="75">
        <v>41</v>
      </c>
      <c r="AY43" s="101" t="s">
        <v>835</v>
      </c>
      <c r="AZ43" s="77" t="s">
        <v>186</v>
      </c>
      <c r="BA43" s="77" t="s">
        <v>848</v>
      </c>
      <c r="BB43" s="130">
        <v>0.26666666666666666</v>
      </c>
      <c r="BC43" s="72">
        <v>0.32653061224489793</v>
      </c>
      <c r="BD43" s="72">
        <v>0.4</v>
      </c>
      <c r="BE43" s="77">
        <v>17</v>
      </c>
      <c r="BF43" s="28">
        <v>45</v>
      </c>
      <c r="BG43" s="28">
        <v>4</v>
      </c>
      <c r="BH43" s="28">
        <v>12</v>
      </c>
      <c r="BI43" s="28">
        <v>0</v>
      </c>
      <c r="BJ43" s="28">
        <v>0</v>
      </c>
      <c r="BK43" s="28">
        <v>2</v>
      </c>
      <c r="BL43" s="28">
        <v>5</v>
      </c>
      <c r="BM43" s="28">
        <v>4</v>
      </c>
      <c r="BN43" s="28">
        <v>8</v>
      </c>
      <c r="BO43" s="77">
        <v>0</v>
      </c>
      <c r="BP43" s="28">
        <v>0</v>
      </c>
      <c r="BQ43" s="28">
        <v>5</v>
      </c>
      <c r="BR43" s="77">
        <v>18</v>
      </c>
      <c r="BS43" s="72">
        <v>0.72653061224489801</v>
      </c>
      <c r="BT43" s="28">
        <v>2</v>
      </c>
      <c r="BU43" s="75">
        <v>41</v>
      </c>
    </row>
    <row r="44" spans="1:73">
      <c r="A44" s="101" t="s">
        <v>835</v>
      </c>
      <c r="B44" s="71" t="s">
        <v>186</v>
      </c>
      <c r="C44" s="28" t="s">
        <v>849</v>
      </c>
      <c r="D44" s="72">
        <f>VLOOKUP(Table88[[#This Row],[NAME]],ATL_H[[NAME]:['#]],2,0)</f>
        <v>0.15555555555555556</v>
      </c>
      <c r="E44" s="72">
        <f>VLOOKUP(Table88[[#This Row],[NAME]],ATL_H[[NAME]:['#]],3,0)</f>
        <v>0.24</v>
      </c>
      <c r="F44" s="72">
        <f>VLOOKUP(Table88[[#This Row],[NAME]],ATL_H[[NAME]:['#]],4,0)</f>
        <v>0.33333333333333331</v>
      </c>
      <c r="G44" s="77">
        <f>VLOOKUP(Table88[[#This Row],[NAME]],ATL_H[[NAME]:['#]],5,0)</f>
        <v>12</v>
      </c>
      <c r="H44" s="28">
        <f>VLOOKUP(Table88[[#This Row],[NAME]],ATL_H[[NAME]:['#]],6,0)</f>
        <v>45</v>
      </c>
      <c r="I44" s="28">
        <f>VLOOKUP(Table88[[#This Row],[NAME]],ATL_H[[NAME]:['#]],7,0)</f>
        <v>9</v>
      </c>
      <c r="J44" s="28">
        <f>VLOOKUP(Table88[[#This Row],[NAME]],ATL_H[[NAME]:['#]],8,0)</f>
        <v>7</v>
      </c>
      <c r="K44" s="28">
        <f>VLOOKUP(Table88[[#This Row],[NAME]],ATL_H[[NAME]:['#]],9,0)</f>
        <v>0</v>
      </c>
      <c r="L44" s="28">
        <f>VLOOKUP(Table88[[#This Row],[NAME]],ATL_H[[NAME]:['#]],10,0)</f>
        <v>1</v>
      </c>
      <c r="M44" s="28">
        <f>VLOOKUP(Table88[[#This Row],[NAME]],ATL_H[[NAME]:['#]],11,0)</f>
        <v>2</v>
      </c>
      <c r="N44" s="28">
        <f>VLOOKUP(Table88[[#This Row],[NAME]],ATL_H[[NAME]:['#]],12,0)</f>
        <v>2</v>
      </c>
      <c r="O44" s="28">
        <f>VLOOKUP(Table88[[#This Row],[NAME]],ATL_H[[NAME]:['#]],13,0)</f>
        <v>5</v>
      </c>
      <c r="P44" s="28">
        <f>VLOOKUP(Table88[[#This Row],[NAME]],ATL_H[[NAME]:['#]],14,0)</f>
        <v>10</v>
      </c>
      <c r="Q44" s="77">
        <f>VLOOKUP(Table88[[#This Row],[NAME]],ATL_H[[NAME]:['#]],15,0)</f>
        <v>5</v>
      </c>
      <c r="R44" s="28">
        <f>VLOOKUP(Table88[[#This Row],[NAME]],ATL_H[[NAME]:['#]],16,0)</f>
        <v>1</v>
      </c>
      <c r="S44" s="28">
        <f>VLOOKUP(Table88[[#This Row],[NAME]],ATL_H[[NAME]:['#]],17,0)</f>
        <v>2</v>
      </c>
      <c r="T44" s="77">
        <f>VLOOKUP(Table88[[#This Row],[NAME]],ATL_H[[NAME]:['#]],18,0)</f>
        <v>15</v>
      </c>
      <c r="U44" s="72">
        <f>VLOOKUP(Table88[[#This Row],[NAME]],ATL_H[[NAME]:['#]],19,0)</f>
        <v>0.57333333333333325</v>
      </c>
      <c r="V44" s="28">
        <f>VLOOKUP(Table88[[#This Row],[NAME]],ATL_H[[NAME]:['#]],20,0)</f>
        <v>1</v>
      </c>
      <c r="W44" s="75">
        <v>42</v>
      </c>
      <c r="Z44" s="101" t="s">
        <v>835</v>
      </c>
      <c r="AA44" s="77" t="s">
        <v>186</v>
      </c>
      <c r="AB44" s="77" t="s">
        <v>849</v>
      </c>
      <c r="AC44" s="130">
        <v>0.27941176470588236</v>
      </c>
      <c r="AD44" s="72">
        <v>0.30985915492957744</v>
      </c>
      <c r="AE44" s="72">
        <v>0.38235294117647056</v>
      </c>
      <c r="AF44" s="77">
        <v>16</v>
      </c>
      <c r="AG44" s="28">
        <v>68</v>
      </c>
      <c r="AH44" s="28">
        <v>8</v>
      </c>
      <c r="AI44" s="28">
        <v>19</v>
      </c>
      <c r="AJ44" s="28">
        <v>1</v>
      </c>
      <c r="AK44" s="28">
        <v>3</v>
      </c>
      <c r="AL44" s="28">
        <v>0</v>
      </c>
      <c r="AM44" s="28">
        <v>5</v>
      </c>
      <c r="AN44" s="28">
        <v>3</v>
      </c>
      <c r="AO44" s="28">
        <v>11</v>
      </c>
      <c r="AP44" s="77">
        <v>8</v>
      </c>
      <c r="AQ44" s="28">
        <v>2</v>
      </c>
      <c r="AR44" s="28">
        <v>5</v>
      </c>
      <c r="AS44" s="77">
        <v>26</v>
      </c>
      <c r="AT44" s="72">
        <v>0.69221209610604806</v>
      </c>
      <c r="AU44" s="28">
        <v>2</v>
      </c>
      <c r="AV44" s="75">
        <v>42</v>
      </c>
      <c r="AY44" s="101" t="s">
        <v>835</v>
      </c>
      <c r="AZ44" s="77" t="s">
        <v>186</v>
      </c>
      <c r="BA44" s="77" t="s">
        <v>849</v>
      </c>
      <c r="BB44" s="130">
        <v>0.20430107526881722</v>
      </c>
      <c r="BC44" s="72">
        <v>0.23711340206185566</v>
      </c>
      <c r="BD44" s="72">
        <v>0.27956989247311825</v>
      </c>
      <c r="BE44" s="77">
        <v>31</v>
      </c>
      <c r="BF44" s="28">
        <v>93</v>
      </c>
      <c r="BG44" s="28">
        <v>13</v>
      </c>
      <c r="BH44" s="28">
        <v>19</v>
      </c>
      <c r="BI44" s="28">
        <v>1</v>
      </c>
      <c r="BJ44" s="28">
        <v>0</v>
      </c>
      <c r="BK44" s="28">
        <v>2</v>
      </c>
      <c r="BL44" s="28">
        <v>6</v>
      </c>
      <c r="BM44" s="28">
        <v>4</v>
      </c>
      <c r="BN44" s="28">
        <v>25</v>
      </c>
      <c r="BO44" s="77">
        <v>10</v>
      </c>
      <c r="BP44" s="28">
        <v>4</v>
      </c>
      <c r="BQ44" s="28">
        <v>4</v>
      </c>
      <c r="BR44" s="77">
        <v>26</v>
      </c>
      <c r="BS44" s="72">
        <v>0.51668329453497397</v>
      </c>
      <c r="BT44" s="28">
        <v>1</v>
      </c>
      <c r="BU44" s="75">
        <v>42</v>
      </c>
    </row>
    <row r="45" spans="1:73">
      <c r="A45" s="101" t="s">
        <v>869</v>
      </c>
      <c r="B45" s="71" t="s">
        <v>179</v>
      </c>
      <c r="C45" s="28" t="s">
        <v>874</v>
      </c>
      <c r="D45" s="72">
        <f>VLOOKUP(Table88[[#This Row],[NAME]],WSH_H[[NAME]:['#]],2,0)</f>
        <v>0.23275862068965517</v>
      </c>
      <c r="E45" s="72">
        <f>VLOOKUP(Table88[[#This Row],[NAME]],WSH_H[[NAME]:['#]],3,0)</f>
        <v>0.25210084033613445</v>
      </c>
      <c r="F45" s="72">
        <f>VLOOKUP(Table88[[#This Row],[NAME]],WSH_H[[NAME]:['#]],4,0)</f>
        <v>0.33620689655172414</v>
      </c>
      <c r="G45" s="77">
        <f>VLOOKUP(Table88[[#This Row],[NAME]],WSH_H[[NAME]:['#]],5,0)</f>
        <v>32</v>
      </c>
      <c r="H45" s="28">
        <f>VLOOKUP(Table88[[#This Row],[NAME]],WSH_H[[NAME]:['#]],6,0)</f>
        <v>116</v>
      </c>
      <c r="I45" s="28">
        <f>VLOOKUP(Table88[[#This Row],[NAME]],WSH_H[[NAME]:['#]],7,0)</f>
        <v>7</v>
      </c>
      <c r="J45" s="28">
        <f>VLOOKUP(Table88[[#This Row],[NAME]],WSH_H[[NAME]:['#]],8,0)</f>
        <v>27</v>
      </c>
      <c r="K45" s="28">
        <f>VLOOKUP(Table88[[#This Row],[NAME]],WSH_H[[NAME]:['#]],9,0)</f>
        <v>6</v>
      </c>
      <c r="L45" s="28">
        <f>VLOOKUP(Table88[[#This Row],[NAME]],WSH_H[[NAME]:['#]],10,0)</f>
        <v>0</v>
      </c>
      <c r="M45" s="28">
        <f>VLOOKUP(Table88[[#This Row],[NAME]],WSH_H[[NAME]:['#]],11,0)</f>
        <v>2</v>
      </c>
      <c r="N45" s="28">
        <f>VLOOKUP(Table88[[#This Row],[NAME]],WSH_H[[NAME]:['#]],12,0)</f>
        <v>13</v>
      </c>
      <c r="O45" s="28">
        <f>VLOOKUP(Table88[[#This Row],[NAME]],WSH_H[[NAME]:['#]],13,0)</f>
        <v>3</v>
      </c>
      <c r="P45" s="28">
        <f>VLOOKUP(Table88[[#This Row],[NAME]],WSH_H[[NAME]:['#]],14,0)</f>
        <v>25</v>
      </c>
      <c r="Q45" s="77">
        <f>VLOOKUP(Table88[[#This Row],[NAME]],WSH_H[[NAME]:['#]],15,0)</f>
        <v>0</v>
      </c>
      <c r="R45" s="28">
        <f>VLOOKUP(Table88[[#This Row],[NAME]],WSH_H[[NAME]:['#]],16,0)</f>
        <v>2</v>
      </c>
      <c r="S45" s="28">
        <f>VLOOKUP(Table88[[#This Row],[NAME]],WSH_H[[NAME]:['#]],17,0)</f>
        <v>7</v>
      </c>
      <c r="T45" s="77">
        <f>VLOOKUP(Table88[[#This Row],[NAME]],WSH_H[[NAME]:['#]],18,0)</f>
        <v>39</v>
      </c>
      <c r="U45" s="72">
        <f>VLOOKUP(Table88[[#This Row],[NAME]],WSH_H[[NAME]:['#]],19,0)</f>
        <v>0.58830773688785865</v>
      </c>
      <c r="V45" s="28">
        <f>VLOOKUP(Table88[[#This Row],[NAME]],WSH_H[[NAME]:['#]],20,0)</f>
        <v>1</v>
      </c>
      <c r="W45" s="75">
        <v>43</v>
      </c>
      <c r="Z45" s="101" t="s">
        <v>869</v>
      </c>
      <c r="AA45" s="77" t="s">
        <v>179</v>
      </c>
      <c r="AB45" s="77" t="s">
        <v>874</v>
      </c>
      <c r="AC45" s="130">
        <v>0.23129251700680273</v>
      </c>
      <c r="AD45" s="72">
        <v>0.27564102564102566</v>
      </c>
      <c r="AE45" s="72">
        <v>0.34693877551020408</v>
      </c>
      <c r="AF45" s="77">
        <v>38</v>
      </c>
      <c r="AG45" s="28">
        <v>147</v>
      </c>
      <c r="AH45" s="28">
        <v>13</v>
      </c>
      <c r="AI45" s="28">
        <v>34</v>
      </c>
      <c r="AJ45" s="28">
        <v>5</v>
      </c>
      <c r="AK45" s="28">
        <v>0</v>
      </c>
      <c r="AL45" s="28">
        <v>4</v>
      </c>
      <c r="AM45" s="28">
        <v>14</v>
      </c>
      <c r="AN45" s="28">
        <v>9</v>
      </c>
      <c r="AO45" s="28">
        <v>18</v>
      </c>
      <c r="AP45" s="77">
        <v>0</v>
      </c>
      <c r="AQ45" s="28">
        <v>6</v>
      </c>
      <c r="AR45" s="28">
        <v>9</v>
      </c>
      <c r="AS45" s="77">
        <v>51</v>
      </c>
      <c r="AT45" s="72">
        <v>0.62257980115122979</v>
      </c>
      <c r="AU45" s="28">
        <v>1</v>
      </c>
      <c r="AV45" s="75">
        <v>43</v>
      </c>
      <c r="AY45" s="101" t="s">
        <v>869</v>
      </c>
      <c r="AZ45" s="77" t="s">
        <v>179</v>
      </c>
      <c r="BA45" s="77" t="s">
        <v>874</v>
      </c>
      <c r="BB45" s="130">
        <v>0.2792207792207792</v>
      </c>
      <c r="BC45" s="72">
        <v>0.31481481481481483</v>
      </c>
      <c r="BD45" s="72">
        <v>0.48051948051948051</v>
      </c>
      <c r="BE45" s="77">
        <v>40</v>
      </c>
      <c r="BF45" s="28">
        <v>154</v>
      </c>
      <c r="BG45" s="28">
        <v>17</v>
      </c>
      <c r="BH45" s="28">
        <v>43</v>
      </c>
      <c r="BI45" s="28">
        <v>7</v>
      </c>
      <c r="BJ45" s="28">
        <v>0</v>
      </c>
      <c r="BK45" s="28">
        <v>8</v>
      </c>
      <c r="BL45" s="28">
        <v>17</v>
      </c>
      <c r="BM45" s="28">
        <v>8</v>
      </c>
      <c r="BN45" s="28">
        <v>16</v>
      </c>
      <c r="BO45" s="77">
        <v>0</v>
      </c>
      <c r="BP45" s="28">
        <v>0</v>
      </c>
      <c r="BQ45" s="28">
        <v>11</v>
      </c>
      <c r="BR45" s="77">
        <v>74</v>
      </c>
      <c r="BS45" s="72">
        <v>0.79533429533429534</v>
      </c>
      <c r="BT45" s="28">
        <v>3</v>
      </c>
      <c r="BU45" s="75">
        <v>43</v>
      </c>
    </row>
    <row r="46" spans="1:73">
      <c r="A46" s="101" t="s">
        <v>869</v>
      </c>
      <c r="B46" s="71" t="s">
        <v>154</v>
      </c>
      <c r="C46" s="74" t="s">
        <v>871</v>
      </c>
      <c r="D46" s="72">
        <f>VLOOKUP(Table88[[#This Row],[NAME]],WSH_H[[NAME]:['#]],2,0)</f>
        <v>0.26874999999999999</v>
      </c>
      <c r="E46" s="72">
        <f>VLOOKUP(Table88[[#This Row],[NAME]],WSH_H[[NAME]:['#]],3,0)</f>
        <v>0.34269662921348315</v>
      </c>
      <c r="F46" s="72">
        <f>VLOOKUP(Table88[[#This Row],[NAME]],WSH_H[[NAME]:['#]],4,0)</f>
        <v>0.39374999999999999</v>
      </c>
      <c r="G46" s="77">
        <f>VLOOKUP(Table88[[#This Row],[NAME]],WSH_H[[NAME]:['#]],5,0)</f>
        <v>40</v>
      </c>
      <c r="H46" s="28">
        <f>VLOOKUP(Table88[[#This Row],[NAME]],WSH_H[[NAME]:['#]],6,0)</f>
        <v>160</v>
      </c>
      <c r="I46" s="28">
        <f>VLOOKUP(Table88[[#This Row],[NAME]],WSH_H[[NAME]:['#]],7,0)</f>
        <v>19</v>
      </c>
      <c r="J46" s="28">
        <f>VLOOKUP(Table88[[#This Row],[NAME]],WSH_H[[NAME]:['#]],8,0)</f>
        <v>43</v>
      </c>
      <c r="K46" s="28">
        <f>VLOOKUP(Table88[[#This Row],[NAME]],WSH_H[[NAME]:['#]],9,0)</f>
        <v>8</v>
      </c>
      <c r="L46" s="28">
        <f>VLOOKUP(Table88[[#This Row],[NAME]],WSH_H[[NAME]:['#]],10,0)</f>
        <v>0</v>
      </c>
      <c r="M46" s="28">
        <f>VLOOKUP(Table88[[#This Row],[NAME]],WSH_H[[NAME]:['#]],11,0)</f>
        <v>4</v>
      </c>
      <c r="N46" s="28">
        <f>VLOOKUP(Table88[[#This Row],[NAME]],WSH_H[[NAME]:['#]],12,0)</f>
        <v>14</v>
      </c>
      <c r="O46" s="28">
        <f>VLOOKUP(Table88[[#This Row],[NAME]],WSH_H[[NAME]:['#]],13,0)</f>
        <v>18</v>
      </c>
      <c r="P46" s="28">
        <f>VLOOKUP(Table88[[#This Row],[NAME]],WSH_H[[NAME]:['#]],14,0)</f>
        <v>32</v>
      </c>
      <c r="Q46" s="77">
        <f>VLOOKUP(Table88[[#This Row],[NAME]],WSH_H[[NAME]:['#]],15,0)</f>
        <v>0</v>
      </c>
      <c r="R46" s="28">
        <f>VLOOKUP(Table88[[#This Row],[NAME]],WSH_H[[NAME]:['#]],16,0)</f>
        <v>9</v>
      </c>
      <c r="S46" s="28">
        <f>VLOOKUP(Table88[[#This Row],[NAME]],WSH_H[[NAME]:['#]],17,0)</f>
        <v>9</v>
      </c>
      <c r="T46" s="77">
        <f>VLOOKUP(Table88[[#This Row],[NAME]],WSH_H[[NAME]:['#]],18,0)</f>
        <v>63</v>
      </c>
      <c r="U46" s="72">
        <f>VLOOKUP(Table88[[#This Row],[NAME]],WSH_H[[NAME]:['#]],19,0)</f>
        <v>0.73644662921348314</v>
      </c>
      <c r="V46" s="28">
        <f>VLOOKUP(Table88[[#This Row],[NAME]],WSH_H[[NAME]:['#]],20,0)</f>
        <v>0</v>
      </c>
      <c r="W46" s="75">
        <v>44</v>
      </c>
      <c r="Z46" s="101" t="s">
        <v>869</v>
      </c>
      <c r="AA46" s="77" t="s">
        <v>154</v>
      </c>
      <c r="AB46" s="77" t="s">
        <v>873</v>
      </c>
      <c r="AC46" s="130">
        <v>0.26241134751773049</v>
      </c>
      <c r="AD46" s="72">
        <v>0.28275862068965518</v>
      </c>
      <c r="AE46" s="72">
        <v>0.36879432624113473</v>
      </c>
      <c r="AF46" s="77">
        <v>36</v>
      </c>
      <c r="AG46" s="28">
        <v>141</v>
      </c>
      <c r="AH46" s="28">
        <v>12</v>
      </c>
      <c r="AI46" s="28">
        <v>37</v>
      </c>
      <c r="AJ46" s="28">
        <v>10</v>
      </c>
      <c r="AK46" s="28">
        <v>1</v>
      </c>
      <c r="AL46" s="28">
        <v>1</v>
      </c>
      <c r="AM46" s="28">
        <v>14</v>
      </c>
      <c r="AN46" s="28">
        <v>4</v>
      </c>
      <c r="AO46" s="28">
        <v>38</v>
      </c>
      <c r="AP46" s="77">
        <v>0</v>
      </c>
      <c r="AQ46" s="28">
        <v>0</v>
      </c>
      <c r="AR46" s="28">
        <v>10</v>
      </c>
      <c r="AS46" s="77">
        <v>52</v>
      </c>
      <c r="AT46" s="72">
        <v>0.65155294693078991</v>
      </c>
      <c r="AU46" s="28">
        <v>1</v>
      </c>
      <c r="AV46" s="75">
        <v>44</v>
      </c>
      <c r="AY46" s="101" t="s">
        <v>869</v>
      </c>
      <c r="AZ46" s="77" t="s">
        <v>154</v>
      </c>
      <c r="BA46" s="77" t="s">
        <v>873</v>
      </c>
      <c r="BB46" s="130">
        <v>0.25161290322580643</v>
      </c>
      <c r="BC46" s="72">
        <v>0.29696969696969699</v>
      </c>
      <c r="BD46" s="72">
        <v>0.34838709677419355</v>
      </c>
      <c r="BE46" s="77">
        <v>40</v>
      </c>
      <c r="BF46" s="28">
        <v>155</v>
      </c>
      <c r="BG46" s="28">
        <v>12</v>
      </c>
      <c r="BH46" s="28">
        <v>39</v>
      </c>
      <c r="BI46" s="28">
        <v>10</v>
      </c>
      <c r="BJ46" s="28">
        <v>1</v>
      </c>
      <c r="BK46" s="28">
        <v>1</v>
      </c>
      <c r="BL46" s="28">
        <v>8</v>
      </c>
      <c r="BM46" s="28">
        <v>10</v>
      </c>
      <c r="BN46" s="28">
        <v>36</v>
      </c>
      <c r="BO46" s="77">
        <v>0</v>
      </c>
      <c r="BP46" s="28">
        <v>1</v>
      </c>
      <c r="BQ46" s="28">
        <v>8</v>
      </c>
      <c r="BR46" s="77">
        <v>54</v>
      </c>
      <c r="BS46" s="72">
        <v>0.64535679374389054</v>
      </c>
      <c r="BT46" s="28">
        <v>0</v>
      </c>
      <c r="BU46" s="75">
        <v>44</v>
      </c>
    </row>
    <row r="47" spans="1:73">
      <c r="A47" s="101" t="s">
        <v>869</v>
      </c>
      <c r="B47" s="71" t="s">
        <v>172</v>
      </c>
      <c r="C47" s="74" t="s">
        <v>870</v>
      </c>
      <c r="D47" s="72">
        <f>VLOOKUP(Table88[[#This Row],[NAME]],WSH_H[[NAME]:['#]],2,0)</f>
        <v>0.31288343558282211</v>
      </c>
      <c r="E47" s="72">
        <f>VLOOKUP(Table88[[#This Row],[NAME]],WSH_H[[NAME]:['#]],3,0)</f>
        <v>0.35260115606936415</v>
      </c>
      <c r="F47" s="72">
        <f>VLOOKUP(Table88[[#This Row],[NAME]],WSH_H[[NAME]:['#]],4,0)</f>
        <v>0.44171779141104295</v>
      </c>
      <c r="G47" s="77">
        <f>VLOOKUP(Table88[[#This Row],[NAME]],WSH_H[[NAME]:['#]],5,0)</f>
        <v>39</v>
      </c>
      <c r="H47" s="28">
        <f>VLOOKUP(Table88[[#This Row],[NAME]],WSH_H[[NAME]:['#]],6,0)</f>
        <v>163</v>
      </c>
      <c r="I47" s="28">
        <f>VLOOKUP(Table88[[#This Row],[NAME]],WSH_H[[NAME]:['#]],7,0)</f>
        <v>13</v>
      </c>
      <c r="J47" s="28">
        <f>VLOOKUP(Table88[[#This Row],[NAME]],WSH_H[[NAME]:['#]],8,0)</f>
        <v>51</v>
      </c>
      <c r="K47" s="76">
        <f>VLOOKUP(Table88[[#This Row],[NAME]],WSH_H[[NAME]:['#]],9,0)</f>
        <v>16</v>
      </c>
      <c r="L47" s="28">
        <f>VLOOKUP(Table88[[#This Row],[NAME]],WSH_H[[NAME]:['#]],10,0)</f>
        <v>1</v>
      </c>
      <c r="M47" s="28">
        <f>VLOOKUP(Table88[[#This Row],[NAME]],WSH_H[[NAME]:['#]],11,0)</f>
        <v>1</v>
      </c>
      <c r="N47" s="28">
        <f>VLOOKUP(Table88[[#This Row],[NAME]],WSH_H[[NAME]:['#]],12,0)</f>
        <v>13</v>
      </c>
      <c r="O47" s="28">
        <f>VLOOKUP(Table88[[#This Row],[NAME]],WSH_H[[NAME]:['#]],13,0)</f>
        <v>10</v>
      </c>
      <c r="P47" s="28">
        <f>VLOOKUP(Table88[[#This Row],[NAME]],WSH_H[[NAME]:['#]],14,0)</f>
        <v>37</v>
      </c>
      <c r="Q47" s="77">
        <f>VLOOKUP(Table88[[#This Row],[NAME]],WSH_H[[NAME]:['#]],15,0)</f>
        <v>13</v>
      </c>
      <c r="R47" s="28">
        <f>VLOOKUP(Table88[[#This Row],[NAME]],WSH_H[[NAME]:['#]],16,0)</f>
        <v>2</v>
      </c>
      <c r="S47" s="28">
        <f>VLOOKUP(Table88[[#This Row],[NAME]],WSH_H[[NAME]:['#]],17,0)</f>
        <v>14</v>
      </c>
      <c r="T47" s="77">
        <f>VLOOKUP(Table88[[#This Row],[NAME]],WSH_H[[NAME]:['#]],18,0)</f>
        <v>72</v>
      </c>
      <c r="U47" s="72">
        <f>VLOOKUP(Table88[[#This Row],[NAME]],WSH_H[[NAME]:['#]],19,0)</f>
        <v>0.7943189474804071</v>
      </c>
      <c r="V47" s="28">
        <f>VLOOKUP(Table88[[#This Row],[NAME]],WSH_H[[NAME]:['#]],20,0)</f>
        <v>4</v>
      </c>
      <c r="W47" s="75">
        <v>45</v>
      </c>
      <c r="Z47" s="101" t="s">
        <v>869</v>
      </c>
      <c r="AA47" s="77" t="s">
        <v>235</v>
      </c>
      <c r="AB47" s="77" t="s">
        <v>870</v>
      </c>
      <c r="AC47" s="130">
        <v>0.28282828282828282</v>
      </c>
      <c r="AD47" s="72">
        <v>0.34259259259259262</v>
      </c>
      <c r="AE47" s="72">
        <v>0.32323232323232326</v>
      </c>
      <c r="AF47" s="77">
        <v>28</v>
      </c>
      <c r="AG47" s="28">
        <v>99</v>
      </c>
      <c r="AH47" s="28">
        <v>6</v>
      </c>
      <c r="AI47" s="28">
        <v>28</v>
      </c>
      <c r="AJ47" s="28">
        <v>1</v>
      </c>
      <c r="AK47" s="28">
        <v>0</v>
      </c>
      <c r="AL47" s="28">
        <v>1</v>
      </c>
      <c r="AM47" s="28">
        <v>11</v>
      </c>
      <c r="AN47" s="28">
        <v>9</v>
      </c>
      <c r="AO47" s="28">
        <v>21</v>
      </c>
      <c r="AP47" s="77">
        <v>2</v>
      </c>
      <c r="AQ47" s="28">
        <v>0</v>
      </c>
      <c r="AR47" s="28">
        <v>9</v>
      </c>
      <c r="AS47" s="77">
        <v>32</v>
      </c>
      <c r="AT47" s="72">
        <v>0.66582491582491588</v>
      </c>
      <c r="AU47" s="28">
        <v>2</v>
      </c>
      <c r="AV47" s="75">
        <v>45</v>
      </c>
      <c r="AY47" s="101" t="s">
        <v>869</v>
      </c>
      <c r="AZ47" s="77" t="s">
        <v>172</v>
      </c>
      <c r="BA47" s="77" t="s">
        <v>872</v>
      </c>
      <c r="BB47" s="130">
        <v>0.24431818181818182</v>
      </c>
      <c r="BC47" s="72">
        <v>0.3</v>
      </c>
      <c r="BD47" s="72">
        <v>0.43181818181818182</v>
      </c>
      <c r="BE47" s="77">
        <v>40</v>
      </c>
      <c r="BF47" s="76">
        <v>176</v>
      </c>
      <c r="BG47" s="28">
        <v>22</v>
      </c>
      <c r="BH47" s="28">
        <v>43</v>
      </c>
      <c r="BI47" s="28">
        <v>9</v>
      </c>
      <c r="BJ47" s="28">
        <v>0</v>
      </c>
      <c r="BK47" s="28">
        <v>8</v>
      </c>
      <c r="BL47" s="28">
        <v>15</v>
      </c>
      <c r="BM47" s="28">
        <v>14</v>
      </c>
      <c r="BN47" s="28">
        <v>41</v>
      </c>
      <c r="BO47" s="77">
        <v>22</v>
      </c>
      <c r="BP47" s="28">
        <v>1</v>
      </c>
      <c r="BQ47" s="28">
        <v>4</v>
      </c>
      <c r="BR47" s="77">
        <v>76</v>
      </c>
      <c r="BS47" s="72">
        <v>0.73181818181818181</v>
      </c>
      <c r="BT47" s="28">
        <v>3</v>
      </c>
      <c r="BU47" s="75">
        <v>45</v>
      </c>
    </row>
    <row r="48" spans="1:73">
      <c r="A48" s="101" t="s">
        <v>869</v>
      </c>
      <c r="B48" s="71" t="s">
        <v>311</v>
      </c>
      <c r="C48" s="74" t="s">
        <v>603</v>
      </c>
      <c r="D48" s="72">
        <f>VLOOKUP(Table88[[#This Row],[NAME]],WSH_H[[NAME]:['#]],2,0)</f>
        <v>0.25333333333333335</v>
      </c>
      <c r="E48" s="72">
        <f>VLOOKUP(Table88[[#This Row],[NAME]],WSH_H[[NAME]:['#]],3,0)</f>
        <v>0.33333333333333331</v>
      </c>
      <c r="F48" s="72">
        <f>VLOOKUP(Table88[[#This Row],[NAME]],WSH_H[[NAME]:['#]],4,0)</f>
        <v>0.48</v>
      </c>
      <c r="G48" s="77">
        <f>VLOOKUP(Table88[[#This Row],[NAME]],WSH_H[[NAME]:['#]],5,0)</f>
        <v>22</v>
      </c>
      <c r="H48" s="28">
        <f>VLOOKUP(Table88[[#This Row],[NAME]],WSH_H[[NAME]:['#]],6,0)</f>
        <v>75</v>
      </c>
      <c r="I48" s="28">
        <f>VLOOKUP(Table88[[#This Row],[NAME]],WSH_H[[NAME]:['#]],7,0)</f>
        <v>5</v>
      </c>
      <c r="J48" s="28">
        <f>VLOOKUP(Table88[[#This Row],[NAME]],WSH_H[[NAME]:['#]],8,0)</f>
        <v>19</v>
      </c>
      <c r="K48" s="28">
        <f>VLOOKUP(Table88[[#This Row],[NAME]],WSH_H[[NAME]:['#]],9,0)</f>
        <v>1</v>
      </c>
      <c r="L48" s="28">
        <f>VLOOKUP(Table88[[#This Row],[NAME]],WSH_H[[NAME]:['#]],10,0)</f>
        <v>2</v>
      </c>
      <c r="M48" s="28">
        <f>VLOOKUP(Table88[[#This Row],[NAME]],WSH_H[[NAME]:['#]],11,0)</f>
        <v>4</v>
      </c>
      <c r="N48" s="28">
        <f>VLOOKUP(Table88[[#This Row],[NAME]],WSH_H[[NAME]:['#]],12,0)</f>
        <v>14</v>
      </c>
      <c r="O48" s="28">
        <f>VLOOKUP(Table88[[#This Row],[NAME]],WSH_H[[NAME]:['#]],13,0)</f>
        <v>9</v>
      </c>
      <c r="P48" s="28">
        <f>VLOOKUP(Table88[[#This Row],[NAME]],WSH_H[[NAME]:['#]],14,0)</f>
        <v>21</v>
      </c>
      <c r="Q48" s="77">
        <f>VLOOKUP(Table88[[#This Row],[NAME]],WSH_H[[NAME]:['#]],15,0)</f>
        <v>0</v>
      </c>
      <c r="R48" s="28">
        <f>VLOOKUP(Table88[[#This Row],[NAME]],WSH_H[[NAME]:['#]],16,0)</f>
        <v>0</v>
      </c>
      <c r="S48" s="28">
        <f>VLOOKUP(Table88[[#This Row],[NAME]],WSH_H[[NAME]:['#]],17,0)</f>
        <v>6</v>
      </c>
      <c r="T48" s="77">
        <f>VLOOKUP(Table88[[#This Row],[NAME]],WSH_H[[NAME]:['#]],18,0)</f>
        <v>36</v>
      </c>
      <c r="U48" s="72">
        <f>VLOOKUP(Table88[[#This Row],[NAME]],WSH_H[[NAME]:['#]],19,0)</f>
        <v>0.81333333333333324</v>
      </c>
      <c r="V48" s="28">
        <f>VLOOKUP(Table88[[#This Row],[NAME]],WSH_H[[NAME]:['#]],20,0)</f>
        <v>1</v>
      </c>
      <c r="W48" s="75">
        <v>46</v>
      </c>
      <c r="Z48" s="101" t="s">
        <v>869</v>
      </c>
      <c r="AA48" s="77" t="s">
        <v>153</v>
      </c>
      <c r="AB48" s="77" t="s">
        <v>880</v>
      </c>
      <c r="AC48" s="130">
        <v>0.20588235294117646</v>
      </c>
      <c r="AD48" s="72">
        <v>0.30769230769230771</v>
      </c>
      <c r="AE48" s="72">
        <v>0.38235294117647056</v>
      </c>
      <c r="AF48" s="77">
        <v>19</v>
      </c>
      <c r="AG48" s="28">
        <v>68</v>
      </c>
      <c r="AH48" s="28">
        <v>7</v>
      </c>
      <c r="AI48" s="28">
        <v>14</v>
      </c>
      <c r="AJ48" s="28">
        <v>6</v>
      </c>
      <c r="AK48" s="28">
        <v>0</v>
      </c>
      <c r="AL48" s="28">
        <v>2</v>
      </c>
      <c r="AM48" s="28">
        <v>9</v>
      </c>
      <c r="AN48" s="28">
        <v>10</v>
      </c>
      <c r="AO48" s="28">
        <v>18</v>
      </c>
      <c r="AP48" s="77">
        <v>0</v>
      </c>
      <c r="AQ48" s="28">
        <v>2</v>
      </c>
      <c r="AR48" s="28">
        <v>5</v>
      </c>
      <c r="AS48" s="77">
        <v>26</v>
      </c>
      <c r="AT48" s="72">
        <v>0.69004524886877827</v>
      </c>
      <c r="AU48" s="28">
        <v>1</v>
      </c>
      <c r="AV48" s="75">
        <v>46</v>
      </c>
      <c r="AY48" s="101" t="s">
        <v>869</v>
      </c>
      <c r="AZ48" s="77" t="s">
        <v>153</v>
      </c>
      <c r="BA48" s="77" t="s">
        <v>880</v>
      </c>
      <c r="BB48" s="130">
        <v>0.22727272727272727</v>
      </c>
      <c r="BC48" s="72">
        <v>0.25624999999999998</v>
      </c>
      <c r="BD48" s="72">
        <v>0.34415584415584416</v>
      </c>
      <c r="BE48" s="77">
        <v>40</v>
      </c>
      <c r="BF48" s="28">
        <v>154</v>
      </c>
      <c r="BG48" s="28">
        <v>13</v>
      </c>
      <c r="BH48" s="28">
        <v>35</v>
      </c>
      <c r="BI48" s="28">
        <v>9</v>
      </c>
      <c r="BJ48" s="28">
        <v>0</v>
      </c>
      <c r="BK48" s="28">
        <v>3</v>
      </c>
      <c r="BL48" s="28">
        <v>18</v>
      </c>
      <c r="BM48" s="28">
        <v>6</v>
      </c>
      <c r="BN48" s="28">
        <v>43</v>
      </c>
      <c r="BO48" s="77">
        <v>0</v>
      </c>
      <c r="BP48" s="28">
        <v>0</v>
      </c>
      <c r="BQ48" s="28">
        <v>4</v>
      </c>
      <c r="BR48" s="77">
        <v>53</v>
      </c>
      <c r="BS48" s="72">
        <v>0.60040584415584419</v>
      </c>
      <c r="BT48" s="28">
        <v>2</v>
      </c>
      <c r="BU48" s="75">
        <v>46</v>
      </c>
    </row>
    <row r="49" spans="1:73">
      <c r="A49" s="101" t="s">
        <v>869</v>
      </c>
      <c r="B49" s="71" t="s">
        <v>177</v>
      </c>
      <c r="C49" s="74" t="s">
        <v>875</v>
      </c>
      <c r="D49" s="72">
        <f>VLOOKUP(Table88[[#This Row],[NAME]],WSH_H[[NAME]:['#]],2,0)</f>
        <v>0.22875816993464052</v>
      </c>
      <c r="E49" s="72">
        <f>VLOOKUP(Table88[[#This Row],[NAME]],WSH_H[[NAME]:['#]],3,0)</f>
        <v>0.31395348837209303</v>
      </c>
      <c r="F49" s="72">
        <f>VLOOKUP(Table88[[#This Row],[NAME]],WSH_H[[NAME]:['#]],4,0)</f>
        <v>0.40522875816993464</v>
      </c>
      <c r="G49" s="77">
        <f>VLOOKUP(Table88[[#This Row],[NAME]],WSH_H[[NAME]:['#]],5,0)</f>
        <v>40</v>
      </c>
      <c r="H49" s="28">
        <f>VLOOKUP(Table88[[#This Row],[NAME]],WSH_H[[NAME]:['#]],6,0)</f>
        <v>153</v>
      </c>
      <c r="I49" s="28">
        <f>VLOOKUP(Table88[[#This Row],[NAME]],WSH_H[[NAME]:['#]],7,0)</f>
        <v>20</v>
      </c>
      <c r="J49" s="28">
        <f>VLOOKUP(Table88[[#This Row],[NAME]],WSH_H[[NAME]:['#]],8,0)</f>
        <v>35</v>
      </c>
      <c r="K49" s="28">
        <f>VLOOKUP(Table88[[#This Row],[NAME]],WSH_H[[NAME]:['#]],9,0)</f>
        <v>6</v>
      </c>
      <c r="L49" s="28">
        <f>VLOOKUP(Table88[[#This Row],[NAME]],WSH_H[[NAME]:['#]],10,0)</f>
        <v>3</v>
      </c>
      <c r="M49" s="28">
        <f>VLOOKUP(Table88[[#This Row],[NAME]],WSH_H[[NAME]:['#]],11,0)</f>
        <v>5</v>
      </c>
      <c r="N49" s="28">
        <f>VLOOKUP(Table88[[#This Row],[NAME]],WSH_H[[NAME]:['#]],12,0)</f>
        <v>15</v>
      </c>
      <c r="O49" s="28">
        <f>VLOOKUP(Table88[[#This Row],[NAME]],WSH_H[[NAME]:['#]],13,0)</f>
        <v>19</v>
      </c>
      <c r="P49" s="28">
        <f>VLOOKUP(Table88[[#This Row],[NAME]],WSH_H[[NAME]:['#]],14,0)</f>
        <v>43</v>
      </c>
      <c r="Q49" s="77">
        <f>VLOOKUP(Table88[[#This Row],[NAME]],WSH_H[[NAME]:['#]],15,0)</f>
        <v>0</v>
      </c>
      <c r="R49" s="28">
        <f>VLOOKUP(Table88[[#This Row],[NAME]],WSH_H[[NAME]:['#]],16,0)</f>
        <v>2</v>
      </c>
      <c r="S49" s="28">
        <f>VLOOKUP(Table88[[#This Row],[NAME]],WSH_H[[NAME]:['#]],17,0)</f>
        <v>12</v>
      </c>
      <c r="T49" s="77">
        <f>VLOOKUP(Table88[[#This Row],[NAME]],WSH_H[[NAME]:['#]],18,0)</f>
        <v>62</v>
      </c>
      <c r="U49" s="72">
        <f>VLOOKUP(Table88[[#This Row],[NAME]],WSH_H[[NAME]:['#]],19,0)</f>
        <v>0.71918224654202767</v>
      </c>
      <c r="V49" s="28">
        <f>VLOOKUP(Table88[[#This Row],[NAME]],WSH_H[[NAME]:['#]],20,0)</f>
        <v>2</v>
      </c>
      <c r="W49" s="75">
        <v>47</v>
      </c>
      <c r="Z49" s="101" t="s">
        <v>869</v>
      </c>
      <c r="AA49" s="77" t="s">
        <v>177</v>
      </c>
      <c r="AB49" s="77" t="s">
        <v>871</v>
      </c>
      <c r="AC49" s="130">
        <v>0.28834355828220859</v>
      </c>
      <c r="AD49" s="72">
        <v>0.35195530726256985</v>
      </c>
      <c r="AE49" s="72">
        <v>0.5214723926380368</v>
      </c>
      <c r="AF49" s="77">
        <v>40</v>
      </c>
      <c r="AG49" s="28">
        <v>163</v>
      </c>
      <c r="AH49" s="28">
        <v>24</v>
      </c>
      <c r="AI49" s="28">
        <v>47</v>
      </c>
      <c r="AJ49" s="28">
        <v>14</v>
      </c>
      <c r="AK49" s="28">
        <v>0</v>
      </c>
      <c r="AL49" s="28">
        <v>8</v>
      </c>
      <c r="AM49" s="28">
        <v>28</v>
      </c>
      <c r="AN49" s="28">
        <v>16</v>
      </c>
      <c r="AO49" s="28">
        <v>39</v>
      </c>
      <c r="AP49" s="77">
        <v>0</v>
      </c>
      <c r="AQ49" s="28">
        <v>3</v>
      </c>
      <c r="AR49" s="28">
        <v>7</v>
      </c>
      <c r="AS49" s="77">
        <v>85</v>
      </c>
      <c r="AT49" s="72">
        <v>0.87342769990060665</v>
      </c>
      <c r="AU49" s="28">
        <v>3</v>
      </c>
      <c r="AV49" s="75">
        <v>47</v>
      </c>
      <c r="AY49" s="101" t="s">
        <v>869</v>
      </c>
      <c r="AZ49" s="77" t="s">
        <v>177</v>
      </c>
      <c r="BA49" s="77" t="s">
        <v>871</v>
      </c>
      <c r="BB49" s="130">
        <v>0.23312883435582821</v>
      </c>
      <c r="BC49" s="72">
        <v>0.28977272727272729</v>
      </c>
      <c r="BD49" s="72">
        <v>0.45398773006134968</v>
      </c>
      <c r="BE49" s="77">
        <v>40</v>
      </c>
      <c r="BF49" s="28">
        <v>163</v>
      </c>
      <c r="BG49" s="28">
        <v>17</v>
      </c>
      <c r="BH49" s="28">
        <v>38</v>
      </c>
      <c r="BI49" s="28">
        <v>12</v>
      </c>
      <c r="BJ49" s="28">
        <v>0</v>
      </c>
      <c r="BK49" s="28">
        <v>8</v>
      </c>
      <c r="BL49" s="28">
        <v>21</v>
      </c>
      <c r="BM49" s="28">
        <v>13</v>
      </c>
      <c r="BN49" s="28">
        <v>45</v>
      </c>
      <c r="BO49" s="77">
        <v>0</v>
      </c>
      <c r="BP49" s="28">
        <v>0</v>
      </c>
      <c r="BQ49" s="28">
        <v>4</v>
      </c>
      <c r="BR49" s="77">
        <v>74</v>
      </c>
      <c r="BS49" s="72">
        <v>0.74376045733407703</v>
      </c>
      <c r="BT49" s="28">
        <v>6</v>
      </c>
      <c r="BU49" s="75">
        <v>47</v>
      </c>
    </row>
    <row r="50" spans="1:73">
      <c r="A50" s="101" t="s">
        <v>869</v>
      </c>
      <c r="B50" s="71" t="s">
        <v>234</v>
      </c>
      <c r="C50" s="74" t="s">
        <v>877</v>
      </c>
      <c r="D50" s="72">
        <f>VLOOKUP(Table88[[#This Row],[NAME]],WSH_H[[NAME]:['#]],2,0)</f>
        <v>0.23972602739726026</v>
      </c>
      <c r="E50" s="72">
        <f>VLOOKUP(Table88[[#This Row],[NAME]],WSH_H[[NAME]:['#]],3,0)</f>
        <v>0.31901840490797545</v>
      </c>
      <c r="F50" s="72">
        <f>VLOOKUP(Table88[[#This Row],[NAME]],WSH_H[[NAME]:['#]],4,0)</f>
        <v>0.35616438356164382</v>
      </c>
      <c r="G50" s="77">
        <f>VLOOKUP(Table88[[#This Row],[NAME]],WSH_H[[NAME]:['#]],5,0)</f>
        <v>38</v>
      </c>
      <c r="H50" s="28">
        <f>VLOOKUP(Table88[[#This Row],[NAME]],WSH_H[[NAME]:['#]],6,0)</f>
        <v>146</v>
      </c>
      <c r="I50" s="28">
        <f>VLOOKUP(Table88[[#This Row],[NAME]],WSH_H[[NAME]:['#]],7,0)</f>
        <v>15</v>
      </c>
      <c r="J50" s="28">
        <f>VLOOKUP(Table88[[#This Row],[NAME]],WSH_H[[NAME]:['#]],8,0)</f>
        <v>35</v>
      </c>
      <c r="K50" s="28">
        <f>VLOOKUP(Table88[[#This Row],[NAME]],WSH_H[[NAME]:['#]],9,0)</f>
        <v>3</v>
      </c>
      <c r="L50" s="28">
        <f>VLOOKUP(Table88[[#This Row],[NAME]],WSH_H[[NAME]:['#]],10,0)</f>
        <v>1</v>
      </c>
      <c r="M50" s="28">
        <f>VLOOKUP(Table88[[#This Row],[NAME]],WSH_H[[NAME]:['#]],11,0)</f>
        <v>4</v>
      </c>
      <c r="N50" s="28">
        <f>VLOOKUP(Table88[[#This Row],[NAME]],WSH_H[[NAME]:['#]],12,0)</f>
        <v>13</v>
      </c>
      <c r="O50" s="28">
        <f>VLOOKUP(Table88[[#This Row],[NAME]],WSH_H[[NAME]:['#]],13,0)</f>
        <v>17</v>
      </c>
      <c r="P50" s="28">
        <f>VLOOKUP(Table88[[#This Row],[NAME]],WSH_H[[NAME]:['#]],14,0)</f>
        <v>47</v>
      </c>
      <c r="Q50" s="77">
        <f>VLOOKUP(Table88[[#This Row],[NAME]],WSH_H[[NAME]:['#]],15,0)</f>
        <v>0</v>
      </c>
      <c r="R50" s="28">
        <f>VLOOKUP(Table88[[#This Row],[NAME]],WSH_H[[NAME]:['#]],16,0)</f>
        <v>0</v>
      </c>
      <c r="S50" s="28">
        <f>VLOOKUP(Table88[[#This Row],[NAME]],WSH_H[[NAME]:['#]],17,0)</f>
        <v>7</v>
      </c>
      <c r="T50" s="77">
        <f>VLOOKUP(Table88[[#This Row],[NAME]],WSH_H[[NAME]:['#]],18,0)</f>
        <v>52</v>
      </c>
      <c r="U50" s="72">
        <f>VLOOKUP(Table88[[#This Row],[NAME]],WSH_H[[NAME]:['#]],19,0)</f>
        <v>0.67518278846961932</v>
      </c>
      <c r="V50" s="28">
        <f>VLOOKUP(Table88[[#This Row],[NAME]],WSH_H[[NAME]:['#]],20,0)</f>
        <v>2</v>
      </c>
      <c r="W50" s="75">
        <v>48</v>
      </c>
      <c r="Z50" s="101" t="s">
        <v>869</v>
      </c>
      <c r="AA50" s="77" t="s">
        <v>174</v>
      </c>
      <c r="AB50" s="77" t="s">
        <v>878</v>
      </c>
      <c r="AC50" s="130">
        <v>0.18421052631578946</v>
      </c>
      <c r="AD50" s="72">
        <v>0.29545454545454547</v>
      </c>
      <c r="AE50" s="72">
        <v>0.33333333333333331</v>
      </c>
      <c r="AF50" s="77">
        <v>30</v>
      </c>
      <c r="AG50" s="28">
        <v>114</v>
      </c>
      <c r="AH50" s="28">
        <v>13</v>
      </c>
      <c r="AI50" s="28">
        <v>21</v>
      </c>
      <c r="AJ50" s="28">
        <v>8</v>
      </c>
      <c r="AK50" s="28">
        <v>0</v>
      </c>
      <c r="AL50" s="28">
        <v>3</v>
      </c>
      <c r="AM50" s="28">
        <v>9</v>
      </c>
      <c r="AN50" s="28">
        <v>18</v>
      </c>
      <c r="AO50" s="28">
        <v>45</v>
      </c>
      <c r="AP50" s="77">
        <v>0</v>
      </c>
      <c r="AQ50" s="28">
        <v>0</v>
      </c>
      <c r="AR50" s="28">
        <v>4</v>
      </c>
      <c r="AS50" s="77">
        <v>38</v>
      </c>
      <c r="AT50" s="72">
        <v>0.62878787878787878</v>
      </c>
      <c r="AU50" s="28">
        <v>3</v>
      </c>
      <c r="AV50" s="75">
        <v>48</v>
      </c>
      <c r="AY50" s="101" t="s">
        <v>869</v>
      </c>
      <c r="AZ50" s="77" t="s">
        <v>174</v>
      </c>
      <c r="BA50" s="77" t="s">
        <v>878</v>
      </c>
      <c r="BB50" s="130">
        <v>0.22147651006711411</v>
      </c>
      <c r="BC50" s="72">
        <v>0.32558139534883723</v>
      </c>
      <c r="BD50" s="72">
        <v>0.43624161073825501</v>
      </c>
      <c r="BE50" s="77">
        <v>40</v>
      </c>
      <c r="BF50" s="28">
        <v>149</v>
      </c>
      <c r="BG50" s="28">
        <v>20</v>
      </c>
      <c r="BH50" s="28">
        <v>33</v>
      </c>
      <c r="BI50" s="28">
        <v>8</v>
      </c>
      <c r="BJ50" s="28">
        <v>0</v>
      </c>
      <c r="BK50" s="28">
        <v>8</v>
      </c>
      <c r="BL50" s="28">
        <v>19</v>
      </c>
      <c r="BM50" s="28">
        <v>23</v>
      </c>
      <c r="BN50" s="28">
        <v>45</v>
      </c>
      <c r="BO50" s="77">
        <v>0</v>
      </c>
      <c r="BP50" s="28">
        <v>3</v>
      </c>
      <c r="BQ50" s="28">
        <v>4</v>
      </c>
      <c r="BR50" s="77">
        <v>65</v>
      </c>
      <c r="BS50" s="72">
        <v>0.7618230060870923</v>
      </c>
      <c r="BT50" s="28">
        <v>2</v>
      </c>
      <c r="BU50" s="75">
        <v>48</v>
      </c>
    </row>
    <row r="51" spans="1:73">
      <c r="A51" s="101" t="s">
        <v>869</v>
      </c>
      <c r="B51" s="71" t="s">
        <v>383</v>
      </c>
      <c r="C51" s="74" t="s">
        <v>882</v>
      </c>
      <c r="D51" s="72">
        <f>VLOOKUP(Table88[[#This Row],[NAME]],WSH_H[[NAME]:['#]],2,0)</f>
        <v>0.19540229885057472</v>
      </c>
      <c r="E51" s="72">
        <f>VLOOKUP(Table88[[#This Row],[NAME]],WSH_H[[NAME]:['#]],3,0)</f>
        <v>0.26315789473684209</v>
      </c>
      <c r="F51" s="72">
        <f>VLOOKUP(Table88[[#This Row],[NAME]],WSH_H[[NAME]:['#]],4,0)</f>
        <v>0.33333333333333331</v>
      </c>
      <c r="G51" s="77">
        <f>VLOOKUP(Table88[[#This Row],[NAME]],WSH_H[[NAME]:['#]],5,0)</f>
        <v>24</v>
      </c>
      <c r="H51" s="28">
        <f>VLOOKUP(Table88[[#This Row],[NAME]],WSH_H[[NAME]:['#]],6,0)</f>
        <v>87</v>
      </c>
      <c r="I51" s="28">
        <f>VLOOKUP(Table88[[#This Row],[NAME]],WSH_H[[NAME]:['#]],7,0)</f>
        <v>7</v>
      </c>
      <c r="J51" s="28">
        <f>VLOOKUP(Table88[[#This Row],[NAME]],WSH_H[[NAME]:['#]],8,0)</f>
        <v>17</v>
      </c>
      <c r="K51" s="28">
        <f>VLOOKUP(Table88[[#This Row],[NAME]],WSH_H[[NAME]:['#]],9,0)</f>
        <v>5</v>
      </c>
      <c r="L51" s="28">
        <f>VLOOKUP(Table88[[#This Row],[NAME]],WSH_H[[NAME]:['#]],10,0)</f>
        <v>2</v>
      </c>
      <c r="M51" s="28">
        <f>VLOOKUP(Table88[[#This Row],[NAME]],WSH_H[[NAME]:['#]],11,0)</f>
        <v>1</v>
      </c>
      <c r="N51" s="28">
        <f>VLOOKUP(Table88[[#This Row],[NAME]],WSH_H[[NAME]:['#]],12,0)</f>
        <v>8</v>
      </c>
      <c r="O51" s="28">
        <f>VLOOKUP(Table88[[#This Row],[NAME]],WSH_H[[NAME]:['#]],13,0)</f>
        <v>8</v>
      </c>
      <c r="P51" s="28">
        <f>VLOOKUP(Table88[[#This Row],[NAME]],WSH_H[[NAME]:['#]],14,0)</f>
        <v>26</v>
      </c>
      <c r="Q51" s="77">
        <f>VLOOKUP(Table88[[#This Row],[NAME]],WSH_H[[NAME]:['#]],15,0)</f>
        <v>3</v>
      </c>
      <c r="R51" s="28">
        <f>VLOOKUP(Table88[[#This Row],[NAME]],WSH_H[[NAME]:['#]],16,0)</f>
        <v>1</v>
      </c>
      <c r="S51" s="28">
        <f>VLOOKUP(Table88[[#This Row],[NAME]],WSH_H[[NAME]:['#]],17,0)</f>
        <v>6</v>
      </c>
      <c r="T51" s="77">
        <f>VLOOKUP(Table88[[#This Row],[NAME]],WSH_H[[NAME]:['#]],18,0)</f>
        <v>29</v>
      </c>
      <c r="U51" s="72">
        <f>VLOOKUP(Table88[[#This Row],[NAME]],WSH_H[[NAME]:['#]],19,0)</f>
        <v>0.59649122807017541</v>
      </c>
      <c r="V51" s="28">
        <f>VLOOKUP(Table88[[#This Row],[NAME]],WSH_H[[NAME]:['#]],20,0)</f>
        <v>0</v>
      </c>
      <c r="W51" s="75">
        <v>49</v>
      </c>
      <c r="Z51" s="101" t="s">
        <v>869</v>
      </c>
      <c r="AA51" s="77" t="s">
        <v>181</v>
      </c>
      <c r="AB51" s="77" t="s">
        <v>879</v>
      </c>
      <c r="AC51" s="130">
        <v>0.23863636363636365</v>
      </c>
      <c r="AD51" s="72">
        <v>0.27956989247311825</v>
      </c>
      <c r="AE51" s="72">
        <v>0.43181818181818182</v>
      </c>
      <c r="AF51" s="77">
        <v>24</v>
      </c>
      <c r="AG51" s="28">
        <v>88</v>
      </c>
      <c r="AH51" s="28">
        <v>10</v>
      </c>
      <c r="AI51" s="28">
        <v>21</v>
      </c>
      <c r="AJ51" s="28">
        <v>8</v>
      </c>
      <c r="AK51" s="28">
        <v>0</v>
      </c>
      <c r="AL51" s="28">
        <v>3</v>
      </c>
      <c r="AM51" s="28">
        <v>9</v>
      </c>
      <c r="AN51" s="28">
        <v>5</v>
      </c>
      <c r="AO51" s="28">
        <v>35</v>
      </c>
      <c r="AP51" s="77">
        <v>0</v>
      </c>
      <c r="AQ51" s="28">
        <v>1</v>
      </c>
      <c r="AR51" s="28">
        <v>5</v>
      </c>
      <c r="AS51" s="77">
        <v>38</v>
      </c>
      <c r="AT51" s="72">
        <v>0.71138807429130013</v>
      </c>
      <c r="AU51" s="28">
        <v>1</v>
      </c>
      <c r="AV51" s="75">
        <v>49</v>
      </c>
      <c r="AY51" s="101" t="s">
        <v>869</v>
      </c>
      <c r="AZ51" s="77" t="s">
        <v>181</v>
      </c>
      <c r="BA51" s="77" t="s">
        <v>879</v>
      </c>
      <c r="BB51" s="130">
        <v>0.20863309352517986</v>
      </c>
      <c r="BC51" s="72">
        <v>0.25675675675675674</v>
      </c>
      <c r="BD51" s="72">
        <v>0.38129496402877699</v>
      </c>
      <c r="BE51" s="77">
        <v>40</v>
      </c>
      <c r="BF51" s="28">
        <v>139</v>
      </c>
      <c r="BG51" s="28">
        <v>11</v>
      </c>
      <c r="BH51" s="28">
        <v>29</v>
      </c>
      <c r="BI51" s="28">
        <v>8</v>
      </c>
      <c r="BJ51" s="28">
        <v>2</v>
      </c>
      <c r="BK51" s="28">
        <v>4</v>
      </c>
      <c r="BL51" s="28">
        <v>16</v>
      </c>
      <c r="BM51" s="28">
        <v>9</v>
      </c>
      <c r="BN51" s="28">
        <v>54</v>
      </c>
      <c r="BO51" s="77">
        <v>0</v>
      </c>
      <c r="BP51" s="28">
        <v>2</v>
      </c>
      <c r="BQ51" s="28">
        <v>3</v>
      </c>
      <c r="BR51" s="77">
        <v>53</v>
      </c>
      <c r="BS51" s="72">
        <v>0.63805172078553374</v>
      </c>
      <c r="BT51" s="28">
        <v>1</v>
      </c>
      <c r="BU51" s="75">
        <v>49</v>
      </c>
    </row>
    <row r="52" spans="1:73">
      <c r="A52" s="101" t="s">
        <v>869</v>
      </c>
      <c r="B52" s="71" t="s">
        <v>166</v>
      </c>
      <c r="C52" s="74" t="s">
        <v>876</v>
      </c>
      <c r="D52" s="72">
        <f>VLOOKUP(Table88[[#This Row],[NAME]],WSH_H[[NAME]:['#]],2,0)</f>
        <v>0.21476510067114093</v>
      </c>
      <c r="E52" s="72">
        <f>VLOOKUP(Table88[[#This Row],[NAME]],WSH_H[[NAME]:['#]],3,0)</f>
        <v>0.35</v>
      </c>
      <c r="F52" s="72">
        <f>VLOOKUP(Table88[[#This Row],[NAME]],WSH_H[[NAME]:['#]],4,0)</f>
        <v>0.37583892617449666</v>
      </c>
      <c r="G52" s="77">
        <f>VLOOKUP(Table88[[#This Row],[NAME]],WSH_H[[NAME]:['#]],5,0)</f>
        <v>40</v>
      </c>
      <c r="H52" s="28">
        <f>VLOOKUP(Table88[[#This Row],[NAME]],WSH_H[[NAME]:['#]],6,0)</f>
        <v>149</v>
      </c>
      <c r="I52" s="28">
        <f>VLOOKUP(Table88[[#This Row],[NAME]],WSH_H[[NAME]:['#]],7,0)</f>
        <v>15</v>
      </c>
      <c r="J52" s="28">
        <f>VLOOKUP(Table88[[#This Row],[NAME]],WSH_H[[NAME]:['#]],8,0)</f>
        <v>32</v>
      </c>
      <c r="K52" s="28">
        <f>VLOOKUP(Table88[[#This Row],[NAME]],WSH_H[[NAME]:['#]],9,0)</f>
        <v>9</v>
      </c>
      <c r="L52" s="28">
        <f>VLOOKUP(Table88[[#This Row],[NAME]],WSH_H[[NAME]:['#]],10,0)</f>
        <v>0</v>
      </c>
      <c r="M52" s="28">
        <f>VLOOKUP(Table88[[#This Row],[NAME]],WSH_H[[NAME]:['#]],11,0)</f>
        <v>5</v>
      </c>
      <c r="N52" s="28">
        <f>VLOOKUP(Table88[[#This Row],[NAME]],WSH_H[[NAME]:['#]],12,0)</f>
        <v>15</v>
      </c>
      <c r="O52" s="76">
        <f>VLOOKUP(Table88[[#This Row],[NAME]],WSH_H[[NAME]:['#]],13,0)</f>
        <v>31</v>
      </c>
      <c r="P52" s="28">
        <f>VLOOKUP(Table88[[#This Row],[NAME]],WSH_H[[NAME]:['#]],14,0)</f>
        <v>42</v>
      </c>
      <c r="Q52" s="77">
        <f>VLOOKUP(Table88[[#This Row],[NAME]],WSH_H[[NAME]:['#]],15,0)</f>
        <v>0</v>
      </c>
      <c r="R52" s="28">
        <f>VLOOKUP(Table88[[#This Row],[NAME]],WSH_H[[NAME]:['#]],16,0)</f>
        <v>0</v>
      </c>
      <c r="S52" s="28">
        <f>VLOOKUP(Table88[[#This Row],[NAME]],WSH_H[[NAME]:['#]],17,0)</f>
        <v>5</v>
      </c>
      <c r="T52" s="77">
        <f>VLOOKUP(Table88[[#This Row],[NAME]],WSH_H[[NAME]:['#]],18,0)</f>
        <v>56</v>
      </c>
      <c r="U52" s="72">
        <f>VLOOKUP(Table88[[#This Row],[NAME]],WSH_H[[NAME]:['#]],19,0)</f>
        <v>0.72583892617449663</v>
      </c>
      <c r="V52" s="28">
        <f>VLOOKUP(Table88[[#This Row],[NAME]],WSH_H[[NAME]:['#]],20,0)</f>
        <v>2</v>
      </c>
      <c r="W52" s="75">
        <v>50</v>
      </c>
      <c r="Z52" s="101" t="s">
        <v>869</v>
      </c>
      <c r="AA52" s="77" t="s">
        <v>166</v>
      </c>
      <c r="AB52" s="77" t="s">
        <v>876</v>
      </c>
      <c r="AC52" s="130">
        <v>0.19708029197080293</v>
      </c>
      <c r="AD52" s="72">
        <v>0.35294117647058826</v>
      </c>
      <c r="AE52" s="72">
        <v>0.28467153284671531</v>
      </c>
      <c r="AF52" s="77">
        <v>40</v>
      </c>
      <c r="AG52" s="28">
        <v>137</v>
      </c>
      <c r="AH52" s="28">
        <v>17</v>
      </c>
      <c r="AI52" s="28">
        <v>27</v>
      </c>
      <c r="AJ52" s="28">
        <v>2</v>
      </c>
      <c r="AK52" s="28">
        <v>2</v>
      </c>
      <c r="AL52" s="28">
        <v>2</v>
      </c>
      <c r="AM52" s="28">
        <v>8</v>
      </c>
      <c r="AN52" s="76">
        <v>33</v>
      </c>
      <c r="AO52" s="28">
        <v>40</v>
      </c>
      <c r="AP52" s="77">
        <v>0</v>
      </c>
      <c r="AQ52" s="28">
        <v>2</v>
      </c>
      <c r="AR52" s="28">
        <v>4</v>
      </c>
      <c r="AS52" s="77">
        <v>39</v>
      </c>
      <c r="AT52" s="72">
        <v>0.63761270931730363</v>
      </c>
      <c r="AU52" s="28">
        <v>1</v>
      </c>
      <c r="AV52" s="75">
        <v>50</v>
      </c>
      <c r="AY52" s="101" t="s">
        <v>869</v>
      </c>
      <c r="AZ52" s="77" t="s">
        <v>166</v>
      </c>
      <c r="BA52" s="77" t="s">
        <v>876</v>
      </c>
      <c r="BB52" s="130">
        <v>0.28767123287671231</v>
      </c>
      <c r="BC52" s="72">
        <v>0.42222222222222222</v>
      </c>
      <c r="BD52" s="72">
        <v>0.49315068493150682</v>
      </c>
      <c r="BE52" s="77">
        <v>40</v>
      </c>
      <c r="BF52" s="28">
        <v>146</v>
      </c>
      <c r="BG52" s="28">
        <v>21</v>
      </c>
      <c r="BH52" s="28">
        <v>42</v>
      </c>
      <c r="BI52" s="28">
        <v>8</v>
      </c>
      <c r="BJ52" s="28">
        <v>2</v>
      </c>
      <c r="BK52" s="28">
        <v>6</v>
      </c>
      <c r="BL52" s="28">
        <v>16</v>
      </c>
      <c r="BM52" s="76">
        <v>34</v>
      </c>
      <c r="BN52" s="28">
        <v>41</v>
      </c>
      <c r="BO52" s="77">
        <v>0</v>
      </c>
      <c r="BP52" s="28">
        <v>10</v>
      </c>
      <c r="BQ52" s="28">
        <v>10</v>
      </c>
      <c r="BR52" s="77">
        <v>72</v>
      </c>
      <c r="BS52" s="72">
        <v>0.9153729071537291</v>
      </c>
      <c r="BT52" s="28">
        <v>1</v>
      </c>
      <c r="BU52" s="75">
        <v>50</v>
      </c>
    </row>
    <row r="53" spans="1:73">
      <c r="A53" s="101" t="s">
        <v>869</v>
      </c>
      <c r="B53" s="71" t="s">
        <v>168</v>
      </c>
      <c r="C53" s="74" t="s">
        <v>878</v>
      </c>
      <c r="D53" s="72">
        <f>VLOOKUP(Table88[[#This Row],[NAME]],WSH_H[[NAME]:['#]],2,0)</f>
        <v>0.18367346938775511</v>
      </c>
      <c r="E53" s="72">
        <f>VLOOKUP(Table88[[#This Row],[NAME]],WSH_H[[NAME]:['#]],3,0)</f>
        <v>0.28994082840236685</v>
      </c>
      <c r="F53" s="72">
        <f>VLOOKUP(Table88[[#This Row],[NAME]],WSH_H[[NAME]:['#]],4,0)</f>
        <v>0.32653061224489793</v>
      </c>
      <c r="G53" s="77">
        <f>VLOOKUP(Table88[[#This Row],[NAME]],WSH_H[[NAME]:['#]],5,0)</f>
        <v>39</v>
      </c>
      <c r="H53" s="28">
        <f>VLOOKUP(Table88[[#This Row],[NAME]],WSH_H[[NAME]:['#]],6,0)</f>
        <v>147</v>
      </c>
      <c r="I53" s="28">
        <f>VLOOKUP(Table88[[#This Row],[NAME]],WSH_H[[NAME]:['#]],7,0)</f>
        <v>16</v>
      </c>
      <c r="J53" s="28">
        <f>VLOOKUP(Table88[[#This Row],[NAME]],WSH_H[[NAME]:['#]],8,0)</f>
        <v>27</v>
      </c>
      <c r="K53" s="28">
        <f>VLOOKUP(Table88[[#This Row],[NAME]],WSH_H[[NAME]:['#]],9,0)</f>
        <v>4</v>
      </c>
      <c r="L53" s="28">
        <f>VLOOKUP(Table88[[#This Row],[NAME]],WSH_H[[NAME]:['#]],10,0)</f>
        <v>1</v>
      </c>
      <c r="M53" s="28">
        <f>VLOOKUP(Table88[[#This Row],[NAME]],WSH_H[[NAME]:['#]],11,0)</f>
        <v>5</v>
      </c>
      <c r="N53" s="28">
        <f>VLOOKUP(Table88[[#This Row],[NAME]],WSH_H[[NAME]:['#]],12,0)</f>
        <v>14</v>
      </c>
      <c r="O53" s="28">
        <f>VLOOKUP(Table88[[#This Row],[NAME]],WSH_H[[NAME]:['#]],13,0)</f>
        <v>22</v>
      </c>
      <c r="P53" s="28">
        <f>VLOOKUP(Table88[[#This Row],[NAME]],WSH_H[[NAME]:['#]],14,0)</f>
        <v>43</v>
      </c>
      <c r="Q53" s="77">
        <f>VLOOKUP(Table88[[#This Row],[NAME]],WSH_H[[NAME]:['#]],15,0)</f>
        <v>0</v>
      </c>
      <c r="R53" s="28">
        <f>VLOOKUP(Table88[[#This Row],[NAME]],WSH_H[[NAME]:['#]],16,0)</f>
        <v>0</v>
      </c>
      <c r="S53" s="28">
        <f>VLOOKUP(Table88[[#This Row],[NAME]],WSH_H[[NAME]:['#]],17,0)</f>
        <v>4</v>
      </c>
      <c r="T53" s="77">
        <f>VLOOKUP(Table88[[#This Row],[NAME]],WSH_H[[NAME]:['#]],18,0)</f>
        <v>48</v>
      </c>
      <c r="U53" s="72">
        <f>VLOOKUP(Table88[[#This Row],[NAME]],WSH_H[[NAME]:['#]],19,0)</f>
        <v>0.61647144064726478</v>
      </c>
      <c r="V53" s="28">
        <f>VLOOKUP(Table88[[#This Row],[NAME]],WSH_H[[NAME]:['#]],20,0)</f>
        <v>1</v>
      </c>
      <c r="W53" s="75">
        <v>51</v>
      </c>
      <c r="Z53" s="101" t="s">
        <v>869</v>
      </c>
      <c r="AA53" s="77" t="s">
        <v>168</v>
      </c>
      <c r="AB53" s="77" t="s">
        <v>875</v>
      </c>
      <c r="AC53" s="130">
        <v>0.18421052631578946</v>
      </c>
      <c r="AD53" s="72">
        <v>0.25301204819277107</v>
      </c>
      <c r="AE53" s="72">
        <v>0.33552631578947367</v>
      </c>
      <c r="AF53" s="77">
        <v>38</v>
      </c>
      <c r="AG53" s="28">
        <v>152</v>
      </c>
      <c r="AH53" s="28">
        <v>14</v>
      </c>
      <c r="AI53" s="28">
        <v>28</v>
      </c>
      <c r="AJ53" s="28">
        <v>5</v>
      </c>
      <c r="AK53" s="28">
        <v>0</v>
      </c>
      <c r="AL53" s="28">
        <v>6</v>
      </c>
      <c r="AM53" s="28">
        <v>20</v>
      </c>
      <c r="AN53" s="28">
        <v>14</v>
      </c>
      <c r="AO53" s="28">
        <v>38</v>
      </c>
      <c r="AP53" s="77">
        <v>0</v>
      </c>
      <c r="AQ53" s="28">
        <v>1</v>
      </c>
      <c r="AR53" s="28">
        <v>5</v>
      </c>
      <c r="AS53" s="77">
        <v>51</v>
      </c>
      <c r="AT53" s="72">
        <v>0.58853836398224479</v>
      </c>
      <c r="AU53" s="28">
        <v>3</v>
      </c>
      <c r="AV53" s="75">
        <v>51</v>
      </c>
      <c r="AY53" s="101" t="s">
        <v>869</v>
      </c>
      <c r="AZ53" s="77" t="s">
        <v>2171</v>
      </c>
      <c r="BA53" s="77" t="s">
        <v>883</v>
      </c>
      <c r="BB53" s="130">
        <v>0.24761904761904763</v>
      </c>
      <c r="BC53" s="72">
        <v>0.31304347826086959</v>
      </c>
      <c r="BD53" s="72">
        <v>0.3619047619047619</v>
      </c>
      <c r="BE53" s="77">
        <v>28</v>
      </c>
      <c r="BF53" s="28">
        <v>105</v>
      </c>
      <c r="BG53" s="28">
        <v>10</v>
      </c>
      <c r="BH53" s="28">
        <v>26</v>
      </c>
      <c r="BI53" s="28">
        <v>5</v>
      </c>
      <c r="BJ53" s="28">
        <v>2</v>
      </c>
      <c r="BK53" s="28">
        <v>1</v>
      </c>
      <c r="BL53" s="28">
        <v>11</v>
      </c>
      <c r="BM53" s="28">
        <v>10</v>
      </c>
      <c r="BN53" s="28">
        <v>18</v>
      </c>
      <c r="BO53" s="77">
        <v>0</v>
      </c>
      <c r="BP53" s="28">
        <v>3</v>
      </c>
      <c r="BQ53" s="28">
        <v>5</v>
      </c>
      <c r="BR53" s="77">
        <v>38</v>
      </c>
      <c r="BS53" s="72">
        <v>0.67494824016563149</v>
      </c>
      <c r="BT53" s="28">
        <v>1</v>
      </c>
      <c r="BU53" s="75">
        <v>51</v>
      </c>
    </row>
    <row r="54" spans="1:73">
      <c r="A54" s="101" t="s">
        <v>869</v>
      </c>
      <c r="B54" s="71" t="s">
        <v>179</v>
      </c>
      <c r="C54" s="74" t="s">
        <v>886</v>
      </c>
      <c r="D54" s="72">
        <f>VLOOKUP(Table88[[#This Row],[NAME]],WSH_H[[NAME]:['#]],2,0)</f>
        <v>0.13793103448275862</v>
      </c>
      <c r="E54" s="72">
        <f>VLOOKUP(Table88[[#This Row],[NAME]],WSH_H[[NAME]:['#]],3,0)</f>
        <v>0.24242424242424243</v>
      </c>
      <c r="F54" s="72">
        <f>VLOOKUP(Table88[[#This Row],[NAME]],WSH_H[[NAME]:['#]],4,0)</f>
        <v>0.31034482758620691</v>
      </c>
      <c r="G54" s="77">
        <f>VLOOKUP(Table88[[#This Row],[NAME]],WSH_H[[NAME]:['#]],5,0)</f>
        <v>11</v>
      </c>
      <c r="H54" s="28">
        <f>VLOOKUP(Table88[[#This Row],[NAME]],WSH_H[[NAME]:['#]],6,0)</f>
        <v>29</v>
      </c>
      <c r="I54" s="28">
        <f>VLOOKUP(Table88[[#This Row],[NAME]],WSH_H[[NAME]:['#]],7,0)</f>
        <v>3</v>
      </c>
      <c r="J54" s="28">
        <f>VLOOKUP(Table88[[#This Row],[NAME]],WSH_H[[NAME]:['#]],8,0)</f>
        <v>4</v>
      </c>
      <c r="K54" s="28">
        <f>VLOOKUP(Table88[[#This Row],[NAME]],WSH_H[[NAME]:['#]],9,0)</f>
        <v>2</v>
      </c>
      <c r="L54" s="28">
        <f>VLOOKUP(Table88[[#This Row],[NAME]],WSH_H[[NAME]:['#]],10,0)</f>
        <v>0</v>
      </c>
      <c r="M54" s="28">
        <f>VLOOKUP(Table88[[#This Row],[NAME]],WSH_H[[NAME]:['#]],11,0)</f>
        <v>1</v>
      </c>
      <c r="N54" s="28">
        <f>VLOOKUP(Table88[[#This Row],[NAME]],WSH_H[[NAME]:['#]],12,0)</f>
        <v>1</v>
      </c>
      <c r="O54" s="28">
        <f>VLOOKUP(Table88[[#This Row],[NAME]],WSH_H[[NAME]:['#]],13,0)</f>
        <v>4</v>
      </c>
      <c r="P54" s="28">
        <f>VLOOKUP(Table88[[#This Row],[NAME]],WSH_H[[NAME]:['#]],14,0)</f>
        <v>14</v>
      </c>
      <c r="Q54" s="77">
        <f>VLOOKUP(Table88[[#This Row],[NAME]],WSH_H[[NAME]:['#]],15,0)</f>
        <v>0</v>
      </c>
      <c r="R54" s="28">
        <f>VLOOKUP(Table88[[#This Row],[NAME]],WSH_H[[NAME]:['#]],16,0)</f>
        <v>0</v>
      </c>
      <c r="S54" s="28">
        <f>VLOOKUP(Table88[[#This Row],[NAME]],WSH_H[[NAME]:['#]],17,0)</f>
        <v>2</v>
      </c>
      <c r="T54" s="77">
        <f>VLOOKUP(Table88[[#This Row],[NAME]],WSH_H[[NAME]:['#]],18,0)</f>
        <v>9</v>
      </c>
      <c r="U54" s="72">
        <f>VLOOKUP(Table88[[#This Row],[NAME]],WSH_H[[NAME]:['#]],19,0)</f>
        <v>0.55276907001044928</v>
      </c>
      <c r="V54" s="28">
        <f>VLOOKUP(Table88[[#This Row],[NAME]],WSH_H[[NAME]:['#]],20,0)</f>
        <v>0</v>
      </c>
      <c r="W54" s="75">
        <v>52</v>
      </c>
      <c r="Z54" s="101" t="s">
        <v>869</v>
      </c>
      <c r="AA54" s="77" t="s">
        <v>179</v>
      </c>
      <c r="AB54" s="77" t="s">
        <v>886</v>
      </c>
      <c r="AC54" s="130">
        <v>0.16666666666666666</v>
      </c>
      <c r="AD54" s="72">
        <v>0.375</v>
      </c>
      <c r="AE54" s="72">
        <v>0.16666666666666666</v>
      </c>
      <c r="AF54" s="77">
        <v>2</v>
      </c>
      <c r="AG54" s="28">
        <v>6</v>
      </c>
      <c r="AH54" s="28">
        <v>1</v>
      </c>
      <c r="AI54" s="28">
        <v>1</v>
      </c>
      <c r="AJ54" s="28">
        <v>0</v>
      </c>
      <c r="AK54" s="28">
        <v>0</v>
      </c>
      <c r="AL54" s="28">
        <v>0</v>
      </c>
      <c r="AM54" s="28">
        <v>0</v>
      </c>
      <c r="AN54" s="28">
        <v>2</v>
      </c>
      <c r="AO54" s="28">
        <v>4</v>
      </c>
      <c r="AP54" s="77">
        <v>0</v>
      </c>
      <c r="AQ54" s="28">
        <v>0</v>
      </c>
      <c r="AR54" s="28">
        <v>1</v>
      </c>
      <c r="AS54" s="77">
        <v>1</v>
      </c>
      <c r="AT54" s="72">
        <v>0.54166666666666663</v>
      </c>
      <c r="AU54" s="28">
        <v>0</v>
      </c>
      <c r="AV54" s="75">
        <v>52</v>
      </c>
      <c r="AY54" s="101" t="s">
        <v>869</v>
      </c>
      <c r="AZ54" s="77" t="s">
        <v>308</v>
      </c>
      <c r="BA54" s="77" t="s">
        <v>886</v>
      </c>
      <c r="BB54" s="130">
        <v>0</v>
      </c>
      <c r="BC54" s="72">
        <v>0</v>
      </c>
      <c r="BD54" s="72">
        <v>0</v>
      </c>
      <c r="BE54" s="77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77">
        <v>0</v>
      </c>
      <c r="BP54" s="28">
        <v>0</v>
      </c>
      <c r="BQ54" s="28">
        <v>0</v>
      </c>
      <c r="BR54" s="77">
        <v>0</v>
      </c>
      <c r="BS54" s="72">
        <v>0</v>
      </c>
      <c r="BT54" s="28">
        <v>0</v>
      </c>
      <c r="BU54" s="75">
        <v>52</v>
      </c>
    </row>
    <row r="55" spans="1:73">
      <c r="A55" s="101" t="s">
        <v>869</v>
      </c>
      <c r="B55" s="71" t="s">
        <v>187</v>
      </c>
      <c r="C55" s="74" t="s">
        <v>884</v>
      </c>
      <c r="D55" s="72">
        <f>VLOOKUP(Table88[[#This Row],[NAME]],WSH_H[[NAME]:['#]],2,0)</f>
        <v>0.20930232558139536</v>
      </c>
      <c r="E55" s="72">
        <f>VLOOKUP(Table88[[#This Row],[NAME]],WSH_H[[NAME]:['#]],3,0)</f>
        <v>0.27659574468085107</v>
      </c>
      <c r="F55" s="72">
        <f>VLOOKUP(Table88[[#This Row],[NAME]],WSH_H[[NAME]:['#]],4,0)</f>
        <v>0.23255813953488372</v>
      </c>
      <c r="G55" s="77">
        <f>VLOOKUP(Table88[[#This Row],[NAME]],WSH_H[[NAME]:['#]],5,0)</f>
        <v>13</v>
      </c>
      <c r="H55" s="28">
        <f>VLOOKUP(Table88[[#This Row],[NAME]],WSH_H[[NAME]:['#]],6,0)</f>
        <v>43</v>
      </c>
      <c r="I55" s="28">
        <f>VLOOKUP(Table88[[#This Row],[NAME]],WSH_H[[NAME]:['#]],7,0)</f>
        <v>1</v>
      </c>
      <c r="J55" s="28">
        <f>VLOOKUP(Table88[[#This Row],[NAME]],WSH_H[[NAME]:['#]],8,0)</f>
        <v>9</v>
      </c>
      <c r="K55" s="28">
        <f>VLOOKUP(Table88[[#This Row],[NAME]],WSH_H[[NAME]:['#]],9,0)</f>
        <v>1</v>
      </c>
      <c r="L55" s="28">
        <f>VLOOKUP(Table88[[#This Row],[NAME]],WSH_H[[NAME]:['#]],10,0)</f>
        <v>0</v>
      </c>
      <c r="M55" s="28">
        <f>VLOOKUP(Table88[[#This Row],[NAME]],WSH_H[[NAME]:['#]],11,0)</f>
        <v>0</v>
      </c>
      <c r="N55" s="28">
        <f>VLOOKUP(Table88[[#This Row],[NAME]],WSH_H[[NAME]:['#]],12,0)</f>
        <v>1</v>
      </c>
      <c r="O55" s="28">
        <f>VLOOKUP(Table88[[#This Row],[NAME]],WSH_H[[NAME]:['#]],13,0)</f>
        <v>4</v>
      </c>
      <c r="P55" s="28">
        <f>VLOOKUP(Table88[[#This Row],[NAME]],WSH_H[[NAME]:['#]],14,0)</f>
        <v>8</v>
      </c>
      <c r="Q55" s="77">
        <f>VLOOKUP(Table88[[#This Row],[NAME]],WSH_H[[NAME]:['#]],15,0)</f>
        <v>0</v>
      </c>
      <c r="R55" s="28">
        <f>VLOOKUP(Table88[[#This Row],[NAME]],WSH_H[[NAME]:['#]],16,0)</f>
        <v>0</v>
      </c>
      <c r="S55" s="28">
        <f>VLOOKUP(Table88[[#This Row],[NAME]],WSH_H[[NAME]:['#]],17,0)</f>
        <v>4</v>
      </c>
      <c r="T55" s="77">
        <f>VLOOKUP(Table88[[#This Row],[NAME]],WSH_H[[NAME]:['#]],18,0)</f>
        <v>10</v>
      </c>
      <c r="U55" s="72">
        <f>VLOOKUP(Table88[[#This Row],[NAME]],WSH_H[[NAME]:['#]],19,0)</f>
        <v>0.50915388421573482</v>
      </c>
      <c r="V55" s="28">
        <f>VLOOKUP(Table88[[#This Row],[NAME]],WSH_H[[NAME]:['#]],20,0)</f>
        <v>0</v>
      </c>
      <c r="W55" s="75">
        <v>53</v>
      </c>
      <c r="Z55" s="101" t="s">
        <v>869</v>
      </c>
      <c r="AA55" s="77" t="s">
        <v>187</v>
      </c>
      <c r="AB55" s="77" t="s">
        <v>470</v>
      </c>
      <c r="AC55" s="130">
        <v>0.20967741935483872</v>
      </c>
      <c r="AD55" s="72">
        <v>0.27941176470588236</v>
      </c>
      <c r="AE55" s="72">
        <v>0.30645161290322581</v>
      </c>
      <c r="AF55" s="77">
        <v>17</v>
      </c>
      <c r="AG55" s="28">
        <v>62</v>
      </c>
      <c r="AH55" s="28">
        <v>6</v>
      </c>
      <c r="AI55" s="28">
        <v>13</v>
      </c>
      <c r="AJ55" s="28">
        <v>2</v>
      </c>
      <c r="AK55" s="28">
        <v>2</v>
      </c>
      <c r="AL55" s="28">
        <v>0</v>
      </c>
      <c r="AM55" s="28">
        <v>7</v>
      </c>
      <c r="AN55" s="28">
        <v>6</v>
      </c>
      <c r="AO55" s="28">
        <v>21</v>
      </c>
      <c r="AP55" s="77">
        <v>0</v>
      </c>
      <c r="AQ55" s="28">
        <v>0</v>
      </c>
      <c r="AR55" s="28">
        <v>4</v>
      </c>
      <c r="AS55" s="77">
        <v>19</v>
      </c>
      <c r="AT55" s="72">
        <v>0.58586337760910823</v>
      </c>
      <c r="AU55" s="28">
        <v>0</v>
      </c>
      <c r="AV55" s="75">
        <v>53</v>
      </c>
      <c r="AY55" s="101" t="s">
        <v>869</v>
      </c>
      <c r="AZ55" s="77" t="s">
        <v>192</v>
      </c>
      <c r="BA55" s="77" t="s">
        <v>887</v>
      </c>
      <c r="BB55" s="130">
        <v>0</v>
      </c>
      <c r="BC55" s="72">
        <v>0</v>
      </c>
      <c r="BD55" s="72">
        <v>0</v>
      </c>
      <c r="BE55" s="77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77">
        <v>0</v>
      </c>
      <c r="BP55" s="28">
        <v>0</v>
      </c>
      <c r="BQ55" s="28">
        <v>0</v>
      </c>
      <c r="BR55" s="77">
        <v>0</v>
      </c>
      <c r="BS55" s="72">
        <v>0</v>
      </c>
      <c r="BT55" s="28">
        <v>0</v>
      </c>
      <c r="BU55" s="75">
        <v>53</v>
      </c>
    </row>
    <row r="56" spans="1:73">
      <c r="A56" s="101" t="s">
        <v>869</v>
      </c>
      <c r="B56" s="71" t="s">
        <v>187</v>
      </c>
      <c r="C56" s="74" t="s">
        <v>873</v>
      </c>
      <c r="D56" s="72">
        <f>VLOOKUP(Table88[[#This Row],[NAME]],WSH_H[[NAME]:['#]],2,0)</f>
        <v>0.1875</v>
      </c>
      <c r="E56" s="72">
        <f>VLOOKUP(Table88[[#This Row],[NAME]],WSH_H[[NAME]:['#]],3,0)</f>
        <v>0.23529411764705882</v>
      </c>
      <c r="F56" s="72">
        <f>VLOOKUP(Table88[[#This Row],[NAME]],WSH_H[[NAME]:['#]],4,0)</f>
        <v>0.21875</v>
      </c>
      <c r="G56" s="77">
        <f>VLOOKUP(Table88[[#This Row],[NAME]],WSH_H[[NAME]:['#]],5,0)</f>
        <v>9</v>
      </c>
      <c r="H56" s="28">
        <f>VLOOKUP(Table88[[#This Row],[NAME]],WSH_H[[NAME]:['#]],6,0)</f>
        <v>32</v>
      </c>
      <c r="I56" s="28">
        <f>VLOOKUP(Table88[[#This Row],[NAME]],WSH_H[[NAME]:['#]],7,0)</f>
        <v>2</v>
      </c>
      <c r="J56" s="28">
        <f>VLOOKUP(Table88[[#This Row],[NAME]],WSH_H[[NAME]:['#]],8,0)</f>
        <v>6</v>
      </c>
      <c r="K56" s="28">
        <f>VLOOKUP(Table88[[#This Row],[NAME]],WSH_H[[NAME]:['#]],9,0)</f>
        <v>1</v>
      </c>
      <c r="L56" s="28">
        <f>VLOOKUP(Table88[[#This Row],[NAME]],WSH_H[[NAME]:['#]],10,0)</f>
        <v>0</v>
      </c>
      <c r="M56" s="28">
        <f>VLOOKUP(Table88[[#This Row],[NAME]],WSH_H[[NAME]:['#]],11,0)</f>
        <v>0</v>
      </c>
      <c r="N56" s="28">
        <f>VLOOKUP(Table88[[#This Row],[NAME]],WSH_H[[NAME]:['#]],12,0)</f>
        <v>2</v>
      </c>
      <c r="O56" s="28">
        <f>VLOOKUP(Table88[[#This Row],[NAME]],WSH_H[[NAME]:['#]],13,0)</f>
        <v>2</v>
      </c>
      <c r="P56" s="28">
        <f>VLOOKUP(Table88[[#This Row],[NAME]],WSH_H[[NAME]:['#]],14,0)</f>
        <v>12</v>
      </c>
      <c r="Q56" s="77">
        <f>VLOOKUP(Table88[[#This Row],[NAME]],WSH_H[[NAME]:['#]],15,0)</f>
        <v>0</v>
      </c>
      <c r="R56" s="28">
        <f>VLOOKUP(Table88[[#This Row],[NAME]],WSH_H[[NAME]:['#]],16,0)</f>
        <v>0</v>
      </c>
      <c r="S56" s="28">
        <f>VLOOKUP(Table88[[#This Row],[NAME]],WSH_H[[NAME]:['#]],17,0)</f>
        <v>4</v>
      </c>
      <c r="T56" s="77">
        <f>VLOOKUP(Table88[[#This Row],[NAME]],WSH_H[[NAME]:['#]],18,0)</f>
        <v>7</v>
      </c>
      <c r="U56" s="72">
        <f>VLOOKUP(Table88[[#This Row],[NAME]],WSH_H[[NAME]:['#]],19,0)</f>
        <v>0.45404411764705882</v>
      </c>
      <c r="V56" s="28">
        <f>VLOOKUP(Table88[[#This Row],[NAME]],WSH_H[[NAME]:['#]],20,0)</f>
        <v>0</v>
      </c>
      <c r="W56" s="75">
        <v>54</v>
      </c>
      <c r="Z56" s="101" t="s">
        <v>869</v>
      </c>
      <c r="AA56" s="77" t="s">
        <v>187</v>
      </c>
      <c r="AB56" s="77" t="s">
        <v>883</v>
      </c>
      <c r="AC56" s="130">
        <v>0.1702127659574468</v>
      </c>
      <c r="AD56" s="72">
        <v>0.25</v>
      </c>
      <c r="AE56" s="72">
        <v>0.21276595744680851</v>
      </c>
      <c r="AF56" s="77">
        <v>11</v>
      </c>
      <c r="AG56" s="28">
        <v>47</v>
      </c>
      <c r="AH56" s="28">
        <v>3</v>
      </c>
      <c r="AI56" s="28">
        <v>8</v>
      </c>
      <c r="AJ56" s="28">
        <v>2</v>
      </c>
      <c r="AK56" s="28">
        <v>0</v>
      </c>
      <c r="AL56" s="28">
        <v>0</v>
      </c>
      <c r="AM56" s="28">
        <v>2</v>
      </c>
      <c r="AN56" s="28">
        <v>5</v>
      </c>
      <c r="AO56" s="28">
        <v>15</v>
      </c>
      <c r="AP56" s="77">
        <v>0</v>
      </c>
      <c r="AQ56" s="28">
        <v>2</v>
      </c>
      <c r="AR56" s="28">
        <v>2</v>
      </c>
      <c r="AS56" s="77">
        <v>10</v>
      </c>
      <c r="AT56" s="72">
        <v>0.46276595744680848</v>
      </c>
      <c r="AU56" s="28">
        <v>0</v>
      </c>
      <c r="AV56" s="75">
        <v>54</v>
      </c>
      <c r="AY56" s="101" t="s">
        <v>869</v>
      </c>
      <c r="AZ56" s="77" t="s">
        <v>184</v>
      </c>
      <c r="BA56" s="77" t="s">
        <v>888</v>
      </c>
      <c r="BB56" s="130">
        <v>0</v>
      </c>
      <c r="BC56" s="72">
        <v>0</v>
      </c>
      <c r="BD56" s="72">
        <v>0</v>
      </c>
      <c r="BE56" s="77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77">
        <v>0</v>
      </c>
      <c r="BP56" s="28">
        <v>0</v>
      </c>
      <c r="BQ56" s="28">
        <v>0</v>
      </c>
      <c r="BR56" s="77">
        <v>0</v>
      </c>
      <c r="BS56" s="72">
        <v>0</v>
      </c>
      <c r="BT56" s="28">
        <v>0</v>
      </c>
      <c r="BU56" s="75">
        <v>54</v>
      </c>
    </row>
    <row r="57" spans="1:73">
      <c r="A57" s="101" t="s">
        <v>869</v>
      </c>
      <c r="B57" s="71" t="s">
        <v>186</v>
      </c>
      <c r="C57" s="77" t="s">
        <v>885</v>
      </c>
      <c r="D57" s="72">
        <f>VLOOKUP(Table88[[#This Row],[NAME]],WSH_H[[NAME]:['#]],2,0)</f>
        <v>0.16129032258064516</v>
      </c>
      <c r="E57" s="72">
        <f>VLOOKUP(Table88[[#This Row],[NAME]],WSH_H[[NAME]:['#]],3,0)</f>
        <v>0.21212121212121213</v>
      </c>
      <c r="F57" s="72">
        <f>VLOOKUP(Table88[[#This Row],[NAME]],WSH_H[[NAME]:['#]],4,0)</f>
        <v>0.22580645161290322</v>
      </c>
      <c r="G57" s="77">
        <f>VLOOKUP(Table88[[#This Row],[NAME]],WSH_H[[NAME]:['#]],5,0)</f>
        <v>11</v>
      </c>
      <c r="H57" s="28">
        <f>VLOOKUP(Table88[[#This Row],[NAME]],WSH_H[[NAME]:['#]],6,0)</f>
        <v>31</v>
      </c>
      <c r="I57" s="28">
        <f>VLOOKUP(Table88[[#This Row],[NAME]],WSH_H[[NAME]:['#]],7,0)</f>
        <v>2</v>
      </c>
      <c r="J57" s="28">
        <f>VLOOKUP(Table88[[#This Row],[NAME]],WSH_H[[NAME]:['#]],8,0)</f>
        <v>5</v>
      </c>
      <c r="K57" s="28">
        <f>VLOOKUP(Table88[[#This Row],[NAME]],WSH_H[[NAME]:['#]],9,0)</f>
        <v>2</v>
      </c>
      <c r="L57" s="28">
        <f>VLOOKUP(Table88[[#This Row],[NAME]],WSH_H[[NAME]:['#]],10,0)</f>
        <v>0</v>
      </c>
      <c r="M57" s="28">
        <f>VLOOKUP(Table88[[#This Row],[NAME]],WSH_H[[NAME]:['#]],11,0)</f>
        <v>0</v>
      </c>
      <c r="N57" s="28">
        <f>VLOOKUP(Table88[[#This Row],[NAME]],WSH_H[[NAME]:['#]],12,0)</f>
        <v>1</v>
      </c>
      <c r="O57" s="28">
        <f>VLOOKUP(Table88[[#This Row],[NAME]],WSH_H[[NAME]:['#]],13,0)</f>
        <v>2</v>
      </c>
      <c r="P57" s="28">
        <f>VLOOKUP(Table88[[#This Row],[NAME]],WSH_H[[NAME]:['#]],14,0)</f>
        <v>8</v>
      </c>
      <c r="Q57" s="77">
        <f>VLOOKUP(Table88[[#This Row],[NAME]],WSH_H[[NAME]:['#]],15,0)</f>
        <v>0</v>
      </c>
      <c r="R57" s="28">
        <f>VLOOKUP(Table88[[#This Row],[NAME]],WSH_H[[NAME]:['#]],16,0)</f>
        <v>2</v>
      </c>
      <c r="S57" s="28">
        <f>VLOOKUP(Table88[[#This Row],[NAME]],WSH_H[[NAME]:['#]],17,0)</f>
        <v>2</v>
      </c>
      <c r="T57" s="77">
        <f>VLOOKUP(Table88[[#This Row],[NAME]],WSH_H[[NAME]:['#]],18,0)</f>
        <v>7</v>
      </c>
      <c r="U57" s="72">
        <f>VLOOKUP(Table88[[#This Row],[NAME]],WSH_H[[NAME]:['#]],19,0)</f>
        <v>0.43792766373411535</v>
      </c>
      <c r="V57" s="28">
        <f>VLOOKUP(Table88[[#This Row],[NAME]],WSH_H[[NAME]:['#]],20,0)</f>
        <v>0</v>
      </c>
      <c r="W57" s="75">
        <v>55</v>
      </c>
      <c r="Z57" s="101" t="s">
        <v>869</v>
      </c>
      <c r="AA57" s="77" t="s">
        <v>186</v>
      </c>
      <c r="AB57" s="77" t="s">
        <v>885</v>
      </c>
      <c r="AC57" s="130">
        <v>0.25</v>
      </c>
      <c r="AD57" s="72">
        <v>0.296875</v>
      </c>
      <c r="AE57" s="72">
        <v>0.33333333333333331</v>
      </c>
      <c r="AF57" s="77">
        <v>16</v>
      </c>
      <c r="AG57" s="28">
        <v>60</v>
      </c>
      <c r="AH57" s="28">
        <v>4</v>
      </c>
      <c r="AI57" s="28">
        <v>15</v>
      </c>
      <c r="AJ57" s="28">
        <v>5</v>
      </c>
      <c r="AK57" s="28">
        <v>0</v>
      </c>
      <c r="AL57" s="28">
        <v>0</v>
      </c>
      <c r="AM57" s="28">
        <v>2</v>
      </c>
      <c r="AN57" s="28">
        <v>4</v>
      </c>
      <c r="AO57" s="28">
        <v>18</v>
      </c>
      <c r="AP57" s="77">
        <v>0</v>
      </c>
      <c r="AQ57" s="28">
        <v>1</v>
      </c>
      <c r="AR57" s="28">
        <v>4</v>
      </c>
      <c r="AS57" s="77">
        <v>20</v>
      </c>
      <c r="AT57" s="72">
        <v>0.63020833333333326</v>
      </c>
      <c r="AU57" s="28">
        <v>1</v>
      </c>
      <c r="AV57" s="75">
        <v>55</v>
      </c>
      <c r="AY57" s="101" t="s">
        <v>869</v>
      </c>
      <c r="AZ57" s="77" t="s">
        <v>184</v>
      </c>
      <c r="BA57" s="77" t="s">
        <v>885</v>
      </c>
      <c r="BB57" s="130">
        <v>7.407407407407407E-2</v>
      </c>
      <c r="BC57" s="72">
        <v>7.407407407407407E-2</v>
      </c>
      <c r="BD57" s="72">
        <v>0.18518518518518517</v>
      </c>
      <c r="BE57" s="77">
        <v>15</v>
      </c>
      <c r="BF57" s="28">
        <v>54</v>
      </c>
      <c r="BG57" s="28">
        <v>1</v>
      </c>
      <c r="BH57" s="28">
        <v>4</v>
      </c>
      <c r="BI57" s="28">
        <v>1</v>
      </c>
      <c r="BJ57" s="28">
        <v>1</v>
      </c>
      <c r="BK57" s="28">
        <v>1</v>
      </c>
      <c r="BL57" s="28">
        <v>1</v>
      </c>
      <c r="BM57" s="28">
        <v>0</v>
      </c>
      <c r="BN57" s="28">
        <v>14</v>
      </c>
      <c r="BO57" s="77">
        <v>0</v>
      </c>
      <c r="BP57" s="28">
        <v>0</v>
      </c>
      <c r="BQ57" s="28">
        <v>3</v>
      </c>
      <c r="BR57" s="77">
        <v>10</v>
      </c>
      <c r="BS57" s="72">
        <v>0.25925925925925924</v>
      </c>
      <c r="BT57" s="28">
        <v>1</v>
      </c>
      <c r="BU57" s="75">
        <v>55</v>
      </c>
    </row>
    <row r="58" spans="1:73">
      <c r="A58" s="101" t="s">
        <v>869</v>
      </c>
      <c r="B58" s="71" t="s">
        <v>186</v>
      </c>
      <c r="C58" s="28" t="s">
        <v>879</v>
      </c>
      <c r="D58" s="72">
        <f>VLOOKUP(Table88[[#This Row],[NAME]],WSH_H[[NAME]:['#]],2,0)</f>
        <v>0.21875</v>
      </c>
      <c r="E58" s="72">
        <f>VLOOKUP(Table88[[#This Row],[NAME]],WSH_H[[NAME]:['#]],3,0)</f>
        <v>0.26470588235294118</v>
      </c>
      <c r="F58" s="72">
        <f>VLOOKUP(Table88[[#This Row],[NAME]],WSH_H[[NAME]:['#]],4,0)</f>
        <v>0.28125</v>
      </c>
      <c r="G58" s="77">
        <f>VLOOKUP(Table88[[#This Row],[NAME]],WSH_H[[NAME]:['#]],5,0)</f>
        <v>10</v>
      </c>
      <c r="H58" s="28">
        <f>VLOOKUP(Table88[[#This Row],[NAME]],WSH_H[[NAME]:['#]],6,0)</f>
        <v>32</v>
      </c>
      <c r="I58" s="28">
        <f>VLOOKUP(Table88[[#This Row],[NAME]],WSH_H[[NAME]:['#]],7,0)</f>
        <v>1</v>
      </c>
      <c r="J58" s="28">
        <f>VLOOKUP(Table88[[#This Row],[NAME]],WSH_H[[NAME]:['#]],8,0)</f>
        <v>7</v>
      </c>
      <c r="K58" s="28">
        <f>VLOOKUP(Table88[[#This Row],[NAME]],WSH_H[[NAME]:['#]],9,0)</f>
        <v>2</v>
      </c>
      <c r="L58" s="28">
        <f>VLOOKUP(Table88[[#This Row],[NAME]],WSH_H[[NAME]:['#]],10,0)</f>
        <v>0</v>
      </c>
      <c r="M58" s="28">
        <f>VLOOKUP(Table88[[#This Row],[NAME]],WSH_H[[NAME]:['#]],11,0)</f>
        <v>0</v>
      </c>
      <c r="N58" s="28">
        <f>VLOOKUP(Table88[[#This Row],[NAME]],WSH_H[[NAME]:['#]],12,0)</f>
        <v>2</v>
      </c>
      <c r="O58" s="28">
        <f>VLOOKUP(Table88[[#This Row],[NAME]],WSH_H[[NAME]:['#]],13,0)</f>
        <v>2</v>
      </c>
      <c r="P58" s="28">
        <f>VLOOKUP(Table88[[#This Row],[NAME]],WSH_H[[NAME]:['#]],14,0)</f>
        <v>4</v>
      </c>
      <c r="Q58" s="77">
        <f>VLOOKUP(Table88[[#This Row],[NAME]],WSH_H[[NAME]:['#]],15,0)</f>
        <v>0</v>
      </c>
      <c r="R58" s="28">
        <f>VLOOKUP(Table88[[#This Row],[NAME]],WSH_H[[NAME]:['#]],16,0)</f>
        <v>1</v>
      </c>
      <c r="S58" s="28">
        <f>VLOOKUP(Table88[[#This Row],[NAME]],WSH_H[[NAME]:['#]],17,0)</f>
        <v>2</v>
      </c>
      <c r="T58" s="77">
        <f>VLOOKUP(Table88[[#This Row],[NAME]],WSH_H[[NAME]:['#]],18,0)</f>
        <v>9</v>
      </c>
      <c r="U58" s="72">
        <f>VLOOKUP(Table88[[#This Row],[NAME]],WSH_H[[NAME]:['#]],19,0)</f>
        <v>0.54595588235294112</v>
      </c>
      <c r="V58" s="28">
        <f>VLOOKUP(Table88[[#This Row],[NAME]],WSH_H[[NAME]:['#]],20,0)</f>
        <v>0</v>
      </c>
      <c r="W58" s="75">
        <v>56</v>
      </c>
      <c r="Z58" s="101" t="s">
        <v>869</v>
      </c>
      <c r="AA58" s="77" t="s">
        <v>186</v>
      </c>
      <c r="AB58" s="77" t="s">
        <v>881</v>
      </c>
      <c r="AC58" s="130">
        <v>0.26373626373626374</v>
      </c>
      <c r="AD58" s="72">
        <v>0.32323232323232326</v>
      </c>
      <c r="AE58" s="72">
        <v>0.38461538461538464</v>
      </c>
      <c r="AF58" s="77">
        <v>21</v>
      </c>
      <c r="AG58" s="28">
        <v>91</v>
      </c>
      <c r="AH58" s="28">
        <v>7</v>
      </c>
      <c r="AI58" s="28">
        <v>24</v>
      </c>
      <c r="AJ58" s="28">
        <v>5</v>
      </c>
      <c r="AK58" s="28">
        <v>0</v>
      </c>
      <c r="AL58" s="28">
        <v>2</v>
      </c>
      <c r="AM58" s="28">
        <v>4</v>
      </c>
      <c r="AN58" s="28">
        <v>8</v>
      </c>
      <c r="AO58" s="28">
        <v>28</v>
      </c>
      <c r="AP58" s="77">
        <v>0</v>
      </c>
      <c r="AQ58" s="28">
        <v>0</v>
      </c>
      <c r="AR58" s="28">
        <v>4</v>
      </c>
      <c r="AS58" s="77">
        <v>35</v>
      </c>
      <c r="AT58" s="72">
        <v>0.7078477078477079</v>
      </c>
      <c r="AU58" s="28">
        <v>1</v>
      </c>
      <c r="AV58" s="75">
        <v>56</v>
      </c>
      <c r="AY58" s="101" t="s">
        <v>869</v>
      </c>
      <c r="AZ58" s="77" t="s">
        <v>184</v>
      </c>
      <c r="BA58" s="77" t="s">
        <v>881</v>
      </c>
      <c r="BB58" s="130">
        <v>0</v>
      </c>
      <c r="BC58" s="72">
        <v>0</v>
      </c>
      <c r="BD58" s="72">
        <v>0</v>
      </c>
      <c r="BE58" s="77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77">
        <v>0</v>
      </c>
      <c r="BP58" s="28">
        <v>0</v>
      </c>
      <c r="BQ58" s="28">
        <v>0</v>
      </c>
      <c r="BR58" s="77">
        <v>0</v>
      </c>
      <c r="BS58" s="72">
        <v>0</v>
      </c>
      <c r="BT58" s="28">
        <v>0</v>
      </c>
      <c r="BU58" s="75">
        <v>56</v>
      </c>
    </row>
    <row r="59" spans="1:73">
      <c r="A59" s="101" t="s">
        <v>903</v>
      </c>
      <c r="B59" s="71" t="s">
        <v>308</v>
      </c>
      <c r="C59" s="28" t="s">
        <v>916</v>
      </c>
      <c r="D59" s="72">
        <f>VLOOKUP(Table88[[#This Row],[NAME]],MIA_H[[NAME]:['#]],2,0)</f>
        <v>0.30681818181818182</v>
      </c>
      <c r="E59" s="72">
        <f>VLOOKUP(Table88[[#This Row],[NAME]],MIA_H[[NAME]:['#]],3,0)</f>
        <v>0.37755102040816324</v>
      </c>
      <c r="F59" s="72">
        <f>VLOOKUP(Table88[[#This Row],[NAME]],MIA_H[[NAME]:['#]],4,0)</f>
        <v>0.43181818181818182</v>
      </c>
      <c r="G59" s="77">
        <f>VLOOKUP(Table88[[#This Row],[NAME]],MIA_H[[NAME]:['#]],5,0)</f>
        <v>23</v>
      </c>
      <c r="H59" s="28">
        <f>VLOOKUP(Table88[[#This Row],[NAME]],MIA_H[[NAME]:['#]],6,0)</f>
        <v>88</v>
      </c>
      <c r="I59" s="28">
        <f>VLOOKUP(Table88[[#This Row],[NAME]],MIA_H[[NAME]:['#]],7,0)</f>
        <v>10</v>
      </c>
      <c r="J59" s="28">
        <f>VLOOKUP(Table88[[#This Row],[NAME]],MIA_H[[NAME]:['#]],8,0)</f>
        <v>27</v>
      </c>
      <c r="K59" s="28">
        <f>VLOOKUP(Table88[[#This Row],[NAME]],MIA_H[[NAME]:['#]],9,0)</f>
        <v>5</v>
      </c>
      <c r="L59" s="28">
        <f>VLOOKUP(Table88[[#This Row],[NAME]],MIA_H[[NAME]:['#]],10,0)</f>
        <v>0</v>
      </c>
      <c r="M59" s="28">
        <f>VLOOKUP(Table88[[#This Row],[NAME]],MIA_H[[NAME]:['#]],11,0)</f>
        <v>2</v>
      </c>
      <c r="N59" s="28">
        <f>VLOOKUP(Table88[[#This Row],[NAME]],MIA_H[[NAME]:['#]],12,0)</f>
        <v>13</v>
      </c>
      <c r="O59" s="28">
        <f>VLOOKUP(Table88[[#This Row],[NAME]],MIA_H[[NAME]:['#]],13,0)</f>
        <v>10</v>
      </c>
      <c r="P59" s="28">
        <f>VLOOKUP(Table88[[#This Row],[NAME]],MIA_H[[NAME]:['#]],14,0)</f>
        <v>23</v>
      </c>
      <c r="Q59" s="77">
        <f>VLOOKUP(Table88[[#This Row],[NAME]],MIA_H[[NAME]:['#]],15,0)</f>
        <v>0</v>
      </c>
      <c r="R59" s="28">
        <f>VLOOKUP(Table88[[#This Row],[NAME]],MIA_H[[NAME]:['#]],16,0)</f>
        <v>6</v>
      </c>
      <c r="S59" s="28">
        <f>VLOOKUP(Table88[[#This Row],[NAME]],MIA_H[[NAME]:['#]],17,0)</f>
        <v>6</v>
      </c>
      <c r="T59" s="77">
        <f>VLOOKUP(Table88[[#This Row],[NAME]],MIA_H[[NAME]:['#]],18,0)</f>
        <v>38</v>
      </c>
      <c r="U59" s="72">
        <f>VLOOKUP(Table88[[#This Row],[NAME]],MIA_H[[NAME]:['#]],19,0)</f>
        <v>0.80936920222634501</v>
      </c>
      <c r="V59" s="28">
        <f>VLOOKUP(Table88[[#This Row],[NAME]],MIA_H[[NAME]:['#]],20,0)</f>
        <v>2</v>
      </c>
      <c r="W59" s="75">
        <v>57</v>
      </c>
      <c r="Z59" s="101" t="s">
        <v>903</v>
      </c>
      <c r="AA59" s="77" t="s">
        <v>179</v>
      </c>
      <c r="AB59" s="77" t="s">
        <v>915</v>
      </c>
      <c r="AC59" s="130">
        <v>0.18796992481203006</v>
      </c>
      <c r="AD59" s="72">
        <v>0.21167883211678831</v>
      </c>
      <c r="AE59" s="72">
        <v>0.22556390977443608</v>
      </c>
      <c r="AF59" s="77">
        <v>38</v>
      </c>
      <c r="AG59" s="28">
        <v>133</v>
      </c>
      <c r="AH59" s="28">
        <v>10</v>
      </c>
      <c r="AI59" s="28">
        <v>25</v>
      </c>
      <c r="AJ59" s="28">
        <v>5</v>
      </c>
      <c r="AK59" s="28">
        <v>0</v>
      </c>
      <c r="AL59" s="28">
        <v>0</v>
      </c>
      <c r="AM59" s="28">
        <v>9</v>
      </c>
      <c r="AN59" s="28">
        <v>4</v>
      </c>
      <c r="AO59" s="28">
        <v>31</v>
      </c>
      <c r="AP59" s="77">
        <v>0</v>
      </c>
      <c r="AQ59" s="28">
        <v>0</v>
      </c>
      <c r="AR59" s="28">
        <v>4</v>
      </c>
      <c r="AS59" s="77">
        <v>30</v>
      </c>
      <c r="AT59" s="72">
        <v>0.43724274189122436</v>
      </c>
      <c r="AU59" s="28">
        <v>1</v>
      </c>
      <c r="AV59" s="75">
        <v>57</v>
      </c>
      <c r="AY59" s="101" t="s">
        <v>903</v>
      </c>
      <c r="AZ59" s="77" t="s">
        <v>179</v>
      </c>
      <c r="BA59" s="77" t="s">
        <v>915</v>
      </c>
      <c r="BB59" s="130">
        <v>0.22105263157894736</v>
      </c>
      <c r="BC59" s="72">
        <v>0.31481481481481483</v>
      </c>
      <c r="BD59" s="72">
        <v>0.3473684210526316</v>
      </c>
      <c r="BE59" s="77">
        <v>29</v>
      </c>
      <c r="BF59" s="28">
        <v>95</v>
      </c>
      <c r="BG59" s="28">
        <v>12</v>
      </c>
      <c r="BH59" s="28">
        <v>21</v>
      </c>
      <c r="BI59" s="28">
        <v>3</v>
      </c>
      <c r="BJ59" s="28">
        <v>0</v>
      </c>
      <c r="BK59" s="28">
        <v>3</v>
      </c>
      <c r="BL59" s="28">
        <v>11</v>
      </c>
      <c r="BM59" s="28">
        <v>13</v>
      </c>
      <c r="BN59" s="28">
        <v>22</v>
      </c>
      <c r="BO59" s="77">
        <v>0</v>
      </c>
      <c r="BP59" s="28">
        <v>1</v>
      </c>
      <c r="BQ59" s="28">
        <v>5</v>
      </c>
      <c r="BR59" s="77">
        <v>33</v>
      </c>
      <c r="BS59" s="72">
        <v>0.66218323586744643</v>
      </c>
      <c r="BT59" s="28">
        <v>0</v>
      </c>
      <c r="BU59" s="75">
        <v>57</v>
      </c>
    </row>
    <row r="60" spans="1:73">
      <c r="A60" s="101" t="s">
        <v>903</v>
      </c>
      <c r="B60" s="71" t="s">
        <v>349</v>
      </c>
      <c r="C60" s="74" t="s">
        <v>909</v>
      </c>
      <c r="D60" s="72">
        <f>VLOOKUP(Table88[[#This Row],[NAME]],MIA_H[[NAME]:['#]],2,0)</f>
        <v>0.2978723404255319</v>
      </c>
      <c r="E60" s="72">
        <f>VLOOKUP(Table88[[#This Row],[NAME]],MIA_H[[NAME]:['#]],3,0)</f>
        <v>0.34868421052631576</v>
      </c>
      <c r="F60" s="72">
        <f>VLOOKUP(Table88[[#This Row],[NAME]],MIA_H[[NAME]:['#]],4,0)</f>
        <v>0.39007092198581561</v>
      </c>
      <c r="G60" s="77">
        <f>VLOOKUP(Table88[[#This Row],[NAME]],MIA_H[[NAME]:['#]],5,0)</f>
        <v>40</v>
      </c>
      <c r="H60" s="28">
        <f>VLOOKUP(Table88[[#This Row],[NAME]],MIA_H[[NAME]:['#]],6,0)</f>
        <v>141</v>
      </c>
      <c r="I60" s="28">
        <f>VLOOKUP(Table88[[#This Row],[NAME]],MIA_H[[NAME]:['#]],7,0)</f>
        <v>12</v>
      </c>
      <c r="J60" s="28">
        <f>VLOOKUP(Table88[[#This Row],[NAME]],MIA_H[[NAME]:['#]],8,0)</f>
        <v>42</v>
      </c>
      <c r="K60" s="28">
        <f>VLOOKUP(Table88[[#This Row],[NAME]],MIA_H[[NAME]:['#]],9,0)</f>
        <v>6</v>
      </c>
      <c r="L60" s="28">
        <f>VLOOKUP(Table88[[#This Row],[NAME]],MIA_H[[NAME]:['#]],10,0)</f>
        <v>2</v>
      </c>
      <c r="M60" s="28">
        <f>VLOOKUP(Table88[[#This Row],[NAME]],MIA_H[[NAME]:['#]],11,0)</f>
        <v>1</v>
      </c>
      <c r="N60" s="28">
        <f>VLOOKUP(Table88[[#This Row],[NAME]],MIA_H[[NAME]:['#]],12,0)</f>
        <v>16</v>
      </c>
      <c r="O60" s="28">
        <f>VLOOKUP(Table88[[#This Row],[NAME]],MIA_H[[NAME]:['#]],13,0)</f>
        <v>11</v>
      </c>
      <c r="P60" s="28">
        <f>VLOOKUP(Table88[[#This Row],[NAME]],MIA_H[[NAME]:['#]],14,0)</f>
        <v>49</v>
      </c>
      <c r="Q60" s="77">
        <f>VLOOKUP(Table88[[#This Row],[NAME]],MIA_H[[NAME]:['#]],15,0)</f>
        <v>0</v>
      </c>
      <c r="R60" s="28">
        <f>VLOOKUP(Table88[[#This Row],[NAME]],MIA_H[[NAME]:['#]],16,0)</f>
        <v>3</v>
      </c>
      <c r="S60" s="28">
        <f>VLOOKUP(Table88[[#This Row],[NAME]],MIA_H[[NAME]:['#]],17,0)</f>
        <v>5</v>
      </c>
      <c r="T60" s="77">
        <f>VLOOKUP(Table88[[#This Row],[NAME]],MIA_H[[NAME]:['#]],18,0)</f>
        <v>55</v>
      </c>
      <c r="U60" s="72">
        <f>VLOOKUP(Table88[[#This Row],[NAME]],MIA_H[[NAME]:['#]],19,0)</f>
        <v>0.73875513251213132</v>
      </c>
      <c r="V60" s="28">
        <f>VLOOKUP(Table88[[#This Row],[NAME]],MIA_H[[NAME]:['#]],20,0)</f>
        <v>2</v>
      </c>
      <c r="W60" s="75">
        <v>58</v>
      </c>
      <c r="Z60" s="101" t="s">
        <v>903</v>
      </c>
      <c r="AA60" s="77" t="s">
        <v>154</v>
      </c>
      <c r="AB60" s="77" t="s">
        <v>913</v>
      </c>
      <c r="AC60" s="130">
        <v>0.2032520325203252</v>
      </c>
      <c r="AD60" s="72">
        <v>0.25757575757575757</v>
      </c>
      <c r="AE60" s="72">
        <v>0.32520325203252032</v>
      </c>
      <c r="AF60" s="77">
        <v>34</v>
      </c>
      <c r="AG60" s="28">
        <v>123</v>
      </c>
      <c r="AH60" s="28">
        <v>10</v>
      </c>
      <c r="AI60" s="28">
        <v>25</v>
      </c>
      <c r="AJ60" s="28">
        <v>6</v>
      </c>
      <c r="AK60" s="28">
        <v>0</v>
      </c>
      <c r="AL60" s="28">
        <v>3</v>
      </c>
      <c r="AM60" s="28">
        <v>10</v>
      </c>
      <c r="AN60" s="28">
        <v>9</v>
      </c>
      <c r="AO60" s="28">
        <v>40</v>
      </c>
      <c r="AP60" s="77">
        <v>0</v>
      </c>
      <c r="AQ60" s="28">
        <v>2</v>
      </c>
      <c r="AR60" s="28">
        <v>4</v>
      </c>
      <c r="AS60" s="77">
        <v>40</v>
      </c>
      <c r="AT60" s="72">
        <v>0.58277900960827789</v>
      </c>
      <c r="AU60" s="28">
        <v>1</v>
      </c>
      <c r="AV60" s="75">
        <v>58</v>
      </c>
      <c r="AY60" s="101" t="s">
        <v>903</v>
      </c>
      <c r="AZ60" s="77" t="s">
        <v>154</v>
      </c>
      <c r="BA60" s="77" t="s">
        <v>913</v>
      </c>
      <c r="BB60" s="130">
        <v>0.19658119658119658</v>
      </c>
      <c r="BC60" s="72">
        <v>0.25984251968503935</v>
      </c>
      <c r="BD60" s="72">
        <v>0.30769230769230771</v>
      </c>
      <c r="BE60" s="77">
        <v>31</v>
      </c>
      <c r="BF60" s="28">
        <v>117</v>
      </c>
      <c r="BG60" s="28">
        <v>13</v>
      </c>
      <c r="BH60" s="28">
        <v>23</v>
      </c>
      <c r="BI60" s="28">
        <v>7</v>
      </c>
      <c r="BJ60" s="28">
        <v>0</v>
      </c>
      <c r="BK60" s="28">
        <v>2</v>
      </c>
      <c r="BL60" s="28">
        <v>7</v>
      </c>
      <c r="BM60" s="28">
        <v>10</v>
      </c>
      <c r="BN60" s="28">
        <v>30</v>
      </c>
      <c r="BO60" s="77">
        <v>0</v>
      </c>
      <c r="BP60" s="28">
        <v>0</v>
      </c>
      <c r="BQ60" s="28">
        <v>5</v>
      </c>
      <c r="BR60" s="77">
        <v>36</v>
      </c>
      <c r="BS60" s="72">
        <v>0.56753482737734706</v>
      </c>
      <c r="BT60" s="28">
        <v>1</v>
      </c>
      <c r="BU60" s="75">
        <v>58</v>
      </c>
    </row>
    <row r="61" spans="1:73">
      <c r="A61" s="101" t="s">
        <v>903</v>
      </c>
      <c r="B61" s="71" t="s">
        <v>235</v>
      </c>
      <c r="C61" s="74" t="s">
        <v>904</v>
      </c>
      <c r="D61" s="72">
        <f>VLOOKUP(Table88[[#This Row],[NAME]],MIA_H[[NAME]:['#]],2,0)</f>
        <v>0.32934131736526945</v>
      </c>
      <c r="E61" s="72">
        <f>VLOOKUP(Table88[[#This Row],[NAME]],MIA_H[[NAME]:['#]],3,0)</f>
        <v>0.39784946236559138</v>
      </c>
      <c r="F61" s="72">
        <f>VLOOKUP(Table88[[#This Row],[NAME]],MIA_H[[NAME]:['#]],4,0)</f>
        <v>0.43712574850299402</v>
      </c>
      <c r="G61" s="77">
        <f>VLOOKUP(Table88[[#This Row],[NAME]],MIA_H[[NAME]:['#]],5,0)</f>
        <v>40</v>
      </c>
      <c r="H61" s="28">
        <f>VLOOKUP(Table88[[#This Row],[NAME]],MIA_H[[NAME]:['#]],6,0)</f>
        <v>167</v>
      </c>
      <c r="I61" s="28">
        <f>VLOOKUP(Table88[[#This Row],[NAME]],MIA_H[[NAME]:['#]],7,0)</f>
        <v>21</v>
      </c>
      <c r="J61" s="28">
        <f>VLOOKUP(Table88[[#This Row],[NAME]],MIA_H[[NAME]:['#]],8,0)</f>
        <v>55</v>
      </c>
      <c r="K61" s="28">
        <f>VLOOKUP(Table88[[#This Row],[NAME]],MIA_H[[NAME]:['#]],9,0)</f>
        <v>5</v>
      </c>
      <c r="L61" s="76">
        <f>VLOOKUP(Table88[[#This Row],[NAME]],MIA_H[[NAME]:['#]],10,0)</f>
        <v>5</v>
      </c>
      <c r="M61" s="28">
        <f>VLOOKUP(Table88[[#This Row],[NAME]],MIA_H[[NAME]:['#]],11,0)</f>
        <v>1</v>
      </c>
      <c r="N61" s="28">
        <f>VLOOKUP(Table88[[#This Row],[NAME]],MIA_H[[NAME]:['#]],12,0)</f>
        <v>16</v>
      </c>
      <c r="O61" s="28">
        <f>VLOOKUP(Table88[[#This Row],[NAME]],MIA_H[[NAME]:['#]],13,0)</f>
        <v>19</v>
      </c>
      <c r="P61" s="28">
        <f>VLOOKUP(Table88[[#This Row],[NAME]],MIA_H[[NAME]:['#]],14,0)</f>
        <v>47</v>
      </c>
      <c r="Q61" s="77">
        <f>VLOOKUP(Table88[[#This Row],[NAME]],MIA_H[[NAME]:['#]],15,0)</f>
        <v>24</v>
      </c>
      <c r="R61" s="28">
        <f>VLOOKUP(Table88[[#This Row],[NAME]],MIA_H[[NAME]:['#]],16,0)</f>
        <v>2</v>
      </c>
      <c r="S61" s="28">
        <f>VLOOKUP(Table88[[#This Row],[NAME]],MIA_H[[NAME]:['#]],17,0)</f>
        <v>15</v>
      </c>
      <c r="T61" s="77">
        <f>VLOOKUP(Table88[[#This Row],[NAME]],MIA_H[[NAME]:['#]],18,0)</f>
        <v>73</v>
      </c>
      <c r="U61" s="72">
        <f>VLOOKUP(Table88[[#This Row],[NAME]],MIA_H[[NAME]:['#]],19,0)</f>
        <v>0.83497521086858539</v>
      </c>
      <c r="V61" s="28">
        <f>VLOOKUP(Table88[[#This Row],[NAME]],MIA_H[[NAME]:['#]],20,0)</f>
        <v>3</v>
      </c>
      <c r="W61" s="75">
        <v>59</v>
      </c>
      <c r="Z61" s="101" t="s">
        <v>903</v>
      </c>
      <c r="AA61" s="77" t="s">
        <v>172</v>
      </c>
      <c r="AB61" s="77" t="s">
        <v>906</v>
      </c>
      <c r="AC61" s="130">
        <v>0.21052631578947367</v>
      </c>
      <c r="AD61" s="72">
        <v>0.27710843373493976</v>
      </c>
      <c r="AE61" s="72">
        <v>0.23684210526315788</v>
      </c>
      <c r="AF61" s="77">
        <v>23</v>
      </c>
      <c r="AG61" s="28">
        <v>76</v>
      </c>
      <c r="AH61" s="28">
        <v>5</v>
      </c>
      <c r="AI61" s="28">
        <v>16</v>
      </c>
      <c r="AJ61" s="28">
        <v>2</v>
      </c>
      <c r="AK61" s="28">
        <v>0</v>
      </c>
      <c r="AL61" s="28">
        <v>0</v>
      </c>
      <c r="AM61" s="28">
        <v>3</v>
      </c>
      <c r="AN61" s="28">
        <v>7</v>
      </c>
      <c r="AO61" s="28">
        <v>13</v>
      </c>
      <c r="AP61" s="77">
        <v>0</v>
      </c>
      <c r="AQ61" s="28">
        <v>1</v>
      </c>
      <c r="AR61" s="28">
        <v>3</v>
      </c>
      <c r="AS61" s="77">
        <v>18</v>
      </c>
      <c r="AT61" s="72">
        <v>0.51395053899809762</v>
      </c>
      <c r="AU61" s="28">
        <v>1</v>
      </c>
      <c r="AV61" s="75">
        <v>59</v>
      </c>
      <c r="AY61" s="101" t="s">
        <v>903</v>
      </c>
      <c r="AZ61" s="77" t="s">
        <v>172</v>
      </c>
      <c r="BA61" s="77" t="s">
        <v>906</v>
      </c>
      <c r="BB61" s="130">
        <v>0.26027397260273971</v>
      </c>
      <c r="BC61" s="72">
        <v>0.29870129870129869</v>
      </c>
      <c r="BD61" s="72">
        <v>0.4863013698630137</v>
      </c>
      <c r="BE61" s="77">
        <v>39</v>
      </c>
      <c r="BF61" s="28">
        <v>146</v>
      </c>
      <c r="BG61" s="28">
        <v>18</v>
      </c>
      <c r="BH61" s="28">
        <v>38</v>
      </c>
      <c r="BI61" s="28">
        <v>9</v>
      </c>
      <c r="BJ61" s="28">
        <v>3</v>
      </c>
      <c r="BK61" s="28">
        <v>6</v>
      </c>
      <c r="BL61" s="28">
        <v>18</v>
      </c>
      <c r="BM61" s="28">
        <v>8</v>
      </c>
      <c r="BN61" s="28">
        <v>24</v>
      </c>
      <c r="BO61" s="77">
        <v>0</v>
      </c>
      <c r="BP61" s="28">
        <v>1</v>
      </c>
      <c r="BQ61" s="28">
        <v>11</v>
      </c>
      <c r="BR61" s="77">
        <v>71</v>
      </c>
      <c r="BS61" s="72">
        <v>0.78500266856431233</v>
      </c>
      <c r="BT61" s="28">
        <v>2</v>
      </c>
      <c r="BU61" s="75">
        <v>59</v>
      </c>
    </row>
    <row r="62" spans="1:73">
      <c r="A62" s="101" t="s">
        <v>903</v>
      </c>
      <c r="B62" s="71" t="s">
        <v>153</v>
      </c>
      <c r="C62" s="74" t="s">
        <v>905</v>
      </c>
      <c r="D62" s="72">
        <f>VLOOKUP(Table88[[#This Row],[NAME]],MIA_H[[NAME]:['#]],2,0)</f>
        <v>0.25454545454545452</v>
      </c>
      <c r="E62" s="72">
        <f>VLOOKUP(Table88[[#This Row],[NAME]],MIA_H[[NAME]:['#]],3,0)</f>
        <v>0.31666666666666665</v>
      </c>
      <c r="F62" s="72">
        <f>VLOOKUP(Table88[[#This Row],[NAME]],MIA_H[[NAME]:['#]],4,0)</f>
        <v>0.43636363636363634</v>
      </c>
      <c r="G62" s="77">
        <f>VLOOKUP(Table88[[#This Row],[NAME]],MIA_H[[NAME]:['#]],5,0)</f>
        <v>40</v>
      </c>
      <c r="H62" s="28">
        <f>VLOOKUP(Table88[[#This Row],[NAME]],MIA_H[[NAME]:['#]],6,0)</f>
        <v>165</v>
      </c>
      <c r="I62" s="28">
        <f>VLOOKUP(Table88[[#This Row],[NAME]],MIA_H[[NAME]:['#]],7,0)</f>
        <v>20</v>
      </c>
      <c r="J62" s="28">
        <f>VLOOKUP(Table88[[#This Row],[NAME]],MIA_H[[NAME]:['#]],8,0)</f>
        <v>42</v>
      </c>
      <c r="K62" s="28">
        <f>VLOOKUP(Table88[[#This Row],[NAME]],MIA_H[[NAME]:['#]],9,0)</f>
        <v>7</v>
      </c>
      <c r="L62" s="28">
        <f>VLOOKUP(Table88[[#This Row],[NAME]],MIA_H[[NAME]:['#]],10,0)</f>
        <v>1</v>
      </c>
      <c r="M62" s="28">
        <f>VLOOKUP(Table88[[#This Row],[NAME]],MIA_H[[NAME]:['#]],11,0)</f>
        <v>7</v>
      </c>
      <c r="N62" s="28">
        <f>VLOOKUP(Table88[[#This Row],[NAME]],MIA_H[[NAME]:['#]],12,0)</f>
        <v>25</v>
      </c>
      <c r="O62" s="28">
        <f>VLOOKUP(Table88[[#This Row],[NAME]],MIA_H[[NAME]:['#]],13,0)</f>
        <v>15</v>
      </c>
      <c r="P62" s="76">
        <f>VLOOKUP(Table88[[#This Row],[NAME]],MIA_H[[NAME]:['#]],14,0)</f>
        <v>63</v>
      </c>
      <c r="Q62" s="77">
        <f>VLOOKUP(Table88[[#This Row],[NAME]],MIA_H[[NAME]:['#]],15,0)</f>
        <v>10</v>
      </c>
      <c r="R62" s="28">
        <f>VLOOKUP(Table88[[#This Row],[NAME]],MIA_H[[NAME]:['#]],16,0)</f>
        <v>3</v>
      </c>
      <c r="S62" s="28">
        <f>VLOOKUP(Table88[[#This Row],[NAME]],MIA_H[[NAME]:['#]],17,0)</f>
        <v>6</v>
      </c>
      <c r="T62" s="77">
        <f>VLOOKUP(Table88[[#This Row],[NAME]],MIA_H[[NAME]:['#]],18,0)</f>
        <v>72</v>
      </c>
      <c r="U62" s="72">
        <f>VLOOKUP(Table88[[#This Row],[NAME]],MIA_H[[NAME]:['#]],19,0)</f>
        <v>0.75303030303030294</v>
      </c>
      <c r="V62" s="28">
        <f>VLOOKUP(Table88[[#This Row],[NAME]],MIA_H[[NAME]:['#]],20,0)</f>
        <v>3</v>
      </c>
      <c r="W62" s="75">
        <v>60</v>
      </c>
      <c r="Z62" s="101" t="s">
        <v>903</v>
      </c>
      <c r="AA62" s="77" t="s">
        <v>153</v>
      </c>
      <c r="AB62" s="77" t="s">
        <v>438</v>
      </c>
      <c r="AC62" s="130">
        <v>0.28658536585365851</v>
      </c>
      <c r="AD62" s="72">
        <v>0.34269662921348315</v>
      </c>
      <c r="AE62" s="72">
        <v>0.40243902439024393</v>
      </c>
      <c r="AF62" s="77">
        <v>40</v>
      </c>
      <c r="AG62" s="28">
        <v>164</v>
      </c>
      <c r="AH62" s="28">
        <v>22</v>
      </c>
      <c r="AI62" s="28">
        <v>47</v>
      </c>
      <c r="AJ62" s="28">
        <v>14</v>
      </c>
      <c r="AK62" s="28">
        <v>1</v>
      </c>
      <c r="AL62" s="28">
        <v>1</v>
      </c>
      <c r="AM62" s="28">
        <v>13</v>
      </c>
      <c r="AN62" s="28">
        <v>14</v>
      </c>
      <c r="AO62" s="28">
        <v>21</v>
      </c>
      <c r="AP62" s="77">
        <v>0</v>
      </c>
      <c r="AQ62" s="28">
        <v>2</v>
      </c>
      <c r="AR62" s="28">
        <v>12</v>
      </c>
      <c r="AS62" s="77">
        <v>66</v>
      </c>
      <c r="AT62" s="72">
        <v>0.74513565360372702</v>
      </c>
      <c r="AU62" s="28">
        <v>2</v>
      </c>
      <c r="AV62" s="75">
        <v>60</v>
      </c>
      <c r="AY62" s="101" t="s">
        <v>903</v>
      </c>
      <c r="AZ62" s="77" t="s">
        <v>153</v>
      </c>
      <c r="BA62" s="77" t="s">
        <v>905</v>
      </c>
      <c r="BB62" s="130">
        <v>0.30827067669172931</v>
      </c>
      <c r="BC62" s="72">
        <v>0.35664335664335667</v>
      </c>
      <c r="BD62" s="72">
        <v>0.42857142857142855</v>
      </c>
      <c r="BE62" s="77">
        <v>36</v>
      </c>
      <c r="BF62" s="28">
        <v>133</v>
      </c>
      <c r="BG62" s="28">
        <v>11</v>
      </c>
      <c r="BH62" s="28">
        <v>41</v>
      </c>
      <c r="BI62" s="28">
        <v>4</v>
      </c>
      <c r="BJ62" s="28">
        <v>0</v>
      </c>
      <c r="BK62" s="28">
        <v>4</v>
      </c>
      <c r="BL62" s="28">
        <v>23</v>
      </c>
      <c r="BM62" s="28">
        <v>10</v>
      </c>
      <c r="BN62" s="28">
        <v>32</v>
      </c>
      <c r="BO62" s="77">
        <v>14</v>
      </c>
      <c r="BP62" s="28">
        <v>4</v>
      </c>
      <c r="BQ62" s="28">
        <v>6</v>
      </c>
      <c r="BR62" s="77">
        <v>57</v>
      </c>
      <c r="BS62" s="72">
        <v>0.78521478521478527</v>
      </c>
      <c r="BT62" s="28">
        <v>3</v>
      </c>
      <c r="BU62" s="75">
        <v>60</v>
      </c>
    </row>
    <row r="63" spans="1:73">
      <c r="A63" s="101" t="s">
        <v>903</v>
      </c>
      <c r="B63" s="71" t="s">
        <v>177</v>
      </c>
      <c r="C63" s="74" t="s">
        <v>438</v>
      </c>
      <c r="D63" s="72">
        <f>VLOOKUP(Table88[[#This Row],[NAME]],MIA_H[[NAME]:['#]],2,0)</f>
        <v>0.34567901234567899</v>
      </c>
      <c r="E63" s="72">
        <f>VLOOKUP(Table88[[#This Row],[NAME]],MIA_H[[NAME]:['#]],3,0)</f>
        <v>0.4044943820224719</v>
      </c>
      <c r="F63" s="72">
        <f>VLOOKUP(Table88[[#This Row],[NAME]],MIA_H[[NAME]:['#]],4,0)</f>
        <v>0.45061728395061729</v>
      </c>
      <c r="G63" s="77">
        <f>VLOOKUP(Table88[[#This Row],[NAME]],MIA_H[[NAME]:['#]],5,0)</f>
        <v>40</v>
      </c>
      <c r="H63" s="28">
        <f>VLOOKUP(Table88[[#This Row],[NAME]],MIA_H[[NAME]:['#]],6,0)</f>
        <v>162</v>
      </c>
      <c r="I63" s="28">
        <f>VLOOKUP(Table88[[#This Row],[NAME]],MIA_H[[NAME]:['#]],7,0)</f>
        <v>21</v>
      </c>
      <c r="J63" s="28">
        <f>VLOOKUP(Table88[[#This Row],[NAME]],MIA_H[[NAME]:['#]],8,0)</f>
        <v>56</v>
      </c>
      <c r="K63" s="28">
        <f>VLOOKUP(Table88[[#This Row],[NAME]],MIA_H[[NAME]:['#]],9,0)</f>
        <v>14</v>
      </c>
      <c r="L63" s="28">
        <f>VLOOKUP(Table88[[#This Row],[NAME]],MIA_H[[NAME]:['#]],10,0)</f>
        <v>0</v>
      </c>
      <c r="M63" s="28">
        <f>VLOOKUP(Table88[[#This Row],[NAME]],MIA_H[[NAME]:['#]],11,0)</f>
        <v>1</v>
      </c>
      <c r="N63" s="28">
        <f>VLOOKUP(Table88[[#This Row],[NAME]],MIA_H[[NAME]:['#]],12,0)</f>
        <v>24</v>
      </c>
      <c r="O63" s="28">
        <f>VLOOKUP(Table88[[#This Row],[NAME]],MIA_H[[NAME]:['#]],13,0)</f>
        <v>16</v>
      </c>
      <c r="P63" s="28">
        <f>VLOOKUP(Table88[[#This Row],[NAME]],MIA_H[[NAME]:['#]],14,0)</f>
        <v>33</v>
      </c>
      <c r="Q63" s="77">
        <f>VLOOKUP(Table88[[#This Row],[NAME]],MIA_H[[NAME]:['#]],15,0)</f>
        <v>0</v>
      </c>
      <c r="R63" s="28">
        <f>VLOOKUP(Table88[[#This Row],[NAME]],MIA_H[[NAME]:['#]],16,0)</f>
        <v>3</v>
      </c>
      <c r="S63" s="28">
        <f>VLOOKUP(Table88[[#This Row],[NAME]],MIA_H[[NAME]:['#]],17,0)</f>
        <v>10</v>
      </c>
      <c r="T63" s="77">
        <f>VLOOKUP(Table88[[#This Row],[NAME]],MIA_H[[NAME]:['#]],18,0)</f>
        <v>73</v>
      </c>
      <c r="U63" s="72">
        <f>VLOOKUP(Table88[[#This Row],[NAME]],MIA_H[[NAME]:['#]],19,0)</f>
        <v>0.85511166597308919</v>
      </c>
      <c r="V63" s="28">
        <f>VLOOKUP(Table88[[#This Row],[NAME]],MIA_H[[NAME]:['#]],20,0)</f>
        <v>2</v>
      </c>
      <c r="W63" s="75">
        <v>61</v>
      </c>
      <c r="Z63" s="101" t="s">
        <v>903</v>
      </c>
      <c r="AA63" s="77" t="s">
        <v>177</v>
      </c>
      <c r="AB63" s="77" t="s">
        <v>908</v>
      </c>
      <c r="AC63" s="130">
        <v>0.21678321678321677</v>
      </c>
      <c r="AD63" s="72">
        <v>0.26315789473684209</v>
      </c>
      <c r="AE63" s="72">
        <v>0.37062937062937062</v>
      </c>
      <c r="AF63" s="77">
        <v>38</v>
      </c>
      <c r="AG63" s="28">
        <v>143</v>
      </c>
      <c r="AH63" s="28">
        <v>12</v>
      </c>
      <c r="AI63" s="28">
        <v>31</v>
      </c>
      <c r="AJ63" s="28">
        <v>4</v>
      </c>
      <c r="AK63" s="28">
        <v>0</v>
      </c>
      <c r="AL63" s="28">
        <v>6</v>
      </c>
      <c r="AM63" s="28">
        <v>12</v>
      </c>
      <c r="AN63" s="28">
        <v>9</v>
      </c>
      <c r="AO63" s="28">
        <v>43</v>
      </c>
      <c r="AP63" s="77">
        <v>0</v>
      </c>
      <c r="AQ63" s="28">
        <v>0</v>
      </c>
      <c r="AR63" s="28">
        <v>5</v>
      </c>
      <c r="AS63" s="77">
        <v>53</v>
      </c>
      <c r="AT63" s="72">
        <v>0.63378726536621266</v>
      </c>
      <c r="AU63" s="28">
        <v>0</v>
      </c>
      <c r="AV63" s="75">
        <v>61</v>
      </c>
      <c r="AY63" s="101" t="s">
        <v>903</v>
      </c>
      <c r="AZ63" s="77" t="s">
        <v>177</v>
      </c>
      <c r="BA63" s="77" t="s">
        <v>908</v>
      </c>
      <c r="BB63" s="130">
        <v>0.18439716312056736</v>
      </c>
      <c r="BC63" s="72">
        <v>0.27215189873417722</v>
      </c>
      <c r="BD63" s="72">
        <v>0.31205673758865249</v>
      </c>
      <c r="BE63" s="77">
        <v>37</v>
      </c>
      <c r="BF63" s="28">
        <v>141</v>
      </c>
      <c r="BG63" s="28">
        <v>11</v>
      </c>
      <c r="BH63" s="28">
        <v>26</v>
      </c>
      <c r="BI63" s="28">
        <v>6</v>
      </c>
      <c r="BJ63" s="28">
        <v>0</v>
      </c>
      <c r="BK63" s="28">
        <v>4</v>
      </c>
      <c r="BL63" s="28">
        <v>11</v>
      </c>
      <c r="BM63" s="28">
        <v>17</v>
      </c>
      <c r="BN63" s="28">
        <v>41</v>
      </c>
      <c r="BO63" s="77">
        <v>0</v>
      </c>
      <c r="BP63" s="28">
        <v>0</v>
      </c>
      <c r="BQ63" s="28">
        <v>4</v>
      </c>
      <c r="BR63" s="77">
        <v>44</v>
      </c>
      <c r="BS63" s="72">
        <v>0.58420863632282971</v>
      </c>
      <c r="BT63" s="28">
        <v>2</v>
      </c>
      <c r="BU63" s="75">
        <v>61</v>
      </c>
    </row>
    <row r="64" spans="1:73">
      <c r="A64" s="101" t="s">
        <v>903</v>
      </c>
      <c r="B64" s="71" t="s">
        <v>234</v>
      </c>
      <c r="C64" s="74" t="s">
        <v>912</v>
      </c>
      <c r="D64" s="72">
        <f>VLOOKUP(Table88[[#This Row],[NAME]],MIA_H[[NAME]:['#]],2,0)</f>
        <v>0.2857142857142857</v>
      </c>
      <c r="E64" s="72">
        <f>VLOOKUP(Table88[[#This Row],[NAME]],MIA_H[[NAME]:['#]],3,0)</f>
        <v>0.378698224852071</v>
      </c>
      <c r="F64" s="72">
        <f>VLOOKUP(Table88[[#This Row],[NAME]],MIA_H[[NAME]:['#]],4,0)</f>
        <v>0.33333333333333331</v>
      </c>
      <c r="G64" s="77">
        <f>VLOOKUP(Table88[[#This Row],[NAME]],MIA_H[[NAME]:['#]],5,0)</f>
        <v>40</v>
      </c>
      <c r="H64" s="28">
        <f>VLOOKUP(Table88[[#This Row],[NAME]],MIA_H[[NAME]:['#]],6,0)</f>
        <v>147</v>
      </c>
      <c r="I64" s="28">
        <f>VLOOKUP(Table88[[#This Row],[NAME]],MIA_H[[NAME]:['#]],7,0)</f>
        <v>14</v>
      </c>
      <c r="J64" s="28">
        <f>VLOOKUP(Table88[[#This Row],[NAME]],MIA_H[[NAME]:['#]],8,0)</f>
        <v>42</v>
      </c>
      <c r="K64" s="28">
        <f>VLOOKUP(Table88[[#This Row],[NAME]],MIA_H[[NAME]:['#]],9,0)</f>
        <v>4</v>
      </c>
      <c r="L64" s="28">
        <f>VLOOKUP(Table88[[#This Row],[NAME]],MIA_H[[NAME]:['#]],10,0)</f>
        <v>0</v>
      </c>
      <c r="M64" s="28">
        <f>VLOOKUP(Table88[[#This Row],[NAME]],MIA_H[[NAME]:['#]],11,0)</f>
        <v>1</v>
      </c>
      <c r="N64" s="28">
        <f>VLOOKUP(Table88[[#This Row],[NAME]],MIA_H[[NAME]:['#]],12,0)</f>
        <v>10</v>
      </c>
      <c r="O64" s="28">
        <f>VLOOKUP(Table88[[#This Row],[NAME]],MIA_H[[NAME]:['#]],13,0)</f>
        <v>22</v>
      </c>
      <c r="P64" s="28">
        <f>VLOOKUP(Table88[[#This Row],[NAME]],MIA_H[[NAME]:['#]],14,0)</f>
        <v>44</v>
      </c>
      <c r="Q64" s="77">
        <f>VLOOKUP(Table88[[#This Row],[NAME]],MIA_H[[NAME]:['#]],15,0)</f>
        <v>0</v>
      </c>
      <c r="R64" s="28">
        <f>VLOOKUP(Table88[[#This Row],[NAME]],MIA_H[[NAME]:['#]],16,0)</f>
        <v>2</v>
      </c>
      <c r="S64" s="28">
        <f>VLOOKUP(Table88[[#This Row],[NAME]],MIA_H[[NAME]:['#]],17,0)</f>
        <v>12</v>
      </c>
      <c r="T64" s="77">
        <f>VLOOKUP(Table88[[#This Row],[NAME]],MIA_H[[NAME]:['#]],18,0)</f>
        <v>49</v>
      </c>
      <c r="U64" s="72">
        <f>VLOOKUP(Table88[[#This Row],[NAME]],MIA_H[[NAME]:['#]],19,0)</f>
        <v>0.71203155818540431</v>
      </c>
      <c r="V64" s="28">
        <f>VLOOKUP(Table88[[#This Row],[NAME]],MIA_H[[NAME]:['#]],20,0)</f>
        <v>0</v>
      </c>
      <c r="W64" s="75">
        <v>62</v>
      </c>
      <c r="Z64" s="101" t="s">
        <v>903</v>
      </c>
      <c r="AA64" s="77" t="s">
        <v>174</v>
      </c>
      <c r="AB64" s="77" t="s">
        <v>910</v>
      </c>
      <c r="AC64" s="130">
        <v>0.2</v>
      </c>
      <c r="AD64" s="72">
        <v>0.30864197530864196</v>
      </c>
      <c r="AE64" s="72">
        <v>0.30714285714285716</v>
      </c>
      <c r="AF64" s="77">
        <v>40</v>
      </c>
      <c r="AG64" s="28">
        <v>140</v>
      </c>
      <c r="AH64" s="28">
        <v>10</v>
      </c>
      <c r="AI64" s="28">
        <v>28</v>
      </c>
      <c r="AJ64" s="28">
        <v>6</v>
      </c>
      <c r="AK64" s="28">
        <v>0</v>
      </c>
      <c r="AL64" s="28">
        <v>3</v>
      </c>
      <c r="AM64" s="28">
        <v>16</v>
      </c>
      <c r="AN64" s="28">
        <v>22</v>
      </c>
      <c r="AO64" s="28">
        <v>31</v>
      </c>
      <c r="AP64" s="77">
        <v>0</v>
      </c>
      <c r="AQ64" s="28">
        <v>1</v>
      </c>
      <c r="AR64" s="28">
        <v>7</v>
      </c>
      <c r="AS64" s="77">
        <v>43</v>
      </c>
      <c r="AT64" s="72">
        <v>0.61578483245149918</v>
      </c>
      <c r="AU64" s="28">
        <v>3</v>
      </c>
      <c r="AV64" s="75">
        <v>62</v>
      </c>
      <c r="AY64" s="101" t="s">
        <v>903</v>
      </c>
      <c r="AZ64" s="77" t="s">
        <v>174</v>
      </c>
      <c r="BA64" s="77" t="s">
        <v>907</v>
      </c>
      <c r="BB64" s="130">
        <v>0.2890625</v>
      </c>
      <c r="BC64" s="72">
        <v>0.36363636363636365</v>
      </c>
      <c r="BD64" s="72">
        <v>0.4296875</v>
      </c>
      <c r="BE64" s="77">
        <v>33</v>
      </c>
      <c r="BF64" s="28">
        <v>128</v>
      </c>
      <c r="BG64" s="28">
        <v>20</v>
      </c>
      <c r="BH64" s="28">
        <v>37</v>
      </c>
      <c r="BI64" s="28">
        <v>6</v>
      </c>
      <c r="BJ64" s="28">
        <v>0</v>
      </c>
      <c r="BK64" s="28">
        <v>4</v>
      </c>
      <c r="BL64" s="28">
        <v>17</v>
      </c>
      <c r="BM64" s="28">
        <v>15</v>
      </c>
      <c r="BN64" s="28">
        <v>36</v>
      </c>
      <c r="BO64" s="77">
        <v>16</v>
      </c>
      <c r="BP64" s="28">
        <v>0</v>
      </c>
      <c r="BQ64" s="28">
        <v>5</v>
      </c>
      <c r="BR64" s="77">
        <v>55</v>
      </c>
      <c r="BS64" s="72">
        <v>0.79332386363636365</v>
      </c>
      <c r="BT64" s="28">
        <v>4</v>
      </c>
      <c r="BU64" s="75">
        <v>62</v>
      </c>
    </row>
    <row r="65" spans="1:73">
      <c r="A65" s="101" t="s">
        <v>903</v>
      </c>
      <c r="B65" s="71" t="s">
        <v>181</v>
      </c>
      <c r="C65" s="74" t="s">
        <v>914</v>
      </c>
      <c r="D65" s="72">
        <f>VLOOKUP(Table88[[#This Row],[NAME]],MIA_H[[NAME]:['#]],2,0)</f>
        <v>0.21830985915492956</v>
      </c>
      <c r="E65" s="72">
        <f>VLOOKUP(Table88[[#This Row],[NAME]],MIA_H[[NAME]:['#]],3,0)</f>
        <v>0.29746835443037972</v>
      </c>
      <c r="F65" s="72">
        <f>VLOOKUP(Table88[[#This Row],[NAME]],MIA_H[[NAME]:['#]],4,0)</f>
        <v>0.3380281690140845</v>
      </c>
      <c r="G65" s="77">
        <f>VLOOKUP(Table88[[#This Row],[NAME]],MIA_H[[NAME]:['#]],5,0)</f>
        <v>38</v>
      </c>
      <c r="H65" s="28">
        <f>VLOOKUP(Table88[[#This Row],[NAME]],MIA_H[[NAME]:['#]],6,0)</f>
        <v>142</v>
      </c>
      <c r="I65" s="28">
        <f>VLOOKUP(Table88[[#This Row],[NAME]],MIA_H[[NAME]:['#]],7,0)</f>
        <v>19</v>
      </c>
      <c r="J65" s="28">
        <f>VLOOKUP(Table88[[#This Row],[NAME]],MIA_H[[NAME]:['#]],8,0)</f>
        <v>31</v>
      </c>
      <c r="K65" s="28">
        <f>VLOOKUP(Table88[[#This Row],[NAME]],MIA_H[[NAME]:['#]],9,0)</f>
        <v>7</v>
      </c>
      <c r="L65" s="28">
        <f>VLOOKUP(Table88[[#This Row],[NAME]],MIA_H[[NAME]:['#]],10,0)</f>
        <v>2</v>
      </c>
      <c r="M65" s="28">
        <f>VLOOKUP(Table88[[#This Row],[NAME]],MIA_H[[NAME]:['#]],11,0)</f>
        <v>2</v>
      </c>
      <c r="N65" s="28">
        <f>VLOOKUP(Table88[[#This Row],[NAME]],MIA_H[[NAME]:['#]],12,0)</f>
        <v>11</v>
      </c>
      <c r="O65" s="28">
        <f>VLOOKUP(Table88[[#This Row],[NAME]],MIA_H[[NAME]:['#]],13,0)</f>
        <v>16</v>
      </c>
      <c r="P65" s="28">
        <f>VLOOKUP(Table88[[#This Row],[NAME]],MIA_H[[NAME]:['#]],14,0)</f>
        <v>52</v>
      </c>
      <c r="Q65" s="77">
        <f>VLOOKUP(Table88[[#This Row],[NAME]],MIA_H[[NAME]:['#]],15,0)</f>
        <v>0</v>
      </c>
      <c r="R65" s="28">
        <f>VLOOKUP(Table88[[#This Row],[NAME]],MIA_H[[NAME]:['#]],16,0)</f>
        <v>7</v>
      </c>
      <c r="S65" s="28">
        <f>VLOOKUP(Table88[[#This Row],[NAME]],MIA_H[[NAME]:['#]],17,0)</f>
        <v>7</v>
      </c>
      <c r="T65" s="77">
        <f>VLOOKUP(Table88[[#This Row],[NAME]],MIA_H[[NAME]:['#]],18,0)</f>
        <v>48</v>
      </c>
      <c r="U65" s="72">
        <f>VLOOKUP(Table88[[#This Row],[NAME]],MIA_H[[NAME]:['#]],19,0)</f>
        <v>0.63549652344446428</v>
      </c>
      <c r="V65" s="28">
        <f>VLOOKUP(Table88[[#This Row],[NAME]],MIA_H[[NAME]:['#]],20,0)</f>
        <v>0</v>
      </c>
      <c r="W65" s="75">
        <v>63</v>
      </c>
      <c r="Z65" s="101" t="s">
        <v>903</v>
      </c>
      <c r="AA65" s="77" t="s">
        <v>181</v>
      </c>
      <c r="AB65" s="77" t="s">
        <v>905</v>
      </c>
      <c r="AC65" s="130">
        <v>0.25</v>
      </c>
      <c r="AD65" s="72">
        <v>0.33720930232558138</v>
      </c>
      <c r="AE65" s="72">
        <v>0.44736842105263158</v>
      </c>
      <c r="AF65" s="77">
        <v>40</v>
      </c>
      <c r="AG65" s="28">
        <v>152</v>
      </c>
      <c r="AH65" s="28">
        <v>20</v>
      </c>
      <c r="AI65" s="28">
        <v>38</v>
      </c>
      <c r="AJ65" s="28">
        <v>9</v>
      </c>
      <c r="AK65" s="28">
        <v>0</v>
      </c>
      <c r="AL65" s="28">
        <v>7</v>
      </c>
      <c r="AM65" s="28">
        <v>28</v>
      </c>
      <c r="AN65" s="28">
        <v>20</v>
      </c>
      <c r="AO65" s="28">
        <v>47</v>
      </c>
      <c r="AP65" s="77">
        <v>6</v>
      </c>
      <c r="AQ65" s="28">
        <v>2</v>
      </c>
      <c r="AR65" s="28">
        <v>8</v>
      </c>
      <c r="AS65" s="77">
        <v>68</v>
      </c>
      <c r="AT65" s="72">
        <v>0.78457772337821297</v>
      </c>
      <c r="AU65" s="28">
        <v>5</v>
      </c>
      <c r="AV65" s="75">
        <v>63</v>
      </c>
      <c r="AY65" s="101" t="s">
        <v>903</v>
      </c>
      <c r="AZ65" s="77" t="s">
        <v>383</v>
      </c>
      <c r="BA65" s="77" t="s">
        <v>914</v>
      </c>
      <c r="BB65" s="130">
        <v>0.20143884892086331</v>
      </c>
      <c r="BC65" s="72">
        <v>0.24489795918367346</v>
      </c>
      <c r="BD65" s="72">
        <v>0.34532374100719426</v>
      </c>
      <c r="BE65" s="77">
        <v>36</v>
      </c>
      <c r="BF65" s="28">
        <v>139</v>
      </c>
      <c r="BG65" s="28">
        <v>9</v>
      </c>
      <c r="BH65" s="28">
        <v>28</v>
      </c>
      <c r="BI65" s="28">
        <v>4</v>
      </c>
      <c r="BJ65" s="28">
        <v>2</v>
      </c>
      <c r="BK65" s="28">
        <v>4</v>
      </c>
      <c r="BL65" s="28">
        <v>18</v>
      </c>
      <c r="BM65" s="28">
        <v>8</v>
      </c>
      <c r="BN65" s="28">
        <v>44</v>
      </c>
      <c r="BO65" s="77">
        <v>0</v>
      </c>
      <c r="BP65" s="28">
        <v>1</v>
      </c>
      <c r="BQ65" s="28">
        <v>6</v>
      </c>
      <c r="BR65" s="77">
        <v>48</v>
      </c>
      <c r="BS65" s="72">
        <v>0.59022170019086773</v>
      </c>
      <c r="BT65" s="28">
        <v>1</v>
      </c>
      <c r="BU65" s="75">
        <v>63</v>
      </c>
    </row>
    <row r="66" spans="1:73">
      <c r="A66" s="101" t="s">
        <v>903</v>
      </c>
      <c r="B66" s="71" t="s">
        <v>166</v>
      </c>
      <c r="C66" s="982" t="s">
        <v>2172</v>
      </c>
      <c r="D66" s="72">
        <f>VLOOKUP(Table88[[#This Row],[NAME]],MIA_H[[NAME]:['#]],2,0)</f>
        <v>0.26946107784431139</v>
      </c>
      <c r="E66" s="72">
        <f>VLOOKUP(Table88[[#This Row],[NAME]],MIA_H[[NAME]:['#]],3,0)</f>
        <v>0.3146067415730337</v>
      </c>
      <c r="F66" s="72">
        <f>VLOOKUP(Table88[[#This Row],[NAME]],MIA_H[[NAME]:['#]],4,0)</f>
        <v>0.3413173652694611</v>
      </c>
      <c r="G66" s="77">
        <f>VLOOKUP(Table88[[#This Row],[NAME]],MIA_H[[NAME]:['#]],5,0)</f>
        <v>37</v>
      </c>
      <c r="H66" s="28">
        <f>VLOOKUP(Table88[[#This Row],[NAME]],MIA_H[[NAME]:['#]],6,0)</f>
        <v>167</v>
      </c>
      <c r="I66" s="28">
        <f>VLOOKUP(Table88[[#This Row],[NAME]],MIA_H[[NAME]:['#]],7,0)</f>
        <v>18</v>
      </c>
      <c r="J66" s="28">
        <f>VLOOKUP(Table88[[#This Row],[NAME]],MIA_H[[NAME]:['#]],8,0)</f>
        <v>45</v>
      </c>
      <c r="K66" s="28">
        <f>VLOOKUP(Table88[[#This Row],[NAME]],MIA_H[[NAME]:['#]],9,0)</f>
        <v>10</v>
      </c>
      <c r="L66" s="28">
        <f>VLOOKUP(Table88[[#This Row],[NAME]],MIA_H[[NAME]:['#]],10,0)</f>
        <v>1</v>
      </c>
      <c r="M66" s="28">
        <f>VLOOKUP(Table88[[#This Row],[NAME]],MIA_H[[NAME]:['#]],11,0)</f>
        <v>0</v>
      </c>
      <c r="N66" s="28">
        <f>VLOOKUP(Table88[[#This Row],[NAME]],MIA_H[[NAME]:['#]],12,0)</f>
        <v>18</v>
      </c>
      <c r="O66" s="28">
        <f>VLOOKUP(Table88[[#This Row],[NAME]],MIA_H[[NAME]:['#]],13,0)</f>
        <v>11</v>
      </c>
      <c r="P66" s="28">
        <f>VLOOKUP(Table88[[#This Row],[NAME]],MIA_H[[NAME]:['#]],14,0)</f>
        <v>31</v>
      </c>
      <c r="Q66" s="77">
        <f>VLOOKUP(Table88[[#This Row],[NAME]],MIA_H[[NAME]:['#]],15,0)</f>
        <v>9</v>
      </c>
      <c r="R66" s="28">
        <f>VLOOKUP(Table88[[#This Row],[NAME]],MIA_H[[NAME]:['#]],16,0)</f>
        <v>6</v>
      </c>
      <c r="S66" s="28">
        <f>VLOOKUP(Table88[[#This Row],[NAME]],MIA_H[[NAME]:['#]],17,0)</f>
        <v>9</v>
      </c>
      <c r="T66" s="77">
        <f>VLOOKUP(Table88[[#This Row],[NAME]],MIA_H[[NAME]:['#]],18,0)</f>
        <v>57</v>
      </c>
      <c r="U66" s="72">
        <f>VLOOKUP(Table88[[#This Row],[NAME]],MIA_H[[NAME]:['#]],19,0)</f>
        <v>0.6559241068424948</v>
      </c>
      <c r="V66" s="28">
        <f>VLOOKUP(Table88[[#This Row],[NAME]],MIA_H[[NAME]:['#]],20,0)</f>
        <v>2</v>
      </c>
      <c r="W66" s="75">
        <v>64</v>
      </c>
      <c r="Z66" s="101" t="s">
        <v>903</v>
      </c>
      <c r="AA66" s="77" t="s">
        <v>166</v>
      </c>
      <c r="AB66" s="982" t="s">
        <v>2172</v>
      </c>
      <c r="AC66" s="130">
        <v>0.30722891566265059</v>
      </c>
      <c r="AD66" s="72">
        <v>0.35754189944134079</v>
      </c>
      <c r="AE66" s="72">
        <v>0.3493975903614458</v>
      </c>
      <c r="AF66" s="77">
        <v>40</v>
      </c>
      <c r="AG66" s="28">
        <v>166</v>
      </c>
      <c r="AH66" s="28">
        <v>19</v>
      </c>
      <c r="AI66" s="28">
        <v>51</v>
      </c>
      <c r="AJ66" s="28">
        <v>5</v>
      </c>
      <c r="AK66" s="28">
        <v>1</v>
      </c>
      <c r="AL66" s="28">
        <v>0</v>
      </c>
      <c r="AM66" s="28">
        <v>11</v>
      </c>
      <c r="AN66" s="28">
        <v>13</v>
      </c>
      <c r="AO66" s="28">
        <v>20</v>
      </c>
      <c r="AP66" s="77">
        <v>16</v>
      </c>
      <c r="AQ66" s="28">
        <v>2</v>
      </c>
      <c r="AR66" s="28">
        <v>5</v>
      </c>
      <c r="AS66" s="77">
        <v>58</v>
      </c>
      <c r="AT66" s="72">
        <v>0.70693948980278654</v>
      </c>
      <c r="AU66" s="28">
        <v>2</v>
      </c>
      <c r="AV66" s="75">
        <v>64</v>
      </c>
      <c r="AY66" s="101" t="s">
        <v>903</v>
      </c>
      <c r="AZ66" s="77" t="s">
        <v>166</v>
      </c>
      <c r="BA66" s="982" t="s">
        <v>2172</v>
      </c>
      <c r="BB66" s="130">
        <v>0.26845637583892618</v>
      </c>
      <c r="BC66" s="72">
        <v>0.3271604938271605</v>
      </c>
      <c r="BD66" s="72">
        <v>0.34899328859060402</v>
      </c>
      <c r="BE66" s="77">
        <v>37</v>
      </c>
      <c r="BF66" s="28">
        <v>149</v>
      </c>
      <c r="BG66" s="28">
        <v>22</v>
      </c>
      <c r="BH66" s="28">
        <v>40</v>
      </c>
      <c r="BI66" s="28">
        <v>7</v>
      </c>
      <c r="BJ66" s="28">
        <v>1</v>
      </c>
      <c r="BK66" s="28">
        <v>1</v>
      </c>
      <c r="BL66" s="28">
        <v>9</v>
      </c>
      <c r="BM66" s="28">
        <v>13</v>
      </c>
      <c r="BN66" s="28">
        <v>26</v>
      </c>
      <c r="BO66" s="352">
        <v>27</v>
      </c>
      <c r="BP66" s="28">
        <v>2</v>
      </c>
      <c r="BQ66" s="28">
        <v>13</v>
      </c>
      <c r="BR66" s="77">
        <v>52</v>
      </c>
      <c r="BS66" s="72">
        <v>0.67615378241776458</v>
      </c>
      <c r="BT66" s="28">
        <v>1</v>
      </c>
      <c r="BU66" s="75">
        <v>64</v>
      </c>
    </row>
    <row r="67" spans="1:73">
      <c r="A67" s="101" t="s">
        <v>903</v>
      </c>
      <c r="B67" s="71" t="s">
        <v>168</v>
      </c>
      <c r="C67" s="74" t="s">
        <v>917</v>
      </c>
      <c r="D67" s="72">
        <f>VLOOKUP(Table88[[#This Row],[NAME]],MIA_H[[NAME]:['#]],2,0)</f>
        <v>0.26744186046511625</v>
      </c>
      <c r="E67" s="72">
        <f>VLOOKUP(Table88[[#This Row],[NAME]],MIA_H[[NAME]:['#]],3,0)</f>
        <v>0.31521739130434784</v>
      </c>
      <c r="F67" s="72">
        <f>VLOOKUP(Table88[[#This Row],[NAME]],MIA_H[[NAME]:['#]],4,0)</f>
        <v>0.38372093023255816</v>
      </c>
      <c r="G67" s="77">
        <f>VLOOKUP(Table88[[#This Row],[NAME]],MIA_H[[NAME]:['#]],5,0)</f>
        <v>23</v>
      </c>
      <c r="H67" s="28">
        <f>VLOOKUP(Table88[[#This Row],[NAME]],MIA_H[[NAME]:['#]],6,0)</f>
        <v>86</v>
      </c>
      <c r="I67" s="28">
        <f>VLOOKUP(Table88[[#This Row],[NAME]],MIA_H[[NAME]:['#]],7,0)</f>
        <v>10</v>
      </c>
      <c r="J67" s="28">
        <f>VLOOKUP(Table88[[#This Row],[NAME]],MIA_H[[NAME]:['#]],8,0)</f>
        <v>23</v>
      </c>
      <c r="K67" s="28">
        <f>VLOOKUP(Table88[[#This Row],[NAME]],MIA_H[[NAME]:['#]],9,0)</f>
        <v>4</v>
      </c>
      <c r="L67" s="28">
        <f>VLOOKUP(Table88[[#This Row],[NAME]],MIA_H[[NAME]:['#]],10,0)</f>
        <v>0</v>
      </c>
      <c r="M67" s="28">
        <f>VLOOKUP(Table88[[#This Row],[NAME]],MIA_H[[NAME]:['#]],11,0)</f>
        <v>2</v>
      </c>
      <c r="N67" s="28">
        <f>VLOOKUP(Table88[[#This Row],[NAME]],MIA_H[[NAME]:['#]],12,0)</f>
        <v>8</v>
      </c>
      <c r="O67" s="28">
        <f>VLOOKUP(Table88[[#This Row],[NAME]],MIA_H[[NAME]:['#]],13,0)</f>
        <v>6</v>
      </c>
      <c r="P67" s="28">
        <f>VLOOKUP(Table88[[#This Row],[NAME]],MIA_H[[NAME]:['#]],14,0)</f>
        <v>34</v>
      </c>
      <c r="Q67" s="77">
        <f>VLOOKUP(Table88[[#This Row],[NAME]],MIA_H[[NAME]:['#]],15,0)</f>
        <v>0</v>
      </c>
      <c r="R67" s="28">
        <f>VLOOKUP(Table88[[#This Row],[NAME]],MIA_H[[NAME]:['#]],16,0)</f>
        <v>3</v>
      </c>
      <c r="S67" s="28">
        <f>VLOOKUP(Table88[[#This Row],[NAME]],MIA_H[[NAME]:['#]],17,0)</f>
        <v>4</v>
      </c>
      <c r="T67" s="77">
        <f>VLOOKUP(Table88[[#This Row],[NAME]],MIA_H[[NAME]:['#]],18,0)</f>
        <v>33</v>
      </c>
      <c r="U67" s="72">
        <f>VLOOKUP(Table88[[#This Row],[NAME]],MIA_H[[NAME]:['#]],19,0)</f>
        <v>0.69893832153690605</v>
      </c>
      <c r="V67" s="28">
        <f>VLOOKUP(Table88[[#This Row],[NAME]],MIA_H[[NAME]:['#]],20,0)</f>
        <v>1</v>
      </c>
      <c r="W67" s="75">
        <v>65</v>
      </c>
      <c r="Z67" s="101" t="s">
        <v>903</v>
      </c>
      <c r="AA67" s="77" t="s">
        <v>168</v>
      </c>
      <c r="AB67" s="77" t="s">
        <v>911</v>
      </c>
      <c r="AC67" s="130">
        <v>0.22368421052631579</v>
      </c>
      <c r="AD67" s="72">
        <v>0.25316455696202533</v>
      </c>
      <c r="AE67" s="72">
        <v>0.39473684210526316</v>
      </c>
      <c r="AF67" s="77">
        <v>20</v>
      </c>
      <c r="AG67" s="28">
        <v>76</v>
      </c>
      <c r="AH67" s="28">
        <v>7</v>
      </c>
      <c r="AI67" s="28">
        <v>17</v>
      </c>
      <c r="AJ67" s="28">
        <v>4</v>
      </c>
      <c r="AK67" s="28">
        <v>0</v>
      </c>
      <c r="AL67" s="28">
        <v>3</v>
      </c>
      <c r="AM67" s="28">
        <v>12</v>
      </c>
      <c r="AN67" s="28">
        <v>3</v>
      </c>
      <c r="AO67" s="28">
        <v>22</v>
      </c>
      <c r="AP67" s="77">
        <v>0</v>
      </c>
      <c r="AQ67" s="28">
        <v>2</v>
      </c>
      <c r="AR67" s="28">
        <v>4</v>
      </c>
      <c r="AS67" s="77">
        <v>30</v>
      </c>
      <c r="AT67" s="72">
        <v>0.6479013990672885</v>
      </c>
      <c r="AU67" s="28">
        <v>1</v>
      </c>
      <c r="AV67" s="75">
        <v>65</v>
      </c>
      <c r="AY67" s="101" t="s">
        <v>903</v>
      </c>
      <c r="AZ67" s="77" t="s">
        <v>168</v>
      </c>
      <c r="BA67" s="77" t="s">
        <v>911</v>
      </c>
      <c r="BB67" s="130">
        <v>0.23684210526315788</v>
      </c>
      <c r="BC67" s="72">
        <v>0.30952380952380953</v>
      </c>
      <c r="BD67" s="72">
        <v>0.34210526315789475</v>
      </c>
      <c r="BE67" s="77">
        <v>40</v>
      </c>
      <c r="BF67" s="28">
        <v>152</v>
      </c>
      <c r="BG67" s="28">
        <v>13</v>
      </c>
      <c r="BH67" s="28">
        <v>36</v>
      </c>
      <c r="BI67" s="28">
        <v>4</v>
      </c>
      <c r="BJ67" s="28">
        <v>0</v>
      </c>
      <c r="BK67" s="28">
        <v>4</v>
      </c>
      <c r="BL67" s="28">
        <v>12</v>
      </c>
      <c r="BM67" s="28">
        <v>16</v>
      </c>
      <c r="BN67" s="28">
        <v>46</v>
      </c>
      <c r="BO67" s="77">
        <v>0</v>
      </c>
      <c r="BP67" s="28">
        <v>1</v>
      </c>
      <c r="BQ67" s="28">
        <v>9</v>
      </c>
      <c r="BR67" s="77">
        <v>52</v>
      </c>
      <c r="BS67" s="72">
        <v>0.65162907268170422</v>
      </c>
      <c r="BT67" s="28">
        <v>2</v>
      </c>
      <c r="BU67" s="75">
        <v>65</v>
      </c>
    </row>
    <row r="68" spans="1:73">
      <c r="A68" s="101" t="s">
        <v>903</v>
      </c>
      <c r="B68" s="71" t="s">
        <v>179</v>
      </c>
      <c r="C68" s="74" t="s">
        <v>915</v>
      </c>
      <c r="D68" s="72">
        <f>VLOOKUP(Table88[[#This Row],[NAME]],MIA_H[[NAME]:['#]],2,0)</f>
        <v>0.15384615384615385</v>
      </c>
      <c r="E68" s="72">
        <f>VLOOKUP(Table88[[#This Row],[NAME]],MIA_H[[NAME]:['#]],3,0)</f>
        <v>0.2413793103448276</v>
      </c>
      <c r="F68" s="72">
        <f>VLOOKUP(Table88[[#This Row],[NAME]],MIA_H[[NAME]:['#]],4,0)</f>
        <v>0.19230769230769232</v>
      </c>
      <c r="G68" s="77">
        <f>VLOOKUP(Table88[[#This Row],[NAME]],MIA_H[[NAME]:['#]],5,0)</f>
        <v>7</v>
      </c>
      <c r="H68" s="28">
        <f>VLOOKUP(Table88[[#This Row],[NAME]],MIA_H[[NAME]:['#]],6,0)</f>
        <v>26</v>
      </c>
      <c r="I68" s="28">
        <f>VLOOKUP(Table88[[#This Row],[NAME]],MIA_H[[NAME]:['#]],7,0)</f>
        <v>0</v>
      </c>
      <c r="J68" s="28">
        <f>VLOOKUP(Table88[[#This Row],[NAME]],MIA_H[[NAME]:['#]],8,0)</f>
        <v>4</v>
      </c>
      <c r="K68" s="28">
        <f>VLOOKUP(Table88[[#This Row],[NAME]],MIA_H[[NAME]:['#]],9,0)</f>
        <v>1</v>
      </c>
      <c r="L68" s="28">
        <f>VLOOKUP(Table88[[#This Row],[NAME]],MIA_H[[NAME]:['#]],10,0)</f>
        <v>0</v>
      </c>
      <c r="M68" s="28">
        <f>VLOOKUP(Table88[[#This Row],[NAME]],MIA_H[[NAME]:['#]],11,0)</f>
        <v>0</v>
      </c>
      <c r="N68" s="28">
        <f>VLOOKUP(Table88[[#This Row],[NAME]],MIA_H[[NAME]:['#]],12,0)</f>
        <v>2</v>
      </c>
      <c r="O68" s="28">
        <f>VLOOKUP(Table88[[#This Row],[NAME]],MIA_H[[NAME]:['#]],13,0)</f>
        <v>3</v>
      </c>
      <c r="P68" s="28">
        <f>VLOOKUP(Table88[[#This Row],[NAME]],MIA_H[[NAME]:['#]],14,0)</f>
        <v>3</v>
      </c>
      <c r="Q68" s="77">
        <f>VLOOKUP(Table88[[#This Row],[NAME]],MIA_H[[NAME]:['#]],15,0)</f>
        <v>0</v>
      </c>
      <c r="R68" s="28">
        <f>VLOOKUP(Table88[[#This Row],[NAME]],MIA_H[[NAME]:['#]],16,0)</f>
        <v>0</v>
      </c>
      <c r="S68" s="28">
        <f>VLOOKUP(Table88[[#This Row],[NAME]],MIA_H[[NAME]:['#]],17,0)</f>
        <v>1</v>
      </c>
      <c r="T68" s="77">
        <f>VLOOKUP(Table88[[#This Row],[NAME]],MIA_H[[NAME]:['#]],18,0)</f>
        <v>5</v>
      </c>
      <c r="U68" s="72">
        <f>VLOOKUP(Table88[[#This Row],[NAME]],MIA_H[[NAME]:['#]],19,0)</f>
        <v>0.43368700265251992</v>
      </c>
      <c r="V68" s="28">
        <f>VLOOKUP(Table88[[#This Row],[NAME]],MIA_H[[NAME]:['#]],20,0)</f>
        <v>0</v>
      </c>
      <c r="W68" s="75">
        <v>66</v>
      </c>
      <c r="Z68" s="101" t="s">
        <v>903</v>
      </c>
      <c r="AA68" s="77" t="s">
        <v>179</v>
      </c>
      <c r="AB68" s="77" t="s">
        <v>354</v>
      </c>
      <c r="AC68" s="130">
        <v>0.16666666666666666</v>
      </c>
      <c r="AD68" s="72">
        <v>0.2857142857142857</v>
      </c>
      <c r="AE68" s="72">
        <v>0.33333333333333331</v>
      </c>
      <c r="AF68" s="77">
        <v>2</v>
      </c>
      <c r="AG68" s="28">
        <v>6</v>
      </c>
      <c r="AH68" s="28">
        <v>1</v>
      </c>
      <c r="AI68" s="28">
        <v>1</v>
      </c>
      <c r="AJ68" s="28">
        <v>1</v>
      </c>
      <c r="AK68" s="28">
        <v>0</v>
      </c>
      <c r="AL68" s="28">
        <v>0</v>
      </c>
      <c r="AM68" s="28">
        <v>3</v>
      </c>
      <c r="AN68" s="28">
        <v>1</v>
      </c>
      <c r="AO68" s="28">
        <v>3</v>
      </c>
      <c r="AP68" s="77">
        <v>0</v>
      </c>
      <c r="AQ68" s="28">
        <v>1</v>
      </c>
      <c r="AR68" s="28">
        <v>1</v>
      </c>
      <c r="AS68" s="77">
        <v>2</v>
      </c>
      <c r="AT68" s="72">
        <v>0.61904761904761907</v>
      </c>
      <c r="AU68" s="28">
        <v>0</v>
      </c>
      <c r="AV68" s="75">
        <v>66</v>
      </c>
      <c r="AY68" s="101" t="s">
        <v>903</v>
      </c>
      <c r="AZ68" s="77" t="s">
        <v>308</v>
      </c>
      <c r="BA68" s="77" t="s">
        <v>354</v>
      </c>
      <c r="BB68" s="130">
        <v>0.18181818181818182</v>
      </c>
      <c r="BC68" s="72">
        <v>0.2</v>
      </c>
      <c r="BD68" s="72">
        <v>0.20454545454545456</v>
      </c>
      <c r="BE68" s="77">
        <v>13</v>
      </c>
      <c r="BF68" s="28">
        <v>44</v>
      </c>
      <c r="BG68" s="28">
        <v>0</v>
      </c>
      <c r="BH68" s="28">
        <v>8</v>
      </c>
      <c r="BI68" s="28">
        <v>1</v>
      </c>
      <c r="BJ68" s="28">
        <v>0</v>
      </c>
      <c r="BK68" s="28">
        <v>0</v>
      </c>
      <c r="BL68" s="28">
        <v>1</v>
      </c>
      <c r="BM68" s="28">
        <v>1</v>
      </c>
      <c r="BN68" s="28">
        <v>18</v>
      </c>
      <c r="BO68" s="77">
        <v>0</v>
      </c>
      <c r="BP68" s="28">
        <v>0</v>
      </c>
      <c r="BQ68" s="28">
        <v>3</v>
      </c>
      <c r="BR68" s="77">
        <v>9</v>
      </c>
      <c r="BS68" s="72">
        <v>0.40454545454545454</v>
      </c>
      <c r="BT68" s="28">
        <v>0</v>
      </c>
      <c r="BU68" s="75">
        <v>66</v>
      </c>
    </row>
    <row r="69" spans="1:73">
      <c r="A69" s="101" t="s">
        <v>903</v>
      </c>
      <c r="B69" s="71" t="s">
        <v>192</v>
      </c>
      <c r="C69" s="74" t="s">
        <v>919</v>
      </c>
      <c r="D69" s="72">
        <f>VLOOKUP(Table88[[#This Row],[NAME]],MIA_H[[NAME]:['#]],2,0)</f>
        <v>0.23636363636363636</v>
      </c>
      <c r="E69" s="72">
        <f>VLOOKUP(Table88[[#This Row],[NAME]],MIA_H[[NAME]:['#]],3,0)</f>
        <v>0.27586206896551724</v>
      </c>
      <c r="F69" s="72">
        <f>VLOOKUP(Table88[[#This Row],[NAME]],MIA_H[[NAME]:['#]],4,0)</f>
        <v>0.32727272727272727</v>
      </c>
      <c r="G69" s="77">
        <f>VLOOKUP(Table88[[#This Row],[NAME]],MIA_H[[NAME]:['#]],5,0)</f>
        <v>15</v>
      </c>
      <c r="H69" s="28">
        <f>VLOOKUP(Table88[[#This Row],[NAME]],MIA_H[[NAME]:['#]],6,0)</f>
        <v>55</v>
      </c>
      <c r="I69" s="28">
        <f>VLOOKUP(Table88[[#This Row],[NAME]],MIA_H[[NAME]:['#]],7,0)</f>
        <v>3</v>
      </c>
      <c r="J69" s="28">
        <f>VLOOKUP(Table88[[#This Row],[NAME]],MIA_H[[NAME]:['#]],8,0)</f>
        <v>13</v>
      </c>
      <c r="K69" s="28">
        <f>VLOOKUP(Table88[[#This Row],[NAME]],MIA_H[[NAME]:['#]],9,0)</f>
        <v>5</v>
      </c>
      <c r="L69" s="28">
        <f>VLOOKUP(Table88[[#This Row],[NAME]],MIA_H[[NAME]:['#]],10,0)</f>
        <v>0</v>
      </c>
      <c r="M69" s="28">
        <f>VLOOKUP(Table88[[#This Row],[NAME]],MIA_H[[NAME]:['#]],11,0)</f>
        <v>0</v>
      </c>
      <c r="N69" s="28">
        <f>VLOOKUP(Table88[[#This Row],[NAME]],MIA_H[[NAME]:['#]],12,0)</f>
        <v>1</v>
      </c>
      <c r="O69" s="28">
        <f>VLOOKUP(Table88[[#This Row],[NAME]],MIA_H[[NAME]:['#]],13,0)</f>
        <v>3</v>
      </c>
      <c r="P69" s="28">
        <f>VLOOKUP(Table88[[#This Row],[NAME]],MIA_H[[NAME]:['#]],14,0)</f>
        <v>14</v>
      </c>
      <c r="Q69" s="77">
        <f>VLOOKUP(Table88[[#This Row],[NAME]],MIA_H[[NAME]:['#]],15,0)</f>
        <v>0</v>
      </c>
      <c r="R69" s="28">
        <f>VLOOKUP(Table88[[#This Row],[NAME]],MIA_H[[NAME]:['#]],16,0)</f>
        <v>1</v>
      </c>
      <c r="S69" s="28">
        <f>VLOOKUP(Table88[[#This Row],[NAME]],MIA_H[[NAME]:['#]],17,0)</f>
        <v>4</v>
      </c>
      <c r="T69" s="77">
        <f>VLOOKUP(Table88[[#This Row],[NAME]],MIA_H[[NAME]:['#]],18,0)</f>
        <v>18</v>
      </c>
      <c r="U69" s="72">
        <f>VLOOKUP(Table88[[#This Row],[NAME]],MIA_H[[NAME]:['#]],19,0)</f>
        <v>0.60313479623824451</v>
      </c>
      <c r="V69" s="28">
        <f>VLOOKUP(Table88[[#This Row],[NAME]],MIA_H[[NAME]:['#]],20,0)</f>
        <v>1</v>
      </c>
      <c r="W69" s="75">
        <v>67</v>
      </c>
      <c r="Z69" s="101" t="s">
        <v>903</v>
      </c>
      <c r="AA69" s="77" t="s">
        <v>187</v>
      </c>
      <c r="AB69" s="77" t="s">
        <v>907</v>
      </c>
      <c r="AC69" s="130">
        <v>0.19607843137254902</v>
      </c>
      <c r="AD69" s="72">
        <v>0.24074074074074073</v>
      </c>
      <c r="AE69" s="72">
        <v>0.31372549019607843</v>
      </c>
      <c r="AF69" s="77">
        <v>15</v>
      </c>
      <c r="AG69" s="28">
        <v>51</v>
      </c>
      <c r="AH69" s="28">
        <v>8</v>
      </c>
      <c r="AI69" s="28">
        <v>10</v>
      </c>
      <c r="AJ69" s="28">
        <v>4</v>
      </c>
      <c r="AK69" s="28">
        <v>1</v>
      </c>
      <c r="AL69" s="28">
        <v>0</v>
      </c>
      <c r="AM69" s="28">
        <v>2</v>
      </c>
      <c r="AN69" s="28">
        <v>3</v>
      </c>
      <c r="AO69" s="28">
        <v>9</v>
      </c>
      <c r="AP69" s="77">
        <v>1</v>
      </c>
      <c r="AQ69" s="28">
        <v>1</v>
      </c>
      <c r="AR69" s="28">
        <v>9</v>
      </c>
      <c r="AS69" s="77">
        <v>16</v>
      </c>
      <c r="AT69" s="72">
        <v>0.55446623093681913</v>
      </c>
      <c r="AU69" s="28">
        <v>0</v>
      </c>
      <c r="AV69" s="75">
        <v>67</v>
      </c>
      <c r="AY69" s="101" t="s">
        <v>903</v>
      </c>
      <c r="AZ69" s="77" t="s">
        <v>187</v>
      </c>
      <c r="BA69" s="77" t="s">
        <v>918</v>
      </c>
      <c r="BB69" s="130">
        <v>0.16981132075471697</v>
      </c>
      <c r="BC69" s="72">
        <v>0.2413793103448276</v>
      </c>
      <c r="BD69" s="72">
        <v>0.26415094339622641</v>
      </c>
      <c r="BE69" s="77">
        <v>17</v>
      </c>
      <c r="BF69" s="28">
        <v>53</v>
      </c>
      <c r="BG69" s="28">
        <v>3</v>
      </c>
      <c r="BH69" s="28">
        <v>9</v>
      </c>
      <c r="BI69" s="28">
        <v>2</v>
      </c>
      <c r="BJ69" s="28">
        <v>0</v>
      </c>
      <c r="BK69" s="28">
        <v>1</v>
      </c>
      <c r="BL69" s="28">
        <v>4</v>
      </c>
      <c r="BM69" s="28">
        <v>5</v>
      </c>
      <c r="BN69" s="28">
        <v>18</v>
      </c>
      <c r="BO69" s="77">
        <v>2</v>
      </c>
      <c r="BP69" s="28">
        <v>0</v>
      </c>
      <c r="BQ69" s="28">
        <v>3</v>
      </c>
      <c r="BR69" s="77">
        <v>14</v>
      </c>
      <c r="BS69" s="72">
        <v>0.50553025374105398</v>
      </c>
      <c r="BT69" s="28">
        <v>0</v>
      </c>
      <c r="BU69" s="75">
        <v>67</v>
      </c>
    </row>
    <row r="70" spans="1:73">
      <c r="A70" s="101" t="s">
        <v>903</v>
      </c>
      <c r="B70" s="71" t="s">
        <v>187</v>
      </c>
      <c r="C70" s="74" t="s">
        <v>906</v>
      </c>
      <c r="D70" s="72">
        <f>VLOOKUP(Table88[[#This Row],[NAME]],MIA_H[[NAME]:['#]],2,0)</f>
        <v>0</v>
      </c>
      <c r="E70" s="72">
        <f>VLOOKUP(Table88[[#This Row],[NAME]],MIA_H[[NAME]:['#]],3,0)</f>
        <v>0</v>
      </c>
      <c r="F70" s="72">
        <f>VLOOKUP(Table88[[#This Row],[NAME]],MIA_H[[NAME]:['#]],4,0)</f>
        <v>0</v>
      </c>
      <c r="G70" s="77">
        <f>VLOOKUP(Table88[[#This Row],[NAME]],MIA_H[[NAME]:['#]],5,0)</f>
        <v>0</v>
      </c>
      <c r="H70" s="28">
        <f>VLOOKUP(Table88[[#This Row],[NAME]],MIA_H[[NAME]:['#]],6,0)</f>
        <v>0</v>
      </c>
      <c r="I70" s="28">
        <f>VLOOKUP(Table88[[#This Row],[NAME]],MIA_H[[NAME]:['#]],7,0)</f>
        <v>0</v>
      </c>
      <c r="J70" s="28">
        <f>VLOOKUP(Table88[[#This Row],[NAME]],MIA_H[[NAME]:['#]],8,0)</f>
        <v>0</v>
      </c>
      <c r="K70" s="28">
        <f>VLOOKUP(Table88[[#This Row],[NAME]],MIA_H[[NAME]:['#]],9,0)</f>
        <v>0</v>
      </c>
      <c r="L70" s="28">
        <f>VLOOKUP(Table88[[#This Row],[NAME]],MIA_H[[NAME]:['#]],10,0)</f>
        <v>0</v>
      </c>
      <c r="M70" s="28">
        <f>VLOOKUP(Table88[[#This Row],[NAME]],MIA_H[[NAME]:['#]],11,0)</f>
        <v>0</v>
      </c>
      <c r="N70" s="28">
        <f>VLOOKUP(Table88[[#This Row],[NAME]],MIA_H[[NAME]:['#]],12,0)</f>
        <v>0</v>
      </c>
      <c r="O70" s="28">
        <f>VLOOKUP(Table88[[#This Row],[NAME]],MIA_H[[NAME]:['#]],13,0)</f>
        <v>0</v>
      </c>
      <c r="P70" s="28">
        <f>VLOOKUP(Table88[[#This Row],[NAME]],MIA_H[[NAME]:['#]],14,0)</f>
        <v>0</v>
      </c>
      <c r="Q70" s="77">
        <f>VLOOKUP(Table88[[#This Row],[NAME]],MIA_H[[NAME]:['#]],15,0)</f>
        <v>0</v>
      </c>
      <c r="R70" s="28">
        <f>VLOOKUP(Table88[[#This Row],[NAME]],MIA_H[[NAME]:['#]],16,0)</f>
        <v>0</v>
      </c>
      <c r="S70" s="28">
        <f>VLOOKUP(Table88[[#This Row],[NAME]],MIA_H[[NAME]:['#]],17,0)</f>
        <v>0</v>
      </c>
      <c r="T70" s="77">
        <f>VLOOKUP(Table88[[#This Row],[NAME]],MIA_H[[NAME]:['#]],18,0)</f>
        <v>0</v>
      </c>
      <c r="U70" s="72">
        <f>VLOOKUP(Table88[[#This Row],[NAME]],MIA_H[[NAME]:['#]],19,0)</f>
        <v>0</v>
      </c>
      <c r="V70" s="28">
        <f>VLOOKUP(Table88[[#This Row],[NAME]],MIA_H[[NAME]:['#]],20,0)</f>
        <v>0</v>
      </c>
      <c r="W70" s="75">
        <v>68</v>
      </c>
      <c r="Z70" s="101" t="s">
        <v>903</v>
      </c>
      <c r="AA70" s="77" t="s">
        <v>187</v>
      </c>
      <c r="AB70" s="77" t="s">
        <v>922</v>
      </c>
      <c r="AC70" s="130">
        <v>7.6923076923076927E-2</v>
      </c>
      <c r="AD70" s="72">
        <v>0.14285714285714285</v>
      </c>
      <c r="AE70" s="72">
        <v>7.6923076923076927E-2</v>
      </c>
      <c r="AF70" s="77">
        <v>4</v>
      </c>
      <c r="AG70" s="28">
        <v>13</v>
      </c>
      <c r="AH70" s="28">
        <v>0</v>
      </c>
      <c r="AI70" s="28">
        <v>1</v>
      </c>
      <c r="AJ70" s="28">
        <v>0</v>
      </c>
      <c r="AK70" s="28">
        <v>0</v>
      </c>
      <c r="AL70" s="28">
        <v>0</v>
      </c>
      <c r="AM70" s="28">
        <v>0</v>
      </c>
      <c r="AN70" s="28">
        <v>1</v>
      </c>
      <c r="AO70" s="28">
        <v>6</v>
      </c>
      <c r="AP70" s="77">
        <v>0</v>
      </c>
      <c r="AQ70" s="28">
        <v>0</v>
      </c>
      <c r="AR70" s="28">
        <v>1</v>
      </c>
      <c r="AS70" s="77">
        <v>1</v>
      </c>
      <c r="AT70" s="72">
        <v>0.21978021978021978</v>
      </c>
      <c r="AU70" s="28">
        <v>0</v>
      </c>
      <c r="AV70" s="75">
        <v>68</v>
      </c>
      <c r="AY70" s="101" t="s">
        <v>903</v>
      </c>
      <c r="AZ70" s="77" t="s">
        <v>192</v>
      </c>
      <c r="BA70" s="77" t="s">
        <v>922</v>
      </c>
      <c r="BB70" s="130">
        <v>0</v>
      </c>
      <c r="BC70" s="72">
        <v>0.25</v>
      </c>
      <c r="BD70" s="72">
        <v>0</v>
      </c>
      <c r="BE70" s="77">
        <v>4</v>
      </c>
      <c r="BF70" s="28">
        <v>9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3</v>
      </c>
      <c r="BN70" s="28">
        <v>4</v>
      </c>
      <c r="BO70" s="77">
        <v>0</v>
      </c>
      <c r="BP70" s="28">
        <v>0</v>
      </c>
      <c r="BQ70" s="28">
        <v>0</v>
      </c>
      <c r="BR70" s="77">
        <v>0</v>
      </c>
      <c r="BS70" s="72">
        <v>0.25</v>
      </c>
      <c r="BT70" s="28">
        <v>0</v>
      </c>
      <c r="BU70" s="75">
        <v>68</v>
      </c>
    </row>
    <row r="71" spans="1:73">
      <c r="A71" s="101" t="s">
        <v>903</v>
      </c>
      <c r="B71" s="71" t="s">
        <v>186</v>
      </c>
      <c r="C71" s="74" t="s">
        <v>321</v>
      </c>
      <c r="D71" s="72">
        <f>VLOOKUP(Table88[[#This Row],[NAME]],MIA_H[[NAME]:['#]],2,0)</f>
        <v>0.20634920634920634</v>
      </c>
      <c r="E71" s="72">
        <f>VLOOKUP(Table88[[#This Row],[NAME]],MIA_H[[NAME]:['#]],3,0)</f>
        <v>0.24242424242424243</v>
      </c>
      <c r="F71" s="72">
        <f>VLOOKUP(Table88[[#This Row],[NAME]],MIA_H[[NAME]:['#]],4,0)</f>
        <v>0.36507936507936506</v>
      </c>
      <c r="G71" s="77">
        <f>VLOOKUP(Table88[[#This Row],[NAME]],MIA_H[[NAME]:['#]],5,0)</f>
        <v>16</v>
      </c>
      <c r="H71" s="28">
        <f>VLOOKUP(Table88[[#This Row],[NAME]],MIA_H[[NAME]:['#]],6,0)</f>
        <v>63</v>
      </c>
      <c r="I71" s="28">
        <f>VLOOKUP(Table88[[#This Row],[NAME]],MIA_H[[NAME]:['#]],7,0)</f>
        <v>5</v>
      </c>
      <c r="J71" s="28">
        <f>VLOOKUP(Table88[[#This Row],[NAME]],MIA_H[[NAME]:['#]],8,0)</f>
        <v>13</v>
      </c>
      <c r="K71" s="28">
        <f>VLOOKUP(Table88[[#This Row],[NAME]],MIA_H[[NAME]:['#]],9,0)</f>
        <v>4</v>
      </c>
      <c r="L71" s="28">
        <f>VLOOKUP(Table88[[#This Row],[NAME]],MIA_H[[NAME]:['#]],10,0)</f>
        <v>0</v>
      </c>
      <c r="M71" s="28">
        <f>VLOOKUP(Table88[[#This Row],[NAME]],MIA_H[[NAME]:['#]],11,0)</f>
        <v>2</v>
      </c>
      <c r="N71" s="28">
        <f>VLOOKUP(Table88[[#This Row],[NAME]],MIA_H[[NAME]:['#]],12,0)</f>
        <v>8</v>
      </c>
      <c r="O71" s="28">
        <f>VLOOKUP(Table88[[#This Row],[NAME]],MIA_H[[NAME]:['#]],13,0)</f>
        <v>3</v>
      </c>
      <c r="P71" s="28">
        <f>VLOOKUP(Table88[[#This Row],[NAME]],MIA_H[[NAME]:['#]],14,0)</f>
        <v>17</v>
      </c>
      <c r="Q71" s="77">
        <f>VLOOKUP(Table88[[#This Row],[NAME]],MIA_H[[NAME]:['#]],15,0)</f>
        <v>0</v>
      </c>
      <c r="R71" s="28">
        <f>VLOOKUP(Table88[[#This Row],[NAME]],MIA_H[[NAME]:['#]],16,0)</f>
        <v>0</v>
      </c>
      <c r="S71" s="28">
        <f>VLOOKUP(Table88[[#This Row],[NAME]],MIA_H[[NAME]:['#]],17,0)</f>
        <v>4</v>
      </c>
      <c r="T71" s="77">
        <f>VLOOKUP(Table88[[#This Row],[NAME]],MIA_H[[NAME]:['#]],18,0)</f>
        <v>23</v>
      </c>
      <c r="U71" s="72">
        <f>VLOOKUP(Table88[[#This Row],[NAME]],MIA_H[[NAME]:['#]],19,0)</f>
        <v>0.60750360750360755</v>
      </c>
      <c r="V71" s="28">
        <f>VLOOKUP(Table88[[#This Row],[NAME]],MIA_H[[NAME]:['#]],20,0)</f>
        <v>1</v>
      </c>
      <c r="W71" s="75">
        <v>69</v>
      </c>
      <c r="Z71" s="101" t="s">
        <v>903</v>
      </c>
      <c r="AA71" s="77" t="s">
        <v>186</v>
      </c>
      <c r="AB71" s="77" t="s">
        <v>914</v>
      </c>
      <c r="AC71" s="130">
        <v>0.19230769230769232</v>
      </c>
      <c r="AD71" s="72">
        <v>0.21249999999999999</v>
      </c>
      <c r="AE71" s="72">
        <v>0.35897435897435898</v>
      </c>
      <c r="AF71" s="77">
        <v>21</v>
      </c>
      <c r="AG71" s="28">
        <v>78</v>
      </c>
      <c r="AH71" s="28">
        <v>5</v>
      </c>
      <c r="AI71" s="28">
        <v>15</v>
      </c>
      <c r="AJ71" s="28">
        <v>1</v>
      </c>
      <c r="AK71" s="28">
        <v>0</v>
      </c>
      <c r="AL71" s="28">
        <v>4</v>
      </c>
      <c r="AM71" s="28">
        <v>8</v>
      </c>
      <c r="AN71" s="28">
        <v>2</v>
      </c>
      <c r="AO71" s="28">
        <v>35</v>
      </c>
      <c r="AP71" s="77">
        <v>0</v>
      </c>
      <c r="AQ71" s="28">
        <v>0</v>
      </c>
      <c r="AR71" s="28">
        <v>5</v>
      </c>
      <c r="AS71" s="77">
        <v>28</v>
      </c>
      <c r="AT71" s="72">
        <v>0.57147435897435894</v>
      </c>
      <c r="AU71" s="28">
        <v>1</v>
      </c>
      <c r="AV71" s="75">
        <v>69</v>
      </c>
      <c r="AY71" s="101" t="s">
        <v>903</v>
      </c>
      <c r="AZ71" s="77" t="s">
        <v>184</v>
      </c>
      <c r="BA71" s="77" t="s">
        <v>920</v>
      </c>
      <c r="BB71" s="130">
        <v>0.22580645161290322</v>
      </c>
      <c r="BC71" s="72">
        <v>0.33333333333333331</v>
      </c>
      <c r="BD71" s="72">
        <v>0.38709677419354838</v>
      </c>
      <c r="BE71" s="77">
        <v>10</v>
      </c>
      <c r="BF71" s="28">
        <v>31</v>
      </c>
      <c r="BG71" s="28">
        <v>2</v>
      </c>
      <c r="BH71" s="28">
        <v>7</v>
      </c>
      <c r="BI71" s="28">
        <v>2</v>
      </c>
      <c r="BJ71" s="28">
        <v>0</v>
      </c>
      <c r="BK71" s="28">
        <v>1</v>
      </c>
      <c r="BL71" s="28">
        <v>3</v>
      </c>
      <c r="BM71" s="28">
        <v>5</v>
      </c>
      <c r="BN71" s="28">
        <v>9</v>
      </c>
      <c r="BO71" s="77">
        <v>0</v>
      </c>
      <c r="BP71" s="28">
        <v>0</v>
      </c>
      <c r="BQ71" s="28">
        <v>2</v>
      </c>
      <c r="BR71" s="77">
        <v>12</v>
      </c>
      <c r="BS71" s="72">
        <v>0.72043010752688175</v>
      </c>
      <c r="BT71" s="28">
        <v>1</v>
      </c>
      <c r="BU71" s="75">
        <v>69</v>
      </c>
    </row>
    <row r="72" spans="1:73">
      <c r="A72" s="101" t="s">
        <v>903</v>
      </c>
      <c r="B72" s="71" t="s">
        <v>184</v>
      </c>
      <c r="C72" s="28" t="s">
        <v>921</v>
      </c>
      <c r="D72" s="72">
        <f>VLOOKUP(Table88[[#This Row],[NAME]],MIA_H[[NAME]:['#]],2,0)</f>
        <v>0</v>
      </c>
      <c r="E72" s="72">
        <f>VLOOKUP(Table88[[#This Row],[NAME]],MIA_H[[NAME]:['#]],3,0)</f>
        <v>0</v>
      </c>
      <c r="F72" s="72">
        <f>VLOOKUP(Table88[[#This Row],[NAME]],MIA_H[[NAME]:['#]],4,0)</f>
        <v>0</v>
      </c>
      <c r="G72" s="77">
        <f>VLOOKUP(Table88[[#This Row],[NAME]],MIA_H[[NAME]:['#]],5,0)</f>
        <v>0</v>
      </c>
      <c r="H72" s="28">
        <f>VLOOKUP(Table88[[#This Row],[NAME]],MIA_H[[NAME]:['#]],6,0)</f>
        <v>0</v>
      </c>
      <c r="I72" s="28">
        <f>VLOOKUP(Table88[[#This Row],[NAME]],MIA_H[[NAME]:['#]],7,0)</f>
        <v>0</v>
      </c>
      <c r="J72" s="28">
        <f>VLOOKUP(Table88[[#This Row],[NAME]],MIA_H[[NAME]:['#]],8,0)</f>
        <v>0</v>
      </c>
      <c r="K72" s="28">
        <f>VLOOKUP(Table88[[#This Row],[NAME]],MIA_H[[NAME]:['#]],9,0)</f>
        <v>0</v>
      </c>
      <c r="L72" s="28">
        <f>VLOOKUP(Table88[[#This Row],[NAME]],MIA_H[[NAME]:['#]],10,0)</f>
        <v>0</v>
      </c>
      <c r="M72" s="28">
        <f>VLOOKUP(Table88[[#This Row],[NAME]],MIA_H[[NAME]:['#]],11,0)</f>
        <v>0</v>
      </c>
      <c r="N72" s="28">
        <f>VLOOKUP(Table88[[#This Row],[NAME]],MIA_H[[NAME]:['#]],12,0)</f>
        <v>0</v>
      </c>
      <c r="O72" s="28">
        <f>VLOOKUP(Table88[[#This Row],[NAME]],MIA_H[[NAME]:['#]],13,0)</f>
        <v>0</v>
      </c>
      <c r="P72" s="28">
        <f>VLOOKUP(Table88[[#This Row],[NAME]],MIA_H[[NAME]:['#]],14,0)</f>
        <v>0</v>
      </c>
      <c r="Q72" s="77">
        <f>VLOOKUP(Table88[[#This Row],[NAME]],MIA_H[[NAME]:['#]],15,0)</f>
        <v>0</v>
      </c>
      <c r="R72" s="28">
        <f>VLOOKUP(Table88[[#This Row],[NAME]],MIA_H[[NAME]:['#]],16,0)</f>
        <v>0</v>
      </c>
      <c r="S72" s="28">
        <f>VLOOKUP(Table88[[#This Row],[NAME]],MIA_H[[NAME]:['#]],17,0)</f>
        <v>0</v>
      </c>
      <c r="T72" s="77">
        <f>VLOOKUP(Table88[[#This Row],[NAME]],MIA_H[[NAME]:['#]],18,0)</f>
        <v>0</v>
      </c>
      <c r="U72" s="72">
        <f>VLOOKUP(Table88[[#This Row],[NAME]],MIA_H[[NAME]:['#]],19,0)</f>
        <v>0</v>
      </c>
      <c r="V72" s="28">
        <f>VLOOKUP(Table88[[#This Row],[NAME]],MIA_H[[NAME]:['#]],20,0)</f>
        <v>0</v>
      </c>
      <c r="W72" s="75">
        <v>70</v>
      </c>
      <c r="Z72" s="101" t="s">
        <v>903</v>
      </c>
      <c r="AA72" s="77" t="s">
        <v>186</v>
      </c>
      <c r="AB72" s="77" t="s">
        <v>917</v>
      </c>
      <c r="AC72" s="130">
        <v>0.1111111111111111</v>
      </c>
      <c r="AD72" s="72">
        <v>0.15789473684210525</v>
      </c>
      <c r="AE72" s="72">
        <v>0.1111111111111111</v>
      </c>
      <c r="AF72" s="77">
        <v>6</v>
      </c>
      <c r="AG72" s="28">
        <v>18</v>
      </c>
      <c r="AH72" s="28">
        <v>0</v>
      </c>
      <c r="AI72" s="28">
        <v>2</v>
      </c>
      <c r="AJ72" s="28">
        <v>0</v>
      </c>
      <c r="AK72" s="28">
        <v>0</v>
      </c>
      <c r="AL72" s="28">
        <v>0</v>
      </c>
      <c r="AM72" s="28">
        <v>1</v>
      </c>
      <c r="AN72" s="28">
        <v>1</v>
      </c>
      <c r="AO72" s="28">
        <v>5</v>
      </c>
      <c r="AP72" s="77">
        <v>0</v>
      </c>
      <c r="AQ72" s="28">
        <v>0</v>
      </c>
      <c r="AR72" s="28">
        <v>1</v>
      </c>
      <c r="AS72" s="77">
        <v>2</v>
      </c>
      <c r="AT72" s="72">
        <v>0.26900584795321636</v>
      </c>
      <c r="AU72" s="28">
        <v>0</v>
      </c>
      <c r="AV72" s="75">
        <v>70</v>
      </c>
      <c r="AY72" s="101" t="s">
        <v>903</v>
      </c>
      <c r="AZ72" s="77" t="s">
        <v>184</v>
      </c>
      <c r="BA72" s="77" t="s">
        <v>917</v>
      </c>
      <c r="BB72" s="130">
        <v>0.2</v>
      </c>
      <c r="BC72" s="72">
        <v>0.26530612244897961</v>
      </c>
      <c r="BD72" s="72">
        <v>0.26666666666666666</v>
      </c>
      <c r="BE72" s="77">
        <v>14</v>
      </c>
      <c r="BF72" s="28">
        <v>45</v>
      </c>
      <c r="BG72" s="28">
        <v>2</v>
      </c>
      <c r="BH72" s="28">
        <v>9</v>
      </c>
      <c r="BI72" s="28">
        <v>3</v>
      </c>
      <c r="BJ72" s="28">
        <v>0</v>
      </c>
      <c r="BK72" s="28">
        <v>0</v>
      </c>
      <c r="BL72" s="28">
        <v>2</v>
      </c>
      <c r="BM72" s="28">
        <v>4</v>
      </c>
      <c r="BN72" s="28">
        <v>13</v>
      </c>
      <c r="BO72" s="77">
        <v>0</v>
      </c>
      <c r="BP72" s="28">
        <v>1</v>
      </c>
      <c r="BQ72" s="28">
        <v>2</v>
      </c>
      <c r="BR72" s="77">
        <v>12</v>
      </c>
      <c r="BS72" s="72">
        <v>0.53197278911564627</v>
      </c>
      <c r="BT72" s="28">
        <v>0</v>
      </c>
      <c r="BU72" s="75">
        <v>70</v>
      </c>
    </row>
    <row r="73" spans="1:73">
      <c r="A73" s="101" t="s">
        <v>952</v>
      </c>
      <c r="B73" s="71" t="s">
        <v>179</v>
      </c>
      <c r="C73" s="28" t="s">
        <v>958</v>
      </c>
      <c r="D73" s="72">
        <f>VLOOKUP(Table88[[#This Row],[NAME]],STL_H[[NAME]:['#]],2,0)</f>
        <v>0.31159420289855072</v>
      </c>
      <c r="E73" s="72">
        <f>VLOOKUP(Table88[[#This Row],[NAME]],STL_H[[NAME]:['#]],3,0)</f>
        <v>0.35374149659863946</v>
      </c>
      <c r="F73" s="72">
        <f>VLOOKUP(Table88[[#This Row],[NAME]],STL_H[[NAME]:['#]],4,0)</f>
        <v>0.38405797101449274</v>
      </c>
      <c r="G73" s="77">
        <f>VLOOKUP(Table88[[#This Row],[NAME]],STL_H[[NAME]:['#]],5,0)</f>
        <v>37</v>
      </c>
      <c r="H73" s="28">
        <f>VLOOKUP(Table88[[#This Row],[NAME]],STL_H[[NAME]:['#]],6,0)</f>
        <v>138</v>
      </c>
      <c r="I73" s="28">
        <f>VLOOKUP(Table88[[#This Row],[NAME]],STL_H[[NAME]:['#]],7,0)</f>
        <v>11</v>
      </c>
      <c r="J73" s="28">
        <f>VLOOKUP(Table88[[#This Row],[NAME]],STL_H[[NAME]:['#]],8,0)</f>
        <v>43</v>
      </c>
      <c r="K73" s="28">
        <f>VLOOKUP(Table88[[#This Row],[NAME]],STL_H[[NAME]:['#]],9,0)</f>
        <v>7</v>
      </c>
      <c r="L73" s="28">
        <f>VLOOKUP(Table88[[#This Row],[NAME]],STL_H[[NAME]:['#]],10,0)</f>
        <v>0</v>
      </c>
      <c r="M73" s="28">
        <f>VLOOKUP(Table88[[#This Row],[NAME]],STL_H[[NAME]:['#]],11,0)</f>
        <v>1</v>
      </c>
      <c r="N73" s="28">
        <f>VLOOKUP(Table88[[#This Row],[NAME]],STL_H[[NAME]:['#]],12,0)</f>
        <v>13</v>
      </c>
      <c r="O73" s="28">
        <f>VLOOKUP(Table88[[#This Row],[NAME]],STL_H[[NAME]:['#]],13,0)</f>
        <v>9</v>
      </c>
      <c r="P73" s="28">
        <f>VLOOKUP(Table88[[#This Row],[NAME]],STL_H[[NAME]:['#]],14,0)</f>
        <v>29</v>
      </c>
      <c r="Q73" s="77">
        <f>VLOOKUP(Table88[[#This Row],[NAME]],STL_H[[NAME]:['#]],15,0)</f>
        <v>0</v>
      </c>
      <c r="R73" s="28">
        <f>VLOOKUP(Table88[[#This Row],[NAME]],STL_H[[NAME]:['#]],16,0)</f>
        <v>1</v>
      </c>
      <c r="S73" s="28">
        <f>VLOOKUP(Table88[[#This Row],[NAME]],STL_H[[NAME]:['#]],17,0)</f>
        <v>7</v>
      </c>
      <c r="T73" s="77">
        <f>VLOOKUP(Table88[[#This Row],[NAME]],STL_H[[NAME]:['#]],18,0)</f>
        <v>53</v>
      </c>
      <c r="U73" s="72">
        <f>VLOOKUP(Table88[[#This Row],[NAME]],STL_H[[NAME]:['#]],19,0)</f>
        <v>0.7377994676131322</v>
      </c>
      <c r="V73" s="28">
        <f>VLOOKUP(Table88[[#This Row],[NAME]],STL_H[[NAME]:['#]],20,0)</f>
        <v>1</v>
      </c>
      <c r="W73" s="75">
        <v>71</v>
      </c>
      <c r="Z73" s="101" t="s">
        <v>952</v>
      </c>
      <c r="AA73" s="77" t="s">
        <v>179</v>
      </c>
      <c r="AB73" s="77" t="s">
        <v>958</v>
      </c>
      <c r="AC73" s="130">
        <v>0.28965517241379313</v>
      </c>
      <c r="AD73" s="72">
        <v>0.31788079470198677</v>
      </c>
      <c r="AE73" s="72">
        <v>0.45517241379310347</v>
      </c>
      <c r="AF73" s="77">
        <v>38</v>
      </c>
      <c r="AG73" s="28">
        <v>145</v>
      </c>
      <c r="AH73" s="28">
        <v>11</v>
      </c>
      <c r="AI73" s="28">
        <v>42</v>
      </c>
      <c r="AJ73" s="28">
        <v>9</v>
      </c>
      <c r="AK73" s="28">
        <v>0</v>
      </c>
      <c r="AL73" s="28">
        <v>5</v>
      </c>
      <c r="AM73" s="28">
        <v>22</v>
      </c>
      <c r="AN73" s="28">
        <v>6</v>
      </c>
      <c r="AO73" s="28">
        <v>26</v>
      </c>
      <c r="AP73" s="77">
        <v>0</v>
      </c>
      <c r="AQ73" s="28">
        <v>0</v>
      </c>
      <c r="AR73" s="28">
        <v>6</v>
      </c>
      <c r="AS73" s="77">
        <v>66</v>
      </c>
      <c r="AT73" s="72">
        <v>0.77305320849509029</v>
      </c>
      <c r="AU73" s="28">
        <v>4</v>
      </c>
      <c r="AV73" s="75">
        <v>71</v>
      </c>
      <c r="AY73" s="101" t="s">
        <v>952</v>
      </c>
      <c r="AZ73" s="77" t="s">
        <v>179</v>
      </c>
      <c r="BA73" s="77" t="s">
        <v>958</v>
      </c>
      <c r="BB73" s="130">
        <v>0.26666666666666666</v>
      </c>
      <c r="BC73" s="72">
        <v>0.3125</v>
      </c>
      <c r="BD73" s="72">
        <v>0.37777777777777777</v>
      </c>
      <c r="BE73" s="77">
        <v>39</v>
      </c>
      <c r="BF73" s="28">
        <v>135</v>
      </c>
      <c r="BG73" s="28">
        <v>13</v>
      </c>
      <c r="BH73" s="28">
        <v>36</v>
      </c>
      <c r="BI73" s="28">
        <v>9</v>
      </c>
      <c r="BJ73" s="28">
        <v>0</v>
      </c>
      <c r="BK73" s="28">
        <v>2</v>
      </c>
      <c r="BL73" s="28">
        <v>11</v>
      </c>
      <c r="BM73" s="28">
        <v>9</v>
      </c>
      <c r="BN73" s="28">
        <v>16</v>
      </c>
      <c r="BO73" s="77">
        <v>0</v>
      </c>
      <c r="BP73" s="28">
        <v>4</v>
      </c>
      <c r="BQ73" s="76">
        <v>15</v>
      </c>
      <c r="BR73" s="77">
        <v>51</v>
      </c>
      <c r="BS73" s="72">
        <v>0.69027777777777777</v>
      </c>
      <c r="BT73" s="28">
        <v>0</v>
      </c>
      <c r="BU73" s="75">
        <v>71</v>
      </c>
    </row>
    <row r="74" spans="1:73">
      <c r="A74" s="101" t="s">
        <v>952</v>
      </c>
      <c r="B74" s="71" t="s">
        <v>154</v>
      </c>
      <c r="C74" s="74" t="s">
        <v>954</v>
      </c>
      <c r="D74" s="72">
        <f>VLOOKUP(Table88[[#This Row],[NAME]],STL_H[[NAME]:['#]],2,0)</f>
        <v>0.22435897435897437</v>
      </c>
      <c r="E74" s="72">
        <f>VLOOKUP(Table88[[#This Row],[NAME]],STL_H[[NAME]:['#]],3,0)</f>
        <v>0.3202247191011236</v>
      </c>
      <c r="F74" s="72">
        <f>VLOOKUP(Table88[[#This Row],[NAME]],STL_H[[NAME]:['#]],4,0)</f>
        <v>0.42307692307692307</v>
      </c>
      <c r="G74" s="77">
        <f>VLOOKUP(Table88[[#This Row],[NAME]],STL_H[[NAME]:['#]],5,0)</f>
        <v>40</v>
      </c>
      <c r="H74" s="28">
        <f>VLOOKUP(Table88[[#This Row],[NAME]],STL_H[[NAME]:['#]],6,0)</f>
        <v>156</v>
      </c>
      <c r="I74" s="28">
        <f>VLOOKUP(Table88[[#This Row],[NAME]],STL_H[[NAME]:['#]],7,0)</f>
        <v>17</v>
      </c>
      <c r="J74" s="28">
        <f>VLOOKUP(Table88[[#This Row],[NAME]],STL_H[[NAME]:['#]],8,0)</f>
        <v>35</v>
      </c>
      <c r="K74" s="28">
        <f>VLOOKUP(Table88[[#This Row],[NAME]],STL_H[[NAME]:['#]],9,0)</f>
        <v>8</v>
      </c>
      <c r="L74" s="28">
        <f>VLOOKUP(Table88[[#This Row],[NAME]],STL_H[[NAME]:['#]],10,0)</f>
        <v>1</v>
      </c>
      <c r="M74" s="28">
        <f>VLOOKUP(Table88[[#This Row],[NAME]],STL_H[[NAME]:['#]],11,0)</f>
        <v>7</v>
      </c>
      <c r="N74" s="28">
        <f>VLOOKUP(Table88[[#This Row],[NAME]],STL_H[[NAME]:['#]],12,0)</f>
        <v>15</v>
      </c>
      <c r="O74" s="28">
        <f>VLOOKUP(Table88[[#This Row],[NAME]],STL_H[[NAME]:['#]],13,0)</f>
        <v>22</v>
      </c>
      <c r="P74" s="28">
        <f>VLOOKUP(Table88[[#This Row],[NAME]],STL_H[[NAME]:['#]],14,0)</f>
        <v>40</v>
      </c>
      <c r="Q74" s="77">
        <f>VLOOKUP(Table88[[#This Row],[NAME]],STL_H[[NAME]:['#]],15,0)</f>
        <v>0</v>
      </c>
      <c r="R74" s="28">
        <f>VLOOKUP(Table88[[#This Row],[NAME]],STL_H[[NAME]:['#]],16,0)</f>
        <v>0</v>
      </c>
      <c r="S74" s="28">
        <f>VLOOKUP(Table88[[#This Row],[NAME]],STL_H[[NAME]:['#]],17,0)</f>
        <v>7</v>
      </c>
      <c r="T74" s="77">
        <f>VLOOKUP(Table88[[#This Row],[NAME]],STL_H[[NAME]:['#]],18,0)</f>
        <v>66</v>
      </c>
      <c r="U74" s="72">
        <f>VLOOKUP(Table88[[#This Row],[NAME]],STL_H[[NAME]:['#]],19,0)</f>
        <v>0.74330164217804673</v>
      </c>
      <c r="V74" s="28">
        <f>VLOOKUP(Table88[[#This Row],[NAME]],STL_H[[NAME]:['#]],20,0)</f>
        <v>2</v>
      </c>
      <c r="W74" s="75">
        <v>72</v>
      </c>
      <c r="Z74" s="101" t="s">
        <v>952</v>
      </c>
      <c r="AA74" s="77" t="s">
        <v>154</v>
      </c>
      <c r="AB74" s="77" t="s">
        <v>954</v>
      </c>
      <c r="AC74" s="130">
        <v>0.25443786982248523</v>
      </c>
      <c r="AD74" s="72">
        <v>0.28000000000000003</v>
      </c>
      <c r="AE74" s="72">
        <v>0.46745562130177515</v>
      </c>
      <c r="AF74" s="77">
        <v>40</v>
      </c>
      <c r="AG74" s="28">
        <v>169</v>
      </c>
      <c r="AH74" s="28">
        <v>18</v>
      </c>
      <c r="AI74" s="28">
        <v>43</v>
      </c>
      <c r="AJ74" s="28">
        <v>9</v>
      </c>
      <c r="AK74" s="28">
        <v>3</v>
      </c>
      <c r="AL74" s="28">
        <v>7</v>
      </c>
      <c r="AM74" s="28">
        <v>23</v>
      </c>
      <c r="AN74" s="28">
        <v>6</v>
      </c>
      <c r="AO74" s="28">
        <v>34</v>
      </c>
      <c r="AP74" s="77">
        <v>0</v>
      </c>
      <c r="AQ74" s="28">
        <v>2</v>
      </c>
      <c r="AR74" s="28">
        <v>4</v>
      </c>
      <c r="AS74" s="77">
        <v>79</v>
      </c>
      <c r="AT74" s="72">
        <v>0.74745562130177512</v>
      </c>
      <c r="AU74" s="28">
        <v>4</v>
      </c>
      <c r="AV74" s="75">
        <v>72</v>
      </c>
      <c r="AY74" s="101" t="s">
        <v>952</v>
      </c>
      <c r="AZ74" s="352" t="s">
        <v>154</v>
      </c>
      <c r="BA74" s="77" t="s">
        <v>954</v>
      </c>
      <c r="BB74" s="130">
        <v>0.3</v>
      </c>
      <c r="BC74" s="72">
        <v>0.34502923976608185</v>
      </c>
      <c r="BD74" s="72">
        <v>0.5625</v>
      </c>
      <c r="BE74" s="77">
        <v>40</v>
      </c>
      <c r="BF74" s="28">
        <v>160</v>
      </c>
      <c r="BG74" s="28">
        <v>30</v>
      </c>
      <c r="BH74" s="28">
        <v>48</v>
      </c>
      <c r="BI74" s="28">
        <v>12</v>
      </c>
      <c r="BJ74" s="28">
        <v>0</v>
      </c>
      <c r="BK74" s="28">
        <v>10</v>
      </c>
      <c r="BL74" s="28">
        <v>24</v>
      </c>
      <c r="BM74" s="28">
        <v>11</v>
      </c>
      <c r="BN74" s="28">
        <v>32</v>
      </c>
      <c r="BO74" s="77">
        <v>0</v>
      </c>
      <c r="BP74" s="28">
        <v>1</v>
      </c>
      <c r="BQ74" s="28">
        <v>5</v>
      </c>
      <c r="BR74" s="77">
        <v>90</v>
      </c>
      <c r="BS74" s="72">
        <v>0.90752923976608191</v>
      </c>
      <c r="BT74" s="28">
        <v>3</v>
      </c>
      <c r="BU74" s="75">
        <v>72</v>
      </c>
    </row>
    <row r="75" spans="1:73">
      <c r="A75" s="101" t="s">
        <v>952</v>
      </c>
      <c r="B75" s="71" t="s">
        <v>172</v>
      </c>
      <c r="C75" s="74" t="s">
        <v>962</v>
      </c>
      <c r="D75" s="72">
        <f>VLOOKUP(Table88[[#This Row],[NAME]],STL_H[[NAME]:['#]],2,0)</f>
        <v>0.21</v>
      </c>
      <c r="E75" s="72">
        <f>VLOOKUP(Table88[[#This Row],[NAME]],STL_H[[NAME]:['#]],3,0)</f>
        <v>0.26851851851851855</v>
      </c>
      <c r="F75" s="72">
        <f>VLOOKUP(Table88[[#This Row],[NAME]],STL_H[[NAME]:['#]],4,0)</f>
        <v>0.3</v>
      </c>
      <c r="G75" s="77">
        <f>VLOOKUP(Table88[[#This Row],[NAME]],STL_H[[NAME]:['#]],5,0)</f>
        <v>35</v>
      </c>
      <c r="H75" s="28">
        <f>VLOOKUP(Table88[[#This Row],[NAME]],STL_H[[NAME]:['#]],6,0)</f>
        <v>100</v>
      </c>
      <c r="I75" s="28">
        <f>VLOOKUP(Table88[[#This Row],[NAME]],STL_H[[NAME]:['#]],7,0)</f>
        <v>9</v>
      </c>
      <c r="J75" s="28">
        <f>VLOOKUP(Table88[[#This Row],[NAME]],STL_H[[NAME]:['#]],8,0)</f>
        <v>21</v>
      </c>
      <c r="K75" s="28">
        <f>VLOOKUP(Table88[[#This Row],[NAME]],STL_H[[NAME]:['#]],9,0)</f>
        <v>3</v>
      </c>
      <c r="L75" s="28">
        <f>VLOOKUP(Table88[[#This Row],[NAME]],STL_H[[NAME]:['#]],10,0)</f>
        <v>0</v>
      </c>
      <c r="M75" s="28">
        <f>VLOOKUP(Table88[[#This Row],[NAME]],STL_H[[NAME]:['#]],11,0)</f>
        <v>2</v>
      </c>
      <c r="N75" s="28">
        <f>VLOOKUP(Table88[[#This Row],[NAME]],STL_H[[NAME]:['#]],12,0)</f>
        <v>9</v>
      </c>
      <c r="O75" s="28">
        <f>VLOOKUP(Table88[[#This Row],[NAME]],STL_H[[NAME]:['#]],13,0)</f>
        <v>8</v>
      </c>
      <c r="P75" s="28">
        <f>VLOOKUP(Table88[[#This Row],[NAME]],STL_H[[NAME]:['#]],14,0)</f>
        <v>25</v>
      </c>
      <c r="Q75" s="77">
        <f>VLOOKUP(Table88[[#This Row],[NAME]],STL_H[[NAME]:['#]],15,0)</f>
        <v>9</v>
      </c>
      <c r="R75" s="28">
        <f>VLOOKUP(Table88[[#This Row],[NAME]],STL_H[[NAME]:['#]],16,0)</f>
        <v>2</v>
      </c>
      <c r="S75" s="28">
        <f>VLOOKUP(Table88[[#This Row],[NAME]],STL_H[[NAME]:['#]],17,0)</f>
        <v>2</v>
      </c>
      <c r="T75" s="77">
        <f>VLOOKUP(Table88[[#This Row],[NAME]],STL_H[[NAME]:['#]],18,0)</f>
        <v>30</v>
      </c>
      <c r="U75" s="72">
        <f>VLOOKUP(Table88[[#This Row],[NAME]],STL_H[[NAME]:['#]],19,0)</f>
        <v>0.56851851851851853</v>
      </c>
      <c r="V75" s="28">
        <f>VLOOKUP(Table88[[#This Row],[NAME]],STL_H[[NAME]:['#]],20,0)</f>
        <v>0</v>
      </c>
      <c r="W75" s="75">
        <v>73</v>
      </c>
      <c r="Z75" s="101" t="s">
        <v>952</v>
      </c>
      <c r="AA75" s="77" t="s">
        <v>172</v>
      </c>
      <c r="AB75" s="77" t="s">
        <v>962</v>
      </c>
      <c r="AC75" s="130">
        <v>0.1891891891891892</v>
      </c>
      <c r="AD75" s="72">
        <v>0.296875</v>
      </c>
      <c r="AE75" s="72">
        <v>0.29729729729729731</v>
      </c>
      <c r="AF75" s="77">
        <v>31</v>
      </c>
      <c r="AG75" s="28">
        <v>111</v>
      </c>
      <c r="AH75" s="28">
        <v>13</v>
      </c>
      <c r="AI75" s="28">
        <v>21</v>
      </c>
      <c r="AJ75" s="28">
        <v>6</v>
      </c>
      <c r="AK75" s="28">
        <v>0</v>
      </c>
      <c r="AL75" s="28">
        <v>2</v>
      </c>
      <c r="AM75" s="28">
        <v>9</v>
      </c>
      <c r="AN75" s="28">
        <v>17</v>
      </c>
      <c r="AO75" s="28">
        <v>25</v>
      </c>
      <c r="AP75" s="77">
        <v>6</v>
      </c>
      <c r="AQ75" s="28">
        <v>1</v>
      </c>
      <c r="AR75" s="28">
        <v>5</v>
      </c>
      <c r="AS75" s="77">
        <v>33</v>
      </c>
      <c r="AT75" s="72">
        <v>0.59417229729729737</v>
      </c>
      <c r="AU75" s="28">
        <v>1</v>
      </c>
      <c r="AV75" s="75">
        <v>73</v>
      </c>
      <c r="AY75" s="101" t="s">
        <v>952</v>
      </c>
      <c r="AZ75" s="77" t="s">
        <v>172</v>
      </c>
      <c r="BA75" s="77" t="s">
        <v>963</v>
      </c>
      <c r="BB75" s="130">
        <v>0.26436781609195403</v>
      </c>
      <c r="BC75" s="72">
        <v>0.32631578947368423</v>
      </c>
      <c r="BD75" s="72">
        <v>0.33333333333333331</v>
      </c>
      <c r="BE75" s="77">
        <v>33</v>
      </c>
      <c r="BF75" s="28">
        <v>87</v>
      </c>
      <c r="BG75" s="28">
        <v>9</v>
      </c>
      <c r="BH75" s="28">
        <v>23</v>
      </c>
      <c r="BI75" s="28">
        <v>4</v>
      </c>
      <c r="BJ75" s="28">
        <v>1</v>
      </c>
      <c r="BK75" s="28">
        <v>0</v>
      </c>
      <c r="BL75" s="28">
        <v>5</v>
      </c>
      <c r="BM75" s="28">
        <v>8</v>
      </c>
      <c r="BN75" s="28">
        <v>14</v>
      </c>
      <c r="BO75" s="77">
        <v>3</v>
      </c>
      <c r="BP75" s="28">
        <v>0</v>
      </c>
      <c r="BQ75" s="28">
        <v>3</v>
      </c>
      <c r="BR75" s="77">
        <v>29</v>
      </c>
      <c r="BS75" s="72">
        <v>0.6596491228070176</v>
      </c>
      <c r="BT75" s="28">
        <v>0</v>
      </c>
      <c r="BU75" s="75">
        <v>73</v>
      </c>
    </row>
    <row r="76" spans="1:73">
      <c r="A76" s="101" t="s">
        <v>952</v>
      </c>
      <c r="B76" s="71" t="s">
        <v>311</v>
      </c>
      <c r="C76" s="74" t="s">
        <v>961</v>
      </c>
      <c r="D76" s="72">
        <f>VLOOKUP(Table88[[#This Row],[NAME]],STL_H[[NAME]:['#]],2,0)</f>
        <v>0.26153846153846155</v>
      </c>
      <c r="E76" s="72">
        <f>VLOOKUP(Table88[[#This Row],[NAME]],STL_H[[NAME]:['#]],3,0)</f>
        <v>0.31428571428571428</v>
      </c>
      <c r="F76" s="72">
        <f>VLOOKUP(Table88[[#This Row],[NAME]],STL_H[[NAME]:['#]],4,0)</f>
        <v>0.35384615384615387</v>
      </c>
      <c r="G76" s="77">
        <f>VLOOKUP(Table88[[#This Row],[NAME]],STL_H[[NAME]:['#]],5,0)</f>
        <v>30</v>
      </c>
      <c r="H76" s="28">
        <f>VLOOKUP(Table88[[#This Row],[NAME]],STL_H[[NAME]:['#]],6,0)</f>
        <v>130</v>
      </c>
      <c r="I76" s="28">
        <f>VLOOKUP(Table88[[#This Row],[NAME]],STL_H[[NAME]:['#]],7,0)</f>
        <v>15</v>
      </c>
      <c r="J76" s="28">
        <f>VLOOKUP(Table88[[#This Row],[NAME]],STL_H[[NAME]:['#]],8,0)</f>
        <v>34</v>
      </c>
      <c r="K76" s="28">
        <f>VLOOKUP(Table88[[#This Row],[NAME]],STL_H[[NAME]:['#]],9,0)</f>
        <v>6</v>
      </c>
      <c r="L76" s="28">
        <f>VLOOKUP(Table88[[#This Row],[NAME]],STL_H[[NAME]:['#]],10,0)</f>
        <v>0</v>
      </c>
      <c r="M76" s="28">
        <f>VLOOKUP(Table88[[#This Row],[NAME]],STL_H[[NAME]:['#]],11,0)</f>
        <v>2</v>
      </c>
      <c r="N76" s="28">
        <f>VLOOKUP(Table88[[#This Row],[NAME]],STL_H[[NAME]:['#]],12,0)</f>
        <v>16</v>
      </c>
      <c r="O76" s="28">
        <f>VLOOKUP(Table88[[#This Row],[NAME]],STL_H[[NAME]:['#]],13,0)</f>
        <v>10</v>
      </c>
      <c r="P76" s="28">
        <f>VLOOKUP(Table88[[#This Row],[NAME]],STL_H[[NAME]:['#]],14,0)</f>
        <v>25</v>
      </c>
      <c r="Q76" s="77">
        <f>VLOOKUP(Table88[[#This Row],[NAME]],STL_H[[NAME]:['#]],15,0)</f>
        <v>0</v>
      </c>
      <c r="R76" s="28">
        <f>VLOOKUP(Table88[[#This Row],[NAME]],STL_H[[NAME]:['#]],16,0)</f>
        <v>1</v>
      </c>
      <c r="S76" s="28">
        <f>VLOOKUP(Table88[[#This Row],[NAME]],STL_H[[NAME]:['#]],17,0)</f>
        <v>6</v>
      </c>
      <c r="T76" s="77">
        <f>VLOOKUP(Table88[[#This Row],[NAME]],STL_H[[NAME]:['#]],18,0)</f>
        <v>46</v>
      </c>
      <c r="U76" s="72">
        <f>VLOOKUP(Table88[[#This Row],[NAME]],STL_H[[NAME]:['#]],19,0)</f>
        <v>0.6681318681318682</v>
      </c>
      <c r="V76" s="28">
        <f>VLOOKUP(Table88[[#This Row],[NAME]],STL_H[[NAME]:['#]],20,0)</f>
        <v>1</v>
      </c>
      <c r="W76" s="75">
        <v>74</v>
      </c>
      <c r="Z76" s="101" t="s">
        <v>952</v>
      </c>
      <c r="AA76" s="77" t="s">
        <v>153</v>
      </c>
      <c r="AB76" s="77" t="s">
        <v>959</v>
      </c>
      <c r="AC76" s="130">
        <v>0.25362318840579712</v>
      </c>
      <c r="AD76" s="72">
        <v>0.31788079470198677</v>
      </c>
      <c r="AE76" s="72">
        <v>0.39855072463768115</v>
      </c>
      <c r="AF76" s="77">
        <v>36</v>
      </c>
      <c r="AG76" s="28">
        <v>138</v>
      </c>
      <c r="AH76" s="28">
        <v>13</v>
      </c>
      <c r="AI76" s="28">
        <v>35</v>
      </c>
      <c r="AJ76" s="28">
        <v>3</v>
      </c>
      <c r="AK76" s="28">
        <v>1</v>
      </c>
      <c r="AL76" s="28">
        <v>5</v>
      </c>
      <c r="AM76" s="28">
        <v>11</v>
      </c>
      <c r="AN76" s="28">
        <v>13</v>
      </c>
      <c r="AO76" s="28">
        <v>21</v>
      </c>
      <c r="AP76" s="77">
        <v>0</v>
      </c>
      <c r="AQ76" s="28">
        <v>0</v>
      </c>
      <c r="AR76" s="28">
        <v>11</v>
      </c>
      <c r="AS76" s="77">
        <v>55</v>
      </c>
      <c r="AT76" s="72">
        <v>0.71643151933966798</v>
      </c>
      <c r="AU76" s="28">
        <v>1</v>
      </c>
      <c r="AV76" s="75">
        <v>74</v>
      </c>
      <c r="AY76" s="101" t="s">
        <v>952</v>
      </c>
      <c r="AZ76" s="352" t="s">
        <v>153</v>
      </c>
      <c r="BA76" s="77" t="s">
        <v>959</v>
      </c>
      <c r="BB76" s="130">
        <v>0.3188405797101449</v>
      </c>
      <c r="BC76" s="72">
        <v>0.38562091503267976</v>
      </c>
      <c r="BD76" s="72">
        <v>0.49275362318840582</v>
      </c>
      <c r="BE76" s="77">
        <v>36</v>
      </c>
      <c r="BF76" s="28">
        <v>138</v>
      </c>
      <c r="BG76" s="28">
        <v>24</v>
      </c>
      <c r="BH76" s="28">
        <v>44</v>
      </c>
      <c r="BI76" s="28">
        <v>12</v>
      </c>
      <c r="BJ76" s="28">
        <v>0</v>
      </c>
      <c r="BK76" s="28">
        <v>4</v>
      </c>
      <c r="BL76" s="28">
        <v>17</v>
      </c>
      <c r="BM76" s="28">
        <v>15</v>
      </c>
      <c r="BN76" s="28">
        <v>22</v>
      </c>
      <c r="BO76" s="77">
        <v>0</v>
      </c>
      <c r="BP76" s="28">
        <v>1</v>
      </c>
      <c r="BQ76" s="76">
        <v>15</v>
      </c>
      <c r="BR76" s="77">
        <v>68</v>
      </c>
      <c r="BS76" s="72">
        <v>0.87837453822108558</v>
      </c>
      <c r="BT76" s="28">
        <v>1</v>
      </c>
      <c r="BU76" s="75">
        <v>74</v>
      </c>
    </row>
    <row r="77" spans="1:73">
      <c r="A77" s="101" t="s">
        <v>952</v>
      </c>
      <c r="B77" s="71" t="s">
        <v>177</v>
      </c>
      <c r="C77" s="74" t="s">
        <v>957</v>
      </c>
      <c r="D77" s="72">
        <f>VLOOKUP(Table88[[#This Row],[NAME]],STL_H[[NAME]:['#]],2,0)</f>
        <v>0.19496855345911951</v>
      </c>
      <c r="E77" s="72">
        <f>VLOOKUP(Table88[[#This Row],[NAME]],STL_H[[NAME]:['#]],3,0)</f>
        <v>0.26857142857142857</v>
      </c>
      <c r="F77" s="72">
        <f>VLOOKUP(Table88[[#This Row],[NAME]],STL_H[[NAME]:['#]],4,0)</f>
        <v>0.32704402515723269</v>
      </c>
      <c r="G77" s="77">
        <f>VLOOKUP(Table88[[#This Row],[NAME]],STL_H[[NAME]:['#]],5,0)</f>
        <v>39</v>
      </c>
      <c r="H77" s="28">
        <f>VLOOKUP(Table88[[#This Row],[NAME]],STL_H[[NAME]:['#]],6,0)</f>
        <v>159</v>
      </c>
      <c r="I77" s="28">
        <f>VLOOKUP(Table88[[#This Row],[NAME]],STL_H[[NAME]:['#]],7,0)</f>
        <v>19</v>
      </c>
      <c r="J77" s="28">
        <f>VLOOKUP(Table88[[#This Row],[NAME]],STL_H[[NAME]:['#]],8,0)</f>
        <v>31</v>
      </c>
      <c r="K77" s="28">
        <f>VLOOKUP(Table88[[#This Row],[NAME]],STL_H[[NAME]:['#]],9,0)</f>
        <v>6</v>
      </c>
      <c r="L77" s="28">
        <f>VLOOKUP(Table88[[#This Row],[NAME]],STL_H[[NAME]:['#]],10,0)</f>
        <v>0</v>
      </c>
      <c r="M77" s="28">
        <f>VLOOKUP(Table88[[#This Row],[NAME]],STL_H[[NAME]:['#]],11,0)</f>
        <v>5</v>
      </c>
      <c r="N77" s="28">
        <f>VLOOKUP(Table88[[#This Row],[NAME]],STL_H[[NAME]:['#]],12,0)</f>
        <v>9</v>
      </c>
      <c r="O77" s="28">
        <f>VLOOKUP(Table88[[#This Row],[NAME]],STL_H[[NAME]:['#]],13,0)</f>
        <v>16</v>
      </c>
      <c r="P77" s="28">
        <f>VLOOKUP(Table88[[#This Row],[NAME]],STL_H[[NAME]:['#]],14,0)</f>
        <v>38</v>
      </c>
      <c r="Q77" s="77">
        <f>VLOOKUP(Table88[[#This Row],[NAME]],STL_H[[NAME]:['#]],15,0)</f>
        <v>0</v>
      </c>
      <c r="R77" s="28">
        <f>VLOOKUP(Table88[[#This Row],[NAME]],STL_H[[NAME]:['#]],16,0)</f>
        <v>1</v>
      </c>
      <c r="S77" s="28">
        <f>VLOOKUP(Table88[[#This Row],[NAME]],STL_H[[NAME]:['#]],17,0)</f>
        <v>6</v>
      </c>
      <c r="T77" s="77">
        <f>VLOOKUP(Table88[[#This Row],[NAME]],STL_H[[NAME]:['#]],18,0)</f>
        <v>52</v>
      </c>
      <c r="U77" s="72">
        <f>VLOOKUP(Table88[[#This Row],[NAME]],STL_H[[NAME]:['#]],19,0)</f>
        <v>0.59561545372866131</v>
      </c>
      <c r="V77" s="28">
        <f>VLOOKUP(Table88[[#This Row],[NAME]],STL_H[[NAME]:['#]],20,0)</f>
        <v>2</v>
      </c>
      <c r="W77" s="75">
        <v>75</v>
      </c>
      <c r="Z77" s="101" t="s">
        <v>952</v>
      </c>
      <c r="AA77" s="77" t="s">
        <v>177</v>
      </c>
      <c r="AB77" s="77" t="s">
        <v>957</v>
      </c>
      <c r="AC77" s="130">
        <v>0.21428571428571427</v>
      </c>
      <c r="AD77" s="72">
        <v>0.28823529411764703</v>
      </c>
      <c r="AE77" s="72">
        <v>0.35064935064935066</v>
      </c>
      <c r="AF77" s="77">
        <v>38</v>
      </c>
      <c r="AG77" s="28">
        <v>154</v>
      </c>
      <c r="AH77" s="28">
        <v>14</v>
      </c>
      <c r="AI77" s="28">
        <v>33</v>
      </c>
      <c r="AJ77" s="28">
        <v>9</v>
      </c>
      <c r="AK77" s="28">
        <v>0</v>
      </c>
      <c r="AL77" s="28">
        <v>4</v>
      </c>
      <c r="AM77" s="28">
        <v>14</v>
      </c>
      <c r="AN77" s="28">
        <v>16</v>
      </c>
      <c r="AO77" s="28">
        <v>48</v>
      </c>
      <c r="AP77" s="77">
        <v>0</v>
      </c>
      <c r="AQ77" s="28">
        <v>2</v>
      </c>
      <c r="AR77" s="28">
        <v>6</v>
      </c>
      <c r="AS77" s="77">
        <v>54</v>
      </c>
      <c r="AT77" s="72">
        <v>0.63888464476699769</v>
      </c>
      <c r="AU77" s="28">
        <v>0</v>
      </c>
      <c r="AV77" s="75">
        <v>75</v>
      </c>
      <c r="AY77" s="101" t="s">
        <v>952</v>
      </c>
      <c r="AZ77" s="77" t="s">
        <v>177</v>
      </c>
      <c r="BA77" s="77" t="s">
        <v>957</v>
      </c>
      <c r="BB77" s="130">
        <v>0.27777777777777779</v>
      </c>
      <c r="BC77" s="72">
        <v>0.34636871508379891</v>
      </c>
      <c r="BD77" s="72">
        <v>0.49382716049382713</v>
      </c>
      <c r="BE77" s="77">
        <v>40</v>
      </c>
      <c r="BF77" s="28">
        <v>162</v>
      </c>
      <c r="BG77" s="28">
        <v>25</v>
      </c>
      <c r="BH77" s="28">
        <v>45</v>
      </c>
      <c r="BI77" s="28">
        <v>8</v>
      </c>
      <c r="BJ77" s="28">
        <v>0</v>
      </c>
      <c r="BK77" s="28">
        <v>9</v>
      </c>
      <c r="BL77" s="28">
        <v>24</v>
      </c>
      <c r="BM77" s="28">
        <v>17</v>
      </c>
      <c r="BN77" s="28">
        <v>53</v>
      </c>
      <c r="BO77" s="77">
        <v>1</v>
      </c>
      <c r="BP77" s="28">
        <v>1</v>
      </c>
      <c r="BQ77" s="28">
        <v>7</v>
      </c>
      <c r="BR77" s="77">
        <v>80</v>
      </c>
      <c r="BS77" s="72">
        <v>0.84019587557762598</v>
      </c>
      <c r="BT77" s="28">
        <v>4</v>
      </c>
      <c r="BU77" s="75">
        <v>75</v>
      </c>
    </row>
    <row r="78" spans="1:73">
      <c r="A78" s="101" t="s">
        <v>952</v>
      </c>
      <c r="B78" s="71" t="s">
        <v>174</v>
      </c>
      <c r="C78" s="74" t="s">
        <v>956</v>
      </c>
      <c r="D78" s="72">
        <f>VLOOKUP(Table88[[#This Row],[NAME]],STL_H[[NAME]:['#]],2,0)</f>
        <v>0.24827586206896551</v>
      </c>
      <c r="E78" s="72">
        <f>VLOOKUP(Table88[[#This Row],[NAME]],STL_H[[NAME]:['#]],3,0)</f>
        <v>0.310126582278481</v>
      </c>
      <c r="F78" s="72">
        <f>VLOOKUP(Table88[[#This Row],[NAME]],STL_H[[NAME]:['#]],4,0)</f>
        <v>0.34482758620689657</v>
      </c>
      <c r="G78" s="77">
        <f>VLOOKUP(Table88[[#This Row],[NAME]],STL_H[[NAME]:['#]],5,0)</f>
        <v>37</v>
      </c>
      <c r="H78" s="28">
        <f>VLOOKUP(Table88[[#This Row],[NAME]],STL_H[[NAME]:['#]],6,0)</f>
        <v>145</v>
      </c>
      <c r="I78" s="28">
        <f>VLOOKUP(Table88[[#This Row],[NAME]],STL_H[[NAME]:['#]],7,0)</f>
        <v>13</v>
      </c>
      <c r="J78" s="28">
        <f>VLOOKUP(Table88[[#This Row],[NAME]],STL_H[[NAME]:['#]],8,0)</f>
        <v>36</v>
      </c>
      <c r="K78" s="28">
        <f>VLOOKUP(Table88[[#This Row],[NAME]],STL_H[[NAME]:['#]],9,0)</f>
        <v>8</v>
      </c>
      <c r="L78" s="28">
        <f>VLOOKUP(Table88[[#This Row],[NAME]],STL_H[[NAME]:['#]],10,0)</f>
        <v>0</v>
      </c>
      <c r="M78" s="28">
        <f>VLOOKUP(Table88[[#This Row],[NAME]],STL_H[[NAME]:['#]],11,0)</f>
        <v>2</v>
      </c>
      <c r="N78" s="28">
        <f>VLOOKUP(Table88[[#This Row],[NAME]],STL_H[[NAME]:['#]],12,0)</f>
        <v>14</v>
      </c>
      <c r="O78" s="28">
        <f>VLOOKUP(Table88[[#This Row],[NAME]],STL_H[[NAME]:['#]],13,0)</f>
        <v>13</v>
      </c>
      <c r="P78" s="28">
        <f>VLOOKUP(Table88[[#This Row],[NAME]],STL_H[[NAME]:['#]],14,0)</f>
        <v>47</v>
      </c>
      <c r="Q78" s="77">
        <f>VLOOKUP(Table88[[#This Row],[NAME]],STL_H[[NAME]:['#]],15,0)</f>
        <v>0</v>
      </c>
      <c r="R78" s="28">
        <f>VLOOKUP(Table88[[#This Row],[NAME]],STL_H[[NAME]:['#]],16,0)</f>
        <v>1</v>
      </c>
      <c r="S78" s="28">
        <f>VLOOKUP(Table88[[#This Row],[NAME]],STL_H[[NAME]:['#]],17,0)</f>
        <v>7</v>
      </c>
      <c r="T78" s="77">
        <f>VLOOKUP(Table88[[#This Row],[NAME]],STL_H[[NAME]:['#]],18,0)</f>
        <v>50</v>
      </c>
      <c r="U78" s="72">
        <f>VLOOKUP(Table88[[#This Row],[NAME]],STL_H[[NAME]:['#]],19,0)</f>
        <v>0.65495416848537757</v>
      </c>
      <c r="V78" s="28">
        <f>VLOOKUP(Table88[[#This Row],[NAME]],STL_H[[NAME]:['#]],20,0)</f>
        <v>2</v>
      </c>
      <c r="W78" s="75">
        <v>76</v>
      </c>
      <c r="Z78" s="101" t="s">
        <v>952</v>
      </c>
      <c r="AA78" s="77" t="s">
        <v>174</v>
      </c>
      <c r="AB78" s="77" t="s">
        <v>956</v>
      </c>
      <c r="AC78" s="130">
        <v>0.29496402877697842</v>
      </c>
      <c r="AD78" s="72">
        <v>0.35526315789473684</v>
      </c>
      <c r="AE78" s="72">
        <v>0.50359712230215825</v>
      </c>
      <c r="AF78" s="77">
        <v>37</v>
      </c>
      <c r="AG78" s="28">
        <v>139</v>
      </c>
      <c r="AH78" s="28">
        <v>19</v>
      </c>
      <c r="AI78" s="28">
        <v>41</v>
      </c>
      <c r="AJ78" s="28">
        <v>8</v>
      </c>
      <c r="AK78" s="28">
        <v>0</v>
      </c>
      <c r="AL78" s="28">
        <v>7</v>
      </c>
      <c r="AM78" s="28">
        <v>15</v>
      </c>
      <c r="AN78" s="28">
        <v>13</v>
      </c>
      <c r="AO78" s="28">
        <v>31</v>
      </c>
      <c r="AP78" s="77">
        <v>0</v>
      </c>
      <c r="AQ78" s="28">
        <v>1</v>
      </c>
      <c r="AR78" s="28">
        <v>10</v>
      </c>
      <c r="AS78" s="77">
        <v>70</v>
      </c>
      <c r="AT78" s="72">
        <v>0.85886028019689509</v>
      </c>
      <c r="AU78" s="90">
        <v>3</v>
      </c>
      <c r="AV78" s="75">
        <v>76</v>
      </c>
      <c r="AY78" s="101" t="s">
        <v>952</v>
      </c>
      <c r="AZ78" s="77" t="s">
        <v>174</v>
      </c>
      <c r="BA78" s="77" t="s">
        <v>955</v>
      </c>
      <c r="BB78" s="130">
        <v>0.26530612244897961</v>
      </c>
      <c r="BC78" s="72">
        <v>0.31210191082802546</v>
      </c>
      <c r="BD78" s="72">
        <v>0.48299319727891155</v>
      </c>
      <c r="BE78" s="77">
        <v>40</v>
      </c>
      <c r="BF78" s="28">
        <v>147</v>
      </c>
      <c r="BG78" s="28">
        <v>17</v>
      </c>
      <c r="BH78" s="28">
        <v>39</v>
      </c>
      <c r="BI78" s="28">
        <v>8</v>
      </c>
      <c r="BJ78" s="28">
        <v>0</v>
      </c>
      <c r="BK78" s="28">
        <v>8</v>
      </c>
      <c r="BL78" s="28">
        <v>26</v>
      </c>
      <c r="BM78" s="28">
        <v>10</v>
      </c>
      <c r="BN78" s="28">
        <v>51</v>
      </c>
      <c r="BO78" s="77">
        <v>0</v>
      </c>
      <c r="BP78" s="28">
        <v>2</v>
      </c>
      <c r="BQ78" s="28">
        <v>5</v>
      </c>
      <c r="BR78" s="77">
        <v>71</v>
      </c>
      <c r="BS78" s="72">
        <v>0.79509510810693707</v>
      </c>
      <c r="BT78" s="28">
        <v>4</v>
      </c>
      <c r="BU78" s="75">
        <v>76</v>
      </c>
    </row>
    <row r="79" spans="1:73">
      <c r="A79" s="101" t="s">
        <v>952</v>
      </c>
      <c r="B79" s="71" t="s">
        <v>181</v>
      </c>
      <c r="C79" s="74" t="s">
        <v>953</v>
      </c>
      <c r="D79" s="72">
        <f>VLOOKUP(Table88[[#This Row],[NAME]],STL_H[[NAME]:['#]],2,0)</f>
        <v>0.24369747899159663</v>
      </c>
      <c r="E79" s="72">
        <f>VLOOKUP(Table88[[#This Row],[NAME]],STL_H[[NAME]:['#]],3,0)</f>
        <v>0.30232558139534882</v>
      </c>
      <c r="F79" s="72">
        <f>VLOOKUP(Table88[[#This Row],[NAME]],STL_H[[NAME]:['#]],4,0)</f>
        <v>0.42016806722689076</v>
      </c>
      <c r="G79" s="77">
        <f>VLOOKUP(Table88[[#This Row],[NAME]],STL_H[[NAME]:['#]],5,0)</f>
        <v>33</v>
      </c>
      <c r="H79" s="28">
        <f>VLOOKUP(Table88[[#This Row],[NAME]],STL_H[[NAME]:['#]],6,0)</f>
        <v>119</v>
      </c>
      <c r="I79" s="28">
        <f>VLOOKUP(Table88[[#This Row],[NAME]],STL_H[[NAME]:['#]],7,0)</f>
        <v>14</v>
      </c>
      <c r="J79" s="28">
        <f>VLOOKUP(Table88[[#This Row],[NAME]],STL_H[[NAME]:['#]],8,0)</f>
        <v>29</v>
      </c>
      <c r="K79" s="28">
        <f>VLOOKUP(Table88[[#This Row],[NAME]],STL_H[[NAME]:['#]],9,0)</f>
        <v>6</v>
      </c>
      <c r="L79" s="28">
        <f>VLOOKUP(Table88[[#This Row],[NAME]],STL_H[[NAME]:['#]],10,0)</f>
        <v>0</v>
      </c>
      <c r="M79" s="28">
        <f>VLOOKUP(Table88[[#This Row],[NAME]],STL_H[[NAME]:['#]],11,0)</f>
        <v>5</v>
      </c>
      <c r="N79" s="28">
        <f>VLOOKUP(Table88[[#This Row],[NAME]],STL_H[[NAME]:['#]],12,0)</f>
        <v>15</v>
      </c>
      <c r="O79" s="28">
        <f>VLOOKUP(Table88[[#This Row],[NAME]],STL_H[[NAME]:['#]],13,0)</f>
        <v>10</v>
      </c>
      <c r="P79" s="28">
        <f>VLOOKUP(Table88[[#This Row],[NAME]],STL_H[[NAME]:['#]],14,0)</f>
        <v>24</v>
      </c>
      <c r="Q79" s="77">
        <f>VLOOKUP(Table88[[#This Row],[NAME]],STL_H[[NAME]:['#]],15,0)</f>
        <v>0</v>
      </c>
      <c r="R79" s="28">
        <f>VLOOKUP(Table88[[#This Row],[NAME]],STL_H[[NAME]:['#]],16,0)</f>
        <v>0</v>
      </c>
      <c r="S79" s="28">
        <f>VLOOKUP(Table88[[#This Row],[NAME]],STL_H[[NAME]:['#]],17,0)</f>
        <v>4</v>
      </c>
      <c r="T79" s="77">
        <f>VLOOKUP(Table88[[#This Row],[NAME]],STL_H[[NAME]:['#]],18,0)</f>
        <v>50</v>
      </c>
      <c r="U79" s="72">
        <f>VLOOKUP(Table88[[#This Row],[NAME]],STL_H[[NAME]:['#]],19,0)</f>
        <v>0.72249364862223953</v>
      </c>
      <c r="V79" s="28">
        <f>VLOOKUP(Table88[[#This Row],[NAME]],STL_H[[NAME]:['#]],20,0)</f>
        <v>2</v>
      </c>
      <c r="W79" s="75">
        <v>77</v>
      </c>
      <c r="Z79" s="101" t="s">
        <v>952</v>
      </c>
      <c r="AA79" s="77" t="s">
        <v>181</v>
      </c>
      <c r="AB79" s="77" t="s">
        <v>960</v>
      </c>
      <c r="AC79" s="130">
        <v>0.23287671232876711</v>
      </c>
      <c r="AD79" s="72">
        <v>0.3411764705882353</v>
      </c>
      <c r="AE79" s="72">
        <v>0.32876712328767121</v>
      </c>
      <c r="AF79" s="77">
        <v>23</v>
      </c>
      <c r="AG79" s="28">
        <v>73</v>
      </c>
      <c r="AH79" s="28">
        <v>7</v>
      </c>
      <c r="AI79" s="28">
        <v>17</v>
      </c>
      <c r="AJ79" s="28">
        <v>5</v>
      </c>
      <c r="AK79" s="28">
        <v>1</v>
      </c>
      <c r="AL79" s="28">
        <v>0</v>
      </c>
      <c r="AM79" s="28">
        <v>4</v>
      </c>
      <c r="AN79" s="28">
        <v>12</v>
      </c>
      <c r="AO79" s="28">
        <v>15</v>
      </c>
      <c r="AP79" s="77">
        <v>0</v>
      </c>
      <c r="AQ79" s="28">
        <v>0</v>
      </c>
      <c r="AR79" s="28">
        <v>3</v>
      </c>
      <c r="AS79" s="77">
        <v>24</v>
      </c>
      <c r="AT79" s="72">
        <v>0.66994359387590652</v>
      </c>
      <c r="AU79" s="28">
        <v>0</v>
      </c>
      <c r="AV79" s="75">
        <v>77</v>
      </c>
      <c r="AY79" s="101" t="s">
        <v>952</v>
      </c>
      <c r="AZ79" s="77" t="s">
        <v>181</v>
      </c>
      <c r="BA79" s="77" t="s">
        <v>189</v>
      </c>
      <c r="BB79" s="130">
        <v>0.16949152542372881</v>
      </c>
      <c r="BC79" s="72">
        <v>0.2283464566929134</v>
      </c>
      <c r="BD79" s="72">
        <v>0.23728813559322035</v>
      </c>
      <c r="BE79" s="77">
        <v>37</v>
      </c>
      <c r="BF79" s="28">
        <v>118</v>
      </c>
      <c r="BG79" s="28">
        <v>9</v>
      </c>
      <c r="BH79" s="28">
        <v>20</v>
      </c>
      <c r="BI79" s="28">
        <v>3</v>
      </c>
      <c r="BJ79" s="28">
        <v>1</v>
      </c>
      <c r="BK79" s="28">
        <v>1</v>
      </c>
      <c r="BL79" s="28">
        <v>13</v>
      </c>
      <c r="BM79" s="28">
        <v>9</v>
      </c>
      <c r="BN79" s="28">
        <v>43</v>
      </c>
      <c r="BO79" s="77">
        <v>0</v>
      </c>
      <c r="BP79" s="28">
        <v>2</v>
      </c>
      <c r="BQ79" s="28">
        <v>5</v>
      </c>
      <c r="BR79" s="77">
        <v>28</v>
      </c>
      <c r="BS79" s="72">
        <v>0.46563459228613374</v>
      </c>
      <c r="BT79" s="28">
        <v>2</v>
      </c>
      <c r="BU79" s="75">
        <v>77</v>
      </c>
    </row>
    <row r="80" spans="1:73">
      <c r="A80" s="101" t="s">
        <v>952</v>
      </c>
      <c r="B80" s="71" t="s">
        <v>166</v>
      </c>
      <c r="C80" s="74" t="s">
        <v>955</v>
      </c>
      <c r="D80" s="72">
        <f>VLOOKUP(Table88[[#This Row],[NAME]],STL_H[[NAME]:['#]],2,0)</f>
        <v>0.24369747899159663</v>
      </c>
      <c r="E80" s="72">
        <f>VLOOKUP(Table88[[#This Row],[NAME]],STL_H[[NAME]:['#]],3,0)</f>
        <v>0.30232558139534882</v>
      </c>
      <c r="F80" s="72">
        <f>VLOOKUP(Table88[[#This Row],[NAME]],STL_H[[NAME]:['#]],4,0)</f>
        <v>0.47058823529411764</v>
      </c>
      <c r="G80" s="77">
        <f>VLOOKUP(Table88[[#This Row],[NAME]],STL_H[[NAME]:['#]],5,0)</f>
        <v>34</v>
      </c>
      <c r="H80" s="28">
        <f>VLOOKUP(Table88[[#This Row],[NAME]],STL_H[[NAME]:['#]],6,0)</f>
        <v>119</v>
      </c>
      <c r="I80" s="28">
        <f>VLOOKUP(Table88[[#This Row],[NAME]],STL_H[[NAME]:['#]],7,0)</f>
        <v>18</v>
      </c>
      <c r="J80" s="28">
        <f>VLOOKUP(Table88[[#This Row],[NAME]],STL_H[[NAME]:['#]],8,0)</f>
        <v>29</v>
      </c>
      <c r="K80" s="28">
        <f>VLOOKUP(Table88[[#This Row],[NAME]],STL_H[[NAME]:['#]],9,0)</f>
        <v>3</v>
      </c>
      <c r="L80" s="28">
        <f>VLOOKUP(Table88[[#This Row],[NAME]],STL_H[[NAME]:['#]],10,0)</f>
        <v>0</v>
      </c>
      <c r="M80" s="28">
        <f>VLOOKUP(Table88[[#This Row],[NAME]],STL_H[[NAME]:['#]],11,0)</f>
        <v>8</v>
      </c>
      <c r="N80" s="28">
        <f>VLOOKUP(Table88[[#This Row],[NAME]],STL_H[[NAME]:['#]],12,0)</f>
        <v>14</v>
      </c>
      <c r="O80" s="28">
        <f>VLOOKUP(Table88[[#This Row],[NAME]],STL_H[[NAME]:['#]],13,0)</f>
        <v>10</v>
      </c>
      <c r="P80" s="28">
        <f>VLOOKUP(Table88[[#This Row],[NAME]],STL_H[[NAME]:['#]],14,0)</f>
        <v>45</v>
      </c>
      <c r="Q80" s="77">
        <f>VLOOKUP(Table88[[#This Row],[NAME]],STL_H[[NAME]:['#]],15,0)</f>
        <v>0</v>
      </c>
      <c r="R80" s="28">
        <f>VLOOKUP(Table88[[#This Row],[NAME]],STL_H[[NAME]:['#]],16,0)</f>
        <v>0</v>
      </c>
      <c r="S80" s="28">
        <f>VLOOKUP(Table88[[#This Row],[NAME]],STL_H[[NAME]:['#]],17,0)</f>
        <v>4</v>
      </c>
      <c r="T80" s="77">
        <f>VLOOKUP(Table88[[#This Row],[NAME]],STL_H[[NAME]:['#]],18,0)</f>
        <v>56</v>
      </c>
      <c r="U80" s="72">
        <f>VLOOKUP(Table88[[#This Row],[NAME]],STL_H[[NAME]:['#]],19,0)</f>
        <v>0.77291381668946646</v>
      </c>
      <c r="V80" s="28">
        <f>VLOOKUP(Table88[[#This Row],[NAME]],STL_H[[NAME]:['#]],20,0)</f>
        <v>2</v>
      </c>
      <c r="W80" s="75">
        <v>78</v>
      </c>
      <c r="Z80" s="101" t="s">
        <v>952</v>
      </c>
      <c r="AA80" s="352" t="s">
        <v>240</v>
      </c>
      <c r="AB80" s="77" t="s">
        <v>953</v>
      </c>
      <c r="AC80" s="130">
        <v>0.29801324503311261</v>
      </c>
      <c r="AD80" s="72">
        <v>0.3652694610778443</v>
      </c>
      <c r="AE80" s="72">
        <v>0.60264900662251653</v>
      </c>
      <c r="AF80" s="77">
        <v>40</v>
      </c>
      <c r="AG80" s="28">
        <v>151</v>
      </c>
      <c r="AH80" s="28">
        <v>28</v>
      </c>
      <c r="AI80" s="28">
        <v>45</v>
      </c>
      <c r="AJ80" s="28">
        <v>7</v>
      </c>
      <c r="AK80" s="28">
        <v>3</v>
      </c>
      <c r="AL80" s="28">
        <v>11</v>
      </c>
      <c r="AM80" s="28">
        <v>25</v>
      </c>
      <c r="AN80" s="28">
        <v>16</v>
      </c>
      <c r="AO80" s="28">
        <v>32</v>
      </c>
      <c r="AP80" s="77">
        <v>0</v>
      </c>
      <c r="AQ80" s="28">
        <v>4</v>
      </c>
      <c r="AR80" s="28">
        <v>5</v>
      </c>
      <c r="AS80" s="77">
        <v>91</v>
      </c>
      <c r="AT80" s="72">
        <v>0.96791846770036083</v>
      </c>
      <c r="AU80" s="28">
        <v>4</v>
      </c>
      <c r="AV80" s="75">
        <v>78</v>
      </c>
      <c r="AY80" s="101" t="s">
        <v>952</v>
      </c>
      <c r="AZ80" s="77" t="s">
        <v>166</v>
      </c>
      <c r="BA80" s="77" t="s">
        <v>960</v>
      </c>
      <c r="BB80" s="130">
        <v>0.24409448818897639</v>
      </c>
      <c r="BC80" s="72">
        <v>0.31428571428571428</v>
      </c>
      <c r="BD80" s="72">
        <v>0.39370078740157483</v>
      </c>
      <c r="BE80" s="77">
        <v>38</v>
      </c>
      <c r="BF80" s="28">
        <v>127</v>
      </c>
      <c r="BG80" s="28">
        <v>14</v>
      </c>
      <c r="BH80" s="28">
        <v>31</v>
      </c>
      <c r="BI80" s="28">
        <v>8</v>
      </c>
      <c r="BJ80" s="28">
        <v>4</v>
      </c>
      <c r="BK80" s="28">
        <v>1</v>
      </c>
      <c r="BL80" s="28">
        <v>7</v>
      </c>
      <c r="BM80" s="28">
        <v>13</v>
      </c>
      <c r="BN80" s="28">
        <v>41</v>
      </c>
      <c r="BO80" s="77">
        <v>0</v>
      </c>
      <c r="BP80" s="28">
        <v>8</v>
      </c>
      <c r="BQ80" s="28">
        <v>8</v>
      </c>
      <c r="BR80" s="77">
        <v>50</v>
      </c>
      <c r="BS80" s="72">
        <v>0.70798650168728905</v>
      </c>
      <c r="BT80" s="28">
        <v>1</v>
      </c>
      <c r="BU80" s="75">
        <v>78</v>
      </c>
    </row>
    <row r="81" spans="1:73">
      <c r="A81" s="101" t="s">
        <v>952</v>
      </c>
      <c r="B81" s="345" t="s">
        <v>168</v>
      </c>
      <c r="C81" s="104" t="s">
        <v>688</v>
      </c>
      <c r="D81" s="72">
        <f>VLOOKUP(Table88[[#This Row],[NAME]],STL_H[[NAME]:['#]],2,0)</f>
        <v>0.31677018633540371</v>
      </c>
      <c r="E81" s="72">
        <f>VLOOKUP(Table88[[#This Row],[NAME]],STL_H[[NAME]:['#]],3,0)</f>
        <v>0.37853107344632769</v>
      </c>
      <c r="F81" s="594">
        <f>VLOOKUP(Table88[[#This Row],[NAME]],STL_H[[NAME]:['#]],4,0)</f>
        <v>0.68944099378881984</v>
      </c>
      <c r="G81" s="77">
        <f>VLOOKUP(Table88[[#This Row],[NAME]],STL_H[[NAME]:['#]],5,0)</f>
        <v>40</v>
      </c>
      <c r="H81" s="28">
        <f>VLOOKUP(Table88[[#This Row],[NAME]],STL_H[[NAME]:['#]],6,0)</f>
        <v>161</v>
      </c>
      <c r="I81" s="28">
        <f>VLOOKUP(Table88[[#This Row],[NAME]],STL_H[[NAME]:['#]],7,0)</f>
        <v>26</v>
      </c>
      <c r="J81" s="28">
        <f>VLOOKUP(Table88[[#This Row],[NAME]],STL_H[[NAME]:['#]],8,0)</f>
        <v>51</v>
      </c>
      <c r="K81" s="28">
        <f>VLOOKUP(Table88[[#This Row],[NAME]],STL_H[[NAME]:['#]],9,0)</f>
        <v>13</v>
      </c>
      <c r="L81" s="28">
        <f>VLOOKUP(Table88[[#This Row],[NAME]],STL_H[[NAME]:['#]],10,0)</f>
        <v>1</v>
      </c>
      <c r="M81" s="76">
        <f>VLOOKUP(Table88[[#This Row],[NAME]],STL_H[[NAME]:['#]],11,0)</f>
        <v>15</v>
      </c>
      <c r="N81" s="76">
        <f>VLOOKUP(Table88[[#This Row],[NAME]],STL_H[[NAME]:['#]],12,0)</f>
        <v>41</v>
      </c>
      <c r="O81" s="28">
        <f>VLOOKUP(Table88[[#This Row],[NAME]],STL_H[[NAME]:['#]],13,0)</f>
        <v>16</v>
      </c>
      <c r="P81" s="28">
        <f>VLOOKUP(Table88[[#This Row],[NAME]],STL_H[[NAME]:['#]],14,0)</f>
        <v>24</v>
      </c>
      <c r="Q81" s="77">
        <f>VLOOKUP(Table88[[#This Row],[NAME]],STL_H[[NAME]:['#]],15,0)</f>
        <v>0</v>
      </c>
      <c r="R81" s="28">
        <f>VLOOKUP(Table88[[#This Row],[NAME]],STL_H[[NAME]:['#]],16,0)</f>
        <v>0</v>
      </c>
      <c r="S81" s="28">
        <f>VLOOKUP(Table88[[#This Row],[NAME]],STL_H[[NAME]:['#]],17,0)</f>
        <v>4</v>
      </c>
      <c r="T81" s="352">
        <f>VLOOKUP(Table88[[#This Row],[NAME]],STL_H[[NAME]:['#]],18,0)</f>
        <v>111</v>
      </c>
      <c r="U81" s="594">
        <f>VLOOKUP(Table88[[#This Row],[NAME]],STL_H[[NAME]:['#]],19,0)</f>
        <v>1.0679720672351476</v>
      </c>
      <c r="V81" s="76">
        <f>VLOOKUP(Table88[[#This Row],[NAME]],STL_H[[NAME]:['#]],20,0)</f>
        <v>6</v>
      </c>
      <c r="W81" s="75">
        <v>79</v>
      </c>
      <c r="Z81" s="101" t="s">
        <v>952</v>
      </c>
      <c r="AA81" s="77" t="s">
        <v>168</v>
      </c>
      <c r="AB81" s="77" t="s">
        <v>724</v>
      </c>
      <c r="AC81" s="130">
        <v>0.23404255319148937</v>
      </c>
      <c r="AD81" s="72">
        <v>0.35714285714285715</v>
      </c>
      <c r="AE81" s="72">
        <v>0.46808510638297873</v>
      </c>
      <c r="AF81" s="77">
        <v>40</v>
      </c>
      <c r="AG81" s="28">
        <v>141</v>
      </c>
      <c r="AH81" s="28">
        <v>19</v>
      </c>
      <c r="AI81" s="28">
        <v>33</v>
      </c>
      <c r="AJ81" s="28">
        <v>3</v>
      </c>
      <c r="AK81" s="28">
        <v>0</v>
      </c>
      <c r="AL81" s="28">
        <v>10</v>
      </c>
      <c r="AM81" s="28">
        <v>18</v>
      </c>
      <c r="AN81" s="28">
        <v>27</v>
      </c>
      <c r="AO81" s="28">
        <v>32</v>
      </c>
      <c r="AP81" s="77">
        <v>0</v>
      </c>
      <c r="AQ81" s="28">
        <v>1</v>
      </c>
      <c r="AR81" s="28">
        <v>4</v>
      </c>
      <c r="AS81" s="77">
        <v>66</v>
      </c>
      <c r="AT81" s="72">
        <v>0.82522796352583594</v>
      </c>
      <c r="AU81" s="28">
        <v>1</v>
      </c>
      <c r="AV81" s="75">
        <v>79</v>
      </c>
      <c r="AY81" s="101" t="s">
        <v>952</v>
      </c>
      <c r="AZ81" s="77" t="s">
        <v>168</v>
      </c>
      <c r="BA81" s="77" t="s">
        <v>724</v>
      </c>
      <c r="BB81" s="130">
        <v>0.2608695652173913</v>
      </c>
      <c r="BC81" s="72">
        <v>0.39644970414201186</v>
      </c>
      <c r="BD81" s="72">
        <v>0.66666666666666663</v>
      </c>
      <c r="BE81" s="77">
        <v>39</v>
      </c>
      <c r="BF81" s="28">
        <v>138</v>
      </c>
      <c r="BG81" s="28">
        <v>31</v>
      </c>
      <c r="BH81" s="28">
        <v>36</v>
      </c>
      <c r="BI81" s="28">
        <v>5</v>
      </c>
      <c r="BJ81" s="28">
        <v>0</v>
      </c>
      <c r="BK81" s="76">
        <v>17</v>
      </c>
      <c r="BL81" s="28">
        <v>37</v>
      </c>
      <c r="BM81" s="28">
        <v>31</v>
      </c>
      <c r="BN81" s="28">
        <v>41</v>
      </c>
      <c r="BO81" s="77">
        <v>0</v>
      </c>
      <c r="BP81" s="28">
        <v>1</v>
      </c>
      <c r="BQ81" s="28">
        <v>8</v>
      </c>
      <c r="BR81" s="77">
        <v>92</v>
      </c>
      <c r="BS81" s="72">
        <v>1.0631163708086784</v>
      </c>
      <c r="BT81" s="28">
        <v>5</v>
      </c>
      <c r="BU81" s="75">
        <v>79</v>
      </c>
    </row>
    <row r="82" spans="1:73">
      <c r="A82" s="101" t="s">
        <v>952</v>
      </c>
      <c r="B82" s="71" t="s">
        <v>308</v>
      </c>
      <c r="C82" s="74" t="s">
        <v>966</v>
      </c>
      <c r="D82" s="72">
        <f>VLOOKUP(Table88[[#This Row],[NAME]],STL_H[[NAME]:['#]],2,0)</f>
        <v>0.3</v>
      </c>
      <c r="E82" s="72">
        <f>VLOOKUP(Table88[[#This Row],[NAME]],STL_H[[NAME]:['#]],3,0)</f>
        <v>0.33333333333333331</v>
      </c>
      <c r="F82" s="72">
        <f>VLOOKUP(Table88[[#This Row],[NAME]],STL_H[[NAME]:['#]],4,0)</f>
        <v>0.55000000000000004</v>
      </c>
      <c r="G82" s="77">
        <f>VLOOKUP(Table88[[#This Row],[NAME]],STL_H[[NAME]:['#]],5,0)</f>
        <v>6</v>
      </c>
      <c r="H82" s="28">
        <f>VLOOKUP(Table88[[#This Row],[NAME]],STL_H[[NAME]:['#]],6,0)</f>
        <v>20</v>
      </c>
      <c r="I82" s="28">
        <f>VLOOKUP(Table88[[#This Row],[NAME]],STL_H[[NAME]:['#]],7,0)</f>
        <v>4</v>
      </c>
      <c r="J82" s="28">
        <f>VLOOKUP(Table88[[#This Row],[NAME]],STL_H[[NAME]:['#]],8,0)</f>
        <v>6</v>
      </c>
      <c r="K82" s="28">
        <f>VLOOKUP(Table88[[#This Row],[NAME]],STL_H[[NAME]:['#]],9,0)</f>
        <v>2</v>
      </c>
      <c r="L82" s="28">
        <f>VLOOKUP(Table88[[#This Row],[NAME]],STL_H[[NAME]:['#]],10,0)</f>
        <v>0</v>
      </c>
      <c r="M82" s="28">
        <f>VLOOKUP(Table88[[#This Row],[NAME]],STL_H[[NAME]:['#]],11,0)</f>
        <v>1</v>
      </c>
      <c r="N82" s="28">
        <f>VLOOKUP(Table88[[#This Row],[NAME]],STL_H[[NAME]:['#]],12,0)</f>
        <v>3</v>
      </c>
      <c r="O82" s="28">
        <f>VLOOKUP(Table88[[#This Row],[NAME]],STL_H[[NAME]:['#]],13,0)</f>
        <v>1</v>
      </c>
      <c r="P82" s="28">
        <f>VLOOKUP(Table88[[#This Row],[NAME]],STL_H[[NAME]:['#]],14,0)</f>
        <v>5</v>
      </c>
      <c r="Q82" s="77">
        <f>VLOOKUP(Table88[[#This Row],[NAME]],STL_H[[NAME]:['#]],15,0)</f>
        <v>0</v>
      </c>
      <c r="R82" s="28">
        <f>VLOOKUP(Table88[[#This Row],[NAME]],STL_H[[NAME]:['#]],16,0)</f>
        <v>1</v>
      </c>
      <c r="S82" s="28">
        <f>VLOOKUP(Table88[[#This Row],[NAME]],STL_H[[NAME]:['#]],17,0)</f>
        <v>2</v>
      </c>
      <c r="T82" s="77">
        <f>VLOOKUP(Table88[[#This Row],[NAME]],STL_H[[NAME]:['#]],18,0)</f>
        <v>11</v>
      </c>
      <c r="U82" s="72">
        <f>VLOOKUP(Table88[[#This Row],[NAME]],STL_H[[NAME]:['#]],19,0)</f>
        <v>0.8833333333333333</v>
      </c>
      <c r="V82" s="28">
        <f>VLOOKUP(Table88[[#This Row],[NAME]],STL_H[[NAME]:['#]],20,0)</f>
        <v>1</v>
      </c>
      <c r="W82" s="75">
        <v>80</v>
      </c>
      <c r="Z82" s="101" t="s">
        <v>952</v>
      </c>
      <c r="AA82" s="77" t="s">
        <v>179</v>
      </c>
      <c r="AB82" s="77" t="s">
        <v>968</v>
      </c>
      <c r="AC82" s="130">
        <v>0.14285714285714285</v>
      </c>
      <c r="AD82" s="72">
        <v>0.25</v>
      </c>
      <c r="AE82" s="72">
        <v>0.5714285714285714</v>
      </c>
      <c r="AF82" s="77">
        <v>3</v>
      </c>
      <c r="AG82" s="28">
        <v>7</v>
      </c>
      <c r="AH82" s="28">
        <v>1</v>
      </c>
      <c r="AI82" s="28">
        <v>1</v>
      </c>
      <c r="AJ82" s="28">
        <v>0</v>
      </c>
      <c r="AK82" s="28">
        <v>0</v>
      </c>
      <c r="AL82" s="28">
        <v>1</v>
      </c>
      <c r="AM82" s="28">
        <v>3</v>
      </c>
      <c r="AN82" s="28">
        <v>1</v>
      </c>
      <c r="AO82" s="28">
        <v>1</v>
      </c>
      <c r="AP82" s="77">
        <v>0</v>
      </c>
      <c r="AQ82" s="28">
        <v>1</v>
      </c>
      <c r="AR82" s="28">
        <v>1</v>
      </c>
      <c r="AS82" s="77">
        <v>4</v>
      </c>
      <c r="AT82" s="72">
        <v>0.8214285714285714</v>
      </c>
      <c r="AU82" s="90">
        <v>1</v>
      </c>
      <c r="AV82" s="75">
        <v>80</v>
      </c>
      <c r="AY82" s="101" t="s">
        <v>952</v>
      </c>
      <c r="AZ82" s="77" t="s">
        <v>179</v>
      </c>
      <c r="BA82" s="77" t="s">
        <v>968</v>
      </c>
      <c r="BB82" s="130">
        <v>0.22222222222222221</v>
      </c>
      <c r="BC82" s="72">
        <v>0.26315789473684209</v>
      </c>
      <c r="BD82" s="72">
        <v>0.33333333333333331</v>
      </c>
      <c r="BE82" s="77">
        <v>10</v>
      </c>
      <c r="BF82" s="28">
        <v>18</v>
      </c>
      <c r="BG82" s="28">
        <v>0</v>
      </c>
      <c r="BH82" s="28">
        <v>4</v>
      </c>
      <c r="BI82" s="28">
        <v>2</v>
      </c>
      <c r="BJ82" s="28">
        <v>0</v>
      </c>
      <c r="BK82" s="28">
        <v>0</v>
      </c>
      <c r="BL82" s="28">
        <v>0</v>
      </c>
      <c r="BM82" s="28">
        <v>1</v>
      </c>
      <c r="BN82" s="28">
        <v>5</v>
      </c>
      <c r="BO82" s="77">
        <v>0</v>
      </c>
      <c r="BP82" s="28">
        <v>1</v>
      </c>
      <c r="BQ82" s="28">
        <v>2</v>
      </c>
      <c r="BR82" s="77">
        <v>6</v>
      </c>
      <c r="BS82" s="72">
        <v>0.59649122807017541</v>
      </c>
      <c r="BT82" s="28">
        <v>0</v>
      </c>
      <c r="BU82" s="75">
        <v>80</v>
      </c>
    </row>
    <row r="83" spans="1:73">
      <c r="A83" s="101" t="s">
        <v>952</v>
      </c>
      <c r="B83" s="71" t="s">
        <v>192</v>
      </c>
      <c r="C83" s="74" t="s">
        <v>964</v>
      </c>
      <c r="D83" s="72">
        <f>VLOOKUP(Table88[[#This Row],[NAME]],STL_H[[NAME]:['#]],2,0)</f>
        <v>0.15189873417721519</v>
      </c>
      <c r="E83" s="72">
        <f>VLOOKUP(Table88[[#This Row],[NAME]],STL_H[[NAME]:['#]],3,0)</f>
        <v>0.22093023255813954</v>
      </c>
      <c r="F83" s="72">
        <f>VLOOKUP(Table88[[#This Row],[NAME]],STL_H[[NAME]:['#]],4,0)</f>
        <v>0.17721518987341772</v>
      </c>
      <c r="G83" s="77">
        <f>VLOOKUP(Table88[[#This Row],[NAME]],STL_H[[NAME]:['#]],5,0)</f>
        <v>23</v>
      </c>
      <c r="H83" s="28">
        <f>VLOOKUP(Table88[[#This Row],[NAME]],STL_H[[NAME]:['#]],6,0)</f>
        <v>79</v>
      </c>
      <c r="I83" s="28">
        <f>VLOOKUP(Table88[[#This Row],[NAME]],STL_H[[NAME]:['#]],7,0)</f>
        <v>5</v>
      </c>
      <c r="J83" s="28">
        <f>VLOOKUP(Table88[[#This Row],[NAME]],STL_H[[NAME]:['#]],8,0)</f>
        <v>12</v>
      </c>
      <c r="K83" s="28">
        <f>VLOOKUP(Table88[[#This Row],[NAME]],STL_H[[NAME]:['#]],9,0)</f>
        <v>2</v>
      </c>
      <c r="L83" s="28">
        <f>VLOOKUP(Table88[[#This Row],[NAME]],STL_H[[NAME]:['#]],10,0)</f>
        <v>0</v>
      </c>
      <c r="M83" s="28">
        <f>VLOOKUP(Table88[[#This Row],[NAME]],STL_H[[NAME]:['#]],11,0)</f>
        <v>0</v>
      </c>
      <c r="N83" s="28">
        <f>VLOOKUP(Table88[[#This Row],[NAME]],STL_H[[NAME]:['#]],12,0)</f>
        <v>3</v>
      </c>
      <c r="O83" s="28">
        <f>VLOOKUP(Table88[[#This Row],[NAME]],STL_H[[NAME]:['#]],13,0)</f>
        <v>7</v>
      </c>
      <c r="P83" s="28">
        <f>VLOOKUP(Table88[[#This Row],[NAME]],STL_H[[NAME]:['#]],14,0)</f>
        <v>20</v>
      </c>
      <c r="Q83" s="77">
        <f>VLOOKUP(Table88[[#This Row],[NAME]],STL_H[[NAME]:['#]],15,0)</f>
        <v>0</v>
      </c>
      <c r="R83" s="28">
        <f>VLOOKUP(Table88[[#This Row],[NAME]],STL_H[[NAME]:['#]],16,0)</f>
        <v>0</v>
      </c>
      <c r="S83" s="28">
        <f>VLOOKUP(Table88[[#This Row],[NAME]],STL_H[[NAME]:['#]],17,0)</f>
        <v>3</v>
      </c>
      <c r="T83" s="77">
        <f>VLOOKUP(Table88[[#This Row],[NAME]],STL_H[[NAME]:['#]],18,0)</f>
        <v>14</v>
      </c>
      <c r="U83" s="72">
        <f>VLOOKUP(Table88[[#This Row],[NAME]],STL_H[[NAME]:['#]],19,0)</f>
        <v>0.39814542243155726</v>
      </c>
      <c r="V83" s="28">
        <f>VLOOKUP(Table88[[#This Row],[NAME]],STL_H[[NAME]:['#]],20,0)</f>
        <v>0</v>
      </c>
      <c r="W83" s="75">
        <v>81</v>
      </c>
      <c r="Z83" s="101" t="s">
        <v>952</v>
      </c>
      <c r="AA83" s="77" t="s">
        <v>187</v>
      </c>
      <c r="AB83" s="77" t="s">
        <v>965</v>
      </c>
      <c r="AC83" s="130">
        <v>0.20930232558139536</v>
      </c>
      <c r="AD83" s="72">
        <v>0.29166666666666669</v>
      </c>
      <c r="AE83" s="72">
        <v>0.32558139534883723</v>
      </c>
      <c r="AF83" s="77">
        <v>13</v>
      </c>
      <c r="AG83" s="28">
        <v>43</v>
      </c>
      <c r="AH83" s="28">
        <v>5</v>
      </c>
      <c r="AI83" s="28">
        <v>9</v>
      </c>
      <c r="AJ83" s="28">
        <v>5</v>
      </c>
      <c r="AK83" s="28">
        <v>0</v>
      </c>
      <c r="AL83" s="28">
        <v>0</v>
      </c>
      <c r="AM83" s="28">
        <v>3</v>
      </c>
      <c r="AN83" s="28">
        <v>5</v>
      </c>
      <c r="AO83" s="28">
        <v>10</v>
      </c>
      <c r="AP83" s="77">
        <v>0</v>
      </c>
      <c r="AQ83" s="28">
        <v>1</v>
      </c>
      <c r="AR83" s="28">
        <v>5</v>
      </c>
      <c r="AS83" s="77">
        <v>14</v>
      </c>
      <c r="AT83" s="72">
        <v>0.61724806201550386</v>
      </c>
      <c r="AU83" s="90">
        <v>0</v>
      </c>
      <c r="AV83" s="75">
        <v>81</v>
      </c>
      <c r="AY83" s="101" t="s">
        <v>952</v>
      </c>
      <c r="AZ83" s="77" t="s">
        <v>187</v>
      </c>
      <c r="BA83" s="77" t="s">
        <v>965</v>
      </c>
      <c r="BB83" s="130">
        <v>0.23076923076923078</v>
      </c>
      <c r="BC83" s="72">
        <v>0.2982456140350877</v>
      </c>
      <c r="BD83" s="72">
        <v>0.46153846153846156</v>
      </c>
      <c r="BE83" s="77">
        <v>17</v>
      </c>
      <c r="BF83" s="28">
        <v>52</v>
      </c>
      <c r="BG83" s="28">
        <v>7</v>
      </c>
      <c r="BH83" s="28">
        <v>12</v>
      </c>
      <c r="BI83" s="28">
        <v>0</v>
      </c>
      <c r="BJ83" s="28">
        <v>0</v>
      </c>
      <c r="BK83" s="28">
        <v>4</v>
      </c>
      <c r="BL83" s="28">
        <v>9</v>
      </c>
      <c r="BM83" s="28">
        <v>5</v>
      </c>
      <c r="BN83" s="28">
        <v>14</v>
      </c>
      <c r="BO83" s="77">
        <v>0</v>
      </c>
      <c r="BP83" s="28">
        <v>2</v>
      </c>
      <c r="BQ83" s="28">
        <v>3</v>
      </c>
      <c r="BR83" s="77">
        <v>24</v>
      </c>
      <c r="BS83" s="72">
        <v>0.75978407557354921</v>
      </c>
      <c r="BT83" s="28">
        <v>0</v>
      </c>
      <c r="BU83" s="75">
        <v>81</v>
      </c>
    </row>
    <row r="84" spans="1:73">
      <c r="A84" s="101" t="s">
        <v>952</v>
      </c>
      <c r="B84" s="71" t="s">
        <v>186</v>
      </c>
      <c r="C84" s="28" t="s">
        <v>967</v>
      </c>
      <c r="D84" s="72">
        <f>VLOOKUP(Table88[[#This Row],[NAME]],STL_H[[NAME]:['#]],2,0)</f>
        <v>0.24</v>
      </c>
      <c r="E84" s="72">
        <f>VLOOKUP(Table88[[#This Row],[NAME]],STL_H[[NAME]:['#]],3,0)</f>
        <v>0.26923076923076922</v>
      </c>
      <c r="F84" s="72">
        <f>VLOOKUP(Table88[[#This Row],[NAME]],STL_H[[NAME]:['#]],4,0)</f>
        <v>0.4</v>
      </c>
      <c r="G84" s="77">
        <f>VLOOKUP(Table88[[#This Row],[NAME]],STL_H[[NAME]:['#]],5,0)</f>
        <v>7</v>
      </c>
      <c r="H84" s="28">
        <f>VLOOKUP(Table88[[#This Row],[NAME]],STL_H[[NAME]:['#]],6,0)</f>
        <v>25</v>
      </c>
      <c r="I84" s="28">
        <f>VLOOKUP(Table88[[#This Row],[NAME]],STL_H[[NAME]:['#]],7,0)</f>
        <v>1</v>
      </c>
      <c r="J84" s="28">
        <f>VLOOKUP(Table88[[#This Row],[NAME]],STL_H[[NAME]:['#]],8,0)</f>
        <v>6</v>
      </c>
      <c r="K84" s="28">
        <f>VLOOKUP(Table88[[#This Row],[NAME]],STL_H[[NAME]:['#]],9,0)</f>
        <v>0</v>
      </c>
      <c r="L84" s="28">
        <f>VLOOKUP(Table88[[#This Row],[NAME]],STL_H[[NAME]:['#]],10,0)</f>
        <v>2</v>
      </c>
      <c r="M84" s="28">
        <f>VLOOKUP(Table88[[#This Row],[NAME]],STL_H[[NAME]:['#]],11,0)</f>
        <v>0</v>
      </c>
      <c r="N84" s="28">
        <f>VLOOKUP(Table88[[#This Row],[NAME]],STL_H[[NAME]:['#]],12,0)</f>
        <v>2</v>
      </c>
      <c r="O84" s="28">
        <f>VLOOKUP(Table88[[#This Row],[NAME]],STL_H[[NAME]:['#]],13,0)</f>
        <v>1</v>
      </c>
      <c r="P84" s="28">
        <f>VLOOKUP(Table88[[#This Row],[NAME]],STL_H[[NAME]:['#]],14,0)</f>
        <v>6</v>
      </c>
      <c r="Q84" s="77">
        <f>VLOOKUP(Table88[[#This Row],[NAME]],STL_H[[NAME]:['#]],15,0)</f>
        <v>0</v>
      </c>
      <c r="R84" s="28">
        <f>VLOOKUP(Table88[[#This Row],[NAME]],STL_H[[NAME]:['#]],16,0)</f>
        <v>1</v>
      </c>
      <c r="S84" s="28">
        <f>VLOOKUP(Table88[[#This Row],[NAME]],STL_H[[NAME]:['#]],17,0)</f>
        <v>2</v>
      </c>
      <c r="T84" s="77">
        <f>VLOOKUP(Table88[[#This Row],[NAME]],STL_H[[NAME]:['#]],18,0)</f>
        <v>10</v>
      </c>
      <c r="U84" s="72">
        <f>VLOOKUP(Table88[[#This Row],[NAME]],STL_H[[NAME]:['#]],19,0)</f>
        <v>0.6692307692307693</v>
      </c>
      <c r="V84" s="28">
        <f>VLOOKUP(Table88[[#This Row],[NAME]],STL_H[[NAME]:['#]],20,0)</f>
        <v>0</v>
      </c>
      <c r="W84" s="75">
        <v>82</v>
      </c>
      <c r="Z84" s="101" t="s">
        <v>952</v>
      </c>
      <c r="AA84" s="77" t="s">
        <v>184</v>
      </c>
      <c r="AB84" s="77" t="s">
        <v>967</v>
      </c>
      <c r="AC84" s="130">
        <v>0.14285714285714285</v>
      </c>
      <c r="AD84" s="72">
        <v>0.25</v>
      </c>
      <c r="AE84" s="72">
        <v>0.14285714285714285</v>
      </c>
      <c r="AF84" s="77">
        <v>2</v>
      </c>
      <c r="AG84" s="28">
        <v>7</v>
      </c>
      <c r="AH84" s="28">
        <v>0</v>
      </c>
      <c r="AI84" s="28">
        <v>1</v>
      </c>
      <c r="AJ84" s="28">
        <v>0</v>
      </c>
      <c r="AK84" s="28">
        <v>0</v>
      </c>
      <c r="AL84" s="28">
        <v>0</v>
      </c>
      <c r="AM84" s="28">
        <v>1</v>
      </c>
      <c r="AN84" s="28">
        <v>1</v>
      </c>
      <c r="AO84" s="28">
        <v>1</v>
      </c>
      <c r="AP84" s="77">
        <v>0</v>
      </c>
      <c r="AQ84" s="28">
        <v>1</v>
      </c>
      <c r="AR84" s="28">
        <v>1</v>
      </c>
      <c r="AS84" s="77">
        <v>1</v>
      </c>
      <c r="AT84" s="72">
        <v>0.39285714285714285</v>
      </c>
      <c r="AU84" s="90">
        <v>0</v>
      </c>
      <c r="AV84" s="75">
        <v>82</v>
      </c>
      <c r="AY84" s="101" t="s">
        <v>952</v>
      </c>
      <c r="AZ84" s="77" t="s">
        <v>187</v>
      </c>
      <c r="BA84" s="77" t="s">
        <v>971</v>
      </c>
      <c r="BB84" s="130">
        <v>0.31034482758620691</v>
      </c>
      <c r="BC84" s="72">
        <v>0.35483870967741937</v>
      </c>
      <c r="BD84" s="72">
        <v>0.51724137931034486</v>
      </c>
      <c r="BE84" s="77">
        <v>16</v>
      </c>
      <c r="BF84" s="28">
        <v>29</v>
      </c>
      <c r="BG84" s="28">
        <v>5</v>
      </c>
      <c r="BH84" s="28">
        <v>9</v>
      </c>
      <c r="BI84" s="28">
        <v>1</v>
      </c>
      <c r="BJ84" s="28">
        <v>1</v>
      </c>
      <c r="BK84" s="28">
        <v>1</v>
      </c>
      <c r="BL84" s="28">
        <v>5</v>
      </c>
      <c r="BM84" s="28">
        <v>2</v>
      </c>
      <c r="BN84" s="28">
        <v>3</v>
      </c>
      <c r="BO84" s="77">
        <v>0</v>
      </c>
      <c r="BP84" s="28">
        <v>1</v>
      </c>
      <c r="BQ84" s="28">
        <v>2</v>
      </c>
      <c r="BR84" s="77">
        <v>15</v>
      </c>
      <c r="BS84" s="72">
        <v>0.87208008898776423</v>
      </c>
      <c r="BT84" s="28">
        <v>2</v>
      </c>
      <c r="BU84" s="75">
        <v>82</v>
      </c>
    </row>
    <row r="85" spans="1:73">
      <c r="A85" s="101" t="s">
        <v>952</v>
      </c>
      <c r="B85" s="71" t="s">
        <v>184</v>
      </c>
      <c r="C85" s="28" t="s">
        <v>969</v>
      </c>
      <c r="D85" s="72">
        <f>VLOOKUP(Table88[[#This Row],[NAME]],STL_H[[NAME]:['#]],2,0)</f>
        <v>0.25</v>
      </c>
      <c r="E85" s="72">
        <f>VLOOKUP(Table88[[#This Row],[NAME]],STL_H[[NAME]:['#]],3,0)</f>
        <v>0.30769230769230771</v>
      </c>
      <c r="F85" s="72">
        <f>VLOOKUP(Table88[[#This Row],[NAME]],STL_H[[NAME]:['#]],4,0)</f>
        <v>0.41666666666666669</v>
      </c>
      <c r="G85" s="77">
        <f>VLOOKUP(Table88[[#This Row],[NAME]],STL_H[[NAME]:['#]],5,0)</f>
        <v>8</v>
      </c>
      <c r="H85" s="28">
        <f>VLOOKUP(Table88[[#This Row],[NAME]],STL_H[[NAME]:['#]],6,0)</f>
        <v>24</v>
      </c>
      <c r="I85" s="28">
        <f>VLOOKUP(Table88[[#This Row],[NAME]],STL_H[[NAME]:['#]],7,0)</f>
        <v>3</v>
      </c>
      <c r="J85" s="28">
        <f>VLOOKUP(Table88[[#This Row],[NAME]],STL_H[[NAME]:['#]],8,0)</f>
        <v>6</v>
      </c>
      <c r="K85" s="28">
        <f>VLOOKUP(Table88[[#This Row],[NAME]],STL_H[[NAME]:['#]],9,0)</f>
        <v>1</v>
      </c>
      <c r="L85" s="28">
        <f>VLOOKUP(Table88[[#This Row],[NAME]],STL_H[[NAME]:['#]],10,0)</f>
        <v>0</v>
      </c>
      <c r="M85" s="28">
        <f>VLOOKUP(Table88[[#This Row],[NAME]],STL_H[[NAME]:['#]],11,0)</f>
        <v>1</v>
      </c>
      <c r="N85" s="28">
        <f>VLOOKUP(Table88[[#This Row],[NAME]],STL_H[[NAME]:['#]],12,0)</f>
        <v>1</v>
      </c>
      <c r="O85" s="28">
        <f>VLOOKUP(Table88[[#This Row],[NAME]],STL_H[[NAME]:['#]],13,0)</f>
        <v>2</v>
      </c>
      <c r="P85" s="28">
        <f>VLOOKUP(Table88[[#This Row],[NAME]],STL_H[[NAME]:['#]],14,0)</f>
        <v>6</v>
      </c>
      <c r="Q85" s="77">
        <f>VLOOKUP(Table88[[#This Row],[NAME]],STL_H[[NAME]:['#]],15,0)</f>
        <v>1</v>
      </c>
      <c r="R85" s="28">
        <f>VLOOKUP(Table88[[#This Row],[NAME]],STL_H[[NAME]:['#]],16,0)</f>
        <v>4</v>
      </c>
      <c r="S85" s="28">
        <f>VLOOKUP(Table88[[#This Row],[NAME]],STL_H[[NAME]:['#]],17,0)</f>
        <v>4</v>
      </c>
      <c r="T85" s="77">
        <f>VLOOKUP(Table88[[#This Row],[NAME]],STL_H[[NAME]:['#]],18,0)</f>
        <v>10</v>
      </c>
      <c r="U85" s="72">
        <f>VLOOKUP(Table88[[#This Row],[NAME]],STL_H[[NAME]:['#]],19,0)</f>
        <v>0.72435897435897445</v>
      </c>
      <c r="V85" s="28">
        <f>VLOOKUP(Table88[[#This Row],[NAME]],STL_H[[NAME]:['#]],20,0)</f>
        <v>0</v>
      </c>
      <c r="W85" s="75">
        <v>83</v>
      </c>
      <c r="Z85" s="101" t="s">
        <v>952</v>
      </c>
      <c r="AA85" s="77" t="s">
        <v>186</v>
      </c>
      <c r="AB85" s="77" t="s">
        <v>955</v>
      </c>
      <c r="AC85" s="130">
        <v>0.20289855072463769</v>
      </c>
      <c r="AD85" s="72">
        <v>0.21428571428571427</v>
      </c>
      <c r="AE85" s="72">
        <v>0.30434782608695654</v>
      </c>
      <c r="AF85" s="77">
        <v>19</v>
      </c>
      <c r="AG85" s="28">
        <v>69</v>
      </c>
      <c r="AH85" s="28">
        <v>4</v>
      </c>
      <c r="AI85" s="28">
        <v>14</v>
      </c>
      <c r="AJ85" s="28">
        <v>1</v>
      </c>
      <c r="AK85" s="28">
        <v>0</v>
      </c>
      <c r="AL85" s="28">
        <v>2</v>
      </c>
      <c r="AM85" s="28">
        <v>5</v>
      </c>
      <c r="AN85" s="28">
        <v>1</v>
      </c>
      <c r="AO85" s="28">
        <v>16</v>
      </c>
      <c r="AP85" s="77">
        <v>0</v>
      </c>
      <c r="AQ85" s="28">
        <v>5</v>
      </c>
      <c r="AR85" s="28">
        <v>5</v>
      </c>
      <c r="AS85" s="77">
        <v>21</v>
      </c>
      <c r="AT85" s="72">
        <v>0.51863354037267084</v>
      </c>
      <c r="AU85" s="28">
        <v>1</v>
      </c>
      <c r="AV85" s="75">
        <v>83</v>
      </c>
      <c r="AY85" s="101" t="s">
        <v>952</v>
      </c>
      <c r="AZ85" s="77" t="s">
        <v>186</v>
      </c>
      <c r="BA85" s="77" t="s">
        <v>956</v>
      </c>
      <c r="BB85" s="130">
        <v>0.2857142857142857</v>
      </c>
      <c r="BC85" s="72">
        <v>0.35185185185185186</v>
      </c>
      <c r="BD85" s="72">
        <v>0.34693877551020408</v>
      </c>
      <c r="BE85" s="77">
        <v>17</v>
      </c>
      <c r="BF85" s="28">
        <v>49</v>
      </c>
      <c r="BG85" s="28">
        <v>3</v>
      </c>
      <c r="BH85" s="28">
        <v>14</v>
      </c>
      <c r="BI85" s="28">
        <v>3</v>
      </c>
      <c r="BJ85" s="28">
        <v>0</v>
      </c>
      <c r="BK85" s="28">
        <v>0</v>
      </c>
      <c r="BL85" s="28">
        <v>9</v>
      </c>
      <c r="BM85" s="28">
        <v>5</v>
      </c>
      <c r="BN85" s="28">
        <v>9</v>
      </c>
      <c r="BO85" s="77">
        <v>0</v>
      </c>
      <c r="BP85" s="28">
        <v>0</v>
      </c>
      <c r="BQ85" s="28">
        <v>7</v>
      </c>
      <c r="BR85" s="77">
        <v>17</v>
      </c>
      <c r="BS85" s="72">
        <v>0.69879062736205588</v>
      </c>
      <c r="BT85" s="28">
        <v>0</v>
      </c>
      <c r="BU85" s="75">
        <v>83</v>
      </c>
    </row>
    <row r="86" spans="1:73">
      <c r="A86" s="101" t="s">
        <v>952</v>
      </c>
      <c r="B86" s="71" t="s">
        <v>186</v>
      </c>
      <c r="C86" s="77" t="s">
        <v>970</v>
      </c>
      <c r="D86" s="72">
        <f>VLOOKUP(Table88[[#This Row],[NAME]],STL_H[[NAME]:['#]],2,0)</f>
        <v>0.16666666666666666</v>
      </c>
      <c r="E86" s="72">
        <f>VLOOKUP(Table88[[#This Row],[NAME]],STL_H[[NAME]:['#]],3,0)</f>
        <v>0.21052631578947367</v>
      </c>
      <c r="F86" s="72">
        <f>VLOOKUP(Table88[[#This Row],[NAME]],STL_H[[NAME]:['#]],4,0)</f>
        <v>0.33333333333333331</v>
      </c>
      <c r="G86" s="77">
        <f>VLOOKUP(Table88[[#This Row],[NAME]],STL_H[[NAME]:['#]],5,0)</f>
        <v>4</v>
      </c>
      <c r="H86" s="28">
        <f>VLOOKUP(Table88[[#This Row],[NAME]],STL_H[[NAME]:['#]],6,0)</f>
        <v>18</v>
      </c>
      <c r="I86" s="28">
        <f>VLOOKUP(Table88[[#This Row],[NAME]],STL_H[[NAME]:['#]],7,0)</f>
        <v>2</v>
      </c>
      <c r="J86" s="28">
        <f>VLOOKUP(Table88[[#This Row],[NAME]],STL_H[[NAME]:['#]],8,0)</f>
        <v>3</v>
      </c>
      <c r="K86" s="28">
        <f>VLOOKUP(Table88[[#This Row],[NAME]],STL_H[[NAME]:['#]],9,0)</f>
        <v>0</v>
      </c>
      <c r="L86" s="28">
        <f>VLOOKUP(Table88[[#This Row],[NAME]],STL_H[[NAME]:['#]],10,0)</f>
        <v>0</v>
      </c>
      <c r="M86" s="28">
        <f>VLOOKUP(Table88[[#This Row],[NAME]],STL_H[[NAME]:['#]],11,0)</f>
        <v>1</v>
      </c>
      <c r="N86" s="28">
        <f>VLOOKUP(Table88[[#This Row],[NAME]],STL_H[[NAME]:['#]],12,0)</f>
        <v>2</v>
      </c>
      <c r="O86" s="28">
        <f>VLOOKUP(Table88[[#This Row],[NAME]],STL_H[[NAME]:['#]],13,0)</f>
        <v>1</v>
      </c>
      <c r="P86" s="28">
        <f>VLOOKUP(Table88[[#This Row],[NAME]],STL_H[[NAME]:['#]],14,0)</f>
        <v>3</v>
      </c>
      <c r="Q86" s="77">
        <f>VLOOKUP(Table88[[#This Row],[NAME]],STL_H[[NAME]:['#]],15,0)</f>
        <v>0</v>
      </c>
      <c r="R86" s="28">
        <f>VLOOKUP(Table88[[#This Row],[NAME]],STL_H[[NAME]:['#]],16,0)</f>
        <v>0</v>
      </c>
      <c r="S86" s="28">
        <f>VLOOKUP(Table88[[#This Row],[NAME]],STL_H[[NAME]:['#]],17,0)</f>
        <v>1</v>
      </c>
      <c r="T86" s="77">
        <f>VLOOKUP(Table88[[#This Row],[NAME]],STL_H[[NAME]:['#]],18,0)</f>
        <v>6</v>
      </c>
      <c r="U86" s="72">
        <f>VLOOKUP(Table88[[#This Row],[NAME]],STL_H[[NAME]:['#]],19,0)</f>
        <v>0.54385964912280693</v>
      </c>
      <c r="V86" s="28">
        <f>VLOOKUP(Table88[[#This Row],[NAME]],STL_H[[NAME]:['#]],20,0)</f>
        <v>0</v>
      </c>
      <c r="W86" s="75">
        <v>84</v>
      </c>
      <c r="Z86" s="101" t="s">
        <v>952</v>
      </c>
      <c r="AA86" s="77" t="s">
        <v>184</v>
      </c>
      <c r="AB86" s="77" t="s">
        <v>2170</v>
      </c>
      <c r="AC86" s="130">
        <v>0.42857142857142855</v>
      </c>
      <c r="AD86" s="72">
        <v>0.5</v>
      </c>
      <c r="AE86" s="72">
        <v>0.5714285714285714</v>
      </c>
      <c r="AF86" s="77">
        <v>2</v>
      </c>
      <c r="AG86" s="28">
        <v>7</v>
      </c>
      <c r="AH86" s="28">
        <v>2</v>
      </c>
      <c r="AI86" s="28">
        <v>3</v>
      </c>
      <c r="AJ86" s="28">
        <v>1</v>
      </c>
      <c r="AK86" s="28">
        <v>0</v>
      </c>
      <c r="AL86" s="28">
        <v>0</v>
      </c>
      <c r="AM86" s="28">
        <v>0</v>
      </c>
      <c r="AN86" s="28">
        <v>1</v>
      </c>
      <c r="AO86" s="28">
        <v>3</v>
      </c>
      <c r="AP86" s="77">
        <v>0</v>
      </c>
      <c r="AQ86" s="28">
        <v>1</v>
      </c>
      <c r="AR86" s="28">
        <v>1</v>
      </c>
      <c r="AS86" s="77">
        <v>4</v>
      </c>
      <c r="AT86" s="72">
        <v>1.0714285714285714</v>
      </c>
      <c r="AU86" s="90">
        <v>0</v>
      </c>
      <c r="AV86" s="75">
        <v>84</v>
      </c>
      <c r="AY86" s="101" t="s">
        <v>952</v>
      </c>
      <c r="AZ86" s="77" t="s">
        <v>184</v>
      </c>
      <c r="BA86" s="77" t="s">
        <v>962</v>
      </c>
      <c r="BB86" s="130">
        <v>0.14893617021276595</v>
      </c>
      <c r="BC86" s="72">
        <v>0.2</v>
      </c>
      <c r="BD86" s="72">
        <v>0.34042553191489361</v>
      </c>
      <c r="BE86" s="77">
        <v>20</v>
      </c>
      <c r="BF86" s="28">
        <v>47</v>
      </c>
      <c r="BG86" s="28">
        <v>7</v>
      </c>
      <c r="BH86" s="28">
        <v>7</v>
      </c>
      <c r="BI86" s="28">
        <v>1</v>
      </c>
      <c r="BJ86" s="28">
        <v>1</v>
      </c>
      <c r="BK86" s="28">
        <v>2</v>
      </c>
      <c r="BL86" s="28">
        <v>7</v>
      </c>
      <c r="BM86" s="28">
        <v>3</v>
      </c>
      <c r="BN86" s="28">
        <v>8</v>
      </c>
      <c r="BO86" s="77">
        <v>1</v>
      </c>
      <c r="BP86" s="28">
        <v>0</v>
      </c>
      <c r="BQ86" s="28">
        <v>2</v>
      </c>
      <c r="BR86" s="77">
        <v>16</v>
      </c>
      <c r="BS86" s="72">
        <v>0.54042553191489362</v>
      </c>
      <c r="BT86" s="28">
        <v>0</v>
      </c>
      <c r="BU86" s="75">
        <v>84</v>
      </c>
    </row>
    <row r="87" spans="1:73">
      <c r="A87" s="101" t="s">
        <v>990</v>
      </c>
      <c r="B87" s="71" t="s">
        <v>179</v>
      </c>
      <c r="C87" s="28" t="s">
        <v>1000</v>
      </c>
      <c r="D87" s="72">
        <f>VLOOKUP(Table88[[#This Row],[NAME]],CHC_C[[NAME]:['#]],2,0)</f>
        <v>0.25210084033613445</v>
      </c>
      <c r="E87" s="72">
        <f>VLOOKUP(Table88[[#This Row],[NAME]],CHC_C[[NAME]:['#]],3,0)</f>
        <v>0.31007751937984496</v>
      </c>
      <c r="F87" s="72">
        <f>VLOOKUP(Table88[[#This Row],[NAME]],CHC_C[[NAME]:['#]],4,0)</f>
        <v>0.36134453781512604</v>
      </c>
      <c r="G87" s="77">
        <f>VLOOKUP(Table88[[#This Row],[NAME]],CHC_C[[NAME]:['#]],5,0)</f>
        <v>33</v>
      </c>
      <c r="H87" s="28">
        <f>VLOOKUP(Table88[[#This Row],[NAME]],CHC_C[[NAME]:['#]],6,0)</f>
        <v>119</v>
      </c>
      <c r="I87" s="28">
        <f>VLOOKUP(Table88[[#This Row],[NAME]],CHC_C[[NAME]:['#]],7,0)</f>
        <v>9</v>
      </c>
      <c r="J87" s="28">
        <f>VLOOKUP(Table88[[#This Row],[NAME]],CHC_C[[NAME]:['#]],8,0)</f>
        <v>30</v>
      </c>
      <c r="K87" s="28">
        <f>VLOOKUP(Table88[[#This Row],[NAME]],CHC_C[[NAME]:['#]],9,0)</f>
        <v>7</v>
      </c>
      <c r="L87" s="28">
        <f>VLOOKUP(Table88[[#This Row],[NAME]],CHC_C[[NAME]:['#]],10,0)</f>
        <v>0</v>
      </c>
      <c r="M87" s="28">
        <f>VLOOKUP(Table88[[#This Row],[NAME]],CHC_C[[NAME]:['#]],11,0)</f>
        <v>2</v>
      </c>
      <c r="N87" s="28">
        <f>VLOOKUP(Table88[[#This Row],[NAME]],CHC_C[[NAME]:['#]],12,0)</f>
        <v>14</v>
      </c>
      <c r="O87" s="28">
        <f>VLOOKUP(Table88[[#This Row],[NAME]],CHC_C[[NAME]:['#]],13,0)</f>
        <v>10</v>
      </c>
      <c r="P87" s="28">
        <f>VLOOKUP(Table88[[#This Row],[NAME]],CHC_C[[NAME]:['#]],14,0)</f>
        <v>33</v>
      </c>
      <c r="Q87" s="77">
        <f>VLOOKUP(Table88[[#This Row],[NAME]],CHC_C[[NAME]:['#]],15,0)</f>
        <v>0</v>
      </c>
      <c r="R87" s="28">
        <f>VLOOKUP(Table88[[#This Row],[NAME]],CHC_C[[NAME]:['#]],16,0)</f>
        <v>2</v>
      </c>
      <c r="S87" s="28">
        <f>VLOOKUP(Table88[[#This Row],[NAME]],CHC_C[[NAME]:['#]],17,0)</f>
        <v>3</v>
      </c>
      <c r="T87" s="77">
        <f>VLOOKUP(Table88[[#This Row],[NAME]],CHC_C[[NAME]:['#]],18,0)</f>
        <v>43</v>
      </c>
      <c r="U87" s="72">
        <f>VLOOKUP(Table88[[#This Row],[NAME]],CHC_C[[NAME]:['#]],19,0)</f>
        <v>0.67142205719497094</v>
      </c>
      <c r="V87" s="28">
        <f>VLOOKUP(Table88[[#This Row],[NAME]],CHC_C[[NAME]:['#]],20,0)</f>
        <v>2</v>
      </c>
      <c r="W87" s="75">
        <v>85</v>
      </c>
      <c r="Z87" s="101" t="s">
        <v>990</v>
      </c>
      <c r="AA87" s="77" t="s">
        <v>179</v>
      </c>
      <c r="AB87" s="77" t="s">
        <v>1000</v>
      </c>
      <c r="AC87" s="130">
        <v>0.20689655172413793</v>
      </c>
      <c r="AD87" s="72">
        <v>0.25806451612903225</v>
      </c>
      <c r="AE87" s="72">
        <v>0.34482758620689657</v>
      </c>
      <c r="AF87" s="77">
        <v>38</v>
      </c>
      <c r="AG87" s="28">
        <v>145</v>
      </c>
      <c r="AH87" s="28">
        <v>16</v>
      </c>
      <c r="AI87" s="28">
        <v>30</v>
      </c>
      <c r="AJ87" s="28">
        <v>5</v>
      </c>
      <c r="AK87" s="28">
        <v>0</v>
      </c>
      <c r="AL87" s="28">
        <v>5</v>
      </c>
      <c r="AM87" s="28">
        <v>12</v>
      </c>
      <c r="AN87" s="28">
        <v>10</v>
      </c>
      <c r="AO87" s="28">
        <v>54</v>
      </c>
      <c r="AP87" s="77">
        <v>0</v>
      </c>
      <c r="AQ87" s="28">
        <v>1</v>
      </c>
      <c r="AR87" s="28">
        <v>5</v>
      </c>
      <c r="AS87" s="77">
        <v>50</v>
      </c>
      <c r="AT87" s="72">
        <v>0.60289210233592883</v>
      </c>
      <c r="AU87" s="28">
        <v>3</v>
      </c>
      <c r="AV87" s="75">
        <v>85</v>
      </c>
      <c r="AY87" s="101" t="s">
        <v>990</v>
      </c>
      <c r="AZ87" s="77" t="s">
        <v>179</v>
      </c>
      <c r="BA87" s="77" t="s">
        <v>1000</v>
      </c>
      <c r="BB87" s="130">
        <v>0.21848739495798319</v>
      </c>
      <c r="BC87" s="72">
        <v>0.2846153846153846</v>
      </c>
      <c r="BD87" s="72">
        <v>0.38655462184873951</v>
      </c>
      <c r="BE87" s="77">
        <v>34</v>
      </c>
      <c r="BF87" s="28">
        <v>119</v>
      </c>
      <c r="BG87" s="28">
        <v>18</v>
      </c>
      <c r="BH87" s="28">
        <v>26</v>
      </c>
      <c r="BI87" s="28">
        <v>8</v>
      </c>
      <c r="BJ87" s="28">
        <v>0</v>
      </c>
      <c r="BK87" s="28">
        <v>4</v>
      </c>
      <c r="BL87" s="28">
        <v>15</v>
      </c>
      <c r="BM87" s="28">
        <v>11</v>
      </c>
      <c r="BN87" s="28">
        <v>35</v>
      </c>
      <c r="BO87" s="77">
        <v>0</v>
      </c>
      <c r="BP87" s="28">
        <v>1</v>
      </c>
      <c r="BQ87" s="28">
        <v>4</v>
      </c>
      <c r="BR87" s="77">
        <v>46</v>
      </c>
      <c r="BS87" s="72">
        <v>0.67117000646412417</v>
      </c>
      <c r="BT87" s="28">
        <v>4</v>
      </c>
      <c r="BU87" s="75">
        <v>85</v>
      </c>
    </row>
    <row r="88" spans="1:73">
      <c r="A88" s="101" t="s">
        <v>990</v>
      </c>
      <c r="B88" s="71" t="s">
        <v>349</v>
      </c>
      <c r="C88" s="74" t="s">
        <v>1001</v>
      </c>
      <c r="D88" s="72">
        <f>VLOOKUP(Table88[[#This Row],[NAME]],CHC_C[[NAME]:['#]],2,0)</f>
        <v>0.22</v>
      </c>
      <c r="E88" s="72">
        <f>VLOOKUP(Table88[[#This Row],[NAME]],CHC_C[[NAME]:['#]],3,0)</f>
        <v>0.27777777777777779</v>
      </c>
      <c r="F88" s="72">
        <f>VLOOKUP(Table88[[#This Row],[NAME]],CHC_C[[NAME]:['#]],4,0)</f>
        <v>0.33</v>
      </c>
      <c r="G88" s="77">
        <f>VLOOKUP(Table88[[#This Row],[NAME]],CHC_C[[NAME]:['#]],5,0)</f>
        <v>28</v>
      </c>
      <c r="H88" s="28">
        <f>VLOOKUP(Table88[[#This Row],[NAME]],CHC_C[[NAME]:['#]],6,0)</f>
        <v>100</v>
      </c>
      <c r="I88" s="28">
        <f>VLOOKUP(Table88[[#This Row],[NAME]],CHC_C[[NAME]:['#]],7,0)</f>
        <v>9</v>
      </c>
      <c r="J88" s="28">
        <f>VLOOKUP(Table88[[#This Row],[NAME]],CHC_C[[NAME]:['#]],8,0)</f>
        <v>22</v>
      </c>
      <c r="K88" s="28">
        <f>VLOOKUP(Table88[[#This Row],[NAME]],CHC_C[[NAME]:['#]],9,0)</f>
        <v>2</v>
      </c>
      <c r="L88" s="28">
        <f>VLOOKUP(Table88[[#This Row],[NAME]],CHC_C[[NAME]:['#]],10,0)</f>
        <v>0</v>
      </c>
      <c r="M88" s="28">
        <f>VLOOKUP(Table88[[#This Row],[NAME]],CHC_C[[NAME]:['#]],11,0)</f>
        <v>3</v>
      </c>
      <c r="N88" s="28">
        <f>VLOOKUP(Table88[[#This Row],[NAME]],CHC_C[[NAME]:['#]],12,0)</f>
        <v>10</v>
      </c>
      <c r="O88" s="28">
        <f>VLOOKUP(Table88[[#This Row],[NAME]],CHC_C[[NAME]:['#]],13,0)</f>
        <v>8</v>
      </c>
      <c r="P88" s="28">
        <f>VLOOKUP(Table88[[#This Row],[NAME]],CHC_C[[NAME]:['#]],14,0)</f>
        <v>27</v>
      </c>
      <c r="Q88" s="77">
        <f>VLOOKUP(Table88[[#This Row],[NAME]],CHC_C[[NAME]:['#]],15,0)</f>
        <v>0</v>
      </c>
      <c r="R88" s="28">
        <f>VLOOKUP(Table88[[#This Row],[NAME]],CHC_C[[NAME]:['#]],16,0)</f>
        <v>4</v>
      </c>
      <c r="S88" s="28">
        <f>VLOOKUP(Table88[[#This Row],[NAME]],CHC_C[[NAME]:['#]],17,0)</f>
        <v>4</v>
      </c>
      <c r="T88" s="77">
        <f>VLOOKUP(Table88[[#This Row],[NAME]],CHC_C[[NAME]:['#]],18,0)</f>
        <v>33</v>
      </c>
      <c r="U88" s="72">
        <f>VLOOKUP(Table88[[#This Row],[NAME]],CHC_C[[NAME]:['#]],19,0)</f>
        <v>0.60777777777777775</v>
      </c>
      <c r="V88" s="28">
        <f>VLOOKUP(Table88[[#This Row],[NAME]],CHC_C[[NAME]:['#]],20,0)</f>
        <v>0</v>
      </c>
      <c r="W88" s="75">
        <v>86</v>
      </c>
      <c r="Z88" s="101" t="s">
        <v>990</v>
      </c>
      <c r="AA88" s="77" t="s">
        <v>154</v>
      </c>
      <c r="AB88" s="77" t="s">
        <v>1003</v>
      </c>
      <c r="AC88" s="130">
        <v>9.7560975609756101E-2</v>
      </c>
      <c r="AD88" s="72">
        <v>0.17777777777777778</v>
      </c>
      <c r="AE88" s="72">
        <v>0.17073170731707318</v>
      </c>
      <c r="AF88" s="77">
        <v>11</v>
      </c>
      <c r="AG88" s="28">
        <v>41</v>
      </c>
      <c r="AH88" s="28">
        <v>3</v>
      </c>
      <c r="AI88" s="28">
        <v>4</v>
      </c>
      <c r="AJ88" s="28">
        <v>0</v>
      </c>
      <c r="AK88" s="28">
        <v>0</v>
      </c>
      <c r="AL88" s="28">
        <v>1</v>
      </c>
      <c r="AM88" s="28">
        <v>1</v>
      </c>
      <c r="AN88" s="28">
        <v>4</v>
      </c>
      <c r="AO88" s="28">
        <v>17</v>
      </c>
      <c r="AP88" s="77">
        <v>0</v>
      </c>
      <c r="AQ88" s="28">
        <v>0</v>
      </c>
      <c r="AR88" s="28">
        <v>2</v>
      </c>
      <c r="AS88" s="77">
        <v>7</v>
      </c>
      <c r="AT88" s="72">
        <v>0.34850948509485097</v>
      </c>
      <c r="AU88" s="28">
        <v>0</v>
      </c>
      <c r="AV88" s="75">
        <v>86</v>
      </c>
      <c r="AY88" s="101" t="s">
        <v>990</v>
      </c>
      <c r="AZ88" s="77" t="s">
        <v>154</v>
      </c>
      <c r="BA88" s="77" t="s">
        <v>997</v>
      </c>
      <c r="BB88" s="130">
        <v>0.21739130434782608</v>
      </c>
      <c r="BC88" s="72">
        <v>0.32075471698113206</v>
      </c>
      <c r="BD88" s="72">
        <v>0.41304347826086957</v>
      </c>
      <c r="BE88" s="77">
        <v>38</v>
      </c>
      <c r="BF88" s="28">
        <v>138</v>
      </c>
      <c r="BG88" s="28">
        <v>18</v>
      </c>
      <c r="BH88" s="28">
        <v>30</v>
      </c>
      <c r="BI88" s="28">
        <v>6</v>
      </c>
      <c r="BJ88" s="28">
        <v>0</v>
      </c>
      <c r="BK88" s="28">
        <v>7</v>
      </c>
      <c r="BL88" s="28">
        <v>18</v>
      </c>
      <c r="BM88" s="28">
        <v>21</v>
      </c>
      <c r="BN88" s="28">
        <v>49</v>
      </c>
      <c r="BO88" s="77">
        <v>0</v>
      </c>
      <c r="BP88" s="28">
        <v>1</v>
      </c>
      <c r="BQ88" s="28">
        <v>4</v>
      </c>
      <c r="BR88" s="77">
        <v>57</v>
      </c>
      <c r="BS88" s="72">
        <v>0.73379819524200163</v>
      </c>
      <c r="BT88" s="28">
        <v>1</v>
      </c>
      <c r="BU88" s="75">
        <v>86</v>
      </c>
    </row>
    <row r="89" spans="1:73">
      <c r="A89" s="101" t="s">
        <v>990</v>
      </c>
      <c r="B89" s="71" t="s">
        <v>172</v>
      </c>
      <c r="C89" s="74" t="s">
        <v>999</v>
      </c>
      <c r="D89" s="72">
        <f>VLOOKUP(Table88[[#This Row],[NAME]],CHC_C[[NAME]:['#]],2,0)</f>
        <v>0.17266187050359713</v>
      </c>
      <c r="E89" s="72">
        <f>VLOOKUP(Table88[[#This Row],[NAME]],CHC_C[[NAME]:['#]],3,0)</f>
        <v>0.20689655172413793</v>
      </c>
      <c r="F89" s="72">
        <f>VLOOKUP(Table88[[#This Row],[NAME]],CHC_C[[NAME]:['#]],4,0)</f>
        <v>0.23741007194244604</v>
      </c>
      <c r="G89" s="77">
        <f>VLOOKUP(Table88[[#This Row],[NAME]],CHC_C[[NAME]:['#]],5,0)</f>
        <v>40</v>
      </c>
      <c r="H89" s="28">
        <f>VLOOKUP(Table88[[#This Row],[NAME]],CHC_C[[NAME]:['#]],6,0)</f>
        <v>139</v>
      </c>
      <c r="I89" s="28">
        <f>VLOOKUP(Table88[[#This Row],[NAME]],CHC_C[[NAME]:['#]],7,0)</f>
        <v>11</v>
      </c>
      <c r="J89" s="28">
        <f>VLOOKUP(Table88[[#This Row],[NAME]],CHC_C[[NAME]:['#]],8,0)</f>
        <v>24</v>
      </c>
      <c r="K89" s="28">
        <f>VLOOKUP(Table88[[#This Row],[NAME]],CHC_C[[NAME]:['#]],9,0)</f>
        <v>3</v>
      </c>
      <c r="L89" s="28">
        <f>VLOOKUP(Table88[[#This Row],[NAME]],CHC_C[[NAME]:['#]],10,0)</f>
        <v>0</v>
      </c>
      <c r="M89" s="28">
        <f>VLOOKUP(Table88[[#This Row],[NAME]],CHC_C[[NAME]:['#]],11,0)</f>
        <v>2</v>
      </c>
      <c r="N89" s="28">
        <f>VLOOKUP(Table88[[#This Row],[NAME]],CHC_C[[NAME]:['#]],12,0)</f>
        <v>9</v>
      </c>
      <c r="O89" s="28">
        <f>VLOOKUP(Table88[[#This Row],[NAME]],CHC_C[[NAME]:['#]],13,0)</f>
        <v>6</v>
      </c>
      <c r="P89" s="28">
        <f>VLOOKUP(Table88[[#This Row],[NAME]],CHC_C[[NAME]:['#]],14,0)</f>
        <v>33</v>
      </c>
      <c r="Q89" s="77">
        <f>VLOOKUP(Table88[[#This Row],[NAME]],CHC_C[[NAME]:['#]],15,0)</f>
        <v>2</v>
      </c>
      <c r="R89" s="28">
        <f>VLOOKUP(Table88[[#This Row],[NAME]],CHC_C[[NAME]:['#]],16,0)</f>
        <v>3</v>
      </c>
      <c r="S89" s="28">
        <f>VLOOKUP(Table88[[#This Row],[NAME]],CHC_C[[NAME]:['#]],17,0)</f>
        <v>7</v>
      </c>
      <c r="T89" s="77">
        <f>VLOOKUP(Table88[[#This Row],[NAME]],CHC_C[[NAME]:['#]],18,0)</f>
        <v>33</v>
      </c>
      <c r="U89" s="72">
        <f>VLOOKUP(Table88[[#This Row],[NAME]],CHC_C[[NAME]:['#]],19,0)</f>
        <v>0.44430662366658397</v>
      </c>
      <c r="V89" s="28">
        <f>VLOOKUP(Table88[[#This Row],[NAME]],CHC_C[[NAME]:['#]],20,0)</f>
        <v>0</v>
      </c>
      <c r="W89" s="75">
        <v>87</v>
      </c>
      <c r="Z89" s="101" t="s">
        <v>990</v>
      </c>
      <c r="AA89" s="77" t="s">
        <v>172</v>
      </c>
      <c r="AB89" s="77" t="s">
        <v>999</v>
      </c>
      <c r="AC89" s="130">
        <v>0.23448275862068965</v>
      </c>
      <c r="AD89" s="72">
        <v>0.3105590062111801</v>
      </c>
      <c r="AE89" s="72">
        <v>0.35172413793103446</v>
      </c>
      <c r="AF89" s="77">
        <v>40</v>
      </c>
      <c r="AG89" s="28">
        <v>145</v>
      </c>
      <c r="AH89" s="28">
        <v>15</v>
      </c>
      <c r="AI89" s="28">
        <v>34</v>
      </c>
      <c r="AJ89" s="28">
        <v>7</v>
      </c>
      <c r="AK89" s="28">
        <v>2</v>
      </c>
      <c r="AL89" s="28">
        <v>2</v>
      </c>
      <c r="AM89" s="28">
        <v>19</v>
      </c>
      <c r="AN89" s="28">
        <v>16</v>
      </c>
      <c r="AO89" s="28">
        <v>25</v>
      </c>
      <c r="AP89" s="77">
        <v>4</v>
      </c>
      <c r="AQ89" s="28">
        <v>2</v>
      </c>
      <c r="AR89" s="28">
        <v>3</v>
      </c>
      <c r="AS89" s="77">
        <v>51</v>
      </c>
      <c r="AT89" s="72">
        <v>0.66228314414221456</v>
      </c>
      <c r="AU89" s="28">
        <v>1</v>
      </c>
      <c r="AV89" s="75">
        <v>87</v>
      </c>
      <c r="AY89" s="101" t="s">
        <v>990</v>
      </c>
      <c r="AZ89" s="77" t="s">
        <v>172</v>
      </c>
      <c r="BA89" s="77" t="s">
        <v>469</v>
      </c>
      <c r="BB89" s="130">
        <v>0.24827586206896551</v>
      </c>
      <c r="BC89" s="72">
        <v>0.28758169934640521</v>
      </c>
      <c r="BD89" s="72">
        <v>0.42758620689655175</v>
      </c>
      <c r="BE89" s="77">
        <v>37</v>
      </c>
      <c r="BF89" s="28">
        <v>145</v>
      </c>
      <c r="BG89" s="28">
        <v>17</v>
      </c>
      <c r="BH89" s="28">
        <v>36</v>
      </c>
      <c r="BI89" s="28">
        <v>6</v>
      </c>
      <c r="BJ89" s="28">
        <v>1</v>
      </c>
      <c r="BK89" s="28">
        <v>6</v>
      </c>
      <c r="BL89" s="28">
        <v>16</v>
      </c>
      <c r="BM89" s="28">
        <v>8</v>
      </c>
      <c r="BN89" s="28">
        <v>43</v>
      </c>
      <c r="BO89" s="77">
        <v>0</v>
      </c>
      <c r="BP89" s="28">
        <v>0</v>
      </c>
      <c r="BQ89" s="28">
        <v>6</v>
      </c>
      <c r="BR89" s="77">
        <v>62</v>
      </c>
      <c r="BS89" s="72">
        <v>0.71516790624295701</v>
      </c>
      <c r="BT89" s="28">
        <v>0</v>
      </c>
      <c r="BU89" s="75">
        <v>87</v>
      </c>
    </row>
    <row r="90" spans="1:73">
      <c r="A90" s="101" t="s">
        <v>990</v>
      </c>
      <c r="B90" s="71" t="s">
        <v>153</v>
      </c>
      <c r="C90" s="74" t="s">
        <v>995</v>
      </c>
      <c r="D90" s="72">
        <f>VLOOKUP(Table88[[#This Row],[NAME]],CHC_C[[NAME]:['#]],2,0)</f>
        <v>0.24852071005917159</v>
      </c>
      <c r="E90" s="72">
        <f>VLOOKUP(Table88[[#This Row],[NAME]],CHC_C[[NAME]:['#]],3,0)</f>
        <v>0.30219780219780218</v>
      </c>
      <c r="F90" s="72">
        <f>VLOOKUP(Table88[[#This Row],[NAME]],CHC_C[[NAME]:['#]],4,0)</f>
        <v>0.34911242603550297</v>
      </c>
      <c r="G90" s="77">
        <f>VLOOKUP(Table88[[#This Row],[NAME]],CHC_C[[NAME]:['#]],5,0)</f>
        <v>40</v>
      </c>
      <c r="H90" s="28">
        <f>VLOOKUP(Table88[[#This Row],[NAME]],CHC_C[[NAME]:['#]],6,0)</f>
        <v>169</v>
      </c>
      <c r="I90" s="28">
        <f>VLOOKUP(Table88[[#This Row],[NAME]],CHC_C[[NAME]:['#]],7,0)</f>
        <v>13</v>
      </c>
      <c r="J90" s="28">
        <f>VLOOKUP(Table88[[#This Row],[NAME]],CHC_C[[NAME]:['#]],8,0)</f>
        <v>42</v>
      </c>
      <c r="K90" s="28">
        <f>VLOOKUP(Table88[[#This Row],[NAME]],CHC_C[[NAME]:['#]],9,0)</f>
        <v>7</v>
      </c>
      <c r="L90" s="28">
        <f>VLOOKUP(Table88[[#This Row],[NAME]],CHC_C[[NAME]:['#]],10,0)</f>
        <v>2</v>
      </c>
      <c r="M90" s="28">
        <f>VLOOKUP(Table88[[#This Row],[NAME]],CHC_C[[NAME]:['#]],11,0)</f>
        <v>2</v>
      </c>
      <c r="N90" s="28">
        <f>VLOOKUP(Table88[[#This Row],[NAME]],CHC_C[[NAME]:['#]],12,0)</f>
        <v>10</v>
      </c>
      <c r="O90" s="28">
        <f>VLOOKUP(Table88[[#This Row],[NAME]],CHC_C[[NAME]:['#]],13,0)</f>
        <v>13</v>
      </c>
      <c r="P90" s="28">
        <f>VLOOKUP(Table88[[#This Row],[NAME]],CHC_C[[NAME]:['#]],14,0)</f>
        <v>38</v>
      </c>
      <c r="Q90" s="77">
        <f>VLOOKUP(Table88[[#This Row],[NAME]],CHC_C[[NAME]:['#]],15,0)</f>
        <v>7</v>
      </c>
      <c r="R90" s="28">
        <f>VLOOKUP(Table88[[#This Row],[NAME]],CHC_C[[NAME]:['#]],16,0)</f>
        <v>1</v>
      </c>
      <c r="S90" s="28">
        <f>VLOOKUP(Table88[[#This Row],[NAME]],CHC_C[[NAME]:['#]],17,0)</f>
        <v>4</v>
      </c>
      <c r="T90" s="77">
        <f>VLOOKUP(Table88[[#This Row],[NAME]],CHC_C[[NAME]:['#]],18,0)</f>
        <v>59</v>
      </c>
      <c r="U90" s="72">
        <f>VLOOKUP(Table88[[#This Row],[NAME]],CHC_C[[NAME]:['#]],19,0)</f>
        <v>0.6513102282333052</v>
      </c>
      <c r="V90" s="28">
        <f>VLOOKUP(Table88[[#This Row],[NAME]],CHC_C[[NAME]:['#]],20,0)</f>
        <v>4</v>
      </c>
      <c r="W90" s="75">
        <v>88</v>
      </c>
      <c r="Z90" s="101" t="s">
        <v>990</v>
      </c>
      <c r="AA90" s="352" t="s">
        <v>153</v>
      </c>
      <c r="AB90" s="77" t="s">
        <v>995</v>
      </c>
      <c r="AC90" s="130">
        <v>0.27932960893854747</v>
      </c>
      <c r="AD90" s="72">
        <v>0.33505154639175255</v>
      </c>
      <c r="AE90" s="72">
        <v>0.47486033519553073</v>
      </c>
      <c r="AF90" s="77">
        <v>40</v>
      </c>
      <c r="AG90" s="76">
        <v>179</v>
      </c>
      <c r="AH90" s="28">
        <v>24</v>
      </c>
      <c r="AI90" s="28">
        <v>50</v>
      </c>
      <c r="AJ90" s="28">
        <v>7</v>
      </c>
      <c r="AK90" s="28">
        <v>2</v>
      </c>
      <c r="AL90" s="28">
        <v>8</v>
      </c>
      <c r="AM90" s="28">
        <v>30</v>
      </c>
      <c r="AN90" s="28">
        <v>15</v>
      </c>
      <c r="AO90" s="28">
        <v>33</v>
      </c>
      <c r="AP90" s="77">
        <v>6</v>
      </c>
      <c r="AQ90" s="28">
        <v>2</v>
      </c>
      <c r="AR90" s="28">
        <v>9</v>
      </c>
      <c r="AS90" s="77">
        <v>85</v>
      </c>
      <c r="AT90" s="72">
        <v>0.80991188158728322</v>
      </c>
      <c r="AU90" s="76">
        <v>6</v>
      </c>
      <c r="AV90" s="75">
        <v>88</v>
      </c>
      <c r="AY90" s="101" t="s">
        <v>990</v>
      </c>
      <c r="AZ90" s="77" t="s">
        <v>153</v>
      </c>
      <c r="BA90" s="77" t="s">
        <v>995</v>
      </c>
      <c r="BB90" s="130">
        <v>0.22500000000000001</v>
      </c>
      <c r="BC90" s="72">
        <v>0.2832369942196532</v>
      </c>
      <c r="BD90" s="72">
        <v>0.38124999999999998</v>
      </c>
      <c r="BE90" s="77">
        <v>38</v>
      </c>
      <c r="BF90" s="28">
        <v>160</v>
      </c>
      <c r="BG90" s="28">
        <v>20</v>
      </c>
      <c r="BH90" s="28">
        <v>36</v>
      </c>
      <c r="BI90" s="28">
        <v>6</v>
      </c>
      <c r="BJ90" s="28">
        <v>2</v>
      </c>
      <c r="BK90" s="28">
        <v>5</v>
      </c>
      <c r="BL90" s="28">
        <v>12</v>
      </c>
      <c r="BM90" s="28">
        <v>13</v>
      </c>
      <c r="BN90" s="28">
        <v>38</v>
      </c>
      <c r="BO90" s="77">
        <v>2</v>
      </c>
      <c r="BP90" s="28">
        <v>0</v>
      </c>
      <c r="BQ90" s="28">
        <v>14</v>
      </c>
      <c r="BR90" s="77">
        <v>61</v>
      </c>
      <c r="BS90" s="72">
        <v>0.66448699421965318</v>
      </c>
      <c r="BT90" s="28">
        <v>1</v>
      </c>
      <c r="BU90" s="75">
        <v>88</v>
      </c>
    </row>
    <row r="91" spans="1:73">
      <c r="A91" s="101" t="s">
        <v>990</v>
      </c>
      <c r="B91" s="71" t="s">
        <v>177</v>
      </c>
      <c r="C91" s="74" t="s">
        <v>991</v>
      </c>
      <c r="D91" s="72">
        <f>VLOOKUP(Table88[[#This Row],[NAME]],CHC_C[[NAME]:['#]],2,0)</f>
        <v>0.27891156462585032</v>
      </c>
      <c r="E91" s="72">
        <f>VLOOKUP(Table88[[#This Row],[NAME]],CHC_C[[NAME]:['#]],3,0)</f>
        <v>0.36144578313253012</v>
      </c>
      <c r="F91" s="72">
        <f>VLOOKUP(Table88[[#This Row],[NAME]],CHC_C[[NAME]:['#]],4,0)</f>
        <v>0.51700680272108845</v>
      </c>
      <c r="G91" s="77">
        <f>VLOOKUP(Table88[[#This Row],[NAME]],CHC_C[[NAME]:['#]],5,0)</f>
        <v>39</v>
      </c>
      <c r="H91" s="28">
        <f>VLOOKUP(Table88[[#This Row],[NAME]],CHC_C[[NAME]:['#]],6,0)</f>
        <v>147</v>
      </c>
      <c r="I91" s="28">
        <f>VLOOKUP(Table88[[#This Row],[NAME]],CHC_C[[NAME]:['#]],7,0)</f>
        <v>18</v>
      </c>
      <c r="J91" s="28">
        <f>VLOOKUP(Table88[[#This Row],[NAME]],CHC_C[[NAME]:['#]],8,0)</f>
        <v>41</v>
      </c>
      <c r="K91" s="28">
        <f>VLOOKUP(Table88[[#This Row],[NAME]],CHC_C[[NAME]:['#]],9,0)</f>
        <v>11</v>
      </c>
      <c r="L91" s="28">
        <f>VLOOKUP(Table88[[#This Row],[NAME]],CHC_C[[NAME]:['#]],10,0)</f>
        <v>0</v>
      </c>
      <c r="M91" s="28">
        <f>VLOOKUP(Table88[[#This Row],[NAME]],CHC_C[[NAME]:['#]],11,0)</f>
        <v>8</v>
      </c>
      <c r="N91" s="28">
        <f>VLOOKUP(Table88[[#This Row],[NAME]],CHC_C[[NAME]:['#]],12,0)</f>
        <v>26</v>
      </c>
      <c r="O91" s="28">
        <f>VLOOKUP(Table88[[#This Row],[NAME]],CHC_C[[NAME]:['#]],13,0)</f>
        <v>19</v>
      </c>
      <c r="P91" s="28">
        <f>VLOOKUP(Table88[[#This Row],[NAME]],CHC_C[[NAME]:['#]],14,0)</f>
        <v>36</v>
      </c>
      <c r="Q91" s="77">
        <f>VLOOKUP(Table88[[#This Row],[NAME]],CHC_C[[NAME]:['#]],15,0)</f>
        <v>0</v>
      </c>
      <c r="R91" s="28">
        <f>VLOOKUP(Table88[[#This Row],[NAME]],CHC_C[[NAME]:['#]],16,0)</f>
        <v>2</v>
      </c>
      <c r="S91" s="28">
        <f>VLOOKUP(Table88[[#This Row],[NAME]],CHC_C[[NAME]:['#]],17,0)</f>
        <v>4</v>
      </c>
      <c r="T91" s="77">
        <f>VLOOKUP(Table88[[#This Row],[NAME]],CHC_C[[NAME]:['#]],18,0)</f>
        <v>76</v>
      </c>
      <c r="U91" s="72">
        <f>VLOOKUP(Table88[[#This Row],[NAME]],CHC_C[[NAME]:['#]],19,0)</f>
        <v>0.87845258585361852</v>
      </c>
      <c r="V91" s="28">
        <f>VLOOKUP(Table88[[#This Row],[NAME]],CHC_C[[NAME]:['#]],20,0)</f>
        <v>3</v>
      </c>
      <c r="W91" s="75">
        <v>89</v>
      </c>
      <c r="Z91" s="101" t="s">
        <v>990</v>
      </c>
      <c r="AA91" s="77" t="s">
        <v>177</v>
      </c>
      <c r="AB91" s="77" t="s">
        <v>991</v>
      </c>
      <c r="AC91" s="130">
        <v>0.34355828220858897</v>
      </c>
      <c r="AD91" s="72">
        <v>0.39204545454545453</v>
      </c>
      <c r="AE91" s="72">
        <v>0.57055214723926384</v>
      </c>
      <c r="AF91" s="77">
        <v>40</v>
      </c>
      <c r="AG91" s="28">
        <v>163</v>
      </c>
      <c r="AH91" s="28">
        <v>23</v>
      </c>
      <c r="AI91" s="76">
        <v>56</v>
      </c>
      <c r="AJ91" s="28">
        <v>16</v>
      </c>
      <c r="AK91" s="28">
        <v>0</v>
      </c>
      <c r="AL91" s="28">
        <v>7</v>
      </c>
      <c r="AM91" s="28">
        <v>22</v>
      </c>
      <c r="AN91" s="28">
        <v>13</v>
      </c>
      <c r="AO91" s="28">
        <v>36</v>
      </c>
      <c r="AP91" s="77">
        <v>0</v>
      </c>
      <c r="AQ91" s="28">
        <v>4</v>
      </c>
      <c r="AR91" s="28">
        <v>11</v>
      </c>
      <c r="AS91" s="77">
        <v>93</v>
      </c>
      <c r="AT91" s="72">
        <v>0.96259760178471843</v>
      </c>
      <c r="AU91" s="28">
        <v>1</v>
      </c>
      <c r="AV91" s="75">
        <v>89</v>
      </c>
      <c r="AY91" s="101" t="s">
        <v>990</v>
      </c>
      <c r="AZ91" s="77" t="s">
        <v>177</v>
      </c>
      <c r="BA91" s="77" t="s">
        <v>991</v>
      </c>
      <c r="BB91" s="130">
        <v>0.22535211267605634</v>
      </c>
      <c r="BC91" s="72">
        <v>0.29936305732484075</v>
      </c>
      <c r="BD91" s="72">
        <v>0.40845070422535212</v>
      </c>
      <c r="BE91" s="77">
        <v>37</v>
      </c>
      <c r="BF91" s="28">
        <v>142</v>
      </c>
      <c r="BG91" s="28">
        <v>19</v>
      </c>
      <c r="BH91" s="28">
        <v>32</v>
      </c>
      <c r="BI91" s="28">
        <v>5</v>
      </c>
      <c r="BJ91" s="28">
        <v>0</v>
      </c>
      <c r="BK91" s="28">
        <v>7</v>
      </c>
      <c r="BL91" s="28">
        <v>20</v>
      </c>
      <c r="BM91" s="28">
        <v>15</v>
      </c>
      <c r="BN91" s="28">
        <v>31</v>
      </c>
      <c r="BO91" s="77">
        <v>0</v>
      </c>
      <c r="BP91" s="28">
        <v>1</v>
      </c>
      <c r="BQ91" s="28">
        <v>9</v>
      </c>
      <c r="BR91" s="77">
        <v>58</v>
      </c>
      <c r="BS91" s="72">
        <v>0.70781376155019293</v>
      </c>
      <c r="BT91" s="28">
        <v>3</v>
      </c>
      <c r="BU91" s="75">
        <v>89</v>
      </c>
    </row>
    <row r="92" spans="1:73">
      <c r="A92" s="101" t="s">
        <v>990</v>
      </c>
      <c r="B92" s="71" t="s">
        <v>174</v>
      </c>
      <c r="C92" s="74" t="s">
        <v>993</v>
      </c>
      <c r="D92" s="72">
        <f>VLOOKUP(Table88[[#This Row],[NAME]],CHC_C[[NAME]:['#]],2,0)</f>
        <v>0.23776223776223776</v>
      </c>
      <c r="E92" s="72">
        <f>VLOOKUP(Table88[[#This Row],[NAME]],CHC_C[[NAME]:['#]],3,0)</f>
        <v>0.31446540880503143</v>
      </c>
      <c r="F92" s="72">
        <f>VLOOKUP(Table88[[#This Row],[NAME]],CHC_C[[NAME]:['#]],4,0)</f>
        <v>0.45454545454545453</v>
      </c>
      <c r="G92" s="77">
        <f>VLOOKUP(Table88[[#This Row],[NAME]],CHC_C[[NAME]:['#]],5,0)</f>
        <v>36</v>
      </c>
      <c r="H92" s="28">
        <f>VLOOKUP(Table88[[#This Row],[NAME]],CHC_C[[NAME]:['#]],6,0)</f>
        <v>143</v>
      </c>
      <c r="I92" s="28">
        <f>VLOOKUP(Table88[[#This Row],[NAME]],CHC_C[[NAME]:['#]],7,0)</f>
        <v>22</v>
      </c>
      <c r="J92" s="28">
        <f>VLOOKUP(Table88[[#This Row],[NAME]],CHC_C[[NAME]:['#]],8,0)</f>
        <v>34</v>
      </c>
      <c r="K92" s="28">
        <f>VLOOKUP(Table88[[#This Row],[NAME]],CHC_C[[NAME]:['#]],9,0)</f>
        <v>7</v>
      </c>
      <c r="L92" s="28">
        <f>VLOOKUP(Table88[[#This Row],[NAME]],CHC_C[[NAME]:['#]],10,0)</f>
        <v>3</v>
      </c>
      <c r="M92" s="28">
        <f>VLOOKUP(Table88[[#This Row],[NAME]],CHC_C[[NAME]:['#]],11,0)</f>
        <v>6</v>
      </c>
      <c r="N92" s="28">
        <f>VLOOKUP(Table88[[#This Row],[NAME]],CHC_C[[NAME]:['#]],12,0)</f>
        <v>14</v>
      </c>
      <c r="O92" s="28">
        <f>VLOOKUP(Table88[[#This Row],[NAME]],CHC_C[[NAME]:['#]],13,0)</f>
        <v>16</v>
      </c>
      <c r="P92" s="28">
        <f>VLOOKUP(Table88[[#This Row],[NAME]],CHC_C[[NAME]:['#]],14,0)</f>
        <v>43</v>
      </c>
      <c r="Q92" s="77">
        <f>VLOOKUP(Table88[[#This Row],[NAME]],CHC_C[[NAME]:['#]],15,0)</f>
        <v>0</v>
      </c>
      <c r="R92" s="28">
        <f>VLOOKUP(Table88[[#This Row],[NAME]],CHC_C[[NAME]:['#]],16,0)</f>
        <v>8</v>
      </c>
      <c r="S92" s="28">
        <f>VLOOKUP(Table88[[#This Row],[NAME]],CHC_C[[NAME]:['#]],17,0)</f>
        <v>8</v>
      </c>
      <c r="T92" s="77">
        <f>VLOOKUP(Table88[[#This Row],[NAME]],CHC_C[[NAME]:['#]],18,0)</f>
        <v>65</v>
      </c>
      <c r="U92" s="72">
        <f>VLOOKUP(Table88[[#This Row],[NAME]],CHC_C[[NAME]:['#]],19,0)</f>
        <v>0.76901086335048596</v>
      </c>
      <c r="V92" s="28">
        <f>VLOOKUP(Table88[[#This Row],[NAME]],CHC_C[[NAME]:['#]],20,0)</f>
        <v>3</v>
      </c>
      <c r="W92" s="75">
        <v>90</v>
      </c>
      <c r="Z92" s="101" t="s">
        <v>990</v>
      </c>
      <c r="AA92" s="77" t="s">
        <v>174</v>
      </c>
      <c r="AB92" s="77" t="s">
        <v>996</v>
      </c>
      <c r="AC92" s="130">
        <v>0.2389937106918239</v>
      </c>
      <c r="AD92" s="72">
        <v>0.28823529411764703</v>
      </c>
      <c r="AE92" s="72">
        <v>0.47169811320754718</v>
      </c>
      <c r="AF92" s="77">
        <v>38</v>
      </c>
      <c r="AG92" s="28">
        <v>159</v>
      </c>
      <c r="AH92" s="28">
        <v>15</v>
      </c>
      <c r="AI92" s="28">
        <v>38</v>
      </c>
      <c r="AJ92" s="28">
        <v>11</v>
      </c>
      <c r="AK92" s="28">
        <v>1</v>
      </c>
      <c r="AL92" s="28">
        <v>8</v>
      </c>
      <c r="AM92" s="28">
        <v>17</v>
      </c>
      <c r="AN92" s="28">
        <v>11</v>
      </c>
      <c r="AO92" s="28">
        <v>44</v>
      </c>
      <c r="AP92" s="77">
        <v>0</v>
      </c>
      <c r="AQ92" s="28">
        <v>3</v>
      </c>
      <c r="AR92" s="28">
        <v>5</v>
      </c>
      <c r="AS92" s="77">
        <v>75</v>
      </c>
      <c r="AT92" s="72">
        <v>0.75993340732519421</v>
      </c>
      <c r="AU92" s="28">
        <v>1</v>
      </c>
      <c r="AV92" s="75">
        <v>90</v>
      </c>
      <c r="AY92" s="101" t="s">
        <v>990</v>
      </c>
      <c r="AZ92" s="77" t="s">
        <v>174</v>
      </c>
      <c r="BA92" s="77" t="s">
        <v>993</v>
      </c>
      <c r="BB92" s="130">
        <v>0.24193548387096775</v>
      </c>
      <c r="BC92" s="72">
        <v>0.27692307692307694</v>
      </c>
      <c r="BD92" s="72">
        <v>0.40322580645161288</v>
      </c>
      <c r="BE92" s="77">
        <v>31</v>
      </c>
      <c r="BF92" s="28">
        <v>124</v>
      </c>
      <c r="BG92" s="28">
        <v>13</v>
      </c>
      <c r="BH92" s="28">
        <v>30</v>
      </c>
      <c r="BI92" s="28">
        <v>5</v>
      </c>
      <c r="BJ92" s="28">
        <v>0</v>
      </c>
      <c r="BK92" s="28">
        <v>5</v>
      </c>
      <c r="BL92" s="28">
        <v>13</v>
      </c>
      <c r="BM92" s="28">
        <v>6</v>
      </c>
      <c r="BN92" s="28">
        <v>44</v>
      </c>
      <c r="BO92" s="77">
        <v>0</v>
      </c>
      <c r="BP92" s="28">
        <v>1</v>
      </c>
      <c r="BQ92" s="28">
        <v>7</v>
      </c>
      <c r="BR92" s="77">
        <v>50</v>
      </c>
      <c r="BS92" s="72">
        <v>0.68014888337468982</v>
      </c>
      <c r="BT92" s="28">
        <v>1</v>
      </c>
      <c r="BU92" s="75">
        <v>90</v>
      </c>
    </row>
    <row r="93" spans="1:73">
      <c r="A93" s="101" t="s">
        <v>990</v>
      </c>
      <c r="B93" s="71" t="s">
        <v>181</v>
      </c>
      <c r="C93" s="74" t="s">
        <v>998</v>
      </c>
      <c r="D93" s="72">
        <f>VLOOKUP(Table88[[#This Row],[NAME]],CHC_C[[NAME]:['#]],2,0)</f>
        <v>0.22302158273381295</v>
      </c>
      <c r="E93" s="72">
        <f>VLOOKUP(Table88[[#This Row],[NAME]],CHC_C[[NAME]:['#]],3,0)</f>
        <v>0.32075471698113206</v>
      </c>
      <c r="F93" s="72">
        <f>VLOOKUP(Table88[[#This Row],[NAME]],CHC_C[[NAME]:['#]],4,0)</f>
        <v>0.33093525179856115</v>
      </c>
      <c r="G93" s="77">
        <f>VLOOKUP(Table88[[#This Row],[NAME]],CHC_C[[NAME]:['#]],5,0)</f>
        <v>36</v>
      </c>
      <c r="H93" s="28">
        <f>VLOOKUP(Table88[[#This Row],[NAME]],CHC_C[[NAME]:['#]],6,0)</f>
        <v>139</v>
      </c>
      <c r="I93" s="28">
        <f>VLOOKUP(Table88[[#This Row],[NAME]],CHC_C[[NAME]:['#]],7,0)</f>
        <v>16</v>
      </c>
      <c r="J93" s="28">
        <f>VLOOKUP(Table88[[#This Row],[NAME]],CHC_C[[NAME]:['#]],8,0)</f>
        <v>31</v>
      </c>
      <c r="K93" s="28">
        <f>VLOOKUP(Table88[[#This Row],[NAME]],CHC_C[[NAME]:['#]],9,0)</f>
        <v>2</v>
      </c>
      <c r="L93" s="28">
        <f>VLOOKUP(Table88[[#This Row],[NAME]],CHC_C[[NAME]:['#]],10,0)</f>
        <v>2</v>
      </c>
      <c r="M93" s="28">
        <f>VLOOKUP(Table88[[#This Row],[NAME]],CHC_C[[NAME]:['#]],11,0)</f>
        <v>3</v>
      </c>
      <c r="N93" s="28">
        <f>VLOOKUP(Table88[[#This Row],[NAME]],CHC_C[[NAME]:['#]],12,0)</f>
        <v>12</v>
      </c>
      <c r="O93" s="28">
        <f>VLOOKUP(Table88[[#This Row],[NAME]],CHC_C[[NAME]:['#]],13,0)</f>
        <v>20</v>
      </c>
      <c r="P93" s="28">
        <f>VLOOKUP(Table88[[#This Row],[NAME]],CHC_C[[NAME]:['#]],14,0)</f>
        <v>34</v>
      </c>
      <c r="Q93" s="77">
        <f>VLOOKUP(Table88[[#This Row],[NAME]],CHC_C[[NAME]:['#]],15,0)</f>
        <v>0</v>
      </c>
      <c r="R93" s="28">
        <f>VLOOKUP(Table88[[#This Row],[NAME]],CHC_C[[NAME]:['#]],16,0)</f>
        <v>0</v>
      </c>
      <c r="S93" s="28">
        <f>VLOOKUP(Table88[[#This Row],[NAME]],CHC_C[[NAME]:['#]],17,0)</f>
        <v>9</v>
      </c>
      <c r="T93" s="77">
        <f>VLOOKUP(Table88[[#This Row],[NAME]],CHC_C[[NAME]:['#]],18,0)</f>
        <v>46</v>
      </c>
      <c r="U93" s="72">
        <f>VLOOKUP(Table88[[#This Row],[NAME]],CHC_C[[NAME]:['#]],19,0)</f>
        <v>0.65168996877969321</v>
      </c>
      <c r="V93" s="28">
        <f>VLOOKUP(Table88[[#This Row],[NAME]],CHC_C[[NAME]:['#]],20,0)</f>
        <v>1</v>
      </c>
      <c r="W93" s="75">
        <v>91</v>
      </c>
      <c r="Z93" s="101" t="s">
        <v>990</v>
      </c>
      <c r="AA93" s="77" t="s">
        <v>181</v>
      </c>
      <c r="AB93" s="77" t="s">
        <v>993</v>
      </c>
      <c r="AC93" s="130">
        <v>0.24836601307189543</v>
      </c>
      <c r="AD93" s="72">
        <v>0.33139534883720928</v>
      </c>
      <c r="AE93" s="72">
        <v>0.47058823529411764</v>
      </c>
      <c r="AF93" s="77">
        <v>38</v>
      </c>
      <c r="AG93" s="28">
        <v>153</v>
      </c>
      <c r="AH93" s="28">
        <v>19</v>
      </c>
      <c r="AI93" s="28">
        <v>38</v>
      </c>
      <c r="AJ93" s="28">
        <v>4</v>
      </c>
      <c r="AK93" s="28">
        <v>0</v>
      </c>
      <c r="AL93" s="28">
        <v>10</v>
      </c>
      <c r="AM93" s="28">
        <v>18</v>
      </c>
      <c r="AN93" s="28">
        <v>19</v>
      </c>
      <c r="AO93" s="28">
        <v>45</v>
      </c>
      <c r="AP93" s="77">
        <v>0</v>
      </c>
      <c r="AQ93" s="28">
        <v>2</v>
      </c>
      <c r="AR93" s="28">
        <v>12</v>
      </c>
      <c r="AS93" s="77">
        <v>72</v>
      </c>
      <c r="AT93" s="72">
        <v>0.80198358413132698</v>
      </c>
      <c r="AU93" s="28">
        <v>3</v>
      </c>
      <c r="AV93" s="75">
        <v>91</v>
      </c>
      <c r="AY93" s="101" t="s">
        <v>990</v>
      </c>
      <c r="AZ93" s="77" t="s">
        <v>181</v>
      </c>
      <c r="BA93" s="77" t="s">
        <v>994</v>
      </c>
      <c r="BB93" s="130">
        <v>0.1984126984126984</v>
      </c>
      <c r="BC93" s="72">
        <v>0.28368794326241137</v>
      </c>
      <c r="BD93" s="72">
        <v>0.37301587301587302</v>
      </c>
      <c r="BE93" s="77">
        <v>37</v>
      </c>
      <c r="BF93" s="28">
        <v>126</v>
      </c>
      <c r="BG93" s="28">
        <v>16</v>
      </c>
      <c r="BH93" s="28">
        <v>25</v>
      </c>
      <c r="BI93" s="28">
        <v>3</v>
      </c>
      <c r="BJ93" s="28">
        <v>2</v>
      </c>
      <c r="BK93" s="28">
        <v>5</v>
      </c>
      <c r="BL93" s="28">
        <v>16</v>
      </c>
      <c r="BM93" s="28">
        <v>15</v>
      </c>
      <c r="BN93" s="28">
        <v>25</v>
      </c>
      <c r="BO93" s="77">
        <v>0</v>
      </c>
      <c r="BP93" s="28">
        <v>0</v>
      </c>
      <c r="BQ93" s="28">
        <v>5</v>
      </c>
      <c r="BR93" s="77">
        <v>47</v>
      </c>
      <c r="BS93" s="72">
        <v>0.65670381627828434</v>
      </c>
      <c r="BT93" s="28">
        <v>0</v>
      </c>
      <c r="BU93" s="75">
        <v>91</v>
      </c>
    </row>
    <row r="94" spans="1:73">
      <c r="A94" s="101" t="s">
        <v>990</v>
      </c>
      <c r="B94" s="71" t="s">
        <v>166</v>
      </c>
      <c r="C94" s="74" t="s">
        <v>994</v>
      </c>
      <c r="D94" s="72">
        <f>VLOOKUP(Table88[[#This Row],[NAME]],CHC_C[[NAME]:['#]],2,0)</f>
        <v>0.27067669172932329</v>
      </c>
      <c r="E94" s="72">
        <f>VLOOKUP(Table88[[#This Row],[NAME]],CHC_C[[NAME]:['#]],3,0)</f>
        <v>0.34899328859060402</v>
      </c>
      <c r="F94" s="72">
        <f>VLOOKUP(Table88[[#This Row],[NAME]],CHC_C[[NAME]:['#]],4,0)</f>
        <v>0.48872180451127817</v>
      </c>
      <c r="G94" s="77">
        <f>VLOOKUP(Table88[[#This Row],[NAME]],CHC_C[[NAME]:['#]],5,0)</f>
        <v>38</v>
      </c>
      <c r="H94" s="28">
        <f>VLOOKUP(Table88[[#This Row],[NAME]],CHC_C[[NAME]:['#]],6,0)</f>
        <v>133</v>
      </c>
      <c r="I94" s="28">
        <f>VLOOKUP(Table88[[#This Row],[NAME]],CHC_C[[NAME]:['#]],7,0)</f>
        <v>12</v>
      </c>
      <c r="J94" s="28">
        <f>VLOOKUP(Table88[[#This Row],[NAME]],CHC_C[[NAME]:['#]],8,0)</f>
        <v>36</v>
      </c>
      <c r="K94" s="28">
        <f>VLOOKUP(Table88[[#This Row],[NAME]],CHC_C[[NAME]:['#]],9,0)</f>
        <v>8</v>
      </c>
      <c r="L94" s="28">
        <f>VLOOKUP(Table88[[#This Row],[NAME]],CHC_C[[NAME]:['#]],10,0)</f>
        <v>3</v>
      </c>
      <c r="M94" s="28">
        <f>VLOOKUP(Table88[[#This Row],[NAME]],CHC_C[[NAME]:['#]],11,0)</f>
        <v>5</v>
      </c>
      <c r="N94" s="28">
        <f>VLOOKUP(Table88[[#This Row],[NAME]],CHC_C[[NAME]:['#]],12,0)</f>
        <v>15</v>
      </c>
      <c r="O94" s="28">
        <f>VLOOKUP(Table88[[#This Row],[NAME]],CHC_C[[NAME]:['#]],13,0)</f>
        <v>16</v>
      </c>
      <c r="P94" s="28">
        <f>VLOOKUP(Table88[[#This Row],[NAME]],CHC_C[[NAME]:['#]],14,0)</f>
        <v>40</v>
      </c>
      <c r="Q94" s="77">
        <f>VLOOKUP(Table88[[#This Row],[NAME]],CHC_C[[NAME]:['#]],15,0)</f>
        <v>0</v>
      </c>
      <c r="R94" s="28">
        <f>VLOOKUP(Table88[[#This Row],[NAME]],CHC_C[[NAME]:['#]],16,0)</f>
        <v>1</v>
      </c>
      <c r="S94" s="28">
        <f>VLOOKUP(Table88[[#This Row],[NAME]],CHC_C[[NAME]:['#]],17,0)</f>
        <v>5</v>
      </c>
      <c r="T94" s="77">
        <f>VLOOKUP(Table88[[#This Row],[NAME]],CHC_C[[NAME]:['#]],18,0)</f>
        <v>65</v>
      </c>
      <c r="U94" s="72">
        <f>VLOOKUP(Table88[[#This Row],[NAME]],CHC_C[[NAME]:['#]],19,0)</f>
        <v>0.83771509310188219</v>
      </c>
      <c r="V94" s="28">
        <f>VLOOKUP(Table88[[#This Row],[NAME]],CHC_C[[NAME]:['#]],20,0)</f>
        <v>2</v>
      </c>
      <c r="W94" s="75">
        <v>92</v>
      </c>
      <c r="Z94" s="101" t="s">
        <v>990</v>
      </c>
      <c r="AA94" s="77" t="s">
        <v>166</v>
      </c>
      <c r="AB94" s="77" t="s">
        <v>994</v>
      </c>
      <c r="AC94" s="130">
        <v>0.27941176470588236</v>
      </c>
      <c r="AD94" s="72">
        <v>0.36363636363636365</v>
      </c>
      <c r="AE94" s="72">
        <v>0.375</v>
      </c>
      <c r="AF94" s="77">
        <v>38</v>
      </c>
      <c r="AG94" s="28">
        <v>136</v>
      </c>
      <c r="AH94" s="28">
        <v>14</v>
      </c>
      <c r="AI94" s="28">
        <v>38</v>
      </c>
      <c r="AJ94" s="28">
        <v>0</v>
      </c>
      <c r="AK94" s="28">
        <v>2</v>
      </c>
      <c r="AL94" s="28">
        <v>3</v>
      </c>
      <c r="AM94" s="28">
        <v>14</v>
      </c>
      <c r="AN94" s="28">
        <v>18</v>
      </c>
      <c r="AO94" s="28">
        <v>26</v>
      </c>
      <c r="AP94" s="77">
        <v>0</v>
      </c>
      <c r="AQ94" s="28">
        <v>1</v>
      </c>
      <c r="AR94" s="28">
        <v>7</v>
      </c>
      <c r="AS94" s="77">
        <v>51</v>
      </c>
      <c r="AT94" s="72">
        <v>0.73863636363636365</v>
      </c>
      <c r="AU94" s="28">
        <v>3</v>
      </c>
      <c r="AV94" s="75">
        <v>92</v>
      </c>
      <c r="AY94" s="101" t="s">
        <v>990</v>
      </c>
      <c r="AZ94" s="77" t="s">
        <v>166</v>
      </c>
      <c r="BA94" s="77" t="s">
        <v>992</v>
      </c>
      <c r="BB94" s="130">
        <v>0.27272727272727271</v>
      </c>
      <c r="BC94" s="72">
        <v>0.34883720930232559</v>
      </c>
      <c r="BD94" s="72">
        <v>0.51298701298701299</v>
      </c>
      <c r="BE94" s="77">
        <v>40</v>
      </c>
      <c r="BF94" s="28">
        <v>154</v>
      </c>
      <c r="BG94" s="28">
        <v>22</v>
      </c>
      <c r="BH94" s="28">
        <v>42</v>
      </c>
      <c r="BI94" s="28">
        <v>4</v>
      </c>
      <c r="BJ94" s="28">
        <v>3</v>
      </c>
      <c r="BK94" s="28">
        <v>9</v>
      </c>
      <c r="BL94" s="28">
        <v>23</v>
      </c>
      <c r="BM94" s="28">
        <v>18</v>
      </c>
      <c r="BN94" s="28">
        <v>39</v>
      </c>
      <c r="BO94" s="77">
        <v>0</v>
      </c>
      <c r="BP94" s="28">
        <v>0</v>
      </c>
      <c r="BQ94" s="28">
        <v>3</v>
      </c>
      <c r="BR94" s="77">
        <v>79</v>
      </c>
      <c r="BS94" s="72">
        <v>0.86182422228933864</v>
      </c>
      <c r="BT94" s="28">
        <v>1</v>
      </c>
      <c r="BU94" s="75">
        <v>92</v>
      </c>
    </row>
    <row r="95" spans="1:73">
      <c r="A95" s="101" t="s">
        <v>990</v>
      </c>
      <c r="B95" s="71" t="s">
        <v>168</v>
      </c>
      <c r="C95" s="74" t="s">
        <v>996</v>
      </c>
      <c r="D95" s="72">
        <f>VLOOKUP(Table88[[#This Row],[NAME]],CHC_C[[NAME]:['#]],2,0)</f>
        <v>0.2318840579710145</v>
      </c>
      <c r="E95" s="72">
        <f>VLOOKUP(Table88[[#This Row],[NAME]],CHC_C[[NAME]:['#]],3,0)</f>
        <v>0.29333333333333333</v>
      </c>
      <c r="F95" s="72">
        <f>VLOOKUP(Table88[[#This Row],[NAME]],CHC_C[[NAME]:['#]],4,0)</f>
        <v>0.34782608695652173</v>
      </c>
      <c r="G95" s="77">
        <f>VLOOKUP(Table88[[#This Row],[NAME]],CHC_C[[NAME]:['#]],5,0)</f>
        <v>36</v>
      </c>
      <c r="H95" s="28">
        <f>VLOOKUP(Table88[[#This Row],[NAME]],CHC_C[[NAME]:['#]],6,0)</f>
        <v>138</v>
      </c>
      <c r="I95" s="28">
        <f>VLOOKUP(Table88[[#This Row],[NAME]],CHC_C[[NAME]:['#]],7,0)</f>
        <v>12</v>
      </c>
      <c r="J95" s="28">
        <f>VLOOKUP(Table88[[#This Row],[NAME]],CHC_C[[NAME]:['#]],8,0)</f>
        <v>32</v>
      </c>
      <c r="K95" s="28">
        <f>VLOOKUP(Table88[[#This Row],[NAME]],CHC_C[[NAME]:['#]],9,0)</f>
        <v>3</v>
      </c>
      <c r="L95" s="28">
        <f>VLOOKUP(Table88[[#This Row],[NAME]],CHC_C[[NAME]:['#]],10,0)</f>
        <v>2</v>
      </c>
      <c r="M95" s="28">
        <f>VLOOKUP(Table88[[#This Row],[NAME]],CHC_C[[NAME]:['#]],11,0)</f>
        <v>3</v>
      </c>
      <c r="N95" s="28">
        <f>VLOOKUP(Table88[[#This Row],[NAME]],CHC_C[[NAME]:['#]],12,0)</f>
        <v>12</v>
      </c>
      <c r="O95" s="28">
        <f>VLOOKUP(Table88[[#This Row],[NAME]],CHC_C[[NAME]:['#]],13,0)</f>
        <v>12</v>
      </c>
      <c r="P95" s="28">
        <f>VLOOKUP(Table88[[#This Row],[NAME]],CHC_C[[NAME]:['#]],14,0)</f>
        <v>50</v>
      </c>
      <c r="Q95" s="77">
        <f>VLOOKUP(Table88[[#This Row],[NAME]],CHC_C[[NAME]:['#]],15,0)</f>
        <v>0</v>
      </c>
      <c r="R95" s="28">
        <f>VLOOKUP(Table88[[#This Row],[NAME]],CHC_C[[NAME]:['#]],16,0)</f>
        <v>0</v>
      </c>
      <c r="S95" s="28">
        <f>VLOOKUP(Table88[[#This Row],[NAME]],CHC_C[[NAME]:['#]],17,0)</f>
        <v>7</v>
      </c>
      <c r="T95" s="77">
        <f>VLOOKUP(Table88[[#This Row],[NAME]],CHC_C[[NAME]:['#]],18,0)</f>
        <v>48</v>
      </c>
      <c r="U95" s="72">
        <f>VLOOKUP(Table88[[#This Row],[NAME]],CHC_C[[NAME]:['#]],19,0)</f>
        <v>0.64115942028985506</v>
      </c>
      <c r="V95" s="28">
        <f>VLOOKUP(Table88[[#This Row],[NAME]],CHC_C[[NAME]:['#]],20,0)</f>
        <v>1</v>
      </c>
      <c r="W95" s="75">
        <v>93</v>
      </c>
      <c r="Z95" s="101" t="s">
        <v>990</v>
      </c>
      <c r="AA95" s="352" t="s">
        <v>168</v>
      </c>
      <c r="AB95" s="77" t="s">
        <v>992</v>
      </c>
      <c r="AC95" s="130">
        <v>0.26347305389221559</v>
      </c>
      <c r="AD95" s="72">
        <v>0.31666666666666665</v>
      </c>
      <c r="AE95" s="72">
        <v>0.61676646706586824</v>
      </c>
      <c r="AF95" s="77">
        <v>40</v>
      </c>
      <c r="AG95" s="28">
        <v>167</v>
      </c>
      <c r="AH95" s="28">
        <v>23</v>
      </c>
      <c r="AI95" s="28">
        <v>44</v>
      </c>
      <c r="AJ95" s="28">
        <v>5</v>
      </c>
      <c r="AK95" s="28">
        <v>0</v>
      </c>
      <c r="AL95" s="76">
        <v>18</v>
      </c>
      <c r="AM95" s="28">
        <v>27</v>
      </c>
      <c r="AN95" s="28">
        <v>13</v>
      </c>
      <c r="AO95" s="28">
        <v>52</v>
      </c>
      <c r="AP95" s="77">
        <v>0</v>
      </c>
      <c r="AQ95" s="28">
        <v>0</v>
      </c>
      <c r="AR95" s="28">
        <v>7</v>
      </c>
      <c r="AS95" s="352">
        <v>103</v>
      </c>
      <c r="AT95" s="72">
        <v>0.93343313373253489</v>
      </c>
      <c r="AU95" s="28">
        <v>5</v>
      </c>
      <c r="AV95" s="75">
        <v>93</v>
      </c>
      <c r="AY95" s="101" t="s">
        <v>990</v>
      </c>
      <c r="AZ95" s="77" t="s">
        <v>168</v>
      </c>
      <c r="BA95" s="77" t="s">
        <v>774</v>
      </c>
      <c r="BB95" s="130">
        <v>0.25203252032520324</v>
      </c>
      <c r="BC95" s="72">
        <v>0.3235294117647059</v>
      </c>
      <c r="BD95" s="72">
        <v>0.45528455284552843</v>
      </c>
      <c r="BE95" s="77">
        <v>33</v>
      </c>
      <c r="BF95" s="28">
        <v>123</v>
      </c>
      <c r="BG95" s="28">
        <v>15</v>
      </c>
      <c r="BH95" s="28">
        <v>31</v>
      </c>
      <c r="BI95" s="28">
        <v>4</v>
      </c>
      <c r="BJ95" s="28">
        <v>0</v>
      </c>
      <c r="BK95" s="28">
        <v>7</v>
      </c>
      <c r="BL95" s="28">
        <v>24</v>
      </c>
      <c r="BM95" s="28">
        <v>13</v>
      </c>
      <c r="BN95" s="28">
        <v>32</v>
      </c>
      <c r="BO95" s="77">
        <v>0</v>
      </c>
      <c r="BP95" s="28">
        <v>0</v>
      </c>
      <c r="BQ95" s="28">
        <v>6</v>
      </c>
      <c r="BR95" s="77">
        <v>56</v>
      </c>
      <c r="BS95" s="72">
        <v>0.77881396461023433</v>
      </c>
      <c r="BT95" s="28">
        <v>4</v>
      </c>
      <c r="BU95" s="75">
        <v>93</v>
      </c>
    </row>
    <row r="96" spans="1:73">
      <c r="A96" s="101" t="s">
        <v>990</v>
      </c>
      <c r="B96" s="71" t="s">
        <v>179</v>
      </c>
      <c r="C96" s="74" t="s">
        <v>1004</v>
      </c>
      <c r="D96" s="72">
        <f>VLOOKUP(Table88[[#This Row],[NAME]],CHC_C[[NAME]:['#]],2,0)</f>
        <v>0.25806451612903225</v>
      </c>
      <c r="E96" s="72">
        <f>VLOOKUP(Table88[[#This Row],[NAME]],CHC_C[[NAME]:['#]],3,0)</f>
        <v>0.28125</v>
      </c>
      <c r="F96" s="72">
        <f>VLOOKUP(Table88[[#This Row],[NAME]],CHC_C[[NAME]:['#]],4,0)</f>
        <v>0.41935483870967744</v>
      </c>
      <c r="G96" s="77">
        <f>VLOOKUP(Table88[[#This Row],[NAME]],CHC_C[[NAME]:['#]],5,0)</f>
        <v>8</v>
      </c>
      <c r="H96" s="28">
        <f>VLOOKUP(Table88[[#This Row],[NAME]],CHC_C[[NAME]:['#]],6,0)</f>
        <v>31</v>
      </c>
      <c r="I96" s="28">
        <f>VLOOKUP(Table88[[#This Row],[NAME]],CHC_C[[NAME]:['#]],7,0)</f>
        <v>3</v>
      </c>
      <c r="J96" s="28">
        <f>VLOOKUP(Table88[[#This Row],[NAME]],CHC_C[[NAME]:['#]],8,0)</f>
        <v>8</v>
      </c>
      <c r="K96" s="28">
        <f>VLOOKUP(Table88[[#This Row],[NAME]],CHC_C[[NAME]:['#]],9,0)</f>
        <v>2</v>
      </c>
      <c r="L96" s="28">
        <f>VLOOKUP(Table88[[#This Row],[NAME]],CHC_C[[NAME]:['#]],10,0)</f>
        <v>0</v>
      </c>
      <c r="M96" s="28">
        <f>VLOOKUP(Table88[[#This Row],[NAME]],CHC_C[[NAME]:['#]],11,0)</f>
        <v>1</v>
      </c>
      <c r="N96" s="28">
        <f>VLOOKUP(Table88[[#This Row],[NAME]],CHC_C[[NAME]:['#]],12,0)</f>
        <v>4</v>
      </c>
      <c r="O96" s="28">
        <f>VLOOKUP(Table88[[#This Row],[NAME]],CHC_C[[NAME]:['#]],13,0)</f>
        <v>1</v>
      </c>
      <c r="P96" s="28">
        <f>VLOOKUP(Table88[[#This Row],[NAME]],CHC_C[[NAME]:['#]],14,0)</f>
        <v>8</v>
      </c>
      <c r="Q96" s="77">
        <f>VLOOKUP(Table88[[#This Row],[NAME]],CHC_C[[NAME]:['#]],15,0)</f>
        <v>0</v>
      </c>
      <c r="R96" s="28">
        <f>VLOOKUP(Table88[[#This Row],[NAME]],CHC_C[[NAME]:['#]],16,0)</f>
        <v>0</v>
      </c>
      <c r="S96" s="28">
        <f>VLOOKUP(Table88[[#This Row],[NAME]],CHC_C[[NAME]:['#]],17,0)</f>
        <v>3</v>
      </c>
      <c r="T96" s="77">
        <f>VLOOKUP(Table88[[#This Row],[NAME]],CHC_C[[NAME]:['#]],18,0)</f>
        <v>13</v>
      </c>
      <c r="U96" s="72">
        <f>VLOOKUP(Table88[[#This Row],[NAME]],CHC_C[[NAME]:['#]],19,0)</f>
        <v>0.70060483870967749</v>
      </c>
      <c r="V96" s="28">
        <f>VLOOKUP(Table88[[#This Row],[NAME]],CHC_C[[NAME]:['#]],20,0)</f>
        <v>1</v>
      </c>
      <c r="W96" s="75">
        <v>94</v>
      </c>
      <c r="Z96" s="101" t="s">
        <v>990</v>
      </c>
      <c r="AA96" s="77" t="s">
        <v>179</v>
      </c>
      <c r="AB96" s="77" t="s">
        <v>1004</v>
      </c>
      <c r="AC96" s="130">
        <v>0.25</v>
      </c>
      <c r="AD96" s="72">
        <v>0.25</v>
      </c>
      <c r="AE96" s="72">
        <v>0.25</v>
      </c>
      <c r="AF96" s="77">
        <v>2</v>
      </c>
      <c r="AG96" s="28">
        <v>8</v>
      </c>
      <c r="AH96" s="28">
        <v>0</v>
      </c>
      <c r="AI96" s="28">
        <v>2</v>
      </c>
      <c r="AJ96" s="28">
        <v>0</v>
      </c>
      <c r="AK96" s="28">
        <v>0</v>
      </c>
      <c r="AL96" s="28">
        <v>0</v>
      </c>
      <c r="AM96" s="28">
        <v>1</v>
      </c>
      <c r="AN96" s="28">
        <v>0</v>
      </c>
      <c r="AO96" s="28">
        <v>1</v>
      </c>
      <c r="AP96" s="77">
        <v>0</v>
      </c>
      <c r="AQ96" s="28">
        <v>2</v>
      </c>
      <c r="AR96" s="28">
        <v>2</v>
      </c>
      <c r="AS96" s="77">
        <v>2</v>
      </c>
      <c r="AT96" s="72">
        <v>0.5</v>
      </c>
      <c r="AU96" s="28">
        <v>0</v>
      </c>
      <c r="AV96" s="75">
        <v>94</v>
      </c>
      <c r="AY96" s="101" t="s">
        <v>990</v>
      </c>
      <c r="AZ96" s="77" t="s">
        <v>179</v>
      </c>
      <c r="BA96" s="77" t="s">
        <v>1004</v>
      </c>
      <c r="BB96" s="130">
        <v>0.40740740740740738</v>
      </c>
      <c r="BC96" s="72">
        <v>0.42857142857142855</v>
      </c>
      <c r="BD96" s="72">
        <v>0.51851851851851849</v>
      </c>
      <c r="BE96" s="77">
        <v>8</v>
      </c>
      <c r="BF96" s="28">
        <v>27</v>
      </c>
      <c r="BG96" s="28">
        <v>1</v>
      </c>
      <c r="BH96" s="28">
        <v>11</v>
      </c>
      <c r="BI96" s="28">
        <v>3</v>
      </c>
      <c r="BJ96" s="28">
        <v>0</v>
      </c>
      <c r="BK96" s="28">
        <v>0</v>
      </c>
      <c r="BL96" s="28">
        <v>2</v>
      </c>
      <c r="BM96" s="28">
        <v>1</v>
      </c>
      <c r="BN96" s="28">
        <v>7</v>
      </c>
      <c r="BO96" s="77">
        <v>0</v>
      </c>
      <c r="BP96" s="28">
        <v>2</v>
      </c>
      <c r="BQ96" s="28">
        <v>2</v>
      </c>
      <c r="BR96" s="77">
        <v>14</v>
      </c>
      <c r="BS96" s="72">
        <v>0.94708994708994698</v>
      </c>
      <c r="BT96" s="28">
        <v>1</v>
      </c>
      <c r="BU96" s="75">
        <v>94</v>
      </c>
    </row>
    <row r="97" spans="1:73">
      <c r="A97" s="101" t="s">
        <v>990</v>
      </c>
      <c r="B97" s="71" t="s">
        <v>187</v>
      </c>
      <c r="C97" s="74" t="s">
        <v>1002</v>
      </c>
      <c r="D97" s="72">
        <f>VLOOKUP(Table88[[#This Row],[NAME]],CHC_C[[NAME]:['#]],2,0)</f>
        <v>0.18604651162790697</v>
      </c>
      <c r="E97" s="72">
        <f>VLOOKUP(Table88[[#This Row],[NAME]],CHC_C[[NAME]:['#]],3,0)</f>
        <v>0.20454545454545456</v>
      </c>
      <c r="F97" s="72">
        <f>VLOOKUP(Table88[[#This Row],[NAME]],CHC_C[[NAME]:['#]],4,0)</f>
        <v>0.32558139534883723</v>
      </c>
      <c r="G97" s="77">
        <f>VLOOKUP(Table88[[#This Row],[NAME]],CHC_C[[NAME]:['#]],5,0)</f>
        <v>12</v>
      </c>
      <c r="H97" s="28">
        <f>VLOOKUP(Table88[[#This Row],[NAME]],CHC_C[[NAME]:['#]],6,0)</f>
        <v>43</v>
      </c>
      <c r="I97" s="28">
        <f>VLOOKUP(Table88[[#This Row],[NAME]],CHC_C[[NAME]:['#]],7,0)</f>
        <v>5</v>
      </c>
      <c r="J97" s="28">
        <f>VLOOKUP(Table88[[#This Row],[NAME]],CHC_C[[NAME]:['#]],8,0)</f>
        <v>8</v>
      </c>
      <c r="K97" s="28">
        <f>VLOOKUP(Table88[[#This Row],[NAME]],CHC_C[[NAME]:['#]],9,0)</f>
        <v>0</v>
      </c>
      <c r="L97" s="28">
        <f>VLOOKUP(Table88[[#This Row],[NAME]],CHC_C[[NAME]:['#]],10,0)</f>
        <v>0</v>
      </c>
      <c r="M97" s="28">
        <f>VLOOKUP(Table88[[#This Row],[NAME]],CHC_C[[NAME]:['#]],11,0)</f>
        <v>2</v>
      </c>
      <c r="N97" s="28">
        <f>VLOOKUP(Table88[[#This Row],[NAME]],CHC_C[[NAME]:['#]],12,0)</f>
        <v>2</v>
      </c>
      <c r="O97" s="28">
        <f>VLOOKUP(Table88[[#This Row],[NAME]],CHC_C[[NAME]:['#]],13,0)</f>
        <v>1</v>
      </c>
      <c r="P97" s="28">
        <f>VLOOKUP(Table88[[#This Row],[NAME]],CHC_C[[NAME]:['#]],14,0)</f>
        <v>13</v>
      </c>
      <c r="Q97" s="77">
        <f>VLOOKUP(Table88[[#This Row],[NAME]],CHC_C[[NAME]:['#]],15,0)</f>
        <v>0</v>
      </c>
      <c r="R97" s="28">
        <f>VLOOKUP(Table88[[#This Row],[NAME]],CHC_C[[NAME]:['#]],16,0)</f>
        <v>0</v>
      </c>
      <c r="S97" s="28">
        <f>VLOOKUP(Table88[[#This Row],[NAME]],CHC_C[[NAME]:['#]],17,0)</f>
        <v>3</v>
      </c>
      <c r="T97" s="77">
        <f>VLOOKUP(Table88[[#This Row],[NAME]],CHC_C[[NAME]:['#]],18,0)</f>
        <v>14</v>
      </c>
      <c r="U97" s="72">
        <f>VLOOKUP(Table88[[#This Row],[NAME]],CHC_C[[NAME]:['#]],19,0)</f>
        <v>0.53012684989429182</v>
      </c>
      <c r="V97" s="28">
        <f>VLOOKUP(Table88[[#This Row],[NAME]],CHC_C[[NAME]:['#]],20,0)</f>
        <v>0</v>
      </c>
      <c r="W97" s="75">
        <v>95</v>
      </c>
      <c r="Z97" s="101" t="s">
        <v>990</v>
      </c>
      <c r="AA97" s="77" t="s">
        <v>187</v>
      </c>
      <c r="AB97" s="77" t="s">
        <v>1002</v>
      </c>
      <c r="AC97" s="130">
        <v>0.21212121212121213</v>
      </c>
      <c r="AD97" s="72">
        <v>0.34453781512605042</v>
      </c>
      <c r="AE97" s="72">
        <v>0.43434343434343436</v>
      </c>
      <c r="AF97" s="77">
        <v>29</v>
      </c>
      <c r="AG97" s="28">
        <v>99</v>
      </c>
      <c r="AH97" s="28">
        <v>18</v>
      </c>
      <c r="AI97" s="28">
        <v>21</v>
      </c>
      <c r="AJ97" s="28">
        <v>7</v>
      </c>
      <c r="AK97" s="28">
        <v>0</v>
      </c>
      <c r="AL97" s="28">
        <v>5</v>
      </c>
      <c r="AM97" s="28">
        <v>10</v>
      </c>
      <c r="AN97" s="28">
        <v>20</v>
      </c>
      <c r="AO97" s="28">
        <v>37</v>
      </c>
      <c r="AP97" s="77">
        <v>0</v>
      </c>
      <c r="AQ97" s="28">
        <v>0</v>
      </c>
      <c r="AR97" s="28">
        <v>3</v>
      </c>
      <c r="AS97" s="77">
        <v>43</v>
      </c>
      <c r="AT97" s="72">
        <v>0.77888124946948478</v>
      </c>
      <c r="AU97" s="28">
        <v>2</v>
      </c>
      <c r="AV97" s="75">
        <v>95</v>
      </c>
      <c r="AY97" s="101" t="s">
        <v>990</v>
      </c>
      <c r="AZ97" s="77" t="s">
        <v>187</v>
      </c>
      <c r="BA97" s="77" t="s">
        <v>1003</v>
      </c>
      <c r="BB97" s="130">
        <v>0.3125</v>
      </c>
      <c r="BC97" s="72">
        <v>0.3125</v>
      </c>
      <c r="BD97" s="72">
        <v>0.4375</v>
      </c>
      <c r="BE97" s="77">
        <v>4</v>
      </c>
      <c r="BF97" s="28">
        <v>16</v>
      </c>
      <c r="BG97" s="28">
        <v>1</v>
      </c>
      <c r="BH97" s="28">
        <v>5</v>
      </c>
      <c r="BI97" s="28">
        <v>2</v>
      </c>
      <c r="BJ97" s="28">
        <v>0</v>
      </c>
      <c r="BK97" s="28">
        <v>0</v>
      </c>
      <c r="BL97" s="28">
        <v>2</v>
      </c>
      <c r="BM97" s="28">
        <v>0</v>
      </c>
      <c r="BN97" s="28">
        <v>1</v>
      </c>
      <c r="BO97" s="77">
        <v>0</v>
      </c>
      <c r="BP97" s="28">
        <v>3</v>
      </c>
      <c r="BQ97" s="28">
        <v>3</v>
      </c>
      <c r="BR97" s="77">
        <v>7</v>
      </c>
      <c r="BS97" s="72">
        <v>0.75</v>
      </c>
      <c r="BT97" s="28">
        <v>0</v>
      </c>
      <c r="BU97" s="75">
        <v>95</v>
      </c>
    </row>
    <row r="98" spans="1:73">
      <c r="A98" s="101" t="s">
        <v>990</v>
      </c>
      <c r="B98" s="71" t="s">
        <v>187</v>
      </c>
      <c r="C98" s="74" t="s">
        <v>1007</v>
      </c>
      <c r="D98" s="72">
        <f>VLOOKUP(Table88[[#This Row],[NAME]],CHC_C[[NAME]:['#]],2,0)</f>
        <v>0.17391304347826086</v>
      </c>
      <c r="E98" s="72">
        <f>VLOOKUP(Table88[[#This Row],[NAME]],CHC_C[[NAME]:['#]],3,0)</f>
        <v>0.24</v>
      </c>
      <c r="F98" s="72">
        <f>VLOOKUP(Table88[[#This Row],[NAME]],CHC_C[[NAME]:['#]],4,0)</f>
        <v>0.30434782608695654</v>
      </c>
      <c r="G98" s="77">
        <f>VLOOKUP(Table88[[#This Row],[NAME]],CHC_C[[NAME]:['#]],5,0)</f>
        <v>6</v>
      </c>
      <c r="H98" s="28">
        <f>VLOOKUP(Table88[[#This Row],[NAME]],CHC_C[[NAME]:['#]],6,0)</f>
        <v>23</v>
      </c>
      <c r="I98" s="28">
        <f>VLOOKUP(Table88[[#This Row],[NAME]],CHC_C[[NAME]:['#]],7,0)</f>
        <v>2</v>
      </c>
      <c r="J98" s="28">
        <f>VLOOKUP(Table88[[#This Row],[NAME]],CHC_C[[NAME]:['#]],8,0)</f>
        <v>4</v>
      </c>
      <c r="K98" s="28">
        <f>VLOOKUP(Table88[[#This Row],[NAME]],CHC_C[[NAME]:['#]],9,0)</f>
        <v>0</v>
      </c>
      <c r="L98" s="28">
        <f>VLOOKUP(Table88[[#This Row],[NAME]],CHC_C[[NAME]:['#]],10,0)</f>
        <v>0</v>
      </c>
      <c r="M98" s="28">
        <f>VLOOKUP(Table88[[#This Row],[NAME]],CHC_C[[NAME]:['#]],11,0)</f>
        <v>1</v>
      </c>
      <c r="N98" s="28">
        <f>VLOOKUP(Table88[[#This Row],[NAME]],CHC_C[[NAME]:['#]],12,0)</f>
        <v>2</v>
      </c>
      <c r="O98" s="28">
        <f>VLOOKUP(Table88[[#This Row],[NAME]],CHC_C[[NAME]:['#]],13,0)</f>
        <v>2</v>
      </c>
      <c r="P98" s="28">
        <f>VLOOKUP(Table88[[#This Row],[NAME]],CHC_C[[NAME]:['#]],14,0)</f>
        <v>10</v>
      </c>
      <c r="Q98" s="77">
        <f>VLOOKUP(Table88[[#This Row],[NAME]],CHC_C[[NAME]:['#]],15,0)</f>
        <v>0</v>
      </c>
      <c r="R98" s="28">
        <f>VLOOKUP(Table88[[#This Row],[NAME]],CHC_C[[NAME]:['#]],16,0)</f>
        <v>1</v>
      </c>
      <c r="S98" s="28">
        <f>VLOOKUP(Table88[[#This Row],[NAME]],CHC_C[[NAME]:['#]],17,0)</f>
        <v>1</v>
      </c>
      <c r="T98" s="77">
        <f>VLOOKUP(Table88[[#This Row],[NAME]],CHC_C[[NAME]:['#]],18,0)</f>
        <v>7</v>
      </c>
      <c r="U98" s="72">
        <f>VLOOKUP(Table88[[#This Row],[NAME]],CHC_C[[NAME]:['#]],19,0)</f>
        <v>0.54434782608695653</v>
      </c>
      <c r="V98" s="28">
        <f>VLOOKUP(Table88[[#This Row],[NAME]],CHC_C[[NAME]:['#]],20,0)</f>
        <v>0</v>
      </c>
      <c r="W98" s="75">
        <v>96</v>
      </c>
      <c r="Z98" s="101" t="s">
        <v>990</v>
      </c>
      <c r="AA98" s="77" t="s">
        <v>192</v>
      </c>
      <c r="AB98" s="77" t="s">
        <v>1007</v>
      </c>
      <c r="AC98" s="130">
        <v>0.14285714285714285</v>
      </c>
      <c r="AD98" s="72">
        <v>0.25</v>
      </c>
      <c r="AE98" s="72">
        <v>0.14285714285714285</v>
      </c>
      <c r="AF98" s="77">
        <v>2</v>
      </c>
      <c r="AG98" s="28">
        <v>7</v>
      </c>
      <c r="AH98" s="28">
        <v>1</v>
      </c>
      <c r="AI98" s="28">
        <v>1</v>
      </c>
      <c r="AJ98" s="28">
        <v>0</v>
      </c>
      <c r="AK98" s="28">
        <v>0</v>
      </c>
      <c r="AL98" s="28">
        <v>0</v>
      </c>
      <c r="AM98" s="28">
        <v>1</v>
      </c>
      <c r="AN98" s="28">
        <v>1</v>
      </c>
      <c r="AO98" s="28">
        <v>2</v>
      </c>
      <c r="AP98" s="77">
        <v>0</v>
      </c>
      <c r="AQ98" s="28">
        <v>0</v>
      </c>
      <c r="AR98" s="28">
        <v>1</v>
      </c>
      <c r="AS98" s="77">
        <v>1</v>
      </c>
      <c r="AT98" s="72">
        <v>0.39285714285714285</v>
      </c>
      <c r="AU98" s="28">
        <v>0</v>
      </c>
      <c r="AV98" s="75">
        <v>96</v>
      </c>
      <c r="AY98" s="101" t="s">
        <v>990</v>
      </c>
      <c r="AZ98" s="77" t="s">
        <v>187</v>
      </c>
      <c r="BA98" s="77" t="s">
        <v>999</v>
      </c>
      <c r="BB98" s="130">
        <v>0.22222222222222221</v>
      </c>
      <c r="BC98" s="72">
        <v>0.3</v>
      </c>
      <c r="BD98" s="72">
        <v>0.22222222222222221</v>
      </c>
      <c r="BE98" s="77">
        <v>6</v>
      </c>
      <c r="BF98" s="28">
        <v>18</v>
      </c>
      <c r="BG98" s="28">
        <v>0</v>
      </c>
      <c r="BH98" s="28">
        <v>4</v>
      </c>
      <c r="BI98" s="28">
        <v>0</v>
      </c>
      <c r="BJ98" s="28">
        <v>0</v>
      </c>
      <c r="BK98" s="28">
        <v>0</v>
      </c>
      <c r="BL98" s="28">
        <v>0</v>
      </c>
      <c r="BM98" s="28">
        <v>2</v>
      </c>
      <c r="BN98" s="28">
        <v>1</v>
      </c>
      <c r="BO98" s="77">
        <v>0</v>
      </c>
      <c r="BP98" s="28">
        <v>0</v>
      </c>
      <c r="BQ98" s="28">
        <v>2</v>
      </c>
      <c r="BR98" s="77">
        <v>4</v>
      </c>
      <c r="BS98" s="72">
        <v>0.52222222222222214</v>
      </c>
      <c r="BT98" s="28">
        <v>0</v>
      </c>
      <c r="BU98" s="75">
        <v>96</v>
      </c>
    </row>
    <row r="99" spans="1:73">
      <c r="A99" s="101" t="s">
        <v>990</v>
      </c>
      <c r="B99" s="71" t="s">
        <v>186</v>
      </c>
      <c r="C99" s="74" t="s">
        <v>1005</v>
      </c>
      <c r="D99" s="72">
        <f>VLOOKUP(Table88[[#This Row],[NAME]],CHC_C[[NAME]:['#]],2,0)</f>
        <v>0.18181818181818182</v>
      </c>
      <c r="E99" s="72">
        <f>VLOOKUP(Table88[[#This Row],[NAME]],CHC_C[[NAME]:['#]],3,0)</f>
        <v>0.22857142857142856</v>
      </c>
      <c r="F99" s="72">
        <f>VLOOKUP(Table88[[#This Row],[NAME]],CHC_C[[NAME]:['#]],4,0)</f>
        <v>0.27272727272727271</v>
      </c>
      <c r="G99" s="77">
        <f>VLOOKUP(Table88[[#This Row],[NAME]],CHC_C[[NAME]:['#]],5,0)</f>
        <v>10</v>
      </c>
      <c r="H99" s="28">
        <f>VLOOKUP(Table88[[#This Row],[NAME]],CHC_C[[NAME]:['#]],6,0)</f>
        <v>33</v>
      </c>
      <c r="I99" s="28">
        <f>VLOOKUP(Table88[[#This Row],[NAME]],CHC_C[[NAME]:['#]],7,0)</f>
        <v>2</v>
      </c>
      <c r="J99" s="28">
        <f>VLOOKUP(Table88[[#This Row],[NAME]],CHC_C[[NAME]:['#]],8,0)</f>
        <v>6</v>
      </c>
      <c r="K99" s="28">
        <f>VLOOKUP(Table88[[#This Row],[NAME]],CHC_C[[NAME]:['#]],9,0)</f>
        <v>0</v>
      </c>
      <c r="L99" s="28">
        <f>VLOOKUP(Table88[[#This Row],[NAME]],CHC_C[[NAME]:['#]],10,0)</f>
        <v>0</v>
      </c>
      <c r="M99" s="28">
        <f>VLOOKUP(Table88[[#This Row],[NAME]],CHC_C[[NAME]:['#]],11,0)</f>
        <v>1</v>
      </c>
      <c r="N99" s="28">
        <f>VLOOKUP(Table88[[#This Row],[NAME]],CHC_C[[NAME]:['#]],12,0)</f>
        <v>3</v>
      </c>
      <c r="O99" s="28">
        <f>VLOOKUP(Table88[[#This Row],[NAME]],CHC_C[[NAME]:['#]],13,0)</f>
        <v>2</v>
      </c>
      <c r="P99" s="28">
        <f>VLOOKUP(Table88[[#This Row],[NAME]],CHC_C[[NAME]:['#]],14,0)</f>
        <v>10</v>
      </c>
      <c r="Q99" s="77">
        <f>VLOOKUP(Table88[[#This Row],[NAME]],CHC_C[[NAME]:['#]],15,0)</f>
        <v>1</v>
      </c>
      <c r="R99" s="28">
        <f>VLOOKUP(Table88[[#This Row],[NAME]],CHC_C[[NAME]:['#]],16,0)</f>
        <v>2</v>
      </c>
      <c r="S99" s="28">
        <f>VLOOKUP(Table88[[#This Row],[NAME]],CHC_C[[NAME]:['#]],17,0)</f>
        <v>3</v>
      </c>
      <c r="T99" s="77">
        <f>VLOOKUP(Table88[[#This Row],[NAME]],CHC_C[[NAME]:['#]],18,0)</f>
        <v>9</v>
      </c>
      <c r="U99" s="72">
        <f>VLOOKUP(Table88[[#This Row],[NAME]],CHC_C[[NAME]:['#]],19,0)</f>
        <v>0.50129870129870124</v>
      </c>
      <c r="V99" s="28">
        <f>VLOOKUP(Table88[[#This Row],[NAME]],CHC_C[[NAME]:['#]],20,0)</f>
        <v>1</v>
      </c>
      <c r="W99" s="75">
        <v>97</v>
      </c>
      <c r="Z99" s="101" t="s">
        <v>990</v>
      </c>
      <c r="AA99" s="77" t="s">
        <v>184</v>
      </c>
      <c r="AB99" s="77" t="s">
        <v>1005</v>
      </c>
      <c r="AC99" s="130">
        <v>0.125</v>
      </c>
      <c r="AD99" s="72">
        <v>0.125</v>
      </c>
      <c r="AE99" s="72">
        <v>0.125</v>
      </c>
      <c r="AF99" s="77">
        <v>2</v>
      </c>
      <c r="AG99" s="28">
        <v>8</v>
      </c>
      <c r="AH99" s="28">
        <v>1</v>
      </c>
      <c r="AI99" s="28">
        <v>1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3</v>
      </c>
      <c r="AP99" s="77">
        <v>1</v>
      </c>
      <c r="AQ99" s="28">
        <v>0</v>
      </c>
      <c r="AR99" s="28">
        <v>1</v>
      </c>
      <c r="AS99" s="77">
        <v>1</v>
      </c>
      <c r="AT99" s="72">
        <v>0.25</v>
      </c>
      <c r="AU99" s="28">
        <v>0</v>
      </c>
      <c r="AV99" s="75">
        <v>97</v>
      </c>
      <c r="AY99" s="101" t="s">
        <v>990</v>
      </c>
      <c r="AZ99" s="77" t="s">
        <v>184</v>
      </c>
      <c r="BA99" s="77" t="s">
        <v>996</v>
      </c>
      <c r="BB99" s="130">
        <v>0.19753086419753085</v>
      </c>
      <c r="BC99" s="72">
        <v>0.2073170731707317</v>
      </c>
      <c r="BD99" s="72">
        <v>0.2839506172839506</v>
      </c>
      <c r="BE99" s="77">
        <v>21</v>
      </c>
      <c r="BF99" s="28">
        <v>81</v>
      </c>
      <c r="BG99" s="28">
        <v>7</v>
      </c>
      <c r="BH99" s="28">
        <v>16</v>
      </c>
      <c r="BI99" s="28">
        <v>7</v>
      </c>
      <c r="BJ99" s="28">
        <v>0</v>
      </c>
      <c r="BK99" s="28">
        <v>0</v>
      </c>
      <c r="BL99" s="28">
        <v>6</v>
      </c>
      <c r="BM99" s="28">
        <v>1</v>
      </c>
      <c r="BN99" s="28">
        <v>26</v>
      </c>
      <c r="BO99" s="77">
        <v>0</v>
      </c>
      <c r="BP99" s="28">
        <v>2</v>
      </c>
      <c r="BQ99" s="28">
        <v>2</v>
      </c>
      <c r="BR99" s="77">
        <v>23</v>
      </c>
      <c r="BS99" s="72">
        <v>0.49126769045468233</v>
      </c>
      <c r="BT99" s="28">
        <v>1</v>
      </c>
      <c r="BU99" s="75">
        <v>97</v>
      </c>
    </row>
    <row r="100" spans="1:73">
      <c r="A100" s="101" t="s">
        <v>990</v>
      </c>
      <c r="B100" s="71" t="s">
        <v>186</v>
      </c>
      <c r="C100" s="28" t="s">
        <v>1006</v>
      </c>
      <c r="D100" s="72">
        <f>VLOOKUP(Table88[[#This Row],[NAME]],CHC_C[[NAME]:['#]],2,0)</f>
        <v>0</v>
      </c>
      <c r="E100" s="72">
        <f>VLOOKUP(Table88[[#This Row],[NAME]],CHC_C[[NAME]:['#]],3,0)</f>
        <v>0</v>
      </c>
      <c r="F100" s="72">
        <f>VLOOKUP(Table88[[#This Row],[NAME]],CHC_C[[NAME]:['#]],4,0)</f>
        <v>0</v>
      </c>
      <c r="G100" s="77">
        <f>VLOOKUP(Table88[[#This Row],[NAME]],CHC_C[[NAME]:['#]],5,0)</f>
        <v>0</v>
      </c>
      <c r="H100" s="28">
        <f>VLOOKUP(Table88[[#This Row],[NAME]],CHC_C[[NAME]:['#]],6,0)</f>
        <v>0</v>
      </c>
      <c r="I100" s="28">
        <f>VLOOKUP(Table88[[#This Row],[NAME]],CHC_C[[NAME]:['#]],7,0)</f>
        <v>0</v>
      </c>
      <c r="J100" s="28">
        <f>VLOOKUP(Table88[[#This Row],[NAME]],CHC_C[[NAME]:['#]],8,0)</f>
        <v>0</v>
      </c>
      <c r="K100" s="28">
        <f>VLOOKUP(Table88[[#This Row],[NAME]],CHC_C[[NAME]:['#]],9,0)</f>
        <v>0</v>
      </c>
      <c r="L100" s="28">
        <f>VLOOKUP(Table88[[#This Row],[NAME]],CHC_C[[NAME]:['#]],10,0)</f>
        <v>0</v>
      </c>
      <c r="M100" s="28">
        <f>VLOOKUP(Table88[[#This Row],[NAME]],CHC_C[[NAME]:['#]],11,0)</f>
        <v>0</v>
      </c>
      <c r="N100" s="28">
        <f>VLOOKUP(Table88[[#This Row],[NAME]],CHC_C[[NAME]:['#]],12,0)</f>
        <v>0</v>
      </c>
      <c r="O100" s="28">
        <f>VLOOKUP(Table88[[#This Row],[NAME]],CHC_C[[NAME]:['#]],13,0)</f>
        <v>0</v>
      </c>
      <c r="P100" s="28">
        <f>VLOOKUP(Table88[[#This Row],[NAME]],CHC_C[[NAME]:['#]],14,0)</f>
        <v>0</v>
      </c>
      <c r="Q100" s="77">
        <f>VLOOKUP(Table88[[#This Row],[NAME]],CHC_C[[NAME]:['#]],15,0)</f>
        <v>0</v>
      </c>
      <c r="R100" s="28">
        <f>VLOOKUP(Table88[[#This Row],[NAME]],CHC_C[[NAME]:['#]],16,0)</f>
        <v>0</v>
      </c>
      <c r="S100" s="28">
        <f>VLOOKUP(Table88[[#This Row],[NAME]],CHC_C[[NAME]:['#]],17,0)</f>
        <v>0</v>
      </c>
      <c r="T100" s="77">
        <f>VLOOKUP(Table88[[#This Row],[NAME]],CHC_C[[NAME]:['#]],18,0)</f>
        <v>0</v>
      </c>
      <c r="U100" s="72">
        <f>VLOOKUP(Table88[[#This Row],[NAME]],CHC_C[[NAME]:['#]],19,0)</f>
        <v>0</v>
      </c>
      <c r="V100" s="28">
        <f>VLOOKUP(Table88[[#This Row],[NAME]],CHC_C[[NAME]:['#]],20,0)</f>
        <v>0</v>
      </c>
      <c r="W100" s="75">
        <v>98</v>
      </c>
      <c r="Z100" s="101" t="s">
        <v>990</v>
      </c>
      <c r="AA100" s="77" t="s">
        <v>184</v>
      </c>
      <c r="AB100" s="77" t="s">
        <v>1006</v>
      </c>
      <c r="AC100" s="130">
        <v>0.33333333333333331</v>
      </c>
      <c r="AD100" s="72">
        <v>0.5</v>
      </c>
      <c r="AE100" s="72">
        <v>0.33333333333333331</v>
      </c>
      <c r="AF100" s="77">
        <v>2</v>
      </c>
      <c r="AG100" s="28">
        <v>6</v>
      </c>
      <c r="AH100" s="28">
        <v>1</v>
      </c>
      <c r="AI100" s="28">
        <v>2</v>
      </c>
      <c r="AJ100" s="28">
        <v>0</v>
      </c>
      <c r="AK100" s="28">
        <v>0</v>
      </c>
      <c r="AL100" s="28">
        <v>0</v>
      </c>
      <c r="AM100" s="28">
        <v>0</v>
      </c>
      <c r="AN100" s="28">
        <v>2</v>
      </c>
      <c r="AO100" s="28">
        <v>2</v>
      </c>
      <c r="AP100" s="77">
        <v>0</v>
      </c>
      <c r="AQ100" s="28">
        <v>2</v>
      </c>
      <c r="AR100" s="28">
        <v>2</v>
      </c>
      <c r="AS100" s="77">
        <v>2</v>
      </c>
      <c r="AT100" s="72">
        <v>0.83333333333333326</v>
      </c>
      <c r="AU100" s="28">
        <v>0</v>
      </c>
      <c r="AV100" s="75">
        <v>98</v>
      </c>
      <c r="AY100" s="101" t="s">
        <v>990</v>
      </c>
      <c r="AZ100" s="77" t="s">
        <v>184</v>
      </c>
      <c r="BA100" s="77" t="s">
        <v>1002</v>
      </c>
      <c r="BB100" s="130">
        <v>0.2</v>
      </c>
      <c r="BC100" s="72">
        <v>0.42857142857142855</v>
      </c>
      <c r="BD100" s="72">
        <v>0.2</v>
      </c>
      <c r="BE100" s="77">
        <v>4</v>
      </c>
      <c r="BF100" s="28">
        <v>10</v>
      </c>
      <c r="BG100" s="28">
        <v>0</v>
      </c>
      <c r="BH100" s="28">
        <v>2</v>
      </c>
      <c r="BI100" s="28">
        <v>0</v>
      </c>
      <c r="BJ100" s="28">
        <v>0</v>
      </c>
      <c r="BK100" s="28">
        <v>0</v>
      </c>
      <c r="BL100" s="28">
        <v>0</v>
      </c>
      <c r="BM100" s="28">
        <v>4</v>
      </c>
      <c r="BN100" s="28">
        <v>0</v>
      </c>
      <c r="BO100" s="77">
        <v>0</v>
      </c>
      <c r="BP100" s="28">
        <v>0</v>
      </c>
      <c r="BQ100" s="28">
        <v>1</v>
      </c>
      <c r="BR100" s="77">
        <v>2</v>
      </c>
      <c r="BS100" s="72">
        <v>0.62857142857142856</v>
      </c>
      <c r="BT100" s="28">
        <v>0</v>
      </c>
      <c r="BU100" s="75">
        <v>98</v>
      </c>
    </row>
    <row r="101" spans="1:73">
      <c r="A101" s="101" t="s">
        <v>1025</v>
      </c>
      <c r="B101" s="71" t="s">
        <v>179</v>
      </c>
      <c r="C101" s="28" t="s">
        <v>1031</v>
      </c>
      <c r="D101" s="72">
        <f>VLOOKUP(Table88[[#This Row],[NAME]],CIN_H[[NAME]:['#]],2,0)</f>
        <v>0.20754716981132076</v>
      </c>
      <c r="E101" s="72">
        <f>VLOOKUP(Table88[[#This Row],[NAME]],CIN_H[[NAME]:['#]],3,0)</f>
        <v>0.3</v>
      </c>
      <c r="F101" s="72">
        <f>VLOOKUP(Table88[[#This Row],[NAME]],CIN_H[[NAME]:['#]],4,0)</f>
        <v>0.35849056603773582</v>
      </c>
      <c r="G101" s="77">
        <f>VLOOKUP(Table88[[#This Row],[NAME]],CIN_H[[NAME]:['#]],5,0)</f>
        <v>33</v>
      </c>
      <c r="H101" s="28">
        <f>VLOOKUP(Table88[[#This Row],[NAME]],CIN_H[[NAME]:['#]],6,0)</f>
        <v>106</v>
      </c>
      <c r="I101" s="28">
        <f>VLOOKUP(Table88[[#This Row],[NAME]],CIN_H[[NAME]:['#]],7,0)</f>
        <v>7</v>
      </c>
      <c r="J101" s="28">
        <f>VLOOKUP(Table88[[#This Row],[NAME]],CIN_H[[NAME]:['#]],8,0)</f>
        <v>22</v>
      </c>
      <c r="K101" s="28">
        <f>VLOOKUP(Table88[[#This Row],[NAME]],CIN_H[[NAME]:['#]],9,0)</f>
        <v>4</v>
      </c>
      <c r="L101" s="28">
        <f>VLOOKUP(Table88[[#This Row],[NAME]],CIN_H[[NAME]:['#]],10,0)</f>
        <v>0</v>
      </c>
      <c r="M101" s="28">
        <f>VLOOKUP(Table88[[#This Row],[NAME]],CIN_H[[NAME]:['#]],11,0)</f>
        <v>4</v>
      </c>
      <c r="N101" s="28">
        <f>VLOOKUP(Table88[[#This Row],[NAME]],CIN_H[[NAME]:['#]],12,0)</f>
        <v>12</v>
      </c>
      <c r="O101" s="28">
        <f>VLOOKUP(Table88[[#This Row],[NAME]],CIN_H[[NAME]:['#]],13,0)</f>
        <v>14</v>
      </c>
      <c r="P101" s="28">
        <f>VLOOKUP(Table88[[#This Row],[NAME]],CIN_H[[NAME]:['#]],14,0)</f>
        <v>24</v>
      </c>
      <c r="Q101" s="77">
        <f>VLOOKUP(Table88[[#This Row],[NAME]],CIN_H[[NAME]:['#]],15,0)</f>
        <v>0</v>
      </c>
      <c r="R101" s="28">
        <f>VLOOKUP(Table88[[#This Row],[NAME]],CIN_H[[NAME]:['#]],16,0)</f>
        <v>2</v>
      </c>
      <c r="S101" s="28">
        <f>VLOOKUP(Table88[[#This Row],[NAME]],CIN_H[[NAME]:['#]],17,0)</f>
        <v>3</v>
      </c>
      <c r="T101" s="77">
        <f>VLOOKUP(Table88[[#This Row],[NAME]],CIN_H[[NAME]:['#]],18,0)</f>
        <v>38</v>
      </c>
      <c r="U101" s="72">
        <f>VLOOKUP(Table88[[#This Row],[NAME]],CIN_H[[NAME]:['#]],19,0)</f>
        <v>0.65849056603773581</v>
      </c>
      <c r="V101" s="28">
        <f>VLOOKUP(Table88[[#This Row],[NAME]],CIN_H[[NAME]:['#]],20,0)</f>
        <v>3</v>
      </c>
      <c r="W101" s="75">
        <v>99</v>
      </c>
      <c r="Z101" s="101" t="s">
        <v>1025</v>
      </c>
      <c r="AA101" s="77" t="s">
        <v>179</v>
      </c>
      <c r="AB101" s="77" t="s">
        <v>1031</v>
      </c>
      <c r="AC101" s="130">
        <v>0.22695035460992907</v>
      </c>
      <c r="AD101" s="72">
        <v>0.30573248407643311</v>
      </c>
      <c r="AE101" s="72">
        <v>0.37588652482269502</v>
      </c>
      <c r="AF101" s="77">
        <v>38</v>
      </c>
      <c r="AG101" s="28">
        <v>141</v>
      </c>
      <c r="AH101" s="28">
        <v>16</v>
      </c>
      <c r="AI101" s="28">
        <v>32</v>
      </c>
      <c r="AJ101" s="28">
        <v>9</v>
      </c>
      <c r="AK101" s="28">
        <v>0</v>
      </c>
      <c r="AL101" s="28">
        <v>4</v>
      </c>
      <c r="AM101" s="28">
        <v>14</v>
      </c>
      <c r="AN101" s="28">
        <v>16</v>
      </c>
      <c r="AO101" s="28">
        <v>38</v>
      </c>
      <c r="AP101" s="77">
        <v>0</v>
      </c>
      <c r="AQ101" s="28">
        <v>0</v>
      </c>
      <c r="AR101" s="28">
        <v>7</v>
      </c>
      <c r="AS101" s="77">
        <v>53</v>
      </c>
      <c r="AT101" s="72">
        <v>0.68161900889912808</v>
      </c>
      <c r="AU101" s="28">
        <v>2</v>
      </c>
      <c r="AV101" s="75">
        <v>99</v>
      </c>
      <c r="AY101" s="101" t="s">
        <v>1025</v>
      </c>
      <c r="AZ101" s="352" t="s">
        <v>179</v>
      </c>
      <c r="BA101" s="77" t="s">
        <v>1031</v>
      </c>
      <c r="BB101" s="130">
        <v>0.25547445255474455</v>
      </c>
      <c r="BC101" s="72">
        <v>0.34615384615384615</v>
      </c>
      <c r="BD101" s="72">
        <v>0.49635036496350365</v>
      </c>
      <c r="BE101" s="77">
        <v>38</v>
      </c>
      <c r="BF101" s="28">
        <v>137</v>
      </c>
      <c r="BG101" s="28">
        <v>20</v>
      </c>
      <c r="BH101" s="28">
        <v>35</v>
      </c>
      <c r="BI101" s="28">
        <v>9</v>
      </c>
      <c r="BJ101" s="28">
        <v>0</v>
      </c>
      <c r="BK101" s="28">
        <v>8</v>
      </c>
      <c r="BL101" s="28">
        <v>19</v>
      </c>
      <c r="BM101" s="28">
        <v>19</v>
      </c>
      <c r="BN101" s="28">
        <v>38</v>
      </c>
      <c r="BO101" s="77">
        <v>0</v>
      </c>
      <c r="BP101" s="28">
        <v>3</v>
      </c>
      <c r="BQ101" s="28">
        <v>4</v>
      </c>
      <c r="BR101" s="77">
        <v>68</v>
      </c>
      <c r="BS101" s="72">
        <v>0.84250421111734974</v>
      </c>
      <c r="BT101" s="28">
        <v>4</v>
      </c>
      <c r="BU101" s="75">
        <v>99</v>
      </c>
    </row>
    <row r="102" spans="1:73">
      <c r="A102" s="101" t="s">
        <v>1025</v>
      </c>
      <c r="B102" s="71" t="s">
        <v>154</v>
      </c>
      <c r="C102" s="77" t="s">
        <v>1035</v>
      </c>
      <c r="D102" s="72">
        <f>VLOOKUP(Table88[[#This Row],[NAME]],CIN_H[[NAME]:['#]],2,0)</f>
        <v>0.19548872180451127</v>
      </c>
      <c r="E102" s="72">
        <f>VLOOKUP(Table88[[#This Row],[NAME]],CIN_H[[NAME]:['#]],3,0)</f>
        <v>0.24113475177304963</v>
      </c>
      <c r="F102" s="72">
        <f>VLOOKUP(Table88[[#This Row],[NAME]],CIN_H[[NAME]:['#]],4,0)</f>
        <v>0.2932330827067669</v>
      </c>
      <c r="G102" s="77">
        <f>VLOOKUP(Table88[[#This Row],[NAME]],CIN_H[[NAME]:['#]],5,0)</f>
        <v>34</v>
      </c>
      <c r="H102" s="28">
        <f>VLOOKUP(Table88[[#This Row],[NAME]],CIN_H[[NAME]:['#]],6,0)</f>
        <v>133</v>
      </c>
      <c r="I102" s="28">
        <f>VLOOKUP(Table88[[#This Row],[NAME]],CIN_H[[NAME]:['#]],7,0)</f>
        <v>6</v>
      </c>
      <c r="J102" s="28">
        <f>VLOOKUP(Table88[[#This Row],[NAME]],CIN_H[[NAME]:['#]],8,0)</f>
        <v>26</v>
      </c>
      <c r="K102" s="28">
        <f>VLOOKUP(Table88[[#This Row],[NAME]],CIN_H[[NAME]:['#]],9,0)</f>
        <v>7</v>
      </c>
      <c r="L102" s="28">
        <f>VLOOKUP(Table88[[#This Row],[NAME]],CIN_H[[NAME]:['#]],10,0)</f>
        <v>0</v>
      </c>
      <c r="M102" s="28">
        <f>VLOOKUP(Table88[[#This Row],[NAME]],CIN_H[[NAME]:['#]],11,0)</f>
        <v>2</v>
      </c>
      <c r="N102" s="28">
        <f>VLOOKUP(Table88[[#This Row],[NAME]],CIN_H[[NAME]:['#]],12,0)</f>
        <v>12</v>
      </c>
      <c r="O102" s="28">
        <f>VLOOKUP(Table88[[#This Row],[NAME]],CIN_H[[NAME]:['#]],13,0)</f>
        <v>8</v>
      </c>
      <c r="P102" s="28">
        <f>VLOOKUP(Table88[[#This Row],[NAME]],CIN_H[[NAME]:['#]],14,0)</f>
        <v>45</v>
      </c>
      <c r="Q102" s="77">
        <f>VLOOKUP(Table88[[#This Row],[NAME]],CIN_H[[NAME]:['#]],15,0)</f>
        <v>0</v>
      </c>
      <c r="R102" s="28">
        <f>VLOOKUP(Table88[[#This Row],[NAME]],CIN_H[[NAME]:['#]],16,0)</f>
        <v>1</v>
      </c>
      <c r="S102" s="28">
        <f>VLOOKUP(Table88[[#This Row],[NAME]],CIN_H[[NAME]:['#]],17,0)</f>
        <v>4</v>
      </c>
      <c r="T102" s="77">
        <f>VLOOKUP(Table88[[#This Row],[NAME]],CIN_H[[NAME]:['#]],18,0)</f>
        <v>39</v>
      </c>
      <c r="U102" s="72">
        <f>VLOOKUP(Table88[[#This Row],[NAME]],CIN_H[[NAME]:['#]],19,0)</f>
        <v>0.53436783447981651</v>
      </c>
      <c r="V102" s="28">
        <f>VLOOKUP(Table88[[#This Row],[NAME]],CIN_H[[NAME]:['#]],20,0)</f>
        <v>1</v>
      </c>
      <c r="W102" s="75">
        <v>100</v>
      </c>
      <c r="Z102" s="101" t="s">
        <v>1025</v>
      </c>
      <c r="AA102" s="77" t="s">
        <v>154</v>
      </c>
      <c r="AB102" s="77" t="s">
        <v>620</v>
      </c>
      <c r="AC102" s="130">
        <v>0.25384615384615383</v>
      </c>
      <c r="AD102" s="72">
        <v>0.32167832167832167</v>
      </c>
      <c r="AE102" s="72">
        <v>0.53076923076923077</v>
      </c>
      <c r="AF102" s="77">
        <v>35</v>
      </c>
      <c r="AG102" s="28">
        <v>130</v>
      </c>
      <c r="AH102" s="28">
        <v>15</v>
      </c>
      <c r="AI102" s="28">
        <v>33</v>
      </c>
      <c r="AJ102" s="28">
        <v>6</v>
      </c>
      <c r="AK102" s="28">
        <v>0</v>
      </c>
      <c r="AL102" s="28">
        <v>10</v>
      </c>
      <c r="AM102" s="28">
        <v>21</v>
      </c>
      <c r="AN102" s="28">
        <v>13</v>
      </c>
      <c r="AO102" s="28">
        <v>40</v>
      </c>
      <c r="AP102" s="77">
        <v>0</v>
      </c>
      <c r="AQ102" s="28">
        <v>1</v>
      </c>
      <c r="AR102" s="28">
        <v>6</v>
      </c>
      <c r="AS102" s="77">
        <v>69</v>
      </c>
      <c r="AT102" s="72">
        <v>0.85244755244755244</v>
      </c>
      <c r="AU102" s="28">
        <v>5</v>
      </c>
      <c r="AV102" s="75">
        <v>100</v>
      </c>
      <c r="AY102" s="101" t="s">
        <v>1025</v>
      </c>
      <c r="AZ102" s="77" t="s">
        <v>154</v>
      </c>
      <c r="BA102" s="77" t="s">
        <v>620</v>
      </c>
      <c r="BB102" s="130">
        <v>0.28301886792452829</v>
      </c>
      <c r="BC102" s="72">
        <v>0.33720930232558138</v>
      </c>
      <c r="BD102" s="72">
        <v>0.42138364779874216</v>
      </c>
      <c r="BE102" s="77">
        <v>40</v>
      </c>
      <c r="BF102" s="28">
        <v>159</v>
      </c>
      <c r="BG102" s="28">
        <v>16</v>
      </c>
      <c r="BH102" s="28">
        <v>45</v>
      </c>
      <c r="BI102" s="28">
        <v>7</v>
      </c>
      <c r="BJ102" s="28">
        <v>0</v>
      </c>
      <c r="BK102" s="28">
        <v>5</v>
      </c>
      <c r="BL102" s="28">
        <v>20</v>
      </c>
      <c r="BM102" s="28">
        <v>13</v>
      </c>
      <c r="BN102" s="28">
        <v>47</v>
      </c>
      <c r="BO102" s="77">
        <v>0</v>
      </c>
      <c r="BP102" s="28">
        <v>0</v>
      </c>
      <c r="BQ102" s="28">
        <v>6</v>
      </c>
      <c r="BR102" s="77">
        <v>67</v>
      </c>
      <c r="BS102" s="72">
        <v>0.7585929501243236</v>
      </c>
      <c r="BT102" s="28">
        <v>3</v>
      </c>
      <c r="BU102" s="75">
        <v>100</v>
      </c>
    </row>
    <row r="103" spans="1:73">
      <c r="A103" s="101" t="s">
        <v>1025</v>
      </c>
      <c r="B103" s="71" t="s">
        <v>235</v>
      </c>
      <c r="C103" s="74" t="s">
        <v>1026</v>
      </c>
      <c r="D103" s="72">
        <f>VLOOKUP(Table88[[#This Row],[NAME]],CIN_H[[NAME]:['#]],2,0)</f>
        <v>0.23870967741935484</v>
      </c>
      <c r="E103" s="72">
        <f>VLOOKUP(Table88[[#This Row],[NAME]],CIN_H[[NAME]:['#]],3,0)</f>
        <v>0.30177514792899407</v>
      </c>
      <c r="F103" s="72">
        <f>VLOOKUP(Table88[[#This Row],[NAME]],CIN_H[[NAME]:['#]],4,0)</f>
        <v>0.38709677419354838</v>
      </c>
      <c r="G103" s="77">
        <f>VLOOKUP(Table88[[#This Row],[NAME]],CIN_H[[NAME]:['#]],5,0)</f>
        <v>40</v>
      </c>
      <c r="H103" s="28">
        <f>VLOOKUP(Table88[[#This Row],[NAME]],CIN_H[[NAME]:['#]],6,0)</f>
        <v>155</v>
      </c>
      <c r="I103" s="28">
        <f>VLOOKUP(Table88[[#This Row],[NAME]],CIN_H[[NAME]:['#]],7,0)</f>
        <v>20</v>
      </c>
      <c r="J103" s="28">
        <f>VLOOKUP(Table88[[#This Row],[NAME]],CIN_H[[NAME]:['#]],8,0)</f>
        <v>37</v>
      </c>
      <c r="K103" s="28">
        <f>VLOOKUP(Table88[[#This Row],[NAME]],CIN_H[[NAME]:['#]],9,0)</f>
        <v>10</v>
      </c>
      <c r="L103" s="28">
        <f>VLOOKUP(Table88[[#This Row],[NAME]],CIN_H[[NAME]:['#]],10,0)</f>
        <v>2</v>
      </c>
      <c r="M103" s="28">
        <f>VLOOKUP(Table88[[#This Row],[NAME]],CIN_H[[NAME]:['#]],11,0)</f>
        <v>3</v>
      </c>
      <c r="N103" s="28">
        <f>VLOOKUP(Table88[[#This Row],[NAME]],CIN_H[[NAME]:['#]],12,0)</f>
        <v>13</v>
      </c>
      <c r="O103" s="28">
        <f>VLOOKUP(Table88[[#This Row],[NAME]],CIN_H[[NAME]:['#]],13,0)</f>
        <v>14</v>
      </c>
      <c r="P103" s="28">
        <f>VLOOKUP(Table88[[#This Row],[NAME]],CIN_H[[NAME]:['#]],14,0)</f>
        <v>52</v>
      </c>
      <c r="Q103" s="77">
        <f>VLOOKUP(Table88[[#This Row],[NAME]],CIN_H[[NAME]:['#]],15,0)</f>
        <v>10</v>
      </c>
      <c r="R103" s="28">
        <f>VLOOKUP(Table88[[#This Row],[NAME]],CIN_H[[NAME]:['#]],16,0)</f>
        <v>0</v>
      </c>
      <c r="S103" s="28">
        <f>VLOOKUP(Table88[[#This Row],[NAME]],CIN_H[[NAME]:['#]],17,0)</f>
        <v>7</v>
      </c>
      <c r="T103" s="77">
        <f>VLOOKUP(Table88[[#This Row],[NAME]],CIN_H[[NAME]:['#]],18,0)</f>
        <v>60</v>
      </c>
      <c r="U103" s="72">
        <f>VLOOKUP(Table88[[#This Row],[NAME]],CIN_H[[NAME]:['#]],19,0)</f>
        <v>0.68887192212254245</v>
      </c>
      <c r="V103" s="28">
        <f>VLOOKUP(Table88[[#This Row],[NAME]],CIN_H[[NAME]:['#]],20,0)</f>
        <v>1</v>
      </c>
      <c r="W103" s="75">
        <v>101</v>
      </c>
      <c r="Z103" s="101" t="s">
        <v>1025</v>
      </c>
      <c r="AA103" s="77" t="s">
        <v>172</v>
      </c>
      <c r="AB103" s="77" t="s">
        <v>1030</v>
      </c>
      <c r="AC103" s="130">
        <v>0.27329192546583853</v>
      </c>
      <c r="AD103" s="72">
        <v>0.35</v>
      </c>
      <c r="AE103" s="72">
        <v>0.40372670807453415</v>
      </c>
      <c r="AF103" s="77">
        <v>38</v>
      </c>
      <c r="AG103" s="28">
        <v>161</v>
      </c>
      <c r="AH103" s="28">
        <v>22</v>
      </c>
      <c r="AI103" s="28">
        <v>44</v>
      </c>
      <c r="AJ103" s="28">
        <v>6</v>
      </c>
      <c r="AK103" s="28">
        <v>0</v>
      </c>
      <c r="AL103" s="28">
        <v>5</v>
      </c>
      <c r="AM103" s="28">
        <v>16</v>
      </c>
      <c r="AN103" s="28">
        <v>19</v>
      </c>
      <c r="AO103" s="28">
        <v>33</v>
      </c>
      <c r="AP103" s="77">
        <v>6</v>
      </c>
      <c r="AQ103" s="28">
        <v>0</v>
      </c>
      <c r="AR103" s="28">
        <v>9</v>
      </c>
      <c r="AS103" s="77">
        <v>65</v>
      </c>
      <c r="AT103" s="72">
        <v>0.75372670807453412</v>
      </c>
      <c r="AU103" s="28">
        <v>2</v>
      </c>
      <c r="AV103" s="75">
        <v>101</v>
      </c>
      <c r="AY103" s="101" t="s">
        <v>1025</v>
      </c>
      <c r="AZ103" s="77" t="s">
        <v>172</v>
      </c>
      <c r="BA103" s="77" t="s">
        <v>1030</v>
      </c>
      <c r="BB103" s="130">
        <v>0.26946107784431139</v>
      </c>
      <c r="BC103" s="72">
        <v>0.34054054054054056</v>
      </c>
      <c r="BD103" s="72">
        <v>0.44910179640718562</v>
      </c>
      <c r="BE103" s="77">
        <v>40</v>
      </c>
      <c r="BF103" s="28">
        <v>167</v>
      </c>
      <c r="BG103" s="28">
        <v>25</v>
      </c>
      <c r="BH103" s="28">
        <v>45</v>
      </c>
      <c r="BI103" s="28">
        <v>7</v>
      </c>
      <c r="BJ103" s="28">
        <v>1</v>
      </c>
      <c r="BK103" s="28">
        <v>7</v>
      </c>
      <c r="BL103" s="28">
        <v>19</v>
      </c>
      <c r="BM103" s="28">
        <v>18</v>
      </c>
      <c r="BN103" s="28">
        <v>34</v>
      </c>
      <c r="BO103" s="77">
        <v>4</v>
      </c>
      <c r="BP103" s="28">
        <v>1</v>
      </c>
      <c r="BQ103" s="28">
        <v>9</v>
      </c>
      <c r="BR103" s="77">
        <v>75</v>
      </c>
      <c r="BS103" s="72">
        <v>0.78964233694772612</v>
      </c>
      <c r="BT103" s="28">
        <v>2</v>
      </c>
      <c r="BU103" s="75">
        <v>101</v>
      </c>
    </row>
    <row r="104" spans="1:73">
      <c r="A104" s="101" t="s">
        <v>1025</v>
      </c>
      <c r="B104" s="71" t="s">
        <v>153</v>
      </c>
      <c r="C104" s="74" t="s">
        <v>1039</v>
      </c>
      <c r="D104" s="72">
        <f>VLOOKUP(Table88[[#This Row],[NAME]],CIN_H[[NAME]:['#]],2,0)</f>
        <v>0.12987012987012986</v>
      </c>
      <c r="E104" s="72">
        <f>VLOOKUP(Table88[[#This Row],[NAME]],CIN_H[[NAME]:['#]],3,0)</f>
        <v>0.18292682926829268</v>
      </c>
      <c r="F104" s="72">
        <f>VLOOKUP(Table88[[#This Row],[NAME]],CIN_H[[NAME]:['#]],4,0)</f>
        <v>0.27272727272727271</v>
      </c>
      <c r="G104" s="77">
        <f>VLOOKUP(Table88[[#This Row],[NAME]],CIN_H[[NAME]:['#]],5,0)</f>
        <v>23</v>
      </c>
      <c r="H104" s="28">
        <f>VLOOKUP(Table88[[#This Row],[NAME]],CIN_H[[NAME]:['#]],6,0)</f>
        <v>77</v>
      </c>
      <c r="I104" s="28">
        <f>VLOOKUP(Table88[[#This Row],[NAME]],CIN_H[[NAME]:['#]],7,0)</f>
        <v>7</v>
      </c>
      <c r="J104" s="28">
        <f>VLOOKUP(Table88[[#This Row],[NAME]],CIN_H[[NAME]:['#]],8,0)</f>
        <v>10</v>
      </c>
      <c r="K104" s="28">
        <f>VLOOKUP(Table88[[#This Row],[NAME]],CIN_H[[NAME]:['#]],9,0)</f>
        <v>0</v>
      </c>
      <c r="L104" s="28">
        <f>VLOOKUP(Table88[[#This Row],[NAME]],CIN_H[[NAME]:['#]],10,0)</f>
        <v>1</v>
      </c>
      <c r="M104" s="28">
        <f>VLOOKUP(Table88[[#This Row],[NAME]],CIN_H[[NAME]:['#]],11,0)</f>
        <v>3</v>
      </c>
      <c r="N104" s="28">
        <f>VLOOKUP(Table88[[#This Row],[NAME]],CIN_H[[NAME]:['#]],12,0)</f>
        <v>6</v>
      </c>
      <c r="O104" s="28">
        <f>VLOOKUP(Table88[[#This Row],[NAME]],CIN_H[[NAME]:['#]],13,0)</f>
        <v>5</v>
      </c>
      <c r="P104" s="28">
        <f>VLOOKUP(Table88[[#This Row],[NAME]],CIN_H[[NAME]:['#]],14,0)</f>
        <v>23</v>
      </c>
      <c r="Q104" s="77">
        <f>VLOOKUP(Table88[[#This Row],[NAME]],CIN_H[[NAME]:['#]],15,0)</f>
        <v>0</v>
      </c>
      <c r="R104" s="28">
        <f>VLOOKUP(Table88[[#This Row],[NAME]],CIN_H[[NAME]:['#]],16,0)</f>
        <v>0</v>
      </c>
      <c r="S104" s="28">
        <f>VLOOKUP(Table88[[#This Row],[NAME]],CIN_H[[NAME]:['#]],17,0)</f>
        <v>1</v>
      </c>
      <c r="T104" s="77">
        <f>VLOOKUP(Table88[[#This Row],[NAME]],CIN_H[[NAME]:['#]],18,0)</f>
        <v>21</v>
      </c>
      <c r="U104" s="72">
        <f>VLOOKUP(Table88[[#This Row],[NAME]],CIN_H[[NAME]:['#]],19,0)</f>
        <v>0.45565410199556539</v>
      </c>
      <c r="V104" s="28">
        <f>VLOOKUP(Table88[[#This Row],[NAME]],CIN_H[[NAME]:['#]],20,0)</f>
        <v>1</v>
      </c>
      <c r="W104" s="75">
        <v>102</v>
      </c>
      <c r="Z104" s="101" t="s">
        <v>1025</v>
      </c>
      <c r="AA104" s="77" t="s">
        <v>311</v>
      </c>
      <c r="AB104" s="77" t="s">
        <v>1039</v>
      </c>
      <c r="AC104" s="130">
        <v>0.22580645161290322</v>
      </c>
      <c r="AD104" s="72">
        <v>0.29411764705882354</v>
      </c>
      <c r="AE104" s="72">
        <v>0.41935483870967744</v>
      </c>
      <c r="AF104" s="77">
        <v>10</v>
      </c>
      <c r="AG104" s="28">
        <v>31</v>
      </c>
      <c r="AH104" s="28">
        <v>4</v>
      </c>
      <c r="AI104" s="28">
        <v>7</v>
      </c>
      <c r="AJ104" s="28">
        <v>0</v>
      </c>
      <c r="AK104" s="28">
        <v>0</v>
      </c>
      <c r="AL104" s="28">
        <v>2</v>
      </c>
      <c r="AM104" s="28">
        <v>2</v>
      </c>
      <c r="AN104" s="28">
        <v>3</v>
      </c>
      <c r="AO104" s="28">
        <v>9</v>
      </c>
      <c r="AP104" s="77">
        <v>0</v>
      </c>
      <c r="AQ104" s="28">
        <v>0</v>
      </c>
      <c r="AR104" s="28">
        <v>2</v>
      </c>
      <c r="AS104" s="77">
        <v>13</v>
      </c>
      <c r="AT104" s="72">
        <v>0.71347248576850097</v>
      </c>
      <c r="AU104" s="28">
        <v>0</v>
      </c>
      <c r="AV104" s="75">
        <v>102</v>
      </c>
      <c r="AY104" s="101" t="s">
        <v>1025</v>
      </c>
      <c r="AZ104" s="77" t="s">
        <v>153</v>
      </c>
      <c r="BA104" s="77" t="s">
        <v>1037</v>
      </c>
      <c r="BB104" s="130">
        <v>0.21</v>
      </c>
      <c r="BC104" s="72">
        <v>0.26851851851851855</v>
      </c>
      <c r="BD104" s="72">
        <v>0.33</v>
      </c>
      <c r="BE104" s="77">
        <v>32</v>
      </c>
      <c r="BF104" s="28">
        <v>100</v>
      </c>
      <c r="BG104" s="28">
        <v>12</v>
      </c>
      <c r="BH104" s="28">
        <v>21</v>
      </c>
      <c r="BI104" s="28">
        <v>3</v>
      </c>
      <c r="BJ104" s="28">
        <v>0</v>
      </c>
      <c r="BK104" s="28">
        <v>3</v>
      </c>
      <c r="BL104" s="28">
        <v>9</v>
      </c>
      <c r="BM104" s="28">
        <v>8</v>
      </c>
      <c r="BN104" s="28">
        <v>20</v>
      </c>
      <c r="BO104" s="77">
        <v>0</v>
      </c>
      <c r="BP104" s="28">
        <v>2</v>
      </c>
      <c r="BQ104" s="28">
        <v>3</v>
      </c>
      <c r="BR104" s="77">
        <v>33</v>
      </c>
      <c r="BS104" s="72">
        <v>0.59851851851851856</v>
      </c>
      <c r="BT104" s="28">
        <v>1</v>
      </c>
      <c r="BU104" s="75">
        <v>102</v>
      </c>
    </row>
    <row r="105" spans="1:73">
      <c r="A105" s="101" t="s">
        <v>1025</v>
      </c>
      <c r="B105" s="71" t="s">
        <v>177</v>
      </c>
      <c r="C105" s="74" t="s">
        <v>1027</v>
      </c>
      <c r="D105" s="72">
        <f>VLOOKUP(Table88[[#This Row],[NAME]],CIN_H[[NAME]:['#]],2,0)</f>
        <v>0.23972602739726026</v>
      </c>
      <c r="E105" s="72">
        <f>VLOOKUP(Table88[[#This Row],[NAME]],CIN_H[[NAME]:['#]],3,0)</f>
        <v>0.32317073170731708</v>
      </c>
      <c r="F105" s="72">
        <f>VLOOKUP(Table88[[#This Row],[NAME]],CIN_H[[NAME]:['#]],4,0)</f>
        <v>0.34246575342465752</v>
      </c>
      <c r="G105" s="77">
        <f>VLOOKUP(Table88[[#This Row],[NAME]],CIN_H[[NAME]:['#]],5,0)</f>
        <v>38</v>
      </c>
      <c r="H105" s="28">
        <f>VLOOKUP(Table88[[#This Row],[NAME]],CIN_H[[NAME]:['#]],6,0)</f>
        <v>146</v>
      </c>
      <c r="I105" s="28">
        <f>VLOOKUP(Table88[[#This Row],[NAME]],CIN_H[[NAME]:['#]],7,0)</f>
        <v>15</v>
      </c>
      <c r="J105" s="28">
        <f>VLOOKUP(Table88[[#This Row],[NAME]],CIN_H[[NAME]:['#]],8,0)</f>
        <v>35</v>
      </c>
      <c r="K105" s="28">
        <f>VLOOKUP(Table88[[#This Row],[NAME]],CIN_H[[NAME]:['#]],9,0)</f>
        <v>6</v>
      </c>
      <c r="L105" s="28">
        <f>VLOOKUP(Table88[[#This Row],[NAME]],CIN_H[[NAME]:['#]],10,0)</f>
        <v>0</v>
      </c>
      <c r="M105" s="28">
        <f>VLOOKUP(Table88[[#This Row],[NAME]],CIN_H[[NAME]:['#]],11,0)</f>
        <v>3</v>
      </c>
      <c r="N105" s="28">
        <f>VLOOKUP(Table88[[#This Row],[NAME]],CIN_H[[NAME]:['#]],12,0)</f>
        <v>11</v>
      </c>
      <c r="O105" s="28">
        <f>VLOOKUP(Table88[[#This Row],[NAME]],CIN_H[[NAME]:['#]],13,0)</f>
        <v>18</v>
      </c>
      <c r="P105" s="28">
        <f>VLOOKUP(Table88[[#This Row],[NAME]],CIN_H[[NAME]:['#]],14,0)</f>
        <v>40</v>
      </c>
      <c r="Q105" s="77">
        <f>VLOOKUP(Table88[[#This Row],[NAME]],CIN_H[[NAME]:['#]],15,0)</f>
        <v>0</v>
      </c>
      <c r="R105" s="28">
        <f>VLOOKUP(Table88[[#This Row],[NAME]],CIN_H[[NAME]:['#]],16,0)</f>
        <v>1</v>
      </c>
      <c r="S105" s="28">
        <f>VLOOKUP(Table88[[#This Row],[NAME]],CIN_H[[NAME]:['#]],17,0)</f>
        <v>5</v>
      </c>
      <c r="T105" s="77">
        <f>VLOOKUP(Table88[[#This Row],[NAME]],CIN_H[[NAME]:['#]],18,0)</f>
        <v>50</v>
      </c>
      <c r="U105" s="72">
        <f>VLOOKUP(Table88[[#This Row],[NAME]],CIN_H[[NAME]:['#]],19,0)</f>
        <v>0.6656364851319746</v>
      </c>
      <c r="V105" s="28">
        <f>VLOOKUP(Table88[[#This Row],[NAME]],CIN_H[[NAME]:['#]],20,0)</f>
        <v>2</v>
      </c>
      <c r="W105" s="75">
        <v>103</v>
      </c>
      <c r="Z105" s="101" t="s">
        <v>1025</v>
      </c>
      <c r="AA105" s="77" t="s">
        <v>177</v>
      </c>
      <c r="AB105" s="77" t="s">
        <v>1027</v>
      </c>
      <c r="AC105" s="130">
        <v>0.30821917808219179</v>
      </c>
      <c r="AD105" s="72">
        <v>0.41279069767441862</v>
      </c>
      <c r="AE105" s="72">
        <v>0.5547945205479452</v>
      </c>
      <c r="AF105" s="77">
        <v>38</v>
      </c>
      <c r="AG105" s="28">
        <v>146</v>
      </c>
      <c r="AH105" s="28">
        <v>13</v>
      </c>
      <c r="AI105" s="28">
        <v>45</v>
      </c>
      <c r="AJ105" s="28">
        <v>9</v>
      </c>
      <c r="AK105" s="28">
        <v>0</v>
      </c>
      <c r="AL105" s="28">
        <v>9</v>
      </c>
      <c r="AM105" s="28">
        <v>21</v>
      </c>
      <c r="AN105" s="28">
        <v>26</v>
      </c>
      <c r="AO105" s="28">
        <v>36</v>
      </c>
      <c r="AP105" s="77">
        <v>0</v>
      </c>
      <c r="AQ105" s="28">
        <v>0</v>
      </c>
      <c r="AR105" s="28">
        <v>7</v>
      </c>
      <c r="AS105" s="77">
        <v>81</v>
      </c>
      <c r="AT105" s="72">
        <v>0.96758521822236387</v>
      </c>
      <c r="AU105" s="28">
        <v>1</v>
      </c>
      <c r="AV105" s="75">
        <v>103</v>
      </c>
      <c r="AY105" s="101" t="s">
        <v>1025</v>
      </c>
      <c r="AZ105" s="77" t="s">
        <v>177</v>
      </c>
      <c r="BA105" s="77" t="s">
        <v>1027</v>
      </c>
      <c r="BB105" s="130">
        <v>0.25850340136054423</v>
      </c>
      <c r="BC105" s="72">
        <v>0.35882352941176471</v>
      </c>
      <c r="BD105" s="72">
        <v>0.43537414965986393</v>
      </c>
      <c r="BE105" s="77">
        <v>38</v>
      </c>
      <c r="BF105" s="28">
        <v>147</v>
      </c>
      <c r="BG105" s="28">
        <v>20</v>
      </c>
      <c r="BH105" s="28">
        <v>38</v>
      </c>
      <c r="BI105" s="28">
        <v>11</v>
      </c>
      <c r="BJ105" s="28">
        <v>0</v>
      </c>
      <c r="BK105" s="28">
        <v>5</v>
      </c>
      <c r="BL105" s="28">
        <v>15</v>
      </c>
      <c r="BM105" s="28">
        <v>23</v>
      </c>
      <c r="BN105" s="28">
        <v>44</v>
      </c>
      <c r="BO105" s="77">
        <v>0</v>
      </c>
      <c r="BP105" s="28">
        <v>0</v>
      </c>
      <c r="BQ105" s="28">
        <v>5</v>
      </c>
      <c r="BR105" s="77">
        <v>64</v>
      </c>
      <c r="BS105" s="72">
        <v>0.79419767907162864</v>
      </c>
      <c r="BT105" s="28">
        <v>3</v>
      </c>
      <c r="BU105" s="75">
        <v>103</v>
      </c>
    </row>
    <row r="106" spans="1:73">
      <c r="A106" s="101" t="s">
        <v>1025</v>
      </c>
      <c r="B106" s="71" t="s">
        <v>174</v>
      </c>
      <c r="C106" s="74" t="s">
        <v>1034</v>
      </c>
      <c r="D106" s="72">
        <f>VLOOKUP(Table88[[#This Row],[NAME]],CIN_H[[NAME]:['#]],2,0)</f>
        <v>0.1941747572815534</v>
      </c>
      <c r="E106" s="72">
        <f>VLOOKUP(Table88[[#This Row],[NAME]],CIN_H[[NAME]:['#]],3,0)</f>
        <v>0.26548672566371684</v>
      </c>
      <c r="F106" s="72">
        <f>VLOOKUP(Table88[[#This Row],[NAME]],CIN_H[[NAME]:['#]],4,0)</f>
        <v>0.41747572815533979</v>
      </c>
      <c r="G106" s="77">
        <f>VLOOKUP(Table88[[#This Row],[NAME]],CIN_H[[NAME]:['#]],5,0)</f>
        <v>29</v>
      </c>
      <c r="H106" s="28">
        <f>VLOOKUP(Table88[[#This Row],[NAME]],CIN_H[[NAME]:['#]],6,0)</f>
        <v>103</v>
      </c>
      <c r="I106" s="28">
        <f>VLOOKUP(Table88[[#This Row],[NAME]],CIN_H[[NAME]:['#]],7,0)</f>
        <v>7</v>
      </c>
      <c r="J106" s="28">
        <f>VLOOKUP(Table88[[#This Row],[NAME]],CIN_H[[NAME]:['#]],8,0)</f>
        <v>20</v>
      </c>
      <c r="K106" s="28">
        <f>VLOOKUP(Table88[[#This Row],[NAME]],CIN_H[[NAME]:['#]],9,0)</f>
        <v>6</v>
      </c>
      <c r="L106" s="28">
        <f>VLOOKUP(Table88[[#This Row],[NAME]],CIN_H[[NAME]:['#]],10,0)</f>
        <v>1</v>
      </c>
      <c r="M106" s="28">
        <f>VLOOKUP(Table88[[#This Row],[NAME]],CIN_H[[NAME]:['#]],11,0)</f>
        <v>5</v>
      </c>
      <c r="N106" s="28">
        <f>VLOOKUP(Table88[[#This Row],[NAME]],CIN_H[[NAME]:['#]],12,0)</f>
        <v>14</v>
      </c>
      <c r="O106" s="28">
        <f>VLOOKUP(Table88[[#This Row],[NAME]],CIN_H[[NAME]:['#]],13,0)</f>
        <v>10</v>
      </c>
      <c r="P106" s="28">
        <f>VLOOKUP(Table88[[#This Row],[NAME]],CIN_H[[NAME]:['#]],14,0)</f>
        <v>37</v>
      </c>
      <c r="Q106" s="77">
        <f>VLOOKUP(Table88[[#This Row],[NAME]],CIN_H[[NAME]:['#]],15,0)</f>
        <v>0</v>
      </c>
      <c r="R106" s="28">
        <f>VLOOKUP(Table88[[#This Row],[NAME]],CIN_H[[NAME]:['#]],16,0)</f>
        <v>0</v>
      </c>
      <c r="S106" s="28">
        <f>VLOOKUP(Table88[[#This Row],[NAME]],CIN_H[[NAME]:['#]],17,0)</f>
        <v>5</v>
      </c>
      <c r="T106" s="77">
        <f>VLOOKUP(Table88[[#This Row],[NAME]],CIN_H[[NAME]:['#]],18,0)</f>
        <v>43</v>
      </c>
      <c r="U106" s="72">
        <f>VLOOKUP(Table88[[#This Row],[NAME]],CIN_H[[NAME]:['#]],19,0)</f>
        <v>0.68296245381905663</v>
      </c>
      <c r="V106" s="28">
        <f>VLOOKUP(Table88[[#This Row],[NAME]],CIN_H[[NAME]:['#]],20,0)</f>
        <v>1</v>
      </c>
      <c r="W106" s="75">
        <v>104</v>
      </c>
      <c r="Z106" s="101" t="s">
        <v>1025</v>
      </c>
      <c r="AA106" s="77" t="s">
        <v>174</v>
      </c>
      <c r="AB106" s="77" t="s">
        <v>1028</v>
      </c>
      <c r="AC106" s="130">
        <v>0.22352941176470589</v>
      </c>
      <c r="AD106" s="72">
        <v>0.2864864864864865</v>
      </c>
      <c r="AE106" s="72">
        <v>0.47058823529411764</v>
      </c>
      <c r="AF106" s="77">
        <v>40</v>
      </c>
      <c r="AG106" s="28">
        <v>170</v>
      </c>
      <c r="AH106" s="28">
        <v>24</v>
      </c>
      <c r="AI106" s="28">
        <v>38</v>
      </c>
      <c r="AJ106" s="28">
        <v>7</v>
      </c>
      <c r="AK106" s="76">
        <v>4</v>
      </c>
      <c r="AL106" s="28">
        <v>9</v>
      </c>
      <c r="AM106" s="28">
        <v>25</v>
      </c>
      <c r="AN106" s="28">
        <v>15</v>
      </c>
      <c r="AO106" s="28">
        <v>44</v>
      </c>
      <c r="AP106" s="77">
        <v>0</v>
      </c>
      <c r="AQ106" s="28">
        <v>0</v>
      </c>
      <c r="AR106" s="28">
        <v>10</v>
      </c>
      <c r="AS106" s="77">
        <v>80</v>
      </c>
      <c r="AT106" s="72">
        <v>0.7570747217806042</v>
      </c>
      <c r="AU106" s="28">
        <v>4</v>
      </c>
      <c r="AV106" s="75">
        <v>104</v>
      </c>
      <c r="AY106" s="101" t="s">
        <v>1025</v>
      </c>
      <c r="AZ106" s="77" t="s">
        <v>174</v>
      </c>
      <c r="BA106" s="77" t="s">
        <v>1034</v>
      </c>
      <c r="BB106" s="130">
        <v>0.18791946308724833</v>
      </c>
      <c r="BC106" s="72">
        <v>0.25308641975308643</v>
      </c>
      <c r="BD106" s="72">
        <v>0.33557046979865773</v>
      </c>
      <c r="BE106" s="77">
        <v>40</v>
      </c>
      <c r="BF106" s="28">
        <v>149</v>
      </c>
      <c r="BG106" s="28">
        <v>15</v>
      </c>
      <c r="BH106" s="28">
        <v>28</v>
      </c>
      <c r="BI106" s="28">
        <v>4</v>
      </c>
      <c r="BJ106" s="28">
        <v>0</v>
      </c>
      <c r="BK106" s="28">
        <v>6</v>
      </c>
      <c r="BL106" s="28">
        <v>19</v>
      </c>
      <c r="BM106" s="28">
        <v>13</v>
      </c>
      <c r="BN106" s="28">
        <v>52</v>
      </c>
      <c r="BO106" s="77">
        <v>0</v>
      </c>
      <c r="BP106" s="28">
        <v>0</v>
      </c>
      <c r="BQ106" s="28">
        <v>3</v>
      </c>
      <c r="BR106" s="77">
        <v>50</v>
      </c>
      <c r="BS106" s="72">
        <v>0.58865688955174411</v>
      </c>
      <c r="BT106" s="28">
        <v>2</v>
      </c>
      <c r="BU106" s="75">
        <v>104</v>
      </c>
    </row>
    <row r="107" spans="1:73">
      <c r="A107" s="101" t="s">
        <v>1025</v>
      </c>
      <c r="B107" s="71" t="s">
        <v>181</v>
      </c>
      <c r="C107" s="74" t="s">
        <v>1029</v>
      </c>
      <c r="D107" s="72">
        <f>VLOOKUP(Table88[[#This Row],[NAME]],CIN_H[[NAME]:['#]],2,0)</f>
        <v>0.22368421052631579</v>
      </c>
      <c r="E107" s="72">
        <f>VLOOKUP(Table88[[#This Row],[NAME]],CIN_H[[NAME]:['#]],3,0)</f>
        <v>0.30588235294117649</v>
      </c>
      <c r="F107" s="72">
        <f>VLOOKUP(Table88[[#This Row],[NAME]],CIN_H[[NAME]:['#]],4,0)</f>
        <v>0.33552631578947367</v>
      </c>
      <c r="G107" s="77">
        <f>VLOOKUP(Table88[[#This Row],[NAME]],CIN_H[[NAME]:['#]],5,0)</f>
        <v>39</v>
      </c>
      <c r="H107" s="28">
        <f>VLOOKUP(Table88[[#This Row],[NAME]],CIN_H[[NAME]:['#]],6,0)</f>
        <v>152</v>
      </c>
      <c r="I107" s="28">
        <f>VLOOKUP(Table88[[#This Row],[NAME]],CIN_H[[NAME]:['#]],7,0)</f>
        <v>19</v>
      </c>
      <c r="J107" s="28">
        <f>VLOOKUP(Table88[[#This Row],[NAME]],CIN_H[[NAME]:['#]],8,0)</f>
        <v>34</v>
      </c>
      <c r="K107" s="28">
        <f>VLOOKUP(Table88[[#This Row],[NAME]],CIN_H[[NAME]:['#]],9,0)</f>
        <v>5</v>
      </c>
      <c r="L107" s="28">
        <f>VLOOKUP(Table88[[#This Row],[NAME]],CIN_H[[NAME]:['#]],10,0)</f>
        <v>0</v>
      </c>
      <c r="M107" s="28">
        <f>VLOOKUP(Table88[[#This Row],[NAME]],CIN_H[[NAME]:['#]],11,0)</f>
        <v>4</v>
      </c>
      <c r="N107" s="28">
        <f>VLOOKUP(Table88[[#This Row],[NAME]],CIN_H[[NAME]:['#]],12,0)</f>
        <v>8</v>
      </c>
      <c r="O107" s="28">
        <f>VLOOKUP(Table88[[#This Row],[NAME]],CIN_H[[NAME]:['#]],13,0)</f>
        <v>18</v>
      </c>
      <c r="P107" s="28">
        <f>VLOOKUP(Table88[[#This Row],[NAME]],CIN_H[[NAME]:['#]],14,0)</f>
        <v>52</v>
      </c>
      <c r="Q107" s="77">
        <f>VLOOKUP(Table88[[#This Row],[NAME]],CIN_H[[NAME]:['#]],15,0)</f>
        <v>18</v>
      </c>
      <c r="R107" s="28">
        <f>VLOOKUP(Table88[[#This Row],[NAME]],CIN_H[[NAME]:['#]],16,0)</f>
        <v>0</v>
      </c>
      <c r="S107" s="28">
        <f>VLOOKUP(Table88[[#This Row],[NAME]],CIN_H[[NAME]:['#]],17,0)</f>
        <v>5</v>
      </c>
      <c r="T107" s="77">
        <f>VLOOKUP(Table88[[#This Row],[NAME]],CIN_H[[NAME]:['#]],18,0)</f>
        <v>51</v>
      </c>
      <c r="U107" s="72">
        <f>VLOOKUP(Table88[[#This Row],[NAME]],CIN_H[[NAME]:['#]],19,0)</f>
        <v>0.64140866873065017</v>
      </c>
      <c r="V107" s="28">
        <f>VLOOKUP(Table88[[#This Row],[NAME]],CIN_H[[NAME]:['#]],20,0)</f>
        <v>1</v>
      </c>
      <c r="W107" s="75">
        <v>105</v>
      </c>
      <c r="Z107" s="101" t="s">
        <v>1025</v>
      </c>
      <c r="AA107" s="77" t="s">
        <v>181</v>
      </c>
      <c r="AB107" s="77" t="s">
        <v>1029</v>
      </c>
      <c r="AC107" s="130">
        <v>0.23749999999999999</v>
      </c>
      <c r="AD107" s="72">
        <v>0.33333333333333331</v>
      </c>
      <c r="AE107" s="72">
        <v>0.44374999999999998</v>
      </c>
      <c r="AF107" s="77">
        <v>40</v>
      </c>
      <c r="AG107" s="28">
        <v>160</v>
      </c>
      <c r="AH107" s="28">
        <v>27</v>
      </c>
      <c r="AI107" s="28">
        <v>38</v>
      </c>
      <c r="AJ107" s="28">
        <v>7</v>
      </c>
      <c r="AK107" s="28">
        <v>1</v>
      </c>
      <c r="AL107" s="28">
        <v>8</v>
      </c>
      <c r="AM107" s="28">
        <v>26</v>
      </c>
      <c r="AN107" s="28">
        <v>23</v>
      </c>
      <c r="AO107" s="28">
        <v>46</v>
      </c>
      <c r="AP107" s="77">
        <v>9</v>
      </c>
      <c r="AQ107" s="28">
        <v>0</v>
      </c>
      <c r="AR107" s="28">
        <v>9</v>
      </c>
      <c r="AS107" s="77">
        <v>71</v>
      </c>
      <c r="AT107" s="72">
        <v>0.77708333333333335</v>
      </c>
      <c r="AU107" s="28">
        <v>5</v>
      </c>
      <c r="AV107" s="75">
        <v>105</v>
      </c>
      <c r="AY107" s="101" t="s">
        <v>1025</v>
      </c>
      <c r="AZ107" s="77" t="s">
        <v>181</v>
      </c>
      <c r="BA107" s="77" t="s">
        <v>1042</v>
      </c>
      <c r="BB107" s="130">
        <v>0.16949152542372881</v>
      </c>
      <c r="BC107" s="72">
        <v>0.25757575757575757</v>
      </c>
      <c r="BD107" s="72">
        <v>0.25423728813559321</v>
      </c>
      <c r="BE107" s="77">
        <v>20</v>
      </c>
      <c r="BF107" s="28">
        <v>59</v>
      </c>
      <c r="BG107" s="28">
        <v>5</v>
      </c>
      <c r="BH107" s="28">
        <v>10</v>
      </c>
      <c r="BI107" s="28">
        <v>2</v>
      </c>
      <c r="BJ107" s="28">
        <v>0</v>
      </c>
      <c r="BK107" s="28">
        <v>1</v>
      </c>
      <c r="BL107" s="28">
        <v>2</v>
      </c>
      <c r="BM107" s="28">
        <v>7</v>
      </c>
      <c r="BN107" s="28">
        <v>17</v>
      </c>
      <c r="BO107" s="77">
        <v>0</v>
      </c>
      <c r="BP107" s="28">
        <v>0</v>
      </c>
      <c r="BQ107" s="28">
        <v>4</v>
      </c>
      <c r="BR107" s="77">
        <v>15</v>
      </c>
      <c r="BS107" s="72">
        <v>0.51181304571135078</v>
      </c>
      <c r="BT107" s="28">
        <v>1</v>
      </c>
      <c r="BU107" s="75">
        <v>105</v>
      </c>
    </row>
    <row r="108" spans="1:73">
      <c r="A108" s="101" t="s">
        <v>1025</v>
      </c>
      <c r="B108" s="71" t="s">
        <v>166</v>
      </c>
      <c r="C108" s="74" t="s">
        <v>1028</v>
      </c>
      <c r="D108" s="72">
        <f>VLOOKUP(Table88[[#This Row],[NAME]],CIN_H[[NAME]:['#]],2,0)</f>
        <v>0.25</v>
      </c>
      <c r="E108" s="72">
        <f>VLOOKUP(Table88[[#This Row],[NAME]],CIN_H[[NAME]:['#]],3,0)</f>
        <v>0.30463576158940397</v>
      </c>
      <c r="F108" s="72">
        <f>VLOOKUP(Table88[[#This Row],[NAME]],CIN_H[[NAME]:['#]],4,0)</f>
        <v>0.36428571428571427</v>
      </c>
      <c r="G108" s="77">
        <f>VLOOKUP(Table88[[#This Row],[NAME]],CIN_H[[NAME]:['#]],5,0)</f>
        <v>36</v>
      </c>
      <c r="H108" s="28">
        <f>VLOOKUP(Table88[[#This Row],[NAME]],CIN_H[[NAME]:['#]],6,0)</f>
        <v>140</v>
      </c>
      <c r="I108" s="28">
        <f>VLOOKUP(Table88[[#This Row],[NAME]],CIN_H[[NAME]:['#]],7,0)</f>
        <v>12</v>
      </c>
      <c r="J108" s="28">
        <f>VLOOKUP(Table88[[#This Row],[NAME]],CIN_H[[NAME]:['#]],8,0)</f>
        <v>35</v>
      </c>
      <c r="K108" s="28">
        <f>VLOOKUP(Table88[[#This Row],[NAME]],CIN_H[[NAME]:['#]],9,0)</f>
        <v>7</v>
      </c>
      <c r="L108" s="28">
        <f>VLOOKUP(Table88[[#This Row],[NAME]],CIN_H[[NAME]:['#]],10,0)</f>
        <v>0</v>
      </c>
      <c r="M108" s="28">
        <f>VLOOKUP(Table88[[#This Row],[NAME]],CIN_H[[NAME]:['#]],11,0)</f>
        <v>3</v>
      </c>
      <c r="N108" s="28">
        <f>VLOOKUP(Table88[[#This Row],[NAME]],CIN_H[[NAME]:['#]],12,0)</f>
        <v>17</v>
      </c>
      <c r="O108" s="28">
        <f>VLOOKUP(Table88[[#This Row],[NAME]],CIN_H[[NAME]:['#]],13,0)</f>
        <v>11</v>
      </c>
      <c r="P108" s="28">
        <f>VLOOKUP(Table88[[#This Row],[NAME]],CIN_H[[NAME]:['#]],14,0)</f>
        <v>37</v>
      </c>
      <c r="Q108" s="77">
        <f>VLOOKUP(Table88[[#This Row],[NAME]],CIN_H[[NAME]:['#]],15,0)</f>
        <v>0</v>
      </c>
      <c r="R108" s="28">
        <f>VLOOKUP(Table88[[#This Row],[NAME]],CIN_H[[NAME]:['#]],16,0)</f>
        <v>1</v>
      </c>
      <c r="S108" s="28">
        <f>VLOOKUP(Table88[[#This Row],[NAME]],CIN_H[[NAME]:['#]],17,0)</f>
        <v>7</v>
      </c>
      <c r="T108" s="77">
        <f>VLOOKUP(Table88[[#This Row],[NAME]],CIN_H[[NAME]:['#]],18,0)</f>
        <v>51</v>
      </c>
      <c r="U108" s="72">
        <f>VLOOKUP(Table88[[#This Row],[NAME]],CIN_H[[NAME]:['#]],19,0)</f>
        <v>0.6689214758751183</v>
      </c>
      <c r="V108" s="28">
        <f>VLOOKUP(Table88[[#This Row],[NAME]],CIN_H[[NAME]:['#]],20,0)</f>
        <v>1</v>
      </c>
      <c r="W108" s="75">
        <v>106</v>
      </c>
      <c r="Z108" s="101" t="s">
        <v>1025</v>
      </c>
      <c r="AA108" s="77" t="s">
        <v>166</v>
      </c>
      <c r="AB108" s="77" t="s">
        <v>1034</v>
      </c>
      <c r="AC108" s="130">
        <v>0.14782608695652175</v>
      </c>
      <c r="AD108" s="72">
        <v>0.2032520325203252</v>
      </c>
      <c r="AE108" s="72">
        <v>0.27826086956521739</v>
      </c>
      <c r="AF108" s="77">
        <v>32</v>
      </c>
      <c r="AG108" s="28">
        <v>115</v>
      </c>
      <c r="AH108" s="28">
        <v>13</v>
      </c>
      <c r="AI108" s="28">
        <v>17</v>
      </c>
      <c r="AJ108" s="28">
        <v>6</v>
      </c>
      <c r="AK108" s="28">
        <v>0</v>
      </c>
      <c r="AL108" s="28">
        <v>3</v>
      </c>
      <c r="AM108" s="28">
        <v>11</v>
      </c>
      <c r="AN108" s="28">
        <v>8</v>
      </c>
      <c r="AO108" s="28">
        <v>34</v>
      </c>
      <c r="AP108" s="77">
        <v>0</v>
      </c>
      <c r="AQ108" s="28">
        <v>2</v>
      </c>
      <c r="AR108" s="28">
        <v>4</v>
      </c>
      <c r="AS108" s="77">
        <v>32</v>
      </c>
      <c r="AT108" s="72">
        <v>0.48151290208554259</v>
      </c>
      <c r="AU108" s="28">
        <v>0</v>
      </c>
      <c r="AV108" s="75">
        <v>106</v>
      </c>
      <c r="AY108" s="101" t="s">
        <v>1025</v>
      </c>
      <c r="AZ108" s="352" t="s">
        <v>166</v>
      </c>
      <c r="BA108" s="77" t="s">
        <v>1028</v>
      </c>
      <c r="BB108" s="503">
        <v>0.3253012048192771</v>
      </c>
      <c r="BC108" s="72">
        <v>0.3672316384180791</v>
      </c>
      <c r="BD108" s="72">
        <v>0.57228915662650603</v>
      </c>
      <c r="BE108" s="77">
        <v>40</v>
      </c>
      <c r="BF108" s="28">
        <v>166</v>
      </c>
      <c r="BG108" s="28">
        <v>23</v>
      </c>
      <c r="BH108" s="76">
        <v>54</v>
      </c>
      <c r="BI108" s="28">
        <v>11</v>
      </c>
      <c r="BJ108" s="28">
        <v>0</v>
      </c>
      <c r="BK108" s="28">
        <v>10</v>
      </c>
      <c r="BL108" s="28">
        <v>28</v>
      </c>
      <c r="BM108" s="28">
        <v>11</v>
      </c>
      <c r="BN108" s="28">
        <v>40</v>
      </c>
      <c r="BO108" s="77">
        <v>0</v>
      </c>
      <c r="BP108" s="28">
        <v>1</v>
      </c>
      <c r="BQ108" s="28">
        <v>13</v>
      </c>
      <c r="BR108" s="77">
        <v>95</v>
      </c>
      <c r="BS108" s="72">
        <v>0.93952079504458519</v>
      </c>
      <c r="BT108" s="28">
        <v>2</v>
      </c>
      <c r="BU108" s="75">
        <v>106</v>
      </c>
    </row>
    <row r="109" spans="1:73">
      <c r="A109" s="101" t="s">
        <v>1025</v>
      </c>
      <c r="B109" s="71" t="s">
        <v>1074</v>
      </c>
      <c r="C109" s="74" t="s">
        <v>1033</v>
      </c>
      <c r="D109" s="72">
        <f>VLOOKUP(Table88[[#This Row],[NAME]],CIN_H[[NAME]:['#]],2,0)</f>
        <v>0.26595744680851063</v>
      </c>
      <c r="E109" s="72">
        <f>VLOOKUP(Table88[[#This Row],[NAME]],CIN_H[[NAME]:['#]],3,0)</f>
        <v>0.3235294117647059</v>
      </c>
      <c r="F109" s="72">
        <f>VLOOKUP(Table88[[#This Row],[NAME]],CIN_H[[NAME]:['#]],4,0)</f>
        <v>0.51063829787234039</v>
      </c>
      <c r="G109" s="77">
        <f>VLOOKUP(Table88[[#This Row],[NAME]],CIN_H[[NAME]:['#]],5,0)</f>
        <v>26</v>
      </c>
      <c r="H109" s="28">
        <f>VLOOKUP(Table88[[#This Row],[NAME]],CIN_H[[NAME]:['#]],6,0)</f>
        <v>94</v>
      </c>
      <c r="I109" s="28">
        <f>VLOOKUP(Table88[[#This Row],[NAME]],CIN_H[[NAME]:['#]],7,0)</f>
        <v>14</v>
      </c>
      <c r="J109" s="28">
        <f>VLOOKUP(Table88[[#This Row],[NAME]],CIN_H[[NAME]:['#]],8,0)</f>
        <v>25</v>
      </c>
      <c r="K109" s="28">
        <f>VLOOKUP(Table88[[#This Row],[NAME]],CIN_H[[NAME]:['#]],9,0)</f>
        <v>2</v>
      </c>
      <c r="L109" s="28">
        <f>VLOOKUP(Table88[[#This Row],[NAME]],CIN_H[[NAME]:['#]],10,0)</f>
        <v>0</v>
      </c>
      <c r="M109" s="28">
        <f>VLOOKUP(Table88[[#This Row],[NAME]],CIN_H[[NAME]:['#]],11,0)</f>
        <v>7</v>
      </c>
      <c r="N109" s="28">
        <f>VLOOKUP(Table88[[#This Row],[NAME]],CIN_H[[NAME]:['#]],12,0)</f>
        <v>13</v>
      </c>
      <c r="O109" s="28">
        <f>VLOOKUP(Table88[[#This Row],[NAME]],CIN_H[[NAME]:['#]],13,0)</f>
        <v>8</v>
      </c>
      <c r="P109" s="28">
        <f>VLOOKUP(Table88[[#This Row],[NAME]],CIN_H[[NAME]:['#]],14,0)</f>
        <v>23</v>
      </c>
      <c r="Q109" s="77">
        <f>VLOOKUP(Table88[[#This Row],[NAME]],CIN_H[[NAME]:['#]],15,0)</f>
        <v>0</v>
      </c>
      <c r="R109" s="28">
        <f>VLOOKUP(Table88[[#This Row],[NAME]],CIN_H[[NAME]:['#]],16,0)</f>
        <v>0</v>
      </c>
      <c r="S109" s="28">
        <f>VLOOKUP(Table88[[#This Row],[NAME]],CIN_H[[NAME]:['#]],17,0)</f>
        <v>7</v>
      </c>
      <c r="T109" s="77">
        <f>VLOOKUP(Table88[[#This Row],[NAME]],CIN_H[[NAME]:['#]],18,0)</f>
        <v>48</v>
      </c>
      <c r="U109" s="72">
        <f>VLOOKUP(Table88[[#This Row],[NAME]],CIN_H[[NAME]:['#]],19,0)</f>
        <v>0.83416770963704634</v>
      </c>
      <c r="V109" s="28">
        <f>VLOOKUP(Table88[[#This Row],[NAME]],CIN_H[[NAME]:['#]],20,0)</f>
        <v>0</v>
      </c>
      <c r="W109" s="75">
        <v>107</v>
      </c>
      <c r="Z109" s="101" t="s">
        <v>1025</v>
      </c>
      <c r="AA109" s="77" t="s">
        <v>168</v>
      </c>
      <c r="AB109" s="77" t="s">
        <v>1036</v>
      </c>
      <c r="AC109" s="130">
        <v>0.28799999999999998</v>
      </c>
      <c r="AD109" s="72">
        <v>0.34558823529411764</v>
      </c>
      <c r="AE109" s="72">
        <v>0.42399999999999999</v>
      </c>
      <c r="AF109" s="77">
        <v>31</v>
      </c>
      <c r="AG109" s="28">
        <v>125</v>
      </c>
      <c r="AH109" s="28">
        <v>20</v>
      </c>
      <c r="AI109" s="28">
        <v>36</v>
      </c>
      <c r="AJ109" s="28">
        <v>5</v>
      </c>
      <c r="AK109" s="28">
        <v>0</v>
      </c>
      <c r="AL109" s="28">
        <v>4</v>
      </c>
      <c r="AM109" s="28">
        <v>19</v>
      </c>
      <c r="AN109" s="28">
        <v>11</v>
      </c>
      <c r="AO109" s="28">
        <v>31</v>
      </c>
      <c r="AP109" s="77">
        <v>0</v>
      </c>
      <c r="AQ109" s="28">
        <v>1</v>
      </c>
      <c r="AR109" s="28">
        <v>11</v>
      </c>
      <c r="AS109" s="77">
        <v>53</v>
      </c>
      <c r="AT109" s="72">
        <v>0.76958823529411768</v>
      </c>
      <c r="AU109" s="28">
        <v>2</v>
      </c>
      <c r="AV109" s="75">
        <v>107</v>
      </c>
      <c r="AY109" s="101" t="s">
        <v>1025</v>
      </c>
      <c r="AZ109" s="77" t="s">
        <v>168</v>
      </c>
      <c r="BA109" s="77" t="s">
        <v>1036</v>
      </c>
      <c r="BB109" s="130">
        <v>0.22018348623853212</v>
      </c>
      <c r="BC109" s="72">
        <v>0.32</v>
      </c>
      <c r="BD109" s="72">
        <v>0.34862385321100919</v>
      </c>
      <c r="BE109" s="77">
        <v>32</v>
      </c>
      <c r="BF109" s="28">
        <v>109</v>
      </c>
      <c r="BG109" s="28">
        <v>9</v>
      </c>
      <c r="BH109" s="28">
        <v>24</v>
      </c>
      <c r="BI109" s="28">
        <v>5</v>
      </c>
      <c r="BJ109" s="28">
        <v>0</v>
      </c>
      <c r="BK109" s="28">
        <v>3</v>
      </c>
      <c r="BL109" s="28">
        <v>10</v>
      </c>
      <c r="BM109" s="28">
        <v>16</v>
      </c>
      <c r="BN109" s="28">
        <v>28</v>
      </c>
      <c r="BO109" s="77">
        <v>0</v>
      </c>
      <c r="BP109" s="28">
        <v>1</v>
      </c>
      <c r="BQ109" s="28">
        <v>4</v>
      </c>
      <c r="BR109" s="77">
        <v>38</v>
      </c>
      <c r="BS109" s="72">
        <v>0.66862385321100914</v>
      </c>
      <c r="BT109" s="28">
        <v>0</v>
      </c>
      <c r="BU109" s="75">
        <v>107</v>
      </c>
    </row>
    <row r="110" spans="1:73">
      <c r="A110" s="101" t="s">
        <v>1025</v>
      </c>
      <c r="B110" s="71" t="s">
        <v>179</v>
      </c>
      <c r="C110" s="74" t="s">
        <v>1044</v>
      </c>
      <c r="D110" s="72">
        <f>VLOOKUP(Table88[[#This Row],[NAME]],CIN_H[[NAME]:['#]],2,0)</f>
        <v>0.17241379310344829</v>
      </c>
      <c r="E110" s="72">
        <f>VLOOKUP(Table88[[#This Row],[NAME]],CIN_H[[NAME]:['#]],3,0)</f>
        <v>0.25</v>
      </c>
      <c r="F110" s="72">
        <f>VLOOKUP(Table88[[#This Row],[NAME]],CIN_H[[NAME]:['#]],4,0)</f>
        <v>0.20689655172413793</v>
      </c>
      <c r="G110" s="77">
        <f>VLOOKUP(Table88[[#This Row],[NAME]],CIN_H[[NAME]:['#]],5,0)</f>
        <v>9</v>
      </c>
      <c r="H110" s="28">
        <f>VLOOKUP(Table88[[#This Row],[NAME]],CIN_H[[NAME]:['#]],6,0)</f>
        <v>29</v>
      </c>
      <c r="I110" s="28">
        <f>VLOOKUP(Table88[[#This Row],[NAME]],CIN_H[[NAME]:['#]],7,0)</f>
        <v>1</v>
      </c>
      <c r="J110" s="28">
        <f>VLOOKUP(Table88[[#This Row],[NAME]],CIN_H[[NAME]:['#]],8,0)</f>
        <v>5</v>
      </c>
      <c r="K110" s="28">
        <f>VLOOKUP(Table88[[#This Row],[NAME]],CIN_H[[NAME]:['#]],9,0)</f>
        <v>1</v>
      </c>
      <c r="L110" s="28">
        <f>VLOOKUP(Table88[[#This Row],[NAME]],CIN_H[[NAME]:['#]],10,0)</f>
        <v>0</v>
      </c>
      <c r="M110" s="28">
        <f>VLOOKUP(Table88[[#This Row],[NAME]],CIN_H[[NAME]:['#]],11,0)</f>
        <v>0</v>
      </c>
      <c r="N110" s="28">
        <f>VLOOKUP(Table88[[#This Row],[NAME]],CIN_H[[NAME]:['#]],12,0)</f>
        <v>1</v>
      </c>
      <c r="O110" s="28">
        <f>VLOOKUP(Table88[[#This Row],[NAME]],CIN_H[[NAME]:['#]],13,0)</f>
        <v>3</v>
      </c>
      <c r="P110" s="28">
        <f>VLOOKUP(Table88[[#This Row],[NAME]],CIN_H[[NAME]:['#]],14,0)</f>
        <v>5</v>
      </c>
      <c r="Q110" s="77">
        <f>VLOOKUP(Table88[[#This Row],[NAME]],CIN_H[[NAME]:['#]],15,0)</f>
        <v>0</v>
      </c>
      <c r="R110" s="28">
        <f>VLOOKUP(Table88[[#This Row],[NAME]],CIN_H[[NAME]:['#]],16,0)</f>
        <v>0</v>
      </c>
      <c r="S110" s="28">
        <f>VLOOKUP(Table88[[#This Row],[NAME]],CIN_H[[NAME]:['#]],17,0)</f>
        <v>1</v>
      </c>
      <c r="T110" s="77">
        <f>VLOOKUP(Table88[[#This Row],[NAME]],CIN_H[[NAME]:['#]],18,0)</f>
        <v>6</v>
      </c>
      <c r="U110" s="72">
        <f>VLOOKUP(Table88[[#This Row],[NAME]],CIN_H[[NAME]:['#]],19,0)</f>
        <v>0.4568965517241379</v>
      </c>
      <c r="V110" s="28">
        <f>VLOOKUP(Table88[[#This Row],[NAME]],CIN_H[[NAME]:['#]],20,0)</f>
        <v>0</v>
      </c>
      <c r="W110" s="75">
        <v>108</v>
      </c>
      <c r="Z110" s="101" t="s">
        <v>1025</v>
      </c>
      <c r="AA110" s="77" t="s">
        <v>179</v>
      </c>
      <c r="AB110" s="77" t="s">
        <v>1044</v>
      </c>
      <c r="AC110" s="130">
        <v>0</v>
      </c>
      <c r="AD110" s="72">
        <v>0</v>
      </c>
      <c r="AE110" s="72">
        <v>0</v>
      </c>
      <c r="AF110" s="77">
        <v>2</v>
      </c>
      <c r="AG110" s="28">
        <v>7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1</v>
      </c>
      <c r="AP110" s="77">
        <v>0</v>
      </c>
      <c r="AQ110" s="28">
        <v>0</v>
      </c>
      <c r="AR110" s="28">
        <v>0</v>
      </c>
      <c r="AS110" s="77">
        <v>0</v>
      </c>
      <c r="AT110" s="72">
        <v>0</v>
      </c>
      <c r="AU110" s="28">
        <v>0</v>
      </c>
      <c r="AV110" s="75">
        <v>108</v>
      </c>
      <c r="AY110" s="101" t="s">
        <v>1025</v>
      </c>
      <c r="AZ110" s="77" t="s">
        <v>179</v>
      </c>
      <c r="BA110" s="77" t="s">
        <v>1044</v>
      </c>
      <c r="BB110" s="130">
        <v>0.25</v>
      </c>
      <c r="BC110" s="72">
        <v>0.25</v>
      </c>
      <c r="BD110" s="72">
        <v>0.25</v>
      </c>
      <c r="BE110" s="77">
        <v>3</v>
      </c>
      <c r="BF110" s="28">
        <v>8</v>
      </c>
      <c r="BG110" s="28">
        <v>0</v>
      </c>
      <c r="BH110" s="28">
        <v>2</v>
      </c>
      <c r="BI110" s="28">
        <v>0</v>
      </c>
      <c r="BJ110" s="28">
        <v>0</v>
      </c>
      <c r="BK110" s="28">
        <v>0</v>
      </c>
      <c r="BL110" s="28">
        <v>1</v>
      </c>
      <c r="BM110" s="28">
        <v>0</v>
      </c>
      <c r="BN110" s="28">
        <v>0</v>
      </c>
      <c r="BO110" s="77">
        <v>0</v>
      </c>
      <c r="BP110" s="28">
        <v>0</v>
      </c>
      <c r="BQ110" s="28">
        <v>2</v>
      </c>
      <c r="BR110" s="77">
        <v>2</v>
      </c>
      <c r="BS110" s="72">
        <v>0.5</v>
      </c>
      <c r="BT110" s="28">
        <v>0</v>
      </c>
      <c r="BU110" s="75">
        <v>108</v>
      </c>
    </row>
    <row r="111" spans="1:73">
      <c r="A111" s="101" t="s">
        <v>1025</v>
      </c>
      <c r="B111" s="71" t="s">
        <v>192</v>
      </c>
      <c r="C111" s="74" t="s">
        <v>1040</v>
      </c>
      <c r="D111" s="72">
        <f>VLOOKUP(Table88[[#This Row],[NAME]],CIN_H[[NAME]:['#]],2,0)</f>
        <v>0.203125</v>
      </c>
      <c r="E111" s="72">
        <f>VLOOKUP(Table88[[#This Row],[NAME]],CIN_H[[NAME]:['#]],3,0)</f>
        <v>0.25</v>
      </c>
      <c r="F111" s="72">
        <f>VLOOKUP(Table88[[#This Row],[NAME]],CIN_H[[NAME]:['#]],4,0)</f>
        <v>0.3125</v>
      </c>
      <c r="G111" s="77">
        <f>VLOOKUP(Table88[[#This Row],[NAME]],CIN_H[[NAME]:['#]],5,0)</f>
        <v>18</v>
      </c>
      <c r="H111" s="28">
        <f>VLOOKUP(Table88[[#This Row],[NAME]],CIN_H[[NAME]:['#]],6,0)</f>
        <v>64</v>
      </c>
      <c r="I111" s="28">
        <f>VLOOKUP(Table88[[#This Row],[NAME]],CIN_H[[NAME]:['#]],7,0)</f>
        <v>5</v>
      </c>
      <c r="J111" s="28">
        <f>VLOOKUP(Table88[[#This Row],[NAME]],CIN_H[[NAME]:['#]],8,0)</f>
        <v>13</v>
      </c>
      <c r="K111" s="28">
        <f>VLOOKUP(Table88[[#This Row],[NAME]],CIN_H[[NAME]:['#]],9,0)</f>
        <v>1</v>
      </c>
      <c r="L111" s="28">
        <f>VLOOKUP(Table88[[#This Row],[NAME]],CIN_H[[NAME]:['#]],10,0)</f>
        <v>0</v>
      </c>
      <c r="M111" s="28">
        <f>VLOOKUP(Table88[[#This Row],[NAME]],CIN_H[[NAME]:['#]],11,0)</f>
        <v>2</v>
      </c>
      <c r="N111" s="28">
        <f>VLOOKUP(Table88[[#This Row],[NAME]],CIN_H[[NAME]:['#]],12,0)</f>
        <v>3</v>
      </c>
      <c r="O111" s="28">
        <f>VLOOKUP(Table88[[#This Row],[NAME]],CIN_H[[NAME]:['#]],13,0)</f>
        <v>4</v>
      </c>
      <c r="P111" s="28">
        <f>VLOOKUP(Table88[[#This Row],[NAME]],CIN_H[[NAME]:['#]],14,0)</f>
        <v>25</v>
      </c>
      <c r="Q111" s="77">
        <f>VLOOKUP(Table88[[#This Row],[NAME]],CIN_H[[NAME]:['#]],15,0)</f>
        <v>0</v>
      </c>
      <c r="R111" s="28">
        <f>VLOOKUP(Table88[[#This Row],[NAME]],CIN_H[[NAME]:['#]],16,0)</f>
        <v>6</v>
      </c>
      <c r="S111" s="28">
        <f>VLOOKUP(Table88[[#This Row],[NAME]],CIN_H[[NAME]:['#]],17,0)</f>
        <v>6</v>
      </c>
      <c r="T111" s="77">
        <f>VLOOKUP(Table88[[#This Row],[NAME]],CIN_H[[NAME]:['#]],18,0)</f>
        <v>20</v>
      </c>
      <c r="U111" s="72">
        <f>VLOOKUP(Table88[[#This Row],[NAME]],CIN_H[[NAME]:['#]],19,0)</f>
        <v>0.5625</v>
      </c>
      <c r="V111" s="28">
        <f>VLOOKUP(Table88[[#This Row],[NAME]],CIN_H[[NAME]:['#]],20,0)</f>
        <v>1</v>
      </c>
      <c r="W111" s="75">
        <v>109</v>
      </c>
      <c r="Z111" s="101" t="s">
        <v>1025</v>
      </c>
      <c r="AA111" s="77" t="s">
        <v>187</v>
      </c>
      <c r="AB111" s="77" t="s">
        <v>1032</v>
      </c>
      <c r="AC111" s="130">
        <v>0.33606557377049179</v>
      </c>
      <c r="AD111" s="72">
        <v>0.38636363636363635</v>
      </c>
      <c r="AE111" s="72">
        <v>0.57377049180327866</v>
      </c>
      <c r="AF111" s="77">
        <v>32</v>
      </c>
      <c r="AG111" s="28">
        <v>122</v>
      </c>
      <c r="AH111" s="28">
        <v>20</v>
      </c>
      <c r="AI111" s="28">
        <v>41</v>
      </c>
      <c r="AJ111" s="28">
        <v>11</v>
      </c>
      <c r="AK111" s="28">
        <v>0</v>
      </c>
      <c r="AL111" s="28">
        <v>6</v>
      </c>
      <c r="AM111" s="28">
        <v>19</v>
      </c>
      <c r="AN111" s="28">
        <v>10</v>
      </c>
      <c r="AO111" s="28">
        <v>12</v>
      </c>
      <c r="AP111" s="77">
        <v>0</v>
      </c>
      <c r="AQ111" s="28">
        <v>1</v>
      </c>
      <c r="AR111" s="28">
        <v>16</v>
      </c>
      <c r="AS111" s="77">
        <v>70</v>
      </c>
      <c r="AT111" s="72">
        <v>0.96013412816691501</v>
      </c>
      <c r="AU111" s="28">
        <v>0</v>
      </c>
      <c r="AV111" s="75">
        <v>109</v>
      </c>
      <c r="AY111" s="101" t="s">
        <v>1025</v>
      </c>
      <c r="AZ111" s="77" t="s">
        <v>154</v>
      </c>
      <c r="BA111" s="77" t="s">
        <v>1032</v>
      </c>
      <c r="BB111" s="130">
        <v>0.25714285714285712</v>
      </c>
      <c r="BC111" s="72">
        <v>0.33333333333333331</v>
      </c>
      <c r="BD111" s="72">
        <v>0.48571428571428571</v>
      </c>
      <c r="BE111" s="77">
        <v>14</v>
      </c>
      <c r="BF111" s="28">
        <v>35</v>
      </c>
      <c r="BG111" s="28">
        <v>7</v>
      </c>
      <c r="BH111" s="28">
        <v>9</v>
      </c>
      <c r="BI111" s="28">
        <v>2</v>
      </c>
      <c r="BJ111" s="28">
        <v>0</v>
      </c>
      <c r="BK111" s="28">
        <v>2</v>
      </c>
      <c r="BL111" s="28">
        <v>8</v>
      </c>
      <c r="BM111" s="28">
        <v>4</v>
      </c>
      <c r="BN111" s="28">
        <v>7</v>
      </c>
      <c r="BO111" s="77">
        <v>0</v>
      </c>
      <c r="BP111" s="28">
        <v>0</v>
      </c>
      <c r="BQ111" s="28">
        <v>4</v>
      </c>
      <c r="BR111" s="77">
        <v>17</v>
      </c>
      <c r="BS111" s="72">
        <v>0.81904761904761902</v>
      </c>
      <c r="BT111" s="28">
        <v>1</v>
      </c>
      <c r="BU111" s="75">
        <v>109</v>
      </c>
    </row>
    <row r="112" spans="1:73">
      <c r="A112" s="101" t="s">
        <v>1025</v>
      </c>
      <c r="B112" s="71" t="s">
        <v>192</v>
      </c>
      <c r="C112" s="77" t="s">
        <v>1041</v>
      </c>
      <c r="D112" s="72">
        <f>VLOOKUP(Table88[[#This Row],[NAME]],CIN_H[[NAME]:['#]],2,0)</f>
        <v>0.2</v>
      </c>
      <c r="E112" s="72">
        <f>VLOOKUP(Table88[[#This Row],[NAME]],CIN_H[[NAME]:['#]],3,0)</f>
        <v>0.25</v>
      </c>
      <c r="F112" s="72">
        <f>VLOOKUP(Table88[[#This Row],[NAME]],CIN_H[[NAME]:['#]],4,0)</f>
        <v>0.5</v>
      </c>
      <c r="G112" s="77">
        <f>VLOOKUP(Table88[[#This Row],[NAME]],CIN_H[[NAME]:['#]],5,0)</f>
        <v>9</v>
      </c>
      <c r="H112" s="28">
        <f>VLOOKUP(Table88[[#This Row],[NAME]],CIN_H[[NAME]:['#]],6,0)</f>
        <v>30</v>
      </c>
      <c r="I112" s="28">
        <f>VLOOKUP(Table88[[#This Row],[NAME]],CIN_H[[NAME]:['#]],7,0)</f>
        <v>2</v>
      </c>
      <c r="J112" s="28">
        <f>VLOOKUP(Table88[[#This Row],[NAME]],CIN_H[[NAME]:['#]],8,0)</f>
        <v>6</v>
      </c>
      <c r="K112" s="28">
        <f>VLOOKUP(Table88[[#This Row],[NAME]],CIN_H[[NAME]:['#]],9,0)</f>
        <v>3</v>
      </c>
      <c r="L112" s="28">
        <f>VLOOKUP(Table88[[#This Row],[NAME]],CIN_H[[NAME]:['#]],10,0)</f>
        <v>0</v>
      </c>
      <c r="M112" s="28">
        <f>VLOOKUP(Table88[[#This Row],[NAME]],CIN_H[[NAME]:['#]],11,0)</f>
        <v>2</v>
      </c>
      <c r="N112" s="28">
        <f>VLOOKUP(Table88[[#This Row],[NAME]],CIN_H[[NAME]:['#]],12,0)</f>
        <v>5</v>
      </c>
      <c r="O112" s="28">
        <f>VLOOKUP(Table88[[#This Row],[NAME]],CIN_H[[NAME]:['#]],13,0)</f>
        <v>2</v>
      </c>
      <c r="P112" s="28">
        <f>VLOOKUP(Table88[[#This Row],[NAME]],CIN_H[[NAME]:['#]],14,0)</f>
        <v>10</v>
      </c>
      <c r="Q112" s="77">
        <f>VLOOKUP(Table88[[#This Row],[NAME]],CIN_H[[NAME]:['#]],15,0)</f>
        <v>0</v>
      </c>
      <c r="R112" s="28">
        <f>VLOOKUP(Table88[[#This Row],[NAME]],CIN_H[[NAME]:['#]],16,0)</f>
        <v>1</v>
      </c>
      <c r="S112" s="28">
        <f>VLOOKUP(Table88[[#This Row],[NAME]],CIN_H[[NAME]:['#]],17,0)</f>
        <v>2</v>
      </c>
      <c r="T112" s="77">
        <f>VLOOKUP(Table88[[#This Row],[NAME]],CIN_H[[NAME]:['#]],18,0)</f>
        <v>15</v>
      </c>
      <c r="U112" s="72">
        <f>VLOOKUP(Table88[[#This Row],[NAME]],CIN_H[[NAME]:['#]],19,0)</f>
        <v>0.75</v>
      </c>
      <c r="V112" s="28">
        <f>VLOOKUP(Table88[[#This Row],[NAME]],CIN_H[[NAME]:['#]],20,0)</f>
        <v>0</v>
      </c>
      <c r="W112" s="75">
        <v>110</v>
      </c>
      <c r="Z112" s="101" t="s">
        <v>1025</v>
      </c>
      <c r="AA112" s="77" t="s">
        <v>187</v>
      </c>
      <c r="AB112" s="77" t="s">
        <v>1035</v>
      </c>
      <c r="AC112" s="130">
        <v>0.19696969696969696</v>
      </c>
      <c r="AD112" s="72">
        <v>0.30263157894736842</v>
      </c>
      <c r="AE112" s="72">
        <v>0.25757575757575757</v>
      </c>
      <c r="AF112" s="77">
        <v>18</v>
      </c>
      <c r="AG112" s="28">
        <v>66</v>
      </c>
      <c r="AH112" s="28">
        <v>6</v>
      </c>
      <c r="AI112" s="28">
        <v>13</v>
      </c>
      <c r="AJ112" s="28">
        <v>1</v>
      </c>
      <c r="AK112" s="28">
        <v>0</v>
      </c>
      <c r="AL112" s="28">
        <v>1</v>
      </c>
      <c r="AM112" s="28">
        <v>4</v>
      </c>
      <c r="AN112" s="28">
        <v>10</v>
      </c>
      <c r="AO112" s="28">
        <v>16</v>
      </c>
      <c r="AP112" s="77">
        <v>0</v>
      </c>
      <c r="AQ112" s="28">
        <v>0</v>
      </c>
      <c r="AR112" s="28">
        <v>5</v>
      </c>
      <c r="AS112" s="77">
        <v>17</v>
      </c>
      <c r="AT112" s="72">
        <v>0.56020733652312593</v>
      </c>
      <c r="AU112" s="28">
        <v>1</v>
      </c>
      <c r="AV112" s="75">
        <v>110</v>
      </c>
      <c r="AY112" s="101" t="s">
        <v>1025</v>
      </c>
      <c r="AZ112" s="77" t="s">
        <v>154</v>
      </c>
      <c r="BA112" s="77" t="s">
        <v>1035</v>
      </c>
      <c r="BB112" s="130">
        <v>0.17777777777777778</v>
      </c>
      <c r="BC112" s="72">
        <v>0.24489795918367346</v>
      </c>
      <c r="BD112" s="72">
        <v>0.37777777777777777</v>
      </c>
      <c r="BE112" s="77">
        <v>12</v>
      </c>
      <c r="BF112" s="28">
        <v>45</v>
      </c>
      <c r="BG112" s="28">
        <v>6</v>
      </c>
      <c r="BH112" s="28">
        <v>8</v>
      </c>
      <c r="BI112" s="28">
        <v>3</v>
      </c>
      <c r="BJ112" s="28">
        <v>0</v>
      </c>
      <c r="BK112" s="28">
        <v>2</v>
      </c>
      <c r="BL112" s="28">
        <v>6</v>
      </c>
      <c r="BM112" s="28">
        <v>4</v>
      </c>
      <c r="BN112" s="28">
        <v>13</v>
      </c>
      <c r="BO112" s="77">
        <v>0</v>
      </c>
      <c r="BP112" s="28">
        <v>0</v>
      </c>
      <c r="BQ112" s="28">
        <v>5</v>
      </c>
      <c r="BR112" s="77">
        <v>17</v>
      </c>
      <c r="BS112" s="72">
        <v>0.62267573696145129</v>
      </c>
      <c r="BT112" s="28">
        <v>0</v>
      </c>
      <c r="BU112" s="75">
        <v>110</v>
      </c>
    </row>
    <row r="113" spans="1:73">
      <c r="A113" s="101" t="s">
        <v>1025</v>
      </c>
      <c r="B113" s="71" t="s">
        <v>186</v>
      </c>
      <c r="C113" s="77" t="s">
        <v>1043</v>
      </c>
      <c r="D113" s="72">
        <f>VLOOKUP(Table88[[#This Row],[NAME]],CIN_H[[NAME]:['#]],2,0)</f>
        <v>0.17948717948717949</v>
      </c>
      <c r="E113" s="72">
        <f>VLOOKUP(Table88[[#This Row],[NAME]],CIN_H[[NAME]:['#]],3,0)</f>
        <v>0.21951219512195122</v>
      </c>
      <c r="F113" s="72">
        <f>VLOOKUP(Table88[[#This Row],[NAME]],CIN_H[[NAME]:['#]],4,0)</f>
        <v>0.20512820512820512</v>
      </c>
      <c r="G113" s="77">
        <f>VLOOKUP(Table88[[#This Row],[NAME]],CIN_H[[NAME]:['#]],5,0)</f>
        <v>10</v>
      </c>
      <c r="H113" s="28">
        <f>VLOOKUP(Table88[[#This Row],[NAME]],CIN_H[[NAME]:['#]],6,0)</f>
        <v>39</v>
      </c>
      <c r="I113" s="28">
        <f>VLOOKUP(Table88[[#This Row],[NAME]],CIN_H[[NAME]:['#]],7,0)</f>
        <v>5</v>
      </c>
      <c r="J113" s="28">
        <f>VLOOKUP(Table88[[#This Row],[NAME]],CIN_H[[NAME]:['#]],8,0)</f>
        <v>7</v>
      </c>
      <c r="K113" s="28">
        <f>VLOOKUP(Table88[[#This Row],[NAME]],CIN_H[[NAME]:['#]],9,0)</f>
        <v>1</v>
      </c>
      <c r="L113" s="28">
        <f>VLOOKUP(Table88[[#This Row],[NAME]],CIN_H[[NAME]:['#]],10,0)</f>
        <v>0</v>
      </c>
      <c r="M113" s="28">
        <f>VLOOKUP(Table88[[#This Row],[NAME]],CIN_H[[NAME]:['#]],11,0)</f>
        <v>0</v>
      </c>
      <c r="N113" s="28">
        <f>VLOOKUP(Table88[[#This Row],[NAME]],CIN_H[[NAME]:['#]],12,0)</f>
        <v>0</v>
      </c>
      <c r="O113" s="28">
        <f>VLOOKUP(Table88[[#This Row],[NAME]],CIN_H[[NAME]:['#]],13,0)</f>
        <v>2</v>
      </c>
      <c r="P113" s="28">
        <f>VLOOKUP(Table88[[#This Row],[NAME]],CIN_H[[NAME]:['#]],14,0)</f>
        <v>9</v>
      </c>
      <c r="Q113" s="77">
        <f>VLOOKUP(Table88[[#This Row],[NAME]],CIN_H[[NAME]:['#]],15,0)</f>
        <v>2</v>
      </c>
      <c r="R113" s="28">
        <f>VLOOKUP(Table88[[#This Row],[NAME]],CIN_H[[NAME]:['#]],16,0)</f>
        <v>0</v>
      </c>
      <c r="S113" s="28">
        <f>VLOOKUP(Table88[[#This Row],[NAME]],CIN_H[[NAME]:['#]],17,0)</f>
        <v>6</v>
      </c>
      <c r="T113" s="77">
        <f>VLOOKUP(Table88[[#This Row],[NAME]],CIN_H[[NAME]:['#]],18,0)</f>
        <v>8</v>
      </c>
      <c r="U113" s="72">
        <f>VLOOKUP(Table88[[#This Row],[NAME]],CIN_H[[NAME]:['#]],19,0)</f>
        <v>0.42464040025015637</v>
      </c>
      <c r="V113" s="28">
        <f>VLOOKUP(Table88[[#This Row],[NAME]],CIN_H[[NAME]:['#]],20,0)</f>
        <v>0</v>
      </c>
      <c r="W113" s="75">
        <v>111</v>
      </c>
      <c r="Z113" s="101" t="s">
        <v>1025</v>
      </c>
      <c r="AA113" s="77" t="s">
        <v>187</v>
      </c>
      <c r="AB113" s="77" t="s">
        <v>1037</v>
      </c>
      <c r="AC113" s="130">
        <v>0.2857142857142857</v>
      </c>
      <c r="AD113" s="72">
        <v>0.2857142857142857</v>
      </c>
      <c r="AE113" s="72">
        <v>0.42857142857142855</v>
      </c>
      <c r="AF113" s="77">
        <v>2</v>
      </c>
      <c r="AG113" s="28">
        <v>7</v>
      </c>
      <c r="AH113" s="28">
        <v>0</v>
      </c>
      <c r="AI113" s="28">
        <v>2</v>
      </c>
      <c r="AJ113" s="28">
        <v>1</v>
      </c>
      <c r="AK113" s="28">
        <v>0</v>
      </c>
      <c r="AL113" s="28">
        <v>0</v>
      </c>
      <c r="AM113" s="28">
        <v>0</v>
      </c>
      <c r="AN113" s="28">
        <v>0</v>
      </c>
      <c r="AO113" s="28">
        <v>2</v>
      </c>
      <c r="AP113" s="77">
        <v>0</v>
      </c>
      <c r="AQ113" s="28">
        <v>2</v>
      </c>
      <c r="AR113" s="28">
        <v>2</v>
      </c>
      <c r="AS113" s="77">
        <v>3</v>
      </c>
      <c r="AT113" s="72">
        <v>0.71428571428571419</v>
      </c>
      <c r="AU113" s="28">
        <v>0</v>
      </c>
      <c r="AV113" s="75">
        <v>111</v>
      </c>
      <c r="AY113" s="101" t="s">
        <v>1025</v>
      </c>
      <c r="AZ113" s="77" t="s">
        <v>186</v>
      </c>
      <c r="BA113" s="77" t="s">
        <v>1038</v>
      </c>
      <c r="BB113" s="130">
        <v>0.19753086419753085</v>
      </c>
      <c r="BC113" s="72">
        <v>0.2696629213483146</v>
      </c>
      <c r="BD113" s="72">
        <v>0.37037037037037035</v>
      </c>
      <c r="BE113" s="77">
        <v>24</v>
      </c>
      <c r="BF113" s="28">
        <v>81</v>
      </c>
      <c r="BG113" s="28">
        <v>10</v>
      </c>
      <c r="BH113" s="28">
        <v>16</v>
      </c>
      <c r="BI113" s="28">
        <v>2</v>
      </c>
      <c r="BJ113" s="28">
        <v>0</v>
      </c>
      <c r="BK113" s="28">
        <v>4</v>
      </c>
      <c r="BL113" s="28">
        <v>12</v>
      </c>
      <c r="BM113" s="28">
        <v>8</v>
      </c>
      <c r="BN113" s="28">
        <v>29</v>
      </c>
      <c r="BO113" s="77">
        <v>0</v>
      </c>
      <c r="BP113" s="28">
        <v>0</v>
      </c>
      <c r="BQ113" s="28">
        <v>4</v>
      </c>
      <c r="BR113" s="77">
        <v>30</v>
      </c>
      <c r="BS113" s="72">
        <v>0.64003329171868495</v>
      </c>
      <c r="BT113" s="28">
        <v>1</v>
      </c>
      <c r="BU113" s="75">
        <v>111</v>
      </c>
    </row>
    <row r="114" spans="1:73">
      <c r="A114" s="101" t="s">
        <v>1025</v>
      </c>
      <c r="B114" s="71" t="s">
        <v>186</v>
      </c>
      <c r="C114" s="28" t="s">
        <v>1036</v>
      </c>
      <c r="D114" s="72">
        <f>VLOOKUP(Table88[[#This Row],[NAME]],CIN_H[[NAME]:['#]],2,0)</f>
        <v>0.22784810126582278</v>
      </c>
      <c r="E114" s="72">
        <f>VLOOKUP(Table88[[#This Row],[NAME]],CIN_H[[NAME]:['#]],3,0)</f>
        <v>0.34408602150537637</v>
      </c>
      <c r="F114" s="72">
        <f>VLOOKUP(Table88[[#This Row],[NAME]],CIN_H[[NAME]:['#]],4,0)</f>
        <v>0.39240506329113922</v>
      </c>
      <c r="G114" s="77">
        <f>VLOOKUP(Table88[[#This Row],[NAME]],CIN_H[[NAME]:['#]],5,0)</f>
        <v>24</v>
      </c>
      <c r="H114" s="28">
        <f>VLOOKUP(Table88[[#This Row],[NAME]],CIN_H[[NAME]:['#]],6,0)</f>
        <v>79</v>
      </c>
      <c r="I114" s="28">
        <f>VLOOKUP(Table88[[#This Row],[NAME]],CIN_H[[NAME]:['#]],7,0)</f>
        <v>9</v>
      </c>
      <c r="J114" s="28">
        <f>VLOOKUP(Table88[[#This Row],[NAME]],CIN_H[[NAME]:['#]],8,0)</f>
        <v>18</v>
      </c>
      <c r="K114" s="28">
        <f>VLOOKUP(Table88[[#This Row],[NAME]],CIN_H[[NAME]:['#]],9,0)</f>
        <v>1</v>
      </c>
      <c r="L114" s="28">
        <f>VLOOKUP(Table88[[#This Row],[NAME]],CIN_H[[NAME]:['#]],10,0)</f>
        <v>0</v>
      </c>
      <c r="M114" s="28">
        <f>VLOOKUP(Table88[[#This Row],[NAME]],CIN_H[[NAME]:['#]],11,0)</f>
        <v>4</v>
      </c>
      <c r="N114" s="28">
        <f>VLOOKUP(Table88[[#This Row],[NAME]],CIN_H[[NAME]:['#]],12,0)</f>
        <v>13</v>
      </c>
      <c r="O114" s="28">
        <f>VLOOKUP(Table88[[#This Row],[NAME]],CIN_H[[NAME]:['#]],13,0)</f>
        <v>14</v>
      </c>
      <c r="P114" s="28">
        <f>VLOOKUP(Table88[[#This Row],[NAME]],CIN_H[[NAME]:['#]],14,0)</f>
        <v>22</v>
      </c>
      <c r="Q114" s="77">
        <f>VLOOKUP(Table88[[#This Row],[NAME]],CIN_H[[NAME]:['#]],15,0)</f>
        <v>0</v>
      </c>
      <c r="R114" s="28">
        <f>VLOOKUP(Table88[[#This Row],[NAME]],CIN_H[[NAME]:['#]],16,0)</f>
        <v>0</v>
      </c>
      <c r="S114" s="28">
        <f>VLOOKUP(Table88[[#This Row],[NAME]],CIN_H[[NAME]:['#]],17,0)</f>
        <v>5</v>
      </c>
      <c r="T114" s="77">
        <f>VLOOKUP(Table88[[#This Row],[NAME]],CIN_H[[NAME]:['#]],18,0)</f>
        <v>31</v>
      </c>
      <c r="U114" s="72">
        <f>VLOOKUP(Table88[[#This Row],[NAME]],CIN_H[[NAME]:['#]],19,0)</f>
        <v>0.73649108479651559</v>
      </c>
      <c r="V114" s="28">
        <f>VLOOKUP(Table88[[#This Row],[NAME]],CIN_H[[NAME]:['#]],20,0)</f>
        <v>2</v>
      </c>
      <c r="W114" s="75">
        <v>112</v>
      </c>
      <c r="Z114" s="101" t="s">
        <v>1025</v>
      </c>
      <c r="AA114" s="77" t="s">
        <v>186</v>
      </c>
      <c r="AB114" s="77" t="s">
        <v>1043</v>
      </c>
      <c r="AC114" s="130">
        <v>9.0909090909090912E-2</v>
      </c>
      <c r="AD114" s="72">
        <v>0.23076923076923078</v>
      </c>
      <c r="AE114" s="72">
        <v>9.0909090909090912E-2</v>
      </c>
      <c r="AF114" s="77">
        <v>3</v>
      </c>
      <c r="AG114" s="28">
        <v>11</v>
      </c>
      <c r="AH114" s="28">
        <v>0</v>
      </c>
      <c r="AI114" s="28">
        <v>1</v>
      </c>
      <c r="AJ114" s="28">
        <v>0</v>
      </c>
      <c r="AK114" s="28">
        <v>0</v>
      </c>
      <c r="AL114" s="28">
        <v>0</v>
      </c>
      <c r="AM114" s="28">
        <v>0</v>
      </c>
      <c r="AN114" s="28">
        <v>2</v>
      </c>
      <c r="AO114" s="28">
        <v>6</v>
      </c>
      <c r="AP114" s="77">
        <v>1</v>
      </c>
      <c r="AQ114" s="28">
        <v>1</v>
      </c>
      <c r="AR114" s="28">
        <v>1</v>
      </c>
      <c r="AS114" s="77">
        <v>1</v>
      </c>
      <c r="AT114" s="72">
        <v>0.32167832167832167</v>
      </c>
      <c r="AU114" s="28">
        <v>0</v>
      </c>
      <c r="AV114" s="75">
        <v>112</v>
      </c>
      <c r="AY114" s="101" t="s">
        <v>1025</v>
      </c>
      <c r="AZ114" s="77" t="s">
        <v>184</v>
      </c>
      <c r="BA114" s="77" t="s">
        <v>1043</v>
      </c>
      <c r="BB114" s="130">
        <v>0.1111111111111111</v>
      </c>
      <c r="BC114" s="72">
        <v>0.27272727272727271</v>
      </c>
      <c r="BD114" s="72">
        <v>0.1111111111111111</v>
      </c>
      <c r="BE114" s="77">
        <v>4</v>
      </c>
      <c r="BF114" s="28">
        <v>9</v>
      </c>
      <c r="BG114" s="28">
        <v>2</v>
      </c>
      <c r="BH114" s="28">
        <v>1</v>
      </c>
      <c r="BI114" s="28">
        <v>0</v>
      </c>
      <c r="BJ114" s="28">
        <v>0</v>
      </c>
      <c r="BK114" s="28">
        <v>0</v>
      </c>
      <c r="BL114" s="28">
        <v>0</v>
      </c>
      <c r="BM114" s="28">
        <v>2</v>
      </c>
      <c r="BN114" s="28">
        <v>5</v>
      </c>
      <c r="BO114" s="77">
        <v>0</v>
      </c>
      <c r="BP114" s="28">
        <v>0</v>
      </c>
      <c r="BQ114" s="28">
        <v>1</v>
      </c>
      <c r="BR114" s="77">
        <v>1</v>
      </c>
      <c r="BS114" s="72">
        <v>0.38383838383838381</v>
      </c>
      <c r="BT114" s="28">
        <v>0</v>
      </c>
      <c r="BU114" s="75">
        <v>112</v>
      </c>
    </row>
    <row r="115" spans="1:73">
      <c r="A115" s="101" t="s">
        <v>1062</v>
      </c>
      <c r="B115" s="71" t="s">
        <v>179</v>
      </c>
      <c r="C115" s="28" t="s">
        <v>842</v>
      </c>
      <c r="D115" s="72">
        <f>VLOOKUP(Table88[[#This Row],[NAME]],MIL_H[[NAME]:['#]],2,0)</f>
        <v>0.25</v>
      </c>
      <c r="E115" s="72">
        <f>VLOOKUP(Table88[[#This Row],[NAME]],MIL_H[[NAME]:['#]],3,0)</f>
        <v>0.30769230769230771</v>
      </c>
      <c r="F115" s="72">
        <f>VLOOKUP(Table88[[#This Row],[NAME]],MIL_H[[NAME]:['#]],4,0)</f>
        <v>0.38194444444444442</v>
      </c>
      <c r="G115" s="77">
        <f>VLOOKUP(Table88[[#This Row],[NAME]],MIL_H[[NAME]:['#]],5,0)</f>
        <v>39</v>
      </c>
      <c r="H115" s="28">
        <f>VLOOKUP(Table88[[#This Row],[NAME]],MIL_H[[NAME]:['#]],6,0)</f>
        <v>144</v>
      </c>
      <c r="I115" s="28">
        <f>VLOOKUP(Table88[[#This Row],[NAME]],MIL_H[[NAME]:['#]],7,0)</f>
        <v>15</v>
      </c>
      <c r="J115" s="28">
        <f>VLOOKUP(Table88[[#This Row],[NAME]],MIL_H[[NAME]:['#]],8,0)</f>
        <v>36</v>
      </c>
      <c r="K115" s="28">
        <f>VLOOKUP(Table88[[#This Row],[NAME]],MIL_H[[NAME]:['#]],9,0)</f>
        <v>10</v>
      </c>
      <c r="L115" s="28">
        <f>VLOOKUP(Table88[[#This Row],[NAME]],MIL_H[[NAME]:['#]],10,0)</f>
        <v>0</v>
      </c>
      <c r="M115" s="28">
        <f>VLOOKUP(Table88[[#This Row],[NAME]],MIL_H[[NAME]:['#]],11,0)</f>
        <v>3</v>
      </c>
      <c r="N115" s="28">
        <f>VLOOKUP(Table88[[#This Row],[NAME]],MIL_H[[NAME]:['#]],12,0)</f>
        <v>13</v>
      </c>
      <c r="O115" s="28">
        <f>VLOOKUP(Table88[[#This Row],[NAME]],MIL_H[[NAME]:['#]],13,0)</f>
        <v>12</v>
      </c>
      <c r="P115" s="28">
        <f>VLOOKUP(Table88[[#This Row],[NAME]],MIL_H[[NAME]:['#]],14,0)</f>
        <v>38</v>
      </c>
      <c r="Q115" s="77">
        <f>VLOOKUP(Table88[[#This Row],[NAME]],MIL_H[[NAME]:['#]],15,0)</f>
        <v>0</v>
      </c>
      <c r="R115" s="28">
        <f>VLOOKUP(Table88[[#This Row],[NAME]],MIL_H[[NAME]:['#]],16,0)</f>
        <v>3</v>
      </c>
      <c r="S115" s="28">
        <f>VLOOKUP(Table88[[#This Row],[NAME]],MIL_H[[NAME]:['#]],17,0)</f>
        <v>8</v>
      </c>
      <c r="T115" s="77">
        <f>VLOOKUP(Table88[[#This Row],[NAME]],MIL_H[[NAME]:['#]],18,0)</f>
        <v>55</v>
      </c>
      <c r="U115" s="72">
        <f>VLOOKUP(Table88[[#This Row],[NAME]],MIL_H[[NAME]:['#]],19,0)</f>
        <v>0.68963675213675213</v>
      </c>
      <c r="V115" s="28">
        <f>VLOOKUP(Table88[[#This Row],[NAME]],MIL_H[[NAME]:['#]],20,0)</f>
        <v>1</v>
      </c>
      <c r="W115" s="75">
        <v>113</v>
      </c>
      <c r="Z115" s="101" t="s">
        <v>1062</v>
      </c>
      <c r="AA115" s="77" t="s">
        <v>179</v>
      </c>
      <c r="AB115" s="77" t="s">
        <v>1068</v>
      </c>
      <c r="AC115" s="130">
        <v>0.28260869565217389</v>
      </c>
      <c r="AD115" s="72">
        <v>0.32191780821917809</v>
      </c>
      <c r="AE115" s="72">
        <v>0.43478260869565216</v>
      </c>
      <c r="AF115" s="77">
        <v>36</v>
      </c>
      <c r="AG115" s="28">
        <v>138</v>
      </c>
      <c r="AH115" s="28">
        <v>11</v>
      </c>
      <c r="AI115" s="28">
        <v>39</v>
      </c>
      <c r="AJ115" s="28">
        <v>9</v>
      </c>
      <c r="AK115" s="28">
        <v>0</v>
      </c>
      <c r="AL115" s="28">
        <v>4</v>
      </c>
      <c r="AM115" s="28">
        <v>13</v>
      </c>
      <c r="AN115" s="28">
        <v>8</v>
      </c>
      <c r="AO115" s="28">
        <v>20</v>
      </c>
      <c r="AP115" s="77">
        <v>0</v>
      </c>
      <c r="AQ115" s="28">
        <v>1</v>
      </c>
      <c r="AR115" s="28">
        <v>7</v>
      </c>
      <c r="AS115" s="77">
        <v>60</v>
      </c>
      <c r="AT115" s="72">
        <v>0.75670041691483025</v>
      </c>
      <c r="AU115" s="28">
        <v>1</v>
      </c>
      <c r="AV115" s="75">
        <v>113</v>
      </c>
      <c r="AY115" s="101" t="s">
        <v>1062</v>
      </c>
      <c r="AZ115" s="77" t="s">
        <v>179</v>
      </c>
      <c r="BA115" s="77" t="s">
        <v>1068</v>
      </c>
      <c r="BB115" s="130">
        <v>0.19548872180451127</v>
      </c>
      <c r="BC115" s="72">
        <v>0.2620689655172414</v>
      </c>
      <c r="BD115" s="72">
        <v>0.27067669172932329</v>
      </c>
      <c r="BE115" s="77">
        <v>38</v>
      </c>
      <c r="BF115" s="28">
        <v>133</v>
      </c>
      <c r="BG115" s="28">
        <v>12</v>
      </c>
      <c r="BH115" s="28">
        <v>26</v>
      </c>
      <c r="BI115" s="28">
        <v>10</v>
      </c>
      <c r="BJ115" s="28">
        <v>0</v>
      </c>
      <c r="BK115" s="28">
        <v>0</v>
      </c>
      <c r="BL115" s="28">
        <v>7</v>
      </c>
      <c r="BM115" s="28">
        <v>12</v>
      </c>
      <c r="BN115" s="28">
        <v>27</v>
      </c>
      <c r="BO115" s="77">
        <v>0</v>
      </c>
      <c r="BP115" s="28">
        <v>3</v>
      </c>
      <c r="BQ115" s="28">
        <v>6</v>
      </c>
      <c r="BR115" s="77">
        <v>36</v>
      </c>
      <c r="BS115" s="72">
        <v>0.53274565724656475</v>
      </c>
      <c r="BT115" s="28">
        <v>2</v>
      </c>
      <c r="BU115" s="75">
        <v>113</v>
      </c>
    </row>
    <row r="116" spans="1:73">
      <c r="A116" s="101" t="s">
        <v>1062</v>
      </c>
      <c r="B116" s="71" t="s">
        <v>154</v>
      </c>
      <c r="C116" s="74" t="s">
        <v>1070</v>
      </c>
      <c r="D116" s="72">
        <f>VLOOKUP(Table88[[#This Row],[NAME]],MIL_H[[NAME]:['#]],2,0)</f>
        <v>0.20567375886524822</v>
      </c>
      <c r="E116" s="72">
        <f>VLOOKUP(Table88[[#This Row],[NAME]],MIL_H[[NAME]:['#]],3,0)</f>
        <v>0.3</v>
      </c>
      <c r="F116" s="72">
        <f>VLOOKUP(Table88[[#This Row],[NAME]],MIL_H[[NAME]:['#]],4,0)</f>
        <v>0.36170212765957449</v>
      </c>
      <c r="G116" s="77">
        <f>VLOOKUP(Table88[[#This Row],[NAME]],MIL_H[[NAME]:['#]],5,0)</f>
        <v>40</v>
      </c>
      <c r="H116" s="28">
        <f>VLOOKUP(Table88[[#This Row],[NAME]],MIL_H[[NAME]:['#]],6,0)</f>
        <v>141</v>
      </c>
      <c r="I116" s="28">
        <f>VLOOKUP(Table88[[#This Row],[NAME]],MIL_H[[NAME]:['#]],7,0)</f>
        <v>17</v>
      </c>
      <c r="J116" s="28">
        <f>VLOOKUP(Table88[[#This Row],[NAME]],MIL_H[[NAME]:['#]],8,0)</f>
        <v>29</v>
      </c>
      <c r="K116" s="28">
        <f>VLOOKUP(Table88[[#This Row],[NAME]],MIL_H[[NAME]:['#]],9,0)</f>
        <v>7</v>
      </c>
      <c r="L116" s="28">
        <f>VLOOKUP(Table88[[#This Row],[NAME]],MIL_H[[NAME]:['#]],10,0)</f>
        <v>0</v>
      </c>
      <c r="M116" s="28">
        <f>VLOOKUP(Table88[[#This Row],[NAME]],MIL_H[[NAME]:['#]],11,0)</f>
        <v>5</v>
      </c>
      <c r="N116" s="28">
        <f>VLOOKUP(Table88[[#This Row],[NAME]],MIL_H[[NAME]:['#]],12,0)</f>
        <v>15</v>
      </c>
      <c r="O116" s="28">
        <f>VLOOKUP(Table88[[#This Row],[NAME]],MIL_H[[NAME]:['#]],13,0)</f>
        <v>19</v>
      </c>
      <c r="P116" s="28">
        <f>VLOOKUP(Table88[[#This Row],[NAME]],MIL_H[[NAME]:['#]],14,0)</f>
        <v>47</v>
      </c>
      <c r="Q116" s="77">
        <f>VLOOKUP(Table88[[#This Row],[NAME]],MIL_H[[NAME]:['#]],15,0)</f>
        <v>0</v>
      </c>
      <c r="R116" s="28">
        <f>VLOOKUP(Table88[[#This Row],[NAME]],MIL_H[[NAME]:['#]],16,0)</f>
        <v>2</v>
      </c>
      <c r="S116" s="28">
        <f>VLOOKUP(Table88[[#This Row],[NAME]],MIL_H[[NAME]:['#]],17,0)</f>
        <v>4</v>
      </c>
      <c r="T116" s="77">
        <f>VLOOKUP(Table88[[#This Row],[NAME]],MIL_H[[NAME]:['#]],18,0)</f>
        <v>51</v>
      </c>
      <c r="U116" s="72">
        <f>VLOOKUP(Table88[[#This Row],[NAME]],MIL_H[[NAME]:['#]],19,0)</f>
        <v>0.66170212765957448</v>
      </c>
      <c r="V116" s="28">
        <f>VLOOKUP(Table88[[#This Row],[NAME]],MIL_H[[NAME]:['#]],20,0)</f>
        <v>2</v>
      </c>
      <c r="W116" s="75">
        <v>114</v>
      </c>
      <c r="Z116" s="101" t="s">
        <v>1062</v>
      </c>
      <c r="AA116" s="77" t="s">
        <v>154</v>
      </c>
      <c r="AB116" s="77" t="s">
        <v>1072</v>
      </c>
      <c r="AC116" s="130">
        <v>0.18253968253968253</v>
      </c>
      <c r="AD116" s="72">
        <v>0.25899280575539568</v>
      </c>
      <c r="AE116" s="72">
        <v>0.35714285714285715</v>
      </c>
      <c r="AF116" s="77">
        <v>36</v>
      </c>
      <c r="AG116" s="28">
        <v>126</v>
      </c>
      <c r="AH116" s="28">
        <v>9</v>
      </c>
      <c r="AI116" s="28">
        <v>23</v>
      </c>
      <c r="AJ116" s="28">
        <v>4</v>
      </c>
      <c r="AK116" s="28">
        <v>0</v>
      </c>
      <c r="AL116" s="28">
        <v>6</v>
      </c>
      <c r="AM116" s="28">
        <v>14</v>
      </c>
      <c r="AN116" s="28">
        <v>13</v>
      </c>
      <c r="AO116" s="28">
        <v>39</v>
      </c>
      <c r="AP116" s="77">
        <v>0</v>
      </c>
      <c r="AQ116" s="28">
        <v>0</v>
      </c>
      <c r="AR116" s="28">
        <v>6</v>
      </c>
      <c r="AS116" s="77">
        <v>45</v>
      </c>
      <c r="AT116" s="72">
        <v>0.61613566289825283</v>
      </c>
      <c r="AU116" s="28">
        <v>3</v>
      </c>
      <c r="AV116" s="75">
        <v>114</v>
      </c>
      <c r="AY116" s="101" t="s">
        <v>1062</v>
      </c>
      <c r="AZ116" s="77" t="s">
        <v>154</v>
      </c>
      <c r="BA116" s="77" t="s">
        <v>1069</v>
      </c>
      <c r="BB116" s="130">
        <v>0.27439024390243905</v>
      </c>
      <c r="BC116" s="72">
        <v>0.34972677595628415</v>
      </c>
      <c r="BD116" s="72">
        <v>0.3902439024390244</v>
      </c>
      <c r="BE116" s="77">
        <v>40</v>
      </c>
      <c r="BF116" s="28">
        <v>164</v>
      </c>
      <c r="BG116" s="28">
        <v>27</v>
      </c>
      <c r="BH116" s="28">
        <v>45</v>
      </c>
      <c r="BI116" s="28">
        <v>10</v>
      </c>
      <c r="BJ116" s="28">
        <v>0</v>
      </c>
      <c r="BK116" s="28">
        <v>3</v>
      </c>
      <c r="BL116" s="28">
        <v>15</v>
      </c>
      <c r="BM116" s="28">
        <v>19</v>
      </c>
      <c r="BN116" s="28">
        <v>36</v>
      </c>
      <c r="BO116" s="77">
        <v>12</v>
      </c>
      <c r="BP116" s="28">
        <v>3</v>
      </c>
      <c r="BQ116" s="28">
        <v>9</v>
      </c>
      <c r="BR116" s="77">
        <v>64</v>
      </c>
      <c r="BS116" s="72">
        <v>0.73997067839530861</v>
      </c>
      <c r="BT116" s="28">
        <v>2</v>
      </c>
      <c r="BU116" s="75">
        <v>114</v>
      </c>
    </row>
    <row r="117" spans="1:73">
      <c r="A117" s="101" t="s">
        <v>1062</v>
      </c>
      <c r="B117" s="71" t="s">
        <v>172</v>
      </c>
      <c r="C117" s="74" t="s">
        <v>1067</v>
      </c>
      <c r="D117" s="72">
        <f>VLOOKUP(Table88[[#This Row],[NAME]],MIL_H[[NAME]:['#]],2,0)</f>
        <v>0.27325581395348836</v>
      </c>
      <c r="E117" s="72">
        <f>VLOOKUP(Table88[[#This Row],[NAME]],MIL_H[[NAME]:['#]],3,0)</f>
        <v>0.30555555555555558</v>
      </c>
      <c r="F117" s="72">
        <f>VLOOKUP(Table88[[#This Row],[NAME]],MIL_H[[NAME]:['#]],4,0)</f>
        <v>0.38372093023255816</v>
      </c>
      <c r="G117" s="77">
        <f>VLOOKUP(Table88[[#This Row],[NAME]],MIL_H[[NAME]:['#]],5,0)</f>
        <v>40</v>
      </c>
      <c r="H117" s="28">
        <f>VLOOKUP(Table88[[#This Row],[NAME]],MIL_H[[NAME]:['#]],6,0)</f>
        <v>172</v>
      </c>
      <c r="I117" s="28">
        <f>VLOOKUP(Table88[[#This Row],[NAME]],MIL_H[[NAME]:['#]],7,0)</f>
        <v>19</v>
      </c>
      <c r="J117" s="28">
        <f>VLOOKUP(Table88[[#This Row],[NAME]],MIL_H[[NAME]:['#]],8,0)</f>
        <v>47</v>
      </c>
      <c r="K117" s="28">
        <f>VLOOKUP(Table88[[#This Row],[NAME]],MIL_H[[NAME]:['#]],9,0)</f>
        <v>10</v>
      </c>
      <c r="L117" s="28">
        <f>VLOOKUP(Table88[[#This Row],[NAME]],MIL_H[[NAME]:['#]],10,0)</f>
        <v>3</v>
      </c>
      <c r="M117" s="28">
        <f>VLOOKUP(Table88[[#This Row],[NAME]],MIL_H[[NAME]:['#]],11,0)</f>
        <v>1</v>
      </c>
      <c r="N117" s="28">
        <f>VLOOKUP(Table88[[#This Row],[NAME]],MIL_H[[NAME]:['#]],12,0)</f>
        <v>16</v>
      </c>
      <c r="O117" s="28">
        <f>VLOOKUP(Table88[[#This Row],[NAME]],MIL_H[[NAME]:['#]],13,0)</f>
        <v>8</v>
      </c>
      <c r="P117" s="28">
        <f>VLOOKUP(Table88[[#This Row],[NAME]],MIL_H[[NAME]:['#]],14,0)</f>
        <v>32</v>
      </c>
      <c r="Q117" s="77">
        <f>VLOOKUP(Table88[[#This Row],[NAME]],MIL_H[[NAME]:['#]],15,0)</f>
        <v>0</v>
      </c>
      <c r="R117" s="28">
        <f>VLOOKUP(Table88[[#This Row],[NAME]],MIL_H[[NAME]:['#]],16,0)</f>
        <v>3</v>
      </c>
      <c r="S117" s="28">
        <f>VLOOKUP(Table88[[#This Row],[NAME]],MIL_H[[NAME]:['#]],17,0)</f>
        <v>12</v>
      </c>
      <c r="T117" s="77">
        <f>VLOOKUP(Table88[[#This Row],[NAME]],MIL_H[[NAME]:['#]],18,0)</f>
        <v>66</v>
      </c>
      <c r="U117" s="72">
        <f>VLOOKUP(Table88[[#This Row],[NAME]],MIL_H[[NAME]:['#]],19,0)</f>
        <v>0.68927648578811374</v>
      </c>
      <c r="V117" s="28">
        <f>VLOOKUP(Table88[[#This Row],[NAME]],MIL_H[[NAME]:['#]],20,0)</f>
        <v>1</v>
      </c>
      <c r="W117" s="75">
        <v>115</v>
      </c>
      <c r="Z117" s="101" t="s">
        <v>1062</v>
      </c>
      <c r="AA117" s="77" t="s">
        <v>172</v>
      </c>
      <c r="AB117" s="77" t="s">
        <v>1070</v>
      </c>
      <c r="AC117" s="130">
        <v>0.21568627450980393</v>
      </c>
      <c r="AD117" s="72">
        <v>0.29411764705882354</v>
      </c>
      <c r="AE117" s="72">
        <v>0.36601307189542481</v>
      </c>
      <c r="AF117" s="77">
        <v>40</v>
      </c>
      <c r="AG117" s="28">
        <v>153</v>
      </c>
      <c r="AH117" s="28">
        <v>15</v>
      </c>
      <c r="AI117" s="28">
        <v>33</v>
      </c>
      <c r="AJ117" s="28">
        <v>8</v>
      </c>
      <c r="AK117" s="28">
        <v>0</v>
      </c>
      <c r="AL117" s="28">
        <v>5</v>
      </c>
      <c r="AM117" s="28">
        <v>19</v>
      </c>
      <c r="AN117" s="28">
        <v>17</v>
      </c>
      <c r="AO117" s="28">
        <v>44</v>
      </c>
      <c r="AP117" s="77">
        <v>0</v>
      </c>
      <c r="AQ117" s="28">
        <v>1</v>
      </c>
      <c r="AR117" s="28">
        <v>3</v>
      </c>
      <c r="AS117" s="77">
        <v>56</v>
      </c>
      <c r="AT117" s="72">
        <v>0.66013071895424835</v>
      </c>
      <c r="AU117" s="28">
        <v>3</v>
      </c>
      <c r="AV117" s="75">
        <v>115</v>
      </c>
      <c r="AY117" s="101" t="s">
        <v>1062</v>
      </c>
      <c r="AZ117" s="77" t="s">
        <v>172</v>
      </c>
      <c r="BA117" s="77" t="s">
        <v>1067</v>
      </c>
      <c r="BB117" s="130">
        <v>0.27218934911242604</v>
      </c>
      <c r="BC117" s="72">
        <v>0.30508474576271188</v>
      </c>
      <c r="BD117" s="72">
        <v>0.4911242603550296</v>
      </c>
      <c r="BE117" s="77">
        <v>40</v>
      </c>
      <c r="BF117" s="28">
        <v>169</v>
      </c>
      <c r="BG117" s="28">
        <v>23</v>
      </c>
      <c r="BH117" s="28">
        <v>46</v>
      </c>
      <c r="BI117" s="28">
        <v>6</v>
      </c>
      <c r="BJ117" s="76">
        <v>5</v>
      </c>
      <c r="BK117" s="28">
        <v>7</v>
      </c>
      <c r="BL117" s="28">
        <v>30</v>
      </c>
      <c r="BM117" s="28">
        <v>8</v>
      </c>
      <c r="BN117" s="28">
        <v>30</v>
      </c>
      <c r="BO117" s="77">
        <v>0</v>
      </c>
      <c r="BP117" s="28">
        <v>0</v>
      </c>
      <c r="BQ117" s="28">
        <v>8</v>
      </c>
      <c r="BR117" s="77">
        <v>83</v>
      </c>
      <c r="BS117" s="72">
        <v>0.79620900611774148</v>
      </c>
      <c r="BT117" s="28">
        <v>2</v>
      </c>
      <c r="BU117" s="75">
        <v>115</v>
      </c>
    </row>
    <row r="118" spans="1:73">
      <c r="A118" s="101" t="s">
        <v>1062</v>
      </c>
      <c r="B118" s="71" t="s">
        <v>153</v>
      </c>
      <c r="C118" s="74" t="s">
        <v>959</v>
      </c>
      <c r="D118" s="72">
        <f>VLOOKUP(Table88[[#This Row],[NAME]],MIL_H[[NAME]:['#]],2,0)</f>
        <v>0.21008403361344538</v>
      </c>
      <c r="E118" s="72">
        <f>VLOOKUP(Table88[[#This Row],[NAME]],MIL_H[[NAME]:['#]],3,0)</f>
        <v>0.2878787878787879</v>
      </c>
      <c r="F118" s="72">
        <f>VLOOKUP(Table88[[#This Row],[NAME]],MIL_H[[NAME]:['#]],4,0)</f>
        <v>0.36974789915966388</v>
      </c>
      <c r="G118" s="77">
        <f>VLOOKUP(Table88[[#This Row],[NAME]],MIL_H[[NAME]:['#]],5,0)</f>
        <v>37</v>
      </c>
      <c r="H118" s="28">
        <f>VLOOKUP(Table88[[#This Row],[NAME]],MIL_H[[NAME]:['#]],6,0)</f>
        <v>119</v>
      </c>
      <c r="I118" s="28">
        <f>VLOOKUP(Table88[[#This Row],[NAME]],MIL_H[[NAME]:['#]],7,0)</f>
        <v>13</v>
      </c>
      <c r="J118" s="28">
        <f>VLOOKUP(Table88[[#This Row],[NAME]],MIL_H[[NAME]:['#]],8,0)</f>
        <v>25</v>
      </c>
      <c r="K118" s="28">
        <f>VLOOKUP(Table88[[#This Row],[NAME]],MIL_H[[NAME]:['#]],9,0)</f>
        <v>5</v>
      </c>
      <c r="L118" s="28">
        <f>VLOOKUP(Table88[[#This Row],[NAME]],MIL_H[[NAME]:['#]],10,0)</f>
        <v>1</v>
      </c>
      <c r="M118" s="28">
        <f>VLOOKUP(Table88[[#This Row],[NAME]],MIL_H[[NAME]:['#]],11,0)</f>
        <v>4</v>
      </c>
      <c r="N118" s="28">
        <f>VLOOKUP(Table88[[#This Row],[NAME]],MIL_H[[NAME]:['#]],12,0)</f>
        <v>14</v>
      </c>
      <c r="O118" s="28">
        <f>VLOOKUP(Table88[[#This Row],[NAME]],MIL_H[[NAME]:['#]],13,0)</f>
        <v>13</v>
      </c>
      <c r="P118" s="28">
        <f>VLOOKUP(Table88[[#This Row],[NAME]],MIL_H[[NAME]:['#]],14,0)</f>
        <v>32</v>
      </c>
      <c r="Q118" s="77">
        <f>VLOOKUP(Table88[[#This Row],[NAME]],MIL_H[[NAME]:['#]],15,0)</f>
        <v>0</v>
      </c>
      <c r="R118" s="28">
        <f>VLOOKUP(Table88[[#This Row],[NAME]],MIL_H[[NAME]:['#]],16,0)</f>
        <v>1</v>
      </c>
      <c r="S118" s="28">
        <f>VLOOKUP(Table88[[#This Row],[NAME]],MIL_H[[NAME]:['#]],17,0)</f>
        <v>6</v>
      </c>
      <c r="T118" s="77">
        <f>VLOOKUP(Table88[[#This Row],[NAME]],MIL_H[[NAME]:['#]],18,0)</f>
        <v>44</v>
      </c>
      <c r="U118" s="72">
        <f>VLOOKUP(Table88[[#This Row],[NAME]],MIL_H[[NAME]:['#]],19,0)</f>
        <v>0.65762668703845173</v>
      </c>
      <c r="V118" s="28">
        <f>VLOOKUP(Table88[[#This Row],[NAME]],MIL_H[[NAME]:['#]],20,0)</f>
        <v>2</v>
      </c>
      <c r="W118" s="75">
        <v>116</v>
      </c>
      <c r="Z118" s="101" t="s">
        <v>1062</v>
      </c>
      <c r="AA118" s="77" t="s">
        <v>311</v>
      </c>
      <c r="AB118" s="77" t="s">
        <v>1076</v>
      </c>
      <c r="AC118" s="130">
        <v>0.21</v>
      </c>
      <c r="AD118" s="72">
        <v>0.25471698113207547</v>
      </c>
      <c r="AE118" s="72">
        <v>0.35</v>
      </c>
      <c r="AF118" s="77">
        <v>29</v>
      </c>
      <c r="AG118" s="28">
        <v>100</v>
      </c>
      <c r="AH118" s="28">
        <v>7</v>
      </c>
      <c r="AI118" s="28">
        <v>21</v>
      </c>
      <c r="AJ118" s="28">
        <v>9</v>
      </c>
      <c r="AK118" s="28">
        <v>1</v>
      </c>
      <c r="AL118" s="28">
        <v>1</v>
      </c>
      <c r="AM118" s="28">
        <v>8</v>
      </c>
      <c r="AN118" s="28">
        <v>6</v>
      </c>
      <c r="AO118" s="28">
        <v>24</v>
      </c>
      <c r="AP118" s="77">
        <v>0</v>
      </c>
      <c r="AQ118" s="28">
        <v>1</v>
      </c>
      <c r="AR118" s="28">
        <v>4</v>
      </c>
      <c r="AS118" s="77">
        <v>35</v>
      </c>
      <c r="AT118" s="72">
        <v>0.60471698113207539</v>
      </c>
      <c r="AU118" s="28">
        <v>1</v>
      </c>
      <c r="AV118" s="75">
        <v>116</v>
      </c>
      <c r="AY118" s="101" t="s">
        <v>1062</v>
      </c>
      <c r="AZ118" s="77" t="s">
        <v>153</v>
      </c>
      <c r="BA118" s="77" t="s">
        <v>1070</v>
      </c>
      <c r="BB118" s="130">
        <v>0.2185430463576159</v>
      </c>
      <c r="BC118" s="72">
        <v>0.27607361963190186</v>
      </c>
      <c r="BD118" s="72">
        <v>0.36423841059602646</v>
      </c>
      <c r="BE118" s="77">
        <v>40</v>
      </c>
      <c r="BF118" s="28">
        <v>151</v>
      </c>
      <c r="BG118" s="28">
        <v>13</v>
      </c>
      <c r="BH118" s="28">
        <v>33</v>
      </c>
      <c r="BI118" s="28">
        <v>10</v>
      </c>
      <c r="BJ118" s="28">
        <v>0</v>
      </c>
      <c r="BK118" s="28">
        <v>4</v>
      </c>
      <c r="BL118" s="28">
        <v>14</v>
      </c>
      <c r="BM118" s="28">
        <v>12</v>
      </c>
      <c r="BN118" s="28">
        <v>43</v>
      </c>
      <c r="BO118" s="77">
        <v>0</v>
      </c>
      <c r="BP118" s="28">
        <v>1</v>
      </c>
      <c r="BQ118" s="28">
        <v>6</v>
      </c>
      <c r="BR118" s="77">
        <v>55</v>
      </c>
      <c r="BS118" s="72">
        <v>0.64031203022792837</v>
      </c>
      <c r="BT118" s="28">
        <v>3</v>
      </c>
      <c r="BU118" s="75">
        <v>116</v>
      </c>
    </row>
    <row r="119" spans="1:73">
      <c r="A119" s="101" t="s">
        <v>1062</v>
      </c>
      <c r="B119" s="71" t="s">
        <v>177</v>
      </c>
      <c r="C119" s="74" t="s">
        <v>1065</v>
      </c>
      <c r="D119" s="72">
        <f>VLOOKUP(Table88[[#This Row],[NAME]],MIL_H[[NAME]:['#]],2,0)</f>
        <v>0.25324675324675322</v>
      </c>
      <c r="E119" s="72">
        <f>VLOOKUP(Table88[[#This Row],[NAME]],MIL_H[[NAME]:['#]],3,0)</f>
        <v>0.29447852760736198</v>
      </c>
      <c r="F119" s="72">
        <f>VLOOKUP(Table88[[#This Row],[NAME]],MIL_H[[NAME]:['#]],4,0)</f>
        <v>0.42857142857142855</v>
      </c>
      <c r="G119" s="77">
        <f>VLOOKUP(Table88[[#This Row],[NAME]],MIL_H[[NAME]:['#]],5,0)</f>
        <v>40</v>
      </c>
      <c r="H119" s="28">
        <f>VLOOKUP(Table88[[#This Row],[NAME]],MIL_H[[NAME]:['#]],6,0)</f>
        <v>154</v>
      </c>
      <c r="I119" s="28">
        <f>VLOOKUP(Table88[[#This Row],[NAME]],MIL_H[[NAME]:['#]],7,0)</f>
        <v>16</v>
      </c>
      <c r="J119" s="28">
        <f>VLOOKUP(Table88[[#This Row],[NAME]],MIL_H[[NAME]:['#]],8,0)</f>
        <v>39</v>
      </c>
      <c r="K119" s="28">
        <f>VLOOKUP(Table88[[#This Row],[NAME]],MIL_H[[NAME]:['#]],9,0)</f>
        <v>9</v>
      </c>
      <c r="L119" s="28">
        <f>VLOOKUP(Table88[[#This Row],[NAME]],MIL_H[[NAME]:['#]],10,0)</f>
        <v>0</v>
      </c>
      <c r="M119" s="28">
        <f>VLOOKUP(Table88[[#This Row],[NAME]],MIL_H[[NAME]:['#]],11,0)</f>
        <v>6</v>
      </c>
      <c r="N119" s="28">
        <f>VLOOKUP(Table88[[#This Row],[NAME]],MIL_H[[NAME]:['#]],12,0)</f>
        <v>20</v>
      </c>
      <c r="O119" s="28">
        <f>VLOOKUP(Table88[[#This Row],[NAME]],MIL_H[[NAME]:['#]],13,0)</f>
        <v>9</v>
      </c>
      <c r="P119" s="28">
        <f>VLOOKUP(Table88[[#This Row],[NAME]],MIL_H[[NAME]:['#]],14,0)</f>
        <v>36</v>
      </c>
      <c r="Q119" s="77">
        <f>VLOOKUP(Table88[[#This Row],[NAME]],MIL_H[[NAME]:['#]],15,0)</f>
        <v>0</v>
      </c>
      <c r="R119" s="28">
        <f>VLOOKUP(Table88[[#This Row],[NAME]],MIL_H[[NAME]:['#]],16,0)</f>
        <v>3</v>
      </c>
      <c r="S119" s="28">
        <f>VLOOKUP(Table88[[#This Row],[NAME]],MIL_H[[NAME]:['#]],17,0)</f>
        <v>6</v>
      </c>
      <c r="T119" s="77">
        <f>VLOOKUP(Table88[[#This Row],[NAME]],MIL_H[[NAME]:['#]],18,0)</f>
        <v>66</v>
      </c>
      <c r="U119" s="72">
        <f>VLOOKUP(Table88[[#This Row],[NAME]],MIL_H[[NAME]:['#]],19,0)</f>
        <v>0.72304995617879053</v>
      </c>
      <c r="V119" s="28">
        <f>VLOOKUP(Table88[[#This Row],[NAME]],MIL_H[[NAME]:['#]],20,0)</f>
        <v>2</v>
      </c>
      <c r="W119" s="75">
        <v>117</v>
      </c>
      <c r="Z119" s="101" t="s">
        <v>1062</v>
      </c>
      <c r="AA119" s="77" t="s">
        <v>177</v>
      </c>
      <c r="AB119" s="71" t="s">
        <v>1065</v>
      </c>
      <c r="AC119" s="130">
        <v>0.25949367088607594</v>
      </c>
      <c r="AD119" s="72">
        <v>0.33142857142857141</v>
      </c>
      <c r="AE119" s="72">
        <v>0.48734177215189872</v>
      </c>
      <c r="AF119" s="77">
        <v>40</v>
      </c>
      <c r="AG119" s="28">
        <v>158</v>
      </c>
      <c r="AH119" s="28">
        <v>19</v>
      </c>
      <c r="AI119" s="28">
        <v>41</v>
      </c>
      <c r="AJ119" s="28">
        <v>9</v>
      </c>
      <c r="AK119" s="28">
        <v>0</v>
      </c>
      <c r="AL119" s="28">
        <v>9</v>
      </c>
      <c r="AM119" s="28">
        <v>28</v>
      </c>
      <c r="AN119" s="28">
        <v>17</v>
      </c>
      <c r="AO119" s="28">
        <v>50</v>
      </c>
      <c r="AP119" s="77">
        <v>0</v>
      </c>
      <c r="AQ119" s="28">
        <v>8</v>
      </c>
      <c r="AR119" s="28">
        <v>8</v>
      </c>
      <c r="AS119" s="77">
        <v>77</v>
      </c>
      <c r="AT119" s="72">
        <v>0.81877034358047007</v>
      </c>
      <c r="AU119" s="28">
        <v>3</v>
      </c>
      <c r="AV119" s="75">
        <v>117</v>
      </c>
      <c r="AY119" s="101" t="s">
        <v>1062</v>
      </c>
      <c r="AZ119" s="77" t="s">
        <v>177</v>
      </c>
      <c r="BA119" s="77" t="s">
        <v>1065</v>
      </c>
      <c r="BB119" s="130">
        <v>0.24113475177304963</v>
      </c>
      <c r="BC119" s="72">
        <v>0.30519480519480519</v>
      </c>
      <c r="BD119" s="72">
        <v>0.42553191489361702</v>
      </c>
      <c r="BE119" s="77">
        <v>38</v>
      </c>
      <c r="BF119" s="28">
        <v>141</v>
      </c>
      <c r="BG119" s="28">
        <v>12</v>
      </c>
      <c r="BH119" s="28">
        <v>34</v>
      </c>
      <c r="BI119" s="28">
        <v>8</v>
      </c>
      <c r="BJ119" s="28">
        <v>0</v>
      </c>
      <c r="BK119" s="28">
        <v>6</v>
      </c>
      <c r="BL119" s="28">
        <v>13</v>
      </c>
      <c r="BM119" s="28">
        <v>13</v>
      </c>
      <c r="BN119" s="28">
        <v>40</v>
      </c>
      <c r="BO119" s="77">
        <v>0</v>
      </c>
      <c r="BP119" s="28">
        <v>0</v>
      </c>
      <c r="BQ119" s="28">
        <v>6</v>
      </c>
      <c r="BR119" s="77">
        <v>60</v>
      </c>
      <c r="BS119" s="72">
        <v>0.73072672008842221</v>
      </c>
      <c r="BT119" s="28">
        <v>0</v>
      </c>
      <c r="BU119" s="75">
        <v>117</v>
      </c>
    </row>
    <row r="120" spans="1:73">
      <c r="A120" s="101" t="s">
        <v>1062</v>
      </c>
      <c r="B120" s="71" t="s">
        <v>174</v>
      </c>
      <c r="C120" s="74" t="s">
        <v>1064</v>
      </c>
      <c r="D120" s="72">
        <f>VLOOKUP(Table88[[#This Row],[NAME]],MIL_H[[NAME]:['#]],2,0)</f>
        <v>0.27044025157232704</v>
      </c>
      <c r="E120" s="72">
        <f>VLOOKUP(Table88[[#This Row],[NAME]],MIL_H[[NAME]:['#]],3,0)</f>
        <v>0.32163742690058478</v>
      </c>
      <c r="F120" s="72">
        <f>VLOOKUP(Table88[[#This Row],[NAME]],MIL_H[[NAME]:['#]],4,0)</f>
        <v>0.49056603773584906</v>
      </c>
      <c r="G120" s="77">
        <f>VLOOKUP(Table88[[#This Row],[NAME]],MIL_H[[NAME]:['#]],5,0)</f>
        <v>40</v>
      </c>
      <c r="H120" s="28">
        <f>VLOOKUP(Table88[[#This Row],[NAME]],MIL_H[[NAME]:['#]],6,0)</f>
        <v>159</v>
      </c>
      <c r="I120" s="28">
        <f>VLOOKUP(Table88[[#This Row],[NAME]],MIL_H[[NAME]:['#]],7,0)</f>
        <v>22</v>
      </c>
      <c r="J120" s="28">
        <f>VLOOKUP(Table88[[#This Row],[NAME]],MIL_H[[NAME]:['#]],8,0)</f>
        <v>43</v>
      </c>
      <c r="K120" s="28">
        <f>VLOOKUP(Table88[[#This Row],[NAME]],MIL_H[[NAME]:['#]],9,0)</f>
        <v>2</v>
      </c>
      <c r="L120" s="28">
        <f>VLOOKUP(Table88[[#This Row],[NAME]],MIL_H[[NAME]:['#]],10,0)</f>
        <v>3</v>
      </c>
      <c r="M120" s="28">
        <f>VLOOKUP(Table88[[#This Row],[NAME]],MIL_H[[NAME]:['#]],11,0)</f>
        <v>9</v>
      </c>
      <c r="N120" s="28">
        <f>VLOOKUP(Table88[[#This Row],[NAME]],MIL_H[[NAME]:['#]],12,0)</f>
        <v>26</v>
      </c>
      <c r="O120" s="28">
        <f>VLOOKUP(Table88[[#This Row],[NAME]],MIL_H[[NAME]:['#]],13,0)</f>
        <v>12</v>
      </c>
      <c r="P120" s="28">
        <f>VLOOKUP(Table88[[#This Row],[NAME]],MIL_H[[NAME]:['#]],14,0)</f>
        <v>42</v>
      </c>
      <c r="Q120" s="77">
        <f>VLOOKUP(Table88[[#This Row],[NAME]],MIL_H[[NAME]:['#]],15,0)</f>
        <v>0</v>
      </c>
      <c r="R120" s="28">
        <f>VLOOKUP(Table88[[#This Row],[NAME]],MIL_H[[NAME]:['#]],16,0)</f>
        <v>0</v>
      </c>
      <c r="S120" s="28">
        <f>VLOOKUP(Table88[[#This Row],[NAME]],MIL_H[[NAME]:['#]],17,0)</f>
        <v>9</v>
      </c>
      <c r="T120" s="77">
        <f>VLOOKUP(Table88[[#This Row],[NAME]],MIL_H[[NAME]:['#]],18,0)</f>
        <v>78</v>
      </c>
      <c r="U120" s="72">
        <f>VLOOKUP(Table88[[#This Row],[NAME]],MIL_H[[NAME]:['#]],19,0)</f>
        <v>0.81220346463643378</v>
      </c>
      <c r="V120" s="28">
        <f>VLOOKUP(Table88[[#This Row],[NAME]],MIL_H[[NAME]:['#]],20,0)</f>
        <v>2</v>
      </c>
      <c r="W120" s="75">
        <v>118</v>
      </c>
      <c r="Z120" s="101" t="s">
        <v>1062</v>
      </c>
      <c r="AA120" s="352" t="s">
        <v>174</v>
      </c>
      <c r="AB120" s="77" t="s">
        <v>1063</v>
      </c>
      <c r="AC120" s="130">
        <v>0.27329192546583853</v>
      </c>
      <c r="AD120" s="72">
        <v>0.33522727272727271</v>
      </c>
      <c r="AE120" s="72">
        <v>0.55900621118012417</v>
      </c>
      <c r="AF120" s="77">
        <v>39</v>
      </c>
      <c r="AG120" s="28">
        <v>161</v>
      </c>
      <c r="AH120" s="28">
        <v>23</v>
      </c>
      <c r="AI120" s="28">
        <v>44</v>
      </c>
      <c r="AJ120" s="28">
        <v>11</v>
      </c>
      <c r="AK120" s="28">
        <v>1</v>
      </c>
      <c r="AL120" s="28">
        <v>11</v>
      </c>
      <c r="AM120" s="28">
        <v>30</v>
      </c>
      <c r="AN120" s="28">
        <v>15</v>
      </c>
      <c r="AO120" s="28">
        <v>35</v>
      </c>
      <c r="AP120" s="77">
        <v>0</v>
      </c>
      <c r="AQ120" s="28">
        <v>4</v>
      </c>
      <c r="AR120" s="28">
        <v>6</v>
      </c>
      <c r="AS120" s="77">
        <v>90</v>
      </c>
      <c r="AT120" s="72">
        <v>0.89423348390739688</v>
      </c>
      <c r="AU120" s="28">
        <v>1</v>
      </c>
      <c r="AV120" s="75">
        <v>118</v>
      </c>
      <c r="AY120" s="101" t="s">
        <v>1062</v>
      </c>
      <c r="AZ120" s="77" t="s">
        <v>174</v>
      </c>
      <c r="BA120" s="77" t="s">
        <v>1063</v>
      </c>
      <c r="BB120" s="130">
        <v>0.28758169934640521</v>
      </c>
      <c r="BC120" s="72">
        <v>0.36257309941520466</v>
      </c>
      <c r="BD120" s="72">
        <v>0.5490196078431373</v>
      </c>
      <c r="BE120" s="77">
        <v>40</v>
      </c>
      <c r="BF120" s="28">
        <v>153</v>
      </c>
      <c r="BG120" s="28">
        <v>26</v>
      </c>
      <c r="BH120" s="28">
        <v>44</v>
      </c>
      <c r="BI120" s="28">
        <v>6</v>
      </c>
      <c r="BJ120" s="28">
        <v>2</v>
      </c>
      <c r="BK120" s="28">
        <v>10</v>
      </c>
      <c r="BL120" s="28">
        <v>30</v>
      </c>
      <c r="BM120" s="28">
        <v>18</v>
      </c>
      <c r="BN120" s="28">
        <v>31</v>
      </c>
      <c r="BO120" s="77">
        <v>1</v>
      </c>
      <c r="BP120" s="28">
        <v>7</v>
      </c>
      <c r="BQ120" s="28">
        <v>7</v>
      </c>
      <c r="BR120" s="77">
        <v>84</v>
      </c>
      <c r="BS120" s="72">
        <v>0.91159270725834196</v>
      </c>
      <c r="BT120" s="28">
        <v>4</v>
      </c>
      <c r="BU120" s="75">
        <v>118</v>
      </c>
    </row>
    <row r="121" spans="1:73">
      <c r="A121" s="101" t="s">
        <v>1062</v>
      </c>
      <c r="B121" s="71" t="s">
        <v>181</v>
      </c>
      <c r="C121" s="74" t="s">
        <v>1066</v>
      </c>
      <c r="D121" s="72">
        <f>VLOOKUP(Table88[[#This Row],[NAME]],MIL_H[[NAME]:['#]],2,0)</f>
        <v>0.27329192546583853</v>
      </c>
      <c r="E121" s="72">
        <f>VLOOKUP(Table88[[#This Row],[NAME]],MIL_H[[NAME]:['#]],3,0)</f>
        <v>0.33522727272727271</v>
      </c>
      <c r="F121" s="72">
        <f>VLOOKUP(Table88[[#This Row],[NAME]],MIL_H[[NAME]:['#]],4,0)</f>
        <v>0.42857142857142855</v>
      </c>
      <c r="G121" s="77">
        <f>VLOOKUP(Table88[[#This Row],[NAME]],MIL_H[[NAME]:['#]],5,0)</f>
        <v>38</v>
      </c>
      <c r="H121" s="28">
        <f>VLOOKUP(Table88[[#This Row],[NAME]],MIL_H[[NAME]:['#]],6,0)</f>
        <v>161</v>
      </c>
      <c r="I121" s="28">
        <f>VLOOKUP(Table88[[#This Row],[NAME]],MIL_H[[NAME]:['#]],7,0)</f>
        <v>27</v>
      </c>
      <c r="J121" s="28">
        <f>VLOOKUP(Table88[[#This Row],[NAME]],MIL_H[[NAME]:['#]],8,0)</f>
        <v>44</v>
      </c>
      <c r="K121" s="28">
        <f>VLOOKUP(Table88[[#This Row],[NAME]],MIL_H[[NAME]:['#]],9,0)</f>
        <v>13</v>
      </c>
      <c r="L121" s="28">
        <f>VLOOKUP(Table88[[#This Row],[NAME]],MIL_H[[NAME]:['#]],10,0)</f>
        <v>0</v>
      </c>
      <c r="M121" s="28">
        <f>VLOOKUP(Table88[[#This Row],[NAME]],MIL_H[[NAME]:['#]],11,0)</f>
        <v>4</v>
      </c>
      <c r="N121" s="28">
        <f>VLOOKUP(Table88[[#This Row],[NAME]],MIL_H[[NAME]:['#]],12,0)</f>
        <v>18</v>
      </c>
      <c r="O121" s="28">
        <f>VLOOKUP(Table88[[#This Row],[NAME]],MIL_H[[NAME]:['#]],13,0)</f>
        <v>15</v>
      </c>
      <c r="P121" s="28">
        <f>VLOOKUP(Table88[[#This Row],[NAME]],MIL_H[[NAME]:['#]],14,0)</f>
        <v>42</v>
      </c>
      <c r="Q121" s="77">
        <f>VLOOKUP(Table88[[#This Row],[NAME]],MIL_H[[NAME]:['#]],15,0)</f>
        <v>9</v>
      </c>
      <c r="R121" s="28">
        <f>VLOOKUP(Table88[[#This Row],[NAME]],MIL_H[[NAME]:['#]],16,0)</f>
        <v>0</v>
      </c>
      <c r="S121" s="28">
        <f>VLOOKUP(Table88[[#This Row],[NAME]],MIL_H[[NAME]:['#]],17,0)</f>
        <v>5</v>
      </c>
      <c r="T121" s="77">
        <f>VLOOKUP(Table88[[#This Row],[NAME]],MIL_H[[NAME]:['#]],18,0)</f>
        <v>69</v>
      </c>
      <c r="U121" s="72">
        <f>VLOOKUP(Table88[[#This Row],[NAME]],MIL_H[[NAME]:['#]],19,0)</f>
        <v>0.76379870129870131</v>
      </c>
      <c r="V121" s="28">
        <f>VLOOKUP(Table88[[#This Row],[NAME]],MIL_H[[NAME]:['#]],20,0)</f>
        <v>2</v>
      </c>
      <c r="W121" s="75">
        <v>119</v>
      </c>
      <c r="Z121" s="101" t="s">
        <v>1062</v>
      </c>
      <c r="AA121" s="77" t="s">
        <v>181</v>
      </c>
      <c r="AB121" s="77" t="s">
        <v>1067</v>
      </c>
      <c r="AC121" s="130">
        <v>0.23333333333333334</v>
      </c>
      <c r="AD121" s="72">
        <v>0.30303030303030304</v>
      </c>
      <c r="AE121" s="72">
        <v>0.34</v>
      </c>
      <c r="AF121" s="77">
        <v>36</v>
      </c>
      <c r="AG121" s="28">
        <v>150</v>
      </c>
      <c r="AH121" s="28">
        <v>19</v>
      </c>
      <c r="AI121" s="28">
        <v>35</v>
      </c>
      <c r="AJ121" s="28">
        <v>10</v>
      </c>
      <c r="AK121" s="28">
        <v>0</v>
      </c>
      <c r="AL121" s="28">
        <v>2</v>
      </c>
      <c r="AM121" s="28">
        <v>11</v>
      </c>
      <c r="AN121" s="28">
        <v>15</v>
      </c>
      <c r="AO121" s="28">
        <v>30</v>
      </c>
      <c r="AP121" s="77">
        <v>0</v>
      </c>
      <c r="AQ121" s="28">
        <v>1</v>
      </c>
      <c r="AR121" s="28">
        <v>7</v>
      </c>
      <c r="AS121" s="77">
        <v>51</v>
      </c>
      <c r="AT121" s="72">
        <v>0.64303030303030306</v>
      </c>
      <c r="AU121" s="28">
        <v>2</v>
      </c>
      <c r="AV121" s="75">
        <v>119</v>
      </c>
      <c r="AY121" s="101" t="s">
        <v>1062</v>
      </c>
      <c r="AZ121" s="77" t="s">
        <v>181</v>
      </c>
      <c r="BA121" s="77" t="s">
        <v>1073</v>
      </c>
      <c r="BB121" s="130">
        <v>0.24806201550387597</v>
      </c>
      <c r="BC121" s="72">
        <v>0.3263888888888889</v>
      </c>
      <c r="BD121" s="72">
        <v>0.37209302325581395</v>
      </c>
      <c r="BE121" s="77">
        <v>40</v>
      </c>
      <c r="BF121" s="28">
        <v>129</v>
      </c>
      <c r="BG121" s="28">
        <v>16</v>
      </c>
      <c r="BH121" s="28">
        <v>32</v>
      </c>
      <c r="BI121" s="28">
        <v>7</v>
      </c>
      <c r="BJ121" s="28">
        <v>0</v>
      </c>
      <c r="BK121" s="28">
        <v>3</v>
      </c>
      <c r="BL121" s="28">
        <v>8</v>
      </c>
      <c r="BM121" s="28">
        <v>15</v>
      </c>
      <c r="BN121" s="28">
        <v>32</v>
      </c>
      <c r="BO121" s="77">
        <v>1</v>
      </c>
      <c r="BP121" s="28">
        <v>0</v>
      </c>
      <c r="BQ121" s="28">
        <v>7</v>
      </c>
      <c r="BR121" s="77">
        <v>48</v>
      </c>
      <c r="BS121" s="72">
        <v>0.69848191214470279</v>
      </c>
      <c r="BT121" s="28">
        <v>2</v>
      </c>
      <c r="BU121" s="75">
        <v>119</v>
      </c>
    </row>
    <row r="122" spans="1:73">
      <c r="A122" s="101" t="s">
        <v>1062</v>
      </c>
      <c r="B122" s="71" t="s">
        <v>240</v>
      </c>
      <c r="C122" s="74" t="s">
        <v>1071</v>
      </c>
      <c r="D122" s="72">
        <f>VLOOKUP(Table88[[#This Row],[NAME]],MIL_H[[NAME]:['#]],2,0)</f>
        <v>0.29770992366412213</v>
      </c>
      <c r="E122" s="72">
        <f>VLOOKUP(Table88[[#This Row],[NAME]],MIL_H[[NAME]:['#]],3,0)</f>
        <v>0.33333333333333331</v>
      </c>
      <c r="F122" s="72">
        <f>VLOOKUP(Table88[[#This Row],[NAME]],MIL_H[[NAME]:['#]],4,0)</f>
        <v>0.41984732824427479</v>
      </c>
      <c r="G122" s="77">
        <f>VLOOKUP(Table88[[#This Row],[NAME]],MIL_H[[NAME]:['#]],5,0)</f>
        <v>36</v>
      </c>
      <c r="H122" s="28">
        <f>VLOOKUP(Table88[[#This Row],[NAME]],MIL_H[[NAME]:['#]],6,0)</f>
        <v>131</v>
      </c>
      <c r="I122" s="28">
        <f>VLOOKUP(Table88[[#This Row],[NAME]],MIL_H[[NAME]:['#]],7,0)</f>
        <v>9</v>
      </c>
      <c r="J122" s="28">
        <f>VLOOKUP(Table88[[#This Row],[NAME]],MIL_H[[NAME]:['#]],8,0)</f>
        <v>39</v>
      </c>
      <c r="K122" s="28">
        <f>VLOOKUP(Table88[[#This Row],[NAME]],MIL_H[[NAME]:['#]],9,0)</f>
        <v>5</v>
      </c>
      <c r="L122" s="28">
        <f>VLOOKUP(Table88[[#This Row],[NAME]],MIL_H[[NAME]:['#]],10,0)</f>
        <v>1</v>
      </c>
      <c r="M122" s="28">
        <f>VLOOKUP(Table88[[#This Row],[NAME]],MIL_H[[NAME]:['#]],11,0)</f>
        <v>3</v>
      </c>
      <c r="N122" s="28">
        <f>VLOOKUP(Table88[[#This Row],[NAME]],MIL_H[[NAME]:['#]],12,0)</f>
        <v>11</v>
      </c>
      <c r="O122" s="28">
        <f>VLOOKUP(Table88[[#This Row],[NAME]],MIL_H[[NAME]:['#]],13,0)</f>
        <v>7</v>
      </c>
      <c r="P122" s="28">
        <f>VLOOKUP(Table88[[#This Row],[NAME]],MIL_H[[NAME]:['#]],14,0)</f>
        <v>27</v>
      </c>
      <c r="Q122" s="77">
        <f>VLOOKUP(Table88[[#This Row],[NAME]],MIL_H[[NAME]:['#]],15,0)</f>
        <v>1</v>
      </c>
      <c r="R122" s="28">
        <f>VLOOKUP(Table88[[#This Row],[NAME]],MIL_H[[NAME]:['#]],16,0)</f>
        <v>0</v>
      </c>
      <c r="S122" s="28">
        <f>VLOOKUP(Table88[[#This Row],[NAME]],MIL_H[[NAME]:['#]],17,0)</f>
        <v>6</v>
      </c>
      <c r="T122" s="77">
        <f>VLOOKUP(Table88[[#This Row],[NAME]],MIL_H[[NAME]:['#]],18,0)</f>
        <v>55</v>
      </c>
      <c r="U122" s="72">
        <f>VLOOKUP(Table88[[#This Row],[NAME]],MIL_H[[NAME]:['#]],19,0)</f>
        <v>0.7531806615776081</v>
      </c>
      <c r="V122" s="28">
        <f>VLOOKUP(Table88[[#This Row],[NAME]],MIL_H[[NAME]:['#]],20,0)</f>
        <v>2</v>
      </c>
      <c r="W122" s="75">
        <v>120</v>
      </c>
      <c r="Z122" s="101" t="s">
        <v>1062</v>
      </c>
      <c r="AA122" s="77" t="s">
        <v>240</v>
      </c>
      <c r="AB122" s="77" t="s">
        <v>1066</v>
      </c>
      <c r="AC122" s="130">
        <v>0.24719101123595505</v>
      </c>
      <c r="AD122" s="72">
        <v>0.33</v>
      </c>
      <c r="AE122" s="72">
        <v>0.449438202247191</v>
      </c>
      <c r="AF122" s="77">
        <v>24</v>
      </c>
      <c r="AG122" s="28">
        <v>89</v>
      </c>
      <c r="AH122" s="28">
        <v>15</v>
      </c>
      <c r="AI122" s="28">
        <v>22</v>
      </c>
      <c r="AJ122" s="28">
        <v>4</v>
      </c>
      <c r="AK122" s="28">
        <v>1</v>
      </c>
      <c r="AL122" s="28">
        <v>4</v>
      </c>
      <c r="AM122" s="28">
        <v>11</v>
      </c>
      <c r="AN122" s="28">
        <v>11</v>
      </c>
      <c r="AO122" s="28">
        <v>24</v>
      </c>
      <c r="AP122" s="77">
        <v>3</v>
      </c>
      <c r="AQ122" s="28">
        <v>0</v>
      </c>
      <c r="AR122" s="28">
        <v>5</v>
      </c>
      <c r="AS122" s="77">
        <v>40</v>
      </c>
      <c r="AT122" s="72">
        <v>0.77943820224719107</v>
      </c>
      <c r="AU122" s="28">
        <v>1</v>
      </c>
      <c r="AV122" s="75">
        <v>120</v>
      </c>
      <c r="AY122" s="101" t="s">
        <v>1062</v>
      </c>
      <c r="AZ122" s="77" t="s">
        <v>166</v>
      </c>
      <c r="BA122" s="77" t="s">
        <v>1064</v>
      </c>
      <c r="BB122" s="130">
        <v>0.30625000000000002</v>
      </c>
      <c r="BC122" s="72">
        <v>0.34705882352941175</v>
      </c>
      <c r="BD122" s="72">
        <v>0.55625000000000002</v>
      </c>
      <c r="BE122" s="77">
        <v>39</v>
      </c>
      <c r="BF122" s="28">
        <v>160</v>
      </c>
      <c r="BG122" s="28">
        <v>24</v>
      </c>
      <c r="BH122" s="28">
        <v>49</v>
      </c>
      <c r="BI122" s="28">
        <v>5</v>
      </c>
      <c r="BJ122" s="28">
        <v>1</v>
      </c>
      <c r="BK122" s="28">
        <v>11</v>
      </c>
      <c r="BL122" s="28">
        <v>27</v>
      </c>
      <c r="BM122" s="28">
        <v>10</v>
      </c>
      <c r="BN122" s="28">
        <v>44</v>
      </c>
      <c r="BO122" s="77">
        <v>4</v>
      </c>
      <c r="BP122" s="28">
        <v>4</v>
      </c>
      <c r="BQ122" s="28">
        <v>6</v>
      </c>
      <c r="BR122" s="77">
        <v>89</v>
      </c>
      <c r="BS122" s="72">
        <v>0.90330882352941178</v>
      </c>
      <c r="BT122" s="28">
        <v>5</v>
      </c>
      <c r="BU122" s="75">
        <v>120</v>
      </c>
    </row>
    <row r="123" spans="1:73">
      <c r="A123" s="101" t="s">
        <v>1062</v>
      </c>
      <c r="B123" s="71" t="s">
        <v>168</v>
      </c>
      <c r="C123" s="74" t="s">
        <v>1063</v>
      </c>
      <c r="D123" s="72">
        <f>VLOOKUP(Table88[[#This Row],[NAME]],MIL_H[[NAME]:['#]],2,0)</f>
        <v>0.29487179487179488</v>
      </c>
      <c r="E123" s="72">
        <f>VLOOKUP(Table88[[#This Row],[NAME]],MIL_H[[NAME]:['#]],3,0)</f>
        <v>0.34523809523809523</v>
      </c>
      <c r="F123" s="72">
        <f>VLOOKUP(Table88[[#This Row],[NAME]],MIL_H[[NAME]:['#]],4,0)</f>
        <v>0.57692307692307687</v>
      </c>
      <c r="G123" s="77">
        <f>VLOOKUP(Table88[[#This Row],[NAME]],MIL_H[[NAME]:['#]],5,0)</f>
        <v>40</v>
      </c>
      <c r="H123" s="28">
        <f>VLOOKUP(Table88[[#This Row],[NAME]],MIL_H[[NAME]:['#]],6,0)</f>
        <v>156</v>
      </c>
      <c r="I123" s="28">
        <f>VLOOKUP(Table88[[#This Row],[NAME]],MIL_H[[NAME]:['#]],7,0)</f>
        <v>23</v>
      </c>
      <c r="J123" s="28">
        <f>VLOOKUP(Table88[[#This Row],[NAME]],MIL_H[[NAME]:['#]],8,0)</f>
        <v>46</v>
      </c>
      <c r="K123" s="28">
        <f>VLOOKUP(Table88[[#This Row],[NAME]],MIL_H[[NAME]:['#]],9,0)</f>
        <v>8</v>
      </c>
      <c r="L123" s="28">
        <f>VLOOKUP(Table88[[#This Row],[NAME]],MIL_H[[NAME]:['#]],10,0)</f>
        <v>0</v>
      </c>
      <c r="M123" s="28">
        <f>VLOOKUP(Table88[[#This Row],[NAME]],MIL_H[[NAME]:['#]],11,0)</f>
        <v>12</v>
      </c>
      <c r="N123" s="28">
        <f>VLOOKUP(Table88[[#This Row],[NAME]],MIL_H[[NAME]:['#]],12,0)</f>
        <v>29</v>
      </c>
      <c r="O123" s="28">
        <f>VLOOKUP(Table88[[#This Row],[NAME]],MIL_H[[NAME]:['#]],13,0)</f>
        <v>12</v>
      </c>
      <c r="P123" s="28">
        <f>VLOOKUP(Table88[[#This Row],[NAME]],MIL_H[[NAME]:['#]],14,0)</f>
        <v>31</v>
      </c>
      <c r="Q123" s="77">
        <f>VLOOKUP(Table88[[#This Row],[NAME]],MIL_H[[NAME]:['#]],15,0)</f>
        <v>0</v>
      </c>
      <c r="R123" s="28">
        <f>VLOOKUP(Table88[[#This Row],[NAME]],MIL_H[[NAME]:['#]],16,0)</f>
        <v>0</v>
      </c>
      <c r="S123" s="28">
        <f>VLOOKUP(Table88[[#This Row],[NAME]],MIL_H[[NAME]:['#]],17,0)</f>
        <v>12</v>
      </c>
      <c r="T123" s="77">
        <f>VLOOKUP(Table88[[#This Row],[NAME]],MIL_H[[NAME]:['#]],18,0)</f>
        <v>90</v>
      </c>
      <c r="U123" s="72">
        <f>VLOOKUP(Table88[[#This Row],[NAME]],MIL_H[[NAME]:['#]],19,0)</f>
        <v>0.9221611721611721</v>
      </c>
      <c r="V123" s="28">
        <f>VLOOKUP(Table88[[#This Row],[NAME]],MIL_H[[NAME]:['#]],20,0)</f>
        <v>5</v>
      </c>
      <c r="W123" s="75">
        <v>121</v>
      </c>
      <c r="Z123" s="101" t="s">
        <v>1062</v>
      </c>
      <c r="AA123" s="77" t="s">
        <v>168</v>
      </c>
      <c r="AB123" s="77" t="s">
        <v>1064</v>
      </c>
      <c r="AC123" s="130">
        <v>0.27027027027027029</v>
      </c>
      <c r="AD123" s="72">
        <v>0.36094674556213019</v>
      </c>
      <c r="AE123" s="72">
        <v>0.43243243243243246</v>
      </c>
      <c r="AF123" s="77">
        <v>36</v>
      </c>
      <c r="AG123" s="28">
        <v>148</v>
      </c>
      <c r="AH123" s="28">
        <v>28</v>
      </c>
      <c r="AI123" s="28">
        <v>40</v>
      </c>
      <c r="AJ123" s="28">
        <v>6</v>
      </c>
      <c r="AK123" s="28">
        <v>0</v>
      </c>
      <c r="AL123" s="28">
        <v>6</v>
      </c>
      <c r="AM123" s="28">
        <v>13</v>
      </c>
      <c r="AN123" s="28">
        <v>21</v>
      </c>
      <c r="AO123" s="28">
        <v>46</v>
      </c>
      <c r="AP123" s="77">
        <v>3</v>
      </c>
      <c r="AQ123" s="28">
        <v>0</v>
      </c>
      <c r="AR123" s="28">
        <v>15</v>
      </c>
      <c r="AS123" s="77">
        <v>64</v>
      </c>
      <c r="AT123" s="72">
        <v>0.7933791779945627</v>
      </c>
      <c r="AU123" s="28">
        <v>2</v>
      </c>
      <c r="AV123" s="75">
        <v>121</v>
      </c>
      <c r="AY123" s="101" t="s">
        <v>1062</v>
      </c>
      <c r="AZ123" s="77" t="s">
        <v>1074</v>
      </c>
      <c r="BA123" s="77" t="s">
        <v>1075</v>
      </c>
      <c r="BB123" s="130">
        <v>0.22448979591836735</v>
      </c>
      <c r="BC123" s="72">
        <v>0.28971962616822428</v>
      </c>
      <c r="BD123" s="72">
        <v>0.39795918367346939</v>
      </c>
      <c r="BE123" s="77">
        <v>28</v>
      </c>
      <c r="BF123" s="28">
        <v>98</v>
      </c>
      <c r="BG123" s="28">
        <v>6</v>
      </c>
      <c r="BH123" s="28">
        <v>22</v>
      </c>
      <c r="BI123" s="28">
        <v>7</v>
      </c>
      <c r="BJ123" s="28">
        <v>2</v>
      </c>
      <c r="BK123" s="28">
        <v>2</v>
      </c>
      <c r="BL123" s="28">
        <v>12</v>
      </c>
      <c r="BM123" s="28">
        <v>9</v>
      </c>
      <c r="BN123" s="28">
        <v>24</v>
      </c>
      <c r="BO123" s="77">
        <v>0</v>
      </c>
      <c r="BP123" s="28">
        <v>4</v>
      </c>
      <c r="BQ123" s="28">
        <v>4</v>
      </c>
      <c r="BR123" s="77">
        <v>39</v>
      </c>
      <c r="BS123" s="72">
        <v>0.68767880984169372</v>
      </c>
      <c r="BT123" s="28">
        <v>1</v>
      </c>
      <c r="BU123" s="75">
        <v>121</v>
      </c>
    </row>
    <row r="124" spans="1:73">
      <c r="A124" s="101" t="s">
        <v>1062</v>
      </c>
      <c r="B124" s="71" t="s">
        <v>179</v>
      </c>
      <c r="C124" s="74" t="s">
        <v>1068</v>
      </c>
      <c r="D124" s="72">
        <f>VLOOKUP(Table88[[#This Row],[NAME]],MIL_H[[NAME]:['#]],2,0)</f>
        <v>0</v>
      </c>
      <c r="E124" s="72">
        <f>VLOOKUP(Table88[[#This Row],[NAME]],MIL_H[[NAME]:['#]],3,0)</f>
        <v>0</v>
      </c>
      <c r="F124" s="72">
        <f>VLOOKUP(Table88[[#This Row],[NAME]],MIL_H[[NAME]:['#]],4,0)</f>
        <v>0</v>
      </c>
      <c r="G124" s="77">
        <f>VLOOKUP(Table88[[#This Row],[NAME]],MIL_H[[NAME]:['#]],5,0)</f>
        <v>1</v>
      </c>
      <c r="H124" s="28">
        <f>VLOOKUP(Table88[[#This Row],[NAME]],MIL_H[[NAME]:['#]],6,0)</f>
        <v>3</v>
      </c>
      <c r="I124" s="28">
        <f>VLOOKUP(Table88[[#This Row],[NAME]],MIL_H[[NAME]:['#]],7,0)</f>
        <v>0</v>
      </c>
      <c r="J124" s="28">
        <f>VLOOKUP(Table88[[#This Row],[NAME]],MIL_H[[NAME]:['#]],8,0)</f>
        <v>0</v>
      </c>
      <c r="K124" s="28">
        <f>VLOOKUP(Table88[[#This Row],[NAME]],MIL_H[[NAME]:['#]],9,0)</f>
        <v>0</v>
      </c>
      <c r="L124" s="28">
        <f>VLOOKUP(Table88[[#This Row],[NAME]],MIL_H[[NAME]:['#]],10,0)</f>
        <v>0</v>
      </c>
      <c r="M124" s="28">
        <f>VLOOKUP(Table88[[#This Row],[NAME]],MIL_H[[NAME]:['#]],11,0)</f>
        <v>0</v>
      </c>
      <c r="N124" s="28">
        <f>VLOOKUP(Table88[[#This Row],[NAME]],MIL_H[[NAME]:['#]],12,0)</f>
        <v>0</v>
      </c>
      <c r="O124" s="28">
        <f>VLOOKUP(Table88[[#This Row],[NAME]],MIL_H[[NAME]:['#]],13,0)</f>
        <v>0</v>
      </c>
      <c r="P124" s="28">
        <f>VLOOKUP(Table88[[#This Row],[NAME]],MIL_H[[NAME]:['#]],14,0)</f>
        <v>0</v>
      </c>
      <c r="Q124" s="77">
        <f>VLOOKUP(Table88[[#This Row],[NAME]],MIL_H[[NAME]:['#]],15,0)</f>
        <v>0</v>
      </c>
      <c r="R124" s="28">
        <f>VLOOKUP(Table88[[#This Row],[NAME]],MIL_H[[NAME]:['#]],16,0)</f>
        <v>0</v>
      </c>
      <c r="S124" s="28">
        <f>VLOOKUP(Table88[[#This Row],[NAME]],MIL_H[[NAME]:['#]],17,0)</f>
        <v>0</v>
      </c>
      <c r="T124" s="77">
        <f>VLOOKUP(Table88[[#This Row],[NAME]],MIL_H[[NAME]:['#]],18,0)</f>
        <v>0</v>
      </c>
      <c r="U124" s="72">
        <f>VLOOKUP(Table88[[#This Row],[NAME]],MIL_H[[NAME]:['#]],19,0)</f>
        <v>0</v>
      </c>
      <c r="V124" s="28">
        <f>VLOOKUP(Table88[[#This Row],[NAME]],MIL_H[[NAME]:['#]],20,0)</f>
        <v>0</v>
      </c>
      <c r="W124" s="75">
        <v>122</v>
      </c>
      <c r="Z124" s="101" t="s">
        <v>1062</v>
      </c>
      <c r="AA124" s="77" t="s">
        <v>179</v>
      </c>
      <c r="AB124" s="77" t="s">
        <v>1079</v>
      </c>
      <c r="AC124" s="130">
        <v>0.4</v>
      </c>
      <c r="AD124" s="72">
        <v>0.47058823529411764</v>
      </c>
      <c r="AE124" s="72">
        <v>0.66666666666666663</v>
      </c>
      <c r="AF124" s="77">
        <v>5</v>
      </c>
      <c r="AG124" s="28">
        <v>15</v>
      </c>
      <c r="AH124" s="28">
        <v>4</v>
      </c>
      <c r="AI124" s="28">
        <v>6</v>
      </c>
      <c r="AJ124" s="28">
        <v>1</v>
      </c>
      <c r="AK124" s="28">
        <v>0</v>
      </c>
      <c r="AL124" s="28">
        <v>1</v>
      </c>
      <c r="AM124" s="28">
        <v>3</v>
      </c>
      <c r="AN124" s="28">
        <v>2</v>
      </c>
      <c r="AO124" s="28">
        <v>2</v>
      </c>
      <c r="AP124" s="77">
        <v>0</v>
      </c>
      <c r="AQ124" s="28">
        <v>1</v>
      </c>
      <c r="AR124" s="28">
        <v>2</v>
      </c>
      <c r="AS124" s="77">
        <v>10</v>
      </c>
      <c r="AT124" s="72">
        <v>1.1372549019607843</v>
      </c>
      <c r="AU124" s="28">
        <v>1</v>
      </c>
      <c r="AV124" s="75">
        <v>122</v>
      </c>
      <c r="AY124" s="101" t="s">
        <v>1062</v>
      </c>
      <c r="AZ124" s="77" t="s">
        <v>308</v>
      </c>
      <c r="BA124" s="77" t="s">
        <v>1079</v>
      </c>
      <c r="BB124" s="130">
        <v>0.2</v>
      </c>
      <c r="BC124" s="72">
        <v>0.2</v>
      </c>
      <c r="BD124" s="72">
        <v>0.3</v>
      </c>
      <c r="BE124" s="77">
        <v>6</v>
      </c>
      <c r="BF124" s="28">
        <v>10</v>
      </c>
      <c r="BG124" s="28">
        <v>1</v>
      </c>
      <c r="BH124" s="28">
        <v>2</v>
      </c>
      <c r="BI124" s="28">
        <v>1</v>
      </c>
      <c r="BJ124" s="28">
        <v>0</v>
      </c>
      <c r="BK124" s="28">
        <v>0</v>
      </c>
      <c r="BL124" s="28">
        <v>0</v>
      </c>
      <c r="BM124" s="28">
        <v>0</v>
      </c>
      <c r="BN124" s="28">
        <v>4</v>
      </c>
      <c r="BO124" s="77">
        <v>0</v>
      </c>
      <c r="BP124" s="28">
        <v>0</v>
      </c>
      <c r="BQ124" s="28">
        <v>1</v>
      </c>
      <c r="BR124" s="77">
        <v>3</v>
      </c>
      <c r="BS124" s="72">
        <v>0.5</v>
      </c>
      <c r="BT124" s="28">
        <v>0</v>
      </c>
      <c r="BU124" s="75">
        <v>122</v>
      </c>
    </row>
    <row r="125" spans="1:73">
      <c r="A125" s="101" t="s">
        <v>1062</v>
      </c>
      <c r="B125" s="71" t="s">
        <v>187</v>
      </c>
      <c r="C125" s="74" t="s">
        <v>1076</v>
      </c>
      <c r="D125" s="72">
        <f>VLOOKUP(Table88[[#This Row],[NAME]],MIL_H[[NAME]:['#]],2,0)</f>
        <v>6.6666666666666666E-2</v>
      </c>
      <c r="E125" s="72">
        <f>VLOOKUP(Table88[[#This Row],[NAME]],MIL_H[[NAME]:['#]],3,0)</f>
        <v>0.22222222222222221</v>
      </c>
      <c r="F125" s="72">
        <f>VLOOKUP(Table88[[#This Row],[NAME]],MIL_H[[NAME]:['#]],4,0)</f>
        <v>6.6666666666666666E-2</v>
      </c>
      <c r="G125" s="77">
        <f>VLOOKUP(Table88[[#This Row],[NAME]],MIL_H[[NAME]:['#]],5,0)</f>
        <v>7</v>
      </c>
      <c r="H125" s="28">
        <f>VLOOKUP(Table88[[#This Row],[NAME]],MIL_H[[NAME]:['#]],6,0)</f>
        <v>15</v>
      </c>
      <c r="I125" s="28">
        <f>VLOOKUP(Table88[[#This Row],[NAME]],MIL_H[[NAME]:['#]],7,0)</f>
        <v>1</v>
      </c>
      <c r="J125" s="28">
        <f>VLOOKUP(Table88[[#This Row],[NAME]],MIL_H[[NAME]:['#]],8,0)</f>
        <v>1</v>
      </c>
      <c r="K125" s="28">
        <f>VLOOKUP(Table88[[#This Row],[NAME]],MIL_H[[NAME]:['#]],9,0)</f>
        <v>0</v>
      </c>
      <c r="L125" s="28">
        <f>VLOOKUP(Table88[[#This Row],[NAME]],MIL_H[[NAME]:['#]],10,0)</f>
        <v>0</v>
      </c>
      <c r="M125" s="28">
        <f>VLOOKUP(Table88[[#This Row],[NAME]],MIL_H[[NAME]:['#]],11,0)</f>
        <v>0</v>
      </c>
      <c r="N125" s="28">
        <f>VLOOKUP(Table88[[#This Row],[NAME]],MIL_H[[NAME]:['#]],12,0)</f>
        <v>0</v>
      </c>
      <c r="O125" s="28">
        <f>VLOOKUP(Table88[[#This Row],[NAME]],MIL_H[[NAME]:['#]],13,0)</f>
        <v>3</v>
      </c>
      <c r="P125" s="28">
        <f>VLOOKUP(Table88[[#This Row],[NAME]],MIL_H[[NAME]:['#]],14,0)</f>
        <v>7</v>
      </c>
      <c r="Q125" s="77">
        <f>VLOOKUP(Table88[[#This Row],[NAME]],MIL_H[[NAME]:['#]],15,0)</f>
        <v>0</v>
      </c>
      <c r="R125" s="28">
        <f>VLOOKUP(Table88[[#This Row],[NAME]],MIL_H[[NAME]:['#]],16,0)</f>
        <v>0</v>
      </c>
      <c r="S125" s="28">
        <f>VLOOKUP(Table88[[#This Row],[NAME]],MIL_H[[NAME]:['#]],17,0)</f>
        <v>1</v>
      </c>
      <c r="T125" s="77">
        <f>VLOOKUP(Table88[[#This Row],[NAME]],MIL_H[[NAME]:['#]],18,0)</f>
        <v>1</v>
      </c>
      <c r="U125" s="72">
        <f>VLOOKUP(Table88[[#This Row],[NAME]],MIL_H[[NAME]:['#]],19,0)</f>
        <v>0.28888888888888886</v>
      </c>
      <c r="V125" s="28">
        <f>VLOOKUP(Table88[[#This Row],[NAME]],MIL_H[[NAME]:['#]],20,0)</f>
        <v>0</v>
      </c>
      <c r="W125" s="75">
        <v>123</v>
      </c>
      <c r="Z125" s="101" t="s">
        <v>1062</v>
      </c>
      <c r="AA125" s="77" t="s">
        <v>187</v>
      </c>
      <c r="AB125" s="77" t="s">
        <v>1078</v>
      </c>
      <c r="AC125" s="130">
        <v>0.19230769230769232</v>
      </c>
      <c r="AD125" s="72">
        <v>0.19230769230769232</v>
      </c>
      <c r="AE125" s="72">
        <v>0.30769230769230771</v>
      </c>
      <c r="AF125" s="77">
        <v>7</v>
      </c>
      <c r="AG125" s="28">
        <v>26</v>
      </c>
      <c r="AH125" s="28">
        <v>2</v>
      </c>
      <c r="AI125" s="28">
        <v>5</v>
      </c>
      <c r="AJ125" s="28">
        <v>0</v>
      </c>
      <c r="AK125" s="28">
        <v>0</v>
      </c>
      <c r="AL125" s="28">
        <v>1</v>
      </c>
      <c r="AM125" s="28">
        <v>2</v>
      </c>
      <c r="AN125" s="28">
        <v>0</v>
      </c>
      <c r="AO125" s="28">
        <v>10</v>
      </c>
      <c r="AP125" s="77">
        <v>0</v>
      </c>
      <c r="AQ125" s="28">
        <v>1</v>
      </c>
      <c r="AR125" s="28">
        <v>3</v>
      </c>
      <c r="AS125" s="77">
        <v>8</v>
      </c>
      <c r="AT125" s="72">
        <v>0.5</v>
      </c>
      <c r="AU125" s="28">
        <v>0</v>
      </c>
      <c r="AV125" s="75">
        <v>123</v>
      </c>
      <c r="AY125" s="101" t="s">
        <v>1062</v>
      </c>
      <c r="AZ125" s="77" t="s">
        <v>187</v>
      </c>
      <c r="BA125" s="77" t="s">
        <v>1072</v>
      </c>
      <c r="BB125" s="130">
        <v>0.23076923076923078</v>
      </c>
      <c r="BC125" s="72">
        <v>0.2857142857142857</v>
      </c>
      <c r="BD125" s="72">
        <v>0.30769230769230771</v>
      </c>
      <c r="BE125" s="77">
        <v>9</v>
      </c>
      <c r="BF125" s="28">
        <v>13</v>
      </c>
      <c r="BG125" s="28">
        <v>2</v>
      </c>
      <c r="BH125" s="28">
        <v>3</v>
      </c>
      <c r="BI125" s="28">
        <v>1</v>
      </c>
      <c r="BJ125" s="28">
        <v>0</v>
      </c>
      <c r="BK125" s="28">
        <v>0</v>
      </c>
      <c r="BL125" s="28">
        <v>0</v>
      </c>
      <c r="BM125" s="28">
        <v>1</v>
      </c>
      <c r="BN125" s="28">
        <v>5</v>
      </c>
      <c r="BO125" s="77">
        <v>0</v>
      </c>
      <c r="BP125" s="28">
        <v>0</v>
      </c>
      <c r="BQ125" s="28">
        <v>3</v>
      </c>
      <c r="BR125" s="77">
        <v>4</v>
      </c>
      <c r="BS125" s="72">
        <v>0.59340659340659341</v>
      </c>
      <c r="BT125" s="28">
        <v>0</v>
      </c>
      <c r="BU125" s="75">
        <v>123</v>
      </c>
    </row>
    <row r="126" spans="1:73">
      <c r="A126" s="101" t="s">
        <v>1062</v>
      </c>
      <c r="B126" s="71" t="s">
        <v>186</v>
      </c>
      <c r="C126" s="74" t="s">
        <v>1077</v>
      </c>
      <c r="D126" s="72">
        <f>VLOOKUP(Table88[[#This Row],[NAME]],MIL_H[[NAME]:['#]],2,0)</f>
        <v>0.18181818181818182</v>
      </c>
      <c r="E126" s="72">
        <f>VLOOKUP(Table88[[#This Row],[NAME]],MIL_H[[NAME]:['#]],3,0)</f>
        <v>0.18181818181818182</v>
      </c>
      <c r="F126" s="72">
        <f>VLOOKUP(Table88[[#This Row],[NAME]],MIL_H[[NAME]:['#]],4,0)</f>
        <v>0.22727272727272727</v>
      </c>
      <c r="G126" s="77">
        <f>VLOOKUP(Table88[[#This Row],[NAME]],MIL_H[[NAME]:['#]],5,0)</f>
        <v>7</v>
      </c>
      <c r="H126" s="28">
        <f>VLOOKUP(Table88[[#This Row],[NAME]],MIL_H[[NAME]:['#]],6,0)</f>
        <v>22</v>
      </c>
      <c r="I126" s="28">
        <f>VLOOKUP(Table88[[#This Row],[NAME]],MIL_H[[NAME]:['#]],7,0)</f>
        <v>2</v>
      </c>
      <c r="J126" s="28">
        <f>VLOOKUP(Table88[[#This Row],[NAME]],MIL_H[[NAME]:['#]],8,0)</f>
        <v>4</v>
      </c>
      <c r="K126" s="28">
        <f>VLOOKUP(Table88[[#This Row],[NAME]],MIL_H[[NAME]:['#]],9,0)</f>
        <v>1</v>
      </c>
      <c r="L126" s="28">
        <f>VLOOKUP(Table88[[#This Row],[NAME]],MIL_H[[NAME]:['#]],10,0)</f>
        <v>0</v>
      </c>
      <c r="M126" s="28">
        <f>VLOOKUP(Table88[[#This Row],[NAME]],MIL_H[[NAME]:['#]],11,0)</f>
        <v>0</v>
      </c>
      <c r="N126" s="28">
        <f>VLOOKUP(Table88[[#This Row],[NAME]],MIL_H[[NAME]:['#]],12,0)</f>
        <v>1</v>
      </c>
      <c r="O126" s="28">
        <f>VLOOKUP(Table88[[#This Row],[NAME]],MIL_H[[NAME]:['#]],13,0)</f>
        <v>0</v>
      </c>
      <c r="P126" s="28">
        <f>VLOOKUP(Table88[[#This Row],[NAME]],MIL_H[[NAME]:['#]],14,0)</f>
        <v>5</v>
      </c>
      <c r="Q126" s="77">
        <f>VLOOKUP(Table88[[#This Row],[NAME]],MIL_H[[NAME]:['#]],15,0)</f>
        <v>0</v>
      </c>
      <c r="R126" s="28">
        <f>VLOOKUP(Table88[[#This Row],[NAME]],MIL_H[[NAME]:['#]],16,0)</f>
        <v>1</v>
      </c>
      <c r="S126" s="28">
        <f>VLOOKUP(Table88[[#This Row],[NAME]],MIL_H[[NAME]:['#]],17,0)</f>
        <v>3</v>
      </c>
      <c r="T126" s="77">
        <f>VLOOKUP(Table88[[#This Row],[NAME]],MIL_H[[NAME]:['#]],18,0)</f>
        <v>5</v>
      </c>
      <c r="U126" s="72">
        <f>VLOOKUP(Table88[[#This Row],[NAME]],MIL_H[[NAME]:['#]],19,0)</f>
        <v>0.40909090909090906</v>
      </c>
      <c r="V126" s="28">
        <f>VLOOKUP(Table88[[#This Row],[NAME]],MIL_H[[NAME]:['#]],20,0)</f>
        <v>0</v>
      </c>
      <c r="W126" s="75">
        <v>124</v>
      </c>
      <c r="Z126" s="101" t="s">
        <v>1062</v>
      </c>
      <c r="AA126" s="77" t="s">
        <v>2174</v>
      </c>
      <c r="AB126" s="77" t="s">
        <v>1075</v>
      </c>
      <c r="AC126" s="130">
        <v>0.17741935483870969</v>
      </c>
      <c r="AD126" s="72">
        <v>0.2608695652173913</v>
      </c>
      <c r="AE126" s="72">
        <v>0.32258064516129031</v>
      </c>
      <c r="AF126" s="77">
        <v>19</v>
      </c>
      <c r="AG126" s="28">
        <v>62</v>
      </c>
      <c r="AH126" s="28">
        <v>4</v>
      </c>
      <c r="AI126" s="28">
        <v>11</v>
      </c>
      <c r="AJ126" s="28">
        <v>3</v>
      </c>
      <c r="AK126" s="28">
        <v>0</v>
      </c>
      <c r="AL126" s="28">
        <v>2</v>
      </c>
      <c r="AM126" s="28">
        <v>5</v>
      </c>
      <c r="AN126" s="28">
        <v>7</v>
      </c>
      <c r="AO126" s="28">
        <v>16</v>
      </c>
      <c r="AP126" s="77">
        <v>0</v>
      </c>
      <c r="AQ126" s="28">
        <v>0</v>
      </c>
      <c r="AR126" s="28">
        <v>2</v>
      </c>
      <c r="AS126" s="77">
        <v>20</v>
      </c>
      <c r="AT126" s="72">
        <v>0.58345021037868161</v>
      </c>
      <c r="AU126" s="28">
        <v>0</v>
      </c>
      <c r="AV126" s="75">
        <v>124</v>
      </c>
      <c r="AY126" s="101" t="s">
        <v>1062</v>
      </c>
      <c r="AZ126" s="77" t="s">
        <v>187</v>
      </c>
      <c r="BA126" s="77" t="s">
        <v>1078</v>
      </c>
      <c r="BB126" s="130">
        <v>0.19230769230769232</v>
      </c>
      <c r="BC126" s="72">
        <v>0.27586206896551724</v>
      </c>
      <c r="BD126" s="72">
        <v>0.40384615384615385</v>
      </c>
      <c r="BE126" s="77">
        <v>19</v>
      </c>
      <c r="BF126" s="28">
        <v>52</v>
      </c>
      <c r="BG126" s="28">
        <v>7</v>
      </c>
      <c r="BH126" s="28">
        <v>10</v>
      </c>
      <c r="BI126" s="28">
        <v>5</v>
      </c>
      <c r="BJ126" s="28">
        <v>0</v>
      </c>
      <c r="BK126" s="28">
        <v>2</v>
      </c>
      <c r="BL126" s="28">
        <v>9</v>
      </c>
      <c r="BM126" s="28">
        <v>6</v>
      </c>
      <c r="BN126" s="28">
        <v>23</v>
      </c>
      <c r="BO126" s="77">
        <v>0</v>
      </c>
      <c r="BP126" s="28">
        <v>0</v>
      </c>
      <c r="BQ126" s="28">
        <v>2</v>
      </c>
      <c r="BR126" s="77">
        <v>21</v>
      </c>
      <c r="BS126" s="72">
        <v>0.67970822281167109</v>
      </c>
      <c r="BT126" s="28">
        <v>1</v>
      </c>
      <c r="BU126" s="75">
        <v>124</v>
      </c>
    </row>
    <row r="127" spans="1:73">
      <c r="A127" s="101" t="s">
        <v>1062</v>
      </c>
      <c r="B127" s="71" t="s">
        <v>186</v>
      </c>
      <c r="C127" s="74" t="s">
        <v>1080</v>
      </c>
      <c r="D127" s="72">
        <f>VLOOKUP(Table88[[#This Row],[NAME]],MIL_H[[NAME]:['#]],2,0)</f>
        <v>0</v>
      </c>
      <c r="E127" s="72">
        <f>VLOOKUP(Table88[[#This Row],[NAME]],MIL_H[[NAME]:['#]],3,0)</f>
        <v>0</v>
      </c>
      <c r="F127" s="72">
        <f>VLOOKUP(Table88[[#This Row],[NAME]],MIL_H[[NAME]:['#]],4,0)</f>
        <v>0</v>
      </c>
      <c r="G127" s="77">
        <f>VLOOKUP(Table88[[#This Row],[NAME]],MIL_H[[NAME]:['#]],5,0)</f>
        <v>1</v>
      </c>
      <c r="H127" s="28">
        <f>VLOOKUP(Table88[[#This Row],[NAME]],MIL_H[[NAME]:['#]],6,0)</f>
        <v>3</v>
      </c>
      <c r="I127" s="28">
        <f>VLOOKUP(Table88[[#This Row],[NAME]],MIL_H[[NAME]:['#]],7,0)</f>
        <v>0</v>
      </c>
      <c r="J127" s="28">
        <f>VLOOKUP(Table88[[#This Row],[NAME]],MIL_H[[NAME]:['#]],8,0)</f>
        <v>0</v>
      </c>
      <c r="K127" s="28">
        <f>VLOOKUP(Table88[[#This Row],[NAME]],MIL_H[[NAME]:['#]],9,0)</f>
        <v>0</v>
      </c>
      <c r="L127" s="28">
        <f>VLOOKUP(Table88[[#This Row],[NAME]],MIL_H[[NAME]:['#]],10,0)</f>
        <v>0</v>
      </c>
      <c r="M127" s="28">
        <f>VLOOKUP(Table88[[#This Row],[NAME]],MIL_H[[NAME]:['#]],11,0)</f>
        <v>0</v>
      </c>
      <c r="N127" s="28">
        <f>VLOOKUP(Table88[[#This Row],[NAME]],MIL_H[[NAME]:['#]],12,0)</f>
        <v>0</v>
      </c>
      <c r="O127" s="28">
        <f>VLOOKUP(Table88[[#This Row],[NAME]],MIL_H[[NAME]:['#]],13,0)</f>
        <v>0</v>
      </c>
      <c r="P127" s="28">
        <f>VLOOKUP(Table88[[#This Row],[NAME]],MIL_H[[NAME]:['#]],14,0)</f>
        <v>0</v>
      </c>
      <c r="Q127" s="77">
        <f>VLOOKUP(Table88[[#This Row],[NAME]],MIL_H[[NAME]:['#]],15,0)</f>
        <v>0</v>
      </c>
      <c r="R127" s="28">
        <f>VLOOKUP(Table88[[#This Row],[NAME]],MIL_H[[NAME]:['#]],16,0)</f>
        <v>0</v>
      </c>
      <c r="S127" s="28">
        <f>VLOOKUP(Table88[[#This Row],[NAME]],MIL_H[[NAME]:['#]],17,0)</f>
        <v>0</v>
      </c>
      <c r="T127" s="77">
        <f>VLOOKUP(Table88[[#This Row],[NAME]],MIL_H[[NAME]:['#]],18,0)</f>
        <v>0</v>
      </c>
      <c r="U127" s="72">
        <f>VLOOKUP(Table88[[#This Row],[NAME]],MIL_H[[NAME]:['#]],19,0)</f>
        <v>0</v>
      </c>
      <c r="V127" s="28">
        <f>VLOOKUP(Table88[[#This Row],[NAME]],MIL_H[[NAME]:['#]],20,0)</f>
        <v>0</v>
      </c>
      <c r="W127" s="75">
        <v>125</v>
      </c>
      <c r="Z127" s="101" t="s">
        <v>1062</v>
      </c>
      <c r="AA127" s="77" t="s">
        <v>186</v>
      </c>
      <c r="AB127" s="77" t="s">
        <v>1080</v>
      </c>
      <c r="AC127" s="130">
        <v>0.22222222222222221</v>
      </c>
      <c r="AD127" s="72">
        <v>0.22222222222222221</v>
      </c>
      <c r="AE127" s="72">
        <v>0.27777777777777779</v>
      </c>
      <c r="AF127" s="77">
        <v>4</v>
      </c>
      <c r="AG127" s="28">
        <v>18</v>
      </c>
      <c r="AH127" s="28">
        <v>1</v>
      </c>
      <c r="AI127" s="28">
        <v>4</v>
      </c>
      <c r="AJ127" s="28">
        <v>1</v>
      </c>
      <c r="AK127" s="28">
        <v>0</v>
      </c>
      <c r="AL127" s="28">
        <v>0</v>
      </c>
      <c r="AM127" s="28">
        <v>1</v>
      </c>
      <c r="AN127" s="28">
        <v>0</v>
      </c>
      <c r="AO127" s="28">
        <v>11</v>
      </c>
      <c r="AP127" s="77">
        <v>0</v>
      </c>
      <c r="AQ127" s="28">
        <v>1</v>
      </c>
      <c r="AR127" s="28">
        <v>2</v>
      </c>
      <c r="AS127" s="77">
        <v>5</v>
      </c>
      <c r="AT127" s="72">
        <v>0.5</v>
      </c>
      <c r="AU127" s="28">
        <v>0</v>
      </c>
      <c r="AV127" s="75">
        <v>125</v>
      </c>
      <c r="AY127" s="101" t="s">
        <v>1062</v>
      </c>
      <c r="AZ127" s="77" t="s">
        <v>184</v>
      </c>
      <c r="BA127" s="77" t="s">
        <v>1080</v>
      </c>
      <c r="BB127" s="130">
        <v>0.14299999999999999</v>
      </c>
      <c r="BC127" s="72">
        <v>0.36799999999999999</v>
      </c>
      <c r="BD127" s="72">
        <v>0.14299999999999999</v>
      </c>
      <c r="BE127" s="77">
        <v>12</v>
      </c>
      <c r="BF127" s="28">
        <v>14</v>
      </c>
      <c r="BG127" s="28">
        <v>1</v>
      </c>
      <c r="BH127" s="28">
        <v>2</v>
      </c>
      <c r="BI127" s="28">
        <v>0</v>
      </c>
      <c r="BJ127" s="28">
        <v>0</v>
      </c>
      <c r="BK127" s="28">
        <v>0</v>
      </c>
      <c r="BL127" s="28">
        <v>2</v>
      </c>
      <c r="BM127" s="28">
        <v>5</v>
      </c>
      <c r="BN127" s="28">
        <v>2</v>
      </c>
      <c r="BO127" s="77">
        <v>0</v>
      </c>
      <c r="BP127" s="28">
        <v>0</v>
      </c>
      <c r="BQ127" s="28">
        <v>1</v>
      </c>
      <c r="BR127" s="77">
        <v>2</v>
      </c>
      <c r="BS127" s="72">
        <v>0.51100000000000001</v>
      </c>
      <c r="BT127" s="28">
        <v>0</v>
      </c>
      <c r="BU127" s="75">
        <v>125</v>
      </c>
    </row>
    <row r="128" spans="1:73">
      <c r="A128" s="101" t="s">
        <v>1062</v>
      </c>
      <c r="B128" s="71" t="s">
        <v>186</v>
      </c>
      <c r="C128" s="28" t="s">
        <v>1073</v>
      </c>
      <c r="D128" s="72">
        <f>VLOOKUP(Table88[[#This Row],[NAME]],MIL_H[[NAME]:['#]],2,0)</f>
        <v>0</v>
      </c>
      <c r="E128" s="72">
        <f>VLOOKUP(Table88[[#This Row],[NAME]],MIL_H[[NAME]:['#]],3,0)</f>
        <v>0</v>
      </c>
      <c r="F128" s="72">
        <f>VLOOKUP(Table88[[#This Row],[NAME]],MIL_H[[NAME]:['#]],4,0)</f>
        <v>0</v>
      </c>
      <c r="G128" s="77">
        <f>VLOOKUP(Table88[[#This Row],[NAME]],MIL_H[[NAME]:['#]],5,0)</f>
        <v>0</v>
      </c>
      <c r="H128" s="28">
        <f>VLOOKUP(Table88[[#This Row],[NAME]],MIL_H[[NAME]:['#]],6,0)</f>
        <v>0</v>
      </c>
      <c r="I128" s="28">
        <f>VLOOKUP(Table88[[#This Row],[NAME]],MIL_H[[NAME]:['#]],7,0)</f>
        <v>0</v>
      </c>
      <c r="J128" s="28">
        <f>VLOOKUP(Table88[[#This Row],[NAME]],MIL_H[[NAME]:['#]],8,0)</f>
        <v>0</v>
      </c>
      <c r="K128" s="28">
        <f>VLOOKUP(Table88[[#This Row],[NAME]],MIL_H[[NAME]:['#]],9,0)</f>
        <v>0</v>
      </c>
      <c r="L128" s="28">
        <f>VLOOKUP(Table88[[#This Row],[NAME]],MIL_H[[NAME]:['#]],10,0)</f>
        <v>0</v>
      </c>
      <c r="M128" s="28">
        <f>VLOOKUP(Table88[[#This Row],[NAME]],MIL_H[[NAME]:['#]],11,0)</f>
        <v>0</v>
      </c>
      <c r="N128" s="28">
        <f>VLOOKUP(Table88[[#This Row],[NAME]],MIL_H[[NAME]:['#]],12,0)</f>
        <v>0</v>
      </c>
      <c r="O128" s="28">
        <f>VLOOKUP(Table88[[#This Row],[NAME]],MIL_H[[NAME]:['#]],13,0)</f>
        <v>0</v>
      </c>
      <c r="P128" s="28">
        <f>VLOOKUP(Table88[[#This Row],[NAME]],MIL_H[[NAME]:['#]],14,0)</f>
        <v>0</v>
      </c>
      <c r="Q128" s="77">
        <f>VLOOKUP(Table88[[#This Row],[NAME]],MIL_H[[NAME]:['#]],15,0)</f>
        <v>0</v>
      </c>
      <c r="R128" s="28">
        <f>VLOOKUP(Table88[[#This Row],[NAME]],MIL_H[[NAME]:['#]],16,0)</f>
        <v>0</v>
      </c>
      <c r="S128" s="28">
        <f>VLOOKUP(Table88[[#This Row],[NAME]],MIL_H[[NAME]:['#]],17,0)</f>
        <v>0</v>
      </c>
      <c r="T128" s="77">
        <f>VLOOKUP(Table88[[#This Row],[NAME]],MIL_H[[NAME]:['#]],18,0)</f>
        <v>0</v>
      </c>
      <c r="U128" s="72">
        <f>VLOOKUP(Table88[[#This Row],[NAME]],MIL_H[[NAME]:['#]],19,0)</f>
        <v>0</v>
      </c>
      <c r="V128" s="28">
        <f>VLOOKUP(Table88[[#This Row],[NAME]],MIL_H[[NAME]:['#]],20,0)</f>
        <v>0</v>
      </c>
      <c r="W128" s="75">
        <v>126</v>
      </c>
      <c r="Z128" s="101" t="s">
        <v>1062</v>
      </c>
      <c r="AA128" s="77" t="s">
        <v>186</v>
      </c>
      <c r="AB128" s="77" t="s">
        <v>1073</v>
      </c>
      <c r="AC128" s="130">
        <v>0.19047619047619047</v>
      </c>
      <c r="AD128" s="72">
        <v>0.27659574468085107</v>
      </c>
      <c r="AE128" s="72">
        <v>0.2857142857142857</v>
      </c>
      <c r="AF128" s="77">
        <v>14</v>
      </c>
      <c r="AG128" s="28">
        <v>42</v>
      </c>
      <c r="AH128" s="28">
        <v>5</v>
      </c>
      <c r="AI128" s="28">
        <v>8</v>
      </c>
      <c r="AJ128" s="28">
        <v>1</v>
      </c>
      <c r="AK128" s="28">
        <v>0</v>
      </c>
      <c r="AL128" s="28">
        <v>1</v>
      </c>
      <c r="AM128" s="28">
        <v>3</v>
      </c>
      <c r="AN128" s="28">
        <v>5</v>
      </c>
      <c r="AO128" s="28">
        <v>13</v>
      </c>
      <c r="AP128" s="77">
        <v>0</v>
      </c>
      <c r="AQ128" s="28">
        <v>1</v>
      </c>
      <c r="AR128" s="28">
        <v>3</v>
      </c>
      <c r="AS128" s="77">
        <v>12</v>
      </c>
      <c r="AT128" s="72">
        <v>0.56231003039513672</v>
      </c>
      <c r="AU128" s="28">
        <v>0</v>
      </c>
      <c r="AV128" s="75">
        <v>126</v>
      </c>
      <c r="AY128" s="101" t="s">
        <v>1062</v>
      </c>
      <c r="AZ128" s="77" t="s">
        <v>186</v>
      </c>
      <c r="BA128" s="77" t="s">
        <v>1081</v>
      </c>
      <c r="BB128" s="130">
        <v>0</v>
      </c>
      <c r="BC128" s="72">
        <v>0</v>
      </c>
      <c r="BD128" s="72">
        <v>0</v>
      </c>
      <c r="BE128" s="77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77">
        <v>0</v>
      </c>
      <c r="BP128" s="28">
        <v>0</v>
      </c>
      <c r="BQ128" s="28">
        <v>0</v>
      </c>
      <c r="BR128" s="77">
        <v>0</v>
      </c>
      <c r="BS128" s="72">
        <v>0</v>
      </c>
      <c r="BT128" s="28">
        <v>0</v>
      </c>
      <c r="BU128" s="75">
        <v>126</v>
      </c>
    </row>
    <row r="129" spans="1:73">
      <c r="A129" s="101" t="s">
        <v>1096</v>
      </c>
      <c r="B129" s="71" t="s">
        <v>179</v>
      </c>
      <c r="C129" s="28" t="s">
        <v>253</v>
      </c>
      <c r="D129" s="72">
        <f>VLOOKUP(Table88[[#This Row],[NAME]],PIT_H[[NAME]:['#]],2,0)</f>
        <v>0.21212121212121213</v>
      </c>
      <c r="E129" s="72">
        <f>VLOOKUP(Table88[[#This Row],[NAME]],PIT_H[[NAME]:['#]],3,0)</f>
        <v>0.28440366972477066</v>
      </c>
      <c r="F129" s="72">
        <f>VLOOKUP(Table88[[#This Row],[NAME]],PIT_H[[NAME]:['#]],4,0)</f>
        <v>0.24242424242424243</v>
      </c>
      <c r="G129" s="77">
        <f>VLOOKUP(Table88[[#This Row],[NAME]],PIT_H[[NAME]:['#]],5,0)</f>
        <v>30</v>
      </c>
      <c r="H129" s="28">
        <f>VLOOKUP(Table88[[#This Row],[NAME]],PIT_H[[NAME]:['#]],6,0)</f>
        <v>99</v>
      </c>
      <c r="I129" s="28">
        <f>VLOOKUP(Table88[[#This Row],[NAME]],PIT_H[[NAME]:['#]],7,0)</f>
        <v>10</v>
      </c>
      <c r="J129" s="28">
        <f>VLOOKUP(Table88[[#This Row],[NAME]],PIT_H[[NAME]:['#]],8,0)</f>
        <v>21</v>
      </c>
      <c r="K129" s="28">
        <f>VLOOKUP(Table88[[#This Row],[NAME]],PIT_H[[NAME]:['#]],9,0)</f>
        <v>3</v>
      </c>
      <c r="L129" s="28">
        <f>VLOOKUP(Table88[[#This Row],[NAME]],PIT_H[[NAME]:['#]],10,0)</f>
        <v>0</v>
      </c>
      <c r="M129" s="28">
        <f>VLOOKUP(Table88[[#This Row],[NAME]],PIT_H[[NAME]:['#]],11,0)</f>
        <v>0</v>
      </c>
      <c r="N129" s="28">
        <f>VLOOKUP(Table88[[#This Row],[NAME]],PIT_H[[NAME]:['#]],12,0)</f>
        <v>5</v>
      </c>
      <c r="O129" s="28">
        <f>VLOOKUP(Table88[[#This Row],[NAME]],PIT_H[[NAME]:['#]],13,0)</f>
        <v>10</v>
      </c>
      <c r="P129" s="28">
        <f>VLOOKUP(Table88[[#This Row],[NAME]],PIT_H[[NAME]:['#]],14,0)</f>
        <v>25</v>
      </c>
      <c r="Q129" s="77">
        <f>VLOOKUP(Table88[[#This Row],[NAME]],PIT_H[[NAME]:['#]],15,0)</f>
        <v>0</v>
      </c>
      <c r="R129" s="28">
        <f>VLOOKUP(Table88[[#This Row],[NAME]],PIT_H[[NAME]:['#]],16,0)</f>
        <v>2</v>
      </c>
      <c r="S129" s="28">
        <f>VLOOKUP(Table88[[#This Row],[NAME]],PIT_H[[NAME]:['#]],17,0)</f>
        <v>4</v>
      </c>
      <c r="T129" s="77">
        <f>VLOOKUP(Table88[[#This Row],[NAME]],PIT_H[[NAME]:['#]],18,0)</f>
        <v>24</v>
      </c>
      <c r="U129" s="72">
        <f>VLOOKUP(Table88[[#This Row],[NAME]],PIT_H[[NAME]:['#]],19,0)</f>
        <v>0.52682791214901314</v>
      </c>
      <c r="V129" s="28">
        <f>VLOOKUP(Table88[[#This Row],[NAME]],PIT_H[[NAME]:['#]],20,0)</f>
        <v>0</v>
      </c>
      <c r="W129" s="75">
        <v>127</v>
      </c>
      <c r="Z129" s="101" t="s">
        <v>1096</v>
      </c>
      <c r="AA129" s="77" t="s">
        <v>179</v>
      </c>
      <c r="AB129" s="77" t="s">
        <v>1108</v>
      </c>
      <c r="AC129" s="130">
        <v>0.25</v>
      </c>
      <c r="AD129" s="72">
        <v>0.31578947368421051</v>
      </c>
      <c r="AE129" s="72">
        <v>0.32692307692307693</v>
      </c>
      <c r="AF129" s="77">
        <v>13</v>
      </c>
      <c r="AG129" s="28">
        <v>52</v>
      </c>
      <c r="AH129" s="28">
        <v>5</v>
      </c>
      <c r="AI129" s="28">
        <v>13</v>
      </c>
      <c r="AJ129" s="28">
        <v>4</v>
      </c>
      <c r="AK129" s="28">
        <v>0</v>
      </c>
      <c r="AL129" s="28">
        <v>0</v>
      </c>
      <c r="AM129" s="28">
        <v>4</v>
      </c>
      <c r="AN129" s="28">
        <v>5</v>
      </c>
      <c r="AO129" s="28">
        <v>13</v>
      </c>
      <c r="AP129" s="77">
        <v>0</v>
      </c>
      <c r="AQ129" s="28">
        <v>0</v>
      </c>
      <c r="AR129" s="28">
        <v>3</v>
      </c>
      <c r="AS129" s="77">
        <v>17</v>
      </c>
      <c r="AT129" s="72">
        <v>0.64271255060728749</v>
      </c>
      <c r="AU129" s="28">
        <v>0</v>
      </c>
      <c r="AV129" s="75">
        <v>127</v>
      </c>
      <c r="AY129" s="101" t="s">
        <v>1096</v>
      </c>
      <c r="AZ129" s="77" t="s">
        <v>179</v>
      </c>
      <c r="BA129" s="77" t="s">
        <v>1108</v>
      </c>
      <c r="BB129" s="130">
        <v>0.16216216216216217</v>
      </c>
      <c r="BC129" s="72">
        <v>0.23770491803278687</v>
      </c>
      <c r="BD129" s="72">
        <v>0.21621621621621623</v>
      </c>
      <c r="BE129" s="77">
        <v>31</v>
      </c>
      <c r="BF129" s="28">
        <v>111</v>
      </c>
      <c r="BG129" s="28">
        <v>12</v>
      </c>
      <c r="BH129" s="28">
        <v>18</v>
      </c>
      <c r="BI129" s="28">
        <v>6</v>
      </c>
      <c r="BJ129" s="28">
        <v>0</v>
      </c>
      <c r="BK129" s="28">
        <v>0</v>
      </c>
      <c r="BL129" s="28">
        <v>3</v>
      </c>
      <c r="BM129" s="28">
        <v>11</v>
      </c>
      <c r="BN129" s="28">
        <v>38</v>
      </c>
      <c r="BO129" s="77">
        <v>0</v>
      </c>
      <c r="BP129" s="28">
        <v>3</v>
      </c>
      <c r="BQ129" s="28">
        <v>3</v>
      </c>
      <c r="BR129" s="77">
        <v>24</v>
      </c>
      <c r="BS129" s="72">
        <v>0.4539211342490031</v>
      </c>
      <c r="BT129" s="28">
        <v>1</v>
      </c>
      <c r="BU129" s="75">
        <v>127</v>
      </c>
    </row>
    <row r="130" spans="1:73">
      <c r="A130" s="101" t="s">
        <v>1096</v>
      </c>
      <c r="B130" s="71" t="s">
        <v>154</v>
      </c>
      <c r="C130" s="74" t="s">
        <v>1102</v>
      </c>
      <c r="D130" s="72">
        <f>VLOOKUP(Table88[[#This Row],[NAME]],PIT_H[[NAME]:['#]],2,0)</f>
        <v>0.24666666666666667</v>
      </c>
      <c r="E130" s="72">
        <f>VLOOKUP(Table88[[#This Row],[NAME]],PIT_H[[NAME]:['#]],3,0)</f>
        <v>0.28930817610062892</v>
      </c>
      <c r="F130" s="72">
        <f>VLOOKUP(Table88[[#This Row],[NAME]],PIT_H[[NAME]:['#]],4,0)</f>
        <v>0.40666666666666668</v>
      </c>
      <c r="G130" s="77">
        <f>VLOOKUP(Table88[[#This Row],[NAME]],PIT_H[[NAME]:['#]],5,0)</f>
        <v>40</v>
      </c>
      <c r="H130" s="28">
        <f>VLOOKUP(Table88[[#This Row],[NAME]],PIT_H[[NAME]:['#]],6,0)</f>
        <v>150</v>
      </c>
      <c r="I130" s="28">
        <f>VLOOKUP(Table88[[#This Row],[NAME]],PIT_H[[NAME]:['#]],7,0)</f>
        <v>11</v>
      </c>
      <c r="J130" s="28">
        <f>VLOOKUP(Table88[[#This Row],[NAME]],PIT_H[[NAME]:['#]],8,0)</f>
        <v>37</v>
      </c>
      <c r="K130" s="28">
        <f>VLOOKUP(Table88[[#This Row],[NAME]],PIT_H[[NAME]:['#]],9,0)</f>
        <v>6</v>
      </c>
      <c r="L130" s="28">
        <f>VLOOKUP(Table88[[#This Row],[NAME]],PIT_H[[NAME]:['#]],10,0)</f>
        <v>3</v>
      </c>
      <c r="M130" s="28">
        <f>VLOOKUP(Table88[[#This Row],[NAME]],PIT_H[[NAME]:['#]],11,0)</f>
        <v>4</v>
      </c>
      <c r="N130" s="28">
        <f>VLOOKUP(Table88[[#This Row],[NAME]],PIT_H[[NAME]:['#]],12,0)</f>
        <v>15</v>
      </c>
      <c r="O130" s="28">
        <f>VLOOKUP(Table88[[#This Row],[NAME]],PIT_H[[NAME]:['#]],13,0)</f>
        <v>9</v>
      </c>
      <c r="P130" s="28">
        <f>VLOOKUP(Table88[[#This Row],[NAME]],PIT_H[[NAME]:['#]],14,0)</f>
        <v>40</v>
      </c>
      <c r="Q130" s="77">
        <f>VLOOKUP(Table88[[#This Row],[NAME]],PIT_H[[NAME]:['#]],15,0)</f>
        <v>0</v>
      </c>
      <c r="R130" s="28">
        <f>VLOOKUP(Table88[[#This Row],[NAME]],PIT_H[[NAME]:['#]],16,0)</f>
        <v>2</v>
      </c>
      <c r="S130" s="28">
        <f>VLOOKUP(Table88[[#This Row],[NAME]],PIT_H[[NAME]:['#]],17,0)</f>
        <v>7</v>
      </c>
      <c r="T130" s="77">
        <f>VLOOKUP(Table88[[#This Row],[NAME]],PIT_H[[NAME]:['#]],18,0)</f>
        <v>61</v>
      </c>
      <c r="U130" s="72">
        <f>VLOOKUP(Table88[[#This Row],[NAME]],PIT_H[[NAME]:['#]],19,0)</f>
        <v>0.6959748427672956</v>
      </c>
      <c r="V130" s="28">
        <f>VLOOKUP(Table88[[#This Row],[NAME]],PIT_H[[NAME]:['#]],20,0)</f>
        <v>1</v>
      </c>
      <c r="W130" s="75">
        <v>128</v>
      </c>
      <c r="Z130" s="101" t="s">
        <v>1096</v>
      </c>
      <c r="AA130" s="77" t="s">
        <v>154</v>
      </c>
      <c r="AB130" s="77" t="s">
        <v>1102</v>
      </c>
      <c r="AC130" s="130">
        <v>0.24832214765100671</v>
      </c>
      <c r="AD130" s="72">
        <v>0.32934131736526945</v>
      </c>
      <c r="AE130" s="72">
        <v>0.42953020134228187</v>
      </c>
      <c r="AF130" s="77">
        <v>40</v>
      </c>
      <c r="AG130" s="28">
        <v>149</v>
      </c>
      <c r="AH130" s="28">
        <v>16</v>
      </c>
      <c r="AI130" s="28">
        <v>37</v>
      </c>
      <c r="AJ130" s="28">
        <v>7</v>
      </c>
      <c r="AK130" s="28">
        <v>1</v>
      </c>
      <c r="AL130" s="28">
        <v>6</v>
      </c>
      <c r="AM130" s="28">
        <v>20</v>
      </c>
      <c r="AN130" s="28">
        <v>18</v>
      </c>
      <c r="AO130" s="28">
        <v>28</v>
      </c>
      <c r="AP130" s="77">
        <v>0</v>
      </c>
      <c r="AQ130" s="28">
        <v>0</v>
      </c>
      <c r="AR130" s="28">
        <v>3</v>
      </c>
      <c r="AS130" s="77">
        <v>64</v>
      </c>
      <c r="AT130" s="72">
        <v>0.75887151870755132</v>
      </c>
      <c r="AU130" s="28">
        <v>2</v>
      </c>
      <c r="AV130" s="75">
        <v>128</v>
      </c>
      <c r="AY130" s="101" t="s">
        <v>1096</v>
      </c>
      <c r="AZ130" s="77" t="s">
        <v>154</v>
      </c>
      <c r="BA130" s="77" t="s">
        <v>1102</v>
      </c>
      <c r="BB130" s="130">
        <v>0.28104575163398693</v>
      </c>
      <c r="BC130" s="72">
        <v>0.34523809523809523</v>
      </c>
      <c r="BD130" s="72">
        <v>0.45751633986928103</v>
      </c>
      <c r="BE130" s="77">
        <v>39</v>
      </c>
      <c r="BF130" s="28">
        <v>153</v>
      </c>
      <c r="BG130" s="28">
        <v>17</v>
      </c>
      <c r="BH130" s="28">
        <v>43</v>
      </c>
      <c r="BI130" s="76">
        <v>15</v>
      </c>
      <c r="BJ130" s="28">
        <v>0</v>
      </c>
      <c r="BK130" s="28">
        <v>4</v>
      </c>
      <c r="BL130" s="28">
        <v>17</v>
      </c>
      <c r="BM130" s="28">
        <v>15</v>
      </c>
      <c r="BN130" s="28">
        <v>51</v>
      </c>
      <c r="BO130" s="77">
        <v>0</v>
      </c>
      <c r="BP130" s="28">
        <v>0</v>
      </c>
      <c r="BQ130" s="28">
        <v>7</v>
      </c>
      <c r="BR130" s="77">
        <v>70</v>
      </c>
      <c r="BS130" s="72">
        <v>0.80275443510737632</v>
      </c>
      <c r="BT130" s="28">
        <v>3</v>
      </c>
      <c r="BU130" s="75">
        <v>128</v>
      </c>
    </row>
    <row r="131" spans="1:73">
      <c r="A131" s="101" t="s">
        <v>1096</v>
      </c>
      <c r="B131" s="71" t="s">
        <v>172</v>
      </c>
      <c r="C131" s="74" t="s">
        <v>1101</v>
      </c>
      <c r="D131" s="72">
        <f>VLOOKUP(Table88[[#This Row],[NAME]],PIT_H[[NAME]:['#]],2,0)</f>
        <v>0.24666666666666667</v>
      </c>
      <c r="E131" s="72">
        <f>VLOOKUP(Table88[[#This Row],[NAME]],PIT_H[[NAME]:['#]],3,0)</f>
        <v>0.31927710843373491</v>
      </c>
      <c r="F131" s="72">
        <f>VLOOKUP(Table88[[#This Row],[NAME]],PIT_H[[NAME]:['#]],4,0)</f>
        <v>0.46</v>
      </c>
      <c r="G131" s="77">
        <f>VLOOKUP(Table88[[#This Row],[NAME]],PIT_H[[NAME]:['#]],5,0)</f>
        <v>40</v>
      </c>
      <c r="H131" s="28">
        <f>VLOOKUP(Table88[[#This Row],[NAME]],PIT_H[[NAME]:['#]],6,0)</f>
        <v>150</v>
      </c>
      <c r="I131" s="28">
        <f>VLOOKUP(Table88[[#This Row],[NAME]],PIT_H[[NAME]:['#]],7,0)</f>
        <v>17</v>
      </c>
      <c r="J131" s="28">
        <f>VLOOKUP(Table88[[#This Row],[NAME]],PIT_H[[NAME]:['#]],8,0)</f>
        <v>37</v>
      </c>
      <c r="K131" s="28">
        <f>VLOOKUP(Table88[[#This Row],[NAME]],PIT_H[[NAME]:['#]],9,0)</f>
        <v>6</v>
      </c>
      <c r="L131" s="28">
        <f>VLOOKUP(Table88[[#This Row],[NAME]],PIT_H[[NAME]:['#]],10,0)</f>
        <v>4</v>
      </c>
      <c r="M131" s="28">
        <f>VLOOKUP(Table88[[#This Row],[NAME]],PIT_H[[NAME]:['#]],11,0)</f>
        <v>6</v>
      </c>
      <c r="N131" s="28">
        <f>VLOOKUP(Table88[[#This Row],[NAME]],PIT_H[[NAME]:['#]],12,0)</f>
        <v>22</v>
      </c>
      <c r="O131" s="28">
        <f>VLOOKUP(Table88[[#This Row],[NAME]],PIT_H[[NAME]:['#]],13,0)</f>
        <v>16</v>
      </c>
      <c r="P131" s="28">
        <f>VLOOKUP(Table88[[#This Row],[NAME]],PIT_H[[NAME]:['#]],14,0)</f>
        <v>52</v>
      </c>
      <c r="Q131" s="77">
        <f>VLOOKUP(Table88[[#This Row],[NAME]],PIT_H[[NAME]:['#]],15,0)</f>
        <v>5</v>
      </c>
      <c r="R131" s="28">
        <f>VLOOKUP(Table88[[#This Row],[NAME]],PIT_H[[NAME]:['#]],16,0)</f>
        <v>0</v>
      </c>
      <c r="S131" s="28">
        <f>VLOOKUP(Table88[[#This Row],[NAME]],PIT_H[[NAME]:['#]],17,0)</f>
        <v>6</v>
      </c>
      <c r="T131" s="77">
        <f>VLOOKUP(Table88[[#This Row],[NAME]],PIT_H[[NAME]:['#]],18,0)</f>
        <v>69</v>
      </c>
      <c r="U131" s="72">
        <f>VLOOKUP(Table88[[#This Row],[NAME]],PIT_H[[NAME]:['#]],19,0)</f>
        <v>0.77927710843373488</v>
      </c>
      <c r="V131" s="28">
        <f>VLOOKUP(Table88[[#This Row],[NAME]],PIT_H[[NAME]:['#]],20,0)</f>
        <v>4</v>
      </c>
      <c r="W131" s="75">
        <v>129</v>
      </c>
      <c r="Z131" s="101" t="s">
        <v>1096</v>
      </c>
      <c r="AA131" s="77" t="s">
        <v>172</v>
      </c>
      <c r="AB131" s="77" t="s">
        <v>1101</v>
      </c>
      <c r="AC131" s="130">
        <v>0.21379310344827587</v>
      </c>
      <c r="AD131" s="72">
        <v>0.24</v>
      </c>
      <c r="AE131" s="72">
        <v>0.33793103448275863</v>
      </c>
      <c r="AF131" s="77">
        <v>37</v>
      </c>
      <c r="AG131" s="28">
        <v>145</v>
      </c>
      <c r="AH131" s="28">
        <v>9</v>
      </c>
      <c r="AI131" s="28">
        <v>31</v>
      </c>
      <c r="AJ131" s="28">
        <v>6</v>
      </c>
      <c r="AK131" s="28">
        <v>0</v>
      </c>
      <c r="AL131" s="28">
        <v>4</v>
      </c>
      <c r="AM131" s="28">
        <v>15</v>
      </c>
      <c r="AN131" s="28">
        <v>5</v>
      </c>
      <c r="AO131" s="28">
        <v>53</v>
      </c>
      <c r="AP131" s="77">
        <v>0</v>
      </c>
      <c r="AQ131" s="28">
        <v>0</v>
      </c>
      <c r="AR131" s="28">
        <v>5</v>
      </c>
      <c r="AS131" s="77">
        <v>49</v>
      </c>
      <c r="AT131" s="72">
        <v>0.57793103448275862</v>
      </c>
      <c r="AU131" s="28">
        <v>1</v>
      </c>
      <c r="AV131" s="75">
        <v>129</v>
      </c>
      <c r="AY131" s="101" t="s">
        <v>1096</v>
      </c>
      <c r="AZ131" s="77" t="s">
        <v>235</v>
      </c>
      <c r="BA131" s="77" t="s">
        <v>1101</v>
      </c>
      <c r="BB131" s="130">
        <v>0.27450980392156865</v>
      </c>
      <c r="BC131" s="72">
        <v>0.3392857142857143</v>
      </c>
      <c r="BD131" s="72">
        <v>0.53921568627450978</v>
      </c>
      <c r="BE131" s="77">
        <v>29</v>
      </c>
      <c r="BF131" s="28">
        <v>102</v>
      </c>
      <c r="BG131" s="28">
        <v>12</v>
      </c>
      <c r="BH131" s="28">
        <v>28</v>
      </c>
      <c r="BI131" s="28">
        <v>6</v>
      </c>
      <c r="BJ131" s="28">
        <v>0</v>
      </c>
      <c r="BK131" s="28">
        <v>7</v>
      </c>
      <c r="BL131" s="28">
        <v>20</v>
      </c>
      <c r="BM131" s="28">
        <v>10</v>
      </c>
      <c r="BN131" s="28">
        <v>19</v>
      </c>
      <c r="BO131" s="77">
        <v>0</v>
      </c>
      <c r="BP131" s="28">
        <v>5</v>
      </c>
      <c r="BQ131" s="28">
        <v>5</v>
      </c>
      <c r="BR131" s="77">
        <v>55</v>
      </c>
      <c r="BS131" s="72">
        <v>0.87850140056022408</v>
      </c>
      <c r="BT131" s="28">
        <v>3</v>
      </c>
      <c r="BU131" s="75">
        <v>129</v>
      </c>
    </row>
    <row r="132" spans="1:73">
      <c r="A132" s="101" t="s">
        <v>1096</v>
      </c>
      <c r="B132" s="71" t="s">
        <v>311</v>
      </c>
      <c r="C132" s="74" t="s">
        <v>1103</v>
      </c>
      <c r="D132" s="72">
        <f>VLOOKUP(Table88[[#This Row],[NAME]],PIT_H[[NAME]:['#]],2,0)</f>
        <v>0.27619047619047621</v>
      </c>
      <c r="E132" s="72">
        <f>VLOOKUP(Table88[[#This Row],[NAME]],PIT_H[[NAME]:['#]],3,0)</f>
        <v>0.32142857142857145</v>
      </c>
      <c r="F132" s="72">
        <f>VLOOKUP(Table88[[#This Row],[NAME]],PIT_H[[NAME]:['#]],4,0)</f>
        <v>0.33333333333333331</v>
      </c>
      <c r="G132" s="77">
        <f>VLOOKUP(Table88[[#This Row],[NAME]],PIT_H[[NAME]:['#]],5,0)</f>
        <v>30</v>
      </c>
      <c r="H132" s="28">
        <f>VLOOKUP(Table88[[#This Row],[NAME]],PIT_H[[NAME]:['#]],6,0)</f>
        <v>105</v>
      </c>
      <c r="I132" s="28">
        <f>VLOOKUP(Table88[[#This Row],[NAME]],PIT_H[[NAME]:['#]],7,0)</f>
        <v>9</v>
      </c>
      <c r="J132" s="28">
        <f>VLOOKUP(Table88[[#This Row],[NAME]],PIT_H[[NAME]:['#]],8,0)</f>
        <v>29</v>
      </c>
      <c r="K132" s="28">
        <f>VLOOKUP(Table88[[#This Row],[NAME]],PIT_H[[NAME]:['#]],9,0)</f>
        <v>2</v>
      </c>
      <c r="L132" s="28">
        <f>VLOOKUP(Table88[[#This Row],[NAME]],PIT_H[[NAME]:['#]],10,0)</f>
        <v>2</v>
      </c>
      <c r="M132" s="28">
        <f>VLOOKUP(Table88[[#This Row],[NAME]],PIT_H[[NAME]:['#]],11,0)</f>
        <v>0</v>
      </c>
      <c r="N132" s="28">
        <f>VLOOKUP(Table88[[#This Row],[NAME]],PIT_H[[NAME]:['#]],12,0)</f>
        <v>6</v>
      </c>
      <c r="O132" s="28">
        <f>VLOOKUP(Table88[[#This Row],[NAME]],PIT_H[[NAME]:['#]],13,0)</f>
        <v>7</v>
      </c>
      <c r="P132" s="28">
        <f>VLOOKUP(Table88[[#This Row],[NAME]],PIT_H[[NAME]:['#]],14,0)</f>
        <v>18</v>
      </c>
      <c r="Q132" s="77">
        <f>VLOOKUP(Table88[[#This Row],[NAME]],PIT_H[[NAME]:['#]],15,0)</f>
        <v>0</v>
      </c>
      <c r="R132" s="28">
        <f>VLOOKUP(Table88[[#This Row],[NAME]],PIT_H[[NAME]:['#]],16,0)</f>
        <v>1</v>
      </c>
      <c r="S132" s="28">
        <f>VLOOKUP(Table88[[#This Row],[NAME]],PIT_H[[NAME]:['#]],17,0)</f>
        <v>6</v>
      </c>
      <c r="T132" s="77">
        <f>VLOOKUP(Table88[[#This Row],[NAME]],PIT_H[[NAME]:['#]],18,0)</f>
        <v>35</v>
      </c>
      <c r="U132" s="72">
        <f>VLOOKUP(Table88[[#This Row],[NAME]],PIT_H[[NAME]:['#]],19,0)</f>
        <v>0.65476190476190477</v>
      </c>
      <c r="V132" s="28">
        <f>VLOOKUP(Table88[[#This Row],[NAME]],PIT_H[[NAME]:['#]],20,0)</f>
        <v>0</v>
      </c>
      <c r="W132" s="75">
        <v>130</v>
      </c>
      <c r="Z132" s="101" t="s">
        <v>1096</v>
      </c>
      <c r="AA132" s="77" t="s">
        <v>153</v>
      </c>
      <c r="AB132" s="77" t="s">
        <v>1104</v>
      </c>
      <c r="AC132" s="130">
        <v>0.23423423423423423</v>
      </c>
      <c r="AD132" s="72">
        <v>0.2857142857142857</v>
      </c>
      <c r="AE132" s="72">
        <v>0.31531531531531531</v>
      </c>
      <c r="AF132" s="77">
        <v>32</v>
      </c>
      <c r="AG132" s="28">
        <v>111</v>
      </c>
      <c r="AH132" s="28">
        <v>10</v>
      </c>
      <c r="AI132" s="28">
        <v>26</v>
      </c>
      <c r="AJ132" s="28">
        <v>3</v>
      </c>
      <c r="AK132" s="28">
        <v>0</v>
      </c>
      <c r="AL132" s="28">
        <v>2</v>
      </c>
      <c r="AM132" s="28">
        <v>8</v>
      </c>
      <c r="AN132" s="28">
        <v>8</v>
      </c>
      <c r="AO132" s="28">
        <v>24</v>
      </c>
      <c r="AP132" s="77">
        <v>0</v>
      </c>
      <c r="AQ132" s="28">
        <v>3</v>
      </c>
      <c r="AR132" s="28">
        <v>6</v>
      </c>
      <c r="AS132" s="77">
        <v>35</v>
      </c>
      <c r="AT132" s="72">
        <v>0.60102960102960101</v>
      </c>
      <c r="AU132" s="28">
        <v>0</v>
      </c>
      <c r="AV132" s="75">
        <v>130</v>
      </c>
      <c r="AY132" s="101" t="s">
        <v>1096</v>
      </c>
      <c r="AZ132" s="77" t="s">
        <v>153</v>
      </c>
      <c r="BA132" s="77" t="s">
        <v>1104</v>
      </c>
      <c r="BB132" s="130">
        <v>0.26153846153846155</v>
      </c>
      <c r="BC132" s="72">
        <v>0.29411764705882354</v>
      </c>
      <c r="BD132" s="72">
        <v>0.40769230769230769</v>
      </c>
      <c r="BE132" s="77">
        <v>33</v>
      </c>
      <c r="BF132" s="28">
        <v>130</v>
      </c>
      <c r="BG132" s="28">
        <v>11</v>
      </c>
      <c r="BH132" s="28">
        <v>34</v>
      </c>
      <c r="BI132" s="28">
        <v>6</v>
      </c>
      <c r="BJ132" s="28">
        <v>2</v>
      </c>
      <c r="BK132" s="28">
        <v>3</v>
      </c>
      <c r="BL132" s="28">
        <v>19</v>
      </c>
      <c r="BM132" s="28">
        <v>6</v>
      </c>
      <c r="BN132" s="28">
        <v>32</v>
      </c>
      <c r="BO132" s="77">
        <v>0</v>
      </c>
      <c r="BP132" s="28">
        <v>0</v>
      </c>
      <c r="BQ132" s="28">
        <v>5</v>
      </c>
      <c r="BR132" s="77">
        <v>53</v>
      </c>
      <c r="BS132" s="72">
        <v>0.70180995475113117</v>
      </c>
      <c r="BT132" s="28">
        <v>2</v>
      </c>
      <c r="BU132" s="75">
        <v>130</v>
      </c>
    </row>
    <row r="133" spans="1:73">
      <c r="A133" s="101" t="s">
        <v>1096</v>
      </c>
      <c r="B133" s="71" t="s">
        <v>177</v>
      </c>
      <c r="C133" s="74" t="s">
        <v>1097</v>
      </c>
      <c r="D133" s="72">
        <f>VLOOKUP(Table88[[#This Row],[NAME]],PIT_H[[NAME]:['#]],2,0)</f>
        <v>0.27950310559006208</v>
      </c>
      <c r="E133" s="72">
        <f>VLOOKUP(Table88[[#This Row],[NAME]],PIT_H[[NAME]:['#]],3,0)</f>
        <v>0.32947976878612717</v>
      </c>
      <c r="F133" s="72">
        <f>VLOOKUP(Table88[[#This Row],[NAME]],PIT_H[[NAME]:['#]],4,0)</f>
        <v>0.48447204968944102</v>
      </c>
      <c r="G133" s="77">
        <f>VLOOKUP(Table88[[#This Row],[NAME]],PIT_H[[NAME]:['#]],5,0)</f>
        <v>40</v>
      </c>
      <c r="H133" s="28">
        <f>VLOOKUP(Table88[[#This Row],[NAME]],PIT_H[[NAME]:['#]],6,0)</f>
        <v>161</v>
      </c>
      <c r="I133" s="28">
        <f>VLOOKUP(Table88[[#This Row],[NAME]],PIT_H[[NAME]:['#]],7,0)</f>
        <v>19</v>
      </c>
      <c r="J133" s="28">
        <f>VLOOKUP(Table88[[#This Row],[NAME]],PIT_H[[NAME]:['#]],8,0)</f>
        <v>45</v>
      </c>
      <c r="K133" s="28">
        <f>VLOOKUP(Table88[[#This Row],[NAME]],PIT_H[[NAME]:['#]],9,0)</f>
        <v>9</v>
      </c>
      <c r="L133" s="28">
        <f>VLOOKUP(Table88[[#This Row],[NAME]],PIT_H[[NAME]:['#]],10,0)</f>
        <v>0</v>
      </c>
      <c r="M133" s="28">
        <f>VLOOKUP(Table88[[#This Row],[NAME]],PIT_H[[NAME]:['#]],11,0)</f>
        <v>8</v>
      </c>
      <c r="N133" s="28">
        <f>VLOOKUP(Table88[[#This Row],[NAME]],PIT_H[[NAME]:['#]],12,0)</f>
        <v>22</v>
      </c>
      <c r="O133" s="28">
        <f>VLOOKUP(Table88[[#This Row],[NAME]],PIT_H[[NAME]:['#]],13,0)</f>
        <v>12</v>
      </c>
      <c r="P133" s="28">
        <f>VLOOKUP(Table88[[#This Row],[NAME]],PIT_H[[NAME]:['#]],14,0)</f>
        <v>42</v>
      </c>
      <c r="Q133" s="77">
        <f>VLOOKUP(Table88[[#This Row],[NAME]],PIT_H[[NAME]:['#]],15,0)</f>
        <v>0</v>
      </c>
      <c r="R133" s="28">
        <f>VLOOKUP(Table88[[#This Row],[NAME]],PIT_H[[NAME]:['#]],16,0)</f>
        <v>8</v>
      </c>
      <c r="S133" s="28">
        <f>VLOOKUP(Table88[[#This Row],[NAME]],PIT_H[[NAME]:['#]],17,0)</f>
        <v>8</v>
      </c>
      <c r="T133" s="77">
        <f>VLOOKUP(Table88[[#This Row],[NAME]],PIT_H[[NAME]:['#]],18,0)</f>
        <v>78</v>
      </c>
      <c r="U133" s="72">
        <f>VLOOKUP(Table88[[#This Row],[NAME]],PIT_H[[NAME]:['#]],19,0)</f>
        <v>0.81395181847556819</v>
      </c>
      <c r="V133" s="28">
        <f>VLOOKUP(Table88[[#This Row],[NAME]],PIT_H[[NAME]:['#]],20,0)</f>
        <v>2</v>
      </c>
      <c r="W133" s="75">
        <v>131</v>
      </c>
      <c r="Z133" s="101" t="s">
        <v>1096</v>
      </c>
      <c r="AA133" s="77" t="s">
        <v>177</v>
      </c>
      <c r="AB133" s="77" t="s">
        <v>1097</v>
      </c>
      <c r="AC133" s="130">
        <v>0.2356687898089172</v>
      </c>
      <c r="AD133" s="72">
        <v>0.2982456140350877</v>
      </c>
      <c r="AE133" s="72">
        <v>0.52229299363057324</v>
      </c>
      <c r="AF133" s="77">
        <v>40</v>
      </c>
      <c r="AG133" s="28">
        <v>157</v>
      </c>
      <c r="AH133" s="28">
        <v>22</v>
      </c>
      <c r="AI133" s="28">
        <v>37</v>
      </c>
      <c r="AJ133" s="28">
        <v>6</v>
      </c>
      <c r="AK133" s="28">
        <v>0</v>
      </c>
      <c r="AL133" s="28">
        <v>13</v>
      </c>
      <c r="AM133" s="28">
        <v>26</v>
      </c>
      <c r="AN133" s="28">
        <v>14</v>
      </c>
      <c r="AO133" s="28">
        <v>51</v>
      </c>
      <c r="AP133" s="77">
        <v>0</v>
      </c>
      <c r="AQ133" s="28">
        <v>2</v>
      </c>
      <c r="AR133" s="28">
        <v>9</v>
      </c>
      <c r="AS133" s="77">
        <v>82</v>
      </c>
      <c r="AT133" s="72">
        <v>0.82053860766566089</v>
      </c>
      <c r="AU133" s="28">
        <v>2</v>
      </c>
      <c r="AV133" s="75">
        <v>131</v>
      </c>
      <c r="AY133" s="101" t="s">
        <v>1096</v>
      </c>
      <c r="AZ133" s="77" t="s">
        <v>177</v>
      </c>
      <c r="BA133" s="77" t="s">
        <v>875</v>
      </c>
      <c r="BB133" s="130">
        <v>0.24657534246575341</v>
      </c>
      <c r="BC133" s="72">
        <v>0.3413173652694611</v>
      </c>
      <c r="BD133" s="72">
        <v>0.42465753424657532</v>
      </c>
      <c r="BE133" s="77">
        <v>39</v>
      </c>
      <c r="BF133" s="28">
        <v>146</v>
      </c>
      <c r="BG133" s="28">
        <v>17</v>
      </c>
      <c r="BH133" s="28">
        <v>36</v>
      </c>
      <c r="BI133" s="28">
        <v>4</v>
      </c>
      <c r="BJ133" s="28">
        <v>2</v>
      </c>
      <c r="BK133" s="28">
        <v>6</v>
      </c>
      <c r="BL133" s="28">
        <v>17</v>
      </c>
      <c r="BM133" s="28">
        <v>21</v>
      </c>
      <c r="BN133" s="28">
        <v>35</v>
      </c>
      <c r="BO133" s="77">
        <v>0</v>
      </c>
      <c r="BP133" s="28">
        <v>0</v>
      </c>
      <c r="BQ133" s="28">
        <v>5</v>
      </c>
      <c r="BR133" s="77">
        <v>62</v>
      </c>
      <c r="BS133" s="72">
        <v>0.76597489951603648</v>
      </c>
      <c r="BT133" s="28">
        <v>0</v>
      </c>
      <c r="BU133" s="75">
        <v>131</v>
      </c>
    </row>
    <row r="134" spans="1:73">
      <c r="A134" s="101" t="s">
        <v>1096</v>
      </c>
      <c r="B134" s="71" t="s">
        <v>174</v>
      </c>
      <c r="C134" s="74" t="s">
        <v>1098</v>
      </c>
      <c r="D134" s="72">
        <f>VLOOKUP(Table88[[#This Row],[NAME]],PIT_H[[NAME]:['#]],2,0)</f>
        <v>0.27329192546583853</v>
      </c>
      <c r="E134" s="72">
        <f>VLOOKUP(Table88[[#This Row],[NAME]],PIT_H[[NAME]:['#]],3,0)</f>
        <v>0.33522727272727271</v>
      </c>
      <c r="F134" s="72">
        <f>VLOOKUP(Table88[[#This Row],[NAME]],PIT_H[[NAME]:['#]],4,0)</f>
        <v>0.47204968944099379</v>
      </c>
      <c r="G134" s="77">
        <f>VLOOKUP(Table88[[#This Row],[NAME]],PIT_H[[NAME]:['#]],5,0)</f>
        <v>40</v>
      </c>
      <c r="H134" s="28">
        <f>VLOOKUP(Table88[[#This Row],[NAME]],PIT_H[[NAME]:['#]],6,0)</f>
        <v>161</v>
      </c>
      <c r="I134" s="28">
        <f>VLOOKUP(Table88[[#This Row],[NAME]],PIT_H[[NAME]:['#]],7,0)</f>
        <v>23</v>
      </c>
      <c r="J134" s="28">
        <f>VLOOKUP(Table88[[#This Row],[NAME]],PIT_H[[NAME]:['#]],8,0)</f>
        <v>44</v>
      </c>
      <c r="K134" s="28">
        <f>VLOOKUP(Table88[[#This Row],[NAME]],PIT_H[[NAME]:['#]],9,0)</f>
        <v>8</v>
      </c>
      <c r="L134" s="28">
        <f>VLOOKUP(Table88[[#This Row],[NAME]],PIT_H[[NAME]:['#]],10,0)</f>
        <v>0</v>
      </c>
      <c r="M134" s="28">
        <f>VLOOKUP(Table88[[#This Row],[NAME]],PIT_H[[NAME]:['#]],11,0)</f>
        <v>8</v>
      </c>
      <c r="N134" s="28">
        <f>VLOOKUP(Table88[[#This Row],[NAME]],PIT_H[[NAME]:['#]],12,0)</f>
        <v>27</v>
      </c>
      <c r="O134" s="28">
        <f>VLOOKUP(Table88[[#This Row],[NAME]],PIT_H[[NAME]:['#]],13,0)</f>
        <v>15</v>
      </c>
      <c r="P134" s="28">
        <f>VLOOKUP(Table88[[#This Row],[NAME]],PIT_H[[NAME]:['#]],14,0)</f>
        <v>36</v>
      </c>
      <c r="Q134" s="77">
        <f>VLOOKUP(Table88[[#This Row],[NAME]],PIT_H[[NAME]:['#]],15,0)</f>
        <v>0</v>
      </c>
      <c r="R134" s="28">
        <f>VLOOKUP(Table88[[#This Row],[NAME]],PIT_H[[NAME]:['#]],16,0)</f>
        <v>2</v>
      </c>
      <c r="S134" s="28">
        <f>VLOOKUP(Table88[[#This Row],[NAME]],PIT_H[[NAME]:['#]],17,0)</f>
        <v>9</v>
      </c>
      <c r="T134" s="77">
        <f>VLOOKUP(Table88[[#This Row],[NAME]],PIT_H[[NAME]:['#]],18,0)</f>
        <v>76</v>
      </c>
      <c r="U134" s="72">
        <f>VLOOKUP(Table88[[#This Row],[NAME]],PIT_H[[NAME]:['#]],19,0)</f>
        <v>0.8072769621682665</v>
      </c>
      <c r="V134" s="76">
        <f>VLOOKUP(Table88[[#This Row],[NAME]],PIT_H[[NAME]:['#]],20,0)</f>
        <v>6</v>
      </c>
      <c r="W134" s="75">
        <v>132</v>
      </c>
      <c r="Z134" s="101" t="s">
        <v>1096</v>
      </c>
      <c r="AA134" s="77" t="s">
        <v>174</v>
      </c>
      <c r="AB134" s="77" t="s">
        <v>1098</v>
      </c>
      <c r="AC134" s="130">
        <v>0.28749999999999998</v>
      </c>
      <c r="AD134" s="72">
        <v>0.3595505617977528</v>
      </c>
      <c r="AE134" s="72">
        <v>0.4375</v>
      </c>
      <c r="AF134" s="77">
        <v>39</v>
      </c>
      <c r="AG134" s="28">
        <v>160</v>
      </c>
      <c r="AH134" s="28">
        <v>18</v>
      </c>
      <c r="AI134" s="28">
        <v>46</v>
      </c>
      <c r="AJ134" s="28">
        <v>12</v>
      </c>
      <c r="AK134" s="28">
        <v>0</v>
      </c>
      <c r="AL134" s="28">
        <v>4</v>
      </c>
      <c r="AM134" s="28">
        <v>20</v>
      </c>
      <c r="AN134" s="28">
        <v>18</v>
      </c>
      <c r="AO134" s="28">
        <v>45</v>
      </c>
      <c r="AP134" s="77">
        <v>0</v>
      </c>
      <c r="AQ134" s="28">
        <v>3</v>
      </c>
      <c r="AR134" s="28">
        <v>14</v>
      </c>
      <c r="AS134" s="77">
        <v>70</v>
      </c>
      <c r="AT134" s="72">
        <v>0.7970505617977528</v>
      </c>
      <c r="AU134" s="28">
        <v>1</v>
      </c>
      <c r="AV134" s="75">
        <v>132</v>
      </c>
      <c r="AY134" s="101" t="s">
        <v>1096</v>
      </c>
      <c r="AZ134" s="77" t="s">
        <v>174</v>
      </c>
      <c r="BA134" s="77" t="s">
        <v>1098</v>
      </c>
      <c r="BB134" s="130">
        <v>0.30232558139534882</v>
      </c>
      <c r="BC134" s="72">
        <v>0.36507936507936506</v>
      </c>
      <c r="BD134" s="72">
        <v>0.52906976744186052</v>
      </c>
      <c r="BE134" s="77">
        <v>40</v>
      </c>
      <c r="BF134" s="28">
        <v>172</v>
      </c>
      <c r="BG134" s="28">
        <v>30</v>
      </c>
      <c r="BH134" s="28">
        <v>52</v>
      </c>
      <c r="BI134" s="28">
        <v>12</v>
      </c>
      <c r="BJ134" s="28">
        <v>0</v>
      </c>
      <c r="BK134" s="28">
        <v>9</v>
      </c>
      <c r="BL134" s="28">
        <v>26</v>
      </c>
      <c r="BM134" s="28">
        <v>17</v>
      </c>
      <c r="BN134" s="28">
        <v>41</v>
      </c>
      <c r="BO134" s="77">
        <v>0</v>
      </c>
      <c r="BP134" s="28">
        <v>6</v>
      </c>
      <c r="BQ134" s="28">
        <v>11</v>
      </c>
      <c r="BR134" s="77">
        <v>91</v>
      </c>
      <c r="BS134" s="72">
        <v>0.89414913252122563</v>
      </c>
      <c r="BT134" s="28">
        <v>1</v>
      </c>
      <c r="BU134" s="75">
        <v>132</v>
      </c>
    </row>
    <row r="135" spans="1:73">
      <c r="A135" s="101" t="s">
        <v>1096</v>
      </c>
      <c r="B135" s="77" t="s">
        <v>181</v>
      </c>
      <c r="C135" s="77" t="s">
        <v>1099</v>
      </c>
      <c r="D135" s="996">
        <f>VLOOKUP(Table88[[#This Row],[NAME]],PIT_H[[NAME]:['#]],2,0)</f>
        <v>0.23841059602649006</v>
      </c>
      <c r="E135" s="72">
        <f>VLOOKUP(Table88[[#This Row],[NAME]],PIT_H[[NAME]:['#]],3,0)</f>
        <v>0.32748538011695905</v>
      </c>
      <c r="F135" s="72">
        <f>VLOOKUP(Table88[[#This Row],[NAME]],PIT_H[[NAME]:['#]],4,0)</f>
        <v>0.39735099337748342</v>
      </c>
      <c r="G135" s="77">
        <f>VLOOKUP(Table88[[#This Row],[NAME]],PIT_H[[NAME]:['#]],5,0)</f>
        <v>37</v>
      </c>
      <c r="H135" s="28">
        <f>VLOOKUP(Table88[[#This Row],[NAME]],PIT_H[[NAME]:['#]],6,0)</f>
        <v>151</v>
      </c>
      <c r="I135" s="28">
        <f>VLOOKUP(Table88[[#This Row],[NAME]],PIT_H[[NAME]:['#]],7,0)</f>
        <v>16</v>
      </c>
      <c r="J135" s="28">
        <f>VLOOKUP(Table88[[#This Row],[NAME]],PIT_H[[NAME]:['#]],8,0)</f>
        <v>36</v>
      </c>
      <c r="K135" s="28">
        <f>VLOOKUP(Table88[[#This Row],[NAME]],PIT_H[[NAME]:['#]],9,0)</f>
        <v>8</v>
      </c>
      <c r="L135" s="28">
        <f>VLOOKUP(Table88[[#This Row],[NAME]],PIT_H[[NAME]:['#]],10,0)</f>
        <v>2</v>
      </c>
      <c r="M135" s="28">
        <f>VLOOKUP(Table88[[#This Row],[NAME]],PIT_H[[NAME]:['#]],11,0)</f>
        <v>4</v>
      </c>
      <c r="N135" s="28">
        <f>VLOOKUP(Table88[[#This Row],[NAME]],PIT_H[[NAME]:['#]],12,0)</f>
        <v>10</v>
      </c>
      <c r="O135" s="28">
        <f>VLOOKUP(Table88[[#This Row],[NAME]],PIT_H[[NAME]:['#]],13,0)</f>
        <v>20</v>
      </c>
      <c r="P135" s="28">
        <f>VLOOKUP(Table88[[#This Row],[NAME]],PIT_H[[NAME]:['#]],14,0)</f>
        <v>40</v>
      </c>
      <c r="Q135" s="77">
        <f>VLOOKUP(Table88[[#This Row],[NAME]],PIT_H[[NAME]:['#]],15,0)</f>
        <v>8</v>
      </c>
      <c r="R135" s="28">
        <f>VLOOKUP(Table88[[#This Row],[NAME]],PIT_H[[NAME]:['#]],16,0)</f>
        <v>0</v>
      </c>
      <c r="S135" s="28">
        <f>VLOOKUP(Table88[[#This Row],[NAME]],PIT_H[[NAME]:['#]],17,0)</f>
        <v>9</v>
      </c>
      <c r="T135" s="77">
        <f>VLOOKUP(Table88[[#This Row],[NAME]],PIT_H[[NAME]:['#]],18,0)</f>
        <v>60</v>
      </c>
      <c r="U135" s="72">
        <f>VLOOKUP(Table88[[#This Row],[NAME]],PIT_H[[NAME]:['#]],19,0)</f>
        <v>0.72483637349444252</v>
      </c>
      <c r="V135" s="28">
        <f>VLOOKUP(Table88[[#This Row],[NAME]],PIT_H[[NAME]:['#]],20,0)</f>
        <v>0</v>
      </c>
      <c r="W135" s="75">
        <v>133</v>
      </c>
      <c r="Z135" s="101" t="s">
        <v>1096</v>
      </c>
      <c r="AA135" s="77" t="s">
        <v>181</v>
      </c>
      <c r="AB135" s="77" t="s">
        <v>1099</v>
      </c>
      <c r="AC135" s="130">
        <v>0.20588235294117646</v>
      </c>
      <c r="AD135" s="72">
        <v>0.28000000000000003</v>
      </c>
      <c r="AE135" s="72">
        <v>0.3014705882352941</v>
      </c>
      <c r="AF135" s="77">
        <v>32</v>
      </c>
      <c r="AG135" s="28">
        <v>136</v>
      </c>
      <c r="AH135" s="28">
        <v>10</v>
      </c>
      <c r="AI135" s="28">
        <v>28</v>
      </c>
      <c r="AJ135" s="28">
        <v>4</v>
      </c>
      <c r="AK135" s="28">
        <v>3</v>
      </c>
      <c r="AL135" s="28">
        <v>1</v>
      </c>
      <c r="AM135" s="28">
        <v>10</v>
      </c>
      <c r="AN135" s="28">
        <v>14</v>
      </c>
      <c r="AO135" s="28">
        <v>41</v>
      </c>
      <c r="AP135" s="77">
        <v>2</v>
      </c>
      <c r="AQ135" s="28">
        <v>3</v>
      </c>
      <c r="AR135" s="28">
        <v>5</v>
      </c>
      <c r="AS135" s="77">
        <v>41</v>
      </c>
      <c r="AT135" s="72">
        <v>0.58147058823529418</v>
      </c>
      <c r="AU135" s="28">
        <v>1</v>
      </c>
      <c r="AV135" s="75">
        <v>133</v>
      </c>
      <c r="AY135" s="101" t="s">
        <v>1096</v>
      </c>
      <c r="AZ135" s="352" t="s">
        <v>181</v>
      </c>
      <c r="BA135" s="77" t="s">
        <v>1099</v>
      </c>
      <c r="BB135" s="130">
        <v>0.27450980392156865</v>
      </c>
      <c r="BC135" s="72">
        <v>0.3392857142857143</v>
      </c>
      <c r="BD135" s="72">
        <v>0.53594771241830064</v>
      </c>
      <c r="BE135" s="77">
        <v>37</v>
      </c>
      <c r="BF135" s="28">
        <v>153</v>
      </c>
      <c r="BG135" s="28">
        <v>26</v>
      </c>
      <c r="BH135" s="28">
        <v>42</v>
      </c>
      <c r="BI135" s="28">
        <v>6</v>
      </c>
      <c r="BJ135" s="28">
        <v>2</v>
      </c>
      <c r="BK135" s="28">
        <v>10</v>
      </c>
      <c r="BL135" s="28">
        <v>26</v>
      </c>
      <c r="BM135" s="28">
        <v>15</v>
      </c>
      <c r="BN135" s="28">
        <v>24</v>
      </c>
      <c r="BO135" s="77">
        <v>5</v>
      </c>
      <c r="BP135" s="28">
        <v>2</v>
      </c>
      <c r="BQ135" s="28">
        <v>7</v>
      </c>
      <c r="BR135" s="77">
        <v>82</v>
      </c>
      <c r="BS135" s="72">
        <v>0.87523342670401494</v>
      </c>
      <c r="BT135" s="28">
        <v>1</v>
      </c>
      <c r="BU135" s="75">
        <v>133</v>
      </c>
    </row>
    <row r="136" spans="1:73">
      <c r="A136" s="101" t="s">
        <v>1096</v>
      </c>
      <c r="B136" s="71" t="s">
        <v>166</v>
      </c>
      <c r="C136" s="74" t="s">
        <v>1100</v>
      </c>
      <c r="D136" s="72">
        <f>VLOOKUP(Table88[[#This Row],[NAME]],PIT_H[[NAME]:['#]],2,0)</f>
        <v>0.28484848484848485</v>
      </c>
      <c r="E136" s="72">
        <f>VLOOKUP(Table88[[#This Row],[NAME]],PIT_H[[NAME]:['#]],3,0)</f>
        <v>0.32183908045977011</v>
      </c>
      <c r="F136" s="72">
        <f>VLOOKUP(Table88[[#This Row],[NAME]],PIT_H[[NAME]:['#]],4,0)</f>
        <v>0.46060606060606063</v>
      </c>
      <c r="G136" s="77">
        <f>VLOOKUP(Table88[[#This Row],[NAME]],PIT_H[[NAME]:['#]],5,0)</f>
        <v>40</v>
      </c>
      <c r="H136" s="28">
        <f>VLOOKUP(Table88[[#This Row],[NAME]],PIT_H[[NAME]:['#]],6,0)</f>
        <v>165</v>
      </c>
      <c r="I136" s="28">
        <f>VLOOKUP(Table88[[#This Row],[NAME]],PIT_H[[NAME]:['#]],7,0)</f>
        <v>23</v>
      </c>
      <c r="J136" s="28">
        <f>VLOOKUP(Table88[[#This Row],[NAME]],PIT_H[[NAME]:['#]],8,0)</f>
        <v>47</v>
      </c>
      <c r="K136" s="28">
        <f>VLOOKUP(Table88[[#This Row],[NAME]],PIT_H[[NAME]:['#]],9,0)</f>
        <v>7</v>
      </c>
      <c r="L136" s="28">
        <f>VLOOKUP(Table88[[#This Row],[NAME]],PIT_H[[NAME]:['#]],10,0)</f>
        <v>2</v>
      </c>
      <c r="M136" s="28">
        <f>VLOOKUP(Table88[[#This Row],[NAME]],PIT_H[[NAME]:['#]],11,0)</f>
        <v>6</v>
      </c>
      <c r="N136" s="28">
        <f>VLOOKUP(Table88[[#This Row],[NAME]],PIT_H[[NAME]:['#]],12,0)</f>
        <v>19</v>
      </c>
      <c r="O136" s="28">
        <f>VLOOKUP(Table88[[#This Row],[NAME]],PIT_H[[NAME]:['#]],13,0)</f>
        <v>9</v>
      </c>
      <c r="P136" s="28">
        <f>VLOOKUP(Table88[[#This Row],[NAME]],PIT_H[[NAME]:['#]],14,0)</f>
        <v>33</v>
      </c>
      <c r="Q136" s="77">
        <f>VLOOKUP(Table88[[#This Row],[NAME]],PIT_H[[NAME]:['#]],15,0)</f>
        <v>0</v>
      </c>
      <c r="R136" s="28">
        <f>VLOOKUP(Table88[[#This Row],[NAME]],PIT_H[[NAME]:['#]],16,0)</f>
        <v>5</v>
      </c>
      <c r="S136" s="28">
        <f>VLOOKUP(Table88[[#This Row],[NAME]],PIT_H[[NAME]:['#]],17,0)</f>
        <v>12</v>
      </c>
      <c r="T136" s="77">
        <f>VLOOKUP(Table88[[#This Row],[NAME]],PIT_H[[NAME]:['#]],18,0)</f>
        <v>76</v>
      </c>
      <c r="U136" s="72">
        <f>VLOOKUP(Table88[[#This Row],[NAME]],PIT_H[[NAME]:['#]],19,0)</f>
        <v>0.78244514106583074</v>
      </c>
      <c r="V136" s="28">
        <f>VLOOKUP(Table88[[#This Row],[NAME]],PIT_H[[NAME]:['#]],20,0)</f>
        <v>2</v>
      </c>
      <c r="W136" s="75">
        <v>134</v>
      </c>
      <c r="Z136" s="101" t="s">
        <v>1096</v>
      </c>
      <c r="AA136" s="77" t="s">
        <v>166</v>
      </c>
      <c r="AB136" s="77" t="s">
        <v>1100</v>
      </c>
      <c r="AC136" s="130">
        <v>0.2558139534883721</v>
      </c>
      <c r="AD136" s="72">
        <v>0.2768361581920904</v>
      </c>
      <c r="AE136" s="72">
        <v>0.38372093023255816</v>
      </c>
      <c r="AF136" s="77">
        <v>40</v>
      </c>
      <c r="AG136" s="28">
        <v>172</v>
      </c>
      <c r="AH136" s="28">
        <v>19</v>
      </c>
      <c r="AI136" s="28">
        <v>44</v>
      </c>
      <c r="AJ136" s="28">
        <v>6</v>
      </c>
      <c r="AK136" s="28">
        <v>2</v>
      </c>
      <c r="AL136" s="28">
        <v>4</v>
      </c>
      <c r="AM136" s="28">
        <v>12</v>
      </c>
      <c r="AN136" s="28">
        <v>5</v>
      </c>
      <c r="AO136" s="28">
        <v>27</v>
      </c>
      <c r="AP136" s="77">
        <v>0</v>
      </c>
      <c r="AQ136" s="28">
        <v>6</v>
      </c>
      <c r="AR136" s="28">
        <v>10</v>
      </c>
      <c r="AS136" s="77">
        <v>66</v>
      </c>
      <c r="AT136" s="72">
        <v>0.66055708842464855</v>
      </c>
      <c r="AU136" s="28">
        <v>3</v>
      </c>
      <c r="AV136" s="75">
        <v>134</v>
      </c>
      <c r="AY136" s="101" t="s">
        <v>1096</v>
      </c>
      <c r="AZ136" s="77" t="s">
        <v>166</v>
      </c>
      <c r="BA136" s="77" t="s">
        <v>1100</v>
      </c>
      <c r="BB136" s="130">
        <v>0.30952380952380953</v>
      </c>
      <c r="BC136" s="72">
        <v>0.34831460674157305</v>
      </c>
      <c r="BD136" s="72">
        <v>0.42857142857142855</v>
      </c>
      <c r="BE136" s="77">
        <v>40</v>
      </c>
      <c r="BF136" s="28">
        <v>168</v>
      </c>
      <c r="BG136" s="28">
        <v>14</v>
      </c>
      <c r="BH136" s="28">
        <v>52</v>
      </c>
      <c r="BI136" s="28">
        <v>6</v>
      </c>
      <c r="BJ136" s="28">
        <v>4</v>
      </c>
      <c r="BK136" s="28">
        <v>2</v>
      </c>
      <c r="BL136" s="28">
        <v>16</v>
      </c>
      <c r="BM136" s="28">
        <v>10</v>
      </c>
      <c r="BN136" s="28">
        <v>34</v>
      </c>
      <c r="BO136" s="77">
        <v>1</v>
      </c>
      <c r="BP136" s="28">
        <v>6</v>
      </c>
      <c r="BQ136" s="28">
        <v>6</v>
      </c>
      <c r="BR136" s="77">
        <v>72</v>
      </c>
      <c r="BS136" s="72">
        <v>0.7768860353130016</v>
      </c>
      <c r="BT136" s="28">
        <v>1</v>
      </c>
      <c r="BU136" s="75">
        <v>134</v>
      </c>
    </row>
    <row r="137" spans="1:73">
      <c r="A137" s="101" t="s">
        <v>1096</v>
      </c>
      <c r="B137" s="71" t="s">
        <v>168</v>
      </c>
      <c r="C137" s="74" t="s">
        <v>723</v>
      </c>
      <c r="D137" s="72">
        <f>VLOOKUP(Table88[[#This Row],[NAME]],PIT_H[[NAME]:['#]],2,0)</f>
        <v>0.25806451612903225</v>
      </c>
      <c r="E137" s="72">
        <f>VLOOKUP(Table88[[#This Row],[NAME]],PIT_H[[NAME]:['#]],3,0)</f>
        <v>0.28125</v>
      </c>
      <c r="F137" s="72">
        <f>VLOOKUP(Table88[[#This Row],[NAME]],PIT_H[[NAME]:['#]],4,0)</f>
        <v>0.34408602150537637</v>
      </c>
      <c r="G137" s="77">
        <f>VLOOKUP(Table88[[#This Row],[NAME]],PIT_H[[NAME]:['#]],5,0)</f>
        <v>22</v>
      </c>
      <c r="H137" s="28">
        <f>VLOOKUP(Table88[[#This Row],[NAME]],PIT_H[[NAME]:['#]],6,0)</f>
        <v>93</v>
      </c>
      <c r="I137" s="28">
        <f>VLOOKUP(Table88[[#This Row],[NAME]],PIT_H[[NAME]:['#]],7,0)</f>
        <v>5</v>
      </c>
      <c r="J137" s="28">
        <f>VLOOKUP(Table88[[#This Row],[NAME]],PIT_H[[NAME]:['#]],8,0)</f>
        <v>24</v>
      </c>
      <c r="K137" s="28">
        <f>VLOOKUP(Table88[[#This Row],[NAME]],PIT_H[[NAME]:['#]],9,0)</f>
        <v>3</v>
      </c>
      <c r="L137" s="28">
        <f>VLOOKUP(Table88[[#This Row],[NAME]],PIT_H[[NAME]:['#]],10,0)</f>
        <v>1</v>
      </c>
      <c r="M137" s="28">
        <f>VLOOKUP(Table88[[#This Row],[NAME]],PIT_H[[NAME]:['#]],11,0)</f>
        <v>1</v>
      </c>
      <c r="N137" s="28">
        <f>VLOOKUP(Table88[[#This Row],[NAME]],PIT_H[[NAME]:['#]],12,0)</f>
        <v>7</v>
      </c>
      <c r="O137" s="28">
        <f>VLOOKUP(Table88[[#This Row],[NAME]],PIT_H[[NAME]:['#]],13,0)</f>
        <v>3</v>
      </c>
      <c r="P137" s="28">
        <f>VLOOKUP(Table88[[#This Row],[NAME]],PIT_H[[NAME]:['#]],14,0)</f>
        <v>24</v>
      </c>
      <c r="Q137" s="77">
        <f>VLOOKUP(Table88[[#This Row],[NAME]],PIT_H[[NAME]:['#]],15,0)</f>
        <v>5</v>
      </c>
      <c r="R137" s="28">
        <f>VLOOKUP(Table88[[#This Row],[NAME]],PIT_H[[NAME]:['#]],16,0)</f>
        <v>3</v>
      </c>
      <c r="S137" s="28">
        <f>VLOOKUP(Table88[[#This Row],[NAME]],PIT_H[[NAME]:['#]],17,0)</f>
        <v>5</v>
      </c>
      <c r="T137" s="77">
        <f>VLOOKUP(Table88[[#This Row],[NAME]],PIT_H[[NAME]:['#]],18,0)</f>
        <v>32</v>
      </c>
      <c r="U137" s="72">
        <f>VLOOKUP(Table88[[#This Row],[NAME]],PIT_H[[NAME]:['#]],19,0)</f>
        <v>0.62533602150537637</v>
      </c>
      <c r="V137" s="28">
        <f>VLOOKUP(Table88[[#This Row],[NAME]],PIT_H[[NAME]:['#]],20,0)</f>
        <v>1</v>
      </c>
      <c r="W137" s="75">
        <v>135</v>
      </c>
      <c r="Z137" s="101" t="s">
        <v>1096</v>
      </c>
      <c r="AA137" s="77" t="s">
        <v>168</v>
      </c>
      <c r="AB137" s="77" t="s">
        <v>783</v>
      </c>
      <c r="AC137" s="130">
        <v>0.21052631578947367</v>
      </c>
      <c r="AD137" s="72">
        <v>0.29054054054054052</v>
      </c>
      <c r="AE137" s="72">
        <v>0.33834586466165412</v>
      </c>
      <c r="AF137" s="77">
        <v>35</v>
      </c>
      <c r="AG137" s="28">
        <v>133</v>
      </c>
      <c r="AH137" s="28">
        <v>11</v>
      </c>
      <c r="AI137" s="28">
        <v>28</v>
      </c>
      <c r="AJ137" s="28">
        <v>6</v>
      </c>
      <c r="AK137" s="28">
        <v>1</v>
      </c>
      <c r="AL137" s="28">
        <v>3</v>
      </c>
      <c r="AM137" s="28">
        <v>12</v>
      </c>
      <c r="AN137" s="28">
        <v>15</v>
      </c>
      <c r="AO137" s="28">
        <v>33</v>
      </c>
      <c r="AP137" s="77">
        <v>0</v>
      </c>
      <c r="AQ137" s="28">
        <v>5</v>
      </c>
      <c r="AR137" s="28">
        <v>6</v>
      </c>
      <c r="AS137" s="77">
        <v>45</v>
      </c>
      <c r="AT137" s="72">
        <v>0.62888640520219463</v>
      </c>
      <c r="AU137" s="28">
        <v>0</v>
      </c>
      <c r="AV137" s="75">
        <v>135</v>
      </c>
      <c r="AY137" s="101" t="s">
        <v>1096</v>
      </c>
      <c r="AZ137" s="77" t="s">
        <v>168</v>
      </c>
      <c r="BA137" s="77" t="s">
        <v>1105</v>
      </c>
      <c r="BB137" s="130">
        <v>0.25438596491228072</v>
      </c>
      <c r="BC137" s="72">
        <v>0.32539682539682541</v>
      </c>
      <c r="BD137" s="72">
        <v>0.46491228070175439</v>
      </c>
      <c r="BE137" s="77">
        <v>32</v>
      </c>
      <c r="BF137" s="28">
        <v>114</v>
      </c>
      <c r="BG137" s="28">
        <v>17</v>
      </c>
      <c r="BH137" s="28">
        <v>29</v>
      </c>
      <c r="BI137" s="28">
        <v>9</v>
      </c>
      <c r="BJ137" s="28">
        <v>0</v>
      </c>
      <c r="BK137" s="28">
        <v>5</v>
      </c>
      <c r="BL137" s="28">
        <v>12</v>
      </c>
      <c r="BM137" s="28">
        <v>12</v>
      </c>
      <c r="BN137" s="28">
        <v>35</v>
      </c>
      <c r="BO137" s="77">
        <v>0</v>
      </c>
      <c r="BP137" s="28">
        <v>0</v>
      </c>
      <c r="BQ137" s="28">
        <v>4</v>
      </c>
      <c r="BR137" s="77">
        <v>53</v>
      </c>
      <c r="BS137" s="72">
        <v>0.79030910609857985</v>
      </c>
      <c r="BT137" s="28">
        <v>0</v>
      </c>
      <c r="BU137" s="75">
        <v>135</v>
      </c>
    </row>
    <row r="138" spans="1:73">
      <c r="A138" s="101" t="s">
        <v>1096</v>
      </c>
      <c r="B138" s="71" t="s">
        <v>179</v>
      </c>
      <c r="C138" s="74" t="s">
        <v>1108</v>
      </c>
      <c r="D138" s="72">
        <f>VLOOKUP(Table88[[#This Row],[NAME]],PIT_H[[NAME]:['#]],2,0)</f>
        <v>0.125</v>
      </c>
      <c r="E138" s="72">
        <f>VLOOKUP(Table88[[#This Row],[NAME]],PIT_H[[NAME]:['#]],3,0)</f>
        <v>0.16666666666666666</v>
      </c>
      <c r="F138" s="72">
        <f>VLOOKUP(Table88[[#This Row],[NAME]],PIT_H[[NAME]:['#]],4,0)</f>
        <v>0.22500000000000001</v>
      </c>
      <c r="G138" s="77">
        <f>VLOOKUP(Table88[[#This Row],[NAME]],PIT_H[[NAME]:['#]],5,0)</f>
        <v>10</v>
      </c>
      <c r="H138" s="28">
        <f>VLOOKUP(Table88[[#This Row],[NAME]],PIT_H[[NAME]:['#]],6,0)</f>
        <v>40</v>
      </c>
      <c r="I138" s="28">
        <f>VLOOKUP(Table88[[#This Row],[NAME]],PIT_H[[NAME]:['#]],7,0)</f>
        <v>4</v>
      </c>
      <c r="J138" s="28">
        <f>VLOOKUP(Table88[[#This Row],[NAME]],PIT_H[[NAME]:['#]],8,0)</f>
        <v>5</v>
      </c>
      <c r="K138" s="28">
        <f>VLOOKUP(Table88[[#This Row],[NAME]],PIT_H[[NAME]:['#]],9,0)</f>
        <v>1</v>
      </c>
      <c r="L138" s="28">
        <f>VLOOKUP(Table88[[#This Row],[NAME]],PIT_H[[NAME]:['#]],10,0)</f>
        <v>0</v>
      </c>
      <c r="M138" s="28">
        <f>VLOOKUP(Table88[[#This Row],[NAME]],PIT_H[[NAME]:['#]],11,0)</f>
        <v>1</v>
      </c>
      <c r="N138" s="28">
        <f>VLOOKUP(Table88[[#This Row],[NAME]],PIT_H[[NAME]:['#]],12,0)</f>
        <v>3</v>
      </c>
      <c r="O138" s="28">
        <f>VLOOKUP(Table88[[#This Row],[NAME]],PIT_H[[NAME]:['#]],13,0)</f>
        <v>2</v>
      </c>
      <c r="P138" s="28">
        <f>VLOOKUP(Table88[[#This Row],[NAME]],PIT_H[[NAME]:['#]],14,0)</f>
        <v>15</v>
      </c>
      <c r="Q138" s="77">
        <f>VLOOKUP(Table88[[#This Row],[NAME]],PIT_H[[NAME]:['#]],15,0)</f>
        <v>0</v>
      </c>
      <c r="R138" s="28">
        <f>VLOOKUP(Table88[[#This Row],[NAME]],PIT_H[[NAME]:['#]],16,0)</f>
        <v>0</v>
      </c>
      <c r="S138" s="28">
        <f>VLOOKUP(Table88[[#This Row],[NAME]],PIT_H[[NAME]:['#]],17,0)</f>
        <v>3</v>
      </c>
      <c r="T138" s="77">
        <f>VLOOKUP(Table88[[#This Row],[NAME]],PIT_H[[NAME]:['#]],18,0)</f>
        <v>9</v>
      </c>
      <c r="U138" s="72">
        <f>VLOOKUP(Table88[[#This Row],[NAME]],PIT_H[[NAME]:['#]],19,0)</f>
        <v>0.39166666666666666</v>
      </c>
      <c r="V138" s="28">
        <f>VLOOKUP(Table88[[#This Row],[NAME]],PIT_H[[NAME]:['#]],20,0)</f>
        <v>1</v>
      </c>
      <c r="W138" s="75">
        <v>136</v>
      </c>
      <c r="Z138" s="101" t="s">
        <v>1096</v>
      </c>
      <c r="AA138" s="77" t="s">
        <v>308</v>
      </c>
      <c r="AB138" s="77" t="s">
        <v>253</v>
      </c>
      <c r="AC138" s="130">
        <v>0.25</v>
      </c>
      <c r="AD138" s="72">
        <v>0.31683168316831684</v>
      </c>
      <c r="AE138" s="72">
        <v>0.42391304347826086</v>
      </c>
      <c r="AF138" s="77">
        <v>25</v>
      </c>
      <c r="AG138" s="28">
        <v>92</v>
      </c>
      <c r="AH138" s="28">
        <v>15</v>
      </c>
      <c r="AI138" s="28">
        <v>23</v>
      </c>
      <c r="AJ138" s="28">
        <v>5</v>
      </c>
      <c r="AK138" s="28">
        <v>1</v>
      </c>
      <c r="AL138" s="28">
        <v>3</v>
      </c>
      <c r="AM138" s="28">
        <v>6</v>
      </c>
      <c r="AN138" s="28">
        <v>9</v>
      </c>
      <c r="AO138" s="28">
        <v>19</v>
      </c>
      <c r="AP138" s="77">
        <v>0</v>
      </c>
      <c r="AQ138" s="28">
        <v>0</v>
      </c>
      <c r="AR138" s="28">
        <v>6</v>
      </c>
      <c r="AS138" s="77">
        <v>39</v>
      </c>
      <c r="AT138" s="72">
        <v>0.74074472664657764</v>
      </c>
      <c r="AU138" s="28">
        <v>1</v>
      </c>
      <c r="AV138" s="75">
        <v>136</v>
      </c>
      <c r="AY138" s="101" t="s">
        <v>1096</v>
      </c>
      <c r="AZ138" s="77" t="s">
        <v>179</v>
      </c>
      <c r="BA138" s="77" t="s">
        <v>1109</v>
      </c>
      <c r="BB138" s="130">
        <v>0.19148936170212766</v>
      </c>
      <c r="BC138" s="72">
        <v>0.26923076923076922</v>
      </c>
      <c r="BD138" s="72">
        <v>0.40425531914893614</v>
      </c>
      <c r="BE138" s="77">
        <v>14</v>
      </c>
      <c r="BF138" s="28">
        <v>47</v>
      </c>
      <c r="BG138" s="28">
        <v>6</v>
      </c>
      <c r="BH138" s="28">
        <v>9</v>
      </c>
      <c r="BI138" s="28">
        <v>1</v>
      </c>
      <c r="BJ138" s="28">
        <v>0</v>
      </c>
      <c r="BK138" s="28">
        <v>3</v>
      </c>
      <c r="BL138" s="28">
        <v>6</v>
      </c>
      <c r="BM138" s="28">
        <v>5</v>
      </c>
      <c r="BN138" s="28">
        <v>11</v>
      </c>
      <c r="BO138" s="77">
        <v>0</v>
      </c>
      <c r="BP138" s="28">
        <v>0</v>
      </c>
      <c r="BQ138" s="28">
        <v>4</v>
      </c>
      <c r="BR138" s="77">
        <v>19</v>
      </c>
      <c r="BS138" s="72">
        <v>0.67348608837970536</v>
      </c>
      <c r="BT138" s="28">
        <v>1</v>
      </c>
      <c r="BU138" s="75">
        <v>136</v>
      </c>
    </row>
    <row r="139" spans="1:73">
      <c r="A139" s="101" t="s">
        <v>1096</v>
      </c>
      <c r="B139" s="71" t="s">
        <v>192</v>
      </c>
      <c r="C139" s="74" t="s">
        <v>1111</v>
      </c>
      <c r="D139" s="72">
        <f>VLOOKUP(Table88[[#This Row],[NAME]],PIT_H[[NAME]:['#]],2,0)</f>
        <v>0</v>
      </c>
      <c r="E139" s="72">
        <f>VLOOKUP(Table88[[#This Row],[NAME]],PIT_H[[NAME]:['#]],3,0)</f>
        <v>0</v>
      </c>
      <c r="F139" s="72">
        <f>VLOOKUP(Table88[[#This Row],[NAME]],PIT_H[[NAME]:['#]],4,0)</f>
        <v>0</v>
      </c>
      <c r="G139" s="77">
        <f>VLOOKUP(Table88[[#This Row],[NAME]],PIT_H[[NAME]:['#]],5,0)</f>
        <v>0</v>
      </c>
      <c r="H139" s="28">
        <f>VLOOKUP(Table88[[#This Row],[NAME]],PIT_H[[NAME]:['#]],6,0)</f>
        <v>0</v>
      </c>
      <c r="I139" s="28">
        <f>VLOOKUP(Table88[[#This Row],[NAME]],PIT_H[[NAME]:['#]],7,0)</f>
        <v>0</v>
      </c>
      <c r="J139" s="28">
        <f>VLOOKUP(Table88[[#This Row],[NAME]],PIT_H[[NAME]:['#]],8,0)</f>
        <v>0</v>
      </c>
      <c r="K139" s="28">
        <f>VLOOKUP(Table88[[#This Row],[NAME]],PIT_H[[NAME]:['#]],9,0)</f>
        <v>0</v>
      </c>
      <c r="L139" s="28">
        <f>VLOOKUP(Table88[[#This Row],[NAME]],PIT_H[[NAME]:['#]],10,0)</f>
        <v>0</v>
      </c>
      <c r="M139" s="28">
        <f>VLOOKUP(Table88[[#This Row],[NAME]],PIT_H[[NAME]:['#]],11,0)</f>
        <v>0</v>
      </c>
      <c r="N139" s="28">
        <f>VLOOKUP(Table88[[#This Row],[NAME]],PIT_H[[NAME]:['#]],12,0)</f>
        <v>0</v>
      </c>
      <c r="O139" s="28">
        <f>VLOOKUP(Table88[[#This Row],[NAME]],PIT_H[[NAME]:['#]],13,0)</f>
        <v>0</v>
      </c>
      <c r="P139" s="28">
        <f>VLOOKUP(Table88[[#This Row],[NAME]],PIT_H[[NAME]:['#]],14,0)</f>
        <v>0</v>
      </c>
      <c r="Q139" s="77">
        <f>VLOOKUP(Table88[[#This Row],[NAME]],PIT_H[[NAME]:['#]],15,0)</f>
        <v>0</v>
      </c>
      <c r="R139" s="28">
        <f>VLOOKUP(Table88[[#This Row],[NAME]],PIT_H[[NAME]:['#]],16,0)</f>
        <v>0</v>
      </c>
      <c r="S139" s="28">
        <f>VLOOKUP(Table88[[#This Row],[NAME]],PIT_H[[NAME]:['#]],17,0)</f>
        <v>0</v>
      </c>
      <c r="T139" s="77">
        <f>VLOOKUP(Table88[[#This Row],[NAME]],PIT_H[[NAME]:['#]],18,0)</f>
        <v>0</v>
      </c>
      <c r="U139" s="72">
        <f>VLOOKUP(Table88[[#This Row],[NAME]],PIT_H[[NAME]:['#]],19,0)</f>
        <v>0</v>
      </c>
      <c r="V139" s="28">
        <f>VLOOKUP(Table88[[#This Row],[NAME]],PIT_H[[NAME]:['#]],20,0)</f>
        <v>0</v>
      </c>
      <c r="W139" s="75">
        <v>137</v>
      </c>
      <c r="Z139" s="101" t="s">
        <v>1096</v>
      </c>
      <c r="AA139" s="77" t="s">
        <v>187</v>
      </c>
      <c r="AB139" s="77" t="s">
        <v>1112</v>
      </c>
      <c r="AC139" s="130">
        <v>0.21428571428571427</v>
      </c>
      <c r="AD139" s="72">
        <v>0.3125</v>
      </c>
      <c r="AE139" s="72">
        <v>0.25</v>
      </c>
      <c r="AF139" s="77">
        <v>8</v>
      </c>
      <c r="AG139" s="28">
        <v>28</v>
      </c>
      <c r="AH139" s="28">
        <v>3</v>
      </c>
      <c r="AI139" s="28">
        <v>6</v>
      </c>
      <c r="AJ139" s="28">
        <v>1</v>
      </c>
      <c r="AK139" s="28">
        <v>0</v>
      </c>
      <c r="AL139" s="28">
        <v>0</v>
      </c>
      <c r="AM139" s="28">
        <v>1</v>
      </c>
      <c r="AN139" s="28">
        <v>4</v>
      </c>
      <c r="AO139" s="28">
        <v>10</v>
      </c>
      <c r="AP139" s="77">
        <v>0</v>
      </c>
      <c r="AQ139" s="28">
        <v>0</v>
      </c>
      <c r="AR139" s="28">
        <v>4</v>
      </c>
      <c r="AS139" s="77">
        <v>7</v>
      </c>
      <c r="AT139" s="72">
        <v>0.5625</v>
      </c>
      <c r="AU139" s="28">
        <v>0</v>
      </c>
      <c r="AV139" s="75">
        <v>137</v>
      </c>
      <c r="AY139" s="101" t="s">
        <v>1096</v>
      </c>
      <c r="AZ139" s="77" t="s">
        <v>187</v>
      </c>
      <c r="BA139" s="77" t="s">
        <v>1106</v>
      </c>
      <c r="BB139" s="130">
        <v>0.2361111111111111</v>
      </c>
      <c r="BC139" s="72">
        <v>0.25675675675675674</v>
      </c>
      <c r="BD139" s="72">
        <v>0.3888888888888889</v>
      </c>
      <c r="BE139" s="77">
        <v>19</v>
      </c>
      <c r="BF139" s="28">
        <v>72</v>
      </c>
      <c r="BG139" s="28">
        <v>7</v>
      </c>
      <c r="BH139" s="28">
        <v>17</v>
      </c>
      <c r="BI139" s="28">
        <v>3</v>
      </c>
      <c r="BJ139" s="28">
        <v>4</v>
      </c>
      <c r="BK139" s="28">
        <v>0</v>
      </c>
      <c r="BL139" s="28">
        <v>8</v>
      </c>
      <c r="BM139" s="28">
        <v>2</v>
      </c>
      <c r="BN139" s="28">
        <v>16</v>
      </c>
      <c r="BO139" s="77">
        <v>0</v>
      </c>
      <c r="BP139" s="28">
        <v>0</v>
      </c>
      <c r="BQ139" s="28">
        <v>7</v>
      </c>
      <c r="BR139" s="77">
        <v>28</v>
      </c>
      <c r="BS139" s="72">
        <v>0.64564564564564564</v>
      </c>
      <c r="BT139" s="28">
        <v>0</v>
      </c>
      <c r="BU139" s="75">
        <v>137</v>
      </c>
    </row>
    <row r="140" spans="1:73">
      <c r="A140" s="101" t="s">
        <v>1096</v>
      </c>
      <c r="B140" s="71" t="s">
        <v>187</v>
      </c>
      <c r="C140" s="74" t="s">
        <v>1104</v>
      </c>
      <c r="D140" s="72">
        <f>VLOOKUP(Table88[[#This Row],[NAME]],PIT_H[[NAME]:['#]],2,0)</f>
        <v>0.14285714285714285</v>
      </c>
      <c r="E140" s="72">
        <f>VLOOKUP(Table88[[#This Row],[NAME]],PIT_H[[NAME]:['#]],3,0)</f>
        <v>0.18181818181818182</v>
      </c>
      <c r="F140" s="72">
        <f>VLOOKUP(Table88[[#This Row],[NAME]],PIT_H[[NAME]:['#]],4,0)</f>
        <v>0.21428571428571427</v>
      </c>
      <c r="G140" s="77">
        <f>VLOOKUP(Table88[[#This Row],[NAME]],PIT_H[[NAME]:['#]],5,0)</f>
        <v>10</v>
      </c>
      <c r="H140" s="28">
        <f>VLOOKUP(Table88[[#This Row],[NAME]],PIT_H[[NAME]:['#]],6,0)</f>
        <v>42</v>
      </c>
      <c r="I140" s="28">
        <f>VLOOKUP(Table88[[#This Row],[NAME]],PIT_H[[NAME]:['#]],7,0)</f>
        <v>2</v>
      </c>
      <c r="J140" s="28">
        <f>VLOOKUP(Table88[[#This Row],[NAME]],PIT_H[[NAME]:['#]],8,0)</f>
        <v>6</v>
      </c>
      <c r="K140" s="28">
        <f>VLOOKUP(Table88[[#This Row],[NAME]],PIT_H[[NAME]:['#]],9,0)</f>
        <v>0</v>
      </c>
      <c r="L140" s="28">
        <f>VLOOKUP(Table88[[#This Row],[NAME]],PIT_H[[NAME]:['#]],10,0)</f>
        <v>0</v>
      </c>
      <c r="M140" s="28">
        <f>VLOOKUP(Table88[[#This Row],[NAME]],PIT_H[[NAME]:['#]],11,0)</f>
        <v>1</v>
      </c>
      <c r="N140" s="28">
        <f>VLOOKUP(Table88[[#This Row],[NAME]],PIT_H[[NAME]:['#]],12,0)</f>
        <v>5</v>
      </c>
      <c r="O140" s="28">
        <f>VLOOKUP(Table88[[#This Row],[NAME]],PIT_H[[NAME]:['#]],13,0)</f>
        <v>2</v>
      </c>
      <c r="P140" s="28">
        <f>VLOOKUP(Table88[[#This Row],[NAME]],PIT_H[[NAME]:['#]],14,0)</f>
        <v>9</v>
      </c>
      <c r="Q140" s="77">
        <f>VLOOKUP(Table88[[#This Row],[NAME]],PIT_H[[NAME]:['#]],15,0)</f>
        <v>0</v>
      </c>
      <c r="R140" s="28">
        <f>VLOOKUP(Table88[[#This Row],[NAME]],PIT_H[[NAME]:['#]],16,0)</f>
        <v>0</v>
      </c>
      <c r="S140" s="28">
        <f>VLOOKUP(Table88[[#This Row],[NAME]],PIT_H[[NAME]:['#]],17,0)</f>
        <v>4</v>
      </c>
      <c r="T140" s="77">
        <f>VLOOKUP(Table88[[#This Row],[NAME]],PIT_H[[NAME]:['#]],18,0)</f>
        <v>9</v>
      </c>
      <c r="U140" s="72">
        <f>VLOOKUP(Table88[[#This Row],[NAME]],PIT_H[[NAME]:['#]],19,0)</f>
        <v>0.39610389610389607</v>
      </c>
      <c r="V140" s="28">
        <f>VLOOKUP(Table88[[#This Row],[NAME]],PIT_H[[NAME]:['#]],20,0)</f>
        <v>0</v>
      </c>
      <c r="W140" s="75">
        <v>138</v>
      </c>
      <c r="Z140" s="101" t="s">
        <v>1096</v>
      </c>
      <c r="AA140" s="77" t="s">
        <v>187</v>
      </c>
      <c r="AB140" s="77" t="s">
        <v>1110</v>
      </c>
      <c r="AC140" s="130">
        <v>0.18181818181818182</v>
      </c>
      <c r="AD140" s="72">
        <v>0.25</v>
      </c>
      <c r="AE140" s="72">
        <v>0.27272727272727271</v>
      </c>
      <c r="AF140" s="77">
        <v>2</v>
      </c>
      <c r="AG140" s="28">
        <v>11</v>
      </c>
      <c r="AH140" s="28">
        <v>1</v>
      </c>
      <c r="AI140" s="28">
        <v>2</v>
      </c>
      <c r="AJ140" s="28">
        <v>1</v>
      </c>
      <c r="AK140" s="28">
        <v>0</v>
      </c>
      <c r="AL140" s="28">
        <v>0</v>
      </c>
      <c r="AM140" s="28">
        <v>3</v>
      </c>
      <c r="AN140" s="28">
        <v>1</v>
      </c>
      <c r="AO140" s="28">
        <v>4</v>
      </c>
      <c r="AP140" s="77">
        <v>0</v>
      </c>
      <c r="AQ140" s="28">
        <v>2</v>
      </c>
      <c r="AR140" s="28">
        <v>2</v>
      </c>
      <c r="AS140" s="77">
        <v>3</v>
      </c>
      <c r="AT140" s="72">
        <v>0.52272727272727271</v>
      </c>
      <c r="AU140" s="28">
        <v>0</v>
      </c>
      <c r="AV140" s="75">
        <v>138</v>
      </c>
      <c r="AY140" s="101" t="s">
        <v>1096</v>
      </c>
      <c r="AZ140" s="77" t="s">
        <v>187</v>
      </c>
      <c r="BA140" s="77" t="s">
        <v>1110</v>
      </c>
      <c r="BB140" s="130">
        <v>0.25</v>
      </c>
      <c r="BC140" s="72">
        <v>0.3</v>
      </c>
      <c r="BD140" s="72">
        <v>0.39285714285714285</v>
      </c>
      <c r="BE140" s="77">
        <v>9</v>
      </c>
      <c r="BF140" s="28">
        <v>28</v>
      </c>
      <c r="BG140" s="28">
        <v>2</v>
      </c>
      <c r="BH140" s="28">
        <v>7</v>
      </c>
      <c r="BI140" s="28">
        <v>1</v>
      </c>
      <c r="BJ140" s="28">
        <v>0</v>
      </c>
      <c r="BK140" s="28">
        <v>1</v>
      </c>
      <c r="BL140" s="28">
        <v>3</v>
      </c>
      <c r="BM140" s="28">
        <v>2</v>
      </c>
      <c r="BN140" s="28">
        <v>10</v>
      </c>
      <c r="BO140" s="77">
        <v>0</v>
      </c>
      <c r="BP140" s="28">
        <v>0</v>
      </c>
      <c r="BQ140" s="28">
        <v>4</v>
      </c>
      <c r="BR140" s="77">
        <v>11</v>
      </c>
      <c r="BS140" s="72">
        <v>0.69285714285714284</v>
      </c>
      <c r="BT140" s="28">
        <v>0</v>
      </c>
      <c r="BU140" s="75">
        <v>138</v>
      </c>
    </row>
    <row r="141" spans="1:73">
      <c r="A141" s="101" t="s">
        <v>1096</v>
      </c>
      <c r="B141" s="71" t="s">
        <v>186</v>
      </c>
      <c r="C141" s="74" t="s">
        <v>783</v>
      </c>
      <c r="D141" s="72">
        <f>VLOOKUP(Table88[[#This Row],[NAME]],PIT_H[[NAME]:['#]],2,0)</f>
        <v>0.19753086419753085</v>
      </c>
      <c r="E141" s="72">
        <f>VLOOKUP(Table88[[#This Row],[NAME]],PIT_H[[NAME]:['#]],3,0)</f>
        <v>0.30107526881720431</v>
      </c>
      <c r="F141" s="72">
        <f>VLOOKUP(Table88[[#This Row],[NAME]],PIT_H[[NAME]:['#]],4,0)</f>
        <v>0.30864197530864196</v>
      </c>
      <c r="G141" s="77">
        <f>VLOOKUP(Table88[[#This Row],[NAME]],PIT_H[[NAME]:['#]],5,0)</f>
        <v>22</v>
      </c>
      <c r="H141" s="28">
        <f>VLOOKUP(Table88[[#This Row],[NAME]],PIT_H[[NAME]:['#]],6,0)</f>
        <v>81</v>
      </c>
      <c r="I141" s="28">
        <f>VLOOKUP(Table88[[#This Row],[NAME]],PIT_H[[NAME]:['#]],7,0)</f>
        <v>8</v>
      </c>
      <c r="J141" s="28">
        <f>VLOOKUP(Table88[[#This Row],[NAME]],PIT_H[[NAME]:['#]],8,0)</f>
        <v>16</v>
      </c>
      <c r="K141" s="28">
        <f>VLOOKUP(Table88[[#This Row],[NAME]],PIT_H[[NAME]:['#]],9,0)</f>
        <v>3</v>
      </c>
      <c r="L141" s="28">
        <f>VLOOKUP(Table88[[#This Row],[NAME]],PIT_H[[NAME]:['#]],10,0)</f>
        <v>0</v>
      </c>
      <c r="M141" s="28">
        <f>VLOOKUP(Table88[[#This Row],[NAME]],PIT_H[[NAME]:['#]],11,0)</f>
        <v>2</v>
      </c>
      <c r="N141" s="28">
        <f>VLOOKUP(Table88[[#This Row],[NAME]],PIT_H[[NAME]:['#]],12,0)</f>
        <v>6</v>
      </c>
      <c r="O141" s="28">
        <f>VLOOKUP(Table88[[#This Row],[NAME]],PIT_H[[NAME]:['#]],13,0)</f>
        <v>12</v>
      </c>
      <c r="P141" s="28">
        <f>VLOOKUP(Table88[[#This Row],[NAME]],PIT_H[[NAME]:['#]],14,0)</f>
        <v>14</v>
      </c>
      <c r="Q141" s="77">
        <f>VLOOKUP(Table88[[#This Row],[NAME]],PIT_H[[NAME]:['#]],15,0)</f>
        <v>0</v>
      </c>
      <c r="R141" s="28">
        <f>VLOOKUP(Table88[[#This Row],[NAME]],PIT_H[[NAME]:['#]],16,0)</f>
        <v>1</v>
      </c>
      <c r="S141" s="28">
        <f>VLOOKUP(Table88[[#This Row],[NAME]],PIT_H[[NAME]:['#]],17,0)</f>
        <v>3</v>
      </c>
      <c r="T141" s="77">
        <f>VLOOKUP(Table88[[#This Row],[NAME]],PIT_H[[NAME]:['#]],18,0)</f>
        <v>25</v>
      </c>
      <c r="U141" s="72">
        <f>VLOOKUP(Table88[[#This Row],[NAME]],PIT_H[[NAME]:['#]],19,0)</f>
        <v>0.60971724412584627</v>
      </c>
      <c r="V141" s="28">
        <f>VLOOKUP(Table88[[#This Row],[NAME]],PIT_H[[NAME]:['#]],20,0)</f>
        <v>1</v>
      </c>
      <c r="W141" s="75">
        <v>139</v>
      </c>
      <c r="Z141" s="101" t="s">
        <v>1096</v>
      </c>
      <c r="AA141" s="77" t="s">
        <v>186</v>
      </c>
      <c r="AB141" s="77" t="s">
        <v>1105</v>
      </c>
      <c r="AC141" s="130">
        <v>0.2857142857142857</v>
      </c>
      <c r="AD141" s="72">
        <v>0.4</v>
      </c>
      <c r="AE141" s="72">
        <v>0.38095238095238093</v>
      </c>
      <c r="AF141" s="77">
        <v>6</v>
      </c>
      <c r="AG141" s="28">
        <v>21</v>
      </c>
      <c r="AH141" s="28">
        <v>3</v>
      </c>
      <c r="AI141" s="28">
        <v>6</v>
      </c>
      <c r="AJ141" s="28">
        <v>2</v>
      </c>
      <c r="AK141" s="28">
        <v>0</v>
      </c>
      <c r="AL141" s="28">
        <v>0</v>
      </c>
      <c r="AM141" s="28">
        <v>1</v>
      </c>
      <c r="AN141" s="28">
        <v>4</v>
      </c>
      <c r="AO141" s="28">
        <v>5</v>
      </c>
      <c r="AP141" s="77">
        <v>0</v>
      </c>
      <c r="AQ141" s="28">
        <v>0</v>
      </c>
      <c r="AR141" s="28">
        <v>3</v>
      </c>
      <c r="AS141" s="77">
        <v>8</v>
      </c>
      <c r="AT141" s="72">
        <v>0.78095238095238095</v>
      </c>
      <c r="AU141" s="28">
        <v>0</v>
      </c>
      <c r="AV141" s="75">
        <v>139</v>
      </c>
      <c r="AY141" s="101" t="s">
        <v>1096</v>
      </c>
      <c r="AZ141" s="77" t="s">
        <v>184</v>
      </c>
      <c r="BA141" s="77" t="s">
        <v>1112</v>
      </c>
      <c r="BB141" s="130">
        <v>0.41176470588235292</v>
      </c>
      <c r="BC141" s="72">
        <v>0.41176470588235292</v>
      </c>
      <c r="BD141" s="72">
        <v>0.58823529411764708</v>
      </c>
      <c r="BE141" s="77">
        <v>4</v>
      </c>
      <c r="BF141" s="28">
        <v>17</v>
      </c>
      <c r="BG141" s="28">
        <v>3</v>
      </c>
      <c r="BH141" s="28">
        <v>7</v>
      </c>
      <c r="BI141" s="28">
        <v>1</v>
      </c>
      <c r="BJ141" s="28">
        <v>1</v>
      </c>
      <c r="BK141" s="28">
        <v>0</v>
      </c>
      <c r="BL141" s="28">
        <v>1</v>
      </c>
      <c r="BM141" s="28">
        <v>0</v>
      </c>
      <c r="BN141" s="28">
        <v>3</v>
      </c>
      <c r="BO141" s="77">
        <v>0</v>
      </c>
      <c r="BP141" s="28">
        <v>4</v>
      </c>
      <c r="BQ141" s="28">
        <v>4</v>
      </c>
      <c r="BR141" s="77">
        <v>10</v>
      </c>
      <c r="BS141" s="72">
        <v>1</v>
      </c>
      <c r="BT141" s="28">
        <v>1</v>
      </c>
      <c r="BU141" s="75">
        <v>139</v>
      </c>
    </row>
    <row r="142" spans="1:73">
      <c r="A142" s="101" t="s">
        <v>1096</v>
      </c>
      <c r="B142" s="71" t="s">
        <v>186</v>
      </c>
      <c r="C142" s="28" t="s">
        <v>1107</v>
      </c>
      <c r="D142" s="72">
        <f>VLOOKUP(Table88[[#This Row],[NAME]],PIT_H[[NAME]:['#]],2,0)</f>
        <v>0</v>
      </c>
      <c r="E142" s="72">
        <f>VLOOKUP(Table88[[#This Row],[NAME]],PIT_H[[NAME]:['#]],3,0)</f>
        <v>0</v>
      </c>
      <c r="F142" s="72">
        <f>VLOOKUP(Table88[[#This Row],[NAME]],PIT_H[[NAME]:['#]],4,0)</f>
        <v>0</v>
      </c>
      <c r="G142" s="77">
        <f>VLOOKUP(Table88[[#This Row],[NAME]],PIT_H[[NAME]:['#]],5,0)</f>
        <v>0</v>
      </c>
      <c r="H142" s="28">
        <f>VLOOKUP(Table88[[#This Row],[NAME]],PIT_H[[NAME]:['#]],6,0)</f>
        <v>0</v>
      </c>
      <c r="I142" s="28">
        <f>VLOOKUP(Table88[[#This Row],[NAME]],PIT_H[[NAME]:['#]],7,0)</f>
        <v>0</v>
      </c>
      <c r="J142" s="28">
        <f>VLOOKUP(Table88[[#This Row],[NAME]],PIT_H[[NAME]:['#]],8,0)</f>
        <v>0</v>
      </c>
      <c r="K142" s="28">
        <f>VLOOKUP(Table88[[#This Row],[NAME]],PIT_H[[NAME]:['#]],9,0)</f>
        <v>0</v>
      </c>
      <c r="L142" s="28">
        <f>VLOOKUP(Table88[[#This Row],[NAME]],PIT_H[[NAME]:['#]],10,0)</f>
        <v>0</v>
      </c>
      <c r="M142" s="28">
        <f>VLOOKUP(Table88[[#This Row],[NAME]],PIT_H[[NAME]:['#]],11,0)</f>
        <v>0</v>
      </c>
      <c r="N142" s="28">
        <f>VLOOKUP(Table88[[#This Row],[NAME]],PIT_H[[NAME]:['#]],12,0)</f>
        <v>0</v>
      </c>
      <c r="O142" s="28">
        <f>VLOOKUP(Table88[[#This Row],[NAME]],PIT_H[[NAME]:['#]],13,0)</f>
        <v>0</v>
      </c>
      <c r="P142" s="28">
        <f>VLOOKUP(Table88[[#This Row],[NAME]],PIT_H[[NAME]:['#]],14,0)</f>
        <v>0</v>
      </c>
      <c r="Q142" s="77">
        <f>VLOOKUP(Table88[[#This Row],[NAME]],PIT_H[[NAME]:['#]],15,0)</f>
        <v>0</v>
      </c>
      <c r="R142" s="28">
        <f>VLOOKUP(Table88[[#This Row],[NAME]],PIT_H[[NAME]:['#]],16,0)</f>
        <v>0</v>
      </c>
      <c r="S142" s="28">
        <f>VLOOKUP(Table88[[#This Row],[NAME]],PIT_H[[NAME]:['#]],17,0)</f>
        <v>0</v>
      </c>
      <c r="T142" s="77">
        <f>VLOOKUP(Table88[[#This Row],[NAME]],PIT_H[[NAME]:['#]],18,0)</f>
        <v>0</v>
      </c>
      <c r="U142" s="72">
        <f>VLOOKUP(Table88[[#This Row],[NAME]],PIT_H[[NAME]:['#]],19,0)</f>
        <v>0</v>
      </c>
      <c r="V142" s="28">
        <f>VLOOKUP(Table88[[#This Row],[NAME]],PIT_H[[NAME]:['#]],20,0)</f>
        <v>0</v>
      </c>
      <c r="W142" s="75">
        <v>140</v>
      </c>
      <c r="Z142" s="101" t="s">
        <v>1096</v>
      </c>
      <c r="AA142" s="77" t="s">
        <v>186</v>
      </c>
      <c r="AB142" s="77" t="s">
        <v>1107</v>
      </c>
      <c r="AC142" s="130">
        <v>0.39285714285714285</v>
      </c>
      <c r="AD142" s="72">
        <v>0.55263157894736847</v>
      </c>
      <c r="AE142" s="72">
        <v>0.75</v>
      </c>
      <c r="AF142" s="77">
        <v>8</v>
      </c>
      <c r="AG142" s="28">
        <v>28</v>
      </c>
      <c r="AH142" s="28">
        <v>4</v>
      </c>
      <c r="AI142" s="28">
        <v>11</v>
      </c>
      <c r="AJ142" s="28">
        <v>1</v>
      </c>
      <c r="AK142" s="28">
        <v>0</v>
      </c>
      <c r="AL142" s="28">
        <v>3</v>
      </c>
      <c r="AM142" s="28">
        <v>7</v>
      </c>
      <c r="AN142" s="28">
        <v>10</v>
      </c>
      <c r="AO142" s="28">
        <v>5</v>
      </c>
      <c r="AP142" s="77">
        <v>0</v>
      </c>
      <c r="AQ142" s="28">
        <v>6</v>
      </c>
      <c r="AR142" s="28">
        <v>6</v>
      </c>
      <c r="AS142" s="77">
        <v>21</v>
      </c>
      <c r="AT142" s="72">
        <v>1.3026315789473686</v>
      </c>
      <c r="AU142" s="28">
        <v>1</v>
      </c>
      <c r="AV142" s="75">
        <v>140</v>
      </c>
      <c r="AY142" s="101" t="s">
        <v>1096</v>
      </c>
      <c r="AZ142" s="77" t="s">
        <v>184</v>
      </c>
      <c r="BA142" s="77" t="s">
        <v>1107</v>
      </c>
      <c r="BB142" s="130">
        <v>0.18518518518518517</v>
      </c>
      <c r="BC142" s="72">
        <v>0.29032258064516131</v>
      </c>
      <c r="BD142" s="72">
        <v>0.25925925925925924</v>
      </c>
      <c r="BE142" s="77">
        <v>9</v>
      </c>
      <c r="BF142" s="28">
        <v>27</v>
      </c>
      <c r="BG142" s="28">
        <v>3</v>
      </c>
      <c r="BH142" s="28">
        <v>5</v>
      </c>
      <c r="BI142" s="28">
        <v>2</v>
      </c>
      <c r="BJ142" s="28">
        <v>0</v>
      </c>
      <c r="BK142" s="28">
        <v>0</v>
      </c>
      <c r="BL142" s="28">
        <v>1</v>
      </c>
      <c r="BM142" s="28">
        <v>4</v>
      </c>
      <c r="BN142" s="28">
        <v>11</v>
      </c>
      <c r="BO142" s="77">
        <v>0</v>
      </c>
      <c r="BP142" s="28">
        <v>0</v>
      </c>
      <c r="BQ142" s="28">
        <v>2</v>
      </c>
      <c r="BR142" s="77">
        <v>7</v>
      </c>
      <c r="BS142" s="72">
        <v>0.54958183990442055</v>
      </c>
      <c r="BT142" s="28">
        <v>0</v>
      </c>
      <c r="BU142" s="75">
        <v>140</v>
      </c>
    </row>
    <row r="143" spans="1:73">
      <c r="A143" s="101" t="s">
        <v>1139</v>
      </c>
      <c r="B143" s="71" t="s">
        <v>179</v>
      </c>
      <c r="C143" s="28" t="s">
        <v>1147</v>
      </c>
      <c r="D143" s="72">
        <f>VLOOKUP(Table88[[#This Row],[NAME]],SFG_H[[NAME]:['#]],2,0)</f>
        <v>0.22758620689655173</v>
      </c>
      <c r="E143" s="72">
        <f>VLOOKUP(Table88[[#This Row],[NAME]],SFG_H[[NAME]:['#]],3,0)</f>
        <v>0.3</v>
      </c>
      <c r="F143" s="72">
        <f>VLOOKUP(Table88[[#This Row],[NAME]],SFG_H[[NAME]:['#]],4,0)</f>
        <v>0.33103448275862069</v>
      </c>
      <c r="G143" s="77">
        <f>VLOOKUP(Table88[[#This Row],[NAME]],SFG_H[[NAME]:['#]],5,0)</f>
        <v>38</v>
      </c>
      <c r="H143" s="28">
        <f>VLOOKUP(Table88[[#This Row],[NAME]],SFG_H[[NAME]:['#]],6,0)</f>
        <v>145</v>
      </c>
      <c r="I143" s="28">
        <f>VLOOKUP(Table88[[#This Row],[NAME]],SFG_H[[NAME]:['#]],7,0)</f>
        <v>13</v>
      </c>
      <c r="J143" s="28">
        <f>VLOOKUP(Table88[[#This Row],[NAME]],SFG_H[[NAME]:['#]],8,0)</f>
        <v>33</v>
      </c>
      <c r="K143" s="28">
        <f>VLOOKUP(Table88[[#This Row],[NAME]],SFG_H[[NAME]:['#]],9,0)</f>
        <v>9</v>
      </c>
      <c r="L143" s="28">
        <f>VLOOKUP(Table88[[#This Row],[NAME]],SFG_H[[NAME]:['#]],10,0)</f>
        <v>0</v>
      </c>
      <c r="M143" s="28">
        <f>VLOOKUP(Table88[[#This Row],[NAME]],SFG_H[[NAME]:['#]],11,0)</f>
        <v>2</v>
      </c>
      <c r="N143" s="28">
        <f>VLOOKUP(Table88[[#This Row],[NAME]],SFG_H[[NAME]:['#]],12,0)</f>
        <v>11</v>
      </c>
      <c r="O143" s="28">
        <f>VLOOKUP(Table88[[#This Row],[NAME]],SFG_H[[NAME]:['#]],13,0)</f>
        <v>15</v>
      </c>
      <c r="P143" s="28">
        <f>VLOOKUP(Table88[[#This Row],[NAME]],SFG_H[[NAME]:['#]],14,0)</f>
        <v>27</v>
      </c>
      <c r="Q143" s="77">
        <f>VLOOKUP(Table88[[#This Row],[NAME]],SFG_H[[NAME]:['#]],15,0)</f>
        <v>0</v>
      </c>
      <c r="R143" s="28">
        <f>VLOOKUP(Table88[[#This Row],[NAME]],SFG_H[[NAME]:['#]],16,0)</f>
        <v>0</v>
      </c>
      <c r="S143" s="28">
        <f>VLOOKUP(Table88[[#This Row],[NAME]],SFG_H[[NAME]:['#]],17,0)</f>
        <v>6</v>
      </c>
      <c r="T143" s="77">
        <f>VLOOKUP(Table88[[#This Row],[NAME]],SFG_H[[NAME]:['#]],18,0)</f>
        <v>48</v>
      </c>
      <c r="U143" s="72">
        <f>VLOOKUP(Table88[[#This Row],[NAME]],SFG_H[[NAME]:['#]],19,0)</f>
        <v>0.63103448275862073</v>
      </c>
      <c r="V143" s="28">
        <f>VLOOKUP(Table88[[#This Row],[NAME]],SFG_H[[NAME]:['#]],20,0)</f>
        <v>2</v>
      </c>
      <c r="W143" s="75">
        <v>141</v>
      </c>
      <c r="Z143" s="366" t="s">
        <v>1139</v>
      </c>
      <c r="AA143" s="77" t="s">
        <v>179</v>
      </c>
      <c r="AB143" s="77" t="s">
        <v>1147</v>
      </c>
      <c r="AC143" s="130">
        <v>0.28187919463087246</v>
      </c>
      <c r="AD143" s="72">
        <v>0.33124999999999999</v>
      </c>
      <c r="AE143" s="72">
        <v>0.43624161073825501</v>
      </c>
      <c r="AF143" s="77">
        <v>38</v>
      </c>
      <c r="AG143" s="28">
        <v>149</v>
      </c>
      <c r="AH143" s="28">
        <v>18</v>
      </c>
      <c r="AI143" s="28">
        <v>42</v>
      </c>
      <c r="AJ143" s="28">
        <v>5</v>
      </c>
      <c r="AK143" s="28">
        <v>0</v>
      </c>
      <c r="AL143" s="28">
        <v>6</v>
      </c>
      <c r="AM143" s="28">
        <v>24</v>
      </c>
      <c r="AN143" s="28">
        <v>11</v>
      </c>
      <c r="AO143" s="28">
        <v>23</v>
      </c>
      <c r="AP143" s="77">
        <v>0</v>
      </c>
      <c r="AQ143" s="28">
        <v>1</v>
      </c>
      <c r="AR143" s="28">
        <v>9</v>
      </c>
      <c r="AS143" s="77">
        <v>65</v>
      </c>
      <c r="AT143" s="72">
        <v>0.767491610738255</v>
      </c>
      <c r="AU143" s="28">
        <v>4</v>
      </c>
      <c r="AV143" s="75">
        <v>141</v>
      </c>
      <c r="AY143" s="101" t="s">
        <v>1139</v>
      </c>
      <c r="AZ143" s="77" t="s">
        <v>179</v>
      </c>
      <c r="BA143" s="77" t="s">
        <v>1147</v>
      </c>
      <c r="BB143" s="130">
        <v>0.24342105263157895</v>
      </c>
      <c r="BC143" s="72">
        <v>0.30722891566265059</v>
      </c>
      <c r="BD143" s="72">
        <v>0.38157894736842107</v>
      </c>
      <c r="BE143" s="77">
        <v>38</v>
      </c>
      <c r="BF143" s="28">
        <v>152</v>
      </c>
      <c r="BG143" s="28">
        <v>15</v>
      </c>
      <c r="BH143" s="28">
        <v>37</v>
      </c>
      <c r="BI143" s="28">
        <v>9</v>
      </c>
      <c r="BJ143" s="28">
        <v>0</v>
      </c>
      <c r="BK143" s="28">
        <v>4</v>
      </c>
      <c r="BL143" s="28">
        <v>19</v>
      </c>
      <c r="BM143" s="28">
        <v>14</v>
      </c>
      <c r="BN143" s="28">
        <v>31</v>
      </c>
      <c r="BO143" s="77">
        <v>0</v>
      </c>
      <c r="BP143" s="28">
        <v>3</v>
      </c>
      <c r="BQ143" s="28">
        <v>7</v>
      </c>
      <c r="BR143" s="77">
        <v>58</v>
      </c>
      <c r="BS143" s="72">
        <v>0.68880786303107167</v>
      </c>
      <c r="BT143" s="28">
        <v>4</v>
      </c>
      <c r="BU143" s="75">
        <v>141</v>
      </c>
    </row>
    <row r="144" spans="1:73">
      <c r="A144" s="101" t="s">
        <v>1139</v>
      </c>
      <c r="B144" s="71" t="s">
        <v>154</v>
      </c>
      <c r="C144" s="28" t="s">
        <v>1141</v>
      </c>
      <c r="D144" s="72">
        <f>VLOOKUP(Table88[[#This Row],[NAME]],SFG_H[[NAME]:['#]],2,0)</f>
        <v>0.23776223776223776</v>
      </c>
      <c r="E144" s="72">
        <f>VLOOKUP(Table88[[#This Row],[NAME]],SFG_H[[NAME]:['#]],3,0)</f>
        <v>0.310126582278481</v>
      </c>
      <c r="F144" s="72">
        <f>VLOOKUP(Table88[[#This Row],[NAME]],SFG_H[[NAME]:['#]],4,0)</f>
        <v>0.42657342657342656</v>
      </c>
      <c r="G144" s="77">
        <f>VLOOKUP(Table88[[#This Row],[NAME]],SFG_H[[NAME]:['#]],5,0)</f>
        <v>38</v>
      </c>
      <c r="H144" s="28">
        <f>VLOOKUP(Table88[[#This Row],[NAME]],SFG_H[[NAME]:['#]],6,0)</f>
        <v>143</v>
      </c>
      <c r="I144" s="28">
        <f>VLOOKUP(Table88[[#This Row],[NAME]],SFG_H[[NAME]:['#]],7,0)</f>
        <v>14</v>
      </c>
      <c r="J144" s="28">
        <f>VLOOKUP(Table88[[#This Row],[NAME]],SFG_H[[NAME]:['#]],8,0)</f>
        <v>34</v>
      </c>
      <c r="K144" s="28">
        <f>VLOOKUP(Table88[[#This Row],[NAME]],SFG_H[[NAME]:['#]],9,0)</f>
        <v>4</v>
      </c>
      <c r="L144" s="28">
        <f>VLOOKUP(Table88[[#This Row],[NAME]],SFG_H[[NAME]:['#]],10,0)</f>
        <v>1</v>
      </c>
      <c r="M144" s="28">
        <f>VLOOKUP(Table88[[#This Row],[NAME]],SFG_H[[NAME]:['#]],11,0)</f>
        <v>7</v>
      </c>
      <c r="N144" s="28">
        <f>VLOOKUP(Table88[[#This Row],[NAME]],SFG_H[[NAME]:['#]],12,0)</f>
        <v>19</v>
      </c>
      <c r="O144" s="28">
        <f>VLOOKUP(Table88[[#This Row],[NAME]],SFG_H[[NAME]:['#]],13,0)</f>
        <v>15</v>
      </c>
      <c r="P144" s="28">
        <f>VLOOKUP(Table88[[#This Row],[NAME]],SFG_H[[NAME]:['#]],14,0)</f>
        <v>42</v>
      </c>
      <c r="Q144" s="77">
        <f>VLOOKUP(Table88[[#This Row],[NAME]],SFG_H[[NAME]:['#]],15,0)</f>
        <v>0</v>
      </c>
      <c r="R144" s="28">
        <f>VLOOKUP(Table88[[#This Row],[NAME]],SFG_H[[NAME]:['#]],16,0)</f>
        <v>0</v>
      </c>
      <c r="S144" s="28">
        <f>VLOOKUP(Table88[[#This Row],[NAME]],SFG_H[[NAME]:['#]],17,0)</f>
        <v>7</v>
      </c>
      <c r="T144" s="77">
        <f>VLOOKUP(Table88[[#This Row],[NAME]],SFG_H[[NAME]:['#]],18,0)</f>
        <v>61</v>
      </c>
      <c r="U144" s="72">
        <f>VLOOKUP(Table88[[#This Row],[NAME]],SFG_H[[NAME]:['#]],19,0)</f>
        <v>0.73670000885190756</v>
      </c>
      <c r="V144" s="28">
        <f>VLOOKUP(Table88[[#This Row],[NAME]],SFG_H[[NAME]:['#]],20,0)</f>
        <v>4</v>
      </c>
      <c r="W144" s="75">
        <v>142</v>
      </c>
      <c r="Z144" s="366" t="s">
        <v>1139</v>
      </c>
      <c r="AA144" s="352" t="s">
        <v>154</v>
      </c>
      <c r="AB144" s="352" t="s">
        <v>1141</v>
      </c>
      <c r="AC144" s="130">
        <v>0.30625000000000002</v>
      </c>
      <c r="AD144" s="72">
        <v>0.36571428571428571</v>
      </c>
      <c r="AE144" s="72">
        <v>0.61250000000000004</v>
      </c>
      <c r="AF144" s="77">
        <v>40</v>
      </c>
      <c r="AG144" s="28">
        <v>160</v>
      </c>
      <c r="AH144" s="76">
        <v>30</v>
      </c>
      <c r="AI144" s="28">
        <v>49</v>
      </c>
      <c r="AJ144" s="28">
        <v>10</v>
      </c>
      <c r="AK144" s="28">
        <v>0</v>
      </c>
      <c r="AL144" s="28">
        <v>13</v>
      </c>
      <c r="AM144" s="76">
        <v>33</v>
      </c>
      <c r="AN144" s="28">
        <v>15</v>
      </c>
      <c r="AO144" s="28">
        <v>36</v>
      </c>
      <c r="AP144" s="77">
        <v>0</v>
      </c>
      <c r="AQ144" s="28">
        <v>2</v>
      </c>
      <c r="AR144" s="28">
        <v>11</v>
      </c>
      <c r="AS144" s="77">
        <v>98</v>
      </c>
      <c r="AT144" s="72">
        <v>0.9782142857142857</v>
      </c>
      <c r="AU144" s="28">
        <v>5</v>
      </c>
      <c r="AV144" s="75">
        <v>142</v>
      </c>
      <c r="AY144" s="101" t="s">
        <v>1139</v>
      </c>
      <c r="AZ144" s="77" t="s">
        <v>154</v>
      </c>
      <c r="BA144" s="77" t="s">
        <v>1141</v>
      </c>
      <c r="BB144" s="130">
        <v>0.2348993288590604</v>
      </c>
      <c r="BC144" s="72">
        <v>0.29629629629629628</v>
      </c>
      <c r="BD144" s="72">
        <v>0.3825503355704698</v>
      </c>
      <c r="BE144" s="77">
        <v>38</v>
      </c>
      <c r="BF144" s="28">
        <v>149</v>
      </c>
      <c r="BG144" s="28">
        <v>15</v>
      </c>
      <c r="BH144" s="28">
        <v>35</v>
      </c>
      <c r="BI144" s="28">
        <v>7</v>
      </c>
      <c r="BJ144" s="28">
        <v>0</v>
      </c>
      <c r="BK144" s="28">
        <v>5</v>
      </c>
      <c r="BL144" s="28">
        <v>24</v>
      </c>
      <c r="BM144" s="28">
        <v>13</v>
      </c>
      <c r="BN144" s="28">
        <v>39</v>
      </c>
      <c r="BO144" s="77">
        <v>0</v>
      </c>
      <c r="BP144" s="28">
        <v>2</v>
      </c>
      <c r="BQ144" s="28">
        <v>6</v>
      </c>
      <c r="BR144" s="77">
        <v>57</v>
      </c>
      <c r="BS144" s="72">
        <v>0.67884663186676608</v>
      </c>
      <c r="BT144" s="28">
        <v>2</v>
      </c>
      <c r="BU144" s="75">
        <v>142</v>
      </c>
    </row>
    <row r="145" spans="1:73">
      <c r="A145" s="101" t="s">
        <v>1139</v>
      </c>
      <c r="B145" s="71" t="s">
        <v>172</v>
      </c>
      <c r="C145" s="28" t="s">
        <v>1140</v>
      </c>
      <c r="D145" s="72">
        <f>VLOOKUP(Table88[[#This Row],[NAME]],SFG_H[[NAME]:['#]],2,0)</f>
        <v>0.23448275862068965</v>
      </c>
      <c r="E145" s="72">
        <f>VLOOKUP(Table88[[#This Row],[NAME]],SFG_H[[NAME]:['#]],3,0)</f>
        <v>0.29746835443037972</v>
      </c>
      <c r="F145" s="72">
        <f>VLOOKUP(Table88[[#This Row],[NAME]],SFG_H[[NAME]:['#]],4,0)</f>
        <v>0.42758620689655175</v>
      </c>
      <c r="G145" s="77">
        <f>VLOOKUP(Table88[[#This Row],[NAME]],SFG_H[[NAME]:['#]],5,0)</f>
        <v>40</v>
      </c>
      <c r="H145" s="28">
        <f>VLOOKUP(Table88[[#This Row],[NAME]],SFG_H[[NAME]:['#]],6,0)</f>
        <v>145</v>
      </c>
      <c r="I145" s="28">
        <f>VLOOKUP(Table88[[#This Row],[NAME]],SFG_H[[NAME]:['#]],7,0)</f>
        <v>17</v>
      </c>
      <c r="J145" s="28">
        <f>VLOOKUP(Table88[[#This Row],[NAME]],SFG_H[[NAME]:['#]],8,0)</f>
        <v>34</v>
      </c>
      <c r="K145" s="28">
        <f>VLOOKUP(Table88[[#This Row],[NAME]],SFG_H[[NAME]:['#]],9,0)</f>
        <v>10</v>
      </c>
      <c r="L145" s="28">
        <f>VLOOKUP(Table88[[#This Row],[NAME]],SFG_H[[NAME]:['#]],10,0)</f>
        <v>0</v>
      </c>
      <c r="M145" s="28">
        <f>VLOOKUP(Table88[[#This Row],[NAME]],SFG_H[[NAME]:['#]],11,0)</f>
        <v>6</v>
      </c>
      <c r="N145" s="28">
        <f>VLOOKUP(Table88[[#This Row],[NAME]],SFG_H[[NAME]:['#]],12,0)</f>
        <v>18</v>
      </c>
      <c r="O145" s="28">
        <f>VLOOKUP(Table88[[#This Row],[NAME]],SFG_H[[NAME]:['#]],13,0)</f>
        <v>13</v>
      </c>
      <c r="P145" s="28">
        <f>VLOOKUP(Table88[[#This Row],[NAME]],SFG_H[[NAME]:['#]],14,0)</f>
        <v>36</v>
      </c>
      <c r="Q145" s="77">
        <f>VLOOKUP(Table88[[#This Row],[NAME]],SFG_H[[NAME]:['#]],15,0)</f>
        <v>0</v>
      </c>
      <c r="R145" s="28">
        <f>VLOOKUP(Table88[[#This Row],[NAME]],SFG_H[[NAME]:['#]],16,0)</f>
        <v>14</v>
      </c>
      <c r="S145" s="28">
        <f>VLOOKUP(Table88[[#This Row],[NAME]],SFG_H[[NAME]:['#]],17,0)</f>
        <v>14</v>
      </c>
      <c r="T145" s="77">
        <f>VLOOKUP(Table88[[#This Row],[NAME]],SFG_H[[NAME]:['#]],18,0)</f>
        <v>62</v>
      </c>
      <c r="U145" s="72">
        <f>VLOOKUP(Table88[[#This Row],[NAME]],SFG_H[[NAME]:['#]],19,0)</f>
        <v>0.72505456132693147</v>
      </c>
      <c r="V145" s="28">
        <f>VLOOKUP(Table88[[#This Row],[NAME]],SFG_H[[NAME]:['#]],20,0)</f>
        <v>2</v>
      </c>
      <c r="W145" s="75">
        <v>143</v>
      </c>
      <c r="Z145" s="366" t="s">
        <v>1139</v>
      </c>
      <c r="AA145" s="77" t="s">
        <v>172</v>
      </c>
      <c r="AB145" s="77" t="s">
        <v>1140</v>
      </c>
      <c r="AC145" s="130">
        <v>0.22307692307692309</v>
      </c>
      <c r="AD145" s="72">
        <v>0.2937062937062937</v>
      </c>
      <c r="AE145" s="72">
        <v>0.3</v>
      </c>
      <c r="AF145" s="77">
        <v>37</v>
      </c>
      <c r="AG145" s="28">
        <v>130</v>
      </c>
      <c r="AH145" s="28">
        <v>10</v>
      </c>
      <c r="AI145" s="28">
        <v>29</v>
      </c>
      <c r="AJ145" s="28">
        <v>3</v>
      </c>
      <c r="AK145" s="28">
        <v>2</v>
      </c>
      <c r="AL145" s="28">
        <v>1</v>
      </c>
      <c r="AM145" s="28">
        <v>10</v>
      </c>
      <c r="AN145" s="28">
        <v>13</v>
      </c>
      <c r="AO145" s="28">
        <v>35</v>
      </c>
      <c r="AP145" s="77">
        <v>0</v>
      </c>
      <c r="AQ145" s="28">
        <v>2</v>
      </c>
      <c r="AR145" s="28">
        <v>5</v>
      </c>
      <c r="AS145" s="77">
        <v>39</v>
      </c>
      <c r="AT145" s="72">
        <v>0.59370629370629369</v>
      </c>
      <c r="AU145" s="28">
        <v>1</v>
      </c>
      <c r="AV145" s="75">
        <v>143</v>
      </c>
      <c r="AY145" s="101" t="s">
        <v>1139</v>
      </c>
      <c r="AZ145" s="77" t="s">
        <v>172</v>
      </c>
      <c r="BA145" s="77" t="s">
        <v>1140</v>
      </c>
      <c r="BB145" s="130">
        <v>0.28813559322033899</v>
      </c>
      <c r="BC145" s="72">
        <v>0.36363636363636365</v>
      </c>
      <c r="BD145" s="72">
        <v>0.4576271186440678</v>
      </c>
      <c r="BE145" s="77">
        <v>36</v>
      </c>
      <c r="BF145" s="28">
        <v>118</v>
      </c>
      <c r="BG145" s="28">
        <v>8</v>
      </c>
      <c r="BH145" s="28">
        <v>34</v>
      </c>
      <c r="BI145" s="28">
        <v>6</v>
      </c>
      <c r="BJ145" s="28">
        <v>1</v>
      </c>
      <c r="BK145" s="28">
        <v>4</v>
      </c>
      <c r="BL145" s="28">
        <v>11</v>
      </c>
      <c r="BM145" s="28">
        <v>14</v>
      </c>
      <c r="BN145" s="28">
        <v>18</v>
      </c>
      <c r="BO145" s="77">
        <v>0</v>
      </c>
      <c r="BP145" s="28">
        <v>0</v>
      </c>
      <c r="BQ145" s="28">
        <v>8</v>
      </c>
      <c r="BR145" s="77">
        <v>54</v>
      </c>
      <c r="BS145" s="72">
        <v>0.82126348228043144</v>
      </c>
      <c r="BT145" s="28">
        <v>2</v>
      </c>
      <c r="BU145" s="75">
        <v>143</v>
      </c>
    </row>
    <row r="146" spans="1:73">
      <c r="A146" s="101" t="s">
        <v>1139</v>
      </c>
      <c r="B146" s="71" t="s">
        <v>153</v>
      </c>
      <c r="C146" s="28" t="s">
        <v>1150</v>
      </c>
      <c r="D146" s="72">
        <f>VLOOKUP(Table88[[#This Row],[NAME]],SFG_H[[NAME]:['#]],2,0)</f>
        <v>0.29032258064516131</v>
      </c>
      <c r="E146" s="72">
        <f>VLOOKUP(Table88[[#This Row],[NAME]],SFG_H[[NAME]:['#]],3,0)</f>
        <v>0.34653465346534651</v>
      </c>
      <c r="F146" s="72">
        <f>VLOOKUP(Table88[[#This Row],[NAME]],SFG_H[[NAME]:['#]],4,0)</f>
        <v>0.43010752688172044</v>
      </c>
      <c r="G146" s="77">
        <f>VLOOKUP(Table88[[#This Row],[NAME]],SFG_H[[NAME]:['#]],5,0)</f>
        <v>26</v>
      </c>
      <c r="H146" s="28">
        <f>VLOOKUP(Table88[[#This Row],[NAME]],SFG_H[[NAME]:['#]],6,0)</f>
        <v>93</v>
      </c>
      <c r="I146" s="28">
        <f>VLOOKUP(Table88[[#This Row],[NAME]],SFG_H[[NAME]:['#]],7,0)</f>
        <v>12</v>
      </c>
      <c r="J146" s="28">
        <f>VLOOKUP(Table88[[#This Row],[NAME]],SFG_H[[NAME]:['#]],8,0)</f>
        <v>27</v>
      </c>
      <c r="K146" s="28">
        <f>VLOOKUP(Table88[[#This Row],[NAME]],SFG_H[[NAME]:['#]],9,0)</f>
        <v>9</v>
      </c>
      <c r="L146" s="28">
        <f>VLOOKUP(Table88[[#This Row],[NAME]],SFG_H[[NAME]:['#]],10,0)</f>
        <v>2</v>
      </c>
      <c r="M146" s="28">
        <f>VLOOKUP(Table88[[#This Row],[NAME]],SFG_H[[NAME]:['#]],11,0)</f>
        <v>0</v>
      </c>
      <c r="N146" s="28">
        <f>VLOOKUP(Table88[[#This Row],[NAME]],SFG_H[[NAME]:['#]],12,0)</f>
        <v>9</v>
      </c>
      <c r="O146" s="28">
        <f>VLOOKUP(Table88[[#This Row],[NAME]],SFG_H[[NAME]:['#]],13,0)</f>
        <v>8</v>
      </c>
      <c r="P146" s="28">
        <f>VLOOKUP(Table88[[#This Row],[NAME]],SFG_H[[NAME]:['#]],14,0)</f>
        <v>29</v>
      </c>
      <c r="Q146" s="77">
        <f>VLOOKUP(Table88[[#This Row],[NAME]],SFG_H[[NAME]:['#]],15,0)</f>
        <v>0</v>
      </c>
      <c r="R146" s="28">
        <f>VLOOKUP(Table88[[#This Row],[NAME]],SFG_H[[NAME]:['#]],16,0)</f>
        <v>0</v>
      </c>
      <c r="S146" s="28">
        <f>VLOOKUP(Table88[[#This Row],[NAME]],SFG_H[[NAME]:['#]],17,0)</f>
        <v>5</v>
      </c>
      <c r="T146" s="77">
        <f>VLOOKUP(Table88[[#This Row],[NAME]],SFG_H[[NAME]:['#]],18,0)</f>
        <v>40</v>
      </c>
      <c r="U146" s="72">
        <f>VLOOKUP(Table88[[#This Row],[NAME]],SFG_H[[NAME]:['#]],19,0)</f>
        <v>0.77664218034706689</v>
      </c>
      <c r="V146" s="28">
        <f>VLOOKUP(Table88[[#This Row],[NAME]],SFG_H[[NAME]:['#]],20,0)</f>
        <v>2</v>
      </c>
      <c r="W146" s="75">
        <v>144</v>
      </c>
      <c r="Z146" s="366" t="s">
        <v>1139</v>
      </c>
      <c r="AA146" s="77" t="s">
        <v>153</v>
      </c>
      <c r="AB146" s="77" t="s">
        <v>1148</v>
      </c>
      <c r="AC146" s="130">
        <v>0.28947368421052633</v>
      </c>
      <c r="AD146" s="72">
        <v>0.32500000000000001</v>
      </c>
      <c r="AE146" s="72">
        <v>0.42105263157894735</v>
      </c>
      <c r="AF146" s="77">
        <v>31</v>
      </c>
      <c r="AG146" s="28">
        <v>114</v>
      </c>
      <c r="AH146" s="28">
        <v>13</v>
      </c>
      <c r="AI146" s="28">
        <v>33</v>
      </c>
      <c r="AJ146" s="28">
        <v>12</v>
      </c>
      <c r="AK146" s="28">
        <v>0</v>
      </c>
      <c r="AL146" s="28">
        <v>1</v>
      </c>
      <c r="AM146" s="28">
        <v>12</v>
      </c>
      <c r="AN146" s="28">
        <v>6</v>
      </c>
      <c r="AO146" s="28">
        <v>20</v>
      </c>
      <c r="AP146" s="77">
        <v>0</v>
      </c>
      <c r="AQ146" s="28">
        <v>3</v>
      </c>
      <c r="AR146" s="28">
        <v>11</v>
      </c>
      <c r="AS146" s="77">
        <v>48</v>
      </c>
      <c r="AT146" s="72">
        <v>0.7460526315789473</v>
      </c>
      <c r="AU146" s="28">
        <v>0</v>
      </c>
      <c r="AV146" s="75">
        <v>144</v>
      </c>
      <c r="AY146" s="101" t="s">
        <v>1139</v>
      </c>
      <c r="AZ146" s="77" t="s">
        <v>153</v>
      </c>
      <c r="BA146" s="77" t="s">
        <v>1150</v>
      </c>
      <c r="BB146" s="130">
        <v>0.22784810126582278</v>
      </c>
      <c r="BC146" s="72">
        <v>0.25609756097560976</v>
      </c>
      <c r="BD146" s="72">
        <v>0.35443037974683544</v>
      </c>
      <c r="BE146" s="77">
        <v>27</v>
      </c>
      <c r="BF146" s="28">
        <v>79</v>
      </c>
      <c r="BG146" s="28">
        <v>10</v>
      </c>
      <c r="BH146" s="28">
        <v>18</v>
      </c>
      <c r="BI146" s="28">
        <v>4</v>
      </c>
      <c r="BJ146" s="28">
        <v>0</v>
      </c>
      <c r="BK146" s="28">
        <v>2</v>
      </c>
      <c r="BL146" s="28">
        <v>7</v>
      </c>
      <c r="BM146" s="28">
        <v>3</v>
      </c>
      <c r="BN146" s="28">
        <v>12</v>
      </c>
      <c r="BO146" s="77">
        <v>0</v>
      </c>
      <c r="BP146" s="28">
        <v>0</v>
      </c>
      <c r="BQ146" s="28">
        <v>4</v>
      </c>
      <c r="BR146" s="77">
        <v>28</v>
      </c>
      <c r="BS146" s="72">
        <v>0.61052794072244521</v>
      </c>
      <c r="BT146" s="28">
        <v>1</v>
      </c>
      <c r="BU146" s="75">
        <v>144</v>
      </c>
    </row>
    <row r="147" spans="1:73">
      <c r="A147" s="101" t="s">
        <v>1139</v>
      </c>
      <c r="B147" s="71" t="s">
        <v>177</v>
      </c>
      <c r="C147" s="28" t="s">
        <v>1146</v>
      </c>
      <c r="D147" s="72">
        <f>VLOOKUP(Table88[[#This Row],[NAME]],SFG_H[[NAME]:['#]],2,0)</f>
        <v>0.2831858407079646</v>
      </c>
      <c r="E147" s="72">
        <f>VLOOKUP(Table88[[#This Row],[NAME]],SFG_H[[NAME]:['#]],3,0)</f>
        <v>0.3671875</v>
      </c>
      <c r="F147" s="72">
        <f>VLOOKUP(Table88[[#This Row],[NAME]],SFG_H[[NAME]:['#]],4,0)</f>
        <v>0.52212389380530977</v>
      </c>
      <c r="G147" s="77">
        <f>VLOOKUP(Table88[[#This Row],[NAME]],SFG_H[[NAME]:['#]],5,0)</f>
        <v>33</v>
      </c>
      <c r="H147" s="28">
        <f>VLOOKUP(Table88[[#This Row],[NAME]],SFG_H[[NAME]:['#]],6,0)</f>
        <v>113</v>
      </c>
      <c r="I147" s="28">
        <f>VLOOKUP(Table88[[#This Row],[NAME]],SFG_H[[NAME]:['#]],7,0)</f>
        <v>20</v>
      </c>
      <c r="J147" s="28">
        <f>VLOOKUP(Table88[[#This Row],[NAME]],SFG_H[[NAME]:['#]],8,0)</f>
        <v>32</v>
      </c>
      <c r="K147" s="28">
        <f>VLOOKUP(Table88[[#This Row],[NAME]],SFG_H[[NAME]:['#]],9,0)</f>
        <v>3</v>
      </c>
      <c r="L147" s="28">
        <f>VLOOKUP(Table88[[#This Row],[NAME]],SFG_H[[NAME]:['#]],10,0)</f>
        <v>3</v>
      </c>
      <c r="M147" s="28">
        <f>VLOOKUP(Table88[[#This Row],[NAME]],SFG_H[[NAME]:['#]],11,0)</f>
        <v>6</v>
      </c>
      <c r="N147" s="28">
        <f>VLOOKUP(Table88[[#This Row],[NAME]],SFG_H[[NAME]:['#]],12,0)</f>
        <v>12</v>
      </c>
      <c r="O147" s="28">
        <f>VLOOKUP(Table88[[#This Row],[NAME]],SFG_H[[NAME]:['#]],13,0)</f>
        <v>15</v>
      </c>
      <c r="P147" s="28">
        <f>VLOOKUP(Table88[[#This Row],[NAME]],SFG_H[[NAME]:['#]],14,0)</f>
        <v>36</v>
      </c>
      <c r="Q147" s="77">
        <f>VLOOKUP(Table88[[#This Row],[NAME]],SFG_H[[NAME]:['#]],15,0)</f>
        <v>0</v>
      </c>
      <c r="R147" s="28">
        <f>VLOOKUP(Table88[[#This Row],[NAME]],SFG_H[[NAME]:['#]],16,0)</f>
        <v>6</v>
      </c>
      <c r="S147" s="28">
        <f>VLOOKUP(Table88[[#This Row],[NAME]],SFG_H[[NAME]:['#]],17,0)</f>
        <v>6</v>
      </c>
      <c r="T147" s="77">
        <f>VLOOKUP(Table88[[#This Row],[NAME]],SFG_H[[NAME]:['#]],18,0)</f>
        <v>59</v>
      </c>
      <c r="U147" s="72">
        <f>VLOOKUP(Table88[[#This Row],[NAME]],SFG_H[[NAME]:['#]],19,0)</f>
        <v>0.88931139380530977</v>
      </c>
      <c r="V147" s="28">
        <f>VLOOKUP(Table88[[#This Row],[NAME]],SFG_H[[NAME]:['#]],20,0)</f>
        <v>2</v>
      </c>
      <c r="W147" s="75">
        <v>145</v>
      </c>
      <c r="Z147" s="366" t="s">
        <v>1139</v>
      </c>
      <c r="AA147" s="77" t="s">
        <v>177</v>
      </c>
      <c r="AB147" s="77" t="s">
        <v>1146</v>
      </c>
      <c r="AC147" s="130">
        <v>0.22935779816513763</v>
      </c>
      <c r="AD147" s="72">
        <v>0.38235294117647056</v>
      </c>
      <c r="AE147" s="72">
        <v>0.39449541284403672</v>
      </c>
      <c r="AF147" s="77">
        <v>35</v>
      </c>
      <c r="AG147" s="28">
        <v>109</v>
      </c>
      <c r="AH147" s="28">
        <v>17</v>
      </c>
      <c r="AI147" s="28">
        <v>25</v>
      </c>
      <c r="AJ147" s="28">
        <v>6</v>
      </c>
      <c r="AK147" s="28">
        <v>0</v>
      </c>
      <c r="AL147" s="28">
        <v>4</v>
      </c>
      <c r="AM147" s="28">
        <v>15</v>
      </c>
      <c r="AN147" s="28">
        <v>27</v>
      </c>
      <c r="AO147" s="28">
        <v>38</v>
      </c>
      <c r="AP147" s="77">
        <v>0</v>
      </c>
      <c r="AQ147" s="28">
        <v>0</v>
      </c>
      <c r="AR147" s="28">
        <v>6</v>
      </c>
      <c r="AS147" s="77">
        <v>43</v>
      </c>
      <c r="AT147" s="72">
        <v>0.77684835402050734</v>
      </c>
      <c r="AU147" s="28">
        <v>3</v>
      </c>
      <c r="AV147" s="75">
        <v>145</v>
      </c>
      <c r="AY147" s="101" t="s">
        <v>1139</v>
      </c>
      <c r="AZ147" s="77" t="s">
        <v>177</v>
      </c>
      <c r="BA147" s="77" t="s">
        <v>1146</v>
      </c>
      <c r="BB147" s="130">
        <v>0.27642276422764228</v>
      </c>
      <c r="BC147" s="72">
        <v>0.35036496350364965</v>
      </c>
      <c r="BD147" s="72">
        <v>0.47967479674796748</v>
      </c>
      <c r="BE147" s="77">
        <v>37</v>
      </c>
      <c r="BF147" s="28">
        <v>123</v>
      </c>
      <c r="BG147" s="28">
        <v>16</v>
      </c>
      <c r="BH147" s="28">
        <v>34</v>
      </c>
      <c r="BI147" s="28">
        <v>8</v>
      </c>
      <c r="BJ147" s="28">
        <v>1</v>
      </c>
      <c r="BK147" s="28">
        <v>5</v>
      </c>
      <c r="BL147" s="28">
        <v>22</v>
      </c>
      <c r="BM147" s="28">
        <v>14</v>
      </c>
      <c r="BN147" s="28">
        <v>34</v>
      </c>
      <c r="BO147" s="77">
        <v>0</v>
      </c>
      <c r="BP147" s="28">
        <v>0</v>
      </c>
      <c r="BQ147" s="28">
        <v>3</v>
      </c>
      <c r="BR147" s="77">
        <v>59</v>
      </c>
      <c r="BS147" s="72">
        <v>0.83003976025161719</v>
      </c>
      <c r="BT147" s="28">
        <v>4</v>
      </c>
      <c r="BU147" s="75">
        <v>145</v>
      </c>
    </row>
    <row r="148" spans="1:73">
      <c r="A148" s="101" t="s">
        <v>1139</v>
      </c>
      <c r="B148" s="71" t="s">
        <v>174</v>
      </c>
      <c r="C148" s="28" t="s">
        <v>1149</v>
      </c>
      <c r="D148" s="72">
        <f>VLOOKUP(Table88[[#This Row],[NAME]],SFG_H[[NAME]:['#]],2,0)</f>
        <v>0.23636363636363636</v>
      </c>
      <c r="E148" s="72">
        <f>VLOOKUP(Table88[[#This Row],[NAME]],SFG_H[[NAME]:['#]],3,0)</f>
        <v>0.32258064516129031</v>
      </c>
      <c r="F148" s="72">
        <f>VLOOKUP(Table88[[#This Row],[NAME]],SFG_H[[NAME]:['#]],4,0)</f>
        <v>0.31818181818181818</v>
      </c>
      <c r="G148" s="77">
        <f>VLOOKUP(Table88[[#This Row],[NAME]],SFG_H[[NAME]:['#]],5,0)</f>
        <v>33</v>
      </c>
      <c r="H148" s="28">
        <f>VLOOKUP(Table88[[#This Row],[NAME]],SFG_H[[NAME]:['#]],6,0)</f>
        <v>110</v>
      </c>
      <c r="I148" s="28">
        <f>VLOOKUP(Table88[[#This Row],[NAME]],SFG_H[[NAME]:['#]],7,0)</f>
        <v>9</v>
      </c>
      <c r="J148" s="28">
        <f>VLOOKUP(Table88[[#This Row],[NAME]],SFG_H[[NAME]:['#]],8,0)</f>
        <v>26</v>
      </c>
      <c r="K148" s="28">
        <f>VLOOKUP(Table88[[#This Row],[NAME]],SFG_H[[NAME]:['#]],9,0)</f>
        <v>3</v>
      </c>
      <c r="L148" s="28">
        <f>VLOOKUP(Table88[[#This Row],[NAME]],SFG_H[[NAME]:['#]],10,0)</f>
        <v>0</v>
      </c>
      <c r="M148" s="28">
        <f>VLOOKUP(Table88[[#This Row],[NAME]],SFG_H[[NAME]:['#]],11,0)</f>
        <v>2</v>
      </c>
      <c r="N148" s="28">
        <f>VLOOKUP(Table88[[#This Row],[NAME]],SFG_H[[NAME]:['#]],12,0)</f>
        <v>10</v>
      </c>
      <c r="O148" s="28">
        <f>VLOOKUP(Table88[[#This Row],[NAME]],SFG_H[[NAME]:['#]],13,0)</f>
        <v>14</v>
      </c>
      <c r="P148" s="28">
        <f>VLOOKUP(Table88[[#This Row],[NAME]],SFG_H[[NAME]:['#]],14,0)</f>
        <v>26</v>
      </c>
      <c r="Q148" s="77">
        <f>VLOOKUP(Table88[[#This Row],[NAME]],SFG_H[[NAME]:['#]],15,0)</f>
        <v>0</v>
      </c>
      <c r="R148" s="28">
        <f>VLOOKUP(Table88[[#This Row],[NAME]],SFG_H[[NAME]:['#]],16,0)</f>
        <v>9</v>
      </c>
      <c r="S148" s="28">
        <f>VLOOKUP(Table88[[#This Row],[NAME]],SFG_H[[NAME]:['#]],17,0)</f>
        <v>9</v>
      </c>
      <c r="T148" s="77">
        <f>VLOOKUP(Table88[[#This Row],[NAME]],SFG_H[[NAME]:['#]],18,0)</f>
        <v>35</v>
      </c>
      <c r="U148" s="72">
        <f>VLOOKUP(Table88[[#This Row],[NAME]],SFG_H[[NAME]:['#]],19,0)</f>
        <v>0.64076246334310849</v>
      </c>
      <c r="V148" s="28">
        <f>VLOOKUP(Table88[[#This Row],[NAME]],SFG_H[[NAME]:['#]],20,0)</f>
        <v>1</v>
      </c>
      <c r="W148" s="75">
        <v>146</v>
      </c>
      <c r="Z148" s="366" t="s">
        <v>1139</v>
      </c>
      <c r="AA148" s="77" t="s">
        <v>174</v>
      </c>
      <c r="AB148" s="77" t="s">
        <v>1142</v>
      </c>
      <c r="AC148" s="130">
        <v>0.2620689655172414</v>
      </c>
      <c r="AD148" s="72">
        <v>0.34756097560975607</v>
      </c>
      <c r="AE148" s="72">
        <v>0.53793103448275859</v>
      </c>
      <c r="AF148" s="77">
        <v>38</v>
      </c>
      <c r="AG148" s="28">
        <v>145</v>
      </c>
      <c r="AH148" s="28">
        <v>25</v>
      </c>
      <c r="AI148" s="28">
        <v>38</v>
      </c>
      <c r="AJ148" s="28">
        <v>8</v>
      </c>
      <c r="AK148" s="28">
        <v>1</v>
      </c>
      <c r="AL148" s="28">
        <v>10</v>
      </c>
      <c r="AM148" s="28">
        <v>27</v>
      </c>
      <c r="AN148" s="28">
        <v>19</v>
      </c>
      <c r="AO148" s="28">
        <v>30</v>
      </c>
      <c r="AP148" s="77">
        <v>0</v>
      </c>
      <c r="AQ148" s="28">
        <v>1</v>
      </c>
      <c r="AR148" s="28">
        <v>5</v>
      </c>
      <c r="AS148" s="77">
        <v>78</v>
      </c>
      <c r="AT148" s="72">
        <v>0.88549201009251466</v>
      </c>
      <c r="AU148" s="28">
        <v>4</v>
      </c>
      <c r="AV148" s="75">
        <v>146</v>
      </c>
      <c r="AY148" s="101" t="s">
        <v>1139</v>
      </c>
      <c r="AZ148" s="352" t="s">
        <v>174</v>
      </c>
      <c r="BA148" s="352" t="s">
        <v>1142</v>
      </c>
      <c r="BB148" s="130">
        <v>0.30303030303030304</v>
      </c>
      <c r="BC148" s="594">
        <v>0.44578313253012047</v>
      </c>
      <c r="BD148" s="594">
        <v>0.6742424242424242</v>
      </c>
      <c r="BE148" s="77">
        <v>38</v>
      </c>
      <c r="BF148" s="28">
        <v>132</v>
      </c>
      <c r="BG148" s="76">
        <v>34</v>
      </c>
      <c r="BH148" s="28">
        <v>40</v>
      </c>
      <c r="BI148" s="28">
        <v>7</v>
      </c>
      <c r="BJ148" s="28">
        <v>0</v>
      </c>
      <c r="BK148" s="28">
        <v>14</v>
      </c>
      <c r="BL148" s="76">
        <v>42</v>
      </c>
      <c r="BM148" s="76">
        <v>34</v>
      </c>
      <c r="BN148" s="28">
        <v>26</v>
      </c>
      <c r="BO148" s="77">
        <v>1</v>
      </c>
      <c r="BP148" s="28">
        <v>0</v>
      </c>
      <c r="BQ148" s="28">
        <v>6</v>
      </c>
      <c r="BR148" s="77">
        <v>89</v>
      </c>
      <c r="BS148" s="594">
        <v>1.1200255567725446</v>
      </c>
      <c r="BT148" s="76">
        <v>9</v>
      </c>
      <c r="BU148" s="75">
        <v>146</v>
      </c>
    </row>
    <row r="149" spans="1:73">
      <c r="A149" s="101" t="s">
        <v>1139</v>
      </c>
      <c r="B149" s="71" t="s">
        <v>383</v>
      </c>
      <c r="C149" s="28" t="s">
        <v>1144</v>
      </c>
      <c r="D149" s="72">
        <f>VLOOKUP(Table88[[#This Row],[NAME]],SFG_H[[NAME]:['#]],2,0)</f>
        <v>0.26874999999999999</v>
      </c>
      <c r="E149" s="72">
        <f>VLOOKUP(Table88[[#This Row],[NAME]],SFG_H[[NAME]:['#]],3,0)</f>
        <v>0.32369942196531792</v>
      </c>
      <c r="F149" s="72">
        <f>VLOOKUP(Table88[[#This Row],[NAME]],SFG_H[[NAME]:['#]],4,0)</f>
        <v>0.375</v>
      </c>
      <c r="G149" s="77">
        <f>VLOOKUP(Table88[[#This Row],[NAME]],SFG_H[[NAME]:['#]],5,0)</f>
        <v>40</v>
      </c>
      <c r="H149" s="28">
        <f>VLOOKUP(Table88[[#This Row],[NAME]],SFG_H[[NAME]:['#]],6,0)</f>
        <v>160</v>
      </c>
      <c r="I149" s="28">
        <f>VLOOKUP(Table88[[#This Row],[NAME]],SFG_H[[NAME]:['#]],7,0)</f>
        <v>19</v>
      </c>
      <c r="J149" s="28">
        <f>VLOOKUP(Table88[[#This Row],[NAME]],SFG_H[[NAME]:['#]],8,0)</f>
        <v>43</v>
      </c>
      <c r="K149" s="28">
        <f>VLOOKUP(Table88[[#This Row],[NAME]],SFG_H[[NAME]:['#]],9,0)</f>
        <v>9</v>
      </c>
      <c r="L149" s="28">
        <f>VLOOKUP(Table88[[#This Row],[NAME]],SFG_H[[NAME]:['#]],10,0)</f>
        <v>4</v>
      </c>
      <c r="M149" s="28">
        <f>VLOOKUP(Table88[[#This Row],[NAME]],SFG_H[[NAME]:['#]],11,0)</f>
        <v>0</v>
      </c>
      <c r="N149" s="28">
        <f>VLOOKUP(Table88[[#This Row],[NAME]],SFG_H[[NAME]:['#]],12,0)</f>
        <v>11</v>
      </c>
      <c r="O149" s="28">
        <f>VLOOKUP(Table88[[#This Row],[NAME]],SFG_H[[NAME]:['#]],13,0)</f>
        <v>13</v>
      </c>
      <c r="P149" s="28">
        <f>VLOOKUP(Table88[[#This Row],[NAME]],SFG_H[[NAME]:['#]],14,0)</f>
        <v>23</v>
      </c>
      <c r="Q149" s="77">
        <f>VLOOKUP(Table88[[#This Row],[NAME]],SFG_H[[NAME]:['#]],15,0)</f>
        <v>0</v>
      </c>
      <c r="R149" s="28">
        <f>VLOOKUP(Table88[[#This Row],[NAME]],SFG_H[[NAME]:['#]],16,0)</f>
        <v>4</v>
      </c>
      <c r="S149" s="28">
        <f>VLOOKUP(Table88[[#This Row],[NAME]],SFG_H[[NAME]:['#]],17,0)</f>
        <v>7</v>
      </c>
      <c r="T149" s="77">
        <f>VLOOKUP(Table88[[#This Row],[NAME]],SFG_H[[NAME]:['#]],18,0)</f>
        <v>60</v>
      </c>
      <c r="U149" s="72">
        <f>VLOOKUP(Table88[[#This Row],[NAME]],SFG_H[[NAME]:['#]],19,0)</f>
        <v>0.69869942196531798</v>
      </c>
      <c r="V149" s="28">
        <f>VLOOKUP(Table88[[#This Row],[NAME]],SFG_H[[NAME]:['#]],20,0)</f>
        <v>1</v>
      </c>
      <c r="W149" s="75">
        <v>147</v>
      </c>
      <c r="Z149" s="366" t="s">
        <v>1139</v>
      </c>
      <c r="AA149" s="77" t="s">
        <v>181</v>
      </c>
      <c r="AB149" s="77" t="s">
        <v>1143</v>
      </c>
      <c r="AC149" s="130">
        <v>0.23333333333333334</v>
      </c>
      <c r="AD149" s="72">
        <v>0.34285714285714286</v>
      </c>
      <c r="AE149" s="72">
        <v>0.40666666666666668</v>
      </c>
      <c r="AF149" s="77">
        <v>39</v>
      </c>
      <c r="AG149" s="28">
        <v>150</v>
      </c>
      <c r="AH149" s="28">
        <v>21</v>
      </c>
      <c r="AI149" s="28">
        <v>35</v>
      </c>
      <c r="AJ149" s="28">
        <v>8</v>
      </c>
      <c r="AK149" s="28">
        <v>0</v>
      </c>
      <c r="AL149" s="28">
        <v>6</v>
      </c>
      <c r="AM149" s="28">
        <v>19</v>
      </c>
      <c r="AN149" s="28">
        <v>25</v>
      </c>
      <c r="AO149" s="28">
        <v>45</v>
      </c>
      <c r="AP149" s="77">
        <v>0</v>
      </c>
      <c r="AQ149" s="28">
        <v>3</v>
      </c>
      <c r="AR149" s="28">
        <v>8</v>
      </c>
      <c r="AS149" s="77">
        <v>61</v>
      </c>
      <c r="AT149" s="72">
        <v>0.74952380952380948</v>
      </c>
      <c r="AU149" s="28">
        <v>3</v>
      </c>
      <c r="AV149" s="75">
        <v>147</v>
      </c>
      <c r="AY149" s="101" t="s">
        <v>1139</v>
      </c>
      <c r="AZ149" s="77" t="s">
        <v>181</v>
      </c>
      <c r="BA149" s="77" t="s">
        <v>1143</v>
      </c>
      <c r="BB149" s="130">
        <v>0.23448275862068965</v>
      </c>
      <c r="BC149" s="72">
        <v>0.26</v>
      </c>
      <c r="BD149" s="72">
        <v>0.44137931034482758</v>
      </c>
      <c r="BE149" s="77">
        <v>39</v>
      </c>
      <c r="BF149" s="28">
        <v>145</v>
      </c>
      <c r="BG149" s="28">
        <v>13</v>
      </c>
      <c r="BH149" s="28">
        <v>34</v>
      </c>
      <c r="BI149" s="28">
        <v>10</v>
      </c>
      <c r="BJ149" s="28">
        <v>1</v>
      </c>
      <c r="BK149" s="28">
        <v>6</v>
      </c>
      <c r="BL149" s="28">
        <v>13</v>
      </c>
      <c r="BM149" s="28">
        <v>5</v>
      </c>
      <c r="BN149" s="28">
        <v>48</v>
      </c>
      <c r="BO149" s="77">
        <v>0</v>
      </c>
      <c r="BP149" s="28">
        <v>5</v>
      </c>
      <c r="BQ149" s="28">
        <v>5</v>
      </c>
      <c r="BR149" s="77">
        <v>64</v>
      </c>
      <c r="BS149" s="72">
        <v>0.70137931034482759</v>
      </c>
      <c r="BT149" s="28">
        <v>1</v>
      </c>
      <c r="BU149" s="75">
        <v>147</v>
      </c>
    </row>
    <row r="150" spans="1:73">
      <c r="A150" s="101" t="s">
        <v>1139</v>
      </c>
      <c r="B150" s="71" t="s">
        <v>166</v>
      </c>
      <c r="C150" s="28" t="s">
        <v>1143</v>
      </c>
      <c r="D150" s="72">
        <f>VLOOKUP(Table88[[#This Row],[NAME]],SFG_H[[NAME]:['#]],2,0)</f>
        <v>0.21917808219178081</v>
      </c>
      <c r="E150" s="72">
        <f>VLOOKUP(Table88[[#This Row],[NAME]],SFG_H[[NAME]:['#]],3,0)</f>
        <v>0.28301886792452829</v>
      </c>
      <c r="F150" s="72">
        <f>VLOOKUP(Table88[[#This Row],[NAME]],SFG_H[[NAME]:['#]],4,0)</f>
        <v>0.4041095890410959</v>
      </c>
      <c r="G150" s="77">
        <f>VLOOKUP(Table88[[#This Row],[NAME]],SFG_H[[NAME]:['#]],5,0)</f>
        <v>40</v>
      </c>
      <c r="H150" s="28">
        <f>VLOOKUP(Table88[[#This Row],[NAME]],SFG_H[[NAME]:['#]],6,0)</f>
        <v>146</v>
      </c>
      <c r="I150" s="28">
        <f>VLOOKUP(Table88[[#This Row],[NAME]],SFG_H[[NAME]:['#]],7,0)</f>
        <v>18</v>
      </c>
      <c r="J150" s="28">
        <f>VLOOKUP(Table88[[#This Row],[NAME]],SFG_H[[NAME]:['#]],8,0)</f>
        <v>32</v>
      </c>
      <c r="K150" s="28">
        <f>VLOOKUP(Table88[[#This Row],[NAME]],SFG_H[[NAME]:['#]],9,0)</f>
        <v>6</v>
      </c>
      <c r="L150" s="28">
        <f>VLOOKUP(Table88[[#This Row],[NAME]],SFG_H[[NAME]:['#]],10,0)</f>
        <v>0</v>
      </c>
      <c r="M150" s="28">
        <f>VLOOKUP(Table88[[#This Row],[NAME]],SFG_H[[NAME]:['#]],11,0)</f>
        <v>7</v>
      </c>
      <c r="N150" s="28">
        <f>VLOOKUP(Table88[[#This Row],[NAME]],SFG_H[[NAME]:['#]],12,0)</f>
        <v>22</v>
      </c>
      <c r="O150" s="28">
        <f>VLOOKUP(Table88[[#This Row],[NAME]],SFG_H[[NAME]:['#]],13,0)</f>
        <v>13</v>
      </c>
      <c r="P150" s="28">
        <f>VLOOKUP(Table88[[#This Row],[NAME]],SFG_H[[NAME]:['#]],14,0)</f>
        <v>47</v>
      </c>
      <c r="Q150" s="77">
        <f>VLOOKUP(Table88[[#This Row],[NAME]],SFG_H[[NAME]:['#]],15,0)</f>
        <v>0</v>
      </c>
      <c r="R150" s="28">
        <f>VLOOKUP(Table88[[#This Row],[NAME]],SFG_H[[NAME]:['#]],16,0)</f>
        <v>5</v>
      </c>
      <c r="S150" s="28">
        <f>VLOOKUP(Table88[[#This Row],[NAME]],SFG_H[[NAME]:['#]],17,0)</f>
        <v>5</v>
      </c>
      <c r="T150" s="77">
        <f>VLOOKUP(Table88[[#This Row],[NAME]],SFG_H[[NAME]:['#]],18,0)</f>
        <v>59</v>
      </c>
      <c r="U150" s="72">
        <f>VLOOKUP(Table88[[#This Row],[NAME]],SFG_H[[NAME]:['#]],19,0)</f>
        <v>0.68712845696562419</v>
      </c>
      <c r="V150" s="28">
        <f>VLOOKUP(Table88[[#This Row],[NAME]],SFG_H[[NAME]:['#]],20,0)</f>
        <v>3</v>
      </c>
      <c r="W150" s="75">
        <v>148</v>
      </c>
      <c r="Z150" s="366" t="s">
        <v>1139</v>
      </c>
      <c r="AA150" s="77" t="s">
        <v>166</v>
      </c>
      <c r="AB150" s="77" t="s">
        <v>1149</v>
      </c>
      <c r="AC150" s="130">
        <v>0.2196969696969697</v>
      </c>
      <c r="AD150" s="72">
        <v>0.27972027972027974</v>
      </c>
      <c r="AE150" s="72">
        <v>0.35606060606060608</v>
      </c>
      <c r="AF150" s="77">
        <v>34</v>
      </c>
      <c r="AG150" s="28">
        <v>132</v>
      </c>
      <c r="AH150" s="28">
        <v>16</v>
      </c>
      <c r="AI150" s="28">
        <v>29</v>
      </c>
      <c r="AJ150" s="28">
        <v>7</v>
      </c>
      <c r="AK150" s="28">
        <v>1</v>
      </c>
      <c r="AL150" s="28">
        <v>3</v>
      </c>
      <c r="AM150" s="28">
        <v>15</v>
      </c>
      <c r="AN150" s="28">
        <v>11</v>
      </c>
      <c r="AO150" s="28">
        <v>32</v>
      </c>
      <c r="AP150" s="77">
        <v>0</v>
      </c>
      <c r="AQ150" s="28">
        <v>0</v>
      </c>
      <c r="AR150" s="28">
        <v>6</v>
      </c>
      <c r="AS150" s="77">
        <v>47</v>
      </c>
      <c r="AT150" s="72">
        <v>0.63578088578088576</v>
      </c>
      <c r="AU150" s="28">
        <v>1</v>
      </c>
      <c r="AV150" s="75">
        <v>148</v>
      </c>
      <c r="AY150" s="101" t="s">
        <v>1139</v>
      </c>
      <c r="AZ150" s="77" t="s">
        <v>166</v>
      </c>
      <c r="BA150" s="77" t="s">
        <v>1149</v>
      </c>
      <c r="BB150" s="130">
        <v>0.22047244094488189</v>
      </c>
      <c r="BC150" s="72">
        <v>0.29285714285714287</v>
      </c>
      <c r="BD150" s="72">
        <v>0.39370078740157483</v>
      </c>
      <c r="BE150" s="77">
        <v>34</v>
      </c>
      <c r="BF150" s="28">
        <v>127</v>
      </c>
      <c r="BG150" s="28">
        <v>24</v>
      </c>
      <c r="BH150" s="28">
        <v>28</v>
      </c>
      <c r="BI150" s="28">
        <v>7</v>
      </c>
      <c r="BJ150" s="28">
        <v>0</v>
      </c>
      <c r="BK150" s="28">
        <v>5</v>
      </c>
      <c r="BL150" s="28">
        <v>8</v>
      </c>
      <c r="BM150" s="28">
        <v>13</v>
      </c>
      <c r="BN150" s="28">
        <v>29</v>
      </c>
      <c r="BO150" s="77">
        <v>0</v>
      </c>
      <c r="BP150" s="28">
        <v>0</v>
      </c>
      <c r="BQ150" s="28">
        <v>6</v>
      </c>
      <c r="BR150" s="77">
        <v>50</v>
      </c>
      <c r="BS150" s="72">
        <v>0.6865579302587177</v>
      </c>
      <c r="BT150" s="28">
        <v>0</v>
      </c>
      <c r="BU150" s="75">
        <v>148</v>
      </c>
    </row>
    <row r="151" spans="1:73">
      <c r="A151" s="101" t="s">
        <v>1139</v>
      </c>
      <c r="B151" s="71" t="s">
        <v>168</v>
      </c>
      <c r="C151" s="28" t="s">
        <v>1145</v>
      </c>
      <c r="D151" s="72">
        <f>VLOOKUP(Table88[[#This Row],[NAME]],SFG_H[[NAME]:['#]],2,0)</f>
        <v>0.20289855072463769</v>
      </c>
      <c r="E151" s="72">
        <f>VLOOKUP(Table88[[#This Row],[NAME]],SFG_H[[NAME]:['#]],3,0)</f>
        <v>0.29487179487179488</v>
      </c>
      <c r="F151" s="72">
        <f>VLOOKUP(Table88[[#This Row],[NAME]],SFG_H[[NAME]:['#]],4,0)</f>
        <v>0.30434782608695654</v>
      </c>
      <c r="G151" s="77">
        <f>VLOOKUP(Table88[[#This Row],[NAME]],SFG_H[[NAME]:['#]],5,0)</f>
        <v>37</v>
      </c>
      <c r="H151" s="28">
        <f>VLOOKUP(Table88[[#This Row],[NAME]],SFG_H[[NAME]:['#]],6,0)</f>
        <v>138</v>
      </c>
      <c r="I151" s="28">
        <f>VLOOKUP(Table88[[#This Row],[NAME]],SFG_H[[NAME]:['#]],7,0)</f>
        <v>9</v>
      </c>
      <c r="J151" s="28">
        <f>VLOOKUP(Table88[[#This Row],[NAME]],SFG_H[[NAME]:['#]],8,0)</f>
        <v>28</v>
      </c>
      <c r="K151" s="28">
        <f>VLOOKUP(Table88[[#This Row],[NAME]],SFG_H[[NAME]:['#]],9,0)</f>
        <v>3</v>
      </c>
      <c r="L151" s="28">
        <f>VLOOKUP(Table88[[#This Row],[NAME]],SFG_H[[NAME]:['#]],10,0)</f>
        <v>1</v>
      </c>
      <c r="M151" s="28">
        <f>VLOOKUP(Table88[[#This Row],[NAME]],SFG_H[[NAME]:['#]],11,0)</f>
        <v>3</v>
      </c>
      <c r="N151" s="28">
        <f>VLOOKUP(Table88[[#This Row],[NAME]],SFG_H[[NAME]:['#]],12,0)</f>
        <v>14</v>
      </c>
      <c r="O151" s="28">
        <f>VLOOKUP(Table88[[#This Row],[NAME]],SFG_H[[NAME]:['#]],13,0)</f>
        <v>18</v>
      </c>
      <c r="P151" s="28">
        <f>VLOOKUP(Table88[[#This Row],[NAME]],SFG_H[[NAME]:['#]],14,0)</f>
        <v>28</v>
      </c>
      <c r="Q151" s="77">
        <f>VLOOKUP(Table88[[#This Row],[NAME]],SFG_H[[NAME]:['#]],15,0)</f>
        <v>0</v>
      </c>
      <c r="R151" s="28">
        <f>VLOOKUP(Table88[[#This Row],[NAME]],SFG_H[[NAME]:['#]],16,0)</f>
        <v>0</v>
      </c>
      <c r="S151" s="28">
        <f>VLOOKUP(Table88[[#This Row],[NAME]],SFG_H[[NAME]:['#]],17,0)</f>
        <v>4</v>
      </c>
      <c r="T151" s="77">
        <f>VLOOKUP(Table88[[#This Row],[NAME]],SFG_H[[NAME]:['#]],18,0)</f>
        <v>42</v>
      </c>
      <c r="U151" s="72">
        <f>VLOOKUP(Table88[[#This Row],[NAME]],SFG_H[[NAME]:['#]],19,0)</f>
        <v>0.59921962095875148</v>
      </c>
      <c r="V151" s="28">
        <f>VLOOKUP(Table88[[#This Row],[NAME]],SFG_H[[NAME]:['#]],20,0)</f>
        <v>0</v>
      </c>
      <c r="W151" s="75">
        <v>149</v>
      </c>
      <c r="Z151" s="366" t="s">
        <v>1139</v>
      </c>
      <c r="AA151" s="77" t="s">
        <v>168</v>
      </c>
      <c r="AB151" s="77" t="s">
        <v>1145</v>
      </c>
      <c r="AC151" s="130">
        <v>0.30519480519480519</v>
      </c>
      <c r="AD151" s="72">
        <v>0.36309523809523808</v>
      </c>
      <c r="AE151" s="72">
        <v>0.48051948051948051</v>
      </c>
      <c r="AF151" s="77">
        <v>38</v>
      </c>
      <c r="AG151" s="28">
        <v>154</v>
      </c>
      <c r="AH151" s="28">
        <v>27</v>
      </c>
      <c r="AI151" s="28">
        <v>47</v>
      </c>
      <c r="AJ151" s="28">
        <v>8</v>
      </c>
      <c r="AK151" s="28">
        <v>2</v>
      </c>
      <c r="AL151" s="28">
        <v>5</v>
      </c>
      <c r="AM151" s="28">
        <v>21</v>
      </c>
      <c r="AN151" s="28">
        <v>14</v>
      </c>
      <c r="AO151" s="28">
        <v>30</v>
      </c>
      <c r="AP151" s="77">
        <v>0</v>
      </c>
      <c r="AQ151" s="28">
        <v>2</v>
      </c>
      <c r="AR151" s="28">
        <v>11</v>
      </c>
      <c r="AS151" s="77">
        <v>74</v>
      </c>
      <c r="AT151" s="72">
        <v>0.8436147186147186</v>
      </c>
      <c r="AU151" s="28">
        <v>5</v>
      </c>
      <c r="AV151" s="75">
        <v>149</v>
      </c>
      <c r="AY151" s="101" t="s">
        <v>1139</v>
      </c>
      <c r="AZ151" s="77" t="s">
        <v>168</v>
      </c>
      <c r="BA151" s="77" t="s">
        <v>1145</v>
      </c>
      <c r="BB151" s="130">
        <v>0.23684210526315788</v>
      </c>
      <c r="BC151" s="72">
        <v>0.32163742690058478</v>
      </c>
      <c r="BD151" s="72">
        <v>0.41447368421052633</v>
      </c>
      <c r="BE151" s="77">
        <v>39</v>
      </c>
      <c r="BF151" s="28">
        <v>152</v>
      </c>
      <c r="BG151" s="28">
        <v>28</v>
      </c>
      <c r="BH151" s="28">
        <v>36</v>
      </c>
      <c r="BI151" s="28">
        <v>7</v>
      </c>
      <c r="BJ151" s="28">
        <v>1</v>
      </c>
      <c r="BK151" s="28">
        <v>6</v>
      </c>
      <c r="BL151" s="28">
        <v>15</v>
      </c>
      <c r="BM151" s="28">
        <v>19</v>
      </c>
      <c r="BN151" s="28">
        <v>26</v>
      </c>
      <c r="BO151" s="77">
        <v>0</v>
      </c>
      <c r="BP151" s="28">
        <v>0</v>
      </c>
      <c r="BQ151" s="28">
        <v>5</v>
      </c>
      <c r="BR151" s="77">
        <v>63</v>
      </c>
      <c r="BS151" s="72">
        <v>0.73611111111111116</v>
      </c>
      <c r="BT151" s="28">
        <v>1</v>
      </c>
      <c r="BU151" s="75">
        <v>149</v>
      </c>
    </row>
    <row r="152" spans="1:73">
      <c r="A152" s="101" t="s">
        <v>1139</v>
      </c>
      <c r="B152" s="71" t="s">
        <v>179</v>
      </c>
      <c r="C152" s="28" t="s">
        <v>1152</v>
      </c>
      <c r="D152" s="72">
        <f>VLOOKUP(Table88[[#This Row],[NAME]],SFG_H[[NAME]:['#]],2,0)</f>
        <v>0.34375</v>
      </c>
      <c r="E152" s="72">
        <f>VLOOKUP(Table88[[#This Row],[NAME]],SFG_H[[NAME]:['#]],3,0)</f>
        <v>0.36363636363636365</v>
      </c>
      <c r="F152" s="72">
        <f>VLOOKUP(Table88[[#This Row],[NAME]],SFG_H[[NAME]:['#]],4,0)</f>
        <v>0.65625</v>
      </c>
      <c r="G152" s="77">
        <f>VLOOKUP(Table88[[#This Row],[NAME]],SFG_H[[NAME]:['#]],5,0)</f>
        <v>10</v>
      </c>
      <c r="H152" s="28">
        <f>VLOOKUP(Table88[[#This Row],[NAME]],SFG_H[[NAME]:['#]],6,0)</f>
        <v>32</v>
      </c>
      <c r="I152" s="28">
        <f>VLOOKUP(Table88[[#This Row],[NAME]],SFG_H[[NAME]:['#]],7,0)</f>
        <v>5</v>
      </c>
      <c r="J152" s="28">
        <f>VLOOKUP(Table88[[#This Row],[NAME]],SFG_H[[NAME]:['#]],8,0)</f>
        <v>11</v>
      </c>
      <c r="K152" s="28">
        <f>VLOOKUP(Table88[[#This Row],[NAME]],SFG_H[[NAME]:['#]],9,0)</f>
        <v>1</v>
      </c>
      <c r="L152" s="28">
        <f>VLOOKUP(Table88[[#This Row],[NAME]],SFG_H[[NAME]:['#]],10,0)</f>
        <v>0</v>
      </c>
      <c r="M152" s="28">
        <f>VLOOKUP(Table88[[#This Row],[NAME]],SFG_H[[NAME]:['#]],11,0)</f>
        <v>3</v>
      </c>
      <c r="N152" s="28">
        <f>VLOOKUP(Table88[[#This Row],[NAME]],SFG_H[[NAME]:['#]],12,0)</f>
        <v>6</v>
      </c>
      <c r="O152" s="28">
        <f>VLOOKUP(Table88[[#This Row],[NAME]],SFG_H[[NAME]:['#]],13,0)</f>
        <v>1</v>
      </c>
      <c r="P152" s="28">
        <f>VLOOKUP(Table88[[#This Row],[NAME]],SFG_H[[NAME]:['#]],14,0)</f>
        <v>5</v>
      </c>
      <c r="Q152" s="77">
        <f>VLOOKUP(Table88[[#This Row],[NAME]],SFG_H[[NAME]:['#]],15,0)</f>
        <v>0</v>
      </c>
      <c r="R152" s="28">
        <f>VLOOKUP(Table88[[#This Row],[NAME]],SFG_H[[NAME]:['#]],16,0)</f>
        <v>0</v>
      </c>
      <c r="S152" s="28">
        <f>VLOOKUP(Table88[[#This Row],[NAME]],SFG_H[[NAME]:['#]],17,0)</f>
        <v>6</v>
      </c>
      <c r="T152" s="77">
        <f>VLOOKUP(Table88[[#This Row],[NAME]],SFG_H[[NAME]:['#]],18,0)</f>
        <v>21</v>
      </c>
      <c r="U152" s="72">
        <f>VLOOKUP(Table88[[#This Row],[NAME]],SFG_H[[NAME]:['#]],19,0)</f>
        <v>1.0198863636363638</v>
      </c>
      <c r="V152" s="28">
        <f>VLOOKUP(Table88[[#This Row],[NAME]],SFG_H[[NAME]:['#]],20,0)</f>
        <v>1</v>
      </c>
      <c r="W152" s="75">
        <v>150</v>
      </c>
      <c r="Z152" s="366" t="s">
        <v>1139</v>
      </c>
      <c r="AA152" s="77" t="s">
        <v>179</v>
      </c>
      <c r="AB152" s="77" t="s">
        <v>1152</v>
      </c>
      <c r="AC152" s="130">
        <v>0.3</v>
      </c>
      <c r="AD152" s="72">
        <v>0.36363636363636365</v>
      </c>
      <c r="AE152" s="72">
        <v>0.6333333333333333</v>
      </c>
      <c r="AF152" s="77">
        <v>9</v>
      </c>
      <c r="AG152" s="28">
        <v>30</v>
      </c>
      <c r="AH152" s="28">
        <v>5</v>
      </c>
      <c r="AI152" s="28">
        <v>9</v>
      </c>
      <c r="AJ152" s="28">
        <v>4</v>
      </c>
      <c r="AK152" s="28">
        <v>0</v>
      </c>
      <c r="AL152" s="28">
        <v>2</v>
      </c>
      <c r="AM152" s="28">
        <v>6</v>
      </c>
      <c r="AN152" s="28">
        <v>3</v>
      </c>
      <c r="AO152" s="28">
        <v>9</v>
      </c>
      <c r="AP152" s="77">
        <v>0</v>
      </c>
      <c r="AQ152" s="28">
        <v>0</v>
      </c>
      <c r="AR152" s="28">
        <v>4</v>
      </c>
      <c r="AS152" s="77">
        <v>19</v>
      </c>
      <c r="AT152" s="72">
        <v>0.99696969696969695</v>
      </c>
      <c r="AU152" s="28">
        <v>0</v>
      </c>
      <c r="AV152" s="75">
        <v>150</v>
      </c>
      <c r="AY152" s="101" t="s">
        <v>1139</v>
      </c>
      <c r="AZ152" s="77" t="s">
        <v>179</v>
      </c>
      <c r="BA152" s="77" t="s">
        <v>1152</v>
      </c>
      <c r="BB152" s="130">
        <v>0.19444444444444445</v>
      </c>
      <c r="BC152" s="72">
        <v>0.19444444444444445</v>
      </c>
      <c r="BD152" s="72">
        <v>0.27777777777777779</v>
      </c>
      <c r="BE152" s="77">
        <v>11</v>
      </c>
      <c r="BF152" s="28">
        <v>36</v>
      </c>
      <c r="BG152" s="28">
        <v>3</v>
      </c>
      <c r="BH152" s="28">
        <v>7</v>
      </c>
      <c r="BI152" s="28">
        <v>1</v>
      </c>
      <c r="BJ152" s="28">
        <v>1</v>
      </c>
      <c r="BK152" s="28">
        <v>0</v>
      </c>
      <c r="BL152" s="28">
        <v>1</v>
      </c>
      <c r="BM152" s="28">
        <v>0</v>
      </c>
      <c r="BN152" s="28">
        <v>9</v>
      </c>
      <c r="BO152" s="77">
        <v>0</v>
      </c>
      <c r="BP152" s="28">
        <v>2</v>
      </c>
      <c r="BQ152" s="28">
        <v>2</v>
      </c>
      <c r="BR152" s="77">
        <v>10</v>
      </c>
      <c r="BS152" s="72">
        <v>0.47222222222222221</v>
      </c>
      <c r="BT152" s="28">
        <v>0</v>
      </c>
      <c r="BU152" s="75">
        <v>150</v>
      </c>
    </row>
    <row r="153" spans="1:73">
      <c r="A153" s="101" t="s">
        <v>1139</v>
      </c>
      <c r="B153" s="71" t="s">
        <v>192</v>
      </c>
      <c r="C153" s="28" t="s">
        <v>1157</v>
      </c>
      <c r="D153" s="72">
        <f>VLOOKUP(Table88[[#This Row],[NAME]],SFG_H[[NAME]:['#]],2,0)</f>
        <v>0.27272727272727271</v>
      </c>
      <c r="E153" s="72">
        <f>VLOOKUP(Table88[[#This Row],[NAME]],SFG_H[[NAME]:['#]],3,0)</f>
        <v>0.27272727272727271</v>
      </c>
      <c r="F153" s="72">
        <f>VLOOKUP(Table88[[#This Row],[NAME]],SFG_H[[NAME]:['#]],4,0)</f>
        <v>0.63636363636363635</v>
      </c>
      <c r="G153" s="77">
        <f>VLOOKUP(Table88[[#This Row],[NAME]],SFG_H[[NAME]:['#]],5,0)</f>
        <v>4</v>
      </c>
      <c r="H153" s="28">
        <f>VLOOKUP(Table88[[#This Row],[NAME]],SFG_H[[NAME]:['#]],6,0)</f>
        <v>11</v>
      </c>
      <c r="I153" s="28">
        <f>VLOOKUP(Table88[[#This Row],[NAME]],SFG_H[[NAME]:['#]],7,0)</f>
        <v>2</v>
      </c>
      <c r="J153" s="28">
        <f>VLOOKUP(Table88[[#This Row],[NAME]],SFG_H[[NAME]:['#]],8,0)</f>
        <v>3</v>
      </c>
      <c r="K153" s="28">
        <f>VLOOKUP(Table88[[#This Row],[NAME]],SFG_H[[NAME]:['#]],9,0)</f>
        <v>1</v>
      </c>
      <c r="L153" s="28">
        <f>VLOOKUP(Table88[[#This Row],[NAME]],SFG_H[[NAME]:['#]],10,0)</f>
        <v>0</v>
      </c>
      <c r="M153" s="28">
        <f>VLOOKUP(Table88[[#This Row],[NAME]],SFG_H[[NAME]:['#]],11,0)</f>
        <v>1</v>
      </c>
      <c r="N153" s="28">
        <f>VLOOKUP(Table88[[#This Row],[NAME]],SFG_H[[NAME]:['#]],12,0)</f>
        <v>1</v>
      </c>
      <c r="O153" s="28">
        <f>VLOOKUP(Table88[[#This Row],[NAME]],SFG_H[[NAME]:['#]],13,0)</f>
        <v>0</v>
      </c>
      <c r="P153" s="28">
        <f>VLOOKUP(Table88[[#This Row],[NAME]],SFG_H[[NAME]:['#]],14,0)</f>
        <v>4</v>
      </c>
      <c r="Q153" s="77">
        <f>VLOOKUP(Table88[[#This Row],[NAME]],SFG_H[[NAME]:['#]],15,0)</f>
        <v>0</v>
      </c>
      <c r="R153" s="28">
        <f>VLOOKUP(Table88[[#This Row],[NAME]],SFG_H[[NAME]:['#]],16,0)</f>
        <v>2</v>
      </c>
      <c r="S153" s="28">
        <f>VLOOKUP(Table88[[#This Row],[NAME]],SFG_H[[NAME]:['#]],17,0)</f>
        <v>2</v>
      </c>
      <c r="T153" s="77">
        <f>VLOOKUP(Table88[[#This Row],[NAME]],SFG_H[[NAME]:['#]],18,0)</f>
        <v>7</v>
      </c>
      <c r="U153" s="72">
        <f>VLOOKUP(Table88[[#This Row],[NAME]],SFG_H[[NAME]:['#]],19,0)</f>
        <v>0.90909090909090906</v>
      </c>
      <c r="V153" s="28">
        <f>VLOOKUP(Table88[[#This Row],[NAME]],SFG_H[[NAME]:['#]],20,0)</f>
        <v>0</v>
      </c>
      <c r="W153" s="75">
        <v>151</v>
      </c>
      <c r="Z153" s="366" t="s">
        <v>1139</v>
      </c>
      <c r="AA153" s="77" t="s">
        <v>187</v>
      </c>
      <c r="AB153" s="77" t="s">
        <v>1150</v>
      </c>
      <c r="AC153" s="130">
        <v>0.16666666666666666</v>
      </c>
      <c r="AD153" s="72">
        <v>0.2857142857142857</v>
      </c>
      <c r="AE153" s="72">
        <v>0.16666666666666666</v>
      </c>
      <c r="AF153" s="77">
        <v>7</v>
      </c>
      <c r="AG153" s="28">
        <v>18</v>
      </c>
      <c r="AH153" s="28">
        <v>1</v>
      </c>
      <c r="AI153" s="28">
        <v>3</v>
      </c>
      <c r="AJ153" s="28">
        <v>0</v>
      </c>
      <c r="AK153" s="28">
        <v>0</v>
      </c>
      <c r="AL153" s="28">
        <v>0</v>
      </c>
      <c r="AM153" s="28">
        <v>1</v>
      </c>
      <c r="AN153" s="28">
        <v>3</v>
      </c>
      <c r="AO153" s="28">
        <v>3</v>
      </c>
      <c r="AP153" s="77">
        <v>0</v>
      </c>
      <c r="AQ153" s="28">
        <v>3</v>
      </c>
      <c r="AR153" s="28">
        <v>3</v>
      </c>
      <c r="AS153" s="77">
        <v>3</v>
      </c>
      <c r="AT153" s="72">
        <v>0.45238095238095233</v>
      </c>
      <c r="AU153" s="28">
        <v>0</v>
      </c>
      <c r="AV153" s="75">
        <v>151</v>
      </c>
      <c r="AY153" s="101" t="s">
        <v>1139</v>
      </c>
      <c r="AZ153" s="77" t="s">
        <v>187</v>
      </c>
      <c r="BA153" s="77" t="s">
        <v>1148</v>
      </c>
      <c r="BB153" s="130">
        <v>0.25423728813559321</v>
      </c>
      <c r="BC153" s="72">
        <v>0.33333333333333331</v>
      </c>
      <c r="BD153" s="72">
        <v>0.38983050847457629</v>
      </c>
      <c r="BE153" s="77">
        <v>20</v>
      </c>
      <c r="BF153" s="28">
        <v>59</v>
      </c>
      <c r="BG153" s="28">
        <v>6</v>
      </c>
      <c r="BH153" s="28">
        <v>15</v>
      </c>
      <c r="BI153" s="28">
        <v>2</v>
      </c>
      <c r="BJ153" s="28">
        <v>0</v>
      </c>
      <c r="BK153" s="28">
        <v>2</v>
      </c>
      <c r="BL153" s="28">
        <v>12</v>
      </c>
      <c r="BM153" s="28">
        <v>7</v>
      </c>
      <c r="BN153" s="28">
        <v>7</v>
      </c>
      <c r="BO153" s="77">
        <v>0</v>
      </c>
      <c r="BP153" s="28">
        <v>1</v>
      </c>
      <c r="BQ153" s="28">
        <v>5</v>
      </c>
      <c r="BR153" s="77">
        <v>23</v>
      </c>
      <c r="BS153" s="72">
        <v>0.7231638418079096</v>
      </c>
      <c r="BT153" s="28">
        <v>1</v>
      </c>
      <c r="BU153" s="75">
        <v>151</v>
      </c>
    </row>
    <row r="154" spans="1:73">
      <c r="A154" s="101" t="s">
        <v>1139</v>
      </c>
      <c r="B154" s="71" t="s">
        <v>187</v>
      </c>
      <c r="C154" s="28" t="s">
        <v>1148</v>
      </c>
      <c r="D154" s="72">
        <f>VLOOKUP(Table88[[#This Row],[NAME]],SFG_H[[NAME]:['#]],2,0)</f>
        <v>0.1891891891891892</v>
      </c>
      <c r="E154" s="72">
        <f>VLOOKUP(Table88[[#This Row],[NAME]],SFG_H[[NAME]:['#]],3,0)</f>
        <v>0.23076923076923078</v>
      </c>
      <c r="F154" s="72">
        <f>VLOOKUP(Table88[[#This Row],[NAME]],SFG_H[[NAME]:['#]],4,0)</f>
        <v>0.3783783783783784</v>
      </c>
      <c r="G154" s="77">
        <f>VLOOKUP(Table88[[#This Row],[NAME]],SFG_H[[NAME]:['#]],5,0)</f>
        <v>10</v>
      </c>
      <c r="H154" s="28">
        <f>VLOOKUP(Table88[[#This Row],[NAME]],SFG_H[[NAME]:['#]],6,0)</f>
        <v>37</v>
      </c>
      <c r="I154" s="28">
        <f>VLOOKUP(Table88[[#This Row],[NAME]],SFG_H[[NAME]:['#]],7,0)</f>
        <v>4</v>
      </c>
      <c r="J154" s="28">
        <f>VLOOKUP(Table88[[#This Row],[NAME]],SFG_H[[NAME]:['#]],8,0)</f>
        <v>7</v>
      </c>
      <c r="K154" s="28">
        <f>VLOOKUP(Table88[[#This Row],[NAME]],SFG_H[[NAME]:['#]],9,0)</f>
        <v>1</v>
      </c>
      <c r="L154" s="28">
        <f>VLOOKUP(Table88[[#This Row],[NAME]],SFG_H[[NAME]:['#]],10,0)</f>
        <v>0</v>
      </c>
      <c r="M154" s="28">
        <f>VLOOKUP(Table88[[#This Row],[NAME]],SFG_H[[NAME]:['#]],11,0)</f>
        <v>2</v>
      </c>
      <c r="N154" s="28">
        <f>VLOOKUP(Table88[[#This Row],[NAME]],SFG_H[[NAME]:['#]],12,0)</f>
        <v>3</v>
      </c>
      <c r="O154" s="28">
        <f>VLOOKUP(Table88[[#This Row],[NAME]],SFG_H[[NAME]:['#]],13,0)</f>
        <v>2</v>
      </c>
      <c r="P154" s="28">
        <f>VLOOKUP(Table88[[#This Row],[NAME]],SFG_H[[NAME]:['#]],14,0)</f>
        <v>8</v>
      </c>
      <c r="Q154" s="77">
        <f>VLOOKUP(Table88[[#This Row],[NAME]],SFG_H[[NAME]:['#]],15,0)</f>
        <v>0</v>
      </c>
      <c r="R154" s="28">
        <f>VLOOKUP(Table88[[#This Row],[NAME]],SFG_H[[NAME]:['#]],16,0)</f>
        <v>1</v>
      </c>
      <c r="S154" s="28">
        <f>VLOOKUP(Table88[[#This Row],[NAME]],SFG_H[[NAME]:['#]],17,0)</f>
        <v>4</v>
      </c>
      <c r="T154" s="77">
        <f>VLOOKUP(Table88[[#This Row],[NAME]],SFG_H[[NAME]:['#]],18,0)</f>
        <v>14</v>
      </c>
      <c r="U154" s="72">
        <f>VLOOKUP(Table88[[#This Row],[NAME]],SFG_H[[NAME]:['#]],19,0)</f>
        <v>0.60914760914760913</v>
      </c>
      <c r="V154" s="28">
        <f>VLOOKUP(Table88[[#This Row],[NAME]],SFG_H[[NAME]:['#]],20,0)</f>
        <v>1</v>
      </c>
      <c r="W154" s="75">
        <v>152</v>
      </c>
      <c r="Z154" s="366" t="s">
        <v>1139</v>
      </c>
      <c r="AA154" s="77" t="s">
        <v>2169</v>
      </c>
      <c r="AB154" s="77" t="s">
        <v>1153</v>
      </c>
      <c r="AC154" s="130">
        <v>0.13636363636363635</v>
      </c>
      <c r="AD154" s="72">
        <v>0.20833333333333334</v>
      </c>
      <c r="AE154" s="72">
        <v>0.20454545454545456</v>
      </c>
      <c r="AF154" s="77">
        <v>15</v>
      </c>
      <c r="AG154" s="28">
        <v>44</v>
      </c>
      <c r="AH154" s="28">
        <v>3</v>
      </c>
      <c r="AI154" s="28">
        <v>6</v>
      </c>
      <c r="AJ154" s="28">
        <v>0</v>
      </c>
      <c r="AK154" s="28">
        <v>0</v>
      </c>
      <c r="AL154" s="28">
        <v>1</v>
      </c>
      <c r="AM154" s="28">
        <v>5</v>
      </c>
      <c r="AN154" s="28">
        <v>4</v>
      </c>
      <c r="AO154" s="28">
        <v>9</v>
      </c>
      <c r="AP154" s="77">
        <v>0</v>
      </c>
      <c r="AQ154" s="28">
        <v>2</v>
      </c>
      <c r="AR154" s="28">
        <v>2</v>
      </c>
      <c r="AS154" s="77">
        <v>9</v>
      </c>
      <c r="AT154" s="72">
        <v>0.4128787878787879</v>
      </c>
      <c r="AU154" s="28">
        <v>0</v>
      </c>
      <c r="AV154" s="75">
        <v>152</v>
      </c>
      <c r="AY154" s="101" t="s">
        <v>1139</v>
      </c>
      <c r="AZ154" s="77" t="s">
        <v>187</v>
      </c>
      <c r="BA154" s="77" t="s">
        <v>1153</v>
      </c>
      <c r="BB154" s="130">
        <v>0.22641509433962265</v>
      </c>
      <c r="BC154" s="72">
        <v>0.26785714285714285</v>
      </c>
      <c r="BD154" s="72">
        <v>0.26415094339622641</v>
      </c>
      <c r="BE154" s="77">
        <v>18</v>
      </c>
      <c r="BF154" s="28">
        <v>53</v>
      </c>
      <c r="BG154" s="28">
        <v>2</v>
      </c>
      <c r="BH154" s="28">
        <v>12</v>
      </c>
      <c r="BI154" s="28">
        <v>2</v>
      </c>
      <c r="BJ154" s="28">
        <v>0</v>
      </c>
      <c r="BK154" s="28">
        <v>0</v>
      </c>
      <c r="BL154" s="28">
        <v>2</v>
      </c>
      <c r="BM154" s="28">
        <v>3</v>
      </c>
      <c r="BN154" s="28">
        <v>10</v>
      </c>
      <c r="BO154" s="77">
        <v>0</v>
      </c>
      <c r="BP154" s="28">
        <v>2</v>
      </c>
      <c r="BQ154" s="28">
        <v>4</v>
      </c>
      <c r="BR154" s="77">
        <v>14</v>
      </c>
      <c r="BS154" s="72">
        <v>0.53200808625336926</v>
      </c>
      <c r="BT154" s="28">
        <v>0</v>
      </c>
      <c r="BU154" s="75">
        <v>152</v>
      </c>
    </row>
    <row r="155" spans="1:73">
      <c r="A155" s="101" t="s">
        <v>1139</v>
      </c>
      <c r="B155" s="71" t="s">
        <v>187</v>
      </c>
      <c r="C155" s="28" t="s">
        <v>1151</v>
      </c>
      <c r="D155" s="72">
        <f>VLOOKUP(Table88[[#This Row],[NAME]],SFG_H[[NAME]:['#]],2,0)</f>
        <v>0.30508474576271188</v>
      </c>
      <c r="E155" s="72">
        <f>VLOOKUP(Table88[[#This Row],[NAME]],SFG_H[[NAME]:['#]],3,0)</f>
        <v>0.32786885245901637</v>
      </c>
      <c r="F155" s="72">
        <f>VLOOKUP(Table88[[#This Row],[NAME]],SFG_H[[NAME]:['#]],4,0)</f>
        <v>0.5423728813559322</v>
      </c>
      <c r="G155" s="77">
        <f>VLOOKUP(Table88[[#This Row],[NAME]],SFG_H[[NAME]:['#]],5,0)</f>
        <v>17</v>
      </c>
      <c r="H155" s="28">
        <f>VLOOKUP(Table88[[#This Row],[NAME]],SFG_H[[NAME]:['#]],6,0)</f>
        <v>59</v>
      </c>
      <c r="I155" s="28">
        <f>VLOOKUP(Table88[[#This Row],[NAME]],SFG_H[[NAME]:['#]],7,0)</f>
        <v>7</v>
      </c>
      <c r="J155" s="28">
        <f>VLOOKUP(Table88[[#This Row],[NAME]],SFG_H[[NAME]:['#]],8,0)</f>
        <v>18</v>
      </c>
      <c r="K155" s="28">
        <f>VLOOKUP(Table88[[#This Row],[NAME]],SFG_H[[NAME]:['#]],9,0)</f>
        <v>6</v>
      </c>
      <c r="L155" s="28">
        <f>VLOOKUP(Table88[[#This Row],[NAME]],SFG_H[[NAME]:['#]],10,0)</f>
        <v>1</v>
      </c>
      <c r="M155" s="28">
        <f>VLOOKUP(Table88[[#This Row],[NAME]],SFG_H[[NAME]:['#]],11,0)</f>
        <v>2</v>
      </c>
      <c r="N155" s="28">
        <f>VLOOKUP(Table88[[#This Row],[NAME]],SFG_H[[NAME]:['#]],12,0)</f>
        <v>11</v>
      </c>
      <c r="O155" s="28">
        <f>VLOOKUP(Table88[[#This Row],[NAME]],SFG_H[[NAME]:['#]],13,0)</f>
        <v>2</v>
      </c>
      <c r="P155" s="28">
        <f>VLOOKUP(Table88[[#This Row],[NAME]],SFG_H[[NAME]:['#]],14,0)</f>
        <v>17</v>
      </c>
      <c r="Q155" s="77">
        <f>VLOOKUP(Table88[[#This Row],[NAME]],SFG_H[[NAME]:['#]],15,0)</f>
        <v>0</v>
      </c>
      <c r="R155" s="28">
        <f>VLOOKUP(Table88[[#This Row],[NAME]],SFG_H[[NAME]:['#]],16,0)</f>
        <v>0</v>
      </c>
      <c r="S155" s="28">
        <f>VLOOKUP(Table88[[#This Row],[NAME]],SFG_H[[NAME]:['#]],17,0)</f>
        <v>5</v>
      </c>
      <c r="T155" s="77">
        <f>VLOOKUP(Table88[[#This Row],[NAME]],SFG_H[[NAME]:['#]],18,0)</f>
        <v>32</v>
      </c>
      <c r="U155" s="72">
        <f>VLOOKUP(Table88[[#This Row],[NAME]],SFG_H[[NAME]:['#]],19,0)</f>
        <v>0.87024173381494863</v>
      </c>
      <c r="V155" s="28">
        <f>VLOOKUP(Table88[[#This Row],[NAME]],SFG_H[[NAME]:['#]],20,0)</f>
        <v>2</v>
      </c>
      <c r="W155" s="75">
        <v>153</v>
      </c>
      <c r="Z155" s="366" t="s">
        <v>1139</v>
      </c>
      <c r="AA155" s="77" t="s">
        <v>192</v>
      </c>
      <c r="AB155" s="77" t="s">
        <v>1151</v>
      </c>
      <c r="AC155" s="130">
        <v>0.14814814814814814</v>
      </c>
      <c r="AD155" s="72">
        <v>0.28125</v>
      </c>
      <c r="AE155" s="72">
        <v>0.18518518518518517</v>
      </c>
      <c r="AF155" s="77">
        <v>10</v>
      </c>
      <c r="AG155" s="28">
        <v>27</v>
      </c>
      <c r="AH155" s="28">
        <v>3</v>
      </c>
      <c r="AI155" s="28">
        <v>4</v>
      </c>
      <c r="AJ155" s="28">
        <v>1</v>
      </c>
      <c r="AK155" s="28">
        <v>0</v>
      </c>
      <c r="AL155" s="28">
        <v>0</v>
      </c>
      <c r="AM155" s="28">
        <v>2</v>
      </c>
      <c r="AN155" s="28">
        <v>5</v>
      </c>
      <c r="AO155" s="28">
        <v>8</v>
      </c>
      <c r="AP155" s="77">
        <v>0</v>
      </c>
      <c r="AQ155" s="28">
        <v>2</v>
      </c>
      <c r="AR155" s="28">
        <v>2</v>
      </c>
      <c r="AS155" s="77">
        <v>5</v>
      </c>
      <c r="AT155" s="72">
        <v>0.46643518518518517</v>
      </c>
      <c r="AU155" s="28">
        <v>0</v>
      </c>
      <c r="AV155" s="75">
        <v>153</v>
      </c>
      <c r="AY155" s="101" t="s">
        <v>1139</v>
      </c>
      <c r="AZ155" s="77" t="s">
        <v>186</v>
      </c>
      <c r="BA155" s="77" t="s">
        <v>1154</v>
      </c>
      <c r="BB155" s="130">
        <v>0.25</v>
      </c>
      <c r="BC155" s="72">
        <v>0.3125</v>
      </c>
      <c r="BD155" s="72">
        <v>0.47727272727272729</v>
      </c>
      <c r="BE155" s="77">
        <v>16</v>
      </c>
      <c r="BF155" s="28">
        <v>44</v>
      </c>
      <c r="BG155" s="28">
        <v>11</v>
      </c>
      <c r="BH155" s="28">
        <v>11</v>
      </c>
      <c r="BI155" s="28">
        <v>1</v>
      </c>
      <c r="BJ155" s="28">
        <v>0</v>
      </c>
      <c r="BK155" s="28">
        <v>3</v>
      </c>
      <c r="BL155" s="28">
        <v>8</v>
      </c>
      <c r="BM155" s="28">
        <v>4</v>
      </c>
      <c r="BN155" s="28">
        <v>12</v>
      </c>
      <c r="BO155" s="77">
        <v>0</v>
      </c>
      <c r="BP155" s="28">
        <v>4</v>
      </c>
      <c r="BQ155" s="28">
        <v>4</v>
      </c>
      <c r="BR155" s="77">
        <v>21</v>
      </c>
      <c r="BS155" s="72">
        <v>0.78977272727272729</v>
      </c>
      <c r="BT155" s="28">
        <v>1</v>
      </c>
      <c r="BU155" s="75">
        <v>153</v>
      </c>
    </row>
    <row r="156" spans="1:73">
      <c r="A156" s="101" t="s">
        <v>1139</v>
      </c>
      <c r="B156" s="71" t="s">
        <v>184</v>
      </c>
      <c r="C156" s="28" t="s">
        <v>1156</v>
      </c>
      <c r="D156" s="72">
        <f>VLOOKUP(Table88[[#This Row],[NAME]],SFG_H[[NAME]:['#]],2,0)</f>
        <v>0.1875</v>
      </c>
      <c r="E156" s="72">
        <f>VLOOKUP(Table88[[#This Row],[NAME]],SFG_H[[NAME]:['#]],3,0)</f>
        <v>0.23529411764705882</v>
      </c>
      <c r="F156" s="72">
        <f>VLOOKUP(Table88[[#This Row],[NAME]],SFG_H[[NAME]:['#]],4,0)</f>
        <v>0.28125</v>
      </c>
      <c r="G156" s="77">
        <f>VLOOKUP(Table88[[#This Row],[NAME]],SFG_H[[NAME]:['#]],5,0)</f>
        <v>11</v>
      </c>
      <c r="H156" s="28">
        <f>VLOOKUP(Table88[[#This Row],[NAME]],SFG_H[[NAME]:['#]],6,0)</f>
        <v>32</v>
      </c>
      <c r="I156" s="28">
        <f>VLOOKUP(Table88[[#This Row],[NAME]],SFG_H[[NAME]:['#]],7,0)</f>
        <v>2</v>
      </c>
      <c r="J156" s="28">
        <f>VLOOKUP(Table88[[#This Row],[NAME]],SFG_H[[NAME]:['#]],8,0)</f>
        <v>6</v>
      </c>
      <c r="K156" s="28">
        <f>VLOOKUP(Table88[[#This Row],[NAME]],SFG_H[[NAME]:['#]],9,0)</f>
        <v>0</v>
      </c>
      <c r="L156" s="28">
        <f>VLOOKUP(Table88[[#This Row],[NAME]],SFG_H[[NAME]:['#]],10,0)</f>
        <v>0</v>
      </c>
      <c r="M156" s="28">
        <f>VLOOKUP(Table88[[#This Row],[NAME]],SFG_H[[NAME]:['#]],11,0)</f>
        <v>1</v>
      </c>
      <c r="N156" s="28">
        <f>VLOOKUP(Table88[[#This Row],[NAME]],SFG_H[[NAME]:['#]],12,0)</f>
        <v>2</v>
      </c>
      <c r="O156" s="28">
        <f>VLOOKUP(Table88[[#This Row],[NAME]],SFG_H[[NAME]:['#]],13,0)</f>
        <v>2</v>
      </c>
      <c r="P156" s="28">
        <f>VLOOKUP(Table88[[#This Row],[NAME]],SFG_H[[NAME]:['#]],14,0)</f>
        <v>4</v>
      </c>
      <c r="Q156" s="77">
        <f>VLOOKUP(Table88[[#This Row],[NAME]],SFG_H[[NAME]:['#]],15,0)</f>
        <v>0</v>
      </c>
      <c r="R156" s="28">
        <f>VLOOKUP(Table88[[#This Row],[NAME]],SFG_H[[NAME]:['#]],16,0)</f>
        <v>3</v>
      </c>
      <c r="S156" s="28">
        <f>VLOOKUP(Table88[[#This Row],[NAME]],SFG_H[[NAME]:['#]],17,0)</f>
        <v>3</v>
      </c>
      <c r="T156" s="77">
        <f>VLOOKUP(Table88[[#This Row],[NAME]],SFG_H[[NAME]:['#]],18,0)</f>
        <v>9</v>
      </c>
      <c r="U156" s="72">
        <f>VLOOKUP(Table88[[#This Row],[NAME]],SFG_H[[NAME]:['#]],19,0)</f>
        <v>0.51654411764705888</v>
      </c>
      <c r="V156" s="28">
        <f>VLOOKUP(Table88[[#This Row],[NAME]],SFG_H[[NAME]:['#]],20,0)</f>
        <v>0</v>
      </c>
      <c r="W156" s="75">
        <v>154</v>
      </c>
      <c r="Z156" s="366" t="s">
        <v>1139</v>
      </c>
      <c r="AA156" s="77" t="s">
        <v>186</v>
      </c>
      <c r="AB156" s="77" t="s">
        <v>1155</v>
      </c>
      <c r="AC156" s="130">
        <v>0.13953488372093023</v>
      </c>
      <c r="AD156" s="72">
        <v>0.22916666666666666</v>
      </c>
      <c r="AE156" s="72">
        <v>0.16279069767441862</v>
      </c>
      <c r="AF156" s="77">
        <v>18</v>
      </c>
      <c r="AG156" s="28">
        <v>43</v>
      </c>
      <c r="AH156" s="28">
        <v>5</v>
      </c>
      <c r="AI156" s="28">
        <v>6</v>
      </c>
      <c r="AJ156" s="28">
        <v>1</v>
      </c>
      <c r="AK156" s="28">
        <v>0</v>
      </c>
      <c r="AL156" s="28">
        <v>0</v>
      </c>
      <c r="AM156" s="28">
        <v>1</v>
      </c>
      <c r="AN156" s="28">
        <v>5</v>
      </c>
      <c r="AO156" s="28">
        <v>18</v>
      </c>
      <c r="AP156" s="77">
        <v>0</v>
      </c>
      <c r="AQ156" s="28">
        <v>0</v>
      </c>
      <c r="AR156" s="28">
        <v>1</v>
      </c>
      <c r="AS156" s="77">
        <v>7</v>
      </c>
      <c r="AT156" s="72">
        <v>0.3919573643410853</v>
      </c>
      <c r="AU156" s="28">
        <v>0</v>
      </c>
      <c r="AV156" s="75">
        <v>154</v>
      </c>
      <c r="AY156" s="101" t="s">
        <v>1139</v>
      </c>
      <c r="AZ156" s="77" t="s">
        <v>186</v>
      </c>
      <c r="BA156" s="77" t="s">
        <v>1155</v>
      </c>
      <c r="BB156" s="130">
        <v>0.29032258064516131</v>
      </c>
      <c r="BC156" s="72">
        <v>0.3125</v>
      </c>
      <c r="BD156" s="72">
        <v>0.4838709677419355</v>
      </c>
      <c r="BE156" s="77">
        <v>17</v>
      </c>
      <c r="BF156" s="28">
        <v>31</v>
      </c>
      <c r="BG156" s="28">
        <v>2</v>
      </c>
      <c r="BH156" s="28">
        <v>9</v>
      </c>
      <c r="BI156" s="28">
        <v>3</v>
      </c>
      <c r="BJ156" s="28">
        <v>0</v>
      </c>
      <c r="BK156" s="28">
        <v>1</v>
      </c>
      <c r="BL156" s="28">
        <v>3</v>
      </c>
      <c r="BM156" s="28">
        <v>1</v>
      </c>
      <c r="BN156" s="28">
        <v>8</v>
      </c>
      <c r="BO156" s="77">
        <v>0</v>
      </c>
      <c r="BP156" s="28">
        <v>5</v>
      </c>
      <c r="BQ156" s="28">
        <v>5</v>
      </c>
      <c r="BR156" s="77">
        <v>15</v>
      </c>
      <c r="BS156" s="72">
        <v>0.7963709677419355</v>
      </c>
      <c r="BT156" s="28">
        <v>1</v>
      </c>
      <c r="BU156" s="75">
        <v>154</v>
      </c>
    </row>
    <row r="157" spans="1:73">
      <c r="A157" s="365" t="s">
        <v>1171</v>
      </c>
      <c r="B157" s="345" t="s">
        <v>179</v>
      </c>
      <c r="C157" s="28" t="s">
        <v>864</v>
      </c>
      <c r="D157" s="72">
        <f>VLOOKUP(Table88[[#This Row],[NAME]],LAD_H[[NAME]:['#]],2,0)</f>
        <v>0.23484848484848486</v>
      </c>
      <c r="E157" s="72">
        <f>VLOOKUP(Table88[[#This Row],[NAME]],LAD_H[[NAME]:['#]],3,0)</f>
        <v>0.28368794326241137</v>
      </c>
      <c r="F157" s="72">
        <f>VLOOKUP(Table88[[#This Row],[NAME]],LAD_H[[NAME]:['#]],4,0)</f>
        <v>0.48484848484848486</v>
      </c>
      <c r="G157" s="77">
        <f>VLOOKUP(Table88[[#This Row],[NAME]],LAD_H[[NAME]:['#]],5,0)</f>
        <v>37</v>
      </c>
      <c r="H157" s="28">
        <f>VLOOKUP(Table88[[#This Row],[NAME]],LAD_H[[NAME]:['#]],6,0)</f>
        <v>132</v>
      </c>
      <c r="I157" s="28">
        <f>VLOOKUP(Table88[[#This Row],[NAME]],LAD_H[[NAME]:['#]],7,0)</f>
        <v>20</v>
      </c>
      <c r="J157" s="28">
        <f>VLOOKUP(Table88[[#This Row],[NAME]],LAD_H[[NAME]:['#]],8,0)</f>
        <v>31</v>
      </c>
      <c r="K157" s="28">
        <f>VLOOKUP(Table88[[#This Row],[NAME]],LAD_H[[NAME]:['#]],9,0)</f>
        <v>6</v>
      </c>
      <c r="L157" s="28">
        <f>VLOOKUP(Table88[[#This Row],[NAME]],LAD_H[[NAME]:['#]],10,0)</f>
        <v>0</v>
      </c>
      <c r="M157" s="28">
        <f>VLOOKUP(Table88[[#This Row],[NAME]],LAD_H[[NAME]:['#]],11,0)</f>
        <v>9</v>
      </c>
      <c r="N157" s="28">
        <f>VLOOKUP(Table88[[#This Row],[NAME]],LAD_H[[NAME]:['#]],12,0)</f>
        <v>24</v>
      </c>
      <c r="O157" s="28">
        <f>VLOOKUP(Table88[[#This Row],[NAME]],LAD_H[[NAME]:['#]],13,0)</f>
        <v>9</v>
      </c>
      <c r="P157" s="28">
        <f>VLOOKUP(Table88[[#This Row],[NAME]],LAD_H[[NAME]:['#]],14,0)</f>
        <v>34</v>
      </c>
      <c r="Q157" s="77">
        <f>VLOOKUP(Table88[[#This Row],[NAME]],LAD_H[[NAME]:['#]],15,0)</f>
        <v>0</v>
      </c>
      <c r="R157" s="28">
        <f>VLOOKUP(Table88[[#This Row],[NAME]],LAD_H[[NAME]:['#]],16,0)</f>
        <v>1</v>
      </c>
      <c r="S157" s="28">
        <f>VLOOKUP(Table88[[#This Row],[NAME]],LAD_H[[NAME]:['#]],17,0)</f>
        <v>3</v>
      </c>
      <c r="T157" s="77">
        <f>VLOOKUP(Table88[[#This Row],[NAME]],LAD_H[[NAME]:['#]],18,0)</f>
        <v>64</v>
      </c>
      <c r="U157" s="72">
        <f>VLOOKUP(Table88[[#This Row],[NAME]],LAD_H[[NAME]:['#]],19,0)</f>
        <v>0.76853642811089617</v>
      </c>
      <c r="V157" s="28">
        <f>VLOOKUP(Table88[[#This Row],[NAME]],LAD_H[[NAME]:['#]],20,0)</f>
        <v>1</v>
      </c>
      <c r="W157" s="75">
        <v>155</v>
      </c>
      <c r="Z157" s="101" t="s">
        <v>1171</v>
      </c>
      <c r="AA157" s="77" t="s">
        <v>179</v>
      </c>
      <c r="AB157" s="77" t="s">
        <v>864</v>
      </c>
      <c r="AC157" s="130">
        <v>0.21428571428571427</v>
      </c>
      <c r="AD157" s="72">
        <v>0.28104575163398693</v>
      </c>
      <c r="AE157" s="72">
        <v>0.40714285714285714</v>
      </c>
      <c r="AF157" s="77">
        <v>39</v>
      </c>
      <c r="AG157" s="28">
        <v>140</v>
      </c>
      <c r="AH157" s="28">
        <v>16</v>
      </c>
      <c r="AI157" s="28">
        <v>30</v>
      </c>
      <c r="AJ157" s="28">
        <v>4</v>
      </c>
      <c r="AK157" s="28">
        <v>1</v>
      </c>
      <c r="AL157" s="28">
        <v>7</v>
      </c>
      <c r="AM157" s="28">
        <v>18</v>
      </c>
      <c r="AN157" s="28">
        <v>13</v>
      </c>
      <c r="AO157" s="28">
        <v>45</v>
      </c>
      <c r="AP157" s="77">
        <v>0</v>
      </c>
      <c r="AQ157" s="28">
        <v>0</v>
      </c>
      <c r="AR157" s="28">
        <v>9</v>
      </c>
      <c r="AS157" s="77">
        <v>57</v>
      </c>
      <c r="AT157" s="72">
        <v>0.68818860877684407</v>
      </c>
      <c r="AU157" s="28">
        <v>2</v>
      </c>
      <c r="AV157" s="75">
        <v>155</v>
      </c>
      <c r="AY157" s="101" t="s">
        <v>1171</v>
      </c>
      <c r="AZ157" s="77" t="s">
        <v>179</v>
      </c>
      <c r="BA157" s="77" t="s">
        <v>864</v>
      </c>
      <c r="BB157" s="130">
        <v>0.25694444444444442</v>
      </c>
      <c r="BC157" s="72">
        <v>0.31847133757961782</v>
      </c>
      <c r="BD157" s="72">
        <v>0.4236111111111111</v>
      </c>
      <c r="BE157" s="77">
        <v>39</v>
      </c>
      <c r="BF157" s="28">
        <v>144</v>
      </c>
      <c r="BG157" s="28">
        <v>15</v>
      </c>
      <c r="BH157" s="28">
        <v>37</v>
      </c>
      <c r="BI157" s="28">
        <v>6</v>
      </c>
      <c r="BJ157" s="28">
        <v>0</v>
      </c>
      <c r="BK157" s="28">
        <v>6</v>
      </c>
      <c r="BL157" s="28">
        <v>17</v>
      </c>
      <c r="BM157" s="28">
        <v>13</v>
      </c>
      <c r="BN157" s="28">
        <v>43</v>
      </c>
      <c r="BO157" s="77">
        <v>0</v>
      </c>
      <c r="BP157" s="28">
        <v>1</v>
      </c>
      <c r="BQ157" s="28">
        <v>6</v>
      </c>
      <c r="BR157" s="77">
        <v>61</v>
      </c>
      <c r="BS157" s="72">
        <v>0.74208244869072892</v>
      </c>
      <c r="BT157" s="28">
        <v>2</v>
      </c>
      <c r="BU157" s="75">
        <v>155</v>
      </c>
    </row>
    <row r="158" spans="1:73">
      <c r="A158" s="365" t="s">
        <v>1171</v>
      </c>
      <c r="B158" s="71" t="s">
        <v>154</v>
      </c>
      <c r="C158" s="74" t="s">
        <v>1173</v>
      </c>
      <c r="D158" s="72">
        <f>VLOOKUP(Table88[[#This Row],[NAME]],LAD_H[[NAME]:['#]],2,0)</f>
        <v>0.30573248407643311</v>
      </c>
      <c r="E158" s="72">
        <f>VLOOKUP(Table88[[#This Row],[NAME]],LAD_H[[NAME]:['#]],3,0)</f>
        <v>0.36994219653179189</v>
      </c>
      <c r="F158" s="72">
        <f>VLOOKUP(Table88[[#This Row],[NAME]],LAD_H[[NAME]:['#]],4,0)</f>
        <v>0.53503184713375795</v>
      </c>
      <c r="G158" s="77">
        <f>VLOOKUP(Table88[[#This Row],[NAME]],LAD_H[[NAME]:['#]],5,0)</f>
        <v>40</v>
      </c>
      <c r="H158" s="28">
        <f>VLOOKUP(Table88[[#This Row],[NAME]],LAD_H[[NAME]:['#]],6,0)</f>
        <v>157</v>
      </c>
      <c r="I158" s="28">
        <f>VLOOKUP(Table88[[#This Row],[NAME]],LAD_H[[NAME]:['#]],7,0)</f>
        <v>14</v>
      </c>
      <c r="J158" s="28">
        <f>VLOOKUP(Table88[[#This Row],[NAME]],LAD_H[[NAME]:['#]],8,0)</f>
        <v>48</v>
      </c>
      <c r="K158" s="28">
        <f>VLOOKUP(Table88[[#This Row],[NAME]],LAD_H[[NAME]:['#]],9,0)</f>
        <v>15</v>
      </c>
      <c r="L158" s="28">
        <f>VLOOKUP(Table88[[#This Row],[NAME]],LAD_H[[NAME]:['#]],10,0)</f>
        <v>0</v>
      </c>
      <c r="M158" s="28">
        <f>VLOOKUP(Table88[[#This Row],[NAME]],LAD_H[[NAME]:['#]],11,0)</f>
        <v>7</v>
      </c>
      <c r="N158" s="28">
        <f>VLOOKUP(Table88[[#This Row],[NAME]],LAD_H[[NAME]:['#]],12,0)</f>
        <v>23</v>
      </c>
      <c r="O158" s="28">
        <f>VLOOKUP(Table88[[#This Row],[NAME]],LAD_H[[NAME]:['#]],13,0)</f>
        <v>16</v>
      </c>
      <c r="P158" s="28">
        <f>VLOOKUP(Table88[[#This Row],[NAME]],LAD_H[[NAME]:['#]],14,0)</f>
        <v>30</v>
      </c>
      <c r="Q158" s="77">
        <f>VLOOKUP(Table88[[#This Row],[NAME]],LAD_H[[NAME]:['#]],15,0)</f>
        <v>0</v>
      </c>
      <c r="R158" s="28">
        <f>VLOOKUP(Table88[[#This Row],[NAME]],LAD_H[[NAME]:['#]],16,0)</f>
        <v>0</v>
      </c>
      <c r="S158" s="28">
        <f>VLOOKUP(Table88[[#This Row],[NAME]],LAD_H[[NAME]:['#]],17,0)</f>
        <v>7</v>
      </c>
      <c r="T158" s="77">
        <f>VLOOKUP(Table88[[#This Row],[NAME]],LAD_H[[NAME]:['#]],18,0)</f>
        <v>84</v>
      </c>
      <c r="U158" s="72">
        <f>VLOOKUP(Table88[[#This Row],[NAME]],LAD_H[[NAME]:['#]],19,0)</f>
        <v>0.90497404366554979</v>
      </c>
      <c r="V158" s="28">
        <f>VLOOKUP(Table88[[#This Row],[NAME]],LAD_H[[NAME]:['#]],20,0)</f>
        <v>4</v>
      </c>
      <c r="W158" s="75">
        <v>156</v>
      </c>
      <c r="Z158" s="101" t="s">
        <v>1171</v>
      </c>
      <c r="AA158" s="77" t="s">
        <v>154</v>
      </c>
      <c r="AB158" s="77" t="s">
        <v>1173</v>
      </c>
      <c r="AC158" s="130">
        <v>0.21768707482993196</v>
      </c>
      <c r="AD158" s="72">
        <v>0.30303030303030304</v>
      </c>
      <c r="AE158" s="72">
        <v>0.35374149659863946</v>
      </c>
      <c r="AF158" s="77">
        <v>39</v>
      </c>
      <c r="AG158" s="28">
        <v>147</v>
      </c>
      <c r="AH158" s="28">
        <v>13</v>
      </c>
      <c r="AI158" s="28">
        <v>32</v>
      </c>
      <c r="AJ158" s="28">
        <v>11</v>
      </c>
      <c r="AK158" s="28">
        <v>0</v>
      </c>
      <c r="AL158" s="28">
        <v>3</v>
      </c>
      <c r="AM158" s="28">
        <v>15</v>
      </c>
      <c r="AN158" s="28">
        <v>18</v>
      </c>
      <c r="AO158" s="28">
        <v>33</v>
      </c>
      <c r="AP158" s="77">
        <v>0</v>
      </c>
      <c r="AQ158" s="28">
        <v>4</v>
      </c>
      <c r="AR158" s="28">
        <v>4</v>
      </c>
      <c r="AS158" s="77">
        <v>52</v>
      </c>
      <c r="AT158" s="72">
        <v>0.6567717996289425</v>
      </c>
      <c r="AU158" s="28">
        <v>2</v>
      </c>
      <c r="AV158" s="75">
        <v>156</v>
      </c>
      <c r="AY158" s="101" t="s">
        <v>1171</v>
      </c>
      <c r="AZ158" s="77" t="s">
        <v>154</v>
      </c>
      <c r="BA158" s="77" t="s">
        <v>1173</v>
      </c>
      <c r="BB158" s="130">
        <v>0.26896551724137929</v>
      </c>
      <c r="BC158" s="72">
        <v>0.34969325153374231</v>
      </c>
      <c r="BD158" s="72">
        <v>0.3724137931034483</v>
      </c>
      <c r="BE158" s="77">
        <v>39</v>
      </c>
      <c r="BF158" s="28">
        <v>145</v>
      </c>
      <c r="BG158" s="28">
        <v>9</v>
      </c>
      <c r="BH158" s="28">
        <v>39</v>
      </c>
      <c r="BI158" s="28">
        <v>9</v>
      </c>
      <c r="BJ158" s="28">
        <v>0</v>
      </c>
      <c r="BK158" s="28">
        <v>2</v>
      </c>
      <c r="BL158" s="28">
        <v>15</v>
      </c>
      <c r="BM158" s="28">
        <v>18</v>
      </c>
      <c r="BN158" s="28">
        <v>29</v>
      </c>
      <c r="BO158" s="77">
        <v>0</v>
      </c>
      <c r="BP158" s="28">
        <v>6</v>
      </c>
      <c r="BQ158" s="28">
        <v>6</v>
      </c>
      <c r="BR158" s="77">
        <v>54</v>
      </c>
      <c r="BS158" s="72">
        <v>0.72210704463719066</v>
      </c>
      <c r="BT158" s="28">
        <v>2</v>
      </c>
      <c r="BU158" s="75">
        <v>156</v>
      </c>
    </row>
    <row r="159" spans="1:73">
      <c r="A159" s="365" t="s">
        <v>1171</v>
      </c>
      <c r="B159" s="71" t="s">
        <v>172</v>
      </c>
      <c r="C159" s="74" t="s">
        <v>872</v>
      </c>
      <c r="D159" s="72">
        <f>VLOOKUP(Table88[[#This Row],[NAME]],LAD_H[[NAME]:['#]],2,0)</f>
        <v>0.22012578616352202</v>
      </c>
      <c r="E159" s="72">
        <f>VLOOKUP(Table88[[#This Row],[NAME]],LAD_H[[NAME]:['#]],3,0)</f>
        <v>0.26627218934911245</v>
      </c>
      <c r="F159" s="72">
        <f>VLOOKUP(Table88[[#This Row],[NAME]],LAD_H[[NAME]:['#]],4,0)</f>
        <v>0.33962264150943394</v>
      </c>
      <c r="G159" s="77">
        <f>VLOOKUP(Table88[[#This Row],[NAME]],LAD_H[[NAME]:['#]],5,0)</f>
        <v>37</v>
      </c>
      <c r="H159" s="28">
        <f>VLOOKUP(Table88[[#This Row],[NAME]],LAD_H[[NAME]:['#]],6,0)</f>
        <v>159</v>
      </c>
      <c r="I159" s="28">
        <f>VLOOKUP(Table88[[#This Row],[NAME]],LAD_H[[NAME]:['#]],7,0)</f>
        <v>20</v>
      </c>
      <c r="J159" s="28">
        <f>VLOOKUP(Table88[[#This Row],[NAME]],LAD_H[[NAME]:['#]],8,0)</f>
        <v>35</v>
      </c>
      <c r="K159" s="28">
        <f>VLOOKUP(Table88[[#This Row],[NAME]],LAD_H[[NAME]:['#]],9,0)</f>
        <v>5</v>
      </c>
      <c r="L159" s="28">
        <f>VLOOKUP(Table88[[#This Row],[NAME]],LAD_H[[NAME]:['#]],10,0)</f>
        <v>1</v>
      </c>
      <c r="M159" s="28">
        <f>VLOOKUP(Table88[[#This Row],[NAME]],LAD_H[[NAME]:['#]],11,0)</f>
        <v>4</v>
      </c>
      <c r="N159" s="28">
        <f>VLOOKUP(Table88[[#This Row],[NAME]],LAD_H[[NAME]:['#]],12,0)</f>
        <v>12</v>
      </c>
      <c r="O159" s="28">
        <f>VLOOKUP(Table88[[#This Row],[NAME]],LAD_H[[NAME]:['#]],13,0)</f>
        <v>10</v>
      </c>
      <c r="P159" s="28">
        <f>VLOOKUP(Table88[[#This Row],[NAME]],LAD_H[[NAME]:['#]],14,0)</f>
        <v>43</v>
      </c>
      <c r="Q159" s="77">
        <f>VLOOKUP(Table88[[#This Row],[NAME]],LAD_H[[NAME]:['#]],15,0)</f>
        <v>9</v>
      </c>
      <c r="R159" s="28">
        <f>VLOOKUP(Table88[[#This Row],[NAME]],LAD_H[[NAME]:['#]],16,0)</f>
        <v>2</v>
      </c>
      <c r="S159" s="28">
        <f>VLOOKUP(Table88[[#This Row],[NAME]],LAD_H[[NAME]:['#]],17,0)</f>
        <v>6</v>
      </c>
      <c r="T159" s="77">
        <f>VLOOKUP(Table88[[#This Row],[NAME]],LAD_H[[NAME]:['#]],18,0)</f>
        <v>54</v>
      </c>
      <c r="U159" s="72">
        <f>VLOOKUP(Table88[[#This Row],[NAME]],LAD_H[[NAME]:['#]],19,0)</f>
        <v>0.60589483085854634</v>
      </c>
      <c r="V159" s="28">
        <f>VLOOKUP(Table88[[#This Row],[NAME]],LAD_H[[NAME]:['#]],20,0)</f>
        <v>2</v>
      </c>
      <c r="W159" s="75">
        <v>157</v>
      </c>
      <c r="Z159" s="101" t="s">
        <v>1171</v>
      </c>
      <c r="AA159" s="77" t="s">
        <v>172</v>
      </c>
      <c r="AB159" s="77" t="s">
        <v>872</v>
      </c>
      <c r="AC159" s="130">
        <v>0.23030303030303031</v>
      </c>
      <c r="AD159" s="72">
        <v>0.2824858757062147</v>
      </c>
      <c r="AE159" s="72">
        <v>0.36363636363636365</v>
      </c>
      <c r="AF159" s="77">
        <v>39</v>
      </c>
      <c r="AG159" s="28">
        <v>165</v>
      </c>
      <c r="AH159" s="28">
        <v>20</v>
      </c>
      <c r="AI159" s="28">
        <v>38</v>
      </c>
      <c r="AJ159" s="28">
        <v>9</v>
      </c>
      <c r="AK159" s="28">
        <v>2</v>
      </c>
      <c r="AL159" s="28">
        <v>3</v>
      </c>
      <c r="AM159" s="28">
        <v>12</v>
      </c>
      <c r="AN159" s="28">
        <v>12</v>
      </c>
      <c r="AO159" s="28">
        <v>39</v>
      </c>
      <c r="AP159" s="77">
        <v>14</v>
      </c>
      <c r="AQ159" s="28">
        <v>5</v>
      </c>
      <c r="AR159" s="28">
        <v>6</v>
      </c>
      <c r="AS159" s="77">
        <v>60</v>
      </c>
      <c r="AT159" s="72">
        <v>0.64612223934257829</v>
      </c>
      <c r="AU159" s="28">
        <v>1</v>
      </c>
      <c r="AV159" s="75">
        <v>157</v>
      </c>
      <c r="AY159" s="101" t="s">
        <v>1171</v>
      </c>
      <c r="AZ159" s="77" t="s">
        <v>172</v>
      </c>
      <c r="BA159" s="77" t="s">
        <v>651</v>
      </c>
      <c r="BB159" s="130">
        <v>0.2360248447204969</v>
      </c>
      <c r="BC159" s="72">
        <v>0.29310344827586204</v>
      </c>
      <c r="BD159" s="72">
        <v>0.453416149068323</v>
      </c>
      <c r="BE159" s="77">
        <v>39</v>
      </c>
      <c r="BF159" s="28">
        <v>161</v>
      </c>
      <c r="BG159" s="28">
        <v>20</v>
      </c>
      <c r="BH159" s="28">
        <v>38</v>
      </c>
      <c r="BI159" s="28">
        <v>7</v>
      </c>
      <c r="BJ159" s="28">
        <v>2</v>
      </c>
      <c r="BK159" s="28">
        <v>8</v>
      </c>
      <c r="BL159" s="28">
        <v>26</v>
      </c>
      <c r="BM159" s="28">
        <v>13</v>
      </c>
      <c r="BN159" s="28">
        <v>43</v>
      </c>
      <c r="BO159" s="77">
        <v>0</v>
      </c>
      <c r="BP159" s="28">
        <v>3</v>
      </c>
      <c r="BQ159" s="28">
        <v>5</v>
      </c>
      <c r="BR159" s="77">
        <v>73</v>
      </c>
      <c r="BS159" s="72">
        <v>0.74651959734418505</v>
      </c>
      <c r="BT159" s="28">
        <v>6</v>
      </c>
      <c r="BU159" s="75">
        <v>157</v>
      </c>
    </row>
    <row r="160" spans="1:73">
      <c r="A160" s="365" t="s">
        <v>1171</v>
      </c>
      <c r="B160" s="71" t="s">
        <v>153</v>
      </c>
      <c r="C160" s="74" t="s">
        <v>1174</v>
      </c>
      <c r="D160" s="72">
        <f>VLOOKUP(Table88[[#This Row],[NAME]],LAD_H[[NAME]:['#]],2,0)</f>
        <v>0.25396825396825395</v>
      </c>
      <c r="E160" s="72">
        <f>VLOOKUP(Table88[[#This Row],[NAME]],LAD_H[[NAME]:['#]],3,0)</f>
        <v>0.38562091503267976</v>
      </c>
      <c r="F160" s="72">
        <f>VLOOKUP(Table88[[#This Row],[NAME]],LAD_H[[NAME]:['#]],4,0)</f>
        <v>0.53174603174603174</v>
      </c>
      <c r="G160" s="77">
        <f>VLOOKUP(Table88[[#This Row],[NAME]],LAD_H[[NAME]:['#]],5,0)</f>
        <v>37</v>
      </c>
      <c r="H160" s="28">
        <f>VLOOKUP(Table88[[#This Row],[NAME]],LAD_H[[NAME]:['#]],6,0)</f>
        <v>126</v>
      </c>
      <c r="I160" s="28">
        <f>VLOOKUP(Table88[[#This Row],[NAME]],LAD_H[[NAME]:['#]],7,0)</f>
        <v>21</v>
      </c>
      <c r="J160" s="28">
        <f>VLOOKUP(Table88[[#This Row],[NAME]],LAD_H[[NAME]:['#]],8,0)</f>
        <v>32</v>
      </c>
      <c r="K160" s="28">
        <f>VLOOKUP(Table88[[#This Row],[NAME]],LAD_H[[NAME]:['#]],9,0)</f>
        <v>5</v>
      </c>
      <c r="L160" s="28">
        <f>VLOOKUP(Table88[[#This Row],[NAME]],LAD_H[[NAME]:['#]],10,0)</f>
        <v>0</v>
      </c>
      <c r="M160" s="28">
        <f>VLOOKUP(Table88[[#This Row],[NAME]],LAD_H[[NAME]:['#]],11,0)</f>
        <v>10</v>
      </c>
      <c r="N160" s="28">
        <f>VLOOKUP(Table88[[#This Row],[NAME]],LAD_H[[NAME]:['#]],12,0)</f>
        <v>18</v>
      </c>
      <c r="O160" s="28">
        <f>VLOOKUP(Table88[[#This Row],[NAME]],LAD_H[[NAME]:['#]],13,0)</f>
        <v>27</v>
      </c>
      <c r="P160" s="28">
        <f>VLOOKUP(Table88[[#This Row],[NAME]],LAD_H[[NAME]:['#]],14,0)</f>
        <v>30</v>
      </c>
      <c r="Q160" s="77">
        <f>VLOOKUP(Table88[[#This Row],[NAME]],LAD_H[[NAME]:['#]],15,0)</f>
        <v>0</v>
      </c>
      <c r="R160" s="28">
        <f>VLOOKUP(Table88[[#This Row],[NAME]],LAD_H[[NAME]:['#]],16,0)</f>
        <v>0</v>
      </c>
      <c r="S160" s="28">
        <f>VLOOKUP(Table88[[#This Row],[NAME]],LAD_H[[NAME]:['#]],17,0)</f>
        <v>5</v>
      </c>
      <c r="T160" s="77">
        <f>VLOOKUP(Table88[[#This Row],[NAME]],LAD_H[[NAME]:['#]],18,0)</f>
        <v>67</v>
      </c>
      <c r="U160" s="72">
        <f>VLOOKUP(Table88[[#This Row],[NAME]],LAD_H[[NAME]:['#]],19,0)</f>
        <v>0.91736694677871156</v>
      </c>
      <c r="V160" s="28">
        <f>VLOOKUP(Table88[[#This Row],[NAME]],LAD_H[[NAME]:['#]],20,0)</f>
        <v>3</v>
      </c>
      <c r="W160" s="75">
        <v>158</v>
      </c>
      <c r="Z160" s="101" t="s">
        <v>1171</v>
      </c>
      <c r="AA160" s="77" t="s">
        <v>153</v>
      </c>
      <c r="AB160" s="77" t="s">
        <v>1174</v>
      </c>
      <c r="AC160" s="130">
        <v>0.23308270676691728</v>
      </c>
      <c r="AD160" s="72">
        <v>0.36249999999999999</v>
      </c>
      <c r="AE160" s="72">
        <v>0.42857142857142855</v>
      </c>
      <c r="AF160" s="77">
        <v>39</v>
      </c>
      <c r="AG160" s="28">
        <v>133</v>
      </c>
      <c r="AH160" s="28">
        <v>18</v>
      </c>
      <c r="AI160" s="28">
        <v>31</v>
      </c>
      <c r="AJ160" s="28">
        <v>2</v>
      </c>
      <c r="AK160" s="28">
        <v>0</v>
      </c>
      <c r="AL160" s="28">
        <v>8</v>
      </c>
      <c r="AM160" s="28">
        <v>20</v>
      </c>
      <c r="AN160" s="28">
        <v>27</v>
      </c>
      <c r="AO160" s="28">
        <v>35</v>
      </c>
      <c r="AP160" s="77">
        <v>0</v>
      </c>
      <c r="AQ160" s="28">
        <v>0</v>
      </c>
      <c r="AR160" s="28">
        <v>4</v>
      </c>
      <c r="AS160" s="77">
        <v>57</v>
      </c>
      <c r="AT160" s="72">
        <v>0.79107142857142854</v>
      </c>
      <c r="AU160" s="28">
        <v>4</v>
      </c>
      <c r="AV160" s="75">
        <v>158</v>
      </c>
      <c r="AY160" s="101" t="s">
        <v>1171</v>
      </c>
      <c r="AZ160" s="77" t="s">
        <v>153</v>
      </c>
      <c r="BA160" s="77" t="s">
        <v>1178</v>
      </c>
      <c r="BB160" s="130">
        <v>0.1797752808988764</v>
      </c>
      <c r="BC160" s="72">
        <v>0.24742268041237114</v>
      </c>
      <c r="BD160" s="72">
        <v>0.2696629213483146</v>
      </c>
      <c r="BE160" s="77">
        <v>30</v>
      </c>
      <c r="BF160" s="28">
        <v>89</v>
      </c>
      <c r="BG160" s="28">
        <v>6</v>
      </c>
      <c r="BH160" s="28">
        <v>16</v>
      </c>
      <c r="BI160" s="28">
        <v>2</v>
      </c>
      <c r="BJ160" s="28">
        <v>0</v>
      </c>
      <c r="BK160" s="28">
        <v>2</v>
      </c>
      <c r="BL160" s="28">
        <v>6</v>
      </c>
      <c r="BM160" s="28">
        <v>8</v>
      </c>
      <c r="BN160" s="28">
        <v>28</v>
      </c>
      <c r="BO160" s="77">
        <v>0</v>
      </c>
      <c r="BP160" s="28">
        <v>1</v>
      </c>
      <c r="BQ160" s="28">
        <v>4</v>
      </c>
      <c r="BR160" s="77">
        <v>24</v>
      </c>
      <c r="BS160" s="72">
        <v>0.51708560176068574</v>
      </c>
      <c r="BT160" s="28">
        <v>0</v>
      </c>
      <c r="BU160" s="75">
        <v>158</v>
      </c>
    </row>
    <row r="161" spans="1:73">
      <c r="A161" s="365" t="s">
        <v>1171</v>
      </c>
      <c r="B161" s="345" t="s">
        <v>177</v>
      </c>
      <c r="C161" s="74" t="s">
        <v>838</v>
      </c>
      <c r="D161" s="72">
        <f>VLOOKUP(Table88[[#This Row],[NAME]],LAD_H[[NAME]:['#]],2,0)</f>
        <v>0.32919254658385094</v>
      </c>
      <c r="E161" s="72">
        <f>VLOOKUP(Table88[[#This Row],[NAME]],LAD_H[[NAME]:['#]],3,0)</f>
        <v>0.4</v>
      </c>
      <c r="F161" s="72">
        <f>VLOOKUP(Table88[[#This Row],[NAME]],LAD_H[[NAME]:['#]],4,0)</f>
        <v>0.59627329192546585</v>
      </c>
      <c r="G161" s="77">
        <f>VLOOKUP(Table88[[#This Row],[NAME]],LAD_H[[NAME]:['#]],5,0)</f>
        <v>40</v>
      </c>
      <c r="H161" s="28">
        <f>VLOOKUP(Table88[[#This Row],[NAME]],LAD_H[[NAME]:['#]],6,0)</f>
        <v>161</v>
      </c>
      <c r="I161" s="28">
        <f>VLOOKUP(Table88[[#This Row],[NAME]],LAD_H[[NAME]:['#]],7,0)</f>
        <v>25</v>
      </c>
      <c r="J161" s="28">
        <f>VLOOKUP(Table88[[#This Row],[NAME]],LAD_H[[NAME]:['#]],8,0)</f>
        <v>53</v>
      </c>
      <c r="K161" s="28">
        <f>VLOOKUP(Table88[[#This Row],[NAME]],LAD_H[[NAME]:['#]],9,0)</f>
        <v>14</v>
      </c>
      <c r="L161" s="28">
        <f>VLOOKUP(Table88[[#This Row],[NAME]],LAD_H[[NAME]:['#]],10,0)</f>
        <v>1</v>
      </c>
      <c r="M161" s="28">
        <f>VLOOKUP(Table88[[#This Row],[NAME]],LAD_H[[NAME]:['#]],11,0)</f>
        <v>9</v>
      </c>
      <c r="N161" s="28">
        <f>VLOOKUP(Table88[[#This Row],[NAME]],LAD_H[[NAME]:['#]],12,0)</f>
        <v>31</v>
      </c>
      <c r="O161" s="28">
        <f>VLOOKUP(Table88[[#This Row],[NAME]],LAD_H[[NAME]:['#]],13,0)</f>
        <v>19</v>
      </c>
      <c r="P161" s="28">
        <f>VLOOKUP(Table88[[#This Row],[NAME]],LAD_H[[NAME]:['#]],14,0)</f>
        <v>31</v>
      </c>
      <c r="Q161" s="77">
        <f>VLOOKUP(Table88[[#This Row],[NAME]],LAD_H[[NAME]:['#]],15,0)</f>
        <v>0</v>
      </c>
      <c r="R161" s="28">
        <f>VLOOKUP(Table88[[#This Row],[NAME]],LAD_H[[NAME]:['#]],16,0)</f>
        <v>4</v>
      </c>
      <c r="S161" s="28">
        <f>VLOOKUP(Table88[[#This Row],[NAME]],LAD_H[[NAME]:['#]],17,0)</f>
        <v>12</v>
      </c>
      <c r="T161" s="77">
        <f>VLOOKUP(Table88[[#This Row],[NAME]],LAD_H[[NAME]:['#]],18,0)</f>
        <v>96</v>
      </c>
      <c r="U161" s="72">
        <f>VLOOKUP(Table88[[#This Row],[NAME]],LAD_H[[NAME]:['#]],19,0)</f>
        <v>0.99627329192546588</v>
      </c>
      <c r="V161" s="28">
        <f>VLOOKUP(Table88[[#This Row],[NAME]],LAD_H[[NAME]:['#]],20,0)</f>
        <v>4</v>
      </c>
      <c r="W161" s="75">
        <v>159</v>
      </c>
      <c r="Z161" s="101" t="s">
        <v>1171</v>
      </c>
      <c r="AA161" s="77" t="s">
        <v>177</v>
      </c>
      <c r="AB161" s="77" t="s">
        <v>838</v>
      </c>
      <c r="AC161" s="130">
        <v>0.2839506172839506</v>
      </c>
      <c r="AD161" s="72">
        <v>0.32558139534883723</v>
      </c>
      <c r="AE161" s="72">
        <v>0.47530864197530864</v>
      </c>
      <c r="AF161" s="77">
        <v>40</v>
      </c>
      <c r="AG161" s="28">
        <v>162</v>
      </c>
      <c r="AH161" s="28">
        <v>26</v>
      </c>
      <c r="AI161" s="28">
        <v>46</v>
      </c>
      <c r="AJ161" s="28">
        <v>5</v>
      </c>
      <c r="AK161" s="28">
        <v>1</v>
      </c>
      <c r="AL161" s="28">
        <v>8</v>
      </c>
      <c r="AM161" s="28">
        <v>24</v>
      </c>
      <c r="AN161" s="28">
        <v>10</v>
      </c>
      <c r="AO161" s="28">
        <v>41</v>
      </c>
      <c r="AP161" s="77">
        <v>0</v>
      </c>
      <c r="AQ161" s="28">
        <v>0</v>
      </c>
      <c r="AR161" s="28">
        <v>8</v>
      </c>
      <c r="AS161" s="77">
        <v>77</v>
      </c>
      <c r="AT161" s="72">
        <v>0.80089003732414588</v>
      </c>
      <c r="AU161" s="28">
        <v>2</v>
      </c>
      <c r="AV161" s="75">
        <v>159</v>
      </c>
      <c r="AY161" s="101" t="s">
        <v>1171</v>
      </c>
      <c r="AZ161" s="77" t="s">
        <v>177</v>
      </c>
      <c r="BA161" s="77" t="s">
        <v>1174</v>
      </c>
      <c r="BB161" s="130">
        <v>0.20512820512820512</v>
      </c>
      <c r="BC161" s="72">
        <v>0.31111111111111112</v>
      </c>
      <c r="BD161" s="72">
        <v>0.35256410256410259</v>
      </c>
      <c r="BE161" s="77">
        <v>40</v>
      </c>
      <c r="BF161" s="28">
        <v>156</v>
      </c>
      <c r="BG161" s="28">
        <v>17</v>
      </c>
      <c r="BH161" s="28">
        <v>32</v>
      </c>
      <c r="BI161" s="28">
        <v>5</v>
      </c>
      <c r="BJ161" s="28">
        <v>0</v>
      </c>
      <c r="BK161" s="28">
        <v>6</v>
      </c>
      <c r="BL161" s="28">
        <v>13</v>
      </c>
      <c r="BM161" s="28">
        <v>24</v>
      </c>
      <c r="BN161" s="28">
        <v>46</v>
      </c>
      <c r="BO161" s="77">
        <v>0</v>
      </c>
      <c r="BP161" s="28">
        <v>2</v>
      </c>
      <c r="BQ161" s="28">
        <v>4</v>
      </c>
      <c r="BR161" s="77">
        <v>55</v>
      </c>
      <c r="BS161" s="72">
        <v>0.66367521367521376</v>
      </c>
      <c r="BT161" s="28">
        <v>3</v>
      </c>
      <c r="BU161" s="75">
        <v>159</v>
      </c>
    </row>
    <row r="162" spans="1:73">
      <c r="A162" s="365" t="s">
        <v>1171</v>
      </c>
      <c r="B162" s="71" t="s">
        <v>174</v>
      </c>
      <c r="C162" s="74" t="s">
        <v>1175</v>
      </c>
      <c r="D162" s="72">
        <f>VLOOKUP(Table88[[#This Row],[NAME]],LAD_H[[NAME]:['#]],2,0)</f>
        <v>0.21897810218978103</v>
      </c>
      <c r="E162" s="72">
        <f>VLOOKUP(Table88[[#This Row],[NAME]],LAD_H[[NAME]:['#]],3,0)</f>
        <v>0.30967741935483872</v>
      </c>
      <c r="F162" s="72">
        <f>VLOOKUP(Table88[[#This Row],[NAME]],LAD_H[[NAME]:['#]],4,0)</f>
        <v>0.35766423357664234</v>
      </c>
      <c r="G162" s="77">
        <f>VLOOKUP(Table88[[#This Row],[NAME]],LAD_H[[NAME]:['#]],5,0)</f>
        <v>38</v>
      </c>
      <c r="H162" s="28">
        <f>VLOOKUP(Table88[[#This Row],[NAME]],LAD_H[[NAME]:['#]],6,0)</f>
        <v>137</v>
      </c>
      <c r="I162" s="28">
        <f>VLOOKUP(Table88[[#This Row],[NAME]],LAD_H[[NAME]:['#]],7,0)</f>
        <v>16</v>
      </c>
      <c r="J162" s="28">
        <f>VLOOKUP(Table88[[#This Row],[NAME]],LAD_H[[NAME]:['#]],8,0)</f>
        <v>30</v>
      </c>
      <c r="K162" s="28">
        <f>VLOOKUP(Table88[[#This Row],[NAME]],LAD_H[[NAME]:['#]],9,0)</f>
        <v>6</v>
      </c>
      <c r="L162" s="28">
        <f>VLOOKUP(Table88[[#This Row],[NAME]],LAD_H[[NAME]:['#]],10,0)</f>
        <v>2</v>
      </c>
      <c r="M162" s="28">
        <f>VLOOKUP(Table88[[#This Row],[NAME]],LAD_H[[NAME]:['#]],11,0)</f>
        <v>3</v>
      </c>
      <c r="N162" s="28">
        <f>VLOOKUP(Table88[[#This Row],[NAME]],LAD_H[[NAME]:['#]],12,0)</f>
        <v>9</v>
      </c>
      <c r="O162" s="28">
        <f>VLOOKUP(Table88[[#This Row],[NAME]],LAD_H[[NAME]:['#]],13,0)</f>
        <v>18</v>
      </c>
      <c r="P162" s="28">
        <f>VLOOKUP(Table88[[#This Row],[NAME]],LAD_H[[NAME]:['#]],14,0)</f>
        <v>32</v>
      </c>
      <c r="Q162" s="77">
        <f>VLOOKUP(Table88[[#This Row],[NAME]],LAD_H[[NAME]:['#]],15,0)</f>
        <v>0</v>
      </c>
      <c r="R162" s="28">
        <f>VLOOKUP(Table88[[#This Row],[NAME]],LAD_H[[NAME]:['#]],16,0)</f>
        <v>0</v>
      </c>
      <c r="S162" s="28">
        <f>VLOOKUP(Table88[[#This Row],[NAME]],LAD_H[[NAME]:['#]],17,0)</f>
        <v>6</v>
      </c>
      <c r="T162" s="77">
        <f>VLOOKUP(Table88[[#This Row],[NAME]],LAD_H[[NAME]:['#]],18,0)</f>
        <v>49</v>
      </c>
      <c r="U162" s="72">
        <f>VLOOKUP(Table88[[#This Row],[NAME]],LAD_H[[NAME]:['#]],19,0)</f>
        <v>0.66734165293148107</v>
      </c>
      <c r="V162" s="28">
        <f>VLOOKUP(Table88[[#This Row],[NAME]],LAD_H[[NAME]:['#]],20,0)</f>
        <v>3</v>
      </c>
      <c r="W162" s="75">
        <v>160</v>
      </c>
      <c r="Z162" s="101" t="s">
        <v>1171</v>
      </c>
      <c r="AA162" s="77" t="s">
        <v>174</v>
      </c>
      <c r="AB162" s="77" t="s">
        <v>1175</v>
      </c>
      <c r="AC162" s="130">
        <v>0.30701754385964913</v>
      </c>
      <c r="AD162" s="72">
        <v>0.39694656488549618</v>
      </c>
      <c r="AE162" s="72">
        <v>0.52631578947368418</v>
      </c>
      <c r="AF162" s="77">
        <v>38</v>
      </c>
      <c r="AG162" s="28">
        <v>114</v>
      </c>
      <c r="AH162" s="28">
        <v>24</v>
      </c>
      <c r="AI162" s="28">
        <v>35</v>
      </c>
      <c r="AJ162" s="28">
        <v>3</v>
      </c>
      <c r="AK162" s="28">
        <v>2</v>
      </c>
      <c r="AL162" s="28">
        <v>6</v>
      </c>
      <c r="AM162" s="28">
        <v>21</v>
      </c>
      <c r="AN162" s="28">
        <v>17</v>
      </c>
      <c r="AO162" s="28">
        <v>29</v>
      </c>
      <c r="AP162" s="77">
        <v>0</v>
      </c>
      <c r="AQ162" s="28">
        <v>0</v>
      </c>
      <c r="AR162" s="28">
        <v>5</v>
      </c>
      <c r="AS162" s="77">
        <v>60</v>
      </c>
      <c r="AT162" s="72">
        <v>0.92326235435918036</v>
      </c>
      <c r="AU162" s="28">
        <v>4</v>
      </c>
      <c r="AV162" s="75">
        <v>160</v>
      </c>
      <c r="AY162" s="101" t="s">
        <v>1171</v>
      </c>
      <c r="AZ162" s="77" t="s">
        <v>174</v>
      </c>
      <c r="BA162" s="77" t="s">
        <v>1175</v>
      </c>
      <c r="BB162" s="130">
        <v>0.26666666666666666</v>
      </c>
      <c r="BC162" s="72">
        <v>0.31858407079646017</v>
      </c>
      <c r="BD162" s="72">
        <v>0.41904761904761906</v>
      </c>
      <c r="BE162" s="77">
        <v>32</v>
      </c>
      <c r="BF162" s="28">
        <v>105</v>
      </c>
      <c r="BG162" s="28">
        <v>12</v>
      </c>
      <c r="BH162" s="28">
        <v>28</v>
      </c>
      <c r="BI162" s="28">
        <v>7</v>
      </c>
      <c r="BJ162" s="28">
        <v>0</v>
      </c>
      <c r="BK162" s="28">
        <v>3</v>
      </c>
      <c r="BL162" s="28">
        <v>9</v>
      </c>
      <c r="BM162" s="28">
        <v>8</v>
      </c>
      <c r="BN162" s="28">
        <v>26</v>
      </c>
      <c r="BO162" s="77">
        <v>0</v>
      </c>
      <c r="BP162" s="28">
        <v>9</v>
      </c>
      <c r="BQ162" s="28">
        <v>9</v>
      </c>
      <c r="BR162" s="77">
        <v>44</v>
      </c>
      <c r="BS162" s="72">
        <v>0.73763168984407923</v>
      </c>
      <c r="BT162" s="28">
        <v>1</v>
      </c>
      <c r="BU162" s="75">
        <v>160</v>
      </c>
    </row>
    <row r="163" spans="1:73">
      <c r="A163" s="365" t="s">
        <v>1171</v>
      </c>
      <c r="B163" s="71" t="s">
        <v>181</v>
      </c>
      <c r="C163" s="74" t="s">
        <v>1177</v>
      </c>
      <c r="D163" s="72">
        <f>VLOOKUP(Table88[[#This Row],[NAME]],LAD_H[[NAME]:['#]],2,0)</f>
        <v>0.29032258064516131</v>
      </c>
      <c r="E163" s="72">
        <f>VLOOKUP(Table88[[#This Row],[NAME]],LAD_H[[NAME]:['#]],3,0)</f>
        <v>0.3282442748091603</v>
      </c>
      <c r="F163" s="72">
        <f>VLOOKUP(Table88[[#This Row],[NAME]],LAD_H[[NAME]:['#]],4,0)</f>
        <v>0.41935483870967744</v>
      </c>
      <c r="G163" s="77">
        <f>VLOOKUP(Table88[[#This Row],[NAME]],LAD_H[[NAME]:['#]],5,0)</f>
        <v>36</v>
      </c>
      <c r="H163" s="28">
        <f>VLOOKUP(Table88[[#This Row],[NAME]],LAD_H[[NAME]:['#]],6,0)</f>
        <v>124</v>
      </c>
      <c r="I163" s="28">
        <f>VLOOKUP(Table88[[#This Row],[NAME]],LAD_H[[NAME]:['#]],7,0)</f>
        <v>14</v>
      </c>
      <c r="J163" s="28">
        <f>VLOOKUP(Table88[[#This Row],[NAME]],LAD_H[[NAME]:['#]],8,0)</f>
        <v>36</v>
      </c>
      <c r="K163" s="28">
        <f>VLOOKUP(Table88[[#This Row],[NAME]],LAD_H[[NAME]:['#]],9,0)</f>
        <v>10</v>
      </c>
      <c r="L163" s="28">
        <f>VLOOKUP(Table88[[#This Row],[NAME]],LAD_H[[NAME]:['#]],10,0)</f>
        <v>0</v>
      </c>
      <c r="M163" s="28">
        <f>VLOOKUP(Table88[[#This Row],[NAME]],LAD_H[[NAME]:['#]],11,0)</f>
        <v>2</v>
      </c>
      <c r="N163" s="28">
        <f>VLOOKUP(Table88[[#This Row],[NAME]],LAD_H[[NAME]:['#]],12,0)</f>
        <v>13</v>
      </c>
      <c r="O163" s="28">
        <f>VLOOKUP(Table88[[#This Row],[NAME]],LAD_H[[NAME]:['#]],13,0)</f>
        <v>7</v>
      </c>
      <c r="P163" s="28">
        <f>VLOOKUP(Table88[[#This Row],[NAME]],LAD_H[[NAME]:['#]],14,0)</f>
        <v>47</v>
      </c>
      <c r="Q163" s="77">
        <f>VLOOKUP(Table88[[#This Row],[NAME]],LAD_H[[NAME]:['#]],15,0)</f>
        <v>0</v>
      </c>
      <c r="R163" s="28">
        <f>VLOOKUP(Table88[[#This Row],[NAME]],LAD_H[[NAME]:['#]],16,0)</f>
        <v>7</v>
      </c>
      <c r="S163" s="28">
        <f>VLOOKUP(Table88[[#This Row],[NAME]],LAD_H[[NAME]:['#]],17,0)</f>
        <v>9</v>
      </c>
      <c r="T163" s="77">
        <f>VLOOKUP(Table88[[#This Row],[NAME]],LAD_H[[NAME]:['#]],18,0)</f>
        <v>52</v>
      </c>
      <c r="U163" s="72">
        <f>VLOOKUP(Table88[[#This Row],[NAME]],LAD_H[[NAME]:['#]],19,0)</f>
        <v>0.74759911351883779</v>
      </c>
      <c r="V163" s="28">
        <f>VLOOKUP(Table88[[#This Row],[NAME]],LAD_H[[NAME]:['#]],20,0)</f>
        <v>1</v>
      </c>
      <c r="W163" s="75">
        <v>161</v>
      </c>
      <c r="Z163" s="101" t="s">
        <v>1171</v>
      </c>
      <c r="AA163" s="352" t="s">
        <v>181</v>
      </c>
      <c r="AB163" s="77" t="s">
        <v>998</v>
      </c>
      <c r="AC163" s="130">
        <v>0.29838709677419356</v>
      </c>
      <c r="AD163" s="72">
        <v>0.35074626865671643</v>
      </c>
      <c r="AE163" s="72">
        <v>0.61290322580645162</v>
      </c>
      <c r="AF163" s="77">
        <v>37</v>
      </c>
      <c r="AG163" s="28">
        <v>124</v>
      </c>
      <c r="AH163" s="28">
        <v>21</v>
      </c>
      <c r="AI163" s="28">
        <v>37</v>
      </c>
      <c r="AJ163" s="28">
        <v>5</v>
      </c>
      <c r="AK163" s="28">
        <v>2</v>
      </c>
      <c r="AL163" s="28">
        <v>10</v>
      </c>
      <c r="AM163" s="28">
        <v>27</v>
      </c>
      <c r="AN163" s="28">
        <v>10</v>
      </c>
      <c r="AO163" s="28">
        <v>29</v>
      </c>
      <c r="AP163" s="77">
        <v>0</v>
      </c>
      <c r="AQ163" s="28">
        <v>11</v>
      </c>
      <c r="AR163" s="28">
        <v>11</v>
      </c>
      <c r="AS163" s="77">
        <v>76</v>
      </c>
      <c r="AT163" s="72">
        <v>0.96364949446316805</v>
      </c>
      <c r="AU163" s="28">
        <v>4</v>
      </c>
      <c r="AV163" s="75">
        <v>161</v>
      </c>
      <c r="AY163" s="101" t="s">
        <v>1171</v>
      </c>
      <c r="AZ163" s="77" t="s">
        <v>181</v>
      </c>
      <c r="BA163" s="77" t="s">
        <v>998</v>
      </c>
      <c r="BB163" s="130">
        <v>0.20754716981132076</v>
      </c>
      <c r="BC163" s="72">
        <v>0.29411764705882354</v>
      </c>
      <c r="BD163" s="72">
        <v>0.46226415094339623</v>
      </c>
      <c r="BE163" s="77">
        <v>34</v>
      </c>
      <c r="BF163" s="28">
        <v>106</v>
      </c>
      <c r="BG163" s="28">
        <v>14</v>
      </c>
      <c r="BH163" s="28">
        <v>22</v>
      </c>
      <c r="BI163" s="28">
        <v>4</v>
      </c>
      <c r="BJ163" s="28">
        <v>1</v>
      </c>
      <c r="BK163" s="28">
        <v>7</v>
      </c>
      <c r="BL163" s="28">
        <v>16</v>
      </c>
      <c r="BM163" s="28">
        <v>13</v>
      </c>
      <c r="BN163" s="28">
        <v>29</v>
      </c>
      <c r="BO163" s="77">
        <v>0</v>
      </c>
      <c r="BP163" s="28">
        <v>0</v>
      </c>
      <c r="BQ163" s="28">
        <v>2</v>
      </c>
      <c r="BR163" s="77">
        <v>49</v>
      </c>
      <c r="BS163" s="72">
        <v>0.75638179800221983</v>
      </c>
      <c r="BT163" s="28">
        <v>2</v>
      </c>
      <c r="BU163" s="75">
        <v>161</v>
      </c>
    </row>
    <row r="164" spans="1:73">
      <c r="A164" s="365" t="s">
        <v>1171</v>
      </c>
      <c r="B164" s="71" t="s">
        <v>166</v>
      </c>
      <c r="C164" s="74" t="s">
        <v>1172</v>
      </c>
      <c r="D164" s="72">
        <f>VLOOKUP(Table88[[#This Row],[NAME]],LAD_H[[NAME]:['#]],2,0)</f>
        <v>0.22012578616352202</v>
      </c>
      <c r="E164" s="72">
        <f>VLOOKUP(Table88[[#This Row],[NAME]],LAD_H[[NAME]:['#]],3,0)</f>
        <v>0.30337078651685395</v>
      </c>
      <c r="F164" s="72">
        <f>VLOOKUP(Table88[[#This Row],[NAME]],LAD_H[[NAME]:['#]],4,0)</f>
        <v>0.42138364779874216</v>
      </c>
      <c r="G164" s="77">
        <f>VLOOKUP(Table88[[#This Row],[NAME]],LAD_H[[NAME]:['#]],5,0)</f>
        <v>38</v>
      </c>
      <c r="H164" s="28">
        <f>VLOOKUP(Table88[[#This Row],[NAME]],LAD_H[[NAME]:['#]],6,0)</f>
        <v>159</v>
      </c>
      <c r="I164" s="28">
        <f>VLOOKUP(Table88[[#This Row],[NAME]],LAD_H[[NAME]:['#]],7,0)</f>
        <v>21</v>
      </c>
      <c r="J164" s="28">
        <f>VLOOKUP(Table88[[#This Row],[NAME]],LAD_H[[NAME]:['#]],8,0)</f>
        <v>35</v>
      </c>
      <c r="K164" s="28">
        <f>VLOOKUP(Table88[[#This Row],[NAME]],LAD_H[[NAME]:['#]],9,0)</f>
        <v>9</v>
      </c>
      <c r="L164" s="28">
        <f>VLOOKUP(Table88[[#This Row],[NAME]],LAD_H[[NAME]:['#]],10,0)</f>
        <v>1</v>
      </c>
      <c r="M164" s="28">
        <f>VLOOKUP(Table88[[#This Row],[NAME]],LAD_H[[NAME]:['#]],11,0)</f>
        <v>7</v>
      </c>
      <c r="N164" s="28">
        <f>VLOOKUP(Table88[[#This Row],[NAME]],LAD_H[[NAME]:['#]],12,0)</f>
        <v>24</v>
      </c>
      <c r="O164" s="28">
        <f>VLOOKUP(Table88[[#This Row],[NAME]],LAD_H[[NAME]:['#]],13,0)</f>
        <v>19</v>
      </c>
      <c r="P164" s="28">
        <f>VLOOKUP(Table88[[#This Row],[NAME]],LAD_H[[NAME]:['#]],14,0)</f>
        <v>30</v>
      </c>
      <c r="Q164" s="77">
        <f>VLOOKUP(Table88[[#This Row],[NAME]],LAD_H[[NAME]:['#]],15,0)</f>
        <v>7</v>
      </c>
      <c r="R164" s="28">
        <f>VLOOKUP(Table88[[#This Row],[NAME]],LAD_H[[NAME]:['#]],16,0)</f>
        <v>2</v>
      </c>
      <c r="S164" s="28">
        <f>VLOOKUP(Table88[[#This Row],[NAME]],LAD_H[[NAME]:['#]],17,0)</f>
        <v>4</v>
      </c>
      <c r="T164" s="77">
        <f>VLOOKUP(Table88[[#This Row],[NAME]],LAD_H[[NAME]:['#]],18,0)</f>
        <v>67</v>
      </c>
      <c r="U164" s="72">
        <f>VLOOKUP(Table88[[#This Row],[NAME]],LAD_H[[NAME]:['#]],19,0)</f>
        <v>0.72475443431559605</v>
      </c>
      <c r="V164" s="28">
        <f>VLOOKUP(Table88[[#This Row],[NAME]],LAD_H[[NAME]:['#]],20,0)</f>
        <v>3</v>
      </c>
      <c r="W164" s="75">
        <v>162</v>
      </c>
      <c r="Z164" s="101" t="s">
        <v>1171</v>
      </c>
      <c r="AA164" s="77" t="s">
        <v>166</v>
      </c>
      <c r="AB164" s="77" t="s">
        <v>1172</v>
      </c>
      <c r="AC164" s="130">
        <v>0.31874999999999998</v>
      </c>
      <c r="AD164" s="72">
        <v>0.37714285714285717</v>
      </c>
      <c r="AE164" s="72">
        <v>0.53125</v>
      </c>
      <c r="AF164" s="77">
        <v>39</v>
      </c>
      <c r="AG164" s="28">
        <v>160</v>
      </c>
      <c r="AH164" s="28">
        <v>25</v>
      </c>
      <c r="AI164" s="28">
        <v>51</v>
      </c>
      <c r="AJ164" s="76">
        <v>17</v>
      </c>
      <c r="AK164" s="28">
        <v>1</v>
      </c>
      <c r="AL164" s="28">
        <v>5</v>
      </c>
      <c r="AM164" s="28">
        <v>22</v>
      </c>
      <c r="AN164" s="28">
        <v>15</v>
      </c>
      <c r="AO164" s="28">
        <v>23</v>
      </c>
      <c r="AP164" s="77">
        <v>6</v>
      </c>
      <c r="AQ164" s="28">
        <v>5</v>
      </c>
      <c r="AR164" s="28">
        <v>7</v>
      </c>
      <c r="AS164" s="77">
        <v>85</v>
      </c>
      <c r="AT164" s="72">
        <v>0.90839285714285722</v>
      </c>
      <c r="AU164" s="28">
        <v>3</v>
      </c>
      <c r="AV164" s="75">
        <v>162</v>
      </c>
      <c r="AY164" s="101" t="s">
        <v>1171</v>
      </c>
      <c r="AZ164" s="77" t="s">
        <v>166</v>
      </c>
      <c r="BA164" s="77" t="s">
        <v>1172</v>
      </c>
      <c r="BB164" s="130">
        <v>0.2392638036809816</v>
      </c>
      <c r="BC164" s="72">
        <v>0.30726256983240224</v>
      </c>
      <c r="BD164" s="72">
        <v>0.39263803680981596</v>
      </c>
      <c r="BE164" s="77">
        <v>39</v>
      </c>
      <c r="BF164" s="28">
        <v>163</v>
      </c>
      <c r="BG164" s="28">
        <v>16</v>
      </c>
      <c r="BH164" s="28">
        <v>39</v>
      </c>
      <c r="BI164" s="28">
        <v>13</v>
      </c>
      <c r="BJ164" s="28">
        <v>0</v>
      </c>
      <c r="BK164" s="28">
        <v>4</v>
      </c>
      <c r="BL164" s="28">
        <v>10</v>
      </c>
      <c r="BM164" s="28">
        <v>16</v>
      </c>
      <c r="BN164" s="28">
        <v>33</v>
      </c>
      <c r="BO164" s="77">
        <v>12</v>
      </c>
      <c r="BP164" s="28">
        <v>0</v>
      </c>
      <c r="BQ164" s="28">
        <v>4</v>
      </c>
      <c r="BR164" s="77">
        <v>64</v>
      </c>
      <c r="BS164" s="72">
        <v>0.6999006066422182</v>
      </c>
      <c r="BT164" s="28">
        <v>1</v>
      </c>
      <c r="BU164" s="75">
        <v>162</v>
      </c>
    </row>
    <row r="165" spans="1:73">
      <c r="A165" s="365" t="s">
        <v>1171</v>
      </c>
      <c r="B165" s="71" t="s">
        <v>168</v>
      </c>
      <c r="C165" s="74" t="s">
        <v>1176</v>
      </c>
      <c r="D165" s="72">
        <f>VLOOKUP(Table88[[#This Row],[NAME]],LAD_H[[NAME]:['#]],2,0)</f>
        <v>0.17857142857142858</v>
      </c>
      <c r="E165" s="72">
        <f>VLOOKUP(Table88[[#This Row],[NAME]],LAD_H[[NAME]:['#]],3,0)</f>
        <v>0.23333333333333334</v>
      </c>
      <c r="F165" s="72">
        <f>VLOOKUP(Table88[[#This Row],[NAME]],LAD_H[[NAME]:['#]],4,0)</f>
        <v>0.25</v>
      </c>
      <c r="G165" s="77">
        <f>VLOOKUP(Table88[[#This Row],[NAME]],LAD_H[[NAME]:['#]],5,0)</f>
        <v>23</v>
      </c>
      <c r="H165" s="28">
        <f>VLOOKUP(Table88[[#This Row],[NAME]],LAD_H[[NAME]:['#]],6,0)</f>
        <v>84</v>
      </c>
      <c r="I165" s="28">
        <f>VLOOKUP(Table88[[#This Row],[NAME]],LAD_H[[NAME]:['#]],7,0)</f>
        <v>8</v>
      </c>
      <c r="J165" s="28">
        <f>VLOOKUP(Table88[[#This Row],[NAME]],LAD_H[[NAME]:['#]],8,0)</f>
        <v>15</v>
      </c>
      <c r="K165" s="28">
        <f>VLOOKUP(Table88[[#This Row],[NAME]],LAD_H[[NAME]:['#]],9,0)</f>
        <v>6</v>
      </c>
      <c r="L165" s="28">
        <f>VLOOKUP(Table88[[#This Row],[NAME]],LAD_H[[NAME]:['#]],10,0)</f>
        <v>0</v>
      </c>
      <c r="M165" s="28">
        <f>VLOOKUP(Table88[[#This Row],[NAME]],LAD_H[[NAME]:['#]],11,0)</f>
        <v>0</v>
      </c>
      <c r="N165" s="28">
        <f>VLOOKUP(Table88[[#This Row],[NAME]],LAD_H[[NAME]:['#]],12,0)</f>
        <v>8</v>
      </c>
      <c r="O165" s="28">
        <f>VLOOKUP(Table88[[#This Row],[NAME]],LAD_H[[NAME]:['#]],13,0)</f>
        <v>6</v>
      </c>
      <c r="P165" s="28">
        <f>VLOOKUP(Table88[[#This Row],[NAME]],LAD_H[[NAME]:['#]],14,0)</f>
        <v>21</v>
      </c>
      <c r="Q165" s="77">
        <f>VLOOKUP(Table88[[#This Row],[NAME]],LAD_H[[NAME]:['#]],15,0)</f>
        <v>0</v>
      </c>
      <c r="R165" s="28">
        <f>VLOOKUP(Table88[[#This Row],[NAME]],LAD_H[[NAME]:['#]],16,0)</f>
        <v>0</v>
      </c>
      <c r="S165" s="28">
        <f>VLOOKUP(Table88[[#This Row],[NAME]],LAD_H[[NAME]:['#]],17,0)</f>
        <v>5</v>
      </c>
      <c r="T165" s="77">
        <f>VLOOKUP(Table88[[#This Row],[NAME]],LAD_H[[NAME]:['#]],18,0)</f>
        <v>21</v>
      </c>
      <c r="U165" s="72">
        <f>VLOOKUP(Table88[[#This Row],[NAME]],LAD_H[[NAME]:['#]],19,0)</f>
        <v>0.48333333333333334</v>
      </c>
      <c r="V165" s="28">
        <f>VLOOKUP(Table88[[#This Row],[NAME]],LAD_H[[NAME]:['#]],20,0)</f>
        <v>1</v>
      </c>
      <c r="W165" s="75">
        <v>163</v>
      </c>
      <c r="Z165" s="101" t="s">
        <v>1171</v>
      </c>
      <c r="AA165" s="77" t="s">
        <v>168</v>
      </c>
      <c r="AB165" s="77" t="s">
        <v>1176</v>
      </c>
      <c r="AC165" s="130">
        <v>0.17757009345794392</v>
      </c>
      <c r="AD165" s="72">
        <v>0.29032258064516131</v>
      </c>
      <c r="AE165" s="72">
        <v>0.38317757009345793</v>
      </c>
      <c r="AF165" s="77">
        <v>30</v>
      </c>
      <c r="AG165" s="28">
        <v>107</v>
      </c>
      <c r="AH165" s="28">
        <v>12</v>
      </c>
      <c r="AI165" s="28">
        <v>19</v>
      </c>
      <c r="AJ165" s="28">
        <v>7</v>
      </c>
      <c r="AK165" s="28">
        <v>0</v>
      </c>
      <c r="AL165" s="28">
        <v>5</v>
      </c>
      <c r="AM165" s="28">
        <v>12</v>
      </c>
      <c r="AN165" s="28">
        <v>17</v>
      </c>
      <c r="AO165" s="28">
        <v>24</v>
      </c>
      <c r="AP165" s="77">
        <v>0</v>
      </c>
      <c r="AQ165" s="28">
        <v>2</v>
      </c>
      <c r="AR165" s="28">
        <v>3</v>
      </c>
      <c r="AS165" s="77">
        <v>41</v>
      </c>
      <c r="AT165" s="72">
        <v>0.67350015073861924</v>
      </c>
      <c r="AU165" s="28">
        <v>1</v>
      </c>
      <c r="AV165" s="75">
        <v>163</v>
      </c>
      <c r="AY165" s="101" t="s">
        <v>1171</v>
      </c>
      <c r="AZ165" s="77" t="s">
        <v>168</v>
      </c>
      <c r="BA165" s="77" t="s">
        <v>1176</v>
      </c>
      <c r="BB165" s="130">
        <v>0.27536231884057971</v>
      </c>
      <c r="BC165" s="72">
        <v>0.35483870967741937</v>
      </c>
      <c r="BD165" s="72">
        <v>0.38405797101449274</v>
      </c>
      <c r="BE165" s="77">
        <v>39</v>
      </c>
      <c r="BF165" s="28">
        <v>138</v>
      </c>
      <c r="BG165" s="28">
        <v>15</v>
      </c>
      <c r="BH165" s="28">
        <v>38</v>
      </c>
      <c r="BI165" s="28">
        <v>6</v>
      </c>
      <c r="BJ165" s="28">
        <v>0</v>
      </c>
      <c r="BK165" s="28">
        <v>3</v>
      </c>
      <c r="BL165" s="28">
        <v>15</v>
      </c>
      <c r="BM165" s="28">
        <v>17</v>
      </c>
      <c r="BN165" s="28">
        <v>42</v>
      </c>
      <c r="BO165" s="77">
        <v>0</v>
      </c>
      <c r="BP165" s="28">
        <v>0</v>
      </c>
      <c r="BQ165" s="28">
        <v>9</v>
      </c>
      <c r="BR165" s="77">
        <v>53</v>
      </c>
      <c r="BS165" s="72">
        <v>0.73889668069191217</v>
      </c>
      <c r="BT165" s="28">
        <v>1</v>
      </c>
      <c r="BU165" s="75">
        <v>163</v>
      </c>
    </row>
    <row r="166" spans="1:73">
      <c r="A166" s="365" t="s">
        <v>1171</v>
      </c>
      <c r="B166" s="71" t="s">
        <v>179</v>
      </c>
      <c r="C166" s="74" t="s">
        <v>1181</v>
      </c>
      <c r="D166" s="72">
        <f>VLOOKUP(Table88[[#This Row],[NAME]],LAD_H[[NAME]:['#]],2,0)</f>
        <v>0.2608695652173913</v>
      </c>
      <c r="E166" s="72">
        <f>VLOOKUP(Table88[[#This Row],[NAME]],LAD_H[[NAME]:['#]],3,0)</f>
        <v>0.32</v>
      </c>
      <c r="F166" s="72">
        <f>VLOOKUP(Table88[[#This Row],[NAME]],LAD_H[[NAME]:['#]],4,0)</f>
        <v>0.39130434782608697</v>
      </c>
      <c r="G166" s="77">
        <f>VLOOKUP(Table88[[#This Row],[NAME]],LAD_H[[NAME]:['#]],5,0)</f>
        <v>8</v>
      </c>
      <c r="H166" s="28">
        <f>VLOOKUP(Table88[[#This Row],[NAME]],LAD_H[[NAME]:['#]],6,0)</f>
        <v>23</v>
      </c>
      <c r="I166" s="28">
        <f>VLOOKUP(Table88[[#This Row],[NAME]],LAD_H[[NAME]:['#]],7,0)</f>
        <v>4</v>
      </c>
      <c r="J166" s="28">
        <f>VLOOKUP(Table88[[#This Row],[NAME]],LAD_H[[NAME]:['#]],8,0)</f>
        <v>6</v>
      </c>
      <c r="K166" s="28">
        <f>VLOOKUP(Table88[[#This Row],[NAME]],LAD_H[[NAME]:['#]],9,0)</f>
        <v>0</v>
      </c>
      <c r="L166" s="28">
        <f>VLOOKUP(Table88[[#This Row],[NAME]],LAD_H[[NAME]:['#]],10,0)</f>
        <v>0</v>
      </c>
      <c r="M166" s="28">
        <f>VLOOKUP(Table88[[#This Row],[NAME]],LAD_H[[NAME]:['#]],11,0)</f>
        <v>1</v>
      </c>
      <c r="N166" s="28">
        <f>VLOOKUP(Table88[[#This Row],[NAME]],LAD_H[[NAME]:['#]],12,0)</f>
        <v>1</v>
      </c>
      <c r="O166" s="28">
        <f>VLOOKUP(Table88[[#This Row],[NAME]],LAD_H[[NAME]:['#]],13,0)</f>
        <v>2</v>
      </c>
      <c r="P166" s="28">
        <f>VLOOKUP(Table88[[#This Row],[NAME]],LAD_H[[NAME]:['#]],14,0)</f>
        <v>6</v>
      </c>
      <c r="Q166" s="77">
        <f>VLOOKUP(Table88[[#This Row],[NAME]],LAD_H[[NAME]:['#]],15,0)</f>
        <v>0</v>
      </c>
      <c r="R166" s="28">
        <f>VLOOKUP(Table88[[#This Row],[NAME]],LAD_H[[NAME]:['#]],16,0)</f>
        <v>3</v>
      </c>
      <c r="S166" s="28">
        <f>VLOOKUP(Table88[[#This Row],[NAME]],LAD_H[[NAME]:['#]],17,0)</f>
        <v>3</v>
      </c>
      <c r="T166" s="77">
        <f>VLOOKUP(Table88[[#This Row],[NAME]],LAD_H[[NAME]:['#]],18,0)</f>
        <v>9</v>
      </c>
      <c r="U166" s="72">
        <f>VLOOKUP(Table88[[#This Row],[NAME]],LAD_H[[NAME]:['#]],19,0)</f>
        <v>0.71130434782608698</v>
      </c>
      <c r="V166" s="28">
        <f>VLOOKUP(Table88[[#This Row],[NAME]],LAD_H[[NAME]:['#]],20,0)</f>
        <v>0</v>
      </c>
      <c r="W166" s="75">
        <v>164</v>
      </c>
      <c r="Z166" s="101" t="s">
        <v>1171</v>
      </c>
      <c r="AA166" s="77" t="s">
        <v>179</v>
      </c>
      <c r="AB166" s="77" t="s">
        <v>1181</v>
      </c>
      <c r="AC166" s="130">
        <v>0</v>
      </c>
      <c r="AD166" s="72">
        <v>0.25</v>
      </c>
      <c r="AE166" s="72">
        <v>0</v>
      </c>
      <c r="AF166" s="77">
        <v>4</v>
      </c>
      <c r="AG166" s="28">
        <v>6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1</v>
      </c>
      <c r="AN166" s="28">
        <v>2</v>
      </c>
      <c r="AO166" s="28">
        <v>2</v>
      </c>
      <c r="AP166" s="77">
        <v>0</v>
      </c>
      <c r="AQ166" s="28">
        <v>0</v>
      </c>
      <c r="AR166" s="28">
        <v>0</v>
      </c>
      <c r="AS166" s="77">
        <v>0</v>
      </c>
      <c r="AT166" s="72">
        <v>0.25</v>
      </c>
      <c r="AU166" s="28">
        <v>0</v>
      </c>
      <c r="AV166" s="75">
        <v>164</v>
      </c>
      <c r="AY166" s="101" t="s">
        <v>1171</v>
      </c>
      <c r="AZ166" s="77" t="s">
        <v>179</v>
      </c>
      <c r="BA166" s="77" t="s">
        <v>1181</v>
      </c>
      <c r="BB166" s="130">
        <v>0.375</v>
      </c>
      <c r="BC166" s="72">
        <v>0.44444444444444442</v>
      </c>
      <c r="BD166" s="72">
        <v>0.75</v>
      </c>
      <c r="BE166" s="77">
        <v>4</v>
      </c>
      <c r="BF166" s="28">
        <v>8</v>
      </c>
      <c r="BG166" s="28">
        <v>1</v>
      </c>
      <c r="BH166" s="28">
        <v>3</v>
      </c>
      <c r="BI166" s="28">
        <v>0</v>
      </c>
      <c r="BJ166" s="28">
        <v>0</v>
      </c>
      <c r="BK166" s="28">
        <v>1</v>
      </c>
      <c r="BL166" s="28">
        <v>1</v>
      </c>
      <c r="BM166" s="28">
        <v>1</v>
      </c>
      <c r="BN166" s="28">
        <v>2</v>
      </c>
      <c r="BO166" s="77">
        <v>0</v>
      </c>
      <c r="BP166" s="28">
        <v>2</v>
      </c>
      <c r="BQ166" s="28">
        <v>2</v>
      </c>
      <c r="BR166" s="77">
        <v>6</v>
      </c>
      <c r="BS166" s="72">
        <v>1.1944444444444444</v>
      </c>
      <c r="BT166" s="28">
        <v>0</v>
      </c>
      <c r="BU166" s="75">
        <v>164</v>
      </c>
    </row>
    <row r="167" spans="1:73">
      <c r="A167" s="365" t="s">
        <v>1171</v>
      </c>
      <c r="B167" s="71" t="s">
        <v>187</v>
      </c>
      <c r="C167" s="74" t="s">
        <v>1178</v>
      </c>
      <c r="D167" s="72">
        <f>VLOOKUP(Table88[[#This Row],[NAME]],LAD_H[[NAME]:['#]],2,0)</f>
        <v>0.30188679245283018</v>
      </c>
      <c r="E167" s="72">
        <f>VLOOKUP(Table88[[#This Row],[NAME]],LAD_H[[NAME]:['#]],3,0)</f>
        <v>0.3392857142857143</v>
      </c>
      <c r="F167" s="72">
        <f>VLOOKUP(Table88[[#This Row],[NAME]],LAD_H[[NAME]:['#]],4,0)</f>
        <v>0.43396226415094341</v>
      </c>
      <c r="G167" s="77">
        <f>VLOOKUP(Table88[[#This Row],[NAME]],LAD_H[[NAME]:['#]],5,0)</f>
        <v>16</v>
      </c>
      <c r="H167" s="28">
        <f>VLOOKUP(Table88[[#This Row],[NAME]],LAD_H[[NAME]:['#]],6,0)</f>
        <v>53</v>
      </c>
      <c r="I167" s="28">
        <f>VLOOKUP(Table88[[#This Row],[NAME]],LAD_H[[NAME]:['#]],7,0)</f>
        <v>5</v>
      </c>
      <c r="J167" s="28">
        <f>VLOOKUP(Table88[[#This Row],[NAME]],LAD_H[[NAME]:['#]],8,0)</f>
        <v>16</v>
      </c>
      <c r="K167" s="28">
        <f>VLOOKUP(Table88[[#This Row],[NAME]],LAD_H[[NAME]:['#]],9,0)</f>
        <v>4</v>
      </c>
      <c r="L167" s="28">
        <f>VLOOKUP(Table88[[#This Row],[NAME]],LAD_H[[NAME]:['#]],10,0)</f>
        <v>0</v>
      </c>
      <c r="M167" s="28">
        <f>VLOOKUP(Table88[[#This Row],[NAME]],LAD_H[[NAME]:['#]],11,0)</f>
        <v>1</v>
      </c>
      <c r="N167" s="28">
        <f>VLOOKUP(Table88[[#This Row],[NAME]],LAD_H[[NAME]:['#]],12,0)</f>
        <v>6</v>
      </c>
      <c r="O167" s="28">
        <f>VLOOKUP(Table88[[#This Row],[NAME]],LAD_H[[NAME]:['#]],13,0)</f>
        <v>3</v>
      </c>
      <c r="P167" s="28">
        <f>VLOOKUP(Table88[[#This Row],[NAME]],LAD_H[[NAME]:['#]],14,0)</f>
        <v>10</v>
      </c>
      <c r="Q167" s="77">
        <f>VLOOKUP(Table88[[#This Row],[NAME]],LAD_H[[NAME]:['#]],15,0)</f>
        <v>0</v>
      </c>
      <c r="R167" s="28">
        <f>VLOOKUP(Table88[[#This Row],[NAME]],LAD_H[[NAME]:['#]],16,0)</f>
        <v>7</v>
      </c>
      <c r="S167" s="28">
        <f>VLOOKUP(Table88[[#This Row],[NAME]],LAD_H[[NAME]:['#]],17,0)</f>
        <v>7</v>
      </c>
      <c r="T167" s="77">
        <f>VLOOKUP(Table88[[#This Row],[NAME]],LAD_H[[NAME]:['#]],18,0)</f>
        <v>23</v>
      </c>
      <c r="U167" s="72">
        <f>VLOOKUP(Table88[[#This Row],[NAME]],LAD_H[[NAME]:['#]],19,0)</f>
        <v>0.77324797843665771</v>
      </c>
      <c r="V167" s="28">
        <f>VLOOKUP(Table88[[#This Row],[NAME]],LAD_H[[NAME]:['#]],20,0)</f>
        <v>2</v>
      </c>
      <c r="W167" s="75">
        <v>165</v>
      </c>
      <c r="Z167" s="101" t="s">
        <v>1171</v>
      </c>
      <c r="AA167" s="77" t="s">
        <v>187</v>
      </c>
      <c r="AB167" s="77" t="s">
        <v>1178</v>
      </c>
      <c r="AC167" s="130">
        <v>0.1</v>
      </c>
      <c r="AD167" s="72">
        <v>0.18181818181818182</v>
      </c>
      <c r="AE167" s="72">
        <v>0.1</v>
      </c>
      <c r="AF167" s="77">
        <v>4</v>
      </c>
      <c r="AG167" s="28">
        <v>10</v>
      </c>
      <c r="AH167" s="28">
        <v>0</v>
      </c>
      <c r="AI167" s="28">
        <v>1</v>
      </c>
      <c r="AJ167" s="28">
        <v>0</v>
      </c>
      <c r="AK167" s="28">
        <v>0</v>
      </c>
      <c r="AL167" s="28">
        <v>0</v>
      </c>
      <c r="AM167" s="28">
        <v>0</v>
      </c>
      <c r="AN167" s="28">
        <v>1</v>
      </c>
      <c r="AO167" s="28">
        <v>4</v>
      </c>
      <c r="AP167" s="77">
        <v>0</v>
      </c>
      <c r="AQ167" s="28">
        <v>0</v>
      </c>
      <c r="AR167" s="28">
        <v>1</v>
      </c>
      <c r="AS167" s="77">
        <v>1</v>
      </c>
      <c r="AT167" s="72">
        <v>0.28181818181818186</v>
      </c>
      <c r="AU167" s="28">
        <v>0</v>
      </c>
      <c r="AV167" s="75">
        <v>165</v>
      </c>
      <c r="AY167" s="101" t="s">
        <v>1171</v>
      </c>
      <c r="AZ167" s="77" t="s">
        <v>192</v>
      </c>
      <c r="BA167" s="77" t="s">
        <v>1183</v>
      </c>
      <c r="BB167" s="130">
        <v>0.33333333333333331</v>
      </c>
      <c r="BC167" s="72">
        <v>0.33333333333333331</v>
      </c>
      <c r="BD167" s="72">
        <v>0.33333333333333331</v>
      </c>
      <c r="BE167" s="77">
        <v>2</v>
      </c>
      <c r="BF167" s="28">
        <v>6</v>
      </c>
      <c r="BG167" s="28">
        <v>0</v>
      </c>
      <c r="BH167" s="28">
        <v>2</v>
      </c>
      <c r="BI167" s="28">
        <v>0</v>
      </c>
      <c r="BJ167" s="28">
        <v>0</v>
      </c>
      <c r="BK167" s="28">
        <v>0</v>
      </c>
      <c r="BL167" s="28">
        <v>1</v>
      </c>
      <c r="BM167" s="28">
        <v>0</v>
      </c>
      <c r="BN167" s="28">
        <v>2</v>
      </c>
      <c r="BO167" s="77">
        <v>0</v>
      </c>
      <c r="BP167" s="28">
        <v>1</v>
      </c>
      <c r="BQ167" s="28">
        <v>1</v>
      </c>
      <c r="BR167" s="77">
        <v>2</v>
      </c>
      <c r="BS167" s="72">
        <v>0.66666666666666663</v>
      </c>
      <c r="BT167" s="28">
        <v>0</v>
      </c>
      <c r="BU167" s="75">
        <v>165</v>
      </c>
    </row>
    <row r="168" spans="1:73">
      <c r="A168" s="365" t="s">
        <v>1171</v>
      </c>
      <c r="B168" s="71" t="s">
        <v>187</v>
      </c>
      <c r="C168" s="74" t="s">
        <v>930</v>
      </c>
      <c r="D168" s="72">
        <f>VLOOKUP(Table88[[#This Row],[NAME]],LAD_H[[NAME]:['#]],2,0)</f>
        <v>0.14285714285714285</v>
      </c>
      <c r="E168" s="72">
        <f>VLOOKUP(Table88[[#This Row],[NAME]],LAD_H[[NAME]:['#]],3,0)</f>
        <v>0.14285714285714285</v>
      </c>
      <c r="F168" s="72">
        <f>VLOOKUP(Table88[[#This Row],[NAME]],LAD_H[[NAME]:['#]],4,0)</f>
        <v>0.2857142857142857</v>
      </c>
      <c r="G168" s="77">
        <f>VLOOKUP(Table88[[#This Row],[NAME]],LAD_H[[NAME]:['#]],5,0)</f>
        <v>8</v>
      </c>
      <c r="H168" s="28">
        <f>VLOOKUP(Table88[[#This Row],[NAME]],LAD_H[[NAME]:['#]],6,0)</f>
        <v>28</v>
      </c>
      <c r="I168" s="28">
        <f>VLOOKUP(Table88[[#This Row],[NAME]],LAD_H[[NAME]:['#]],7,0)</f>
        <v>2</v>
      </c>
      <c r="J168" s="28">
        <f>VLOOKUP(Table88[[#This Row],[NAME]],LAD_H[[NAME]:['#]],8,0)</f>
        <v>4</v>
      </c>
      <c r="K168" s="28">
        <f>VLOOKUP(Table88[[#This Row],[NAME]],LAD_H[[NAME]:['#]],9,0)</f>
        <v>1</v>
      </c>
      <c r="L168" s="28">
        <f>VLOOKUP(Table88[[#This Row],[NAME]],LAD_H[[NAME]:['#]],10,0)</f>
        <v>0</v>
      </c>
      <c r="M168" s="28">
        <f>VLOOKUP(Table88[[#This Row],[NAME]],LAD_H[[NAME]:['#]],11,0)</f>
        <v>1</v>
      </c>
      <c r="N168" s="28">
        <f>VLOOKUP(Table88[[#This Row],[NAME]],LAD_H[[NAME]:['#]],12,0)</f>
        <v>2</v>
      </c>
      <c r="O168" s="28">
        <f>VLOOKUP(Table88[[#This Row],[NAME]],LAD_H[[NAME]:['#]],13,0)</f>
        <v>0</v>
      </c>
      <c r="P168" s="28">
        <f>VLOOKUP(Table88[[#This Row],[NAME]],LAD_H[[NAME]:['#]],14,0)</f>
        <v>10</v>
      </c>
      <c r="Q168" s="77">
        <f>VLOOKUP(Table88[[#This Row],[NAME]],LAD_H[[NAME]:['#]],15,0)</f>
        <v>0</v>
      </c>
      <c r="R168" s="28">
        <f>VLOOKUP(Table88[[#This Row],[NAME]],LAD_H[[NAME]:['#]],16,0)</f>
        <v>1</v>
      </c>
      <c r="S168" s="28">
        <f>VLOOKUP(Table88[[#This Row],[NAME]],LAD_H[[NAME]:['#]],17,0)</f>
        <v>2</v>
      </c>
      <c r="T168" s="77">
        <f>VLOOKUP(Table88[[#This Row],[NAME]],LAD_H[[NAME]:['#]],18,0)</f>
        <v>8</v>
      </c>
      <c r="U168" s="72">
        <f>VLOOKUP(Table88[[#This Row],[NAME]],LAD_H[[NAME]:['#]],19,0)</f>
        <v>0.42857142857142855</v>
      </c>
      <c r="V168" s="28">
        <f>VLOOKUP(Table88[[#This Row],[NAME]],LAD_H[[NAME]:['#]],20,0)</f>
        <v>0</v>
      </c>
      <c r="W168" s="75">
        <v>166</v>
      </c>
      <c r="Z168" s="101" t="s">
        <v>1171</v>
      </c>
      <c r="AA168" s="77" t="s">
        <v>187</v>
      </c>
      <c r="AB168" s="77" t="s">
        <v>930</v>
      </c>
      <c r="AC168" s="130">
        <v>0.28000000000000003</v>
      </c>
      <c r="AD168" s="72">
        <v>0.33333333333333331</v>
      </c>
      <c r="AE168" s="72">
        <v>0.48</v>
      </c>
      <c r="AF168" s="77">
        <v>9</v>
      </c>
      <c r="AG168" s="28">
        <v>25</v>
      </c>
      <c r="AH168" s="28">
        <v>3</v>
      </c>
      <c r="AI168" s="28">
        <v>7</v>
      </c>
      <c r="AJ168" s="28">
        <v>5</v>
      </c>
      <c r="AK168" s="28">
        <v>0</v>
      </c>
      <c r="AL168" s="28">
        <v>0</v>
      </c>
      <c r="AM168" s="28">
        <v>3</v>
      </c>
      <c r="AN168" s="28">
        <v>2</v>
      </c>
      <c r="AO168" s="28">
        <v>6</v>
      </c>
      <c r="AP168" s="77">
        <v>0</v>
      </c>
      <c r="AQ168" s="28">
        <v>3</v>
      </c>
      <c r="AR168" s="28">
        <v>3</v>
      </c>
      <c r="AS168" s="77">
        <v>12</v>
      </c>
      <c r="AT168" s="72">
        <v>0.81333333333333324</v>
      </c>
      <c r="AU168" s="28">
        <v>0</v>
      </c>
      <c r="AV168" s="75">
        <v>166</v>
      </c>
      <c r="AY168" s="101" t="s">
        <v>1171</v>
      </c>
      <c r="AZ168" s="77" t="s">
        <v>187</v>
      </c>
      <c r="BA168" s="77" t="s">
        <v>930</v>
      </c>
      <c r="BB168" s="130">
        <v>0.28205128205128205</v>
      </c>
      <c r="BC168" s="72">
        <v>0.34883720930232559</v>
      </c>
      <c r="BD168" s="72">
        <v>0.30769230769230771</v>
      </c>
      <c r="BE168" s="77">
        <v>16</v>
      </c>
      <c r="BF168" s="28">
        <v>39</v>
      </c>
      <c r="BG168" s="28">
        <v>2</v>
      </c>
      <c r="BH168" s="28">
        <v>11</v>
      </c>
      <c r="BI168" s="28">
        <v>1</v>
      </c>
      <c r="BJ168" s="28">
        <v>0</v>
      </c>
      <c r="BK168" s="28">
        <v>0</v>
      </c>
      <c r="BL168" s="28">
        <v>1</v>
      </c>
      <c r="BM168" s="28">
        <v>4</v>
      </c>
      <c r="BN168" s="28">
        <v>5</v>
      </c>
      <c r="BO168" s="77">
        <v>0</v>
      </c>
      <c r="BP168" s="28">
        <v>4</v>
      </c>
      <c r="BQ168" s="28">
        <v>5</v>
      </c>
      <c r="BR168" s="77">
        <v>12</v>
      </c>
      <c r="BS168" s="72">
        <v>0.65652951699463324</v>
      </c>
      <c r="BT168" s="28">
        <v>0</v>
      </c>
      <c r="BU168" s="75">
        <v>166</v>
      </c>
    </row>
    <row r="169" spans="1:73">
      <c r="A169" s="365" t="s">
        <v>1171</v>
      </c>
      <c r="B169" s="71" t="s">
        <v>184</v>
      </c>
      <c r="C169" s="74" t="s">
        <v>1180</v>
      </c>
      <c r="D169" s="72">
        <f>VLOOKUP(Table88[[#This Row],[NAME]],LAD_H[[NAME]:['#]],2,0)</f>
        <v>0.18333333333333332</v>
      </c>
      <c r="E169" s="72">
        <f>VLOOKUP(Table88[[#This Row],[NAME]],LAD_H[[NAME]:['#]],3,0)</f>
        <v>0.22222222222222221</v>
      </c>
      <c r="F169" s="72">
        <f>VLOOKUP(Table88[[#This Row],[NAME]],LAD_H[[NAME]:['#]],4,0)</f>
        <v>0.25</v>
      </c>
      <c r="G169" s="77">
        <f>VLOOKUP(Table88[[#This Row],[NAME]],LAD_H[[NAME]:['#]],5,0)</f>
        <v>19</v>
      </c>
      <c r="H169" s="28">
        <f>VLOOKUP(Table88[[#This Row],[NAME]],LAD_H[[NAME]:['#]],6,0)</f>
        <v>60</v>
      </c>
      <c r="I169" s="28">
        <f>VLOOKUP(Table88[[#This Row],[NAME]],LAD_H[[NAME]:['#]],7,0)</f>
        <v>3</v>
      </c>
      <c r="J169" s="28">
        <f>VLOOKUP(Table88[[#This Row],[NAME]],LAD_H[[NAME]:['#]],8,0)</f>
        <v>11</v>
      </c>
      <c r="K169" s="28">
        <f>VLOOKUP(Table88[[#This Row],[NAME]],LAD_H[[NAME]:['#]],9,0)</f>
        <v>1</v>
      </c>
      <c r="L169" s="28">
        <f>VLOOKUP(Table88[[#This Row],[NAME]],LAD_H[[NAME]:['#]],10,0)</f>
        <v>0</v>
      </c>
      <c r="M169" s="28">
        <f>VLOOKUP(Table88[[#This Row],[NAME]],LAD_H[[NAME]:['#]],11,0)</f>
        <v>1</v>
      </c>
      <c r="N169" s="28">
        <f>VLOOKUP(Table88[[#This Row],[NAME]],LAD_H[[NAME]:['#]],12,0)</f>
        <v>2</v>
      </c>
      <c r="O169" s="28">
        <f>VLOOKUP(Table88[[#This Row],[NAME]],LAD_H[[NAME]:['#]],13,0)</f>
        <v>3</v>
      </c>
      <c r="P169" s="28">
        <f>VLOOKUP(Table88[[#This Row],[NAME]],LAD_H[[NAME]:['#]],14,0)</f>
        <v>19</v>
      </c>
      <c r="Q169" s="77">
        <f>VLOOKUP(Table88[[#This Row],[NAME]],LAD_H[[NAME]:['#]],15,0)</f>
        <v>0</v>
      </c>
      <c r="R169" s="28">
        <f>VLOOKUP(Table88[[#This Row],[NAME]],LAD_H[[NAME]:['#]],16,0)</f>
        <v>6</v>
      </c>
      <c r="S169" s="28">
        <f>VLOOKUP(Table88[[#This Row],[NAME]],LAD_H[[NAME]:['#]],17,0)</f>
        <v>6</v>
      </c>
      <c r="T169" s="77">
        <f>VLOOKUP(Table88[[#This Row],[NAME]],LAD_H[[NAME]:['#]],18,0)</f>
        <v>15</v>
      </c>
      <c r="U169" s="72">
        <f>VLOOKUP(Table88[[#This Row],[NAME]],LAD_H[[NAME]:['#]],19,0)</f>
        <v>0.47222222222222221</v>
      </c>
      <c r="V169" s="28">
        <f>VLOOKUP(Table88[[#This Row],[NAME]],LAD_H[[NAME]:['#]],20,0)</f>
        <v>1</v>
      </c>
      <c r="W169" s="75">
        <v>167</v>
      </c>
      <c r="Z169" s="101" t="s">
        <v>1171</v>
      </c>
      <c r="AA169" s="77" t="s">
        <v>186</v>
      </c>
      <c r="AB169" s="77" t="s">
        <v>1177</v>
      </c>
      <c r="AC169" s="130">
        <v>0.18181818181818182</v>
      </c>
      <c r="AD169" s="72">
        <v>0.27027027027027029</v>
      </c>
      <c r="AE169" s="72">
        <v>0.27272727272727271</v>
      </c>
      <c r="AF169" s="77">
        <v>11</v>
      </c>
      <c r="AG169" s="28">
        <v>33</v>
      </c>
      <c r="AH169" s="28">
        <v>4</v>
      </c>
      <c r="AI169" s="28">
        <v>6</v>
      </c>
      <c r="AJ169" s="28">
        <v>0</v>
      </c>
      <c r="AK169" s="28">
        <v>0</v>
      </c>
      <c r="AL169" s="28">
        <v>1</v>
      </c>
      <c r="AM169" s="28">
        <v>4</v>
      </c>
      <c r="AN169" s="28">
        <v>4</v>
      </c>
      <c r="AO169" s="28">
        <v>9</v>
      </c>
      <c r="AP169" s="77">
        <v>0</v>
      </c>
      <c r="AQ169" s="28">
        <v>1</v>
      </c>
      <c r="AR169" s="28">
        <v>2</v>
      </c>
      <c r="AS169" s="77">
        <v>9</v>
      </c>
      <c r="AT169" s="72">
        <v>0.54299754299754299</v>
      </c>
      <c r="AU169" s="28">
        <v>0</v>
      </c>
      <c r="AV169" s="75">
        <v>167</v>
      </c>
      <c r="AY169" s="101" t="s">
        <v>1171</v>
      </c>
      <c r="AZ169" s="77" t="s">
        <v>2174</v>
      </c>
      <c r="BA169" s="77" t="s">
        <v>1177</v>
      </c>
      <c r="BB169" s="130">
        <v>0.27586206896551724</v>
      </c>
      <c r="BC169" s="72">
        <v>0.31147540983606559</v>
      </c>
      <c r="BD169" s="72">
        <v>0.46551724137931033</v>
      </c>
      <c r="BE169" s="77">
        <v>19</v>
      </c>
      <c r="BF169" s="28">
        <v>58</v>
      </c>
      <c r="BG169" s="28">
        <v>6</v>
      </c>
      <c r="BH169" s="28">
        <v>16</v>
      </c>
      <c r="BI169" s="28">
        <v>2</v>
      </c>
      <c r="BJ169" s="28">
        <v>0</v>
      </c>
      <c r="BK169" s="28">
        <v>3</v>
      </c>
      <c r="BL169" s="28">
        <v>9</v>
      </c>
      <c r="BM169" s="28">
        <v>3</v>
      </c>
      <c r="BN169" s="28">
        <v>17</v>
      </c>
      <c r="BO169" s="77">
        <v>0</v>
      </c>
      <c r="BP169" s="28">
        <v>4</v>
      </c>
      <c r="BQ169" s="28">
        <v>4</v>
      </c>
      <c r="BR169" s="77">
        <v>27</v>
      </c>
      <c r="BS169" s="72">
        <v>0.77699265121537597</v>
      </c>
      <c r="BT169" s="28">
        <v>2</v>
      </c>
      <c r="BU169" s="75">
        <v>167</v>
      </c>
    </row>
    <row r="170" spans="1:73">
      <c r="A170" s="365" t="s">
        <v>1171</v>
      </c>
      <c r="B170" s="77" t="s">
        <v>184</v>
      </c>
      <c r="C170" s="77" t="s">
        <v>1182</v>
      </c>
      <c r="D170" s="996">
        <f>VLOOKUP(Table88[[#This Row],[NAME]],LAD_H[[NAME]:['#]],2,0)</f>
        <v>0</v>
      </c>
      <c r="E170" s="72">
        <f>VLOOKUP(Table88[[#This Row],[NAME]],LAD_H[[NAME]:['#]],3,0)</f>
        <v>0</v>
      </c>
      <c r="F170" s="72">
        <f>VLOOKUP(Table88[[#This Row],[NAME]],LAD_H[[NAME]:['#]],4,0)</f>
        <v>0</v>
      </c>
      <c r="G170" s="77">
        <f>VLOOKUP(Table88[[#This Row],[NAME]],LAD_H[[NAME]:['#]],5,0)</f>
        <v>0</v>
      </c>
      <c r="H170" s="28">
        <f>VLOOKUP(Table88[[#This Row],[NAME]],LAD_H[[NAME]:['#]],6,0)</f>
        <v>0</v>
      </c>
      <c r="I170" s="28">
        <f>VLOOKUP(Table88[[#This Row],[NAME]],LAD_H[[NAME]:['#]],7,0)</f>
        <v>0</v>
      </c>
      <c r="J170" s="28">
        <f>VLOOKUP(Table88[[#This Row],[NAME]],LAD_H[[NAME]:['#]],8,0)</f>
        <v>0</v>
      </c>
      <c r="K170" s="28">
        <f>VLOOKUP(Table88[[#This Row],[NAME]],LAD_H[[NAME]:['#]],9,0)</f>
        <v>0</v>
      </c>
      <c r="L170" s="28">
        <f>VLOOKUP(Table88[[#This Row],[NAME]],LAD_H[[NAME]:['#]],10,0)</f>
        <v>0</v>
      </c>
      <c r="M170" s="28">
        <f>VLOOKUP(Table88[[#This Row],[NAME]],LAD_H[[NAME]:['#]],11,0)</f>
        <v>0</v>
      </c>
      <c r="N170" s="28">
        <f>VLOOKUP(Table88[[#This Row],[NAME]],LAD_H[[NAME]:['#]],12,0)</f>
        <v>0</v>
      </c>
      <c r="O170" s="28">
        <f>VLOOKUP(Table88[[#This Row],[NAME]],LAD_H[[NAME]:['#]],13,0)</f>
        <v>0</v>
      </c>
      <c r="P170" s="28">
        <f>VLOOKUP(Table88[[#This Row],[NAME]],LAD_H[[NAME]:['#]],14,0)</f>
        <v>0</v>
      </c>
      <c r="Q170" s="77">
        <f>VLOOKUP(Table88[[#This Row],[NAME]],LAD_H[[NAME]:['#]],15,0)</f>
        <v>0</v>
      </c>
      <c r="R170" s="28">
        <f>VLOOKUP(Table88[[#This Row],[NAME]],LAD_H[[NAME]:['#]],16,0)</f>
        <v>0</v>
      </c>
      <c r="S170" s="28">
        <f>VLOOKUP(Table88[[#This Row],[NAME]],LAD_H[[NAME]:['#]],17,0)</f>
        <v>0</v>
      </c>
      <c r="T170" s="77">
        <f>VLOOKUP(Table88[[#This Row],[NAME]],LAD_H[[NAME]:['#]],18,0)</f>
        <v>0</v>
      </c>
      <c r="U170" s="72">
        <f>VLOOKUP(Table88[[#This Row],[NAME]],LAD_H[[NAME]:['#]],19,0)</f>
        <v>0</v>
      </c>
      <c r="V170" s="28">
        <f>VLOOKUP(Table88[[#This Row],[NAME]],LAD_H[[NAME]:['#]],20,0)</f>
        <v>0</v>
      </c>
      <c r="W170" s="75">
        <v>168</v>
      </c>
      <c r="Z170" s="101" t="s">
        <v>1171</v>
      </c>
      <c r="AA170" s="77" t="s">
        <v>186</v>
      </c>
      <c r="AB170" s="77" t="s">
        <v>1179</v>
      </c>
      <c r="AC170" s="130">
        <v>0.34285714285714286</v>
      </c>
      <c r="AD170" s="72">
        <v>0.45238095238095238</v>
      </c>
      <c r="AE170" s="72">
        <v>0.68571428571428572</v>
      </c>
      <c r="AF170" s="77">
        <v>12</v>
      </c>
      <c r="AG170" s="28">
        <v>35</v>
      </c>
      <c r="AH170" s="28">
        <v>8</v>
      </c>
      <c r="AI170" s="28">
        <v>12</v>
      </c>
      <c r="AJ170" s="28">
        <v>3</v>
      </c>
      <c r="AK170" s="28">
        <v>0</v>
      </c>
      <c r="AL170" s="28">
        <v>3</v>
      </c>
      <c r="AM170" s="28">
        <v>11</v>
      </c>
      <c r="AN170" s="28">
        <v>7</v>
      </c>
      <c r="AO170" s="28">
        <v>5</v>
      </c>
      <c r="AP170" s="77">
        <v>0</v>
      </c>
      <c r="AQ170" s="28">
        <v>2</v>
      </c>
      <c r="AR170" s="28">
        <v>4</v>
      </c>
      <c r="AS170" s="77">
        <v>24</v>
      </c>
      <c r="AT170" s="72">
        <v>1.138095238095238</v>
      </c>
      <c r="AU170" s="28">
        <v>1</v>
      </c>
      <c r="AV170" s="75">
        <v>168</v>
      </c>
      <c r="AY170" s="101" t="s">
        <v>1171</v>
      </c>
      <c r="AZ170" s="77" t="s">
        <v>186</v>
      </c>
      <c r="BA170" s="77" t="s">
        <v>1179</v>
      </c>
      <c r="BB170" s="130">
        <v>0.22413793103448276</v>
      </c>
      <c r="BC170" s="72">
        <v>0.25</v>
      </c>
      <c r="BD170" s="72">
        <v>0.36206896551724138</v>
      </c>
      <c r="BE170" s="77">
        <v>21</v>
      </c>
      <c r="BF170" s="28">
        <v>58</v>
      </c>
      <c r="BG170" s="28">
        <v>9</v>
      </c>
      <c r="BH170" s="28">
        <v>13</v>
      </c>
      <c r="BI170" s="28">
        <v>2</v>
      </c>
      <c r="BJ170" s="28">
        <v>0</v>
      </c>
      <c r="BK170" s="28">
        <v>2</v>
      </c>
      <c r="BL170" s="28">
        <v>3</v>
      </c>
      <c r="BM170" s="28">
        <v>2</v>
      </c>
      <c r="BN170" s="28">
        <v>10</v>
      </c>
      <c r="BO170" s="77">
        <v>0</v>
      </c>
      <c r="BP170" s="28">
        <v>3</v>
      </c>
      <c r="BQ170" s="28">
        <v>3</v>
      </c>
      <c r="BR170" s="77">
        <v>21</v>
      </c>
      <c r="BS170" s="72">
        <v>0.61206896551724133</v>
      </c>
      <c r="BT170" s="28">
        <v>1</v>
      </c>
      <c r="BU170" s="75">
        <v>168</v>
      </c>
    </row>
    <row r="171" spans="1:73">
      <c r="A171" s="101" t="s">
        <v>1200</v>
      </c>
      <c r="B171" s="71" t="s">
        <v>179</v>
      </c>
      <c r="C171" s="28" t="s">
        <v>1210</v>
      </c>
      <c r="D171" s="130">
        <v>0.21739130434782608</v>
      </c>
      <c r="E171" s="72">
        <v>0.256198347107438</v>
      </c>
      <c r="F171" s="72">
        <v>0.33913043478260868</v>
      </c>
      <c r="G171" s="77">
        <v>33</v>
      </c>
      <c r="H171" s="28">
        <v>115</v>
      </c>
      <c r="I171" s="28">
        <v>9</v>
      </c>
      <c r="J171" s="28">
        <v>25</v>
      </c>
      <c r="K171" s="28">
        <v>5</v>
      </c>
      <c r="L171" s="28">
        <v>0</v>
      </c>
      <c r="M171" s="28">
        <v>3</v>
      </c>
      <c r="N171" s="28">
        <v>12</v>
      </c>
      <c r="O171" s="28">
        <v>6</v>
      </c>
      <c r="P171" s="454">
        <v>24</v>
      </c>
      <c r="Q171" s="77">
        <v>0</v>
      </c>
      <c r="R171" s="28">
        <v>1</v>
      </c>
      <c r="S171" s="28">
        <v>11</v>
      </c>
      <c r="T171" s="77">
        <v>39</v>
      </c>
      <c r="U171" s="72">
        <v>0.59532878189004668</v>
      </c>
      <c r="V171" s="28">
        <v>1</v>
      </c>
      <c r="W171" s="75">
        <v>169</v>
      </c>
      <c r="Z171" s="101" t="s">
        <v>1200</v>
      </c>
      <c r="AA171" s="985" t="s">
        <v>179</v>
      </c>
      <c r="AB171" s="77" t="s">
        <v>1208</v>
      </c>
      <c r="AC171" s="130">
        <v>0.22105263157894736</v>
      </c>
      <c r="AD171" s="72">
        <v>0.26</v>
      </c>
      <c r="AE171" s="72">
        <v>0.4</v>
      </c>
      <c r="AF171" s="77">
        <v>27</v>
      </c>
      <c r="AG171" s="28">
        <v>95</v>
      </c>
      <c r="AH171" s="28">
        <v>14</v>
      </c>
      <c r="AI171" s="28">
        <v>21</v>
      </c>
      <c r="AJ171" s="28">
        <v>6</v>
      </c>
      <c r="AK171" s="28">
        <v>1</v>
      </c>
      <c r="AL171" s="28">
        <v>3</v>
      </c>
      <c r="AM171" s="28">
        <v>11</v>
      </c>
      <c r="AN171" s="28">
        <v>5</v>
      </c>
      <c r="AO171" s="28">
        <v>21</v>
      </c>
      <c r="AP171" s="77">
        <v>0</v>
      </c>
      <c r="AQ171" s="28">
        <v>1</v>
      </c>
      <c r="AR171" s="28">
        <v>4</v>
      </c>
      <c r="AS171" s="77">
        <v>38</v>
      </c>
      <c r="AT171" s="72">
        <v>0.66</v>
      </c>
      <c r="AU171" s="28">
        <v>2</v>
      </c>
      <c r="AV171" s="75">
        <v>169</v>
      </c>
      <c r="AY171" s="101" t="s">
        <v>1200</v>
      </c>
      <c r="AZ171" s="77" t="s">
        <v>179</v>
      </c>
      <c r="BA171" s="77" t="s">
        <v>1208</v>
      </c>
      <c r="BB171" s="130">
        <v>0.24409448818897639</v>
      </c>
      <c r="BC171" s="72">
        <v>0.29927007299270075</v>
      </c>
      <c r="BD171" s="72">
        <v>0.45669291338582679</v>
      </c>
      <c r="BE171" s="77">
        <v>37</v>
      </c>
      <c r="BF171" s="28">
        <v>127</v>
      </c>
      <c r="BG171" s="28">
        <v>18</v>
      </c>
      <c r="BH171" s="28">
        <v>31</v>
      </c>
      <c r="BI171" s="28">
        <v>10</v>
      </c>
      <c r="BJ171" s="28">
        <v>1</v>
      </c>
      <c r="BK171" s="28">
        <v>5</v>
      </c>
      <c r="BL171" s="28">
        <v>17</v>
      </c>
      <c r="BM171" s="28">
        <v>10</v>
      </c>
      <c r="BN171" s="28">
        <v>34</v>
      </c>
      <c r="BO171" s="77">
        <v>0</v>
      </c>
      <c r="BP171" s="28">
        <v>0</v>
      </c>
      <c r="BQ171" s="28">
        <v>6</v>
      </c>
      <c r="BR171" s="77">
        <v>58</v>
      </c>
      <c r="BS171" s="72">
        <v>0.75596298637852755</v>
      </c>
      <c r="BT171" s="28">
        <v>2</v>
      </c>
      <c r="BU171" s="75">
        <v>169</v>
      </c>
    </row>
    <row r="172" spans="1:73">
      <c r="A172" s="101" t="s">
        <v>1200</v>
      </c>
      <c r="B172" s="71" t="s">
        <v>154</v>
      </c>
      <c r="C172" s="28" t="s">
        <v>1202</v>
      </c>
      <c r="D172" s="130">
        <v>0.21935483870967742</v>
      </c>
      <c r="E172" s="72">
        <v>0.27976190476190477</v>
      </c>
      <c r="F172" s="72">
        <v>0.38064516129032255</v>
      </c>
      <c r="G172" s="77">
        <v>40</v>
      </c>
      <c r="H172" s="28">
        <v>155</v>
      </c>
      <c r="I172" s="28">
        <v>17</v>
      </c>
      <c r="J172" s="28">
        <v>34</v>
      </c>
      <c r="K172" s="28">
        <v>4</v>
      </c>
      <c r="L172" s="28">
        <v>0</v>
      </c>
      <c r="M172" s="28">
        <v>7</v>
      </c>
      <c r="N172" s="28">
        <v>18</v>
      </c>
      <c r="O172" s="28">
        <v>13</v>
      </c>
      <c r="P172" s="454">
        <v>37</v>
      </c>
      <c r="Q172" s="77">
        <v>0</v>
      </c>
      <c r="R172" s="28">
        <v>0</v>
      </c>
      <c r="S172" s="28">
        <v>6</v>
      </c>
      <c r="T172" s="77">
        <v>59</v>
      </c>
      <c r="U172" s="72">
        <v>0.66040706605222732</v>
      </c>
      <c r="V172" s="28">
        <v>1</v>
      </c>
      <c r="W172" s="75">
        <v>170</v>
      </c>
      <c r="Z172" s="101" t="s">
        <v>1200</v>
      </c>
      <c r="AA172" s="985" t="s">
        <v>154</v>
      </c>
      <c r="AB172" s="77" t="s">
        <v>1202</v>
      </c>
      <c r="AC172" s="130">
        <v>0.2484472049689441</v>
      </c>
      <c r="AD172" s="72">
        <v>0.30857142857142855</v>
      </c>
      <c r="AE172" s="72">
        <v>0.42236024844720499</v>
      </c>
      <c r="AF172" s="77">
        <v>40</v>
      </c>
      <c r="AG172" s="28">
        <v>161</v>
      </c>
      <c r="AH172" s="28">
        <v>13</v>
      </c>
      <c r="AI172" s="28">
        <v>40</v>
      </c>
      <c r="AJ172" s="28">
        <v>7</v>
      </c>
      <c r="AK172" s="28">
        <v>0</v>
      </c>
      <c r="AL172" s="28">
        <v>7</v>
      </c>
      <c r="AM172" s="28">
        <v>23</v>
      </c>
      <c r="AN172" s="28">
        <v>14</v>
      </c>
      <c r="AO172" s="28">
        <v>39</v>
      </c>
      <c r="AP172" s="77">
        <v>0</v>
      </c>
      <c r="AQ172" s="28">
        <v>5</v>
      </c>
      <c r="AR172" s="28">
        <v>5</v>
      </c>
      <c r="AS172" s="77">
        <v>68</v>
      </c>
      <c r="AT172" s="72">
        <v>0.7309316770186336</v>
      </c>
      <c r="AU172" s="28">
        <v>4</v>
      </c>
      <c r="AV172" s="75">
        <v>170</v>
      </c>
      <c r="AY172" s="101" t="s">
        <v>1200</v>
      </c>
      <c r="AZ172" s="77" t="s">
        <v>154</v>
      </c>
      <c r="BA172" s="77" t="s">
        <v>1202</v>
      </c>
      <c r="BB172" s="130">
        <v>0.25974025974025972</v>
      </c>
      <c r="BC172" s="72">
        <v>0.32544378698224852</v>
      </c>
      <c r="BD172" s="72">
        <v>0.51948051948051943</v>
      </c>
      <c r="BE172" s="77">
        <v>40</v>
      </c>
      <c r="BF172" s="28">
        <v>154</v>
      </c>
      <c r="BG172" s="28">
        <v>26</v>
      </c>
      <c r="BH172" s="28">
        <v>40</v>
      </c>
      <c r="BI172" s="28">
        <v>10</v>
      </c>
      <c r="BJ172" s="28">
        <v>0</v>
      </c>
      <c r="BK172" s="28">
        <v>10</v>
      </c>
      <c r="BL172" s="28">
        <v>30</v>
      </c>
      <c r="BM172" s="28">
        <v>15</v>
      </c>
      <c r="BN172" s="28">
        <v>35</v>
      </c>
      <c r="BO172" s="77">
        <v>0</v>
      </c>
      <c r="BP172" s="28">
        <v>0</v>
      </c>
      <c r="BQ172" s="28">
        <v>7</v>
      </c>
      <c r="BR172" s="77">
        <v>80</v>
      </c>
      <c r="BS172" s="72">
        <v>0.84492430646276795</v>
      </c>
      <c r="BT172" s="28">
        <v>4</v>
      </c>
      <c r="BU172" s="75">
        <v>170</v>
      </c>
    </row>
    <row r="173" spans="1:73">
      <c r="A173" s="101" t="s">
        <v>1200</v>
      </c>
      <c r="B173" s="71" t="s">
        <v>172</v>
      </c>
      <c r="C173" s="28" t="s">
        <v>237</v>
      </c>
      <c r="D173" s="130">
        <v>0.29113924050632911</v>
      </c>
      <c r="E173" s="72">
        <v>0.3253012048192771</v>
      </c>
      <c r="F173" s="72">
        <v>0.46835443037974683</v>
      </c>
      <c r="G173" s="77">
        <v>40</v>
      </c>
      <c r="H173" s="28">
        <v>158</v>
      </c>
      <c r="I173" s="28">
        <v>14</v>
      </c>
      <c r="J173" s="28">
        <v>46</v>
      </c>
      <c r="K173" s="28">
        <v>10</v>
      </c>
      <c r="L173" s="28">
        <v>0</v>
      </c>
      <c r="M173" s="28">
        <v>6</v>
      </c>
      <c r="N173" s="28">
        <v>22</v>
      </c>
      <c r="O173" s="28">
        <v>8</v>
      </c>
      <c r="P173" s="466">
        <v>33</v>
      </c>
      <c r="Q173" s="77">
        <v>0</v>
      </c>
      <c r="R173" s="28">
        <v>9</v>
      </c>
      <c r="S173" s="28">
        <v>10</v>
      </c>
      <c r="T173" s="77">
        <v>74</v>
      </c>
      <c r="U173" s="72">
        <v>0.79365563519902393</v>
      </c>
      <c r="V173" s="76">
        <v>6</v>
      </c>
      <c r="W173" s="75">
        <v>171</v>
      </c>
      <c r="Z173" s="101" t="s">
        <v>1200</v>
      </c>
      <c r="AA173" s="985" t="s">
        <v>172</v>
      </c>
      <c r="AB173" s="77" t="s">
        <v>2185</v>
      </c>
      <c r="AC173" s="130">
        <v>0.26380368098159507</v>
      </c>
      <c r="AD173" s="72">
        <v>0.31428571428571428</v>
      </c>
      <c r="AE173" s="72">
        <v>0.46012269938650308</v>
      </c>
      <c r="AF173" s="77">
        <v>40</v>
      </c>
      <c r="AG173" s="28">
        <v>163</v>
      </c>
      <c r="AH173" s="28">
        <v>22</v>
      </c>
      <c r="AI173" s="28">
        <v>43</v>
      </c>
      <c r="AJ173" s="28">
        <v>6</v>
      </c>
      <c r="AK173" s="28">
        <v>1</v>
      </c>
      <c r="AL173" s="28">
        <v>8</v>
      </c>
      <c r="AM173" s="28">
        <v>24</v>
      </c>
      <c r="AN173" s="28">
        <v>12</v>
      </c>
      <c r="AO173" s="76">
        <v>60</v>
      </c>
      <c r="AP173" s="77">
        <v>3</v>
      </c>
      <c r="AQ173" s="28">
        <v>1</v>
      </c>
      <c r="AR173" s="28">
        <v>9</v>
      </c>
      <c r="AS173" s="77">
        <v>75</v>
      </c>
      <c r="AT173" s="72">
        <v>0.77440841367221736</v>
      </c>
      <c r="AU173" s="28">
        <v>4</v>
      </c>
      <c r="AV173" s="75">
        <v>171</v>
      </c>
      <c r="AY173" s="101" t="s">
        <v>1200</v>
      </c>
      <c r="AZ173" s="352" t="s">
        <v>172</v>
      </c>
      <c r="BA173" s="77" t="s">
        <v>2185</v>
      </c>
      <c r="BB173" s="130">
        <v>0.28025477707006369</v>
      </c>
      <c r="BC173" s="72">
        <v>0.35057471264367818</v>
      </c>
      <c r="BD173" s="72">
        <v>0.61146496815286622</v>
      </c>
      <c r="BE173" s="77">
        <v>40</v>
      </c>
      <c r="BF173" s="28">
        <v>157</v>
      </c>
      <c r="BG173" s="28">
        <v>30</v>
      </c>
      <c r="BH173" s="28">
        <v>44</v>
      </c>
      <c r="BI173" s="28">
        <v>10</v>
      </c>
      <c r="BJ173" s="28">
        <v>0</v>
      </c>
      <c r="BK173" s="28">
        <v>14</v>
      </c>
      <c r="BL173" s="28">
        <v>32</v>
      </c>
      <c r="BM173" s="28">
        <v>17</v>
      </c>
      <c r="BN173" s="28">
        <v>54</v>
      </c>
      <c r="BO173" s="77">
        <v>5</v>
      </c>
      <c r="BP173" s="28">
        <v>3</v>
      </c>
      <c r="BQ173" s="28">
        <v>12</v>
      </c>
      <c r="BR173" s="352">
        <v>96</v>
      </c>
      <c r="BS173" s="72">
        <v>0.96203968079654434</v>
      </c>
      <c r="BT173" s="28">
        <v>6</v>
      </c>
      <c r="BU173" s="75">
        <v>171</v>
      </c>
    </row>
    <row r="174" spans="1:73">
      <c r="A174" s="101" t="s">
        <v>1200</v>
      </c>
      <c r="B174" s="71" t="s">
        <v>153</v>
      </c>
      <c r="C174" s="28" t="s">
        <v>1205</v>
      </c>
      <c r="D174" s="130">
        <v>0.24390243902439024</v>
      </c>
      <c r="E174" s="72">
        <v>0.34042553191489361</v>
      </c>
      <c r="F174" s="72">
        <v>0.44715447154471544</v>
      </c>
      <c r="G174" s="77">
        <v>38</v>
      </c>
      <c r="H174" s="28">
        <v>123</v>
      </c>
      <c r="I174" s="28">
        <v>16</v>
      </c>
      <c r="J174" s="28">
        <v>30</v>
      </c>
      <c r="K174" s="28">
        <v>11</v>
      </c>
      <c r="L174" s="28">
        <v>1</v>
      </c>
      <c r="M174" s="28">
        <v>4</v>
      </c>
      <c r="N174" s="28">
        <v>15</v>
      </c>
      <c r="O174" s="28">
        <v>18</v>
      </c>
      <c r="P174" s="466">
        <v>32</v>
      </c>
      <c r="Q174" s="77">
        <v>0</v>
      </c>
      <c r="R174" s="28">
        <v>2</v>
      </c>
      <c r="S174" s="28">
        <v>5</v>
      </c>
      <c r="T174" s="77">
        <v>55</v>
      </c>
      <c r="U174" s="72">
        <v>0.78758000345960899</v>
      </c>
      <c r="V174" s="28">
        <v>2</v>
      </c>
      <c r="W174" s="75">
        <v>172</v>
      </c>
      <c r="Z174" s="101" t="s">
        <v>1200</v>
      </c>
      <c r="AA174" s="985" t="s">
        <v>153</v>
      </c>
      <c r="AB174" s="77" t="s">
        <v>1205</v>
      </c>
      <c r="AC174" s="130">
        <v>0.22321428571428573</v>
      </c>
      <c r="AD174" s="72">
        <v>0.31496062992125984</v>
      </c>
      <c r="AE174" s="72">
        <v>0.33035714285714285</v>
      </c>
      <c r="AF174" s="77">
        <v>30</v>
      </c>
      <c r="AG174" s="28">
        <v>112</v>
      </c>
      <c r="AH174" s="28">
        <v>11</v>
      </c>
      <c r="AI174" s="28">
        <v>25</v>
      </c>
      <c r="AJ174" s="28">
        <v>9</v>
      </c>
      <c r="AK174" s="28">
        <v>0</v>
      </c>
      <c r="AL174" s="28">
        <v>1</v>
      </c>
      <c r="AM174" s="28">
        <v>4</v>
      </c>
      <c r="AN174" s="28">
        <v>15</v>
      </c>
      <c r="AO174" s="28">
        <v>17</v>
      </c>
      <c r="AP174" s="77">
        <v>0</v>
      </c>
      <c r="AQ174" s="28">
        <v>1</v>
      </c>
      <c r="AR174" s="28">
        <v>4</v>
      </c>
      <c r="AS174" s="77">
        <v>37</v>
      </c>
      <c r="AT174" s="72">
        <v>0.64531777277840274</v>
      </c>
      <c r="AU174" s="28">
        <v>1</v>
      </c>
      <c r="AV174" s="75">
        <v>172</v>
      </c>
      <c r="AY174" s="101" t="s">
        <v>1200</v>
      </c>
      <c r="AZ174" s="77" t="s">
        <v>153</v>
      </c>
      <c r="BA174" s="77" t="s">
        <v>1205</v>
      </c>
      <c r="BB174" s="130">
        <v>0.24087591240875914</v>
      </c>
      <c r="BC174" s="72">
        <v>0.30201342281879195</v>
      </c>
      <c r="BD174" s="72">
        <v>0.45985401459854014</v>
      </c>
      <c r="BE174" s="77">
        <v>36</v>
      </c>
      <c r="BF174" s="28">
        <v>137</v>
      </c>
      <c r="BG174" s="28">
        <v>16</v>
      </c>
      <c r="BH174" s="28">
        <v>33</v>
      </c>
      <c r="BI174" s="28">
        <v>9</v>
      </c>
      <c r="BJ174" s="28">
        <v>3</v>
      </c>
      <c r="BK174" s="28">
        <v>5</v>
      </c>
      <c r="BL174" s="28">
        <v>19</v>
      </c>
      <c r="BM174" s="28">
        <v>12</v>
      </c>
      <c r="BN174" s="28">
        <v>21</v>
      </c>
      <c r="BO174" s="77">
        <v>0</v>
      </c>
      <c r="BP174" s="28">
        <v>4</v>
      </c>
      <c r="BQ174" s="28">
        <v>6</v>
      </c>
      <c r="BR174" s="77">
        <v>63</v>
      </c>
      <c r="BS174" s="72">
        <v>0.76186743741733209</v>
      </c>
      <c r="BT174" s="28">
        <v>4</v>
      </c>
      <c r="BU174" s="75">
        <v>172</v>
      </c>
    </row>
    <row r="175" spans="1:73">
      <c r="A175" s="101" t="s">
        <v>1200</v>
      </c>
      <c r="B175" s="71" t="s">
        <v>177</v>
      </c>
      <c r="C175" s="28" t="s">
        <v>1206</v>
      </c>
      <c r="D175" s="130">
        <v>0.33552631578947367</v>
      </c>
      <c r="E175" s="72">
        <v>0.36477987421383645</v>
      </c>
      <c r="F175" s="72">
        <v>0.40789473684210525</v>
      </c>
      <c r="G175" s="77">
        <v>40</v>
      </c>
      <c r="H175" s="28">
        <v>152</v>
      </c>
      <c r="I175" s="28">
        <v>17</v>
      </c>
      <c r="J175" s="28">
        <v>51</v>
      </c>
      <c r="K175" s="28">
        <v>8</v>
      </c>
      <c r="L175" s="28">
        <v>0</v>
      </c>
      <c r="M175" s="28">
        <v>1</v>
      </c>
      <c r="N175" s="28">
        <v>8</v>
      </c>
      <c r="O175" s="28">
        <v>7</v>
      </c>
      <c r="P175" s="454">
        <v>25</v>
      </c>
      <c r="Q175" s="77">
        <v>0</v>
      </c>
      <c r="R175" s="28">
        <v>1</v>
      </c>
      <c r="S175" s="28">
        <v>9</v>
      </c>
      <c r="T175" s="77">
        <v>62</v>
      </c>
      <c r="U175" s="72">
        <v>0.77267461105594171</v>
      </c>
      <c r="V175" s="28">
        <v>3</v>
      </c>
      <c r="W175" s="75">
        <v>173</v>
      </c>
      <c r="Z175" s="101" t="s">
        <v>1200</v>
      </c>
      <c r="AA175" s="985" t="s">
        <v>177</v>
      </c>
      <c r="AB175" s="77" t="s">
        <v>1206</v>
      </c>
      <c r="AC175" s="130">
        <v>0.25757575757575757</v>
      </c>
      <c r="AD175" s="72">
        <v>0.3</v>
      </c>
      <c r="AE175" s="72">
        <v>0.35606060606060608</v>
      </c>
      <c r="AF175" s="77">
        <v>33</v>
      </c>
      <c r="AG175" s="28">
        <v>132</v>
      </c>
      <c r="AH175" s="28">
        <v>11</v>
      </c>
      <c r="AI175" s="28">
        <v>34</v>
      </c>
      <c r="AJ175" s="28">
        <v>4</v>
      </c>
      <c r="AK175" s="28">
        <v>0</v>
      </c>
      <c r="AL175" s="28">
        <v>3</v>
      </c>
      <c r="AM175" s="28">
        <v>13</v>
      </c>
      <c r="AN175" s="28">
        <v>8</v>
      </c>
      <c r="AO175" s="28">
        <v>38</v>
      </c>
      <c r="AP175" s="77">
        <v>0</v>
      </c>
      <c r="AQ175" s="28">
        <v>5</v>
      </c>
      <c r="AR175" s="28">
        <v>9</v>
      </c>
      <c r="AS175" s="77">
        <v>47</v>
      </c>
      <c r="AT175" s="72">
        <v>0.65606060606060601</v>
      </c>
      <c r="AU175" s="28">
        <v>0</v>
      </c>
      <c r="AV175" s="75">
        <v>173</v>
      </c>
      <c r="AY175" s="101" t="s">
        <v>1200</v>
      </c>
      <c r="AZ175" s="77" t="s">
        <v>177</v>
      </c>
      <c r="BA175" s="77" t="s">
        <v>1206</v>
      </c>
      <c r="BB175" s="130">
        <v>0.23275862068965517</v>
      </c>
      <c r="BC175" s="72">
        <v>0.3046875</v>
      </c>
      <c r="BD175" s="72">
        <v>0.34482758620689657</v>
      </c>
      <c r="BE175" s="77">
        <v>34</v>
      </c>
      <c r="BF175" s="28">
        <v>116</v>
      </c>
      <c r="BG175" s="28">
        <v>21</v>
      </c>
      <c r="BH175" s="28">
        <v>27</v>
      </c>
      <c r="BI175" s="28">
        <v>4</v>
      </c>
      <c r="BJ175" s="28">
        <v>0</v>
      </c>
      <c r="BK175" s="28">
        <v>3</v>
      </c>
      <c r="BL175" s="28">
        <v>16</v>
      </c>
      <c r="BM175" s="28">
        <v>12</v>
      </c>
      <c r="BN175" s="28">
        <v>30</v>
      </c>
      <c r="BO175" s="77">
        <v>0</v>
      </c>
      <c r="BP175" s="28">
        <v>1</v>
      </c>
      <c r="BQ175" s="28">
        <v>6</v>
      </c>
      <c r="BR175" s="77">
        <v>40</v>
      </c>
      <c r="BS175" s="72">
        <v>0.64951508620689657</v>
      </c>
      <c r="BT175" s="28">
        <v>1</v>
      </c>
      <c r="BU175" s="75">
        <v>173</v>
      </c>
    </row>
    <row r="176" spans="1:73">
      <c r="A176" s="101" t="s">
        <v>1200</v>
      </c>
      <c r="B176" s="71" t="s">
        <v>174</v>
      </c>
      <c r="C176" s="28" t="s">
        <v>1203</v>
      </c>
      <c r="D176" s="130">
        <v>0.3392857142857143</v>
      </c>
      <c r="E176" s="72">
        <v>0.36571428571428571</v>
      </c>
      <c r="F176" s="72">
        <v>0.42857142857142855</v>
      </c>
      <c r="G176" s="77">
        <v>40</v>
      </c>
      <c r="H176" s="28">
        <v>168</v>
      </c>
      <c r="I176" s="28">
        <v>20</v>
      </c>
      <c r="J176" s="28">
        <v>57</v>
      </c>
      <c r="K176" s="28">
        <v>10</v>
      </c>
      <c r="L176" s="28">
        <v>1</v>
      </c>
      <c r="M176" s="28">
        <v>1</v>
      </c>
      <c r="N176" s="28">
        <v>11</v>
      </c>
      <c r="O176" s="28">
        <v>7</v>
      </c>
      <c r="P176" s="454">
        <v>16</v>
      </c>
      <c r="Q176" s="77">
        <v>0</v>
      </c>
      <c r="R176" s="28">
        <v>11</v>
      </c>
      <c r="S176" s="28">
        <v>11</v>
      </c>
      <c r="T176" s="77">
        <v>72</v>
      </c>
      <c r="U176" s="72">
        <v>0.79428571428571426</v>
      </c>
      <c r="V176" s="28">
        <v>0</v>
      </c>
      <c r="W176" s="75">
        <v>174</v>
      </c>
      <c r="Z176" s="101" t="s">
        <v>1200</v>
      </c>
      <c r="AA176" s="985" t="s">
        <v>174</v>
      </c>
      <c r="AB176" s="77" t="s">
        <v>1209</v>
      </c>
      <c r="AC176" s="130">
        <v>0.19178082191780821</v>
      </c>
      <c r="AD176" s="72">
        <v>0.29761904761904762</v>
      </c>
      <c r="AE176" s="72">
        <v>0.32876712328767121</v>
      </c>
      <c r="AF176" s="77">
        <v>22</v>
      </c>
      <c r="AG176" s="28">
        <v>73</v>
      </c>
      <c r="AH176" s="28">
        <v>7</v>
      </c>
      <c r="AI176" s="28">
        <v>14</v>
      </c>
      <c r="AJ176" s="28">
        <v>1</v>
      </c>
      <c r="AK176" s="28">
        <v>0</v>
      </c>
      <c r="AL176" s="28">
        <v>3</v>
      </c>
      <c r="AM176" s="28">
        <v>7</v>
      </c>
      <c r="AN176" s="28">
        <v>11</v>
      </c>
      <c r="AO176" s="28">
        <v>26</v>
      </c>
      <c r="AP176" s="77">
        <v>0</v>
      </c>
      <c r="AQ176" s="28">
        <v>1</v>
      </c>
      <c r="AR176" s="28">
        <v>2</v>
      </c>
      <c r="AS176" s="77">
        <v>24</v>
      </c>
      <c r="AT176" s="72">
        <v>0.62638617090671889</v>
      </c>
      <c r="AU176" s="28">
        <v>1</v>
      </c>
      <c r="AV176" s="75">
        <v>174</v>
      </c>
      <c r="AY176" s="101" t="s">
        <v>1200</v>
      </c>
      <c r="AZ176" s="77" t="s">
        <v>174</v>
      </c>
      <c r="BA176" s="77" t="s">
        <v>1209</v>
      </c>
      <c r="BB176" s="130">
        <v>0.2857142857142857</v>
      </c>
      <c r="BC176" s="72">
        <v>0.35606060606060608</v>
      </c>
      <c r="BD176" s="72">
        <v>0.44537815126050423</v>
      </c>
      <c r="BE176" s="77">
        <v>35</v>
      </c>
      <c r="BF176" s="28">
        <v>119</v>
      </c>
      <c r="BG176" s="28">
        <v>8</v>
      </c>
      <c r="BH176" s="28">
        <v>34</v>
      </c>
      <c r="BI176" s="28">
        <v>10</v>
      </c>
      <c r="BJ176" s="28">
        <v>0</v>
      </c>
      <c r="BK176" s="28">
        <v>3</v>
      </c>
      <c r="BL176" s="28">
        <v>15</v>
      </c>
      <c r="BM176" s="28">
        <v>13</v>
      </c>
      <c r="BN176" s="28">
        <v>36</v>
      </c>
      <c r="BO176" s="77">
        <v>0</v>
      </c>
      <c r="BP176" s="28">
        <v>1</v>
      </c>
      <c r="BQ176" s="28">
        <v>4</v>
      </c>
      <c r="BR176" s="77">
        <v>53</v>
      </c>
      <c r="BS176" s="72">
        <v>0.80143875732111036</v>
      </c>
      <c r="BT176" s="28">
        <v>1</v>
      </c>
      <c r="BU176" s="75">
        <v>174</v>
      </c>
    </row>
    <row r="177" spans="1:73">
      <c r="A177" s="101" t="s">
        <v>1200</v>
      </c>
      <c r="B177" s="71" t="s">
        <v>383</v>
      </c>
      <c r="C177" s="28" t="s">
        <v>1201</v>
      </c>
      <c r="D177" s="130">
        <v>0.27810650887573962</v>
      </c>
      <c r="E177" s="72">
        <v>0.3146067415730337</v>
      </c>
      <c r="F177" s="72">
        <v>0.45562130177514792</v>
      </c>
      <c r="G177" s="77">
        <v>40</v>
      </c>
      <c r="H177" s="28">
        <v>169</v>
      </c>
      <c r="I177" s="28">
        <v>17</v>
      </c>
      <c r="J177" s="28">
        <v>47</v>
      </c>
      <c r="K177" s="28">
        <v>13</v>
      </c>
      <c r="L177" s="28">
        <v>1</v>
      </c>
      <c r="M177" s="28">
        <v>5</v>
      </c>
      <c r="N177" s="28">
        <v>13</v>
      </c>
      <c r="O177" s="28">
        <v>9</v>
      </c>
      <c r="P177" s="454">
        <v>34</v>
      </c>
      <c r="Q177" s="77">
        <v>1</v>
      </c>
      <c r="R177" s="28">
        <v>0</v>
      </c>
      <c r="S177" s="28">
        <v>8</v>
      </c>
      <c r="T177" s="77">
        <v>77</v>
      </c>
      <c r="U177" s="72">
        <v>0.77022804334818162</v>
      </c>
      <c r="V177" s="28">
        <v>2</v>
      </c>
      <c r="W177" s="75">
        <v>175</v>
      </c>
      <c r="Z177" s="101" t="s">
        <v>1200</v>
      </c>
      <c r="AA177" s="985" t="s">
        <v>181</v>
      </c>
      <c r="AB177" s="77" t="s">
        <v>1204</v>
      </c>
      <c r="AC177" s="130">
        <v>0.256198347107438</v>
      </c>
      <c r="AD177" s="72">
        <v>0.35251798561151076</v>
      </c>
      <c r="AE177" s="72">
        <v>0.4049586776859504</v>
      </c>
      <c r="AF177" s="77">
        <v>37</v>
      </c>
      <c r="AG177" s="28">
        <v>121</v>
      </c>
      <c r="AH177" s="28">
        <v>16</v>
      </c>
      <c r="AI177" s="28">
        <v>31</v>
      </c>
      <c r="AJ177" s="28">
        <v>8</v>
      </c>
      <c r="AK177" s="28">
        <v>2</v>
      </c>
      <c r="AL177" s="28">
        <v>2</v>
      </c>
      <c r="AM177" s="28">
        <v>14</v>
      </c>
      <c r="AN177" s="28">
        <v>18</v>
      </c>
      <c r="AO177" s="28">
        <v>37</v>
      </c>
      <c r="AP177" s="77">
        <v>1</v>
      </c>
      <c r="AQ177" s="28">
        <v>1</v>
      </c>
      <c r="AR177" s="28">
        <v>6</v>
      </c>
      <c r="AS177" s="77">
        <v>49</v>
      </c>
      <c r="AT177" s="72">
        <v>0.75747666329746122</v>
      </c>
      <c r="AU177" s="28">
        <v>1</v>
      </c>
      <c r="AV177" s="75">
        <v>175</v>
      </c>
      <c r="AY177" s="101" t="s">
        <v>1200</v>
      </c>
      <c r="AZ177" s="77" t="s">
        <v>181</v>
      </c>
      <c r="BA177" s="77" t="s">
        <v>1204</v>
      </c>
      <c r="BB177" s="130">
        <v>0.23076923076923078</v>
      </c>
      <c r="BC177" s="72">
        <v>0.30232558139534882</v>
      </c>
      <c r="BD177" s="72">
        <v>0.36752136752136755</v>
      </c>
      <c r="BE177" s="77">
        <v>34</v>
      </c>
      <c r="BF177" s="28">
        <v>117</v>
      </c>
      <c r="BG177" s="28">
        <v>17</v>
      </c>
      <c r="BH177" s="28">
        <v>27</v>
      </c>
      <c r="BI177" s="28">
        <v>5</v>
      </c>
      <c r="BJ177" s="28">
        <v>1</v>
      </c>
      <c r="BK177" s="28">
        <v>3</v>
      </c>
      <c r="BL177" s="28">
        <v>12</v>
      </c>
      <c r="BM177" s="28">
        <v>12</v>
      </c>
      <c r="BN177" s="28">
        <v>26</v>
      </c>
      <c r="BO177" s="77">
        <v>6</v>
      </c>
      <c r="BP177" s="28">
        <v>0</v>
      </c>
      <c r="BQ177" s="28">
        <v>7</v>
      </c>
      <c r="BR177" s="77">
        <v>43</v>
      </c>
      <c r="BS177" s="72">
        <v>0.66984694891671637</v>
      </c>
      <c r="BT177" s="28">
        <v>2</v>
      </c>
      <c r="BU177" s="75">
        <v>175</v>
      </c>
    </row>
    <row r="178" spans="1:73">
      <c r="A178" s="101" t="s">
        <v>1200</v>
      </c>
      <c r="B178" s="71" t="s">
        <v>166</v>
      </c>
      <c r="C178" s="28" t="s">
        <v>2185</v>
      </c>
      <c r="D178" s="130">
        <v>0.22972972972972974</v>
      </c>
      <c r="E178" s="72">
        <v>0.32941176470588235</v>
      </c>
      <c r="F178" s="72">
        <v>0.54054054054054057</v>
      </c>
      <c r="G178" s="77">
        <v>40</v>
      </c>
      <c r="H178" s="28">
        <v>148</v>
      </c>
      <c r="I178" s="28">
        <v>22</v>
      </c>
      <c r="J178" s="28">
        <v>34</v>
      </c>
      <c r="K178" s="28">
        <v>8</v>
      </c>
      <c r="L178" s="28">
        <v>1</v>
      </c>
      <c r="M178" s="28">
        <v>12</v>
      </c>
      <c r="N178" s="28">
        <v>32</v>
      </c>
      <c r="O178" s="28">
        <v>22</v>
      </c>
      <c r="P178" s="466">
        <v>44</v>
      </c>
      <c r="Q178" s="77">
        <v>7</v>
      </c>
      <c r="R178" s="28">
        <v>1</v>
      </c>
      <c r="S178" s="28">
        <v>8</v>
      </c>
      <c r="T178" s="77">
        <v>80</v>
      </c>
      <c r="U178" s="72">
        <v>0.86995230524642286</v>
      </c>
      <c r="V178" s="28">
        <v>5</v>
      </c>
      <c r="W178" s="75">
        <v>176</v>
      </c>
      <c r="Z178" s="101" t="s">
        <v>1200</v>
      </c>
      <c r="AA178" s="985" t="s">
        <v>166</v>
      </c>
      <c r="AB178" s="77" t="s">
        <v>1203</v>
      </c>
      <c r="AC178" s="130">
        <v>0.29268292682926828</v>
      </c>
      <c r="AD178" s="72">
        <v>0.33714285714285713</v>
      </c>
      <c r="AE178" s="72">
        <v>0.37804878048780488</v>
      </c>
      <c r="AF178" s="77">
        <v>39</v>
      </c>
      <c r="AG178" s="28">
        <v>164</v>
      </c>
      <c r="AH178" s="28">
        <v>17</v>
      </c>
      <c r="AI178" s="28">
        <v>48</v>
      </c>
      <c r="AJ178" s="28">
        <v>6</v>
      </c>
      <c r="AK178" s="28">
        <v>1</v>
      </c>
      <c r="AL178" s="28">
        <v>2</v>
      </c>
      <c r="AM178" s="28">
        <v>16</v>
      </c>
      <c r="AN178" s="28">
        <v>11</v>
      </c>
      <c r="AO178" s="28">
        <v>25</v>
      </c>
      <c r="AP178" s="77">
        <v>0</v>
      </c>
      <c r="AQ178" s="28">
        <v>0</v>
      </c>
      <c r="AR178" s="28">
        <v>6</v>
      </c>
      <c r="AS178" s="77">
        <v>62</v>
      </c>
      <c r="AT178" s="72">
        <v>0.71519163763066196</v>
      </c>
      <c r="AU178" s="28">
        <v>4</v>
      </c>
      <c r="AV178" s="75">
        <v>176</v>
      </c>
      <c r="AY178" s="101" t="s">
        <v>1200</v>
      </c>
      <c r="AZ178" s="77" t="s">
        <v>166</v>
      </c>
      <c r="BA178" s="77" t="s">
        <v>1203</v>
      </c>
      <c r="BB178" s="130">
        <v>0.29268292682926828</v>
      </c>
      <c r="BC178" s="72">
        <v>0.33333333333333331</v>
      </c>
      <c r="BD178" s="72">
        <v>0.3902439024390244</v>
      </c>
      <c r="BE178" s="77">
        <v>40</v>
      </c>
      <c r="BF178" s="28">
        <v>164</v>
      </c>
      <c r="BG178" s="28">
        <v>23</v>
      </c>
      <c r="BH178" s="28">
        <v>48</v>
      </c>
      <c r="BI178" s="28">
        <v>7</v>
      </c>
      <c r="BJ178" s="28">
        <v>0</v>
      </c>
      <c r="BK178" s="28">
        <v>3</v>
      </c>
      <c r="BL178" s="28">
        <v>17</v>
      </c>
      <c r="BM178" s="28">
        <v>10</v>
      </c>
      <c r="BN178" s="28">
        <v>26</v>
      </c>
      <c r="BO178" s="77">
        <v>0</v>
      </c>
      <c r="BP178" s="28">
        <v>1</v>
      </c>
      <c r="BQ178" s="28">
        <v>8</v>
      </c>
      <c r="BR178" s="77">
        <v>64</v>
      </c>
      <c r="BS178" s="72">
        <v>0.72357723577235777</v>
      </c>
      <c r="BT178" s="28">
        <v>3</v>
      </c>
      <c r="BU178" s="75">
        <v>176</v>
      </c>
    </row>
    <row r="179" spans="1:73">
      <c r="A179" s="101" t="s">
        <v>1200</v>
      </c>
      <c r="B179" s="71" t="s">
        <v>2171</v>
      </c>
      <c r="C179" s="28" t="s">
        <v>1204</v>
      </c>
      <c r="D179" s="130">
        <v>0.23214285714285715</v>
      </c>
      <c r="E179" s="72">
        <v>0.2711864406779661</v>
      </c>
      <c r="F179" s="72">
        <v>0.30357142857142855</v>
      </c>
      <c r="G179" s="77">
        <v>16</v>
      </c>
      <c r="H179" s="28">
        <v>56</v>
      </c>
      <c r="I179" s="28">
        <v>4</v>
      </c>
      <c r="J179" s="28">
        <v>13</v>
      </c>
      <c r="K179" s="28">
        <v>4</v>
      </c>
      <c r="L179" s="28">
        <v>0</v>
      </c>
      <c r="M179" s="28">
        <v>0</v>
      </c>
      <c r="N179" s="28">
        <v>4</v>
      </c>
      <c r="O179" s="28">
        <v>3</v>
      </c>
      <c r="P179" s="466">
        <v>23</v>
      </c>
      <c r="Q179" s="77">
        <v>0</v>
      </c>
      <c r="R179" s="28">
        <v>3</v>
      </c>
      <c r="S179" s="28">
        <v>5</v>
      </c>
      <c r="T179" s="77">
        <v>17</v>
      </c>
      <c r="U179" s="72">
        <v>0.57475786924939465</v>
      </c>
      <c r="V179" s="28">
        <v>1</v>
      </c>
      <c r="W179" s="75">
        <v>177</v>
      </c>
      <c r="Z179" s="101" t="s">
        <v>1200</v>
      </c>
      <c r="AA179" s="985" t="s">
        <v>168</v>
      </c>
      <c r="AB179" s="77" t="s">
        <v>1207</v>
      </c>
      <c r="AC179" s="130">
        <v>0.25324675324675322</v>
      </c>
      <c r="AD179" s="72">
        <v>0.31952662721893493</v>
      </c>
      <c r="AE179" s="72">
        <v>0.31818181818181818</v>
      </c>
      <c r="AF179" s="77">
        <v>39</v>
      </c>
      <c r="AG179" s="28">
        <v>154</v>
      </c>
      <c r="AH179" s="28">
        <v>13</v>
      </c>
      <c r="AI179" s="28">
        <v>39</v>
      </c>
      <c r="AJ179" s="28">
        <v>8</v>
      </c>
      <c r="AK179" s="28">
        <v>1</v>
      </c>
      <c r="AL179" s="28">
        <v>0</v>
      </c>
      <c r="AM179" s="28">
        <v>12</v>
      </c>
      <c r="AN179" s="28">
        <v>15</v>
      </c>
      <c r="AO179" s="28">
        <v>29</v>
      </c>
      <c r="AP179" s="77">
        <v>0</v>
      </c>
      <c r="AQ179" s="28">
        <v>0</v>
      </c>
      <c r="AR179" s="28">
        <v>6</v>
      </c>
      <c r="AS179" s="77">
        <v>49</v>
      </c>
      <c r="AT179" s="72">
        <v>0.63770844540075311</v>
      </c>
      <c r="AU179" s="28">
        <v>1</v>
      </c>
      <c r="AV179" s="75">
        <v>177</v>
      </c>
      <c r="AY179" s="101" t="s">
        <v>1200</v>
      </c>
      <c r="AZ179" s="77" t="s">
        <v>168</v>
      </c>
      <c r="BA179" s="77" t="s">
        <v>1207</v>
      </c>
      <c r="BB179" s="130">
        <v>0.24647887323943662</v>
      </c>
      <c r="BC179" s="72">
        <v>0.32278481012658228</v>
      </c>
      <c r="BD179" s="72">
        <v>0.40845070422535212</v>
      </c>
      <c r="BE179" s="77">
        <v>39</v>
      </c>
      <c r="BF179" s="28">
        <v>142</v>
      </c>
      <c r="BG179" s="28">
        <v>22</v>
      </c>
      <c r="BH179" s="28">
        <v>35</v>
      </c>
      <c r="BI179" s="28">
        <v>6</v>
      </c>
      <c r="BJ179" s="28">
        <v>1</v>
      </c>
      <c r="BK179" s="28">
        <v>5</v>
      </c>
      <c r="BL179" s="28">
        <v>23</v>
      </c>
      <c r="BM179" s="28">
        <v>16</v>
      </c>
      <c r="BN179" s="28">
        <v>26</v>
      </c>
      <c r="BO179" s="77">
        <v>2</v>
      </c>
      <c r="BP179" s="28">
        <v>1</v>
      </c>
      <c r="BQ179" s="28">
        <v>5</v>
      </c>
      <c r="BR179" s="77">
        <v>58</v>
      </c>
      <c r="BS179" s="72">
        <v>0.73123551435193446</v>
      </c>
      <c r="BT179" s="28">
        <v>2</v>
      </c>
      <c r="BU179" s="75">
        <v>177</v>
      </c>
    </row>
    <row r="180" spans="1:73">
      <c r="A180" s="101" t="s">
        <v>1200</v>
      </c>
      <c r="B180" s="71" t="s">
        <v>179</v>
      </c>
      <c r="C180" s="28" t="s">
        <v>1208</v>
      </c>
      <c r="D180" s="130">
        <v>0.17391304347826086</v>
      </c>
      <c r="E180" s="72">
        <v>0.24</v>
      </c>
      <c r="F180" s="72">
        <v>0.2608695652173913</v>
      </c>
      <c r="G180" s="77">
        <v>7</v>
      </c>
      <c r="H180" s="28">
        <v>23</v>
      </c>
      <c r="I180" s="28">
        <v>2</v>
      </c>
      <c r="J180" s="28">
        <v>4</v>
      </c>
      <c r="K180" s="28">
        <v>2</v>
      </c>
      <c r="L180" s="28">
        <v>0</v>
      </c>
      <c r="M180" s="28">
        <v>0</v>
      </c>
      <c r="N180" s="28">
        <v>3</v>
      </c>
      <c r="O180" s="28">
        <v>2</v>
      </c>
      <c r="P180" s="454">
        <v>7</v>
      </c>
      <c r="Q180" s="77">
        <v>0</v>
      </c>
      <c r="R180" s="28">
        <v>0</v>
      </c>
      <c r="S180" s="28">
        <v>3</v>
      </c>
      <c r="T180" s="77">
        <v>6</v>
      </c>
      <c r="U180" s="72">
        <v>0.50086956521739134</v>
      </c>
      <c r="V180" s="28">
        <v>1</v>
      </c>
      <c r="W180" s="75">
        <v>178</v>
      </c>
      <c r="Z180" s="101" t="s">
        <v>1200</v>
      </c>
      <c r="AA180" s="985" t="s">
        <v>179</v>
      </c>
      <c r="AB180" s="77" t="s">
        <v>1210</v>
      </c>
      <c r="AC180" s="130">
        <v>0.19148936170212766</v>
      </c>
      <c r="AD180" s="72">
        <v>0.24</v>
      </c>
      <c r="AE180" s="72">
        <v>0.40425531914893614</v>
      </c>
      <c r="AF180" s="77">
        <v>14</v>
      </c>
      <c r="AG180" s="28">
        <v>47</v>
      </c>
      <c r="AH180" s="28">
        <v>4</v>
      </c>
      <c r="AI180" s="28">
        <v>9</v>
      </c>
      <c r="AJ180" s="28">
        <v>4</v>
      </c>
      <c r="AK180" s="28">
        <v>0</v>
      </c>
      <c r="AL180" s="28">
        <v>2</v>
      </c>
      <c r="AM180" s="28">
        <v>6</v>
      </c>
      <c r="AN180" s="28">
        <v>3</v>
      </c>
      <c r="AO180" s="28">
        <v>17</v>
      </c>
      <c r="AP180" s="77">
        <v>0</v>
      </c>
      <c r="AQ180" s="28">
        <v>1</v>
      </c>
      <c r="AR180" s="28">
        <v>1</v>
      </c>
      <c r="AS180" s="77">
        <v>19</v>
      </c>
      <c r="AT180" s="72">
        <v>0.64425531914893619</v>
      </c>
      <c r="AU180" s="28">
        <v>1</v>
      </c>
      <c r="AV180" s="75">
        <v>178</v>
      </c>
      <c r="AY180" s="101" t="s">
        <v>1200</v>
      </c>
      <c r="AZ180" s="77" t="s">
        <v>308</v>
      </c>
      <c r="BA180" s="77" t="s">
        <v>1210</v>
      </c>
      <c r="BB180" s="130">
        <v>7.6923076923076927E-2</v>
      </c>
      <c r="BC180" s="72">
        <v>0.25</v>
      </c>
      <c r="BD180" s="72">
        <v>7.6923076923076927E-2</v>
      </c>
      <c r="BE180" s="77">
        <v>5</v>
      </c>
      <c r="BF180" s="28">
        <v>13</v>
      </c>
      <c r="BG180" s="28">
        <v>0</v>
      </c>
      <c r="BH180" s="28">
        <v>1</v>
      </c>
      <c r="BI180" s="28">
        <v>0</v>
      </c>
      <c r="BJ180" s="28">
        <v>0</v>
      </c>
      <c r="BK180" s="28">
        <v>0</v>
      </c>
      <c r="BL180" s="28">
        <v>0</v>
      </c>
      <c r="BM180" s="28">
        <v>3</v>
      </c>
      <c r="BN180" s="28">
        <v>3</v>
      </c>
      <c r="BO180" s="77">
        <v>0</v>
      </c>
      <c r="BP180" s="28">
        <v>0</v>
      </c>
      <c r="BQ180" s="28">
        <v>1</v>
      </c>
      <c r="BR180" s="77">
        <v>1</v>
      </c>
      <c r="BS180" s="72">
        <v>0.32692307692307693</v>
      </c>
      <c r="BT180" s="28">
        <v>0</v>
      </c>
      <c r="BU180" s="75">
        <v>178</v>
      </c>
    </row>
    <row r="181" spans="1:73">
      <c r="A181" s="101" t="s">
        <v>1200</v>
      </c>
      <c r="B181" s="71" t="s">
        <v>187</v>
      </c>
      <c r="C181" s="28" t="s">
        <v>1212</v>
      </c>
      <c r="D181" s="130">
        <v>0.27272727272727271</v>
      </c>
      <c r="E181" s="72">
        <v>0.33333333333333331</v>
      </c>
      <c r="F181" s="72">
        <v>0.54545454545454541</v>
      </c>
      <c r="G181" s="77">
        <v>6</v>
      </c>
      <c r="H181" s="28">
        <v>22</v>
      </c>
      <c r="I181" s="28">
        <v>3</v>
      </c>
      <c r="J181" s="28">
        <v>6</v>
      </c>
      <c r="K181" s="28">
        <v>0</v>
      </c>
      <c r="L181" s="28">
        <v>0</v>
      </c>
      <c r="M181" s="28">
        <v>2</v>
      </c>
      <c r="N181" s="28">
        <v>4</v>
      </c>
      <c r="O181" s="28">
        <v>2</v>
      </c>
      <c r="P181" s="466">
        <v>5</v>
      </c>
      <c r="Q181" s="77">
        <v>0</v>
      </c>
      <c r="R181" s="28">
        <v>2</v>
      </c>
      <c r="S181" s="28">
        <v>2</v>
      </c>
      <c r="T181" s="77">
        <v>12</v>
      </c>
      <c r="U181" s="72">
        <v>0.87878787878787867</v>
      </c>
      <c r="V181" s="28">
        <v>1</v>
      </c>
      <c r="W181" s="75">
        <v>179</v>
      </c>
      <c r="Z181" s="101" t="s">
        <v>1200</v>
      </c>
      <c r="AA181" s="985" t="s">
        <v>187</v>
      </c>
      <c r="AB181" s="77" t="s">
        <v>1212</v>
      </c>
      <c r="AC181" s="130">
        <v>9.0909090909090912E-2</v>
      </c>
      <c r="AD181" s="72">
        <v>0.1891891891891892</v>
      </c>
      <c r="AE181" s="72">
        <v>0.18181818181818182</v>
      </c>
      <c r="AF181" s="77">
        <v>10</v>
      </c>
      <c r="AG181" s="28">
        <v>33</v>
      </c>
      <c r="AH181" s="28">
        <v>4</v>
      </c>
      <c r="AI181" s="28">
        <v>3</v>
      </c>
      <c r="AJ181" s="28">
        <v>0</v>
      </c>
      <c r="AK181" s="28">
        <v>0</v>
      </c>
      <c r="AL181" s="28">
        <v>1</v>
      </c>
      <c r="AM181" s="28">
        <v>2</v>
      </c>
      <c r="AN181" s="28">
        <v>4</v>
      </c>
      <c r="AO181" s="28">
        <v>8</v>
      </c>
      <c r="AP181" s="77">
        <v>0</v>
      </c>
      <c r="AQ181" s="28">
        <v>0</v>
      </c>
      <c r="AR181" s="28">
        <v>3</v>
      </c>
      <c r="AS181" s="77">
        <v>6</v>
      </c>
      <c r="AT181" s="72">
        <v>0.37100737100737102</v>
      </c>
      <c r="AU181" s="28">
        <v>0</v>
      </c>
      <c r="AV181" s="75">
        <v>179</v>
      </c>
      <c r="AY181" s="101" t="s">
        <v>1200</v>
      </c>
      <c r="AZ181" s="77" t="s">
        <v>187</v>
      </c>
      <c r="BA181" s="77" t="s">
        <v>1212</v>
      </c>
      <c r="BB181" s="130">
        <v>0.107</v>
      </c>
      <c r="BC181" s="72">
        <v>0.107</v>
      </c>
      <c r="BD181" s="72">
        <v>0.28599999999999998</v>
      </c>
      <c r="BE181" s="77">
        <v>11</v>
      </c>
      <c r="BF181" s="28">
        <v>28</v>
      </c>
      <c r="BG181" s="28">
        <v>2</v>
      </c>
      <c r="BH181" s="28">
        <v>3</v>
      </c>
      <c r="BI181" s="28">
        <v>0</v>
      </c>
      <c r="BJ181" s="28">
        <v>1</v>
      </c>
      <c r="BK181" s="28">
        <v>1</v>
      </c>
      <c r="BL181" s="28">
        <v>1</v>
      </c>
      <c r="BM181" s="28">
        <v>0</v>
      </c>
      <c r="BN181" s="28">
        <v>6</v>
      </c>
      <c r="BO181" s="77">
        <v>1</v>
      </c>
      <c r="BP181" s="28">
        <v>2</v>
      </c>
      <c r="BQ181" s="28">
        <v>2</v>
      </c>
      <c r="BR181" s="77">
        <v>8</v>
      </c>
      <c r="BS181" s="72">
        <v>0.39300000000000002</v>
      </c>
      <c r="BT181" s="28">
        <v>0</v>
      </c>
      <c r="BU181" s="75">
        <v>179</v>
      </c>
    </row>
    <row r="182" spans="1:73">
      <c r="A182" s="101" t="s">
        <v>1200</v>
      </c>
      <c r="B182" s="71" t="s">
        <v>187</v>
      </c>
      <c r="C182" s="28" t="s">
        <v>1213</v>
      </c>
      <c r="D182" s="130">
        <v>0.14285714285714285</v>
      </c>
      <c r="E182" s="72">
        <v>0.29411764705882354</v>
      </c>
      <c r="F182" s="72">
        <v>0.35714285714285715</v>
      </c>
      <c r="G182" s="77">
        <v>4</v>
      </c>
      <c r="H182" s="28">
        <v>14</v>
      </c>
      <c r="I182" s="28">
        <v>2</v>
      </c>
      <c r="J182" s="28">
        <v>2</v>
      </c>
      <c r="K182" s="28">
        <v>0</v>
      </c>
      <c r="L182" s="28">
        <v>0</v>
      </c>
      <c r="M182" s="28">
        <v>1</v>
      </c>
      <c r="N182" s="28">
        <v>2</v>
      </c>
      <c r="O182" s="28">
        <v>3</v>
      </c>
      <c r="P182" s="466">
        <v>2</v>
      </c>
      <c r="Q182" s="77">
        <v>0</v>
      </c>
      <c r="R182" s="28">
        <v>1</v>
      </c>
      <c r="S182" s="28">
        <v>1</v>
      </c>
      <c r="T182" s="77">
        <v>5</v>
      </c>
      <c r="U182" s="72">
        <v>0.65126050420168069</v>
      </c>
      <c r="V182" s="28">
        <v>0</v>
      </c>
      <c r="W182" s="75">
        <v>180</v>
      </c>
      <c r="Z182" s="101" t="s">
        <v>1200</v>
      </c>
      <c r="AA182" s="985" t="s">
        <v>187</v>
      </c>
      <c r="AB182" s="77" t="s">
        <v>1213</v>
      </c>
      <c r="AC182" s="130">
        <v>0.12</v>
      </c>
      <c r="AD182" s="72">
        <v>0.154</v>
      </c>
      <c r="AE182" s="72">
        <v>0.2</v>
      </c>
      <c r="AF182" s="77">
        <v>7</v>
      </c>
      <c r="AG182" s="28">
        <v>25</v>
      </c>
      <c r="AH182" s="28">
        <v>1</v>
      </c>
      <c r="AI182" s="28">
        <v>3</v>
      </c>
      <c r="AJ182" s="28">
        <v>0</v>
      </c>
      <c r="AK182" s="28">
        <v>1</v>
      </c>
      <c r="AL182" s="28">
        <v>0</v>
      </c>
      <c r="AM182" s="28">
        <v>0</v>
      </c>
      <c r="AN182" s="28">
        <v>1</v>
      </c>
      <c r="AO182" s="28">
        <v>9</v>
      </c>
      <c r="AP182" s="77">
        <v>0</v>
      </c>
      <c r="AQ182" s="28">
        <v>0</v>
      </c>
      <c r="AR182" s="28">
        <v>1</v>
      </c>
      <c r="AS182" s="77">
        <v>5</v>
      </c>
      <c r="AT182" s="72">
        <v>0.35399999999999998</v>
      </c>
      <c r="AU182" s="28">
        <v>0</v>
      </c>
      <c r="AV182" s="75">
        <v>180</v>
      </c>
      <c r="AY182" s="101" t="s">
        <v>1200</v>
      </c>
      <c r="AZ182" s="77" t="s">
        <v>2169</v>
      </c>
      <c r="BA182" s="71" t="s">
        <v>1213</v>
      </c>
      <c r="BB182" s="130">
        <v>0.2</v>
      </c>
      <c r="BC182" s="72">
        <v>0.33333333333333331</v>
      </c>
      <c r="BD182" s="72">
        <v>0.34285714285714286</v>
      </c>
      <c r="BE182" s="77">
        <v>12</v>
      </c>
      <c r="BF182" s="28">
        <v>35</v>
      </c>
      <c r="BG182" s="28">
        <v>7</v>
      </c>
      <c r="BH182" s="28">
        <v>7</v>
      </c>
      <c r="BI182" s="28">
        <v>2</v>
      </c>
      <c r="BJ182" s="28">
        <v>0</v>
      </c>
      <c r="BK182" s="28">
        <v>1</v>
      </c>
      <c r="BL182" s="28">
        <v>2</v>
      </c>
      <c r="BM182" s="28">
        <v>7</v>
      </c>
      <c r="BN182" s="28">
        <v>10</v>
      </c>
      <c r="BO182" s="77">
        <v>0</v>
      </c>
      <c r="BP182" s="28">
        <v>0</v>
      </c>
      <c r="BQ182" s="28">
        <v>4</v>
      </c>
      <c r="BR182" s="77">
        <v>12</v>
      </c>
      <c r="BS182" s="72">
        <v>0.67619047619047623</v>
      </c>
      <c r="BT182" s="28">
        <v>0</v>
      </c>
      <c r="BU182" s="75">
        <v>180</v>
      </c>
    </row>
    <row r="183" spans="1:73">
      <c r="A183" s="101" t="s">
        <v>1200</v>
      </c>
      <c r="B183" s="71" t="s">
        <v>186</v>
      </c>
      <c r="C183" s="77" t="s">
        <v>1211</v>
      </c>
      <c r="D183" s="130">
        <v>0.12307692307692308</v>
      </c>
      <c r="E183" s="72">
        <v>0.17391304347826086</v>
      </c>
      <c r="F183" s="72">
        <v>0.18461538461538463</v>
      </c>
      <c r="G183" s="77">
        <v>18</v>
      </c>
      <c r="H183" s="28">
        <v>65</v>
      </c>
      <c r="I183" s="28">
        <v>5</v>
      </c>
      <c r="J183" s="28">
        <v>8</v>
      </c>
      <c r="K183" s="28">
        <v>4</v>
      </c>
      <c r="L183" s="28">
        <v>0</v>
      </c>
      <c r="M183" s="28">
        <v>0</v>
      </c>
      <c r="N183" s="28">
        <v>4</v>
      </c>
      <c r="O183" s="28">
        <v>4</v>
      </c>
      <c r="P183" s="454">
        <v>22</v>
      </c>
      <c r="Q183" s="77">
        <v>0</v>
      </c>
      <c r="R183" s="28">
        <v>1</v>
      </c>
      <c r="S183" s="28">
        <v>2</v>
      </c>
      <c r="T183" s="77">
        <v>12</v>
      </c>
      <c r="U183" s="72">
        <v>0.35852842809364549</v>
      </c>
      <c r="V183" s="28">
        <v>0</v>
      </c>
      <c r="W183" s="75">
        <v>181</v>
      </c>
      <c r="Z183" s="101" t="s">
        <v>1200</v>
      </c>
      <c r="AA183" s="985" t="s">
        <v>186</v>
      </c>
      <c r="AB183" s="77" t="s">
        <v>1211</v>
      </c>
      <c r="AC183" s="130">
        <v>0.19540229885057472</v>
      </c>
      <c r="AD183" s="72">
        <v>0.2391304347826087</v>
      </c>
      <c r="AE183" s="72">
        <v>0.32183908045977011</v>
      </c>
      <c r="AF183" s="77">
        <v>22</v>
      </c>
      <c r="AG183" s="28">
        <v>87</v>
      </c>
      <c r="AH183" s="28">
        <v>7</v>
      </c>
      <c r="AI183" s="28">
        <v>17</v>
      </c>
      <c r="AJ183" s="28">
        <v>1</v>
      </c>
      <c r="AK183" s="28">
        <v>2</v>
      </c>
      <c r="AL183" s="28">
        <v>2</v>
      </c>
      <c r="AM183" s="28">
        <v>8</v>
      </c>
      <c r="AN183" s="28">
        <v>5</v>
      </c>
      <c r="AO183" s="28">
        <v>33</v>
      </c>
      <c r="AP183" s="77">
        <v>0</v>
      </c>
      <c r="AQ183" s="28">
        <v>2</v>
      </c>
      <c r="AR183" s="28">
        <v>8</v>
      </c>
      <c r="AS183" s="77">
        <v>28</v>
      </c>
      <c r="AT183" s="72">
        <v>0.56096951524237881</v>
      </c>
      <c r="AU183" s="28">
        <v>2</v>
      </c>
      <c r="AV183" s="75">
        <v>181</v>
      </c>
      <c r="AY183" s="101" t="s">
        <v>1200</v>
      </c>
      <c r="AZ183" s="77" t="s">
        <v>186</v>
      </c>
      <c r="BA183" s="77" t="s">
        <v>1211</v>
      </c>
      <c r="BB183" s="130">
        <v>0.17499999999999999</v>
      </c>
      <c r="BC183" s="72">
        <v>0.25</v>
      </c>
      <c r="BD183" s="72">
        <v>0.3</v>
      </c>
      <c r="BE183" s="77">
        <v>12</v>
      </c>
      <c r="BF183" s="28">
        <v>40</v>
      </c>
      <c r="BG183" s="28">
        <v>2</v>
      </c>
      <c r="BH183" s="28">
        <v>7</v>
      </c>
      <c r="BI183" s="28">
        <v>2</v>
      </c>
      <c r="BJ183" s="28">
        <v>0</v>
      </c>
      <c r="BK183" s="28">
        <v>1</v>
      </c>
      <c r="BL183" s="28">
        <v>5</v>
      </c>
      <c r="BM183" s="28">
        <v>4</v>
      </c>
      <c r="BN183" s="28">
        <v>12</v>
      </c>
      <c r="BO183" s="77">
        <v>0</v>
      </c>
      <c r="BP183" s="28">
        <v>0</v>
      </c>
      <c r="BQ183" s="28">
        <v>4</v>
      </c>
      <c r="BR183" s="77">
        <v>12</v>
      </c>
      <c r="BS183" s="72">
        <v>0.55000000000000004</v>
      </c>
      <c r="BT183" s="28">
        <v>0</v>
      </c>
      <c r="BU183" s="75">
        <v>181</v>
      </c>
    </row>
    <row r="184" spans="1:73">
      <c r="A184" s="101" t="s">
        <v>1200</v>
      </c>
      <c r="B184" s="71" t="s">
        <v>186</v>
      </c>
      <c r="C184" s="28" t="s">
        <v>1214</v>
      </c>
      <c r="D184" s="130">
        <v>0</v>
      </c>
      <c r="E184" s="72">
        <v>0</v>
      </c>
      <c r="F184" s="72">
        <v>0</v>
      </c>
      <c r="G184" s="77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454">
        <v>0</v>
      </c>
      <c r="Q184" s="77">
        <v>0</v>
      </c>
      <c r="R184" s="28">
        <v>0</v>
      </c>
      <c r="S184" s="28">
        <v>0</v>
      </c>
      <c r="T184" s="77">
        <v>0</v>
      </c>
      <c r="U184" s="72">
        <v>0</v>
      </c>
      <c r="V184" s="28">
        <v>0</v>
      </c>
      <c r="W184" s="75">
        <v>182</v>
      </c>
      <c r="Z184" s="101" t="s">
        <v>1200</v>
      </c>
      <c r="AA184" s="985" t="s">
        <v>186</v>
      </c>
      <c r="AB184" s="71" t="s">
        <v>1214</v>
      </c>
      <c r="AC184" s="130">
        <v>0</v>
      </c>
      <c r="AD184" s="72">
        <v>0</v>
      </c>
      <c r="AE184" s="72">
        <v>0</v>
      </c>
      <c r="AF184" s="77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77">
        <v>0</v>
      </c>
      <c r="AQ184" s="28">
        <v>0</v>
      </c>
      <c r="AR184" s="28">
        <v>0</v>
      </c>
      <c r="AS184" s="77">
        <v>0</v>
      </c>
      <c r="AT184" s="72">
        <v>0</v>
      </c>
      <c r="AU184" s="28">
        <v>0</v>
      </c>
      <c r="AV184" s="75">
        <v>182</v>
      </c>
      <c r="AY184" s="101" t="s">
        <v>1200</v>
      </c>
      <c r="AZ184" s="77" t="s">
        <v>184</v>
      </c>
      <c r="BA184" s="77" t="s">
        <v>1214</v>
      </c>
      <c r="BB184" s="130">
        <v>0</v>
      </c>
      <c r="BC184" s="72">
        <v>0</v>
      </c>
      <c r="BD184" s="72">
        <v>0</v>
      </c>
      <c r="BE184" s="77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77">
        <v>0</v>
      </c>
      <c r="BP184" s="28">
        <v>0</v>
      </c>
      <c r="BQ184" s="28">
        <v>0</v>
      </c>
      <c r="BR184" s="77">
        <v>0</v>
      </c>
      <c r="BS184" s="72">
        <v>0</v>
      </c>
      <c r="BT184" s="28">
        <v>0</v>
      </c>
      <c r="BU184" s="75">
        <v>182</v>
      </c>
    </row>
    <row r="185" spans="1:73">
      <c r="A185" s="101" t="s">
        <v>1229</v>
      </c>
      <c r="B185" s="77" t="s">
        <v>179</v>
      </c>
      <c r="C185" s="77" t="s">
        <v>1240</v>
      </c>
      <c r="D185" s="996">
        <f>VLOOKUP(Table88[[#This Row],[NAME]],COL_H[[NAME]:['#]],2,0)</f>
        <v>0.23853211009174313</v>
      </c>
      <c r="E185" s="72">
        <f>VLOOKUP(Table88[[#This Row],[NAME]],COL_H[[NAME]:['#]],3,0)</f>
        <v>0.25892857142857145</v>
      </c>
      <c r="F185" s="72">
        <f>VLOOKUP(Table88[[#This Row],[NAME]],COL_H[[NAME]:['#]],4,0)</f>
        <v>0.40366972477064222</v>
      </c>
      <c r="G185" s="77">
        <f>VLOOKUP(Table88[[#This Row],[NAME]],COL_H[[NAME]:['#]],5,0)</f>
        <v>30</v>
      </c>
      <c r="H185" s="28">
        <f>VLOOKUP(Table88[[#This Row],[NAME]],COL_H[[NAME]:['#]],6,0)</f>
        <v>109</v>
      </c>
      <c r="I185" s="28">
        <f>VLOOKUP(Table88[[#This Row],[NAME]],COL_H[[NAME]:['#]],7,0)</f>
        <v>9</v>
      </c>
      <c r="J185" s="28">
        <f>VLOOKUP(Table88[[#This Row],[NAME]],COL_H[[NAME]:['#]],8,0)</f>
        <v>26</v>
      </c>
      <c r="K185" s="28">
        <f>VLOOKUP(Table88[[#This Row],[NAME]],COL_H[[NAME]:['#]],9,0)</f>
        <v>6</v>
      </c>
      <c r="L185" s="28">
        <f>VLOOKUP(Table88[[#This Row],[NAME]],COL_H[[NAME]:['#]],10,0)</f>
        <v>0</v>
      </c>
      <c r="M185" s="28">
        <f>VLOOKUP(Table88[[#This Row],[NAME]],COL_H[[NAME]:['#]],11,0)</f>
        <v>4</v>
      </c>
      <c r="N185" s="28">
        <f>VLOOKUP(Table88[[#This Row],[NAME]],COL_H[[NAME]:['#]],12,0)</f>
        <v>11</v>
      </c>
      <c r="O185" s="28">
        <f>VLOOKUP(Table88[[#This Row],[NAME]],COL_H[[NAME]:['#]],13,0)</f>
        <v>3</v>
      </c>
      <c r="P185" s="28">
        <f>VLOOKUP(Table88[[#This Row],[NAME]],COL_H[[NAME]:['#]],14,0)</f>
        <v>21</v>
      </c>
      <c r="Q185" s="77">
        <f>VLOOKUP(Table88[[#This Row],[NAME]],COL_H[[NAME]:['#]],15,0)</f>
        <v>0</v>
      </c>
      <c r="R185" s="28">
        <f>VLOOKUP(Table88[[#This Row],[NAME]],COL_H[[NAME]:['#]],16,0)</f>
        <v>0</v>
      </c>
      <c r="S185" s="28">
        <f>VLOOKUP(Table88[[#This Row],[NAME]],COL_H[[NAME]:['#]],17,0)</f>
        <v>6</v>
      </c>
      <c r="T185" s="77">
        <f>VLOOKUP(Table88[[#This Row],[NAME]],COL_H[[NAME]:['#]],18,0)</f>
        <v>44</v>
      </c>
      <c r="U185" s="72">
        <f>VLOOKUP(Table88[[#This Row],[NAME]],COL_H[[NAME]:['#]],19,0)</f>
        <v>0.66259829619921362</v>
      </c>
      <c r="V185" s="28">
        <f>VLOOKUP(Table88[[#This Row],[NAME]],COL_H[[NAME]:['#]],20,0)</f>
        <v>2</v>
      </c>
      <c r="W185" s="75">
        <v>183</v>
      </c>
      <c r="Z185" s="101" t="s">
        <v>1229</v>
      </c>
      <c r="AA185" s="77" t="s">
        <v>179</v>
      </c>
      <c r="AB185" s="77" t="s">
        <v>1241</v>
      </c>
      <c r="AC185" s="130">
        <v>0.13636363636363635</v>
      </c>
      <c r="AD185" s="72">
        <v>0.19148936170212766</v>
      </c>
      <c r="AE185" s="72">
        <v>0.32575757575757575</v>
      </c>
      <c r="AF185" s="77">
        <v>39</v>
      </c>
      <c r="AG185" s="28">
        <v>132</v>
      </c>
      <c r="AH185" s="28">
        <v>12</v>
      </c>
      <c r="AI185" s="28">
        <v>18</v>
      </c>
      <c r="AJ185" s="28">
        <v>1</v>
      </c>
      <c r="AK185" s="28">
        <v>0</v>
      </c>
      <c r="AL185" s="28">
        <v>8</v>
      </c>
      <c r="AM185" s="28">
        <v>16</v>
      </c>
      <c r="AN185" s="28">
        <v>9</v>
      </c>
      <c r="AO185" s="28">
        <v>51</v>
      </c>
      <c r="AP185" s="77">
        <v>0</v>
      </c>
      <c r="AQ185" s="28">
        <v>0</v>
      </c>
      <c r="AR185" s="28">
        <v>5</v>
      </c>
      <c r="AS185" s="77">
        <v>43</v>
      </c>
      <c r="AT185" s="72">
        <v>0.5172469374597034</v>
      </c>
      <c r="AU185" s="28">
        <v>1</v>
      </c>
      <c r="AV185" s="75">
        <v>183</v>
      </c>
      <c r="AY185" s="101" t="s">
        <v>1229</v>
      </c>
      <c r="AZ185" s="77" t="s">
        <v>179</v>
      </c>
      <c r="BA185" s="77" t="s">
        <v>1241</v>
      </c>
      <c r="BB185" s="130">
        <v>0.2318840579710145</v>
      </c>
      <c r="BC185" s="72">
        <v>0.24285714285714285</v>
      </c>
      <c r="BD185" s="72">
        <v>0.36231884057971014</v>
      </c>
      <c r="BE185" s="77">
        <v>25</v>
      </c>
      <c r="BF185" s="28">
        <v>69</v>
      </c>
      <c r="BG185" s="28">
        <v>8</v>
      </c>
      <c r="BH185" s="28">
        <v>16</v>
      </c>
      <c r="BI185" s="28">
        <v>3</v>
      </c>
      <c r="BJ185" s="28">
        <v>0</v>
      </c>
      <c r="BK185" s="28">
        <v>2</v>
      </c>
      <c r="BL185" s="28">
        <v>6</v>
      </c>
      <c r="BM185" s="28">
        <v>1</v>
      </c>
      <c r="BN185" s="28">
        <v>20</v>
      </c>
      <c r="BO185" s="77">
        <v>0</v>
      </c>
      <c r="BP185" s="28">
        <v>1</v>
      </c>
      <c r="BQ185" s="28">
        <v>3</v>
      </c>
      <c r="BR185" s="77">
        <v>25</v>
      </c>
      <c r="BS185" s="72">
        <v>0.60517598343685297</v>
      </c>
      <c r="BT185" s="28">
        <v>0</v>
      </c>
      <c r="BU185" s="75">
        <v>183</v>
      </c>
    </row>
    <row r="186" spans="1:73">
      <c r="A186" s="101" t="s">
        <v>1229</v>
      </c>
      <c r="B186" s="71" t="s">
        <v>154</v>
      </c>
      <c r="C186" s="74" t="s">
        <v>1239</v>
      </c>
      <c r="D186" s="72">
        <f>VLOOKUP(Table88[[#This Row],[NAME]],COL_H[[NAME]:['#]],2,0)</f>
        <v>0.28888888888888886</v>
      </c>
      <c r="E186" s="72">
        <f>VLOOKUP(Table88[[#This Row],[NAME]],COL_H[[NAME]:['#]],3,0)</f>
        <v>0.38064516129032255</v>
      </c>
      <c r="F186" s="72">
        <f>VLOOKUP(Table88[[#This Row],[NAME]],COL_H[[NAME]:['#]],4,0)</f>
        <v>0.47407407407407409</v>
      </c>
      <c r="G186" s="77">
        <f>VLOOKUP(Table88[[#This Row],[NAME]],COL_H[[NAME]:['#]],5,0)</f>
        <v>38</v>
      </c>
      <c r="H186" s="28">
        <f>VLOOKUP(Table88[[#This Row],[NAME]],COL_H[[NAME]:['#]],6,0)</f>
        <v>135</v>
      </c>
      <c r="I186" s="28">
        <f>VLOOKUP(Table88[[#This Row],[NAME]],COL_H[[NAME]:['#]],7,0)</f>
        <v>17</v>
      </c>
      <c r="J186" s="28">
        <f>VLOOKUP(Table88[[#This Row],[NAME]],COL_H[[NAME]:['#]],8,0)</f>
        <v>39</v>
      </c>
      <c r="K186" s="28">
        <f>VLOOKUP(Table88[[#This Row],[NAME]],COL_H[[NAME]:['#]],9,0)</f>
        <v>10</v>
      </c>
      <c r="L186" s="28">
        <f>VLOOKUP(Table88[[#This Row],[NAME]],COL_H[[NAME]:['#]],10,0)</f>
        <v>0</v>
      </c>
      <c r="M186" s="28">
        <f>VLOOKUP(Table88[[#This Row],[NAME]],COL_H[[NAME]:['#]],11,0)</f>
        <v>5</v>
      </c>
      <c r="N186" s="28">
        <f>VLOOKUP(Table88[[#This Row],[NAME]],COL_H[[NAME]:['#]],12,0)</f>
        <v>17</v>
      </c>
      <c r="O186" s="28">
        <f>VLOOKUP(Table88[[#This Row],[NAME]],COL_H[[NAME]:['#]],13,0)</f>
        <v>20</v>
      </c>
      <c r="P186" s="28">
        <f>VLOOKUP(Table88[[#This Row],[NAME]],COL_H[[NAME]:['#]],14,0)</f>
        <v>59</v>
      </c>
      <c r="Q186" s="77">
        <f>VLOOKUP(Table88[[#This Row],[NAME]],COL_H[[NAME]:['#]],15,0)</f>
        <v>0</v>
      </c>
      <c r="R186" s="28">
        <f>VLOOKUP(Table88[[#This Row],[NAME]],COL_H[[NAME]:['#]],16,0)</f>
        <v>4</v>
      </c>
      <c r="S186" s="28">
        <f>VLOOKUP(Table88[[#This Row],[NAME]],COL_H[[NAME]:['#]],17,0)</f>
        <v>4</v>
      </c>
      <c r="T186" s="77">
        <f>VLOOKUP(Table88[[#This Row],[NAME]],COL_H[[NAME]:['#]],18,0)</f>
        <v>64</v>
      </c>
      <c r="U186" s="72">
        <f>VLOOKUP(Table88[[#This Row],[NAME]],COL_H[[NAME]:['#]],19,0)</f>
        <v>0.85471923536439665</v>
      </c>
      <c r="V186" s="28">
        <f>VLOOKUP(Table88[[#This Row],[NAME]],COL_H[[NAME]:['#]],20,0)</f>
        <v>0</v>
      </c>
      <c r="W186" s="75">
        <v>184</v>
      </c>
      <c r="Z186" s="101" t="s">
        <v>1229</v>
      </c>
      <c r="AA186" s="77" t="s">
        <v>154</v>
      </c>
      <c r="AB186" s="77" t="s">
        <v>1239</v>
      </c>
      <c r="AC186" s="130">
        <v>0.25333333333333335</v>
      </c>
      <c r="AD186" s="72">
        <v>0.37777777777777777</v>
      </c>
      <c r="AE186" s="72">
        <v>0.49333333333333335</v>
      </c>
      <c r="AF186" s="77">
        <v>23</v>
      </c>
      <c r="AG186" s="28">
        <v>75</v>
      </c>
      <c r="AH186" s="28">
        <v>13</v>
      </c>
      <c r="AI186" s="28">
        <v>19</v>
      </c>
      <c r="AJ186" s="28">
        <v>3</v>
      </c>
      <c r="AK186" s="28">
        <v>0</v>
      </c>
      <c r="AL186" s="28">
        <v>5</v>
      </c>
      <c r="AM186" s="28">
        <v>13</v>
      </c>
      <c r="AN186" s="28">
        <v>15</v>
      </c>
      <c r="AO186" s="28">
        <v>29</v>
      </c>
      <c r="AP186" s="77">
        <v>0</v>
      </c>
      <c r="AQ186" s="28">
        <v>0</v>
      </c>
      <c r="AR186" s="28">
        <v>3</v>
      </c>
      <c r="AS186" s="77">
        <v>37</v>
      </c>
      <c r="AT186" s="72">
        <v>0.87111111111111117</v>
      </c>
      <c r="AU186" s="28">
        <v>0</v>
      </c>
      <c r="AV186" s="75">
        <v>184</v>
      </c>
      <c r="AY186" s="101" t="s">
        <v>1229</v>
      </c>
      <c r="AZ186" s="77" t="s">
        <v>154</v>
      </c>
      <c r="BA186" s="77" t="s">
        <v>1239</v>
      </c>
      <c r="BB186" s="130">
        <v>0.21481481481481482</v>
      </c>
      <c r="BC186" s="72">
        <v>0.27397260273972601</v>
      </c>
      <c r="BD186" s="72">
        <v>0.38518518518518519</v>
      </c>
      <c r="BE186" s="77">
        <v>38</v>
      </c>
      <c r="BF186" s="28">
        <v>135</v>
      </c>
      <c r="BG186" s="28">
        <v>12</v>
      </c>
      <c r="BH186" s="28">
        <v>29</v>
      </c>
      <c r="BI186" s="28">
        <v>5</v>
      </c>
      <c r="BJ186" s="28">
        <v>0</v>
      </c>
      <c r="BK186" s="28">
        <v>6</v>
      </c>
      <c r="BL186" s="28">
        <v>19</v>
      </c>
      <c r="BM186" s="28">
        <v>11</v>
      </c>
      <c r="BN186" s="28">
        <v>42</v>
      </c>
      <c r="BO186" s="77">
        <v>0</v>
      </c>
      <c r="BP186" s="28">
        <v>0</v>
      </c>
      <c r="BQ186" s="28">
        <v>3</v>
      </c>
      <c r="BR186" s="77">
        <v>52</v>
      </c>
      <c r="BS186" s="72">
        <v>0.6591577879249112</v>
      </c>
      <c r="BT186" s="28">
        <v>3</v>
      </c>
      <c r="BU186" s="75">
        <v>184</v>
      </c>
    </row>
    <row r="187" spans="1:73">
      <c r="A187" s="101" t="s">
        <v>1229</v>
      </c>
      <c r="B187" s="77" t="s">
        <v>172</v>
      </c>
      <c r="C187" s="77" t="s">
        <v>1236</v>
      </c>
      <c r="D187" s="996">
        <f>VLOOKUP(Table88[[#This Row],[NAME]],COL_H[[NAME]:['#]],2,0)</f>
        <v>0.2857142857142857</v>
      </c>
      <c r="E187" s="72">
        <f>VLOOKUP(Table88[[#This Row],[NAME]],COL_H[[NAME]:['#]],3,0)</f>
        <v>0.37158469945355194</v>
      </c>
      <c r="F187" s="72">
        <f>VLOOKUP(Table88[[#This Row],[NAME]],COL_H[[NAME]:['#]],4,0)</f>
        <v>0.41614906832298137</v>
      </c>
      <c r="G187" s="77">
        <f>VLOOKUP(Table88[[#This Row],[NAME]],COL_H[[NAME]:['#]],5,0)</f>
        <v>40</v>
      </c>
      <c r="H187" s="28">
        <f>VLOOKUP(Table88[[#This Row],[NAME]],COL_H[[NAME]:['#]],6,0)</f>
        <v>161</v>
      </c>
      <c r="I187" s="28">
        <f>VLOOKUP(Table88[[#This Row],[NAME]],COL_H[[NAME]:['#]],7,0)</f>
        <v>21</v>
      </c>
      <c r="J187" s="28">
        <f>VLOOKUP(Table88[[#This Row],[NAME]],COL_H[[NAME]:['#]],8,0)</f>
        <v>46</v>
      </c>
      <c r="K187" s="28">
        <f>VLOOKUP(Table88[[#This Row],[NAME]],COL_H[[NAME]:['#]],9,0)</f>
        <v>10</v>
      </c>
      <c r="L187" s="28">
        <f>VLOOKUP(Table88[[#This Row],[NAME]],COL_H[[NAME]:['#]],10,0)</f>
        <v>1</v>
      </c>
      <c r="M187" s="28">
        <f>VLOOKUP(Table88[[#This Row],[NAME]],COL_H[[NAME]:['#]],11,0)</f>
        <v>3</v>
      </c>
      <c r="N187" s="28">
        <f>VLOOKUP(Table88[[#This Row],[NAME]],COL_H[[NAME]:['#]],12,0)</f>
        <v>19</v>
      </c>
      <c r="O187" s="28">
        <f>VLOOKUP(Table88[[#This Row],[NAME]],COL_H[[NAME]:['#]],13,0)</f>
        <v>22</v>
      </c>
      <c r="P187" s="28">
        <f>VLOOKUP(Table88[[#This Row],[NAME]],COL_H[[NAME]:['#]],14,0)</f>
        <v>37</v>
      </c>
      <c r="Q187" s="77">
        <f>VLOOKUP(Table88[[#This Row],[NAME]],COL_H[[NAME]:['#]],15,0)</f>
        <v>0</v>
      </c>
      <c r="R187" s="28">
        <f>VLOOKUP(Table88[[#This Row],[NAME]],COL_H[[NAME]:['#]],16,0)</f>
        <v>1</v>
      </c>
      <c r="S187" s="28">
        <f>VLOOKUP(Table88[[#This Row],[NAME]],COL_H[[NAME]:['#]],17,0)</f>
        <v>11</v>
      </c>
      <c r="T187" s="77">
        <f>VLOOKUP(Table88[[#This Row],[NAME]],COL_H[[NAME]:['#]],18,0)</f>
        <v>67</v>
      </c>
      <c r="U187" s="72">
        <f>VLOOKUP(Table88[[#This Row],[NAME]],COL_H[[NAME]:['#]],19,0)</f>
        <v>0.78773376777653326</v>
      </c>
      <c r="V187" s="28">
        <f>VLOOKUP(Table88[[#This Row],[NAME]],COL_H[[NAME]:['#]],20,0)</f>
        <v>1</v>
      </c>
      <c r="W187" s="75">
        <v>185</v>
      </c>
      <c r="Z187" s="101" t="s">
        <v>1229</v>
      </c>
      <c r="AA187" s="77" t="s">
        <v>172</v>
      </c>
      <c r="AB187" s="77" t="s">
        <v>1231</v>
      </c>
      <c r="AC187" s="130">
        <v>0.25882352941176473</v>
      </c>
      <c r="AD187" s="72">
        <v>0.31891891891891894</v>
      </c>
      <c r="AE187" s="72">
        <v>0.4823529411764706</v>
      </c>
      <c r="AF187" s="77">
        <v>40</v>
      </c>
      <c r="AG187" s="28">
        <v>170</v>
      </c>
      <c r="AH187" s="28">
        <v>24</v>
      </c>
      <c r="AI187" s="28">
        <v>44</v>
      </c>
      <c r="AJ187" s="28">
        <v>11</v>
      </c>
      <c r="AK187" s="28">
        <v>0</v>
      </c>
      <c r="AL187" s="28">
        <v>9</v>
      </c>
      <c r="AM187" s="28">
        <v>15</v>
      </c>
      <c r="AN187" s="28">
        <v>15</v>
      </c>
      <c r="AO187" s="28">
        <v>53</v>
      </c>
      <c r="AP187" s="77">
        <v>5</v>
      </c>
      <c r="AQ187" s="28">
        <v>0</v>
      </c>
      <c r="AR187" s="28">
        <v>10</v>
      </c>
      <c r="AS187" s="77">
        <v>82</v>
      </c>
      <c r="AT187" s="72">
        <v>0.80127186009538953</v>
      </c>
      <c r="AU187" s="28">
        <v>2</v>
      </c>
      <c r="AV187" s="75">
        <v>185</v>
      </c>
      <c r="AY187" s="101" t="s">
        <v>1229</v>
      </c>
      <c r="AZ187" s="77" t="s">
        <v>172</v>
      </c>
      <c r="BA187" s="77" t="s">
        <v>1231</v>
      </c>
      <c r="BB187" s="130">
        <v>0.29518072289156627</v>
      </c>
      <c r="BC187" s="72">
        <v>0.36756756756756759</v>
      </c>
      <c r="BD187" s="72">
        <v>0.56024096385542166</v>
      </c>
      <c r="BE187" s="77">
        <v>40</v>
      </c>
      <c r="BF187" s="28">
        <v>166</v>
      </c>
      <c r="BG187" s="28">
        <v>28</v>
      </c>
      <c r="BH187" s="28">
        <v>49</v>
      </c>
      <c r="BI187" s="28">
        <v>13</v>
      </c>
      <c r="BJ187" s="28">
        <v>2</v>
      </c>
      <c r="BK187" s="28">
        <v>9</v>
      </c>
      <c r="BL187" s="28">
        <v>27</v>
      </c>
      <c r="BM187" s="28">
        <v>19</v>
      </c>
      <c r="BN187" s="28">
        <v>48</v>
      </c>
      <c r="BO187" s="77">
        <v>6</v>
      </c>
      <c r="BP187" s="28">
        <v>2</v>
      </c>
      <c r="BQ187" s="28">
        <v>13</v>
      </c>
      <c r="BR187" s="77">
        <v>93</v>
      </c>
      <c r="BS187" s="72">
        <v>0.92780853142298925</v>
      </c>
      <c r="BT187" s="28">
        <v>2</v>
      </c>
      <c r="BU187" s="75">
        <v>185</v>
      </c>
    </row>
    <row r="188" spans="1:73">
      <c r="A188" s="101" t="s">
        <v>1229</v>
      </c>
      <c r="B188" s="71" t="s">
        <v>153</v>
      </c>
      <c r="C188" s="74" t="s">
        <v>1231</v>
      </c>
      <c r="D188" s="72">
        <f>VLOOKUP(Table88[[#This Row],[NAME]],COL_H[[NAME]:['#]],2,0)</f>
        <v>0.23493975903614459</v>
      </c>
      <c r="E188" s="72">
        <f>VLOOKUP(Table88[[#This Row],[NAME]],COL_H[[NAME]:['#]],3,0)</f>
        <v>0.28651685393258425</v>
      </c>
      <c r="F188" s="72">
        <f>VLOOKUP(Table88[[#This Row],[NAME]],COL_H[[NAME]:['#]],4,0)</f>
        <v>0.43373493975903615</v>
      </c>
      <c r="G188" s="77">
        <f>VLOOKUP(Table88[[#This Row],[NAME]],COL_H[[NAME]:['#]],5,0)</f>
        <v>38</v>
      </c>
      <c r="H188" s="28">
        <f>VLOOKUP(Table88[[#This Row],[NAME]],COL_H[[NAME]:['#]],6,0)</f>
        <v>166</v>
      </c>
      <c r="I188" s="28">
        <f>VLOOKUP(Table88[[#This Row],[NAME]],COL_H[[NAME]:['#]],7,0)</f>
        <v>25</v>
      </c>
      <c r="J188" s="28">
        <f>VLOOKUP(Table88[[#This Row],[NAME]],COL_H[[NAME]:['#]],8,0)</f>
        <v>39</v>
      </c>
      <c r="K188" s="28">
        <f>VLOOKUP(Table88[[#This Row],[NAME]],COL_H[[NAME]:['#]],9,0)</f>
        <v>13</v>
      </c>
      <c r="L188" s="28">
        <f>VLOOKUP(Table88[[#This Row],[NAME]],COL_H[[NAME]:['#]],10,0)</f>
        <v>1</v>
      </c>
      <c r="M188" s="28">
        <f>VLOOKUP(Table88[[#This Row],[NAME]],COL_H[[NAME]:['#]],11,0)</f>
        <v>6</v>
      </c>
      <c r="N188" s="28">
        <f>VLOOKUP(Table88[[#This Row],[NAME]],COL_H[[NAME]:['#]],12,0)</f>
        <v>16</v>
      </c>
      <c r="O188" s="28">
        <f>VLOOKUP(Table88[[#This Row],[NAME]],COL_H[[NAME]:['#]],13,0)</f>
        <v>12</v>
      </c>
      <c r="P188" s="28">
        <f>VLOOKUP(Table88[[#This Row],[NAME]],COL_H[[NAME]:['#]],14,0)</f>
        <v>58</v>
      </c>
      <c r="Q188" s="77">
        <f>VLOOKUP(Table88[[#This Row],[NAME]],COL_H[[NAME]:['#]],15,0)</f>
        <v>0</v>
      </c>
      <c r="R188" s="28">
        <f>VLOOKUP(Table88[[#This Row],[NAME]],COL_H[[NAME]:['#]],16,0)</f>
        <v>1</v>
      </c>
      <c r="S188" s="28">
        <f>VLOOKUP(Table88[[#This Row],[NAME]],COL_H[[NAME]:['#]],17,0)</f>
        <v>14</v>
      </c>
      <c r="T188" s="77">
        <f>VLOOKUP(Table88[[#This Row],[NAME]],COL_H[[NAME]:['#]],18,0)</f>
        <v>72</v>
      </c>
      <c r="U188" s="72">
        <f>VLOOKUP(Table88[[#This Row],[NAME]],COL_H[[NAME]:['#]],19,0)</f>
        <v>0.7202517936916204</v>
      </c>
      <c r="V188" s="28">
        <f>VLOOKUP(Table88[[#This Row],[NAME]],COL_H[[NAME]:['#]],20,0)</f>
        <v>0</v>
      </c>
      <c r="W188" s="75">
        <v>186</v>
      </c>
      <c r="Z188" s="101" t="s">
        <v>1229</v>
      </c>
      <c r="AA188" s="77" t="s">
        <v>153</v>
      </c>
      <c r="AB188" s="77" t="s">
        <v>1235</v>
      </c>
      <c r="AC188" s="130">
        <v>0.25757575757575757</v>
      </c>
      <c r="AD188" s="72">
        <v>0.3</v>
      </c>
      <c r="AE188" s="72">
        <v>0.43939393939393939</v>
      </c>
      <c r="AF188" s="77">
        <v>35</v>
      </c>
      <c r="AG188" s="28">
        <v>132</v>
      </c>
      <c r="AH188" s="28">
        <v>11</v>
      </c>
      <c r="AI188" s="28">
        <v>34</v>
      </c>
      <c r="AJ188" s="28">
        <v>11</v>
      </c>
      <c r="AK188" s="28">
        <v>2</v>
      </c>
      <c r="AL188" s="28">
        <v>3</v>
      </c>
      <c r="AM188" s="28">
        <v>14</v>
      </c>
      <c r="AN188" s="28">
        <v>8</v>
      </c>
      <c r="AO188" s="28">
        <v>32</v>
      </c>
      <c r="AP188" s="77">
        <v>0</v>
      </c>
      <c r="AQ188" s="28">
        <v>0</v>
      </c>
      <c r="AR188" s="28">
        <v>7</v>
      </c>
      <c r="AS188" s="77">
        <v>58</v>
      </c>
      <c r="AT188" s="72">
        <v>0.73939393939393938</v>
      </c>
      <c r="AU188" s="28">
        <v>3</v>
      </c>
      <c r="AV188" s="75">
        <v>186</v>
      </c>
      <c r="AY188" s="101" t="s">
        <v>1229</v>
      </c>
      <c r="AZ188" s="77" t="s">
        <v>153</v>
      </c>
      <c r="BA188" s="77" t="s">
        <v>1235</v>
      </c>
      <c r="BB188" s="130">
        <v>0.23129251700680273</v>
      </c>
      <c r="BC188" s="72">
        <v>0.28025477707006369</v>
      </c>
      <c r="BD188" s="72">
        <v>0.42176870748299322</v>
      </c>
      <c r="BE188" s="77">
        <v>40</v>
      </c>
      <c r="BF188" s="28">
        <v>147</v>
      </c>
      <c r="BG188" s="28">
        <v>15</v>
      </c>
      <c r="BH188" s="28">
        <v>34</v>
      </c>
      <c r="BI188" s="28">
        <v>10</v>
      </c>
      <c r="BJ188" s="28">
        <v>3</v>
      </c>
      <c r="BK188" s="28">
        <v>4</v>
      </c>
      <c r="BL188" s="28">
        <v>14</v>
      </c>
      <c r="BM188" s="28">
        <v>10</v>
      </c>
      <c r="BN188" s="28">
        <v>43</v>
      </c>
      <c r="BO188" s="77">
        <v>0</v>
      </c>
      <c r="BP188" s="28">
        <v>0</v>
      </c>
      <c r="BQ188" s="28">
        <v>9</v>
      </c>
      <c r="BR188" s="77">
        <v>62</v>
      </c>
      <c r="BS188" s="72">
        <v>0.70202348455305685</v>
      </c>
      <c r="BT188" s="28">
        <v>1</v>
      </c>
      <c r="BU188" s="75">
        <v>186</v>
      </c>
    </row>
    <row r="189" spans="1:73">
      <c r="A189" s="101" t="s">
        <v>1229</v>
      </c>
      <c r="B189" s="71" t="s">
        <v>177</v>
      </c>
      <c r="C189" s="74" t="s">
        <v>1233</v>
      </c>
      <c r="D189" s="72">
        <f>VLOOKUP(Table88[[#This Row],[NAME]],COL_H[[NAME]:['#]],2,0)</f>
        <v>0.24848484848484848</v>
      </c>
      <c r="E189" s="72">
        <f>VLOOKUP(Table88[[#This Row],[NAME]],COL_H[[NAME]:['#]],3,0)</f>
        <v>0.28735632183908044</v>
      </c>
      <c r="F189" s="72">
        <f>VLOOKUP(Table88[[#This Row],[NAME]],COL_H[[NAME]:['#]],4,0)</f>
        <v>0.41818181818181815</v>
      </c>
      <c r="G189" s="77">
        <f>VLOOKUP(Table88[[#This Row],[NAME]],COL_H[[NAME]:['#]],5,0)</f>
        <v>40</v>
      </c>
      <c r="H189" s="28">
        <f>VLOOKUP(Table88[[#This Row],[NAME]],COL_H[[NAME]:['#]],6,0)</f>
        <v>165</v>
      </c>
      <c r="I189" s="28">
        <f>VLOOKUP(Table88[[#This Row],[NAME]],COL_H[[NAME]:['#]],7,0)</f>
        <v>17</v>
      </c>
      <c r="J189" s="28">
        <f>VLOOKUP(Table88[[#This Row],[NAME]],COL_H[[NAME]:['#]],8,0)</f>
        <v>41</v>
      </c>
      <c r="K189" s="28">
        <f>VLOOKUP(Table88[[#This Row],[NAME]],COL_H[[NAME]:['#]],9,0)</f>
        <v>7</v>
      </c>
      <c r="L189" s="28">
        <f>VLOOKUP(Table88[[#This Row],[NAME]],COL_H[[NAME]:['#]],10,0)</f>
        <v>0</v>
      </c>
      <c r="M189" s="28">
        <f>VLOOKUP(Table88[[#This Row],[NAME]],COL_H[[NAME]:['#]],11,0)</f>
        <v>7</v>
      </c>
      <c r="N189" s="28">
        <f>VLOOKUP(Table88[[#This Row],[NAME]],COL_H[[NAME]:['#]],12,0)</f>
        <v>26</v>
      </c>
      <c r="O189" s="28">
        <f>VLOOKUP(Table88[[#This Row],[NAME]],COL_H[[NAME]:['#]],13,0)</f>
        <v>9</v>
      </c>
      <c r="P189" s="28">
        <f>VLOOKUP(Table88[[#This Row],[NAME]],COL_H[[NAME]:['#]],14,0)</f>
        <v>49</v>
      </c>
      <c r="Q189" s="77">
        <f>VLOOKUP(Table88[[#This Row],[NAME]],COL_H[[NAME]:['#]],15,0)</f>
        <v>0</v>
      </c>
      <c r="R189" s="28">
        <f>VLOOKUP(Table88[[#This Row],[NAME]],COL_H[[NAME]:['#]],16,0)</f>
        <v>1</v>
      </c>
      <c r="S189" s="28">
        <f>VLOOKUP(Table88[[#This Row],[NAME]],COL_H[[NAME]:['#]],17,0)</f>
        <v>9</v>
      </c>
      <c r="T189" s="77">
        <f>VLOOKUP(Table88[[#This Row],[NAME]],COL_H[[NAME]:['#]],18,0)</f>
        <v>69</v>
      </c>
      <c r="U189" s="72">
        <f>VLOOKUP(Table88[[#This Row],[NAME]],COL_H[[NAME]:['#]],19,0)</f>
        <v>0.70553814002089865</v>
      </c>
      <c r="V189" s="28">
        <f>VLOOKUP(Table88[[#This Row],[NAME]],COL_H[[NAME]:['#]],20,0)</f>
        <v>2</v>
      </c>
      <c r="W189" s="75">
        <v>187</v>
      </c>
      <c r="Z189" s="101" t="s">
        <v>1229</v>
      </c>
      <c r="AA189" s="77" t="s">
        <v>177</v>
      </c>
      <c r="AB189" s="77" t="s">
        <v>1232</v>
      </c>
      <c r="AC189" s="130">
        <v>0.32374100719424459</v>
      </c>
      <c r="AD189" s="72">
        <v>0.42331288343558282</v>
      </c>
      <c r="AE189" s="72">
        <v>0.50359712230215825</v>
      </c>
      <c r="AF189" s="77">
        <v>37</v>
      </c>
      <c r="AG189" s="28">
        <v>139</v>
      </c>
      <c r="AH189" s="28">
        <v>20</v>
      </c>
      <c r="AI189" s="28">
        <v>45</v>
      </c>
      <c r="AJ189" s="28">
        <v>13</v>
      </c>
      <c r="AK189" s="28">
        <v>0</v>
      </c>
      <c r="AL189" s="28">
        <v>4</v>
      </c>
      <c r="AM189" s="28">
        <v>14</v>
      </c>
      <c r="AN189" s="28">
        <v>24</v>
      </c>
      <c r="AO189" s="28">
        <v>30</v>
      </c>
      <c r="AP189" s="77">
        <v>0</v>
      </c>
      <c r="AQ189" s="28">
        <v>0</v>
      </c>
      <c r="AR189" s="28">
        <v>10</v>
      </c>
      <c r="AS189" s="77">
        <v>70</v>
      </c>
      <c r="AT189" s="72">
        <v>0.92691000573774107</v>
      </c>
      <c r="AU189" s="28">
        <v>2</v>
      </c>
      <c r="AV189" s="75">
        <v>187</v>
      </c>
      <c r="AY189" s="101" t="s">
        <v>1229</v>
      </c>
      <c r="AZ189" s="352" t="s">
        <v>177</v>
      </c>
      <c r="BA189" s="77" t="s">
        <v>1233</v>
      </c>
      <c r="BB189" s="130">
        <v>0.28767123287671231</v>
      </c>
      <c r="BC189" s="72">
        <v>0.33333333333333331</v>
      </c>
      <c r="BD189" s="72">
        <v>0.54109589041095896</v>
      </c>
      <c r="BE189" s="77">
        <v>38</v>
      </c>
      <c r="BF189" s="28">
        <v>146</v>
      </c>
      <c r="BG189" s="28">
        <v>20</v>
      </c>
      <c r="BH189" s="28">
        <v>42</v>
      </c>
      <c r="BI189" s="28">
        <v>10</v>
      </c>
      <c r="BJ189" s="28">
        <v>0</v>
      </c>
      <c r="BK189" s="28">
        <v>9</v>
      </c>
      <c r="BL189" s="28">
        <v>27</v>
      </c>
      <c r="BM189" s="28">
        <v>10</v>
      </c>
      <c r="BN189" s="28">
        <v>44</v>
      </c>
      <c r="BO189" s="77">
        <v>0</v>
      </c>
      <c r="BP189" s="28">
        <v>0</v>
      </c>
      <c r="BQ189" s="28">
        <v>8</v>
      </c>
      <c r="BR189" s="77">
        <v>79</v>
      </c>
      <c r="BS189" s="72">
        <v>0.87442922374429233</v>
      </c>
      <c r="BT189" s="28">
        <v>2</v>
      </c>
      <c r="BU189" s="75">
        <v>187</v>
      </c>
    </row>
    <row r="190" spans="1:73">
      <c r="A190" s="101" t="s">
        <v>1229</v>
      </c>
      <c r="B190" s="71" t="s">
        <v>174</v>
      </c>
      <c r="C190" s="74" t="s">
        <v>997</v>
      </c>
      <c r="D190" s="72">
        <f>VLOOKUP(Table88[[#This Row],[NAME]],COL_H[[NAME]:['#]],2,0)</f>
        <v>0.26219512195121952</v>
      </c>
      <c r="E190" s="72">
        <f>VLOOKUP(Table88[[#This Row],[NAME]],COL_H[[NAME]:['#]],3,0)</f>
        <v>0.32402234636871508</v>
      </c>
      <c r="F190" s="72">
        <f>VLOOKUP(Table88[[#This Row],[NAME]],COL_H[[NAME]:['#]],4,0)</f>
        <v>0.5</v>
      </c>
      <c r="G190" s="77">
        <f>VLOOKUP(Table88[[#This Row],[NAME]],COL_H[[NAME]:['#]],5,0)</f>
        <v>40</v>
      </c>
      <c r="H190" s="28">
        <f>VLOOKUP(Table88[[#This Row],[NAME]],COL_H[[NAME]:['#]],6,0)</f>
        <v>164</v>
      </c>
      <c r="I190" s="28">
        <f>VLOOKUP(Table88[[#This Row],[NAME]],COL_H[[NAME]:['#]],7,0)</f>
        <v>18</v>
      </c>
      <c r="J190" s="28">
        <f>VLOOKUP(Table88[[#This Row],[NAME]],COL_H[[NAME]:['#]],8,0)</f>
        <v>43</v>
      </c>
      <c r="K190" s="28">
        <f>VLOOKUP(Table88[[#This Row],[NAME]],COL_H[[NAME]:['#]],9,0)</f>
        <v>10</v>
      </c>
      <c r="L190" s="28">
        <f>VLOOKUP(Table88[[#This Row],[NAME]],COL_H[[NAME]:['#]],10,0)</f>
        <v>1</v>
      </c>
      <c r="M190" s="28">
        <f>VLOOKUP(Table88[[#This Row],[NAME]],COL_H[[NAME]:['#]],11,0)</f>
        <v>9</v>
      </c>
      <c r="N190" s="28">
        <f>VLOOKUP(Table88[[#This Row],[NAME]],COL_H[[NAME]:['#]],12,0)</f>
        <v>25</v>
      </c>
      <c r="O190" s="28">
        <f>VLOOKUP(Table88[[#This Row],[NAME]],COL_H[[NAME]:['#]],13,0)</f>
        <v>15</v>
      </c>
      <c r="P190" s="28">
        <f>VLOOKUP(Table88[[#This Row],[NAME]],COL_H[[NAME]:['#]],14,0)</f>
        <v>35</v>
      </c>
      <c r="Q190" s="77">
        <f>VLOOKUP(Table88[[#This Row],[NAME]],COL_H[[NAME]:['#]],15,0)</f>
        <v>0</v>
      </c>
      <c r="R190" s="28">
        <f>VLOOKUP(Table88[[#This Row],[NAME]],COL_H[[NAME]:['#]],16,0)</f>
        <v>4</v>
      </c>
      <c r="S190" s="28">
        <f>VLOOKUP(Table88[[#This Row],[NAME]],COL_H[[NAME]:['#]],17,0)</f>
        <v>12</v>
      </c>
      <c r="T190" s="77">
        <f>VLOOKUP(Table88[[#This Row],[NAME]],COL_H[[NAME]:['#]],18,0)</f>
        <v>82</v>
      </c>
      <c r="U190" s="72">
        <f>VLOOKUP(Table88[[#This Row],[NAME]],COL_H[[NAME]:['#]],19,0)</f>
        <v>0.82402234636871508</v>
      </c>
      <c r="V190" s="28">
        <f>VLOOKUP(Table88[[#This Row],[NAME]],COL_H[[NAME]:['#]],20,0)</f>
        <v>4</v>
      </c>
      <c r="W190" s="75">
        <v>188</v>
      </c>
      <c r="Z190" s="101" t="s">
        <v>1229</v>
      </c>
      <c r="AA190" s="77" t="s">
        <v>174</v>
      </c>
      <c r="AB190" s="77" t="s">
        <v>997</v>
      </c>
      <c r="AC190" s="130">
        <v>0.25925925925925924</v>
      </c>
      <c r="AD190" s="72">
        <v>0.35483870967741937</v>
      </c>
      <c r="AE190" s="72">
        <v>0.37037037037037035</v>
      </c>
      <c r="AF190" s="77">
        <v>38</v>
      </c>
      <c r="AG190" s="28">
        <v>135</v>
      </c>
      <c r="AH190" s="28">
        <v>15</v>
      </c>
      <c r="AI190" s="28">
        <v>35</v>
      </c>
      <c r="AJ190" s="28">
        <v>8</v>
      </c>
      <c r="AK190" s="28">
        <v>2</v>
      </c>
      <c r="AL190" s="28">
        <v>1</v>
      </c>
      <c r="AM190" s="28">
        <v>6</v>
      </c>
      <c r="AN190" s="28">
        <v>20</v>
      </c>
      <c r="AO190" s="28">
        <v>38</v>
      </c>
      <c r="AP190" s="77">
        <v>0</v>
      </c>
      <c r="AQ190" s="28">
        <v>1</v>
      </c>
      <c r="AR190" s="28">
        <v>10</v>
      </c>
      <c r="AS190" s="77">
        <v>50</v>
      </c>
      <c r="AT190" s="72">
        <v>0.72520908004778972</v>
      </c>
      <c r="AU190" s="28">
        <v>1</v>
      </c>
      <c r="AV190" s="75">
        <v>188</v>
      </c>
      <c r="AY190" s="101" t="s">
        <v>1229</v>
      </c>
      <c r="AZ190" s="77" t="s">
        <v>174</v>
      </c>
      <c r="BA190" s="77" t="s">
        <v>1242</v>
      </c>
      <c r="BB190" s="130">
        <v>0.37755102040816324</v>
      </c>
      <c r="BC190" s="72">
        <v>0.43518518518518517</v>
      </c>
      <c r="BD190" s="72">
        <v>0.47959183673469385</v>
      </c>
      <c r="BE190" s="77">
        <v>27</v>
      </c>
      <c r="BF190" s="28">
        <v>98</v>
      </c>
      <c r="BG190" s="28">
        <v>23</v>
      </c>
      <c r="BH190" s="28">
        <v>37</v>
      </c>
      <c r="BI190" s="28">
        <v>2</v>
      </c>
      <c r="BJ190" s="28">
        <v>1</v>
      </c>
      <c r="BK190" s="28">
        <v>2</v>
      </c>
      <c r="BL190" s="28">
        <v>11</v>
      </c>
      <c r="BM190" s="28">
        <v>10</v>
      </c>
      <c r="BN190" s="28">
        <v>24</v>
      </c>
      <c r="BO190" s="77">
        <v>9</v>
      </c>
      <c r="BP190" s="28">
        <v>3</v>
      </c>
      <c r="BQ190" s="28">
        <v>11</v>
      </c>
      <c r="BR190" s="77">
        <v>47</v>
      </c>
      <c r="BS190" s="72">
        <v>0.91477702191987897</v>
      </c>
      <c r="BT190" s="28">
        <v>1</v>
      </c>
      <c r="BU190" s="75">
        <v>188</v>
      </c>
    </row>
    <row r="191" spans="1:73">
      <c r="A191" s="101" t="s">
        <v>1229</v>
      </c>
      <c r="B191" s="345" t="s">
        <v>181</v>
      </c>
      <c r="C191" s="74" t="s">
        <v>1230</v>
      </c>
      <c r="D191" s="72">
        <f>VLOOKUP(Table88[[#This Row],[NAME]],COL_H[[NAME]:['#]],2,0)</f>
        <v>0.32098765432098764</v>
      </c>
      <c r="E191" s="72">
        <f>VLOOKUP(Table88[[#This Row],[NAME]],COL_H[[NAME]:['#]],3,0)</f>
        <v>0.38547486033519551</v>
      </c>
      <c r="F191" s="72">
        <f>VLOOKUP(Table88[[#This Row],[NAME]],COL_H[[NAME]:['#]],4,0)</f>
        <v>0.52469135802469136</v>
      </c>
      <c r="G191" s="77">
        <f>VLOOKUP(Table88[[#This Row],[NAME]],COL_H[[NAME]:['#]],5,0)</f>
        <v>40</v>
      </c>
      <c r="H191" s="28">
        <f>VLOOKUP(Table88[[#This Row],[NAME]],COL_H[[NAME]:['#]],6,0)</f>
        <v>162</v>
      </c>
      <c r="I191" s="28">
        <f>VLOOKUP(Table88[[#This Row],[NAME]],COL_H[[NAME]:['#]],7,0)</f>
        <v>21</v>
      </c>
      <c r="J191" s="28">
        <f>VLOOKUP(Table88[[#This Row],[NAME]],COL_H[[NAME]:['#]],8,0)</f>
        <v>52</v>
      </c>
      <c r="K191" s="28">
        <f>VLOOKUP(Table88[[#This Row],[NAME]],COL_H[[NAME]:['#]],9,0)</f>
        <v>11</v>
      </c>
      <c r="L191" s="28">
        <f>VLOOKUP(Table88[[#This Row],[NAME]],COL_H[[NAME]:['#]],10,0)</f>
        <v>2</v>
      </c>
      <c r="M191" s="28">
        <f>VLOOKUP(Table88[[#This Row],[NAME]],COL_H[[NAME]:['#]],11,0)</f>
        <v>6</v>
      </c>
      <c r="N191" s="28">
        <f>VLOOKUP(Table88[[#This Row],[NAME]],COL_H[[NAME]:['#]],12,0)</f>
        <v>22</v>
      </c>
      <c r="O191" s="28">
        <f>VLOOKUP(Table88[[#This Row],[NAME]],COL_H[[NAME]:['#]],13,0)</f>
        <v>17</v>
      </c>
      <c r="P191" s="28">
        <f>VLOOKUP(Table88[[#This Row],[NAME]],COL_H[[NAME]:['#]],14,0)</f>
        <v>43</v>
      </c>
      <c r="Q191" s="77">
        <f>VLOOKUP(Table88[[#This Row],[NAME]],COL_H[[NAME]:['#]],15,0)</f>
        <v>0</v>
      </c>
      <c r="R191" s="28">
        <f>VLOOKUP(Table88[[#This Row],[NAME]],COL_H[[NAME]:['#]],16,0)</f>
        <v>11</v>
      </c>
      <c r="S191" s="28">
        <f>VLOOKUP(Table88[[#This Row],[NAME]],COL_H[[NAME]:['#]],17,0)</f>
        <v>11</v>
      </c>
      <c r="T191" s="77">
        <f>VLOOKUP(Table88[[#This Row],[NAME]],COL_H[[NAME]:['#]],18,0)</f>
        <v>85</v>
      </c>
      <c r="U191" s="72">
        <f>VLOOKUP(Table88[[#This Row],[NAME]],COL_H[[NAME]:['#]],19,0)</f>
        <v>0.91016621835988687</v>
      </c>
      <c r="V191" s="28">
        <f>VLOOKUP(Table88[[#This Row],[NAME]],COL_H[[NAME]:['#]],20,0)</f>
        <v>1</v>
      </c>
      <c r="W191" s="75">
        <v>189</v>
      </c>
      <c r="Z191" s="101" t="s">
        <v>1229</v>
      </c>
      <c r="AA191" s="77" t="s">
        <v>181</v>
      </c>
      <c r="AB191" s="77" t="s">
        <v>1230</v>
      </c>
      <c r="AC191" s="130">
        <v>0.2413793103448276</v>
      </c>
      <c r="AD191" s="72">
        <v>0.32515337423312884</v>
      </c>
      <c r="AE191" s="72">
        <v>0.44137931034482758</v>
      </c>
      <c r="AF191" s="77">
        <v>38</v>
      </c>
      <c r="AG191" s="28">
        <v>145</v>
      </c>
      <c r="AH191" s="28">
        <v>16</v>
      </c>
      <c r="AI191" s="28">
        <v>35</v>
      </c>
      <c r="AJ191" s="28">
        <v>8</v>
      </c>
      <c r="AK191" s="28">
        <v>3</v>
      </c>
      <c r="AL191" s="28">
        <v>5</v>
      </c>
      <c r="AM191" s="28">
        <v>22</v>
      </c>
      <c r="AN191" s="28">
        <v>18</v>
      </c>
      <c r="AO191" s="28">
        <v>44</v>
      </c>
      <c r="AP191" s="77">
        <v>0</v>
      </c>
      <c r="AQ191" s="28">
        <v>1</v>
      </c>
      <c r="AR191" s="28">
        <v>5</v>
      </c>
      <c r="AS191" s="77">
        <v>64</v>
      </c>
      <c r="AT191" s="72">
        <v>0.76653268457795642</v>
      </c>
      <c r="AU191" s="28">
        <v>3</v>
      </c>
      <c r="AV191" s="75">
        <v>189</v>
      </c>
      <c r="AY191" s="101" t="s">
        <v>1229</v>
      </c>
      <c r="AZ191" s="77" t="s">
        <v>181</v>
      </c>
      <c r="BA191" s="77" t="s">
        <v>1230</v>
      </c>
      <c r="BB191" s="130">
        <v>0.28965517241379313</v>
      </c>
      <c r="BC191" s="72">
        <v>0.36024844720496896</v>
      </c>
      <c r="BD191" s="72">
        <v>0.48965517241379308</v>
      </c>
      <c r="BE191" s="77">
        <v>40</v>
      </c>
      <c r="BF191" s="28">
        <v>145</v>
      </c>
      <c r="BG191" s="28">
        <v>19</v>
      </c>
      <c r="BH191" s="28">
        <v>42</v>
      </c>
      <c r="BI191" s="28">
        <v>6</v>
      </c>
      <c r="BJ191" s="28">
        <v>1</v>
      </c>
      <c r="BK191" s="28">
        <v>7</v>
      </c>
      <c r="BL191" s="28">
        <v>24</v>
      </c>
      <c r="BM191" s="28">
        <v>16</v>
      </c>
      <c r="BN191" s="28">
        <v>39</v>
      </c>
      <c r="BO191" s="77">
        <v>1</v>
      </c>
      <c r="BP191" s="28">
        <v>0</v>
      </c>
      <c r="BQ191" s="28">
        <v>11</v>
      </c>
      <c r="BR191" s="77">
        <v>71</v>
      </c>
      <c r="BS191" s="72">
        <v>0.84990361961876204</v>
      </c>
      <c r="BT191" s="28">
        <v>3</v>
      </c>
      <c r="BU191" s="75">
        <v>189</v>
      </c>
    </row>
    <row r="192" spans="1:73">
      <c r="A192" s="101" t="s">
        <v>1229</v>
      </c>
      <c r="B192" s="71" t="s">
        <v>166</v>
      </c>
      <c r="C192" s="74" t="s">
        <v>1237</v>
      </c>
      <c r="D192" s="72">
        <f>VLOOKUP(Table88[[#This Row],[NAME]],COL_H[[NAME]:['#]],2,0)</f>
        <v>0.25925925925925924</v>
      </c>
      <c r="E192" s="72">
        <f>VLOOKUP(Table88[[#This Row],[NAME]],COL_H[[NAME]:['#]],3,0)</f>
        <v>0.31818181818181818</v>
      </c>
      <c r="F192" s="72">
        <f>VLOOKUP(Table88[[#This Row],[NAME]],COL_H[[NAME]:['#]],4,0)</f>
        <v>0.40123456790123457</v>
      </c>
      <c r="G192" s="77">
        <f>VLOOKUP(Table88[[#This Row],[NAME]],COL_H[[NAME]:['#]],5,0)</f>
        <v>40</v>
      </c>
      <c r="H192" s="28">
        <f>VLOOKUP(Table88[[#This Row],[NAME]],COL_H[[NAME]:['#]],6,0)</f>
        <v>162</v>
      </c>
      <c r="I192" s="28">
        <f>VLOOKUP(Table88[[#This Row],[NAME]],COL_H[[NAME]:['#]],7,0)</f>
        <v>21</v>
      </c>
      <c r="J192" s="28">
        <f>VLOOKUP(Table88[[#This Row],[NAME]],COL_H[[NAME]:['#]],8,0)</f>
        <v>42</v>
      </c>
      <c r="K192" s="28">
        <f>VLOOKUP(Table88[[#This Row],[NAME]],COL_H[[NAME]:['#]],9,0)</f>
        <v>8</v>
      </c>
      <c r="L192" s="28">
        <f>VLOOKUP(Table88[[#This Row],[NAME]],COL_H[[NAME]:['#]],10,0)</f>
        <v>0</v>
      </c>
      <c r="M192" s="28">
        <f>VLOOKUP(Table88[[#This Row],[NAME]],COL_H[[NAME]:['#]],11,0)</f>
        <v>5</v>
      </c>
      <c r="N192" s="28">
        <f>VLOOKUP(Table88[[#This Row],[NAME]],COL_H[[NAME]:['#]],12,0)</f>
        <v>17</v>
      </c>
      <c r="O192" s="28">
        <f>VLOOKUP(Table88[[#This Row],[NAME]],COL_H[[NAME]:['#]],13,0)</f>
        <v>14</v>
      </c>
      <c r="P192" s="28">
        <f>VLOOKUP(Table88[[#This Row],[NAME]],COL_H[[NAME]:['#]],14,0)</f>
        <v>34</v>
      </c>
      <c r="Q192" s="77">
        <f>VLOOKUP(Table88[[#This Row],[NAME]],COL_H[[NAME]:['#]],15,0)</f>
        <v>0</v>
      </c>
      <c r="R192" s="28">
        <f>VLOOKUP(Table88[[#This Row],[NAME]],COL_H[[NAME]:['#]],16,0)</f>
        <v>3</v>
      </c>
      <c r="S192" s="28">
        <f>VLOOKUP(Table88[[#This Row],[NAME]],COL_H[[NAME]:['#]],17,0)</f>
        <v>5</v>
      </c>
      <c r="T192" s="77">
        <f>VLOOKUP(Table88[[#This Row],[NAME]],COL_H[[NAME]:['#]],18,0)</f>
        <v>65</v>
      </c>
      <c r="U192" s="72">
        <f>VLOOKUP(Table88[[#This Row],[NAME]],COL_H[[NAME]:['#]],19,0)</f>
        <v>0.71941638608305269</v>
      </c>
      <c r="V192" s="28">
        <f>VLOOKUP(Table88[[#This Row],[NAME]],COL_H[[NAME]:['#]],20,0)</f>
        <v>2</v>
      </c>
      <c r="W192" s="75">
        <v>190</v>
      </c>
      <c r="Z192" s="101" t="s">
        <v>1229</v>
      </c>
      <c r="AA192" s="77" t="s">
        <v>166</v>
      </c>
      <c r="AB192" s="77" t="s">
        <v>1234</v>
      </c>
      <c r="AC192" s="130">
        <v>0.22929936305732485</v>
      </c>
      <c r="AD192" s="72">
        <v>0.27976190476190477</v>
      </c>
      <c r="AE192" s="72">
        <v>0.4140127388535032</v>
      </c>
      <c r="AF192" s="77">
        <v>39</v>
      </c>
      <c r="AG192" s="28">
        <v>157</v>
      </c>
      <c r="AH192" s="28">
        <v>14</v>
      </c>
      <c r="AI192" s="28">
        <v>36</v>
      </c>
      <c r="AJ192" s="28">
        <v>12</v>
      </c>
      <c r="AK192" s="28">
        <v>1</v>
      </c>
      <c r="AL192" s="28">
        <v>5</v>
      </c>
      <c r="AM192" s="28">
        <v>23</v>
      </c>
      <c r="AN192" s="28">
        <v>11</v>
      </c>
      <c r="AO192" s="28">
        <v>33</v>
      </c>
      <c r="AP192" s="77">
        <v>0</v>
      </c>
      <c r="AQ192" s="28">
        <v>1</v>
      </c>
      <c r="AR192" s="28">
        <v>7</v>
      </c>
      <c r="AS192" s="77">
        <v>65</v>
      </c>
      <c r="AT192" s="72">
        <v>0.69377464361540797</v>
      </c>
      <c r="AU192" s="28">
        <v>1</v>
      </c>
      <c r="AV192" s="75">
        <v>190</v>
      </c>
      <c r="AY192" s="101" t="s">
        <v>1229</v>
      </c>
      <c r="AZ192" s="77" t="s">
        <v>166</v>
      </c>
      <c r="BA192" s="77" t="s">
        <v>1237</v>
      </c>
      <c r="BB192" s="130">
        <v>0.23841059602649006</v>
      </c>
      <c r="BC192" s="72">
        <v>0.27672955974842767</v>
      </c>
      <c r="BD192" s="72">
        <v>0.37086092715231789</v>
      </c>
      <c r="BE192" s="77">
        <v>38</v>
      </c>
      <c r="BF192" s="28">
        <v>151</v>
      </c>
      <c r="BG192" s="28">
        <v>18</v>
      </c>
      <c r="BH192" s="28">
        <v>36</v>
      </c>
      <c r="BI192" s="28">
        <v>6</v>
      </c>
      <c r="BJ192" s="28">
        <v>1</v>
      </c>
      <c r="BK192" s="28">
        <v>4</v>
      </c>
      <c r="BL192" s="28">
        <v>18</v>
      </c>
      <c r="BM192" s="28">
        <v>8</v>
      </c>
      <c r="BN192" s="28">
        <v>37</v>
      </c>
      <c r="BO192" s="77">
        <v>0</v>
      </c>
      <c r="BP192" s="28">
        <v>2</v>
      </c>
      <c r="BQ192" s="28">
        <v>6</v>
      </c>
      <c r="BR192" s="77">
        <v>56</v>
      </c>
      <c r="BS192" s="72">
        <v>0.64759048690074561</v>
      </c>
      <c r="BT192" s="28">
        <v>1</v>
      </c>
      <c r="BU192" s="75">
        <v>190</v>
      </c>
    </row>
    <row r="193" spans="1:73">
      <c r="A193" s="101" t="s">
        <v>1229</v>
      </c>
      <c r="B193" s="71" t="s">
        <v>168</v>
      </c>
      <c r="C193" s="77" t="s">
        <v>1243</v>
      </c>
      <c r="D193" s="72">
        <f>VLOOKUP(Table88[[#This Row],[NAME]],COL_H[[NAME]:['#]],2,0)</f>
        <v>0.18421052631578946</v>
      </c>
      <c r="E193" s="72">
        <f>VLOOKUP(Table88[[#This Row],[NAME]],COL_H[[NAME]:['#]],3,0)</f>
        <v>0.24390243902439024</v>
      </c>
      <c r="F193" s="72">
        <f>VLOOKUP(Table88[[#This Row],[NAME]],COL_H[[NAME]:['#]],4,0)</f>
        <v>0.27631578947368424</v>
      </c>
      <c r="G193" s="77">
        <f>VLOOKUP(Table88[[#This Row],[NAME]],COL_H[[NAME]:['#]],5,0)</f>
        <v>22</v>
      </c>
      <c r="H193" s="28">
        <f>VLOOKUP(Table88[[#This Row],[NAME]],COL_H[[NAME]:['#]],6,0)</f>
        <v>76</v>
      </c>
      <c r="I193" s="28">
        <f>VLOOKUP(Table88[[#This Row],[NAME]],COL_H[[NAME]:['#]],7,0)</f>
        <v>10</v>
      </c>
      <c r="J193" s="28">
        <f>VLOOKUP(Table88[[#This Row],[NAME]],COL_H[[NAME]:['#]],8,0)</f>
        <v>14</v>
      </c>
      <c r="K193" s="28">
        <f>VLOOKUP(Table88[[#This Row],[NAME]],COL_H[[NAME]:['#]],9,0)</f>
        <v>1</v>
      </c>
      <c r="L193" s="28">
        <f>VLOOKUP(Table88[[#This Row],[NAME]],COL_H[[NAME]:['#]],10,0)</f>
        <v>0</v>
      </c>
      <c r="M193" s="28">
        <f>VLOOKUP(Table88[[#This Row],[NAME]],COL_H[[NAME]:['#]],11,0)</f>
        <v>2</v>
      </c>
      <c r="N193" s="28">
        <f>VLOOKUP(Table88[[#This Row],[NAME]],COL_H[[NAME]:['#]],12,0)</f>
        <v>8</v>
      </c>
      <c r="O193" s="28">
        <f>VLOOKUP(Table88[[#This Row],[NAME]],COL_H[[NAME]:['#]],13,0)</f>
        <v>6</v>
      </c>
      <c r="P193" s="28">
        <f>VLOOKUP(Table88[[#This Row],[NAME]],COL_H[[NAME]:['#]],14,0)</f>
        <v>24</v>
      </c>
      <c r="Q193" s="77">
        <f>VLOOKUP(Table88[[#This Row],[NAME]],COL_H[[NAME]:['#]],15,0)</f>
        <v>0</v>
      </c>
      <c r="R193" s="28">
        <f>VLOOKUP(Table88[[#This Row],[NAME]],COL_H[[NAME]:['#]],16,0)</f>
        <v>0</v>
      </c>
      <c r="S193" s="28">
        <f>VLOOKUP(Table88[[#This Row],[NAME]],COL_H[[NAME]:['#]],17,0)</f>
        <v>3</v>
      </c>
      <c r="T193" s="77">
        <f>VLOOKUP(Table88[[#This Row],[NAME]],COL_H[[NAME]:['#]],18,0)</f>
        <v>21</v>
      </c>
      <c r="U193" s="72">
        <f>VLOOKUP(Table88[[#This Row],[NAME]],COL_H[[NAME]:['#]],19,0)</f>
        <v>0.52021822849807453</v>
      </c>
      <c r="V193" s="28">
        <f>VLOOKUP(Table88[[#This Row],[NAME]],COL_H[[NAME]:['#]],20,0)</f>
        <v>0</v>
      </c>
      <c r="W193" s="75">
        <v>191</v>
      </c>
      <c r="Z193" s="101" t="s">
        <v>1229</v>
      </c>
      <c r="AA193" s="77" t="s">
        <v>168</v>
      </c>
      <c r="AB193" s="77" t="s">
        <v>1233</v>
      </c>
      <c r="AC193" s="130">
        <v>0.25563909774436089</v>
      </c>
      <c r="AD193" s="72">
        <v>0.34868421052631576</v>
      </c>
      <c r="AE193" s="72">
        <v>0.45112781954887216</v>
      </c>
      <c r="AF193" s="77">
        <v>37</v>
      </c>
      <c r="AG193" s="28">
        <v>133</v>
      </c>
      <c r="AH193" s="28">
        <v>14</v>
      </c>
      <c r="AI193" s="28">
        <v>34</v>
      </c>
      <c r="AJ193" s="28">
        <v>5</v>
      </c>
      <c r="AK193" s="28">
        <v>0</v>
      </c>
      <c r="AL193" s="28">
        <v>7</v>
      </c>
      <c r="AM193" s="28">
        <v>17</v>
      </c>
      <c r="AN193" s="28">
        <v>19</v>
      </c>
      <c r="AO193" s="28">
        <v>39</v>
      </c>
      <c r="AP193" s="77">
        <v>0</v>
      </c>
      <c r="AQ193" s="28">
        <v>0</v>
      </c>
      <c r="AR193" s="28">
        <v>9</v>
      </c>
      <c r="AS193" s="77">
        <v>60</v>
      </c>
      <c r="AT193" s="72">
        <v>0.79981203007518786</v>
      </c>
      <c r="AU193" s="28">
        <v>1</v>
      </c>
      <c r="AV193" s="75">
        <v>191</v>
      </c>
      <c r="AY193" s="101" t="s">
        <v>1229</v>
      </c>
      <c r="AZ193" s="77" t="s">
        <v>168</v>
      </c>
      <c r="BA193" s="77" t="s">
        <v>1238</v>
      </c>
      <c r="BB193" s="130">
        <v>0.24444444444444444</v>
      </c>
      <c r="BC193" s="72">
        <v>0.31543624161073824</v>
      </c>
      <c r="BD193" s="72">
        <v>0.4</v>
      </c>
      <c r="BE193" s="77">
        <v>36</v>
      </c>
      <c r="BF193" s="28">
        <v>135</v>
      </c>
      <c r="BG193" s="28">
        <v>17</v>
      </c>
      <c r="BH193" s="28">
        <v>33</v>
      </c>
      <c r="BI193" s="28">
        <v>6</v>
      </c>
      <c r="BJ193" s="28">
        <v>0</v>
      </c>
      <c r="BK193" s="28">
        <v>5</v>
      </c>
      <c r="BL193" s="28">
        <v>12</v>
      </c>
      <c r="BM193" s="28">
        <v>14</v>
      </c>
      <c r="BN193" s="28">
        <v>25</v>
      </c>
      <c r="BO193" s="77">
        <v>0</v>
      </c>
      <c r="BP193" s="28">
        <v>0</v>
      </c>
      <c r="BQ193" s="28">
        <v>6</v>
      </c>
      <c r="BR193" s="77">
        <v>54</v>
      </c>
      <c r="BS193" s="72">
        <v>0.71543624161073827</v>
      </c>
      <c r="BT193" s="28">
        <v>3</v>
      </c>
      <c r="BU193" s="75">
        <v>191</v>
      </c>
    </row>
    <row r="194" spans="1:73">
      <c r="A194" s="101" t="s">
        <v>1229</v>
      </c>
      <c r="B194" s="71" t="s">
        <v>179</v>
      </c>
      <c r="C194" s="28" t="s">
        <v>1241</v>
      </c>
      <c r="D194" s="72">
        <f>VLOOKUP(Table88[[#This Row],[NAME]],COL_H[[NAME]:['#]],2,0)</f>
        <v>0.21621621621621623</v>
      </c>
      <c r="E194" s="72">
        <f>VLOOKUP(Table88[[#This Row],[NAME]],COL_H[[NAME]:['#]],3,0)</f>
        <v>0.30952380952380953</v>
      </c>
      <c r="F194" s="72">
        <f>VLOOKUP(Table88[[#This Row],[NAME]],COL_H[[NAME]:['#]],4,0)</f>
        <v>0.35135135135135137</v>
      </c>
      <c r="G194" s="77">
        <f>VLOOKUP(Table88[[#This Row],[NAME]],COL_H[[NAME]:['#]],5,0)</f>
        <v>10</v>
      </c>
      <c r="H194" s="28">
        <f>VLOOKUP(Table88[[#This Row],[NAME]],COL_H[[NAME]:['#]],6,0)</f>
        <v>37</v>
      </c>
      <c r="I194" s="28">
        <f>VLOOKUP(Table88[[#This Row],[NAME]],COL_H[[NAME]:['#]],7,0)</f>
        <v>1</v>
      </c>
      <c r="J194" s="28">
        <f>VLOOKUP(Table88[[#This Row],[NAME]],COL_H[[NAME]:['#]],8,0)</f>
        <v>8</v>
      </c>
      <c r="K194" s="28">
        <f>VLOOKUP(Table88[[#This Row],[NAME]],COL_H[[NAME]:['#]],9,0)</f>
        <v>2</v>
      </c>
      <c r="L194" s="28">
        <f>VLOOKUP(Table88[[#This Row],[NAME]],COL_H[[NAME]:['#]],10,0)</f>
        <v>0</v>
      </c>
      <c r="M194" s="28">
        <f>VLOOKUP(Table88[[#This Row],[NAME]],COL_H[[NAME]:['#]],11,0)</f>
        <v>1</v>
      </c>
      <c r="N194" s="28">
        <f>VLOOKUP(Table88[[#This Row],[NAME]],COL_H[[NAME]:['#]],12,0)</f>
        <v>2</v>
      </c>
      <c r="O194" s="28">
        <f>VLOOKUP(Table88[[#This Row],[NAME]],COL_H[[NAME]:['#]],13,0)</f>
        <v>5</v>
      </c>
      <c r="P194" s="28">
        <f>VLOOKUP(Table88[[#This Row],[NAME]],COL_H[[NAME]:['#]],14,0)</f>
        <v>19</v>
      </c>
      <c r="Q194" s="77">
        <f>VLOOKUP(Table88[[#This Row],[NAME]],COL_H[[NAME]:['#]],15,0)</f>
        <v>0</v>
      </c>
      <c r="R194" s="28">
        <f>VLOOKUP(Table88[[#This Row],[NAME]],COL_H[[NAME]:['#]],16,0)</f>
        <v>0</v>
      </c>
      <c r="S194" s="28">
        <f>VLOOKUP(Table88[[#This Row],[NAME]],COL_H[[NAME]:['#]],17,0)</f>
        <v>2</v>
      </c>
      <c r="T194" s="77">
        <f>VLOOKUP(Table88[[#This Row],[NAME]],COL_H[[NAME]:['#]],18,0)</f>
        <v>13</v>
      </c>
      <c r="U194" s="72">
        <f>VLOOKUP(Table88[[#This Row],[NAME]],COL_H[[NAME]:['#]],19,0)</f>
        <v>0.66087516087516085</v>
      </c>
      <c r="V194" s="28">
        <f>VLOOKUP(Table88[[#This Row],[NAME]],COL_H[[NAME]:['#]],20,0)</f>
        <v>1</v>
      </c>
      <c r="W194" s="75">
        <v>192</v>
      </c>
      <c r="Z194" s="101" t="s">
        <v>1229</v>
      </c>
      <c r="AA194" s="77" t="s">
        <v>179</v>
      </c>
      <c r="AB194" s="77" t="s">
        <v>1248</v>
      </c>
      <c r="AC194" s="130">
        <v>0</v>
      </c>
      <c r="AD194" s="72">
        <v>0</v>
      </c>
      <c r="AE194" s="72">
        <v>0</v>
      </c>
      <c r="AF194" s="77">
        <v>2</v>
      </c>
      <c r="AG194" s="28">
        <v>6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28">
        <v>2</v>
      </c>
      <c r="AP194" s="77">
        <v>0</v>
      </c>
      <c r="AQ194" s="28">
        <v>0</v>
      </c>
      <c r="AR194" s="28">
        <v>0</v>
      </c>
      <c r="AS194" s="77">
        <v>0</v>
      </c>
      <c r="AT194" s="72">
        <v>0</v>
      </c>
      <c r="AU194" s="28">
        <v>0</v>
      </c>
      <c r="AV194" s="75">
        <v>192</v>
      </c>
      <c r="AY194" s="101" t="s">
        <v>1229</v>
      </c>
      <c r="AZ194" s="77" t="s">
        <v>179</v>
      </c>
      <c r="BA194" s="77" t="s">
        <v>1248</v>
      </c>
      <c r="BB194" s="130">
        <v>0.14492753623188406</v>
      </c>
      <c r="BC194" s="72">
        <v>0.23376623376623376</v>
      </c>
      <c r="BD194" s="72">
        <v>0.20289855072463769</v>
      </c>
      <c r="BE194" s="77">
        <v>26</v>
      </c>
      <c r="BF194" s="28">
        <v>69</v>
      </c>
      <c r="BG194" s="28">
        <v>8</v>
      </c>
      <c r="BH194" s="28">
        <v>10</v>
      </c>
      <c r="BI194" s="28">
        <v>1</v>
      </c>
      <c r="BJ194" s="28">
        <v>0</v>
      </c>
      <c r="BK194" s="28">
        <v>1</v>
      </c>
      <c r="BL194" s="28">
        <v>1</v>
      </c>
      <c r="BM194" s="28">
        <v>8</v>
      </c>
      <c r="BN194" s="28">
        <v>30</v>
      </c>
      <c r="BO194" s="77">
        <v>0</v>
      </c>
      <c r="BP194" s="28">
        <v>1</v>
      </c>
      <c r="BQ194" s="28">
        <v>3</v>
      </c>
      <c r="BR194" s="77">
        <v>14</v>
      </c>
      <c r="BS194" s="72">
        <v>0.43666478449087143</v>
      </c>
      <c r="BT194" s="28">
        <v>0</v>
      </c>
      <c r="BU194" s="75">
        <v>192</v>
      </c>
    </row>
    <row r="195" spans="1:73">
      <c r="A195" s="101" t="s">
        <v>1229</v>
      </c>
      <c r="B195" s="71" t="s">
        <v>187</v>
      </c>
      <c r="C195" s="74" t="s">
        <v>1235</v>
      </c>
      <c r="D195" s="72">
        <f>VLOOKUP(Table88[[#This Row],[NAME]],COL_H[[NAME]:['#]],2,0)</f>
        <v>0.28888888888888886</v>
      </c>
      <c r="E195" s="72">
        <f>VLOOKUP(Table88[[#This Row],[NAME]],COL_H[[NAME]:['#]],3,0)</f>
        <v>0.33333333333333331</v>
      </c>
      <c r="F195" s="72">
        <f>VLOOKUP(Table88[[#This Row],[NAME]],COL_H[[NAME]:['#]],4,0)</f>
        <v>0.37777777777777777</v>
      </c>
      <c r="G195" s="77">
        <f>VLOOKUP(Table88[[#This Row],[NAME]],COL_H[[NAME]:['#]],5,0)</f>
        <v>12</v>
      </c>
      <c r="H195" s="28">
        <f>VLOOKUP(Table88[[#This Row],[NAME]],COL_H[[NAME]:['#]],6,0)</f>
        <v>45</v>
      </c>
      <c r="I195" s="28">
        <f>VLOOKUP(Table88[[#This Row],[NAME]],COL_H[[NAME]:['#]],7,0)</f>
        <v>4</v>
      </c>
      <c r="J195" s="28">
        <f>VLOOKUP(Table88[[#This Row],[NAME]],COL_H[[NAME]:['#]],8,0)</f>
        <v>13</v>
      </c>
      <c r="K195" s="28">
        <f>VLOOKUP(Table88[[#This Row],[NAME]],COL_H[[NAME]:['#]],9,0)</f>
        <v>4</v>
      </c>
      <c r="L195" s="28">
        <f>VLOOKUP(Table88[[#This Row],[NAME]],COL_H[[NAME]:['#]],10,0)</f>
        <v>0</v>
      </c>
      <c r="M195" s="28">
        <f>VLOOKUP(Table88[[#This Row],[NAME]],COL_H[[NAME]:['#]],11,0)</f>
        <v>0</v>
      </c>
      <c r="N195" s="28">
        <f>VLOOKUP(Table88[[#This Row],[NAME]],COL_H[[NAME]:['#]],12,0)</f>
        <v>4</v>
      </c>
      <c r="O195" s="28">
        <f>VLOOKUP(Table88[[#This Row],[NAME]],COL_H[[NAME]:['#]],13,0)</f>
        <v>3</v>
      </c>
      <c r="P195" s="28">
        <f>VLOOKUP(Table88[[#This Row],[NAME]],COL_H[[NAME]:['#]],14,0)</f>
        <v>9</v>
      </c>
      <c r="Q195" s="77">
        <f>VLOOKUP(Table88[[#This Row],[NAME]],COL_H[[NAME]:['#]],15,0)</f>
        <v>0</v>
      </c>
      <c r="R195" s="28">
        <f>VLOOKUP(Table88[[#This Row],[NAME]],COL_H[[NAME]:['#]],16,0)</f>
        <v>0</v>
      </c>
      <c r="S195" s="28">
        <f>VLOOKUP(Table88[[#This Row],[NAME]],COL_H[[NAME]:['#]],17,0)</f>
        <v>4</v>
      </c>
      <c r="T195" s="77">
        <f>VLOOKUP(Table88[[#This Row],[NAME]],COL_H[[NAME]:['#]],18,0)</f>
        <v>17</v>
      </c>
      <c r="U195" s="72">
        <f>VLOOKUP(Table88[[#This Row],[NAME]],COL_H[[NAME]:['#]],19,0)</f>
        <v>0.71111111111111103</v>
      </c>
      <c r="V195" s="28">
        <f>VLOOKUP(Table88[[#This Row],[NAME]],COL_H[[NAME]:['#]],20,0)</f>
        <v>0</v>
      </c>
      <c r="W195" s="75">
        <v>193</v>
      </c>
      <c r="Z195" s="101" t="s">
        <v>1229</v>
      </c>
      <c r="AA195" s="77" t="s">
        <v>192</v>
      </c>
      <c r="AB195" s="77" t="s">
        <v>1246</v>
      </c>
      <c r="AC195" s="130">
        <v>0.375</v>
      </c>
      <c r="AD195" s="72">
        <v>0.375</v>
      </c>
      <c r="AE195" s="72">
        <v>0.5</v>
      </c>
      <c r="AF195" s="77">
        <v>2</v>
      </c>
      <c r="AG195" s="28">
        <v>8</v>
      </c>
      <c r="AH195" s="28">
        <v>0</v>
      </c>
      <c r="AI195" s="28">
        <v>3</v>
      </c>
      <c r="AJ195" s="28">
        <v>1</v>
      </c>
      <c r="AK195" s="28">
        <v>0</v>
      </c>
      <c r="AL195" s="28">
        <v>0</v>
      </c>
      <c r="AM195" s="28">
        <v>2</v>
      </c>
      <c r="AN195" s="28">
        <v>0</v>
      </c>
      <c r="AO195" s="28">
        <v>1</v>
      </c>
      <c r="AP195" s="77">
        <v>0</v>
      </c>
      <c r="AQ195" s="28">
        <v>2</v>
      </c>
      <c r="AR195" s="28">
        <v>2</v>
      </c>
      <c r="AS195" s="77">
        <v>4</v>
      </c>
      <c r="AT195" s="72">
        <v>0.875</v>
      </c>
      <c r="AU195" s="28">
        <v>0</v>
      </c>
      <c r="AV195" s="75">
        <v>193</v>
      </c>
      <c r="AY195" s="101" t="s">
        <v>1229</v>
      </c>
      <c r="AZ195" s="77" t="s">
        <v>187</v>
      </c>
      <c r="BA195" s="77" t="s">
        <v>1247</v>
      </c>
      <c r="BB195" s="130">
        <v>0.19607843137254902</v>
      </c>
      <c r="BC195" s="72">
        <v>0.22641509433962265</v>
      </c>
      <c r="BD195" s="72">
        <v>0.33333333333333331</v>
      </c>
      <c r="BE195" s="77">
        <v>19</v>
      </c>
      <c r="BF195" s="28">
        <v>51</v>
      </c>
      <c r="BG195" s="28">
        <v>4</v>
      </c>
      <c r="BH195" s="28">
        <v>10</v>
      </c>
      <c r="BI195" s="28">
        <v>1</v>
      </c>
      <c r="BJ195" s="28">
        <v>0</v>
      </c>
      <c r="BK195" s="28">
        <v>2</v>
      </c>
      <c r="BL195" s="28">
        <v>6</v>
      </c>
      <c r="BM195" s="28">
        <v>2</v>
      </c>
      <c r="BN195" s="28">
        <v>8</v>
      </c>
      <c r="BO195" s="77">
        <v>0</v>
      </c>
      <c r="BP195" s="28">
        <v>0</v>
      </c>
      <c r="BQ195" s="28">
        <v>2</v>
      </c>
      <c r="BR195" s="77">
        <v>17</v>
      </c>
      <c r="BS195" s="72">
        <v>0.55974842767295596</v>
      </c>
      <c r="BT195" s="28">
        <v>0</v>
      </c>
      <c r="BU195" s="75">
        <v>193</v>
      </c>
    </row>
    <row r="196" spans="1:73">
      <c r="A196" s="101" t="s">
        <v>1229</v>
      </c>
      <c r="B196" s="71" t="s">
        <v>2169</v>
      </c>
      <c r="C196" s="74" t="s">
        <v>1238</v>
      </c>
      <c r="D196" s="72">
        <f>VLOOKUP(Table88[[#This Row],[NAME]],COL_H[[NAME]:['#]],2,0)</f>
        <v>0.21428571428571427</v>
      </c>
      <c r="E196" s="72">
        <f>VLOOKUP(Table88[[#This Row],[NAME]],COL_H[[NAME]:['#]],3,0)</f>
        <v>0.3125</v>
      </c>
      <c r="F196" s="72">
        <f>VLOOKUP(Table88[[#This Row],[NAME]],COL_H[[NAME]:['#]],4,0)</f>
        <v>0.33333333333333331</v>
      </c>
      <c r="G196" s="77">
        <f>VLOOKUP(Table88[[#This Row],[NAME]],COL_H[[NAME]:['#]],5,0)</f>
        <v>12</v>
      </c>
      <c r="H196" s="28">
        <f>VLOOKUP(Table88[[#This Row],[NAME]],COL_H[[NAME]:['#]],6,0)</f>
        <v>42</v>
      </c>
      <c r="I196" s="28">
        <f>VLOOKUP(Table88[[#This Row],[NAME]],COL_H[[NAME]:['#]],7,0)</f>
        <v>6</v>
      </c>
      <c r="J196" s="28">
        <f>VLOOKUP(Table88[[#This Row],[NAME]],COL_H[[NAME]:['#]],8,0)</f>
        <v>9</v>
      </c>
      <c r="K196" s="28">
        <f>VLOOKUP(Table88[[#This Row],[NAME]],COL_H[[NAME]:['#]],9,0)</f>
        <v>2</v>
      </c>
      <c r="L196" s="28">
        <f>VLOOKUP(Table88[[#This Row],[NAME]],COL_H[[NAME]:['#]],10,0)</f>
        <v>0</v>
      </c>
      <c r="M196" s="28">
        <f>VLOOKUP(Table88[[#This Row],[NAME]],COL_H[[NAME]:['#]],11,0)</f>
        <v>1</v>
      </c>
      <c r="N196" s="28">
        <f>VLOOKUP(Table88[[#This Row],[NAME]],COL_H[[NAME]:['#]],12,0)</f>
        <v>3</v>
      </c>
      <c r="O196" s="28">
        <f>VLOOKUP(Table88[[#This Row],[NAME]],COL_H[[NAME]:['#]],13,0)</f>
        <v>6</v>
      </c>
      <c r="P196" s="28">
        <f>VLOOKUP(Table88[[#This Row],[NAME]],COL_H[[NAME]:['#]],14,0)</f>
        <v>9</v>
      </c>
      <c r="Q196" s="77">
        <f>VLOOKUP(Table88[[#This Row],[NAME]],COL_H[[NAME]:['#]],15,0)</f>
        <v>0</v>
      </c>
      <c r="R196" s="28">
        <f>VLOOKUP(Table88[[#This Row],[NAME]],COL_H[[NAME]:['#]],16,0)</f>
        <v>0</v>
      </c>
      <c r="S196" s="28">
        <f>VLOOKUP(Table88[[#This Row],[NAME]],COL_H[[NAME]:['#]],17,0)</f>
        <v>5</v>
      </c>
      <c r="T196" s="77">
        <f>VLOOKUP(Table88[[#This Row],[NAME]],COL_H[[NAME]:['#]],18,0)</f>
        <v>14</v>
      </c>
      <c r="U196" s="72">
        <f>VLOOKUP(Table88[[#This Row],[NAME]],COL_H[[NAME]:['#]],19,0)</f>
        <v>0.64583333333333326</v>
      </c>
      <c r="V196" s="28">
        <f>VLOOKUP(Table88[[#This Row],[NAME]],COL_H[[NAME]:['#]],20,0)</f>
        <v>0</v>
      </c>
      <c r="W196" s="75">
        <v>194</v>
      </c>
      <c r="Z196" s="101" t="s">
        <v>1229</v>
      </c>
      <c r="AA196" s="77" t="s">
        <v>186</v>
      </c>
      <c r="AB196" s="77" t="s">
        <v>1237</v>
      </c>
      <c r="AC196" s="130">
        <v>0.20161290322580644</v>
      </c>
      <c r="AD196" s="72">
        <v>0.24427480916030533</v>
      </c>
      <c r="AE196" s="72">
        <v>0.32258064516129031</v>
      </c>
      <c r="AF196" s="77">
        <v>29</v>
      </c>
      <c r="AG196" s="28">
        <v>124</v>
      </c>
      <c r="AH196" s="28">
        <v>13</v>
      </c>
      <c r="AI196" s="28">
        <v>25</v>
      </c>
      <c r="AJ196" s="28">
        <v>6</v>
      </c>
      <c r="AK196" s="28">
        <v>3</v>
      </c>
      <c r="AL196" s="28">
        <v>1</v>
      </c>
      <c r="AM196" s="28">
        <v>12</v>
      </c>
      <c r="AN196" s="28">
        <v>7</v>
      </c>
      <c r="AO196" s="28">
        <v>32</v>
      </c>
      <c r="AP196" s="77">
        <v>0</v>
      </c>
      <c r="AQ196" s="28">
        <v>0</v>
      </c>
      <c r="AR196" s="28">
        <v>4</v>
      </c>
      <c r="AS196" s="77">
        <v>40</v>
      </c>
      <c r="AT196" s="72">
        <v>0.56685545432159568</v>
      </c>
      <c r="AU196" s="28">
        <v>2</v>
      </c>
      <c r="AV196" s="75">
        <v>194</v>
      </c>
      <c r="AY196" s="101" t="s">
        <v>1229</v>
      </c>
      <c r="AZ196" s="77" t="s">
        <v>186</v>
      </c>
      <c r="BA196" s="77" t="s">
        <v>1245</v>
      </c>
      <c r="BB196" s="130">
        <v>0.26415094339622641</v>
      </c>
      <c r="BC196" s="72">
        <v>0.32758620689655171</v>
      </c>
      <c r="BD196" s="72">
        <v>0.45283018867924529</v>
      </c>
      <c r="BE196" s="77">
        <v>18</v>
      </c>
      <c r="BF196" s="28">
        <v>53</v>
      </c>
      <c r="BG196" s="28">
        <v>6</v>
      </c>
      <c r="BH196" s="28">
        <v>14</v>
      </c>
      <c r="BI196" s="28">
        <v>4</v>
      </c>
      <c r="BJ196" s="28">
        <v>0</v>
      </c>
      <c r="BK196" s="28">
        <v>2</v>
      </c>
      <c r="BL196" s="28">
        <v>9</v>
      </c>
      <c r="BM196" s="28">
        <v>5</v>
      </c>
      <c r="BN196" s="28">
        <v>18</v>
      </c>
      <c r="BO196" s="77">
        <v>0</v>
      </c>
      <c r="BP196" s="28">
        <v>3</v>
      </c>
      <c r="BQ196" s="28">
        <v>3</v>
      </c>
      <c r="BR196" s="77">
        <v>24</v>
      </c>
      <c r="BS196" s="72">
        <v>0.78041639557579701</v>
      </c>
      <c r="BT196" s="28">
        <v>1</v>
      </c>
      <c r="BU196" s="75">
        <v>194</v>
      </c>
    </row>
    <row r="197" spans="1:73">
      <c r="A197" s="101" t="s">
        <v>1229</v>
      </c>
      <c r="B197" s="71" t="s">
        <v>187</v>
      </c>
      <c r="C197" s="74" t="s">
        <v>1246</v>
      </c>
      <c r="D197" s="72">
        <f>VLOOKUP(Table88[[#This Row],[NAME]],COL_H[[NAME]:['#]],2,0)</f>
        <v>0</v>
      </c>
      <c r="E197" s="72">
        <f>VLOOKUP(Table88[[#This Row],[NAME]],COL_H[[NAME]:['#]],3,0)</f>
        <v>0</v>
      </c>
      <c r="F197" s="72">
        <f>VLOOKUP(Table88[[#This Row],[NAME]],COL_H[[NAME]:['#]],4,0)</f>
        <v>0</v>
      </c>
      <c r="G197" s="77">
        <f>VLOOKUP(Table88[[#This Row],[NAME]],COL_H[[NAME]:['#]],5,0)</f>
        <v>0</v>
      </c>
      <c r="H197" s="28">
        <f>VLOOKUP(Table88[[#This Row],[NAME]],COL_H[[NAME]:['#]],6,0)</f>
        <v>0</v>
      </c>
      <c r="I197" s="28">
        <f>VLOOKUP(Table88[[#This Row],[NAME]],COL_H[[NAME]:['#]],7,0)</f>
        <v>0</v>
      </c>
      <c r="J197" s="28">
        <f>VLOOKUP(Table88[[#This Row],[NAME]],COL_H[[NAME]:['#]],8,0)</f>
        <v>0</v>
      </c>
      <c r="K197" s="28">
        <f>VLOOKUP(Table88[[#This Row],[NAME]],COL_H[[NAME]:['#]],9,0)</f>
        <v>0</v>
      </c>
      <c r="L197" s="28">
        <f>VLOOKUP(Table88[[#This Row],[NAME]],COL_H[[NAME]:['#]],10,0)</f>
        <v>0</v>
      </c>
      <c r="M197" s="28">
        <f>VLOOKUP(Table88[[#This Row],[NAME]],COL_H[[NAME]:['#]],11,0)</f>
        <v>0</v>
      </c>
      <c r="N197" s="28">
        <f>VLOOKUP(Table88[[#This Row],[NAME]],COL_H[[NAME]:['#]],12,0)</f>
        <v>0</v>
      </c>
      <c r="O197" s="28">
        <f>VLOOKUP(Table88[[#This Row],[NAME]],COL_H[[NAME]:['#]],13,0)</f>
        <v>0</v>
      </c>
      <c r="P197" s="28">
        <f>VLOOKUP(Table88[[#This Row],[NAME]],COL_H[[NAME]:['#]],14,0)</f>
        <v>0</v>
      </c>
      <c r="Q197" s="77">
        <f>VLOOKUP(Table88[[#This Row],[NAME]],COL_H[[NAME]:['#]],15,0)</f>
        <v>0</v>
      </c>
      <c r="R197" s="28">
        <f>VLOOKUP(Table88[[#This Row],[NAME]],COL_H[[NAME]:['#]],16,0)</f>
        <v>0</v>
      </c>
      <c r="S197" s="28">
        <f>VLOOKUP(Table88[[#This Row],[NAME]],COL_H[[NAME]:['#]],17,0)</f>
        <v>0</v>
      </c>
      <c r="T197" s="77">
        <f>VLOOKUP(Table88[[#This Row],[NAME]],COL_H[[NAME]:['#]],18,0)</f>
        <v>0</v>
      </c>
      <c r="U197" s="72">
        <f>VLOOKUP(Table88[[#This Row],[NAME]],COL_H[[NAME]:['#]],19,0)</f>
        <v>0</v>
      </c>
      <c r="V197" s="28">
        <f>VLOOKUP(Table88[[#This Row],[NAME]],COL_H[[NAME]:['#]],20,0)</f>
        <v>0</v>
      </c>
      <c r="W197" s="75">
        <v>195</v>
      </c>
      <c r="Z197" s="101" t="s">
        <v>1229</v>
      </c>
      <c r="AA197" s="77" t="s">
        <v>186</v>
      </c>
      <c r="AB197" s="77" t="s">
        <v>1242</v>
      </c>
      <c r="AC197" s="130">
        <v>0</v>
      </c>
      <c r="AD197" s="72">
        <v>7.6923076923076927E-2</v>
      </c>
      <c r="AE197" s="72">
        <v>0</v>
      </c>
      <c r="AF197" s="77">
        <v>6</v>
      </c>
      <c r="AG197" s="28">
        <v>12</v>
      </c>
      <c r="AH197" s="28">
        <v>1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1</v>
      </c>
      <c r="AO197" s="28">
        <v>4</v>
      </c>
      <c r="AP197" s="77">
        <v>2</v>
      </c>
      <c r="AQ197" s="28">
        <v>0</v>
      </c>
      <c r="AR197" s="28">
        <v>1</v>
      </c>
      <c r="AS197" s="77">
        <v>0</v>
      </c>
      <c r="AT197" s="72">
        <v>7.6923076923076927E-2</v>
      </c>
      <c r="AU197" s="28">
        <v>0</v>
      </c>
      <c r="AV197" s="75">
        <v>195</v>
      </c>
      <c r="AY197" s="101" t="s">
        <v>1229</v>
      </c>
      <c r="AZ197" s="77" t="s">
        <v>186</v>
      </c>
      <c r="BA197" s="77" t="s">
        <v>1244</v>
      </c>
      <c r="BB197" s="130">
        <v>0.38461538461538464</v>
      </c>
      <c r="BC197" s="72">
        <v>0.4</v>
      </c>
      <c r="BD197" s="72">
        <v>0.71794871794871795</v>
      </c>
      <c r="BE197" s="77">
        <v>10</v>
      </c>
      <c r="BF197" s="28">
        <v>39</v>
      </c>
      <c r="BG197" s="28">
        <v>9</v>
      </c>
      <c r="BH197" s="28">
        <v>15</v>
      </c>
      <c r="BI197" s="28">
        <v>2</v>
      </c>
      <c r="BJ197" s="28">
        <v>1</v>
      </c>
      <c r="BK197" s="28">
        <v>3</v>
      </c>
      <c r="BL197" s="28">
        <v>11</v>
      </c>
      <c r="BM197" s="28">
        <v>1</v>
      </c>
      <c r="BN197" s="28">
        <v>7</v>
      </c>
      <c r="BO197" s="77">
        <v>0</v>
      </c>
      <c r="BP197" s="28">
        <v>5</v>
      </c>
      <c r="BQ197" s="28">
        <v>5</v>
      </c>
      <c r="BR197" s="77">
        <v>28</v>
      </c>
      <c r="BS197" s="72">
        <v>1.117948717948718</v>
      </c>
      <c r="BT197" s="28">
        <v>1</v>
      </c>
      <c r="BU197" s="75">
        <v>195</v>
      </c>
    </row>
    <row r="198" spans="1:73">
      <c r="A198" s="101" t="s">
        <v>1229</v>
      </c>
      <c r="B198" s="71" t="s">
        <v>184</v>
      </c>
      <c r="C198" s="74" t="s">
        <v>1249</v>
      </c>
      <c r="D198" s="72">
        <f>VLOOKUP(Table88[[#This Row],[NAME]],COL_H[[NAME]:['#]],2,0)</f>
        <v>0</v>
      </c>
      <c r="E198" s="72">
        <f>VLOOKUP(Table88[[#This Row],[NAME]],COL_H[[NAME]:['#]],3,0)</f>
        <v>0</v>
      </c>
      <c r="F198" s="72">
        <f>VLOOKUP(Table88[[#This Row],[NAME]],COL_H[[NAME]:['#]],4,0)</f>
        <v>0</v>
      </c>
      <c r="G198" s="77">
        <f>VLOOKUP(Table88[[#This Row],[NAME]],COL_H[[NAME]:['#]],5,0)</f>
        <v>0</v>
      </c>
      <c r="H198" s="28">
        <f>VLOOKUP(Table88[[#This Row],[NAME]],COL_H[[NAME]:['#]],6,0)</f>
        <v>0</v>
      </c>
      <c r="I198" s="28">
        <f>VLOOKUP(Table88[[#This Row],[NAME]],COL_H[[NAME]:['#]],7,0)</f>
        <v>0</v>
      </c>
      <c r="J198" s="28">
        <f>VLOOKUP(Table88[[#This Row],[NAME]],COL_H[[NAME]:['#]],8,0)</f>
        <v>0</v>
      </c>
      <c r="K198" s="28">
        <f>VLOOKUP(Table88[[#This Row],[NAME]],COL_H[[NAME]:['#]],9,0)</f>
        <v>0</v>
      </c>
      <c r="L198" s="28">
        <f>VLOOKUP(Table88[[#This Row],[NAME]],COL_H[[NAME]:['#]],10,0)</f>
        <v>0</v>
      </c>
      <c r="M198" s="28">
        <f>VLOOKUP(Table88[[#This Row],[NAME]],COL_H[[NAME]:['#]],11,0)</f>
        <v>0</v>
      </c>
      <c r="N198" s="28">
        <f>VLOOKUP(Table88[[#This Row],[NAME]],COL_H[[NAME]:['#]],12,0)</f>
        <v>0</v>
      </c>
      <c r="O198" s="28">
        <f>VLOOKUP(Table88[[#This Row],[NAME]],COL_H[[NAME]:['#]],13,0)</f>
        <v>0</v>
      </c>
      <c r="P198" s="28">
        <f>VLOOKUP(Table88[[#This Row],[NAME]],COL_H[[NAME]:['#]],14,0)</f>
        <v>0</v>
      </c>
      <c r="Q198" s="77">
        <f>VLOOKUP(Table88[[#This Row],[NAME]],COL_H[[NAME]:['#]],15,0)</f>
        <v>0</v>
      </c>
      <c r="R198" s="28">
        <f>VLOOKUP(Table88[[#This Row],[NAME]],COL_H[[NAME]:['#]],16,0)</f>
        <v>0</v>
      </c>
      <c r="S198" s="28">
        <f>VLOOKUP(Table88[[#This Row],[NAME]],COL_H[[NAME]:['#]],17,0)</f>
        <v>0</v>
      </c>
      <c r="T198" s="77">
        <f>VLOOKUP(Table88[[#This Row],[NAME]],COL_H[[NAME]:['#]],18,0)</f>
        <v>0</v>
      </c>
      <c r="U198" s="72">
        <f>VLOOKUP(Table88[[#This Row],[NAME]],COL_H[[NAME]:['#]],19,0)</f>
        <v>0</v>
      </c>
      <c r="V198" s="28">
        <f>VLOOKUP(Table88[[#This Row],[NAME]],COL_H[[NAME]:['#]],20,0)</f>
        <v>0</v>
      </c>
      <c r="W198" s="75">
        <v>196</v>
      </c>
      <c r="Z198" s="101" t="s">
        <v>1229</v>
      </c>
      <c r="AA198" s="77" t="s">
        <v>186</v>
      </c>
      <c r="AB198" s="77" t="s">
        <v>1245</v>
      </c>
      <c r="AC198" s="130">
        <v>0.5</v>
      </c>
      <c r="AD198" s="72">
        <v>0.5</v>
      </c>
      <c r="AE198" s="72">
        <v>0.875</v>
      </c>
      <c r="AF198" s="77">
        <v>2</v>
      </c>
      <c r="AG198" s="28">
        <v>8</v>
      </c>
      <c r="AH198" s="28">
        <v>2</v>
      </c>
      <c r="AI198" s="28">
        <v>4</v>
      </c>
      <c r="AJ198" s="28">
        <v>0</v>
      </c>
      <c r="AK198" s="28">
        <v>0</v>
      </c>
      <c r="AL198" s="28">
        <v>1</v>
      </c>
      <c r="AM198" s="28">
        <v>1</v>
      </c>
      <c r="AN198" s="28">
        <v>0</v>
      </c>
      <c r="AO198" s="28">
        <v>1</v>
      </c>
      <c r="AP198" s="77">
        <v>0</v>
      </c>
      <c r="AQ198" s="28">
        <v>2</v>
      </c>
      <c r="AR198" s="28">
        <v>2</v>
      </c>
      <c r="AS198" s="77">
        <v>7</v>
      </c>
      <c r="AT198" s="72">
        <v>1.375</v>
      </c>
      <c r="AU198" s="28">
        <v>0</v>
      </c>
      <c r="AV198" s="75">
        <v>196</v>
      </c>
      <c r="AY198" s="101" t="s">
        <v>1229</v>
      </c>
      <c r="AZ198" s="77" t="s">
        <v>184</v>
      </c>
      <c r="BA198" s="77" t="s">
        <v>1250</v>
      </c>
      <c r="BB198" s="130">
        <v>0.13333333333333333</v>
      </c>
      <c r="BC198" s="72">
        <v>0.35</v>
      </c>
      <c r="BD198" s="72">
        <v>0.33333333333333331</v>
      </c>
      <c r="BE198" s="77">
        <v>5</v>
      </c>
      <c r="BF198" s="28">
        <v>15</v>
      </c>
      <c r="BG198" s="28">
        <v>2</v>
      </c>
      <c r="BH198" s="28">
        <v>2</v>
      </c>
      <c r="BI198" s="28">
        <v>0</v>
      </c>
      <c r="BJ198" s="28">
        <v>0</v>
      </c>
      <c r="BK198" s="28">
        <v>1</v>
      </c>
      <c r="BL198" s="28">
        <v>3</v>
      </c>
      <c r="BM198" s="28">
        <v>5</v>
      </c>
      <c r="BN198" s="28">
        <v>9</v>
      </c>
      <c r="BO198" s="77">
        <v>0</v>
      </c>
      <c r="BP198" s="28">
        <v>1</v>
      </c>
      <c r="BQ198" s="28">
        <v>1</v>
      </c>
      <c r="BR198" s="77">
        <v>5</v>
      </c>
      <c r="BS198" s="72">
        <v>0.68333333333333335</v>
      </c>
      <c r="BT198" s="28">
        <v>0</v>
      </c>
      <c r="BU198" s="75">
        <v>196</v>
      </c>
    </row>
    <row r="199" spans="1:73">
      <c r="A199" s="101" t="s">
        <v>1265</v>
      </c>
      <c r="B199" s="77" t="s">
        <v>179</v>
      </c>
      <c r="C199" s="77" t="s">
        <v>1277</v>
      </c>
      <c r="D199" s="996">
        <f>VLOOKUP(Table88[[#This Row],[NAME]],ARI_H[[NAME]:['#]],2,0)</f>
        <v>0.25</v>
      </c>
      <c r="E199" s="72">
        <f>VLOOKUP(Table88[[#This Row],[NAME]],ARI_H[[NAME]:['#]],3,0)</f>
        <v>0.32450331125827814</v>
      </c>
      <c r="F199" s="72">
        <f>VLOOKUP(Table88[[#This Row],[NAME]],ARI_H[[NAME]:['#]],4,0)</f>
        <v>0.3014705882352941</v>
      </c>
      <c r="G199" s="77">
        <f>VLOOKUP(Table88[[#This Row],[NAME]],ARI_H[[NAME]:['#]],5,0)</f>
        <v>38</v>
      </c>
      <c r="H199" s="28">
        <f>VLOOKUP(Table88[[#This Row],[NAME]],ARI_H[[NAME]:['#]],6,0)</f>
        <v>136</v>
      </c>
      <c r="I199" s="28">
        <f>VLOOKUP(Table88[[#This Row],[NAME]],ARI_H[[NAME]:['#]],7,0)</f>
        <v>22</v>
      </c>
      <c r="J199" s="28">
        <f>VLOOKUP(Table88[[#This Row],[NAME]],ARI_H[[NAME]:['#]],8,0)</f>
        <v>34</v>
      </c>
      <c r="K199" s="28">
        <f>VLOOKUP(Table88[[#This Row],[NAME]],ARI_H[[NAME]:['#]],9,0)</f>
        <v>7</v>
      </c>
      <c r="L199" s="28">
        <f>VLOOKUP(Table88[[#This Row],[NAME]],ARI_H[[NAME]:['#]],10,0)</f>
        <v>0</v>
      </c>
      <c r="M199" s="28">
        <f>VLOOKUP(Table88[[#This Row],[NAME]],ARI_H[[NAME]:['#]],11,0)</f>
        <v>0</v>
      </c>
      <c r="N199" s="28">
        <f>VLOOKUP(Table88[[#This Row],[NAME]],ARI_H[[NAME]:['#]],12,0)</f>
        <v>10</v>
      </c>
      <c r="O199" s="28">
        <f>VLOOKUP(Table88[[#This Row],[NAME]],ARI_H[[NAME]:['#]],13,0)</f>
        <v>15</v>
      </c>
      <c r="P199" s="28">
        <f>VLOOKUP(Table88[[#This Row],[NAME]],ARI_H[[NAME]:['#]],14,0)</f>
        <v>34</v>
      </c>
      <c r="Q199" s="77">
        <f>VLOOKUP(Table88[[#This Row],[NAME]],ARI_H[[NAME]:['#]],15,0)</f>
        <v>0</v>
      </c>
      <c r="R199" s="28">
        <f>VLOOKUP(Table88[[#This Row],[NAME]],ARI_H[[NAME]:['#]],16,0)</f>
        <v>2</v>
      </c>
      <c r="S199" s="28">
        <f>VLOOKUP(Table88[[#This Row],[NAME]],ARI_H[[NAME]:['#]],17,0)</f>
        <v>4</v>
      </c>
      <c r="T199" s="77">
        <f>VLOOKUP(Table88[[#This Row],[NAME]],ARI_H[[NAME]:['#]],18,0)</f>
        <v>41</v>
      </c>
      <c r="U199" s="72">
        <f>VLOOKUP(Table88[[#This Row],[NAME]],ARI_H[[NAME]:['#]],19,0)</f>
        <v>0.62597389949357218</v>
      </c>
      <c r="V199" s="28">
        <f>VLOOKUP(Table88[[#This Row],[NAME]],ARI_H[[NAME]:['#]],20,0)</f>
        <v>0</v>
      </c>
      <c r="W199" s="75">
        <v>197</v>
      </c>
      <c r="Z199" s="101" t="s">
        <v>1265</v>
      </c>
      <c r="AA199" s="77" t="s">
        <v>179</v>
      </c>
      <c r="AB199" s="77" t="s">
        <v>1271</v>
      </c>
      <c r="AC199" s="130">
        <v>0.23469387755102042</v>
      </c>
      <c r="AD199" s="72">
        <v>0.29906542056074764</v>
      </c>
      <c r="AE199" s="72">
        <v>0.40816326530612246</v>
      </c>
      <c r="AF199" s="77">
        <v>28</v>
      </c>
      <c r="AG199" s="28">
        <v>98</v>
      </c>
      <c r="AH199" s="28">
        <v>6</v>
      </c>
      <c r="AI199" s="28">
        <v>23</v>
      </c>
      <c r="AJ199" s="28">
        <v>5</v>
      </c>
      <c r="AK199" s="28">
        <v>0</v>
      </c>
      <c r="AL199" s="28">
        <v>4</v>
      </c>
      <c r="AM199" s="28">
        <v>11</v>
      </c>
      <c r="AN199" s="28">
        <v>9</v>
      </c>
      <c r="AO199" s="28">
        <v>27</v>
      </c>
      <c r="AP199" s="77">
        <v>0</v>
      </c>
      <c r="AQ199" s="28">
        <v>0</v>
      </c>
      <c r="AR199" s="28">
        <v>5</v>
      </c>
      <c r="AS199" s="77">
        <v>40</v>
      </c>
      <c r="AT199" s="72">
        <v>0.70722868586687015</v>
      </c>
      <c r="AU199" s="28">
        <v>2</v>
      </c>
      <c r="AV199" s="75">
        <v>197</v>
      </c>
      <c r="AY199" s="101" t="s">
        <v>1265</v>
      </c>
      <c r="AZ199" s="77" t="s">
        <v>179</v>
      </c>
      <c r="BA199" s="77" t="s">
        <v>1271</v>
      </c>
      <c r="BB199" s="130">
        <v>0.27692307692307694</v>
      </c>
      <c r="BC199" s="72">
        <v>0.34722222222222221</v>
      </c>
      <c r="BD199" s="72">
        <v>0.48461538461538461</v>
      </c>
      <c r="BE199" s="77">
        <v>37</v>
      </c>
      <c r="BF199" s="28">
        <v>130</v>
      </c>
      <c r="BG199" s="28">
        <v>18</v>
      </c>
      <c r="BH199" s="28">
        <v>36</v>
      </c>
      <c r="BI199" s="28">
        <v>6</v>
      </c>
      <c r="BJ199" s="28">
        <v>0</v>
      </c>
      <c r="BK199" s="28">
        <v>7</v>
      </c>
      <c r="BL199" s="28">
        <v>19</v>
      </c>
      <c r="BM199" s="28">
        <v>14</v>
      </c>
      <c r="BN199" s="28">
        <v>22</v>
      </c>
      <c r="BO199" s="77">
        <v>0</v>
      </c>
      <c r="BP199" s="28">
        <v>3</v>
      </c>
      <c r="BQ199" s="28">
        <v>5</v>
      </c>
      <c r="BR199" s="77">
        <v>63</v>
      </c>
      <c r="BS199" s="72">
        <v>0.83183760683760677</v>
      </c>
      <c r="BT199" s="28">
        <v>2</v>
      </c>
      <c r="BU199" s="75">
        <v>197</v>
      </c>
    </row>
    <row r="200" spans="1:73">
      <c r="A200" s="101" t="s">
        <v>1265</v>
      </c>
      <c r="B200" s="345" t="s">
        <v>154</v>
      </c>
      <c r="C200" s="74" t="s">
        <v>719</v>
      </c>
      <c r="D200" s="72">
        <f>VLOOKUP(Table88[[#This Row],[NAME]],ARI_H[[NAME]:['#]],2,0)</f>
        <v>0.33540372670807456</v>
      </c>
      <c r="E200" s="72">
        <f>VLOOKUP(Table88[[#This Row],[NAME]],ARI_H[[NAME]:['#]],3,0)</f>
        <v>0.41530054644808745</v>
      </c>
      <c r="F200" s="72">
        <f>VLOOKUP(Table88[[#This Row],[NAME]],ARI_H[[NAME]:['#]],4,0)</f>
        <v>0.6149068322981367</v>
      </c>
      <c r="G200" s="77">
        <f>VLOOKUP(Table88[[#This Row],[NAME]],ARI_H[[NAME]:['#]],5,0)</f>
        <v>40</v>
      </c>
      <c r="H200" s="28">
        <f>VLOOKUP(Table88[[#This Row],[NAME]],ARI_H[[NAME]:['#]],6,0)</f>
        <v>161</v>
      </c>
      <c r="I200" s="76">
        <f>VLOOKUP(Table88[[#This Row],[NAME]],ARI_H[[NAME]:['#]],7,0)</f>
        <v>35</v>
      </c>
      <c r="J200" s="28">
        <f>VLOOKUP(Table88[[#This Row],[NAME]],ARI_H[[NAME]:['#]],8,0)</f>
        <v>54</v>
      </c>
      <c r="K200" s="28">
        <f>VLOOKUP(Table88[[#This Row],[NAME]],ARI_H[[NAME]:['#]],9,0)</f>
        <v>15</v>
      </c>
      <c r="L200" s="28">
        <f>VLOOKUP(Table88[[#This Row],[NAME]],ARI_H[[NAME]:['#]],10,0)</f>
        <v>0</v>
      </c>
      <c r="M200" s="28">
        <f>VLOOKUP(Table88[[#This Row],[NAME]],ARI_H[[NAME]:['#]],11,0)</f>
        <v>10</v>
      </c>
      <c r="N200" s="28">
        <f>VLOOKUP(Table88[[#This Row],[NAME]],ARI_H[[NAME]:['#]],12,0)</f>
        <v>33</v>
      </c>
      <c r="O200" s="28">
        <f>VLOOKUP(Table88[[#This Row],[NAME]],ARI_H[[NAME]:['#]],13,0)</f>
        <v>22</v>
      </c>
      <c r="P200" s="28">
        <f>VLOOKUP(Table88[[#This Row],[NAME]],ARI_H[[NAME]:['#]],14,0)</f>
        <v>39</v>
      </c>
      <c r="Q200" s="77">
        <f>VLOOKUP(Table88[[#This Row],[NAME]],ARI_H[[NAME]:['#]],15,0)</f>
        <v>0</v>
      </c>
      <c r="R200" s="28">
        <f>VLOOKUP(Table88[[#This Row],[NAME]],ARI_H[[NAME]:['#]],16,0)</f>
        <v>9</v>
      </c>
      <c r="S200" s="28">
        <f>VLOOKUP(Table88[[#This Row],[NAME]],ARI_H[[NAME]:['#]],17,0)</f>
        <v>9</v>
      </c>
      <c r="T200" s="77">
        <f>VLOOKUP(Table88[[#This Row],[NAME]],ARI_H[[NAME]:['#]],18,0)</f>
        <v>99</v>
      </c>
      <c r="U200" s="72">
        <f>VLOOKUP(Table88[[#This Row],[NAME]],ARI_H[[NAME]:['#]],19,0)</f>
        <v>1.030207378746224</v>
      </c>
      <c r="V200" s="28">
        <f>VLOOKUP(Table88[[#This Row],[NAME]],ARI_H[[NAME]:['#]],20,0)</f>
        <v>3</v>
      </c>
      <c r="W200" s="75">
        <v>198</v>
      </c>
      <c r="Z200" s="101" t="s">
        <v>1265</v>
      </c>
      <c r="AA200" s="77" t="s">
        <v>154</v>
      </c>
      <c r="AB200" s="77" t="s">
        <v>1268</v>
      </c>
      <c r="AC200" s="130">
        <v>0.22147651006711411</v>
      </c>
      <c r="AD200" s="72">
        <v>0.27950310559006208</v>
      </c>
      <c r="AE200" s="72">
        <v>0.42953020134228187</v>
      </c>
      <c r="AF200" s="77">
        <v>38</v>
      </c>
      <c r="AG200" s="28">
        <v>149</v>
      </c>
      <c r="AH200" s="28">
        <v>15</v>
      </c>
      <c r="AI200" s="28">
        <v>33</v>
      </c>
      <c r="AJ200" s="28">
        <v>7</v>
      </c>
      <c r="AK200" s="28">
        <v>0</v>
      </c>
      <c r="AL200" s="28">
        <v>8</v>
      </c>
      <c r="AM200" s="28">
        <v>18</v>
      </c>
      <c r="AN200" s="28">
        <v>12</v>
      </c>
      <c r="AO200" s="28">
        <v>30</v>
      </c>
      <c r="AP200" s="77">
        <v>0</v>
      </c>
      <c r="AQ200" s="28">
        <v>2</v>
      </c>
      <c r="AR200" s="28">
        <v>6</v>
      </c>
      <c r="AS200" s="77">
        <v>64</v>
      </c>
      <c r="AT200" s="72">
        <v>0.70903330693234401</v>
      </c>
      <c r="AU200" s="28">
        <v>2</v>
      </c>
      <c r="AV200" s="75">
        <v>198</v>
      </c>
      <c r="AY200" s="101" t="s">
        <v>1265</v>
      </c>
      <c r="AZ200" s="77" t="s">
        <v>154</v>
      </c>
      <c r="BA200" s="77" t="s">
        <v>1282</v>
      </c>
      <c r="BB200" s="130">
        <v>0.24285714285714285</v>
      </c>
      <c r="BC200" s="72">
        <v>0.29333333333333333</v>
      </c>
      <c r="BD200" s="72">
        <v>0.32857142857142857</v>
      </c>
      <c r="BE200" s="77">
        <v>18</v>
      </c>
      <c r="BF200" s="28">
        <v>70</v>
      </c>
      <c r="BG200" s="28">
        <v>6</v>
      </c>
      <c r="BH200" s="28">
        <v>17</v>
      </c>
      <c r="BI200" s="28">
        <v>3</v>
      </c>
      <c r="BJ200" s="28">
        <v>0</v>
      </c>
      <c r="BK200" s="28">
        <v>1</v>
      </c>
      <c r="BL200" s="28">
        <v>7</v>
      </c>
      <c r="BM200" s="28">
        <v>5</v>
      </c>
      <c r="BN200" s="28">
        <v>21</v>
      </c>
      <c r="BO200" s="77">
        <v>0</v>
      </c>
      <c r="BP200" s="28">
        <v>2</v>
      </c>
      <c r="BQ200" s="28">
        <v>4</v>
      </c>
      <c r="BR200" s="77">
        <v>23</v>
      </c>
      <c r="BS200" s="72">
        <v>0.62190476190476196</v>
      </c>
      <c r="BT200" s="28">
        <v>0</v>
      </c>
      <c r="BU200" s="75">
        <v>198</v>
      </c>
    </row>
    <row r="201" spans="1:73">
      <c r="A201" s="101" t="s">
        <v>1265</v>
      </c>
      <c r="B201" s="71" t="s">
        <v>172</v>
      </c>
      <c r="C201" s="74" t="s">
        <v>1267</v>
      </c>
      <c r="D201" s="72">
        <f>VLOOKUP(Table88[[#This Row],[NAME]],ARI_H[[NAME]:['#]],2,0)</f>
        <v>0.26717557251908397</v>
      </c>
      <c r="E201" s="72">
        <f>VLOOKUP(Table88[[#This Row],[NAME]],ARI_H[[NAME]:['#]],3,0)</f>
        <v>0.32867132867132864</v>
      </c>
      <c r="F201" s="72">
        <f>VLOOKUP(Table88[[#This Row],[NAME]],ARI_H[[NAME]:['#]],4,0)</f>
        <v>0.36641221374045801</v>
      </c>
      <c r="G201" s="77">
        <f>VLOOKUP(Table88[[#This Row],[NAME]],ARI_H[[NAME]:['#]],5,0)</f>
        <v>36</v>
      </c>
      <c r="H201" s="28">
        <f>VLOOKUP(Table88[[#This Row],[NAME]],ARI_H[[NAME]:['#]],6,0)</f>
        <v>131</v>
      </c>
      <c r="I201" s="28">
        <f>VLOOKUP(Table88[[#This Row],[NAME]],ARI_H[[NAME]:['#]],7,0)</f>
        <v>17</v>
      </c>
      <c r="J201" s="28">
        <f>VLOOKUP(Table88[[#This Row],[NAME]],ARI_H[[NAME]:['#]],8,0)</f>
        <v>35</v>
      </c>
      <c r="K201" s="28">
        <f>VLOOKUP(Table88[[#This Row],[NAME]],ARI_H[[NAME]:['#]],9,0)</f>
        <v>4</v>
      </c>
      <c r="L201" s="28">
        <f>VLOOKUP(Table88[[#This Row],[NAME]],ARI_H[[NAME]:['#]],10,0)</f>
        <v>3</v>
      </c>
      <c r="M201" s="28">
        <f>VLOOKUP(Table88[[#This Row],[NAME]],ARI_H[[NAME]:['#]],11,0)</f>
        <v>1</v>
      </c>
      <c r="N201" s="28">
        <f>VLOOKUP(Table88[[#This Row],[NAME]],ARI_H[[NAME]:['#]],12,0)</f>
        <v>14</v>
      </c>
      <c r="O201" s="28">
        <f>VLOOKUP(Table88[[#This Row],[NAME]],ARI_H[[NAME]:['#]],13,0)</f>
        <v>12</v>
      </c>
      <c r="P201" s="28">
        <f>VLOOKUP(Table88[[#This Row],[NAME]],ARI_H[[NAME]:['#]],14,0)</f>
        <v>26</v>
      </c>
      <c r="Q201" s="77">
        <f>VLOOKUP(Table88[[#This Row],[NAME]],ARI_H[[NAME]:['#]],15,0)</f>
        <v>0</v>
      </c>
      <c r="R201" s="28">
        <f>VLOOKUP(Table88[[#This Row],[NAME]],ARI_H[[NAME]:['#]],16,0)</f>
        <v>0</v>
      </c>
      <c r="S201" s="28">
        <f>VLOOKUP(Table88[[#This Row],[NAME]],ARI_H[[NAME]:['#]],17,0)</f>
        <v>11</v>
      </c>
      <c r="T201" s="77">
        <f>VLOOKUP(Table88[[#This Row],[NAME]],ARI_H[[NAME]:['#]],18,0)</f>
        <v>48</v>
      </c>
      <c r="U201" s="72">
        <f>VLOOKUP(Table88[[#This Row],[NAME]],ARI_H[[NAME]:['#]],19,0)</f>
        <v>0.69508354241178671</v>
      </c>
      <c r="V201" s="28">
        <f>VLOOKUP(Table88[[#This Row],[NAME]],ARI_H[[NAME]:['#]],20,0)</f>
        <v>3</v>
      </c>
      <c r="W201" s="75">
        <v>199</v>
      </c>
      <c r="Z201" s="101" t="s">
        <v>1265</v>
      </c>
      <c r="AA201" s="77" t="s">
        <v>172</v>
      </c>
      <c r="AB201" s="77" t="s">
        <v>1267</v>
      </c>
      <c r="AC201" s="130">
        <v>0.24444444444444444</v>
      </c>
      <c r="AD201" s="72">
        <v>0.33333333333333331</v>
      </c>
      <c r="AE201" s="72">
        <v>0.36666666666666664</v>
      </c>
      <c r="AF201" s="77">
        <v>24</v>
      </c>
      <c r="AG201" s="28">
        <v>90</v>
      </c>
      <c r="AH201" s="28">
        <v>7</v>
      </c>
      <c r="AI201" s="28">
        <v>22</v>
      </c>
      <c r="AJ201" s="28">
        <v>2</v>
      </c>
      <c r="AK201" s="28">
        <v>0</v>
      </c>
      <c r="AL201" s="28">
        <v>3</v>
      </c>
      <c r="AM201" s="28">
        <v>7</v>
      </c>
      <c r="AN201" s="28">
        <v>12</v>
      </c>
      <c r="AO201" s="28">
        <v>24</v>
      </c>
      <c r="AP201" s="77">
        <v>0</v>
      </c>
      <c r="AQ201" s="28">
        <v>5</v>
      </c>
      <c r="AR201" s="28">
        <v>6</v>
      </c>
      <c r="AS201" s="77">
        <v>33</v>
      </c>
      <c r="AT201" s="72">
        <v>0.7</v>
      </c>
      <c r="AU201" s="28">
        <v>2</v>
      </c>
      <c r="AV201" s="75">
        <v>199</v>
      </c>
      <c r="AY201" s="101" t="s">
        <v>1265</v>
      </c>
      <c r="AZ201" s="77" t="s">
        <v>235</v>
      </c>
      <c r="BA201" s="77" t="s">
        <v>1267</v>
      </c>
      <c r="BB201" s="130">
        <v>0.23448275862068965</v>
      </c>
      <c r="BC201" s="72">
        <v>0.2929936305732484</v>
      </c>
      <c r="BD201" s="72">
        <v>0.48965517241379308</v>
      </c>
      <c r="BE201" s="77">
        <v>34</v>
      </c>
      <c r="BF201" s="28">
        <v>145</v>
      </c>
      <c r="BG201" s="28">
        <v>16</v>
      </c>
      <c r="BH201" s="28">
        <v>34</v>
      </c>
      <c r="BI201" s="28">
        <v>8</v>
      </c>
      <c r="BJ201" s="28">
        <v>1</v>
      </c>
      <c r="BK201" s="28">
        <v>9</v>
      </c>
      <c r="BL201" s="28">
        <v>20</v>
      </c>
      <c r="BM201" s="28">
        <v>12</v>
      </c>
      <c r="BN201" s="28">
        <v>30</v>
      </c>
      <c r="BO201" s="77">
        <v>1</v>
      </c>
      <c r="BP201" s="28">
        <v>2</v>
      </c>
      <c r="BQ201" s="28">
        <v>14</v>
      </c>
      <c r="BR201" s="77">
        <v>71</v>
      </c>
      <c r="BS201" s="72">
        <v>0.78264880298704154</v>
      </c>
      <c r="BT201" s="28">
        <v>3</v>
      </c>
      <c r="BU201" s="75">
        <v>199</v>
      </c>
    </row>
    <row r="202" spans="1:73">
      <c r="A202" s="101" t="s">
        <v>1265</v>
      </c>
      <c r="B202" s="345" t="s">
        <v>153</v>
      </c>
      <c r="C202" s="74" t="s">
        <v>1266</v>
      </c>
      <c r="D202" s="594">
        <f>VLOOKUP(Table88[[#This Row],[NAME]],ARI_H[[NAME]:['#]],2,0)</f>
        <v>0.35714285714285715</v>
      </c>
      <c r="E202" s="594">
        <f>VLOOKUP(Table88[[#This Row],[NAME]],ARI_H[[NAME]:['#]],3,0)</f>
        <v>0.41935483870967744</v>
      </c>
      <c r="F202" s="72">
        <f>VLOOKUP(Table88[[#This Row],[NAME]],ARI_H[[NAME]:['#]],4,0)</f>
        <v>0.56547619047619047</v>
      </c>
      <c r="G202" s="77">
        <f>VLOOKUP(Table88[[#This Row],[NAME]],ARI_H[[NAME]:['#]],5,0)</f>
        <v>40</v>
      </c>
      <c r="H202" s="28">
        <f>VLOOKUP(Table88[[#This Row],[NAME]],ARI_H[[NAME]:['#]],6,0)</f>
        <v>168</v>
      </c>
      <c r="I202" s="28">
        <f>VLOOKUP(Table88[[#This Row],[NAME]],ARI_H[[NAME]:['#]],7,0)</f>
        <v>29</v>
      </c>
      <c r="J202" s="76">
        <f>VLOOKUP(Table88[[#This Row],[NAME]],ARI_H[[NAME]:['#]],8,0)</f>
        <v>60</v>
      </c>
      <c r="K202" s="28">
        <f>VLOOKUP(Table88[[#This Row],[NAME]],ARI_H[[NAME]:['#]],9,0)</f>
        <v>12</v>
      </c>
      <c r="L202" s="28">
        <f>VLOOKUP(Table88[[#This Row],[NAME]],ARI_H[[NAME]:['#]],10,0)</f>
        <v>1</v>
      </c>
      <c r="M202" s="28">
        <f>VLOOKUP(Table88[[#This Row],[NAME]],ARI_H[[NAME]:['#]],11,0)</f>
        <v>7</v>
      </c>
      <c r="N202" s="28">
        <f>VLOOKUP(Table88[[#This Row],[NAME]],ARI_H[[NAME]:['#]],12,0)</f>
        <v>33</v>
      </c>
      <c r="O202" s="28">
        <f>VLOOKUP(Table88[[#This Row],[NAME]],ARI_H[[NAME]:['#]],13,0)</f>
        <v>18</v>
      </c>
      <c r="P202" s="28">
        <f>VLOOKUP(Table88[[#This Row],[NAME]],ARI_H[[NAME]:['#]],14,0)</f>
        <v>31</v>
      </c>
      <c r="Q202" s="77">
        <f>VLOOKUP(Table88[[#This Row],[NAME]],ARI_H[[NAME]:['#]],15,0)</f>
        <v>0</v>
      </c>
      <c r="R202" s="28">
        <f>VLOOKUP(Table88[[#This Row],[NAME]],ARI_H[[NAME]:['#]],16,0)</f>
        <v>1</v>
      </c>
      <c r="S202" s="28">
        <f>VLOOKUP(Table88[[#This Row],[NAME]],ARI_H[[NAME]:['#]],17,0)</f>
        <v>12</v>
      </c>
      <c r="T202" s="77">
        <f>VLOOKUP(Table88[[#This Row],[NAME]],ARI_H[[NAME]:['#]],18,0)</f>
        <v>95</v>
      </c>
      <c r="U202" s="72">
        <f>VLOOKUP(Table88[[#This Row],[NAME]],ARI_H[[NAME]:['#]],19,0)</f>
        <v>0.98483102918586796</v>
      </c>
      <c r="V202" s="28">
        <f>VLOOKUP(Table88[[#This Row],[NAME]],ARI_H[[NAME]:['#]],20,0)</f>
        <v>4</v>
      </c>
      <c r="W202" s="75">
        <v>200</v>
      </c>
      <c r="Z202" s="101" t="s">
        <v>1265</v>
      </c>
      <c r="AA202" s="77" t="s">
        <v>153</v>
      </c>
      <c r="AB202" s="77" t="s">
        <v>1266</v>
      </c>
      <c r="AC202" s="130">
        <v>0.26829268292682928</v>
      </c>
      <c r="AD202" s="72">
        <v>0.31818181818181818</v>
      </c>
      <c r="AE202" s="72">
        <v>0.40243902439024393</v>
      </c>
      <c r="AF202" s="77">
        <v>40</v>
      </c>
      <c r="AG202" s="28">
        <v>164</v>
      </c>
      <c r="AH202" s="28">
        <v>13</v>
      </c>
      <c r="AI202" s="28">
        <v>44</v>
      </c>
      <c r="AJ202" s="28">
        <v>13</v>
      </c>
      <c r="AK202" s="28">
        <v>3</v>
      </c>
      <c r="AL202" s="28">
        <v>1</v>
      </c>
      <c r="AM202" s="28">
        <v>14</v>
      </c>
      <c r="AN202" s="28">
        <v>12</v>
      </c>
      <c r="AO202" s="28">
        <v>38</v>
      </c>
      <c r="AP202" s="77">
        <v>0</v>
      </c>
      <c r="AQ202" s="28">
        <v>2</v>
      </c>
      <c r="AR202" s="28">
        <v>7</v>
      </c>
      <c r="AS202" s="77">
        <v>66</v>
      </c>
      <c r="AT202" s="72">
        <v>0.72062084257206216</v>
      </c>
      <c r="AU202" s="28">
        <v>1</v>
      </c>
      <c r="AV202" s="75">
        <v>200</v>
      </c>
      <c r="AY202" s="101" t="s">
        <v>1265</v>
      </c>
      <c r="AZ202" s="77" t="s">
        <v>153</v>
      </c>
      <c r="BA202" s="77" t="s">
        <v>1275</v>
      </c>
      <c r="BB202" s="130">
        <v>0.23529411764705882</v>
      </c>
      <c r="BC202" s="72">
        <v>0.31578947368421051</v>
      </c>
      <c r="BD202" s="72">
        <v>0.36134453781512604</v>
      </c>
      <c r="BE202" s="77">
        <v>32</v>
      </c>
      <c r="BF202" s="28">
        <v>119</v>
      </c>
      <c r="BG202" s="28">
        <v>20</v>
      </c>
      <c r="BH202" s="28">
        <v>28</v>
      </c>
      <c r="BI202" s="28">
        <v>6</v>
      </c>
      <c r="BJ202" s="28">
        <v>0</v>
      </c>
      <c r="BK202" s="28">
        <v>3</v>
      </c>
      <c r="BL202" s="28">
        <v>11</v>
      </c>
      <c r="BM202" s="28">
        <v>14</v>
      </c>
      <c r="BN202" s="28">
        <v>37</v>
      </c>
      <c r="BO202" s="77">
        <v>0</v>
      </c>
      <c r="BP202" s="28">
        <v>0</v>
      </c>
      <c r="BQ202" s="28">
        <v>6</v>
      </c>
      <c r="BR202" s="77">
        <v>43</v>
      </c>
      <c r="BS202" s="72">
        <v>0.6771340114993365</v>
      </c>
      <c r="BT202" s="28">
        <v>0</v>
      </c>
      <c r="BU202" s="75">
        <v>200</v>
      </c>
    </row>
    <row r="203" spans="1:73">
      <c r="A203" s="101" t="s">
        <v>1265</v>
      </c>
      <c r="B203" s="71" t="s">
        <v>177</v>
      </c>
      <c r="C203" s="74" t="s">
        <v>1270</v>
      </c>
      <c r="D203" s="72">
        <f>VLOOKUP(Table88[[#This Row],[NAME]],ARI_H[[NAME]:['#]],2,0)</f>
        <v>0.28915662650602408</v>
      </c>
      <c r="E203" s="72">
        <f>VLOOKUP(Table88[[#This Row],[NAME]],ARI_H[[NAME]:['#]],3,0)</f>
        <v>0.34806629834254144</v>
      </c>
      <c r="F203" s="72">
        <f>VLOOKUP(Table88[[#This Row],[NAME]],ARI_H[[NAME]:['#]],4,0)</f>
        <v>0.45783132530120479</v>
      </c>
      <c r="G203" s="77">
        <f>VLOOKUP(Table88[[#This Row],[NAME]],ARI_H[[NAME]:['#]],5,0)</f>
        <v>40</v>
      </c>
      <c r="H203" s="28">
        <f>VLOOKUP(Table88[[#This Row],[NAME]],ARI_H[[NAME]:['#]],6,0)</f>
        <v>166</v>
      </c>
      <c r="I203" s="28">
        <f>VLOOKUP(Table88[[#This Row],[NAME]],ARI_H[[NAME]:['#]],7,0)</f>
        <v>20</v>
      </c>
      <c r="J203" s="28">
        <f>VLOOKUP(Table88[[#This Row],[NAME]],ARI_H[[NAME]:['#]],8,0)</f>
        <v>48</v>
      </c>
      <c r="K203" s="28">
        <f>VLOOKUP(Table88[[#This Row],[NAME]],ARI_H[[NAME]:['#]],9,0)</f>
        <v>8</v>
      </c>
      <c r="L203" s="28">
        <f>VLOOKUP(Table88[[#This Row],[NAME]],ARI_H[[NAME]:['#]],10,0)</f>
        <v>1</v>
      </c>
      <c r="M203" s="28">
        <f>VLOOKUP(Table88[[#This Row],[NAME]],ARI_H[[NAME]:['#]],11,0)</f>
        <v>6</v>
      </c>
      <c r="N203" s="28">
        <f>VLOOKUP(Table88[[#This Row],[NAME]],ARI_H[[NAME]:['#]],12,0)</f>
        <v>25</v>
      </c>
      <c r="O203" s="28">
        <f>VLOOKUP(Table88[[#This Row],[NAME]],ARI_H[[NAME]:['#]],13,0)</f>
        <v>15</v>
      </c>
      <c r="P203" s="28">
        <f>VLOOKUP(Table88[[#This Row],[NAME]],ARI_H[[NAME]:['#]],14,0)</f>
        <v>33</v>
      </c>
      <c r="Q203" s="77">
        <f>VLOOKUP(Table88[[#This Row],[NAME]],ARI_H[[NAME]:['#]],15,0)</f>
        <v>0</v>
      </c>
      <c r="R203" s="28">
        <f>VLOOKUP(Table88[[#This Row],[NAME]],ARI_H[[NAME]:['#]],16,0)</f>
        <v>1</v>
      </c>
      <c r="S203" s="28">
        <f>VLOOKUP(Table88[[#This Row],[NAME]],ARI_H[[NAME]:['#]],17,0)</f>
        <v>5</v>
      </c>
      <c r="T203" s="77">
        <f>VLOOKUP(Table88[[#This Row],[NAME]],ARI_H[[NAME]:['#]],18,0)</f>
        <v>76</v>
      </c>
      <c r="U203" s="72">
        <f>VLOOKUP(Table88[[#This Row],[NAME]],ARI_H[[NAME]:['#]],19,0)</f>
        <v>0.80589762364374629</v>
      </c>
      <c r="V203" s="28">
        <f>VLOOKUP(Table88[[#This Row],[NAME]],ARI_H[[NAME]:['#]],20,0)</f>
        <v>2</v>
      </c>
      <c r="W203" s="75">
        <v>201</v>
      </c>
      <c r="Z203" s="101" t="s">
        <v>1265</v>
      </c>
      <c r="AA203" s="77" t="s">
        <v>177</v>
      </c>
      <c r="AB203" s="77" t="s">
        <v>1270</v>
      </c>
      <c r="AC203" s="130">
        <v>0.20779220779220781</v>
      </c>
      <c r="AD203" s="72">
        <v>0.26946107784431139</v>
      </c>
      <c r="AE203" s="72">
        <v>0.37662337662337664</v>
      </c>
      <c r="AF203" s="77">
        <v>40</v>
      </c>
      <c r="AG203" s="28">
        <v>154</v>
      </c>
      <c r="AH203" s="28">
        <v>16</v>
      </c>
      <c r="AI203" s="28">
        <v>32</v>
      </c>
      <c r="AJ203" s="28">
        <v>5</v>
      </c>
      <c r="AK203" s="28">
        <v>0</v>
      </c>
      <c r="AL203" s="28">
        <v>7</v>
      </c>
      <c r="AM203" s="28">
        <v>15</v>
      </c>
      <c r="AN203" s="28">
        <v>13</v>
      </c>
      <c r="AO203" s="28">
        <v>37</v>
      </c>
      <c r="AP203" s="77">
        <v>0</v>
      </c>
      <c r="AQ203" s="28">
        <v>1</v>
      </c>
      <c r="AR203" s="28">
        <v>6</v>
      </c>
      <c r="AS203" s="77">
        <v>58</v>
      </c>
      <c r="AT203" s="72">
        <v>0.64608445446768803</v>
      </c>
      <c r="AU203" s="28">
        <v>1</v>
      </c>
      <c r="AV203" s="75">
        <v>201</v>
      </c>
      <c r="AY203" s="101" t="s">
        <v>1265</v>
      </c>
      <c r="AZ203" s="77" t="s">
        <v>177</v>
      </c>
      <c r="BA203" s="77" t="s">
        <v>1270</v>
      </c>
      <c r="BB203" s="130">
        <v>0.23741007194244604</v>
      </c>
      <c r="BC203" s="72">
        <v>0.32051282051282054</v>
      </c>
      <c r="BD203" s="72">
        <v>0.36690647482014388</v>
      </c>
      <c r="BE203" s="77">
        <v>38</v>
      </c>
      <c r="BF203" s="28">
        <v>139</v>
      </c>
      <c r="BG203" s="28">
        <v>13</v>
      </c>
      <c r="BH203" s="28">
        <v>33</v>
      </c>
      <c r="BI203" s="28">
        <v>6</v>
      </c>
      <c r="BJ203" s="28">
        <v>0</v>
      </c>
      <c r="BK203" s="28">
        <v>4</v>
      </c>
      <c r="BL203" s="28">
        <v>17</v>
      </c>
      <c r="BM203" s="28">
        <v>17</v>
      </c>
      <c r="BN203" s="28">
        <v>37</v>
      </c>
      <c r="BO203" s="77">
        <v>0</v>
      </c>
      <c r="BP203" s="28">
        <v>0</v>
      </c>
      <c r="BQ203" s="28">
        <v>6</v>
      </c>
      <c r="BR203" s="77">
        <v>51</v>
      </c>
      <c r="BS203" s="72">
        <v>0.68741929533296442</v>
      </c>
      <c r="BT203" s="28">
        <v>1</v>
      </c>
      <c r="BU203" s="75">
        <v>201</v>
      </c>
    </row>
    <row r="204" spans="1:73">
      <c r="A204" s="101" t="s">
        <v>1265</v>
      </c>
      <c r="B204" s="71" t="s">
        <v>174</v>
      </c>
      <c r="C204" s="74" t="s">
        <v>1179</v>
      </c>
      <c r="D204" s="72">
        <f>VLOOKUP(Table88[[#This Row],[NAME]],ARI_H[[NAME]:['#]],2,0)</f>
        <v>0.25641025641025639</v>
      </c>
      <c r="E204" s="72">
        <f>VLOOKUP(Table88[[#This Row],[NAME]],ARI_H[[NAME]:['#]],3,0)</f>
        <v>0.33714285714285713</v>
      </c>
      <c r="F204" s="72">
        <f>VLOOKUP(Table88[[#This Row],[NAME]],ARI_H[[NAME]:['#]],4,0)</f>
        <v>0.36538461538461536</v>
      </c>
      <c r="G204" s="77">
        <f>VLOOKUP(Table88[[#This Row],[NAME]],ARI_H[[NAME]:['#]],5,0)</f>
        <v>40</v>
      </c>
      <c r="H204" s="28">
        <f>VLOOKUP(Table88[[#This Row],[NAME]],ARI_H[[NAME]:['#]],6,0)</f>
        <v>156</v>
      </c>
      <c r="I204" s="28">
        <f>VLOOKUP(Table88[[#This Row],[NAME]],ARI_H[[NAME]:['#]],7,0)</f>
        <v>20</v>
      </c>
      <c r="J204" s="28">
        <f>VLOOKUP(Table88[[#This Row],[NAME]],ARI_H[[NAME]:['#]],8,0)</f>
        <v>40</v>
      </c>
      <c r="K204" s="28">
        <f>VLOOKUP(Table88[[#This Row],[NAME]],ARI_H[[NAME]:['#]],9,0)</f>
        <v>6</v>
      </c>
      <c r="L204" s="28">
        <f>VLOOKUP(Table88[[#This Row],[NAME]],ARI_H[[NAME]:['#]],10,0)</f>
        <v>1</v>
      </c>
      <c r="M204" s="28">
        <f>VLOOKUP(Table88[[#This Row],[NAME]],ARI_H[[NAME]:['#]],11,0)</f>
        <v>3</v>
      </c>
      <c r="N204" s="28">
        <f>VLOOKUP(Table88[[#This Row],[NAME]],ARI_H[[NAME]:['#]],12,0)</f>
        <v>24</v>
      </c>
      <c r="O204" s="28">
        <f>VLOOKUP(Table88[[#This Row],[NAME]],ARI_H[[NAME]:['#]],13,0)</f>
        <v>19</v>
      </c>
      <c r="P204" s="28">
        <f>VLOOKUP(Table88[[#This Row],[NAME]],ARI_H[[NAME]:['#]],14,0)</f>
        <v>39</v>
      </c>
      <c r="Q204" s="77">
        <f>VLOOKUP(Table88[[#This Row],[NAME]],ARI_H[[NAME]:['#]],15,0)</f>
        <v>0</v>
      </c>
      <c r="R204" s="28">
        <f>VLOOKUP(Table88[[#This Row],[NAME]],ARI_H[[NAME]:['#]],16,0)</f>
        <v>1</v>
      </c>
      <c r="S204" s="28">
        <f>VLOOKUP(Table88[[#This Row],[NAME]],ARI_H[[NAME]:['#]],17,0)</f>
        <v>6</v>
      </c>
      <c r="T204" s="77">
        <f>VLOOKUP(Table88[[#This Row],[NAME]],ARI_H[[NAME]:['#]],18,0)</f>
        <v>57</v>
      </c>
      <c r="U204" s="72">
        <f>VLOOKUP(Table88[[#This Row],[NAME]],ARI_H[[NAME]:['#]],19,0)</f>
        <v>0.7025274725274725</v>
      </c>
      <c r="V204" s="28">
        <f>VLOOKUP(Table88[[#This Row],[NAME]],ARI_H[[NAME]:['#]],20,0)</f>
        <v>2</v>
      </c>
      <c r="W204" s="75">
        <v>202</v>
      </c>
      <c r="Z204" s="101" t="s">
        <v>1265</v>
      </c>
      <c r="AA204" s="77" t="s">
        <v>174</v>
      </c>
      <c r="AB204" s="77" t="s">
        <v>271</v>
      </c>
      <c r="AC204" s="130">
        <v>0.24324324324324326</v>
      </c>
      <c r="AD204" s="72">
        <v>0.25663716814159293</v>
      </c>
      <c r="AE204" s="72">
        <v>0.36036036036036034</v>
      </c>
      <c r="AF204" s="77">
        <v>29</v>
      </c>
      <c r="AG204" s="28">
        <v>111</v>
      </c>
      <c r="AH204" s="28">
        <v>7</v>
      </c>
      <c r="AI204" s="28">
        <v>27</v>
      </c>
      <c r="AJ204" s="28">
        <v>4</v>
      </c>
      <c r="AK204" s="28">
        <v>0</v>
      </c>
      <c r="AL204" s="28">
        <v>3</v>
      </c>
      <c r="AM204" s="28">
        <v>7</v>
      </c>
      <c r="AN204" s="28">
        <v>2</v>
      </c>
      <c r="AO204" s="28">
        <v>20</v>
      </c>
      <c r="AP204" s="77">
        <v>0</v>
      </c>
      <c r="AQ204" s="28">
        <v>0</v>
      </c>
      <c r="AR204" s="28">
        <v>6</v>
      </c>
      <c r="AS204" s="77">
        <v>40</v>
      </c>
      <c r="AT204" s="72">
        <v>0.61699752850195333</v>
      </c>
      <c r="AU204" s="28">
        <v>1</v>
      </c>
      <c r="AV204" s="75">
        <v>202</v>
      </c>
      <c r="AY204" s="101" t="s">
        <v>1265</v>
      </c>
      <c r="AZ204" s="77" t="s">
        <v>174</v>
      </c>
      <c r="BA204" s="77" t="s">
        <v>1273</v>
      </c>
      <c r="BB204" s="130">
        <v>0.26428571428571429</v>
      </c>
      <c r="BC204" s="72">
        <v>0.3087248322147651</v>
      </c>
      <c r="BD204" s="72">
        <v>0.43571428571428572</v>
      </c>
      <c r="BE204" s="77">
        <v>36</v>
      </c>
      <c r="BF204" s="28">
        <v>140</v>
      </c>
      <c r="BG204" s="28">
        <v>15</v>
      </c>
      <c r="BH204" s="28">
        <v>37</v>
      </c>
      <c r="BI204" s="28">
        <v>7</v>
      </c>
      <c r="BJ204" s="28">
        <v>4</v>
      </c>
      <c r="BK204" s="28">
        <v>3</v>
      </c>
      <c r="BL204" s="28">
        <v>18</v>
      </c>
      <c r="BM204" s="28">
        <v>9</v>
      </c>
      <c r="BN204" s="28">
        <v>44</v>
      </c>
      <c r="BO204" s="77">
        <v>0</v>
      </c>
      <c r="BP204" s="28">
        <v>0</v>
      </c>
      <c r="BQ204" s="28">
        <v>9</v>
      </c>
      <c r="BR204" s="77">
        <v>61</v>
      </c>
      <c r="BS204" s="72">
        <v>0.74443911792905082</v>
      </c>
      <c r="BT204" s="28">
        <v>1</v>
      </c>
      <c r="BU204" s="75">
        <v>202</v>
      </c>
    </row>
    <row r="205" spans="1:73">
      <c r="A205" s="101" t="s">
        <v>1265</v>
      </c>
      <c r="B205" s="71" t="s">
        <v>181</v>
      </c>
      <c r="C205" s="74" t="s">
        <v>1274</v>
      </c>
      <c r="D205" s="72">
        <f>VLOOKUP(Table88[[#This Row],[NAME]],ARI_H[[NAME]:['#]],2,0)</f>
        <v>0.26</v>
      </c>
      <c r="E205" s="72">
        <f>VLOOKUP(Table88[[#This Row],[NAME]],ARI_H[[NAME]:['#]],3,0)</f>
        <v>0.3105590062111801</v>
      </c>
      <c r="F205" s="72">
        <f>VLOOKUP(Table88[[#This Row],[NAME]],ARI_H[[NAME]:['#]],4,0)</f>
        <v>0.35333333333333333</v>
      </c>
      <c r="G205" s="77">
        <f>VLOOKUP(Table88[[#This Row],[NAME]],ARI_H[[NAME]:['#]],5,0)</f>
        <v>39</v>
      </c>
      <c r="H205" s="28">
        <f>VLOOKUP(Table88[[#This Row],[NAME]],ARI_H[[NAME]:['#]],6,0)</f>
        <v>150</v>
      </c>
      <c r="I205" s="28">
        <f>VLOOKUP(Table88[[#This Row],[NAME]],ARI_H[[NAME]:['#]],7,0)</f>
        <v>21</v>
      </c>
      <c r="J205" s="28">
        <f>VLOOKUP(Table88[[#This Row],[NAME]],ARI_H[[NAME]:['#]],8,0)</f>
        <v>39</v>
      </c>
      <c r="K205" s="28">
        <f>VLOOKUP(Table88[[#This Row],[NAME]],ARI_H[[NAME]:['#]],9,0)</f>
        <v>2</v>
      </c>
      <c r="L205" s="28">
        <f>VLOOKUP(Table88[[#This Row],[NAME]],ARI_H[[NAME]:['#]],10,0)</f>
        <v>3</v>
      </c>
      <c r="M205" s="28">
        <f>VLOOKUP(Table88[[#This Row],[NAME]],ARI_H[[NAME]:['#]],11,0)</f>
        <v>2</v>
      </c>
      <c r="N205" s="28">
        <f>VLOOKUP(Table88[[#This Row],[NAME]],ARI_H[[NAME]:['#]],12,0)</f>
        <v>17</v>
      </c>
      <c r="O205" s="28">
        <f>VLOOKUP(Table88[[#This Row],[NAME]],ARI_H[[NAME]:['#]],13,0)</f>
        <v>11</v>
      </c>
      <c r="P205" s="28">
        <f>VLOOKUP(Table88[[#This Row],[NAME]],ARI_H[[NAME]:['#]],14,0)</f>
        <v>38</v>
      </c>
      <c r="Q205" s="77">
        <f>VLOOKUP(Table88[[#This Row],[NAME]],ARI_H[[NAME]:['#]],15,0)</f>
        <v>5</v>
      </c>
      <c r="R205" s="28">
        <f>VLOOKUP(Table88[[#This Row],[NAME]],ARI_H[[NAME]:['#]],16,0)</f>
        <v>1</v>
      </c>
      <c r="S205" s="28">
        <f>VLOOKUP(Table88[[#This Row],[NAME]],ARI_H[[NAME]:['#]],17,0)</f>
        <v>9</v>
      </c>
      <c r="T205" s="77">
        <f>VLOOKUP(Table88[[#This Row],[NAME]],ARI_H[[NAME]:['#]],18,0)</f>
        <v>53</v>
      </c>
      <c r="U205" s="72">
        <f>VLOOKUP(Table88[[#This Row],[NAME]],ARI_H[[NAME]:['#]],19,0)</f>
        <v>0.66389233954451343</v>
      </c>
      <c r="V205" s="28">
        <f>VLOOKUP(Table88[[#This Row],[NAME]],ARI_H[[NAME]:['#]],20,0)</f>
        <v>2</v>
      </c>
      <c r="W205" s="75">
        <v>203</v>
      </c>
      <c r="Z205" s="101" t="s">
        <v>1265</v>
      </c>
      <c r="AA205" s="77" t="s">
        <v>383</v>
      </c>
      <c r="AB205" s="71" t="s">
        <v>1269</v>
      </c>
      <c r="AC205" s="130">
        <v>0.19858156028368795</v>
      </c>
      <c r="AD205" s="72">
        <v>0.2709677419354839</v>
      </c>
      <c r="AE205" s="72">
        <v>0.31914893617021278</v>
      </c>
      <c r="AF205" s="77">
        <v>34</v>
      </c>
      <c r="AG205" s="28">
        <v>141</v>
      </c>
      <c r="AH205" s="28">
        <v>12</v>
      </c>
      <c r="AI205" s="28">
        <v>28</v>
      </c>
      <c r="AJ205" s="28">
        <v>6</v>
      </c>
      <c r="AK205" s="28">
        <v>1</v>
      </c>
      <c r="AL205" s="28">
        <v>3</v>
      </c>
      <c r="AM205" s="28">
        <v>9</v>
      </c>
      <c r="AN205" s="28">
        <v>14</v>
      </c>
      <c r="AO205" s="28">
        <v>51</v>
      </c>
      <c r="AP205" s="77">
        <v>13</v>
      </c>
      <c r="AQ205" s="28">
        <v>1</v>
      </c>
      <c r="AR205" s="28">
        <v>4</v>
      </c>
      <c r="AS205" s="77">
        <v>45</v>
      </c>
      <c r="AT205" s="72">
        <v>0.59011667810569668</v>
      </c>
      <c r="AU205" s="28">
        <v>1</v>
      </c>
      <c r="AV205" s="75">
        <v>203</v>
      </c>
      <c r="AY205" s="101" t="s">
        <v>1265</v>
      </c>
      <c r="AZ205" s="77" t="s">
        <v>181</v>
      </c>
      <c r="BA205" s="77" t="s">
        <v>1266</v>
      </c>
      <c r="BB205" s="130">
        <v>0.30303030303030304</v>
      </c>
      <c r="BC205" s="72">
        <v>0.36813186813186816</v>
      </c>
      <c r="BD205" s="72">
        <v>0.4303030303030303</v>
      </c>
      <c r="BE205" s="77">
        <v>40</v>
      </c>
      <c r="BF205" s="28">
        <v>165</v>
      </c>
      <c r="BG205" s="28">
        <v>20</v>
      </c>
      <c r="BH205" s="28">
        <v>50</v>
      </c>
      <c r="BI205" s="28">
        <v>8</v>
      </c>
      <c r="BJ205" s="28">
        <v>2</v>
      </c>
      <c r="BK205" s="28">
        <v>3</v>
      </c>
      <c r="BL205" s="28">
        <v>18</v>
      </c>
      <c r="BM205" s="28">
        <v>17</v>
      </c>
      <c r="BN205" s="28">
        <v>27</v>
      </c>
      <c r="BO205" s="77">
        <v>2</v>
      </c>
      <c r="BP205" s="28">
        <v>0</v>
      </c>
      <c r="BQ205" s="28">
        <v>9</v>
      </c>
      <c r="BR205" s="77">
        <v>71</v>
      </c>
      <c r="BS205" s="72">
        <v>0.79843489843489845</v>
      </c>
      <c r="BT205" s="28">
        <v>3</v>
      </c>
      <c r="BU205" s="75">
        <v>203</v>
      </c>
    </row>
    <row r="206" spans="1:73">
      <c r="A206" s="101" t="s">
        <v>1265</v>
      </c>
      <c r="B206" s="345" t="s">
        <v>166</v>
      </c>
      <c r="C206" s="74" t="s">
        <v>1269</v>
      </c>
      <c r="D206" s="72">
        <f>VLOOKUP(Table88[[#This Row],[NAME]],ARI_H[[NAME]:['#]],2,0)</f>
        <v>0.29069767441860467</v>
      </c>
      <c r="E206" s="72">
        <f>VLOOKUP(Table88[[#This Row],[NAME]],ARI_H[[NAME]:['#]],3,0)</f>
        <v>0.35106382978723405</v>
      </c>
      <c r="F206" s="72">
        <f>VLOOKUP(Table88[[#This Row],[NAME]],ARI_H[[NAME]:['#]],4,0)</f>
        <v>0.51744186046511631</v>
      </c>
      <c r="G206" s="77">
        <f>VLOOKUP(Table88[[#This Row],[NAME]],ARI_H[[NAME]:['#]],5,0)</f>
        <v>40</v>
      </c>
      <c r="H206" s="28">
        <f>VLOOKUP(Table88[[#This Row],[NAME]],ARI_H[[NAME]:['#]],6,0)</f>
        <v>172</v>
      </c>
      <c r="I206" s="28">
        <f>VLOOKUP(Table88[[#This Row],[NAME]],ARI_H[[NAME]:['#]],7,0)</f>
        <v>34</v>
      </c>
      <c r="J206" s="28">
        <f>VLOOKUP(Table88[[#This Row],[NAME]],ARI_H[[NAME]:['#]],8,0)</f>
        <v>50</v>
      </c>
      <c r="K206" s="28">
        <f>VLOOKUP(Table88[[#This Row],[NAME]],ARI_H[[NAME]:['#]],9,0)</f>
        <v>6</v>
      </c>
      <c r="L206" s="28">
        <f>VLOOKUP(Table88[[#This Row],[NAME]],ARI_H[[NAME]:['#]],10,0)</f>
        <v>3</v>
      </c>
      <c r="M206" s="28">
        <f>VLOOKUP(Table88[[#This Row],[NAME]],ARI_H[[NAME]:['#]],11,0)</f>
        <v>9</v>
      </c>
      <c r="N206" s="28">
        <f>VLOOKUP(Table88[[#This Row],[NAME]],ARI_H[[NAME]:['#]],12,0)</f>
        <v>31</v>
      </c>
      <c r="O206" s="28">
        <f>VLOOKUP(Table88[[#This Row],[NAME]],ARI_H[[NAME]:['#]],13,0)</f>
        <v>16</v>
      </c>
      <c r="P206" s="28">
        <f>VLOOKUP(Table88[[#This Row],[NAME]],ARI_H[[NAME]:['#]],14,0)</f>
        <v>44</v>
      </c>
      <c r="Q206" s="352">
        <f>VLOOKUP(Table88[[#This Row],[NAME]],ARI_H[[NAME]:['#]],15,0)</f>
        <v>25</v>
      </c>
      <c r="R206" s="28">
        <f>VLOOKUP(Table88[[#This Row],[NAME]],ARI_H[[NAME]:['#]],16,0)</f>
        <v>2</v>
      </c>
      <c r="S206" s="28">
        <f>VLOOKUP(Table88[[#This Row],[NAME]],ARI_H[[NAME]:['#]],17,0)</f>
        <v>9</v>
      </c>
      <c r="T206" s="77">
        <f>VLOOKUP(Table88[[#This Row],[NAME]],ARI_H[[NAME]:['#]],18,0)</f>
        <v>89</v>
      </c>
      <c r="U206" s="72">
        <f>VLOOKUP(Table88[[#This Row],[NAME]],ARI_H[[NAME]:['#]],19,0)</f>
        <v>0.86850569025235036</v>
      </c>
      <c r="V206" s="28">
        <f>VLOOKUP(Table88[[#This Row],[NAME]],ARI_H[[NAME]:['#]],20,0)</f>
        <v>3</v>
      </c>
      <c r="W206" s="75">
        <v>204</v>
      </c>
      <c r="Z206" s="101" t="s">
        <v>1265</v>
      </c>
      <c r="AA206" s="77" t="s">
        <v>240</v>
      </c>
      <c r="AB206" s="71" t="s">
        <v>1274</v>
      </c>
      <c r="AC206" s="130">
        <v>0.25806451612903225</v>
      </c>
      <c r="AD206" s="72">
        <v>0.3235294117647059</v>
      </c>
      <c r="AE206" s="72">
        <v>0.33870967741935482</v>
      </c>
      <c r="AF206" s="77">
        <v>33</v>
      </c>
      <c r="AG206" s="28">
        <v>124</v>
      </c>
      <c r="AH206" s="28">
        <v>12</v>
      </c>
      <c r="AI206" s="28">
        <v>32</v>
      </c>
      <c r="AJ206" s="28">
        <v>7</v>
      </c>
      <c r="AK206" s="28">
        <v>0</v>
      </c>
      <c r="AL206" s="28">
        <v>1</v>
      </c>
      <c r="AM206" s="28">
        <v>9</v>
      </c>
      <c r="AN206" s="28">
        <v>12</v>
      </c>
      <c r="AO206" s="28">
        <v>43</v>
      </c>
      <c r="AP206" s="77">
        <v>0</v>
      </c>
      <c r="AQ206" s="28">
        <v>0</v>
      </c>
      <c r="AR206" s="28">
        <v>14</v>
      </c>
      <c r="AS206" s="77">
        <v>42</v>
      </c>
      <c r="AT206" s="72">
        <v>0.66223908918406071</v>
      </c>
      <c r="AU206" s="28">
        <v>1</v>
      </c>
      <c r="AV206" s="75">
        <v>204</v>
      </c>
      <c r="AY206" s="101" t="s">
        <v>1265</v>
      </c>
      <c r="AZ206" s="77" t="s">
        <v>166</v>
      </c>
      <c r="BA206" s="77" t="s">
        <v>1279</v>
      </c>
      <c r="BB206" s="130">
        <v>0.22619047619047619</v>
      </c>
      <c r="BC206" s="72">
        <v>0.34343434343434343</v>
      </c>
      <c r="BD206" s="72">
        <v>0.40476190476190477</v>
      </c>
      <c r="BE206" s="77">
        <v>27</v>
      </c>
      <c r="BF206" s="28">
        <v>84</v>
      </c>
      <c r="BG206" s="28">
        <v>10</v>
      </c>
      <c r="BH206" s="28">
        <v>19</v>
      </c>
      <c r="BI206" s="28">
        <v>3</v>
      </c>
      <c r="BJ206" s="28">
        <v>0</v>
      </c>
      <c r="BK206" s="28">
        <v>4</v>
      </c>
      <c r="BL206" s="28">
        <v>10</v>
      </c>
      <c r="BM206" s="28">
        <v>15</v>
      </c>
      <c r="BN206" s="28">
        <v>25</v>
      </c>
      <c r="BO206" s="77">
        <v>0</v>
      </c>
      <c r="BP206" s="28">
        <v>0</v>
      </c>
      <c r="BQ206" s="28">
        <v>6</v>
      </c>
      <c r="BR206" s="77">
        <v>34</v>
      </c>
      <c r="BS206" s="72">
        <v>0.74819624819624819</v>
      </c>
      <c r="BT206" s="28">
        <v>0</v>
      </c>
      <c r="BU206" s="75">
        <v>204</v>
      </c>
    </row>
    <row r="207" spans="1:73">
      <c r="A207" s="101" t="s">
        <v>1265</v>
      </c>
      <c r="B207" s="71" t="s">
        <v>168</v>
      </c>
      <c r="C207" s="74" t="s">
        <v>1276</v>
      </c>
      <c r="D207" s="72">
        <f>VLOOKUP(Table88[[#This Row],[NAME]],ARI_H[[NAME]:['#]],2,0)</f>
        <v>0.23300970873786409</v>
      </c>
      <c r="E207" s="72">
        <f>VLOOKUP(Table88[[#This Row],[NAME]],ARI_H[[NAME]:['#]],3,0)</f>
        <v>0.31304347826086959</v>
      </c>
      <c r="F207" s="72">
        <f>VLOOKUP(Table88[[#This Row],[NAME]],ARI_H[[NAME]:['#]],4,0)</f>
        <v>0.44660194174757284</v>
      </c>
      <c r="G207" s="77">
        <f>VLOOKUP(Table88[[#This Row],[NAME]],ARI_H[[NAME]:['#]],5,0)</f>
        <v>28</v>
      </c>
      <c r="H207" s="28">
        <f>VLOOKUP(Table88[[#This Row],[NAME]],ARI_H[[NAME]:['#]],6,0)</f>
        <v>103</v>
      </c>
      <c r="I207" s="28">
        <f>VLOOKUP(Table88[[#This Row],[NAME]],ARI_H[[NAME]:['#]],7,0)</f>
        <v>12</v>
      </c>
      <c r="J207" s="28">
        <f>VLOOKUP(Table88[[#This Row],[NAME]],ARI_H[[NAME]:['#]],8,0)</f>
        <v>24</v>
      </c>
      <c r="K207" s="28">
        <f>VLOOKUP(Table88[[#This Row],[NAME]],ARI_H[[NAME]:['#]],9,0)</f>
        <v>4</v>
      </c>
      <c r="L207" s="28">
        <f>VLOOKUP(Table88[[#This Row],[NAME]],ARI_H[[NAME]:['#]],10,0)</f>
        <v>0</v>
      </c>
      <c r="M207" s="28">
        <f>VLOOKUP(Table88[[#This Row],[NAME]],ARI_H[[NAME]:['#]],11,0)</f>
        <v>6</v>
      </c>
      <c r="N207" s="28">
        <f>VLOOKUP(Table88[[#This Row],[NAME]],ARI_H[[NAME]:['#]],12,0)</f>
        <v>21</v>
      </c>
      <c r="O207" s="28">
        <f>VLOOKUP(Table88[[#This Row],[NAME]],ARI_H[[NAME]:['#]],13,0)</f>
        <v>12</v>
      </c>
      <c r="P207" s="28">
        <f>VLOOKUP(Table88[[#This Row],[NAME]],ARI_H[[NAME]:['#]],14,0)</f>
        <v>31</v>
      </c>
      <c r="Q207" s="77">
        <f>VLOOKUP(Table88[[#This Row],[NAME]],ARI_H[[NAME]:['#]],15,0)</f>
        <v>0</v>
      </c>
      <c r="R207" s="28">
        <f>VLOOKUP(Table88[[#This Row],[NAME]],ARI_H[[NAME]:['#]],16,0)</f>
        <v>0</v>
      </c>
      <c r="S207" s="28">
        <f>VLOOKUP(Table88[[#This Row],[NAME]],ARI_H[[NAME]:['#]],17,0)</f>
        <v>3</v>
      </c>
      <c r="T207" s="77">
        <f>VLOOKUP(Table88[[#This Row],[NAME]],ARI_H[[NAME]:['#]],18,0)</f>
        <v>46</v>
      </c>
      <c r="U207" s="72">
        <f>VLOOKUP(Table88[[#This Row],[NAME]],ARI_H[[NAME]:['#]],19,0)</f>
        <v>0.75964542000844237</v>
      </c>
      <c r="V207" s="28">
        <f>VLOOKUP(Table88[[#This Row],[NAME]],ARI_H[[NAME]:['#]],20,0)</f>
        <v>2</v>
      </c>
      <c r="W207" s="75">
        <v>205</v>
      </c>
      <c r="Z207" s="101" t="s">
        <v>1265</v>
      </c>
      <c r="AA207" s="77" t="s">
        <v>168</v>
      </c>
      <c r="AB207" s="77" t="s">
        <v>1272</v>
      </c>
      <c r="AC207" s="130">
        <v>0.2361111111111111</v>
      </c>
      <c r="AD207" s="72">
        <v>0.32098765432098764</v>
      </c>
      <c r="AE207" s="72">
        <v>0.39583333333333331</v>
      </c>
      <c r="AF207" s="77">
        <v>38</v>
      </c>
      <c r="AG207" s="28">
        <v>144</v>
      </c>
      <c r="AH207" s="28">
        <v>15</v>
      </c>
      <c r="AI207" s="28">
        <v>34</v>
      </c>
      <c r="AJ207" s="28">
        <v>9</v>
      </c>
      <c r="AK207" s="28">
        <v>1</v>
      </c>
      <c r="AL207" s="28">
        <v>4</v>
      </c>
      <c r="AM207" s="28">
        <v>13</v>
      </c>
      <c r="AN207" s="28">
        <v>18</v>
      </c>
      <c r="AO207" s="28">
        <v>29</v>
      </c>
      <c r="AP207" s="77">
        <v>1</v>
      </c>
      <c r="AQ207" s="28">
        <v>2</v>
      </c>
      <c r="AR207" s="28">
        <v>4</v>
      </c>
      <c r="AS207" s="77">
        <v>57</v>
      </c>
      <c r="AT207" s="72">
        <v>0.71682098765432101</v>
      </c>
      <c r="AU207" s="28">
        <v>1</v>
      </c>
      <c r="AV207" s="75">
        <v>205</v>
      </c>
      <c r="AY207" s="101" t="s">
        <v>1265</v>
      </c>
      <c r="AZ207" s="77" t="s">
        <v>168</v>
      </c>
      <c r="BA207" s="77" t="s">
        <v>719</v>
      </c>
      <c r="BB207" s="130">
        <v>0.29007633587786258</v>
      </c>
      <c r="BC207" s="72">
        <v>0.42236024844720499</v>
      </c>
      <c r="BD207" s="72">
        <v>0.48091603053435117</v>
      </c>
      <c r="BE207" s="77">
        <v>39</v>
      </c>
      <c r="BF207" s="28">
        <v>131</v>
      </c>
      <c r="BG207" s="28">
        <v>20</v>
      </c>
      <c r="BH207" s="28">
        <v>38</v>
      </c>
      <c r="BI207" s="28">
        <v>10</v>
      </c>
      <c r="BJ207" s="28">
        <v>0</v>
      </c>
      <c r="BK207" s="28">
        <v>5</v>
      </c>
      <c r="BL207" s="28">
        <v>19</v>
      </c>
      <c r="BM207" s="28">
        <v>30</v>
      </c>
      <c r="BN207" s="28">
        <v>23</v>
      </c>
      <c r="BO207" s="77">
        <v>0</v>
      </c>
      <c r="BP207" s="28">
        <v>0</v>
      </c>
      <c r="BQ207" s="28">
        <v>9</v>
      </c>
      <c r="BR207" s="77">
        <v>63</v>
      </c>
      <c r="BS207" s="72">
        <v>0.90327627898155616</v>
      </c>
      <c r="BT207" s="28">
        <v>1</v>
      </c>
      <c r="BU207" s="75">
        <v>205</v>
      </c>
    </row>
    <row r="208" spans="1:73">
      <c r="A208" s="101" t="s">
        <v>1265</v>
      </c>
      <c r="B208" s="71" t="s">
        <v>179</v>
      </c>
      <c r="C208" s="74" t="s">
        <v>1271</v>
      </c>
      <c r="D208" s="72">
        <f>VLOOKUP(Table88[[#This Row],[NAME]],ARI_H[[NAME]:['#]],2,0)</f>
        <v>0.33333333333333331</v>
      </c>
      <c r="E208" s="72">
        <f>VLOOKUP(Table88[[#This Row],[NAME]],ARI_H[[NAME]:['#]],3,0)</f>
        <v>0.33333333333333331</v>
      </c>
      <c r="F208" s="72">
        <f>VLOOKUP(Table88[[#This Row],[NAME]],ARI_H[[NAME]:['#]],4,0)</f>
        <v>0.44444444444444442</v>
      </c>
      <c r="G208" s="77">
        <f>VLOOKUP(Table88[[#This Row],[NAME]],ARI_H[[NAME]:['#]],5,0)</f>
        <v>3</v>
      </c>
      <c r="H208" s="28">
        <f>VLOOKUP(Table88[[#This Row],[NAME]],ARI_H[[NAME]:['#]],6,0)</f>
        <v>9</v>
      </c>
      <c r="I208" s="28">
        <f>VLOOKUP(Table88[[#This Row],[NAME]],ARI_H[[NAME]:['#]],7,0)</f>
        <v>1</v>
      </c>
      <c r="J208" s="28">
        <f>VLOOKUP(Table88[[#This Row],[NAME]],ARI_H[[NAME]:['#]],8,0)</f>
        <v>3</v>
      </c>
      <c r="K208" s="28">
        <f>VLOOKUP(Table88[[#This Row],[NAME]],ARI_H[[NAME]:['#]],9,0)</f>
        <v>1</v>
      </c>
      <c r="L208" s="28">
        <f>VLOOKUP(Table88[[#This Row],[NAME]],ARI_H[[NAME]:['#]],10,0)</f>
        <v>0</v>
      </c>
      <c r="M208" s="28">
        <f>VLOOKUP(Table88[[#This Row],[NAME]],ARI_H[[NAME]:['#]],11,0)</f>
        <v>0</v>
      </c>
      <c r="N208" s="28">
        <f>VLOOKUP(Table88[[#This Row],[NAME]],ARI_H[[NAME]:['#]],12,0)</f>
        <v>1</v>
      </c>
      <c r="O208" s="28">
        <f>VLOOKUP(Table88[[#This Row],[NAME]],ARI_H[[NAME]:['#]],13,0)</f>
        <v>0</v>
      </c>
      <c r="P208" s="28">
        <f>VLOOKUP(Table88[[#This Row],[NAME]],ARI_H[[NAME]:['#]],14,0)</f>
        <v>3</v>
      </c>
      <c r="Q208" s="77">
        <f>VLOOKUP(Table88[[#This Row],[NAME]],ARI_H[[NAME]:['#]],15,0)</f>
        <v>0</v>
      </c>
      <c r="R208" s="28">
        <f>VLOOKUP(Table88[[#This Row],[NAME]],ARI_H[[NAME]:['#]],16,0)</f>
        <v>3</v>
      </c>
      <c r="S208" s="28">
        <f>VLOOKUP(Table88[[#This Row],[NAME]],ARI_H[[NAME]:['#]],17,0)</f>
        <v>3</v>
      </c>
      <c r="T208" s="77">
        <f>VLOOKUP(Table88[[#This Row],[NAME]],ARI_H[[NAME]:['#]],18,0)</f>
        <v>4</v>
      </c>
      <c r="U208" s="72">
        <f>VLOOKUP(Table88[[#This Row],[NAME]],ARI_H[[NAME]:['#]],19,0)</f>
        <v>0.77777777777777768</v>
      </c>
      <c r="V208" s="28">
        <f>VLOOKUP(Table88[[#This Row],[NAME]],ARI_H[[NAME]:['#]],20,0)</f>
        <v>0</v>
      </c>
      <c r="W208" s="75">
        <v>206</v>
      </c>
      <c r="Z208" s="101" t="s">
        <v>1265</v>
      </c>
      <c r="AA208" s="77" t="s">
        <v>308</v>
      </c>
      <c r="AB208" s="71" t="s">
        <v>1277</v>
      </c>
      <c r="AC208" s="130">
        <v>0.18367346938775511</v>
      </c>
      <c r="AD208" s="72">
        <v>0.2857142857142857</v>
      </c>
      <c r="AE208" s="72">
        <v>0.24489795918367346</v>
      </c>
      <c r="AF208" s="77">
        <v>15</v>
      </c>
      <c r="AG208" s="28">
        <v>49</v>
      </c>
      <c r="AH208" s="28">
        <v>3</v>
      </c>
      <c r="AI208" s="28">
        <v>9</v>
      </c>
      <c r="AJ208" s="28">
        <v>1</v>
      </c>
      <c r="AK208" s="28">
        <v>1</v>
      </c>
      <c r="AL208" s="28">
        <v>0</v>
      </c>
      <c r="AM208" s="28">
        <v>2</v>
      </c>
      <c r="AN208" s="28">
        <v>7</v>
      </c>
      <c r="AO208" s="28">
        <v>11</v>
      </c>
      <c r="AP208" s="77">
        <v>0</v>
      </c>
      <c r="AQ208" s="28">
        <v>1</v>
      </c>
      <c r="AR208" s="28">
        <v>2</v>
      </c>
      <c r="AS208" s="77">
        <v>12</v>
      </c>
      <c r="AT208" s="72">
        <v>0.53061224489795911</v>
      </c>
      <c r="AU208" s="28">
        <v>0</v>
      </c>
      <c r="AV208" s="75">
        <v>206</v>
      </c>
      <c r="AY208" s="101" t="s">
        <v>1265</v>
      </c>
      <c r="AZ208" s="77" t="s">
        <v>308</v>
      </c>
      <c r="BA208" s="77" t="s">
        <v>276</v>
      </c>
      <c r="BB208" s="130">
        <v>0.25</v>
      </c>
      <c r="BC208" s="72">
        <v>0.34</v>
      </c>
      <c r="BD208" s="72">
        <v>0.44318181818181818</v>
      </c>
      <c r="BE208" s="77">
        <v>27</v>
      </c>
      <c r="BF208" s="28">
        <v>88</v>
      </c>
      <c r="BG208" s="28">
        <v>11</v>
      </c>
      <c r="BH208" s="28">
        <v>22</v>
      </c>
      <c r="BI208" s="28">
        <v>6</v>
      </c>
      <c r="BJ208" s="28">
        <v>1</v>
      </c>
      <c r="BK208" s="28">
        <v>3</v>
      </c>
      <c r="BL208" s="28">
        <v>11</v>
      </c>
      <c r="BM208" s="28">
        <v>12</v>
      </c>
      <c r="BN208" s="28">
        <v>19</v>
      </c>
      <c r="BO208" s="77">
        <v>1</v>
      </c>
      <c r="BP208" s="28">
        <v>0</v>
      </c>
      <c r="BQ208" s="28">
        <v>5</v>
      </c>
      <c r="BR208" s="77">
        <v>39</v>
      </c>
      <c r="BS208" s="72">
        <v>0.7831818181818182</v>
      </c>
      <c r="BT208" s="28">
        <v>0</v>
      </c>
      <c r="BU208" s="75">
        <v>206</v>
      </c>
    </row>
    <row r="209" spans="1:73">
      <c r="A209" s="101" t="s">
        <v>1265</v>
      </c>
      <c r="B209" s="71" t="s">
        <v>192</v>
      </c>
      <c r="C209" s="74" t="s">
        <v>1280</v>
      </c>
      <c r="D209" s="72">
        <f>VLOOKUP(Table88[[#This Row],[NAME]],ARI_H[[NAME]:['#]],2,0)</f>
        <v>0.26315789473684209</v>
      </c>
      <c r="E209" s="72">
        <f>VLOOKUP(Table88[[#This Row],[NAME]],ARI_H[[NAME]:['#]],3,0)</f>
        <v>0.26315789473684209</v>
      </c>
      <c r="F209" s="72">
        <f>VLOOKUP(Table88[[#This Row],[NAME]],ARI_H[[NAME]:['#]],4,0)</f>
        <v>0.47368421052631576</v>
      </c>
      <c r="G209" s="77">
        <f>VLOOKUP(Table88[[#This Row],[NAME]],ARI_H[[NAME]:['#]],5,0)</f>
        <v>5</v>
      </c>
      <c r="H209" s="28">
        <f>VLOOKUP(Table88[[#This Row],[NAME]],ARI_H[[NAME]:['#]],6,0)</f>
        <v>19</v>
      </c>
      <c r="I209" s="28">
        <f>VLOOKUP(Table88[[#This Row],[NAME]],ARI_H[[NAME]:['#]],7,0)</f>
        <v>3</v>
      </c>
      <c r="J209" s="28">
        <f>VLOOKUP(Table88[[#This Row],[NAME]],ARI_H[[NAME]:['#]],8,0)</f>
        <v>5</v>
      </c>
      <c r="K209" s="28">
        <f>VLOOKUP(Table88[[#This Row],[NAME]],ARI_H[[NAME]:['#]],9,0)</f>
        <v>2</v>
      </c>
      <c r="L209" s="28">
        <f>VLOOKUP(Table88[[#This Row],[NAME]],ARI_H[[NAME]:['#]],10,0)</f>
        <v>1</v>
      </c>
      <c r="M209" s="28">
        <f>VLOOKUP(Table88[[#This Row],[NAME]],ARI_H[[NAME]:['#]],11,0)</f>
        <v>0</v>
      </c>
      <c r="N209" s="28">
        <f>VLOOKUP(Table88[[#This Row],[NAME]],ARI_H[[NAME]:['#]],12,0)</f>
        <v>2</v>
      </c>
      <c r="O209" s="28">
        <f>VLOOKUP(Table88[[#This Row],[NAME]],ARI_H[[NAME]:['#]],13,0)</f>
        <v>0</v>
      </c>
      <c r="P209" s="28">
        <f>VLOOKUP(Table88[[#This Row],[NAME]],ARI_H[[NAME]:['#]],14,0)</f>
        <v>3</v>
      </c>
      <c r="Q209" s="77">
        <f>VLOOKUP(Table88[[#This Row],[NAME]],ARI_H[[NAME]:['#]],15,0)</f>
        <v>0</v>
      </c>
      <c r="R209" s="28">
        <f>VLOOKUP(Table88[[#This Row],[NAME]],ARI_H[[NAME]:['#]],16,0)</f>
        <v>1</v>
      </c>
      <c r="S209" s="28">
        <f>VLOOKUP(Table88[[#This Row],[NAME]],ARI_H[[NAME]:['#]],17,0)</f>
        <v>1</v>
      </c>
      <c r="T209" s="77">
        <f>VLOOKUP(Table88[[#This Row],[NAME]],ARI_H[[NAME]:['#]],18,0)</f>
        <v>9</v>
      </c>
      <c r="U209" s="72">
        <f>VLOOKUP(Table88[[#This Row],[NAME]],ARI_H[[NAME]:['#]],19,0)</f>
        <v>0.73684210526315785</v>
      </c>
      <c r="V209" s="28">
        <f>VLOOKUP(Table88[[#This Row],[NAME]],ARI_H[[NAME]:['#]],20,0)</f>
        <v>0</v>
      </c>
      <c r="W209" s="75">
        <v>207</v>
      </c>
      <c r="Z209" s="101" t="s">
        <v>1265</v>
      </c>
      <c r="AA209" s="77" t="s">
        <v>187</v>
      </c>
      <c r="AB209" s="77" t="s">
        <v>1275</v>
      </c>
      <c r="AC209" s="130">
        <v>0.26530612244897961</v>
      </c>
      <c r="AD209" s="72">
        <v>0.29411764705882354</v>
      </c>
      <c r="AE209" s="72">
        <v>0.38775510204081631</v>
      </c>
      <c r="AF209" s="77">
        <v>14</v>
      </c>
      <c r="AG209" s="28">
        <v>49</v>
      </c>
      <c r="AH209" s="28">
        <v>6</v>
      </c>
      <c r="AI209" s="28">
        <v>13</v>
      </c>
      <c r="AJ209" s="28">
        <v>6</v>
      </c>
      <c r="AK209" s="28">
        <v>0</v>
      </c>
      <c r="AL209" s="28">
        <v>0</v>
      </c>
      <c r="AM209" s="28">
        <v>6</v>
      </c>
      <c r="AN209" s="28">
        <v>2</v>
      </c>
      <c r="AO209" s="28">
        <v>9</v>
      </c>
      <c r="AP209" s="77">
        <v>0</v>
      </c>
      <c r="AQ209" s="28">
        <v>1</v>
      </c>
      <c r="AR209" s="28">
        <v>5</v>
      </c>
      <c r="AS209" s="77">
        <v>19</v>
      </c>
      <c r="AT209" s="72">
        <v>0.68187274909963991</v>
      </c>
      <c r="AU209" s="28">
        <v>0</v>
      </c>
      <c r="AV209" s="75">
        <v>207</v>
      </c>
      <c r="AY209" s="101" t="s">
        <v>1265</v>
      </c>
      <c r="AZ209" s="77" t="s">
        <v>187</v>
      </c>
      <c r="BA209" s="77" t="s">
        <v>1283</v>
      </c>
      <c r="BB209" s="130">
        <v>0.19047619047619047</v>
      </c>
      <c r="BC209" s="72">
        <v>0.29166666666666669</v>
      </c>
      <c r="BD209" s="72">
        <v>0.38095238095238093</v>
      </c>
      <c r="BE209" s="77">
        <v>14</v>
      </c>
      <c r="BF209" s="28">
        <v>42</v>
      </c>
      <c r="BG209" s="28">
        <v>9</v>
      </c>
      <c r="BH209" s="28">
        <v>8</v>
      </c>
      <c r="BI209" s="28">
        <v>2</v>
      </c>
      <c r="BJ209" s="28">
        <v>0</v>
      </c>
      <c r="BK209" s="28">
        <v>2</v>
      </c>
      <c r="BL209" s="28">
        <v>6</v>
      </c>
      <c r="BM209" s="28">
        <v>6</v>
      </c>
      <c r="BN209" s="28">
        <v>9</v>
      </c>
      <c r="BO209" s="77">
        <v>0</v>
      </c>
      <c r="BP209" s="28">
        <v>0</v>
      </c>
      <c r="BQ209" s="28">
        <v>3</v>
      </c>
      <c r="BR209" s="77">
        <v>16</v>
      </c>
      <c r="BS209" s="72">
        <v>0.67261904761904767</v>
      </c>
      <c r="BT209" s="28">
        <v>1</v>
      </c>
      <c r="BU209" s="75">
        <v>207</v>
      </c>
    </row>
    <row r="210" spans="1:73">
      <c r="A210" s="101" t="s">
        <v>1265</v>
      </c>
      <c r="B210" s="71" t="s">
        <v>186</v>
      </c>
      <c r="C210" s="74" t="s">
        <v>271</v>
      </c>
      <c r="D210" s="72">
        <f>VLOOKUP(Table88[[#This Row],[NAME]],ARI_H[[NAME]:['#]],2,0)</f>
        <v>0</v>
      </c>
      <c r="E210" s="72">
        <f>VLOOKUP(Table88[[#This Row],[NAME]],ARI_H[[NAME]:['#]],3,0)</f>
        <v>0</v>
      </c>
      <c r="F210" s="72">
        <f>VLOOKUP(Table88[[#This Row],[NAME]],ARI_H[[NAME]:['#]],4,0)</f>
        <v>0</v>
      </c>
      <c r="G210" s="77">
        <f>VLOOKUP(Table88[[#This Row],[NAME]],ARI_H[[NAME]:['#]],5,0)</f>
        <v>0</v>
      </c>
      <c r="H210" s="28">
        <f>VLOOKUP(Table88[[#This Row],[NAME]],ARI_H[[NAME]:['#]],6,0)</f>
        <v>0</v>
      </c>
      <c r="I210" s="28">
        <f>VLOOKUP(Table88[[#This Row],[NAME]],ARI_H[[NAME]:['#]],7,0)</f>
        <v>0</v>
      </c>
      <c r="J210" s="28">
        <f>VLOOKUP(Table88[[#This Row],[NAME]],ARI_H[[NAME]:['#]],8,0)</f>
        <v>0</v>
      </c>
      <c r="K210" s="28">
        <f>VLOOKUP(Table88[[#This Row],[NAME]],ARI_H[[NAME]:['#]],9,0)</f>
        <v>0</v>
      </c>
      <c r="L210" s="28">
        <f>VLOOKUP(Table88[[#This Row],[NAME]],ARI_H[[NAME]:['#]],10,0)</f>
        <v>0</v>
      </c>
      <c r="M210" s="28">
        <f>VLOOKUP(Table88[[#This Row],[NAME]],ARI_H[[NAME]:['#]],11,0)</f>
        <v>0</v>
      </c>
      <c r="N210" s="28">
        <f>VLOOKUP(Table88[[#This Row],[NAME]],ARI_H[[NAME]:['#]],12,0)</f>
        <v>0</v>
      </c>
      <c r="O210" s="28">
        <f>VLOOKUP(Table88[[#This Row],[NAME]],ARI_H[[NAME]:['#]],13,0)</f>
        <v>0</v>
      </c>
      <c r="P210" s="28">
        <f>VLOOKUP(Table88[[#This Row],[NAME]],ARI_H[[NAME]:['#]],14,0)</f>
        <v>0</v>
      </c>
      <c r="Q210" s="77">
        <f>VLOOKUP(Table88[[#This Row],[NAME]],ARI_H[[NAME]:['#]],15,0)</f>
        <v>0</v>
      </c>
      <c r="R210" s="28">
        <f>VLOOKUP(Table88[[#This Row],[NAME]],ARI_H[[NAME]:['#]],16,0)</f>
        <v>0</v>
      </c>
      <c r="S210" s="28">
        <f>VLOOKUP(Table88[[#This Row],[NAME]],ARI_H[[NAME]:['#]],17,0)</f>
        <v>0</v>
      </c>
      <c r="T210" s="77">
        <f>VLOOKUP(Table88[[#This Row],[NAME]],ARI_H[[NAME]:['#]],18,0)</f>
        <v>0</v>
      </c>
      <c r="U210" s="72">
        <f>VLOOKUP(Table88[[#This Row],[NAME]],ARI_H[[NAME]:['#]],19,0)</f>
        <v>0</v>
      </c>
      <c r="V210" s="28">
        <f>VLOOKUP(Table88[[#This Row],[NAME]],ARI_H[[NAME]:['#]],20,0)</f>
        <v>0</v>
      </c>
      <c r="W210" s="75">
        <v>208</v>
      </c>
      <c r="Z210" s="101" t="s">
        <v>1265</v>
      </c>
      <c r="AA210" s="77" t="s">
        <v>187</v>
      </c>
      <c r="AB210" s="77" t="s">
        <v>1281</v>
      </c>
      <c r="AC210" s="130">
        <v>0.17777777777777778</v>
      </c>
      <c r="AD210" s="72">
        <v>0.27450980392156865</v>
      </c>
      <c r="AE210" s="72">
        <v>0.37777777777777777</v>
      </c>
      <c r="AF210" s="77">
        <v>12</v>
      </c>
      <c r="AG210" s="28">
        <v>45</v>
      </c>
      <c r="AH210" s="28">
        <v>3</v>
      </c>
      <c r="AI210" s="28">
        <v>8</v>
      </c>
      <c r="AJ210" s="28">
        <v>3</v>
      </c>
      <c r="AK210" s="28">
        <v>0</v>
      </c>
      <c r="AL210" s="28">
        <v>2</v>
      </c>
      <c r="AM210" s="28">
        <v>5</v>
      </c>
      <c r="AN210" s="28">
        <v>6</v>
      </c>
      <c r="AO210" s="28">
        <v>17</v>
      </c>
      <c r="AP210" s="77">
        <v>0</v>
      </c>
      <c r="AQ210" s="28">
        <v>0</v>
      </c>
      <c r="AR210" s="28">
        <v>4</v>
      </c>
      <c r="AS210" s="77">
        <v>17</v>
      </c>
      <c r="AT210" s="72">
        <v>0.65228758169934642</v>
      </c>
      <c r="AU210" s="28">
        <v>0</v>
      </c>
      <c r="AV210" s="75">
        <v>208</v>
      </c>
      <c r="AY210" s="101" t="s">
        <v>1265</v>
      </c>
      <c r="AZ210" s="77" t="s">
        <v>187</v>
      </c>
      <c r="BA210" s="77" t="s">
        <v>1281</v>
      </c>
      <c r="BB210" s="130">
        <v>0.23076923076923078</v>
      </c>
      <c r="BC210" s="72">
        <v>0.23076923076923078</v>
      </c>
      <c r="BD210" s="72">
        <v>0.23076923076923078</v>
      </c>
      <c r="BE210" s="77">
        <v>4</v>
      </c>
      <c r="BF210" s="28">
        <v>13</v>
      </c>
      <c r="BG210" s="28">
        <v>1</v>
      </c>
      <c r="BH210" s="28">
        <v>3</v>
      </c>
      <c r="BI210" s="28">
        <v>0</v>
      </c>
      <c r="BJ210" s="28">
        <v>0</v>
      </c>
      <c r="BK210" s="28">
        <v>0</v>
      </c>
      <c r="BL210" s="28">
        <v>2</v>
      </c>
      <c r="BM210" s="28">
        <v>0</v>
      </c>
      <c r="BN210" s="28">
        <v>3</v>
      </c>
      <c r="BO210" s="77">
        <v>0</v>
      </c>
      <c r="BP210" s="28">
        <v>2</v>
      </c>
      <c r="BQ210" s="28">
        <v>2</v>
      </c>
      <c r="BR210" s="77">
        <v>3</v>
      </c>
      <c r="BS210" s="72">
        <v>0.46153846153846156</v>
      </c>
      <c r="BT210" s="28">
        <v>0</v>
      </c>
      <c r="BU210" s="75">
        <v>208</v>
      </c>
    </row>
    <row r="211" spans="1:73">
      <c r="A211" s="101" t="s">
        <v>1265</v>
      </c>
      <c r="B211" s="71" t="s">
        <v>186</v>
      </c>
      <c r="C211" s="74" t="s">
        <v>1278</v>
      </c>
      <c r="D211" s="72">
        <f>VLOOKUP(Table88[[#This Row],[NAME]],ARI_H[[NAME]:['#]],2,0)</f>
        <v>0.26666666666666666</v>
      </c>
      <c r="E211" s="72">
        <f>VLOOKUP(Table88[[#This Row],[NAME]],ARI_H[[NAME]:['#]],3,0)</f>
        <v>0.36538461538461536</v>
      </c>
      <c r="F211" s="72">
        <f>VLOOKUP(Table88[[#This Row],[NAME]],ARI_H[[NAME]:['#]],4,0)</f>
        <v>0.44444444444444442</v>
      </c>
      <c r="G211" s="77">
        <f>VLOOKUP(Table88[[#This Row],[NAME]],ARI_H[[NAME]:['#]],5,0)</f>
        <v>13</v>
      </c>
      <c r="H211" s="28">
        <f>VLOOKUP(Table88[[#This Row],[NAME]],ARI_H[[NAME]:['#]],6,0)</f>
        <v>45</v>
      </c>
      <c r="I211" s="28">
        <f>VLOOKUP(Table88[[#This Row],[NAME]],ARI_H[[NAME]:['#]],7,0)</f>
        <v>6</v>
      </c>
      <c r="J211" s="28">
        <f>VLOOKUP(Table88[[#This Row],[NAME]],ARI_H[[NAME]:['#]],8,0)</f>
        <v>12</v>
      </c>
      <c r="K211" s="28">
        <f>VLOOKUP(Table88[[#This Row],[NAME]],ARI_H[[NAME]:['#]],9,0)</f>
        <v>2</v>
      </c>
      <c r="L211" s="28">
        <f>VLOOKUP(Table88[[#This Row],[NAME]],ARI_H[[NAME]:['#]],10,0)</f>
        <v>0</v>
      </c>
      <c r="M211" s="28">
        <f>VLOOKUP(Table88[[#This Row],[NAME]],ARI_H[[NAME]:['#]],11,0)</f>
        <v>2</v>
      </c>
      <c r="N211" s="28">
        <f>VLOOKUP(Table88[[#This Row],[NAME]],ARI_H[[NAME]:['#]],12,0)</f>
        <v>7</v>
      </c>
      <c r="O211" s="28">
        <f>VLOOKUP(Table88[[#This Row],[NAME]],ARI_H[[NAME]:['#]],13,0)</f>
        <v>7</v>
      </c>
      <c r="P211" s="28">
        <f>VLOOKUP(Table88[[#This Row],[NAME]],ARI_H[[NAME]:['#]],14,0)</f>
        <v>11</v>
      </c>
      <c r="Q211" s="77">
        <f>VLOOKUP(Table88[[#This Row],[NAME]],ARI_H[[NAME]:['#]],15,0)</f>
        <v>0</v>
      </c>
      <c r="R211" s="28">
        <f>VLOOKUP(Table88[[#This Row],[NAME]],ARI_H[[NAME]:['#]],16,0)</f>
        <v>4</v>
      </c>
      <c r="S211" s="28">
        <f>VLOOKUP(Table88[[#This Row],[NAME]],ARI_H[[NAME]:['#]],17,0)</f>
        <v>4</v>
      </c>
      <c r="T211" s="77">
        <f>VLOOKUP(Table88[[#This Row],[NAME]],ARI_H[[NAME]:['#]],18,0)</f>
        <v>20</v>
      </c>
      <c r="U211" s="72">
        <f>VLOOKUP(Table88[[#This Row],[NAME]],ARI_H[[NAME]:['#]],19,0)</f>
        <v>0.80982905982905984</v>
      </c>
      <c r="V211" s="28">
        <f>VLOOKUP(Table88[[#This Row],[NAME]],ARI_H[[NAME]:['#]],20,0)</f>
        <v>0</v>
      </c>
      <c r="W211" s="75">
        <v>209</v>
      </c>
      <c r="Z211" s="101" t="s">
        <v>1265</v>
      </c>
      <c r="AA211" s="77" t="s">
        <v>186</v>
      </c>
      <c r="AB211" s="77" t="s">
        <v>1278</v>
      </c>
      <c r="AC211" s="130">
        <v>9.5238095238095233E-2</v>
      </c>
      <c r="AD211" s="72">
        <v>0.13636363636363635</v>
      </c>
      <c r="AE211" s="72">
        <v>0.23809523809523808</v>
      </c>
      <c r="AF211" s="77">
        <v>5</v>
      </c>
      <c r="AG211" s="28">
        <v>21</v>
      </c>
      <c r="AH211" s="28">
        <v>1</v>
      </c>
      <c r="AI211" s="28">
        <v>2</v>
      </c>
      <c r="AJ211" s="28">
        <v>0</v>
      </c>
      <c r="AK211" s="28">
        <v>0</v>
      </c>
      <c r="AL211" s="28">
        <v>1</v>
      </c>
      <c r="AM211" s="28">
        <v>1</v>
      </c>
      <c r="AN211" s="28">
        <v>1</v>
      </c>
      <c r="AO211" s="28">
        <v>8</v>
      </c>
      <c r="AP211" s="77">
        <v>0</v>
      </c>
      <c r="AQ211" s="28">
        <v>0</v>
      </c>
      <c r="AR211" s="28">
        <v>2</v>
      </c>
      <c r="AS211" s="77">
        <v>5</v>
      </c>
      <c r="AT211" s="72">
        <v>0.37445887445887444</v>
      </c>
      <c r="AU211" s="28">
        <v>0</v>
      </c>
      <c r="AV211" s="75">
        <v>209</v>
      </c>
      <c r="AY211" s="101" t="s">
        <v>1265</v>
      </c>
      <c r="AZ211" s="77" t="s">
        <v>186</v>
      </c>
      <c r="BA211" s="77" t="s">
        <v>1278</v>
      </c>
      <c r="BB211" s="130">
        <v>0.22916666666666666</v>
      </c>
      <c r="BC211" s="72">
        <v>0.31481481481481483</v>
      </c>
      <c r="BD211" s="72">
        <v>0.375</v>
      </c>
      <c r="BE211" s="77">
        <v>27</v>
      </c>
      <c r="BF211" s="28">
        <v>96</v>
      </c>
      <c r="BG211" s="28">
        <v>13</v>
      </c>
      <c r="BH211" s="28">
        <v>22</v>
      </c>
      <c r="BI211" s="28">
        <v>5</v>
      </c>
      <c r="BJ211" s="28">
        <v>0</v>
      </c>
      <c r="BK211" s="28">
        <v>3</v>
      </c>
      <c r="BL211" s="28">
        <v>13</v>
      </c>
      <c r="BM211" s="28">
        <v>12</v>
      </c>
      <c r="BN211" s="28">
        <v>23</v>
      </c>
      <c r="BO211" s="77">
        <v>0</v>
      </c>
      <c r="BP211" s="28">
        <v>0</v>
      </c>
      <c r="BQ211" s="28">
        <v>3</v>
      </c>
      <c r="BR211" s="77">
        <v>36</v>
      </c>
      <c r="BS211" s="72">
        <v>0.68981481481481488</v>
      </c>
      <c r="BT211" s="28">
        <v>3</v>
      </c>
      <c r="BU211" s="75">
        <v>209</v>
      </c>
    </row>
    <row r="212" spans="1:73" ht="17" thickBot="1">
      <c r="A212" s="102" t="s">
        <v>1265</v>
      </c>
      <c r="B212" s="78" t="s">
        <v>186</v>
      </c>
      <c r="C212" s="81" t="s">
        <v>1284</v>
      </c>
      <c r="D212" s="79">
        <f>VLOOKUP(Table88[[#This Row],[NAME]],ARI_H[[NAME]:['#]],2,0)</f>
        <v>0.14285714285714285</v>
      </c>
      <c r="E212" s="79">
        <f>VLOOKUP(Table88[[#This Row],[NAME]],ARI_H[[NAME]:['#]],3,0)</f>
        <v>0.14285714285714285</v>
      </c>
      <c r="F212" s="79">
        <f>VLOOKUP(Table88[[#This Row],[NAME]],ARI_H[[NAME]:['#]],4,0)</f>
        <v>0.14285714285714285</v>
      </c>
      <c r="G212" s="103">
        <f>VLOOKUP(Table88[[#This Row],[NAME]],ARI_H[[NAME]:['#]],5,0)</f>
        <v>2</v>
      </c>
      <c r="H212" s="25">
        <f>VLOOKUP(Table88[[#This Row],[NAME]],ARI_H[[NAME]:['#]],6,0)</f>
        <v>7</v>
      </c>
      <c r="I212" s="25">
        <f>VLOOKUP(Table88[[#This Row],[NAME]],ARI_H[[NAME]:['#]],7,0)</f>
        <v>0</v>
      </c>
      <c r="J212" s="25">
        <f>VLOOKUP(Table88[[#This Row],[NAME]],ARI_H[[NAME]:['#]],8,0)</f>
        <v>1</v>
      </c>
      <c r="K212" s="25">
        <f>VLOOKUP(Table88[[#This Row],[NAME]],ARI_H[[NAME]:['#]],9,0)</f>
        <v>0</v>
      </c>
      <c r="L212" s="25">
        <f>VLOOKUP(Table88[[#This Row],[NAME]],ARI_H[[NAME]:['#]],10,0)</f>
        <v>0</v>
      </c>
      <c r="M212" s="25">
        <f>VLOOKUP(Table88[[#This Row],[NAME]],ARI_H[[NAME]:['#]],11,0)</f>
        <v>0</v>
      </c>
      <c r="N212" s="25">
        <f>VLOOKUP(Table88[[#This Row],[NAME]],ARI_H[[NAME]:['#]],12,0)</f>
        <v>1</v>
      </c>
      <c r="O212" s="25">
        <f>VLOOKUP(Table88[[#This Row],[NAME]],ARI_H[[NAME]:['#]],13,0)</f>
        <v>0</v>
      </c>
      <c r="P212" s="25">
        <f>VLOOKUP(Table88[[#This Row],[NAME]],ARI_H[[NAME]:['#]],14,0)</f>
        <v>2</v>
      </c>
      <c r="Q212" s="103">
        <f>VLOOKUP(Table88[[#This Row],[NAME]],ARI_H[[NAME]:['#]],15,0)</f>
        <v>0</v>
      </c>
      <c r="R212" s="25">
        <f>VLOOKUP(Table88[[#This Row],[NAME]],ARI_H[[NAME]:['#]],16,0)</f>
        <v>1</v>
      </c>
      <c r="S212" s="25">
        <f>VLOOKUP(Table88[[#This Row],[NAME]],ARI_H[[NAME]:['#]],17,0)</f>
        <v>1</v>
      </c>
      <c r="T212" s="103">
        <f>VLOOKUP(Table88[[#This Row],[NAME]],ARI_H[[NAME]:['#]],18,0)</f>
        <v>1</v>
      </c>
      <c r="U212" s="79">
        <f>VLOOKUP(Table88[[#This Row],[NAME]],ARI_H[[NAME]:['#]],19,0)</f>
        <v>0.2857142857142857</v>
      </c>
      <c r="V212" s="25">
        <f>VLOOKUP(Table88[[#This Row],[NAME]],ARI_H[[NAME]:['#]],20,0)</f>
        <v>0</v>
      </c>
      <c r="W212" s="82">
        <v>210</v>
      </c>
      <c r="Z212" s="102" t="s">
        <v>1265</v>
      </c>
      <c r="AA212" s="103" t="s">
        <v>186</v>
      </c>
      <c r="AB212" s="103" t="s">
        <v>1284</v>
      </c>
      <c r="AC212" s="131">
        <v>0.13157894736842105</v>
      </c>
      <c r="AD212" s="79">
        <v>0.1951219512195122</v>
      </c>
      <c r="AE212" s="79">
        <v>0.13157894736842105</v>
      </c>
      <c r="AF212" s="103">
        <v>11</v>
      </c>
      <c r="AG212" s="25">
        <v>38</v>
      </c>
      <c r="AH212" s="25">
        <v>2</v>
      </c>
      <c r="AI212" s="25">
        <v>5</v>
      </c>
      <c r="AJ212" s="25">
        <v>0</v>
      </c>
      <c r="AK212" s="25">
        <v>0</v>
      </c>
      <c r="AL212" s="25">
        <v>0</v>
      </c>
      <c r="AM212" s="25">
        <v>1</v>
      </c>
      <c r="AN212" s="25">
        <v>3</v>
      </c>
      <c r="AO212" s="25">
        <v>7</v>
      </c>
      <c r="AP212" s="103">
        <v>0</v>
      </c>
      <c r="AQ212" s="25">
        <v>1</v>
      </c>
      <c r="AR212" s="25">
        <v>1</v>
      </c>
      <c r="AS212" s="103">
        <v>5</v>
      </c>
      <c r="AT212" s="79">
        <v>0.32670089858793327</v>
      </c>
      <c r="AU212" s="25">
        <v>0</v>
      </c>
      <c r="AV212" s="82">
        <v>210</v>
      </c>
      <c r="AY212" s="102" t="s">
        <v>1265</v>
      </c>
      <c r="AZ212" s="103" t="s">
        <v>184</v>
      </c>
      <c r="BA212" s="103" t="s">
        <v>1284</v>
      </c>
      <c r="BB212" s="131">
        <v>0.21428571428571427</v>
      </c>
      <c r="BC212" s="79">
        <v>0.21428571428571427</v>
      </c>
      <c r="BD212" s="79">
        <v>0.2857142857142857</v>
      </c>
      <c r="BE212" s="103">
        <v>5</v>
      </c>
      <c r="BF212" s="25">
        <v>14</v>
      </c>
      <c r="BG212" s="25">
        <v>1</v>
      </c>
      <c r="BH212" s="25">
        <v>3</v>
      </c>
      <c r="BI212" s="25">
        <v>1</v>
      </c>
      <c r="BJ212" s="25">
        <v>0</v>
      </c>
      <c r="BK212" s="25">
        <v>0</v>
      </c>
      <c r="BL212" s="25">
        <v>1</v>
      </c>
      <c r="BM212" s="25">
        <v>0</v>
      </c>
      <c r="BN212" s="25">
        <v>6</v>
      </c>
      <c r="BO212" s="103">
        <v>0</v>
      </c>
      <c r="BP212" s="25">
        <v>3</v>
      </c>
      <c r="BQ212" s="25">
        <v>3</v>
      </c>
      <c r="BR212" s="103">
        <v>4</v>
      </c>
      <c r="BS212" s="79">
        <v>0.5</v>
      </c>
      <c r="BT212" s="25">
        <v>0</v>
      </c>
      <c r="BU212" s="82">
        <v>210</v>
      </c>
    </row>
  </sheetData>
  <mergeCells count="3">
    <mergeCell ref="A1:W1"/>
    <mergeCell ref="Z1:AV1"/>
    <mergeCell ref="AY1:BU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I152"/>
  <sheetViews>
    <sheetView zoomScale="110" zoomScaleNormal="11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W139" sqref="W139"/>
    </sheetView>
  </sheetViews>
  <sheetFormatPr baseColWidth="10" defaultRowHeight="16"/>
  <cols>
    <col min="1" max="1" width="6.33203125" customWidth="1"/>
    <col min="2" max="2" width="5.1640625" customWidth="1"/>
    <col min="3" max="3" width="14.83203125" customWidth="1"/>
    <col min="4" max="4" width="7.1640625" customWidth="1"/>
    <col min="5" max="5" width="5.33203125" customWidth="1"/>
    <col min="6" max="6" width="4.83203125" customWidth="1"/>
    <col min="7" max="7" width="5" customWidth="1"/>
    <col min="8" max="8" width="5.33203125" customWidth="1"/>
    <col min="9" max="9" width="5" customWidth="1"/>
    <col min="10" max="10" width="4.83203125" customWidth="1"/>
    <col min="11" max="11" width="6" customWidth="1"/>
    <col min="12" max="12" width="5" customWidth="1"/>
    <col min="13" max="13" width="5.83203125" customWidth="1"/>
    <col min="14" max="14" width="6.6640625" customWidth="1"/>
    <col min="15" max="15" width="6" customWidth="1"/>
    <col min="16" max="17" width="6.1640625" customWidth="1"/>
    <col min="18" max="18" width="6" customWidth="1"/>
    <col min="19" max="19" width="4.5" customWidth="1"/>
    <col min="20" max="21" width="2.5" customWidth="1"/>
    <col min="22" max="22" width="6.33203125" customWidth="1"/>
    <col min="23" max="23" width="5.1640625" customWidth="1"/>
    <col min="24" max="24" width="13.33203125" customWidth="1"/>
    <col min="25" max="25" width="7.1640625" customWidth="1"/>
    <col min="26" max="26" width="5.33203125" customWidth="1"/>
    <col min="27" max="27" width="4.83203125" customWidth="1"/>
    <col min="28" max="28" width="5" customWidth="1"/>
    <col min="29" max="29" width="5.33203125" customWidth="1"/>
    <col min="30" max="30" width="5" customWidth="1"/>
    <col min="31" max="31" width="4.83203125" customWidth="1"/>
    <col min="32" max="32" width="6" customWidth="1"/>
    <col min="33" max="33" width="5" customWidth="1"/>
    <col min="34" max="34" width="5.83203125" customWidth="1"/>
    <col min="35" max="35" width="6.6640625" customWidth="1"/>
    <col min="36" max="36" width="6" customWidth="1"/>
    <col min="37" max="38" width="6.1640625" customWidth="1"/>
    <col min="39" max="39" width="6" customWidth="1"/>
    <col min="40" max="40" width="4.5" customWidth="1"/>
    <col min="41" max="41" width="2.6640625" customWidth="1"/>
    <col min="42" max="42" width="2.5" customWidth="1"/>
    <col min="43" max="43" width="6.83203125" customWidth="1"/>
    <col min="44" max="44" width="5.5" customWidth="1"/>
    <col min="45" max="45" width="14.1640625" customWidth="1"/>
    <col min="46" max="46" width="8" customWidth="1"/>
    <col min="47" max="47" width="5.6640625" customWidth="1"/>
    <col min="48" max="48" width="5" customWidth="1"/>
    <col min="49" max="49" width="5.1640625" customWidth="1"/>
    <col min="50" max="50" width="5.6640625" customWidth="1"/>
    <col min="51" max="52" width="5.1640625" customWidth="1"/>
    <col min="53" max="53" width="6.33203125" customWidth="1"/>
    <col min="54" max="54" width="5.1640625" customWidth="1"/>
    <col min="55" max="55" width="6.33203125" customWidth="1"/>
    <col min="56" max="56" width="7.1640625" customWidth="1"/>
    <col min="57" max="57" width="6.33203125" customWidth="1"/>
    <col min="58" max="59" width="6.6640625" customWidth="1"/>
    <col min="60" max="60" width="6.33203125" customWidth="1"/>
    <col min="61" max="61" width="4.6640625" customWidth="1"/>
    <col min="62" max="62" width="2.5" customWidth="1"/>
  </cols>
  <sheetData>
    <row r="1" spans="1:61" ht="26" thickBot="1">
      <c r="A1" s="1090" t="s">
        <v>0</v>
      </c>
      <c r="B1" s="1091"/>
      <c r="C1" s="1091"/>
      <c r="D1" s="1091"/>
      <c r="E1" s="1091"/>
      <c r="F1" s="1091"/>
      <c r="G1" s="1091"/>
      <c r="H1" s="1091"/>
      <c r="I1" s="1091"/>
      <c r="J1" s="1091"/>
      <c r="K1" s="1091"/>
      <c r="L1" s="1091"/>
      <c r="M1" s="1091"/>
      <c r="N1" s="1091"/>
      <c r="O1" s="1091"/>
      <c r="P1" s="1091"/>
      <c r="Q1" s="1091"/>
      <c r="R1" s="1091"/>
      <c r="S1" s="1092"/>
      <c r="V1" s="1090" t="s">
        <v>2</v>
      </c>
      <c r="W1" s="1091"/>
      <c r="X1" s="1091"/>
      <c r="Y1" s="1091"/>
      <c r="Z1" s="1091"/>
      <c r="AA1" s="1091"/>
      <c r="AB1" s="1091"/>
      <c r="AC1" s="1091"/>
      <c r="AD1" s="1091"/>
      <c r="AE1" s="1091"/>
      <c r="AF1" s="1091"/>
      <c r="AG1" s="1091"/>
      <c r="AH1" s="1091"/>
      <c r="AI1" s="1091"/>
      <c r="AJ1" s="1091"/>
      <c r="AK1" s="1091"/>
      <c r="AL1" s="1091"/>
      <c r="AM1" s="1091"/>
      <c r="AN1" s="1092"/>
      <c r="AQ1" s="1090" t="s">
        <v>4</v>
      </c>
      <c r="AR1" s="1091"/>
      <c r="AS1" s="1091"/>
      <c r="AT1" s="1091"/>
      <c r="AU1" s="1091"/>
      <c r="AV1" s="1091"/>
      <c r="AW1" s="1091"/>
      <c r="AX1" s="1091"/>
      <c r="AY1" s="1091"/>
      <c r="AZ1" s="1091"/>
      <c r="BA1" s="1091"/>
      <c r="BB1" s="1091"/>
      <c r="BC1" s="1091"/>
      <c r="BD1" s="1091"/>
      <c r="BE1" s="1091"/>
      <c r="BF1" s="1091"/>
      <c r="BG1" s="1091"/>
      <c r="BH1" s="1091"/>
      <c r="BI1" s="1092"/>
    </row>
    <row r="2" spans="1:61" s="108" customFormat="1" ht="17" thickBot="1">
      <c r="A2" s="376" t="s">
        <v>143</v>
      </c>
      <c r="B2" s="377" t="s">
        <v>144</v>
      </c>
      <c r="C2" s="377" t="s">
        <v>145</v>
      </c>
      <c r="D2" s="377" t="s">
        <v>196</v>
      </c>
      <c r="E2" s="377" t="s">
        <v>197</v>
      </c>
      <c r="F2" s="377" t="s">
        <v>198</v>
      </c>
      <c r="G2" s="377" t="s">
        <v>149</v>
      </c>
      <c r="H2" s="377" t="s">
        <v>199</v>
      </c>
      <c r="I2" s="377" t="s">
        <v>152</v>
      </c>
      <c r="J2" s="377" t="s">
        <v>151</v>
      </c>
      <c r="K2" s="377" t="s">
        <v>157</v>
      </c>
      <c r="L2" s="377" t="s">
        <v>158</v>
      </c>
      <c r="M2" s="377" t="s">
        <v>200</v>
      </c>
      <c r="N2" s="377" t="s">
        <v>201</v>
      </c>
      <c r="O2" s="377" t="s">
        <v>202</v>
      </c>
      <c r="P2" s="377" t="s">
        <v>203</v>
      </c>
      <c r="Q2" s="377" t="s">
        <v>204</v>
      </c>
      <c r="R2" s="377" t="s">
        <v>205</v>
      </c>
      <c r="S2" s="378" t="s">
        <v>164</v>
      </c>
      <c r="V2" s="376" t="s">
        <v>143</v>
      </c>
      <c r="W2" s="377" t="s">
        <v>144</v>
      </c>
      <c r="X2" s="377" t="s">
        <v>145</v>
      </c>
      <c r="Y2" s="377" t="s">
        <v>196</v>
      </c>
      <c r="Z2" s="377" t="s">
        <v>197</v>
      </c>
      <c r="AA2" s="377" t="s">
        <v>198</v>
      </c>
      <c r="AB2" s="377" t="s">
        <v>149</v>
      </c>
      <c r="AC2" s="377" t="s">
        <v>199</v>
      </c>
      <c r="AD2" s="377" t="s">
        <v>152</v>
      </c>
      <c r="AE2" s="377" t="s">
        <v>151</v>
      </c>
      <c r="AF2" s="377" t="s">
        <v>157</v>
      </c>
      <c r="AG2" s="377" t="s">
        <v>158</v>
      </c>
      <c r="AH2" s="377" t="s">
        <v>200</v>
      </c>
      <c r="AI2" s="377" t="s">
        <v>201</v>
      </c>
      <c r="AJ2" s="377" t="s">
        <v>202</v>
      </c>
      <c r="AK2" s="377" t="s">
        <v>203</v>
      </c>
      <c r="AL2" s="377" t="s">
        <v>204</v>
      </c>
      <c r="AM2" s="377" t="s">
        <v>205</v>
      </c>
      <c r="AN2" s="378" t="s">
        <v>164</v>
      </c>
      <c r="AQ2" s="39" t="s">
        <v>143</v>
      </c>
      <c r="AR2" s="187" t="s">
        <v>144</v>
      </c>
      <c r="AS2" s="187" t="s">
        <v>145</v>
      </c>
      <c r="AT2" s="187" t="s">
        <v>196</v>
      </c>
      <c r="AU2" s="187" t="s">
        <v>197</v>
      </c>
      <c r="AV2" s="187" t="s">
        <v>198</v>
      </c>
      <c r="AW2" s="187" t="s">
        <v>149</v>
      </c>
      <c r="AX2" s="187" t="s">
        <v>199</v>
      </c>
      <c r="AY2" s="187" t="s">
        <v>152</v>
      </c>
      <c r="AZ2" s="187" t="s">
        <v>151</v>
      </c>
      <c r="BA2" s="187" t="s">
        <v>157</v>
      </c>
      <c r="BB2" s="187" t="s">
        <v>158</v>
      </c>
      <c r="BC2" s="187" t="s">
        <v>200</v>
      </c>
      <c r="BD2" s="187" t="s">
        <v>201</v>
      </c>
      <c r="BE2" s="187" t="s">
        <v>202</v>
      </c>
      <c r="BF2" s="187" t="s">
        <v>203</v>
      </c>
      <c r="BG2" s="187" t="s">
        <v>204</v>
      </c>
      <c r="BH2" s="187" t="s">
        <v>205</v>
      </c>
      <c r="BI2" s="189" t="s">
        <v>164</v>
      </c>
    </row>
    <row r="3" spans="1:61">
      <c r="A3" s="561" t="s">
        <v>165</v>
      </c>
      <c r="B3" s="351" t="s">
        <v>206</v>
      </c>
      <c r="C3" s="351" t="s">
        <v>207</v>
      </c>
      <c r="D3" s="350">
        <f>VLOOKUP(Table70[[#This Row],[NAME]],NYY_P[[NAME]:['#]],2,0)</f>
        <v>2.3641642472003319</v>
      </c>
      <c r="E3" s="110">
        <f>VLOOKUP(Table70[[#This Row],[NAME]],NYY_P[[NAME]:['#]],3,0)</f>
        <v>7</v>
      </c>
      <c r="F3" s="68">
        <f>VLOOKUP(Table70[[#This Row],[NAME]],NYY_P[[NAME]:['#]],4,0)</f>
        <v>1</v>
      </c>
      <c r="G3" s="99">
        <f>VLOOKUP(Table70[[#This Row],[NAME]],NYY_P[[NAME]:['#]],5,0)</f>
        <v>10</v>
      </c>
      <c r="H3" s="84">
        <f>VLOOKUP(Table70[[#This Row],[NAME]],NYY_P[[NAME]:['#]],6,0)</f>
        <v>72.33</v>
      </c>
      <c r="I3" s="68">
        <f>VLOOKUP(Table70[[#This Row],[NAME]],NYY_P[[NAME]:['#]],7,0)</f>
        <v>57</v>
      </c>
      <c r="J3" s="68">
        <f>VLOOKUP(Table70[[#This Row],[NAME]],NYY_P[[NAME]:['#]],8,0)</f>
        <v>19</v>
      </c>
      <c r="K3" s="68">
        <f>VLOOKUP(Table70[[#This Row],[NAME]],NYY_P[[NAME]:['#]],9,0)</f>
        <v>21</v>
      </c>
      <c r="L3" s="68">
        <f>VLOOKUP(Table70[[#This Row],[NAME]],NYY_P[[NAME]:['#]],10,0)</f>
        <v>90</v>
      </c>
      <c r="M3" s="68">
        <f>VLOOKUP(Table70[[#This Row],[NAME]],NYY_P[[NAME]:['#]],11,0)</f>
        <v>0</v>
      </c>
      <c r="N3" s="105">
        <f>VLOOKUP(Table70[[#This Row],[NAME]],NYY_P[[NAME]:['#]],12,0)</f>
        <v>1.0783907092492742</v>
      </c>
      <c r="O3" s="99">
        <f>VLOOKUP(Table70[[#This Row],[NAME]],NYY_P[[NAME]:['#]],13,0)</f>
        <v>7</v>
      </c>
      <c r="P3" s="100">
        <f>VLOOKUP(Table70[[#This Row],[NAME]],NYY_P[[NAME]:['#]],14,0)</f>
        <v>7</v>
      </c>
      <c r="Q3" s="100">
        <f>VLOOKUP(Table70[[#This Row],[NAME]],NYY_P[[NAME]:['#]],15,0)</f>
        <v>2</v>
      </c>
      <c r="R3" s="100">
        <f>VLOOKUP(Table70[[#This Row],[NAME]],NYY_P[[NAME]:['#]],16,0)</f>
        <v>2</v>
      </c>
      <c r="S3" s="70">
        <v>1</v>
      </c>
      <c r="V3" s="97" t="s">
        <v>165</v>
      </c>
      <c r="W3" s="110" t="s">
        <v>206</v>
      </c>
      <c r="X3" s="110" t="s">
        <v>207</v>
      </c>
      <c r="Y3" s="98">
        <v>1.4936805821524322</v>
      </c>
      <c r="Z3" s="99">
        <v>6</v>
      </c>
      <c r="AA3" s="68">
        <v>2</v>
      </c>
      <c r="AB3" s="99">
        <v>10</v>
      </c>
      <c r="AC3" s="84">
        <v>78.33</v>
      </c>
      <c r="AD3" s="68">
        <v>42</v>
      </c>
      <c r="AE3" s="68">
        <v>13</v>
      </c>
      <c r="AF3" s="68">
        <v>24</v>
      </c>
      <c r="AG3" s="100">
        <v>103</v>
      </c>
      <c r="AH3" s="140">
        <v>0</v>
      </c>
      <c r="AI3" s="105">
        <v>0.84258904634239762</v>
      </c>
      <c r="AJ3" s="99">
        <v>9</v>
      </c>
      <c r="AK3" s="68">
        <v>6</v>
      </c>
      <c r="AL3" s="100">
        <v>3</v>
      </c>
      <c r="AM3" s="100">
        <v>2</v>
      </c>
      <c r="AN3" s="70">
        <v>1</v>
      </c>
      <c r="AQ3" s="97" t="s">
        <v>165</v>
      </c>
      <c r="AR3" s="99" t="s">
        <v>206</v>
      </c>
      <c r="AS3" s="99" t="s">
        <v>207</v>
      </c>
      <c r="AT3" s="83">
        <v>3.1838120843356443</v>
      </c>
      <c r="AU3" s="99">
        <v>3</v>
      </c>
      <c r="AV3" s="68">
        <v>4</v>
      </c>
      <c r="AW3" s="99">
        <v>10</v>
      </c>
      <c r="AX3" s="84">
        <v>70.67</v>
      </c>
      <c r="AY3" s="68">
        <v>54</v>
      </c>
      <c r="AZ3" s="68">
        <v>25</v>
      </c>
      <c r="BA3" s="68">
        <v>15</v>
      </c>
      <c r="BB3" s="68">
        <v>92</v>
      </c>
      <c r="BC3" s="140">
        <v>0</v>
      </c>
      <c r="BD3" s="105">
        <v>0.97636903919626428</v>
      </c>
      <c r="BE3" s="99">
        <v>7</v>
      </c>
      <c r="BF3" s="68">
        <v>5</v>
      </c>
      <c r="BG3" s="68">
        <v>2</v>
      </c>
      <c r="BH3" s="68">
        <v>1</v>
      </c>
      <c r="BI3" s="70">
        <v>1</v>
      </c>
    </row>
    <row r="4" spans="1:61">
      <c r="A4" s="366" t="s">
        <v>165</v>
      </c>
      <c r="B4" s="71" t="s">
        <v>206</v>
      </c>
      <c r="C4" s="116" t="s">
        <v>208</v>
      </c>
      <c r="D4" s="89">
        <f>VLOOKUP(Table70[[#This Row],[NAME]],NYY_P[[NAME]:['#]],2,0)</f>
        <v>5.2051328393276703</v>
      </c>
      <c r="E4" s="77">
        <f>VLOOKUP(Table70[[#This Row],[NAME]],NYY_P[[NAME]:['#]],3,0)</f>
        <v>1</v>
      </c>
      <c r="F4" s="28">
        <f>VLOOKUP(Table70[[#This Row],[NAME]],NYY_P[[NAME]:['#]],4,0)</f>
        <v>3</v>
      </c>
      <c r="G4" s="77">
        <f>VLOOKUP(Table70[[#This Row],[NAME]],NYY_P[[NAME]:['#]],5,0)</f>
        <v>10</v>
      </c>
      <c r="H4" s="584">
        <f>VLOOKUP(Table70[[#This Row],[NAME]],NYY_P[[NAME]:['#]],6,0)</f>
        <v>55.33</v>
      </c>
      <c r="I4" s="28">
        <f>VLOOKUP(Table70[[#This Row],[NAME]],NYY_P[[NAME]:['#]],7,0)</f>
        <v>71</v>
      </c>
      <c r="J4" s="28">
        <f>VLOOKUP(Table70[[#This Row],[NAME]],NYY_P[[NAME]:['#]],8,0)</f>
        <v>32</v>
      </c>
      <c r="K4" s="28">
        <f>VLOOKUP(Table70[[#This Row],[NAME]],NYY_P[[NAME]:['#]],9,0)</f>
        <v>14</v>
      </c>
      <c r="L4" s="28">
        <f>VLOOKUP(Table70[[#This Row],[NAME]],NYY_P[[NAME]:['#]],10,0)</f>
        <v>52</v>
      </c>
      <c r="M4" s="28">
        <f>VLOOKUP(Table70[[#This Row],[NAME]],NYY_P[[NAME]:['#]],11,0)</f>
        <v>0</v>
      </c>
      <c r="N4" s="106">
        <f>VLOOKUP(Table70[[#This Row],[NAME]],NYY_P[[NAME]:['#]],12,0)</f>
        <v>1.5362371227182361</v>
      </c>
      <c r="O4" s="77">
        <f>VLOOKUP(Table70[[#This Row],[NAME]],NYY_P[[NAME]:['#]],13,0)</f>
        <v>4</v>
      </c>
      <c r="P4" s="28">
        <f>VLOOKUP(Table70[[#This Row],[NAME]],NYY_P[[NAME]:['#]],14,0)</f>
        <v>0</v>
      </c>
      <c r="Q4" s="28">
        <f>VLOOKUP(Table70[[#This Row],[NAME]],NYY_P[[NAME]:['#]],15,0)</f>
        <v>0</v>
      </c>
      <c r="R4" s="28">
        <f>VLOOKUP(Table70[[#This Row],[NAME]],NYY_P[[NAME]:['#]],16,0)</f>
        <v>0</v>
      </c>
      <c r="S4" s="75">
        <v>2</v>
      </c>
      <c r="V4" s="101" t="s">
        <v>165</v>
      </c>
      <c r="W4" s="77" t="s">
        <v>206</v>
      </c>
      <c r="X4" s="132" t="s">
        <v>208</v>
      </c>
      <c r="Y4" s="88">
        <v>2.6599674892862422</v>
      </c>
      <c r="Z4" s="77">
        <v>4</v>
      </c>
      <c r="AA4" s="28">
        <v>3</v>
      </c>
      <c r="AB4" s="77">
        <v>10</v>
      </c>
      <c r="AC4" s="584">
        <v>67.67</v>
      </c>
      <c r="AD4" s="28">
        <v>54</v>
      </c>
      <c r="AE4" s="28">
        <v>20</v>
      </c>
      <c r="AF4" s="28">
        <v>15</v>
      </c>
      <c r="AG4" s="28">
        <v>73</v>
      </c>
      <c r="AH4" s="588">
        <v>0</v>
      </c>
      <c r="AI4" s="106">
        <v>1.0196542042263927</v>
      </c>
      <c r="AJ4" s="77">
        <v>9</v>
      </c>
      <c r="AK4" s="28">
        <v>4</v>
      </c>
      <c r="AL4" s="28">
        <v>1</v>
      </c>
      <c r="AM4" s="28">
        <v>1</v>
      </c>
      <c r="AN4" s="75">
        <v>2</v>
      </c>
      <c r="AQ4" s="101" t="s">
        <v>165</v>
      </c>
      <c r="AR4" s="77" t="s">
        <v>206</v>
      </c>
      <c r="AS4" s="77" t="s">
        <v>209</v>
      </c>
      <c r="AT4" s="88">
        <v>3.1764705882352939</v>
      </c>
      <c r="AU4" s="77">
        <v>6</v>
      </c>
      <c r="AV4" s="28">
        <v>2</v>
      </c>
      <c r="AW4" s="77">
        <v>10</v>
      </c>
      <c r="AX4" s="584">
        <v>68</v>
      </c>
      <c r="AY4" s="28">
        <v>48</v>
      </c>
      <c r="AZ4" s="28">
        <v>24</v>
      </c>
      <c r="BA4" s="28">
        <v>15</v>
      </c>
      <c r="BB4" s="28">
        <v>74</v>
      </c>
      <c r="BC4" s="588">
        <v>0</v>
      </c>
      <c r="BD4" s="106">
        <v>0.92647058823529416</v>
      </c>
      <c r="BE4" s="77">
        <v>8</v>
      </c>
      <c r="BF4" s="28">
        <v>5</v>
      </c>
      <c r="BG4" s="28">
        <v>2</v>
      </c>
      <c r="BH4" s="76">
        <v>2</v>
      </c>
      <c r="BI4" s="75">
        <v>2</v>
      </c>
    </row>
    <row r="5" spans="1:61">
      <c r="A5" s="366" t="s">
        <v>165</v>
      </c>
      <c r="B5" s="71" t="s">
        <v>206</v>
      </c>
      <c r="C5" s="71" t="s">
        <v>209</v>
      </c>
      <c r="D5" s="89">
        <f>VLOOKUP(Table70[[#This Row],[NAME]],NYY_P[[NAME]:['#]],2,0)</f>
        <v>4.9655172413793105</v>
      </c>
      <c r="E5" s="77">
        <f>VLOOKUP(Table70[[#This Row],[NAME]],NYY_P[[NAME]:['#]],3,0)</f>
        <v>1</v>
      </c>
      <c r="F5" s="28">
        <f>VLOOKUP(Table70[[#This Row],[NAME]],NYY_P[[NAME]:['#]],4,0)</f>
        <v>3</v>
      </c>
      <c r="G5" s="77">
        <f>VLOOKUP(Table70[[#This Row],[NAME]],NYY_P[[NAME]:['#]],5,0)</f>
        <v>10</v>
      </c>
      <c r="H5" s="584">
        <f>VLOOKUP(Table70[[#This Row],[NAME]],NYY_P[[NAME]:['#]],6,0)</f>
        <v>58</v>
      </c>
      <c r="I5" s="28">
        <f>VLOOKUP(Table70[[#This Row],[NAME]],NYY_P[[NAME]:['#]],7,0)</f>
        <v>66</v>
      </c>
      <c r="J5" s="28">
        <f>VLOOKUP(Table70[[#This Row],[NAME]],NYY_P[[NAME]:['#]],8,0)</f>
        <v>32</v>
      </c>
      <c r="K5" s="28">
        <f>VLOOKUP(Table70[[#This Row],[NAME]],NYY_P[[NAME]:['#]],9,0)</f>
        <v>22</v>
      </c>
      <c r="L5" s="28">
        <f>VLOOKUP(Table70[[#This Row],[NAME]],NYY_P[[NAME]:['#]],10,0)</f>
        <v>57</v>
      </c>
      <c r="M5" s="28">
        <f>VLOOKUP(Table70[[#This Row],[NAME]],NYY_P[[NAME]:['#]],11,0)</f>
        <v>0</v>
      </c>
      <c r="N5" s="106">
        <f>VLOOKUP(Table70[[#This Row],[NAME]],NYY_P[[NAME]:['#]],12,0)</f>
        <v>1.5172413793103448</v>
      </c>
      <c r="O5" s="77">
        <f>VLOOKUP(Table70[[#This Row],[NAME]],NYY_P[[NAME]:['#]],13,0)</f>
        <v>5</v>
      </c>
      <c r="P5" s="28">
        <f>VLOOKUP(Table70[[#This Row],[NAME]],NYY_P[[NAME]:['#]],14,0)</f>
        <v>3</v>
      </c>
      <c r="Q5" s="28">
        <f>VLOOKUP(Table70[[#This Row],[NAME]],NYY_P[[NAME]:['#]],15,0)</f>
        <v>0</v>
      </c>
      <c r="R5" s="28">
        <f>VLOOKUP(Table70[[#This Row],[NAME]],NYY_P[[NAME]:['#]],16,0)</f>
        <v>0</v>
      </c>
      <c r="S5" s="75">
        <v>3</v>
      </c>
      <c r="V5" s="101" t="s">
        <v>165</v>
      </c>
      <c r="W5" s="77" t="s">
        <v>206</v>
      </c>
      <c r="X5" s="77" t="s">
        <v>209</v>
      </c>
      <c r="Y5" s="88">
        <v>5.2537700664828924</v>
      </c>
      <c r="Z5" s="77">
        <v>1</v>
      </c>
      <c r="AA5" s="28">
        <v>5</v>
      </c>
      <c r="AB5" s="77">
        <v>10</v>
      </c>
      <c r="AC5" s="584">
        <v>61.67</v>
      </c>
      <c r="AD5" s="76">
        <v>76</v>
      </c>
      <c r="AE5" s="28">
        <v>36</v>
      </c>
      <c r="AF5" s="28">
        <v>17</v>
      </c>
      <c r="AG5" s="28">
        <v>64</v>
      </c>
      <c r="AH5" s="588">
        <v>0</v>
      </c>
      <c r="AI5" s="106">
        <v>1.5080265931571266</v>
      </c>
      <c r="AJ5" s="77">
        <v>4</v>
      </c>
      <c r="AK5" s="28">
        <v>3</v>
      </c>
      <c r="AL5" s="28">
        <v>1</v>
      </c>
      <c r="AM5" s="28">
        <v>1</v>
      </c>
      <c r="AN5" s="75">
        <v>3</v>
      </c>
      <c r="AQ5" s="101" t="s">
        <v>165</v>
      </c>
      <c r="AR5" s="77" t="s">
        <v>206</v>
      </c>
      <c r="AS5" s="77" t="s">
        <v>210</v>
      </c>
      <c r="AT5" s="88">
        <v>4.4486108743821369</v>
      </c>
      <c r="AU5" s="77">
        <v>6</v>
      </c>
      <c r="AV5" s="28">
        <v>3</v>
      </c>
      <c r="AW5" s="77">
        <v>10</v>
      </c>
      <c r="AX5" s="584">
        <v>58.67</v>
      </c>
      <c r="AY5" s="28">
        <v>69</v>
      </c>
      <c r="AZ5" s="28">
        <v>29</v>
      </c>
      <c r="BA5" s="28">
        <v>11</v>
      </c>
      <c r="BB5" s="28">
        <v>54</v>
      </c>
      <c r="BC5" s="588">
        <v>0</v>
      </c>
      <c r="BD5" s="106">
        <v>1.3635588886995056</v>
      </c>
      <c r="BE5" s="77">
        <v>6</v>
      </c>
      <c r="BF5" s="28">
        <v>1</v>
      </c>
      <c r="BG5" s="28">
        <v>0</v>
      </c>
      <c r="BH5" s="28">
        <v>0</v>
      </c>
      <c r="BI5" s="75">
        <v>3</v>
      </c>
    </row>
    <row r="6" spans="1:61">
      <c r="A6" s="366" t="s">
        <v>165</v>
      </c>
      <c r="B6" s="71" t="s">
        <v>206</v>
      </c>
      <c r="C6" s="116" t="s">
        <v>211</v>
      </c>
      <c r="D6" s="88">
        <f>VLOOKUP(Table70[[#This Row],[NAME]],NYY_P[[NAME]:['#]],2,0)</f>
        <v>3.5803083043262061</v>
      </c>
      <c r="E6" s="77">
        <f>VLOOKUP(Table70[[#This Row],[NAME]],NYY_P[[NAME]:['#]],3,0)</f>
        <v>4</v>
      </c>
      <c r="F6" s="28">
        <f>VLOOKUP(Table70[[#This Row],[NAME]],NYY_P[[NAME]:['#]],4,0)</f>
        <v>3</v>
      </c>
      <c r="G6" s="77">
        <f>VLOOKUP(Table70[[#This Row],[NAME]],NYY_P[[NAME]:['#]],5,0)</f>
        <v>10</v>
      </c>
      <c r="H6" s="584">
        <f>VLOOKUP(Table70[[#This Row],[NAME]],NYY_P[[NAME]:['#]],6,0)</f>
        <v>60.33</v>
      </c>
      <c r="I6" s="28">
        <f>VLOOKUP(Table70[[#This Row],[NAME]],NYY_P[[NAME]:['#]],7,0)</f>
        <v>50</v>
      </c>
      <c r="J6" s="28">
        <f>VLOOKUP(Table70[[#This Row],[NAME]],NYY_P[[NAME]:['#]],8,0)</f>
        <v>24</v>
      </c>
      <c r="K6" s="28">
        <f>VLOOKUP(Table70[[#This Row],[NAME]],NYY_P[[NAME]:['#]],9,0)</f>
        <v>19</v>
      </c>
      <c r="L6" s="28">
        <f>VLOOKUP(Table70[[#This Row],[NAME]],NYY_P[[NAME]:['#]],10,0)</f>
        <v>50</v>
      </c>
      <c r="M6" s="28">
        <f>VLOOKUP(Table70[[#This Row],[NAME]],NYY_P[[NAME]:['#]],11,0)</f>
        <v>0</v>
      </c>
      <c r="N6" s="106">
        <f>VLOOKUP(Table70[[#This Row],[NAME]],NYY_P[[NAME]:['#]],12,0)</f>
        <v>1.1437095972153157</v>
      </c>
      <c r="O6" s="77">
        <f>VLOOKUP(Table70[[#This Row],[NAME]],NYY_P[[NAME]:['#]],13,0)</f>
        <v>6</v>
      </c>
      <c r="P6" s="28">
        <f>VLOOKUP(Table70[[#This Row],[NAME]],NYY_P[[NAME]:['#]],14,0)</f>
        <v>3</v>
      </c>
      <c r="Q6" s="28">
        <f>VLOOKUP(Table70[[#This Row],[NAME]],NYY_P[[NAME]:['#]],15,0)</f>
        <v>0</v>
      </c>
      <c r="R6" s="28">
        <f>VLOOKUP(Table70[[#This Row],[NAME]],NYY_P[[NAME]:['#]],16,0)</f>
        <v>0</v>
      </c>
      <c r="S6" s="75">
        <v>4</v>
      </c>
      <c r="V6" s="101" t="s">
        <v>165</v>
      </c>
      <c r="W6" s="77" t="s">
        <v>206</v>
      </c>
      <c r="X6" s="132" t="s">
        <v>211</v>
      </c>
      <c r="Y6" s="88">
        <v>4.5789473684210522</v>
      </c>
      <c r="Z6" s="77">
        <v>4</v>
      </c>
      <c r="AA6" s="28">
        <v>2</v>
      </c>
      <c r="AB6" s="77">
        <v>10</v>
      </c>
      <c r="AC6" s="584">
        <v>57</v>
      </c>
      <c r="AD6" s="28">
        <v>67</v>
      </c>
      <c r="AE6" s="28">
        <v>29</v>
      </c>
      <c r="AF6" s="28">
        <v>16</v>
      </c>
      <c r="AG6" s="28">
        <v>43</v>
      </c>
      <c r="AH6" s="588">
        <v>0</v>
      </c>
      <c r="AI6" s="106">
        <v>1.4561403508771931</v>
      </c>
      <c r="AJ6" s="77">
        <v>6</v>
      </c>
      <c r="AK6" s="28">
        <v>2</v>
      </c>
      <c r="AL6" s="28">
        <v>0</v>
      </c>
      <c r="AM6" s="28">
        <v>0</v>
      </c>
      <c r="AN6" s="75">
        <v>4</v>
      </c>
      <c r="AQ6" s="101" t="s">
        <v>165</v>
      </c>
      <c r="AR6" s="77" t="s">
        <v>206</v>
      </c>
      <c r="AS6" s="77" t="s">
        <v>211</v>
      </c>
      <c r="AT6" s="88">
        <v>6.7504963600264727</v>
      </c>
      <c r="AU6" s="77">
        <v>3</v>
      </c>
      <c r="AV6" s="28">
        <v>4</v>
      </c>
      <c r="AW6" s="77">
        <v>9</v>
      </c>
      <c r="AX6" s="584">
        <v>45.33</v>
      </c>
      <c r="AY6" s="28">
        <v>66</v>
      </c>
      <c r="AZ6" s="28">
        <v>34</v>
      </c>
      <c r="BA6" s="28">
        <v>12</v>
      </c>
      <c r="BB6" s="28">
        <v>43</v>
      </c>
      <c r="BC6" s="588">
        <v>0</v>
      </c>
      <c r="BD6" s="106">
        <v>1.7207147584381206</v>
      </c>
      <c r="BE6" s="77">
        <v>4</v>
      </c>
      <c r="BF6" s="28">
        <v>0</v>
      </c>
      <c r="BG6" s="28">
        <v>0</v>
      </c>
      <c r="BH6" s="28">
        <v>0</v>
      </c>
      <c r="BI6" s="75">
        <v>4</v>
      </c>
    </row>
    <row r="7" spans="1:61">
      <c r="A7" s="366" t="s">
        <v>165</v>
      </c>
      <c r="B7" s="71" t="s">
        <v>215</v>
      </c>
      <c r="C7" s="116" t="s">
        <v>216</v>
      </c>
      <c r="D7" s="89">
        <f>VLOOKUP(Table70[[#This Row],[NAME]],NYY_P[[NAME]:['#]],2,0)</f>
        <v>0</v>
      </c>
      <c r="E7" s="77">
        <f>VLOOKUP(Table70[[#This Row],[NAME]],NYY_P[[NAME]:['#]],3,0)</f>
        <v>0</v>
      </c>
      <c r="F7" s="28">
        <f>VLOOKUP(Table70[[#This Row],[NAME]],NYY_P[[NAME]:['#]],4,0)</f>
        <v>0</v>
      </c>
      <c r="G7" s="77">
        <f>VLOOKUP(Table70[[#This Row],[NAME]],NYY_P[[NAME]:['#]],5,0)</f>
        <v>0</v>
      </c>
      <c r="H7" s="584">
        <f>VLOOKUP(Table70[[#This Row],[NAME]],NYY_P[[NAME]:['#]],6,0)</f>
        <v>0</v>
      </c>
      <c r="I7" s="28">
        <f>VLOOKUP(Table70[[#This Row],[NAME]],NYY_P[[NAME]:['#]],7,0)</f>
        <v>0</v>
      </c>
      <c r="J7" s="28">
        <f>VLOOKUP(Table70[[#This Row],[NAME]],NYY_P[[NAME]:['#]],8,0)</f>
        <v>0</v>
      </c>
      <c r="K7" s="28">
        <f>VLOOKUP(Table70[[#This Row],[NAME]],NYY_P[[NAME]:['#]],9,0)</f>
        <v>0</v>
      </c>
      <c r="L7" s="28">
        <f>VLOOKUP(Table70[[#This Row],[NAME]],NYY_P[[NAME]:['#]],10,0)</f>
        <v>0</v>
      </c>
      <c r="M7" s="28">
        <f>VLOOKUP(Table70[[#This Row],[NAME]],NYY_P[[NAME]:['#]],11,0)</f>
        <v>0</v>
      </c>
      <c r="N7" s="106">
        <f>VLOOKUP(Table70[[#This Row],[NAME]],NYY_P[[NAME]:['#]],12,0)</f>
        <v>0</v>
      </c>
      <c r="O7" s="77">
        <f>VLOOKUP(Table70[[#This Row],[NAME]],NYY_P[[NAME]:['#]],13,0)</f>
        <v>0</v>
      </c>
      <c r="P7" s="28">
        <f>VLOOKUP(Table70[[#This Row],[NAME]],NYY_P[[NAME]:['#]],14,0)</f>
        <v>0</v>
      </c>
      <c r="Q7" s="28">
        <f>VLOOKUP(Table70[[#This Row],[NAME]],NYY_P[[NAME]:['#]],15,0)</f>
        <v>0</v>
      </c>
      <c r="R7" s="28">
        <f>VLOOKUP(Table70[[#This Row],[NAME]],NYY_P[[NAME]:['#]],16,0)</f>
        <v>0</v>
      </c>
      <c r="S7" s="75">
        <v>5</v>
      </c>
      <c r="V7" s="101" t="s">
        <v>165</v>
      </c>
      <c r="W7" s="77" t="s">
        <v>212</v>
      </c>
      <c r="X7" s="132" t="s">
        <v>214</v>
      </c>
      <c r="Y7" s="88">
        <v>0</v>
      </c>
      <c r="Z7" s="77">
        <v>0</v>
      </c>
      <c r="AA7" s="28">
        <v>0</v>
      </c>
      <c r="AB7" s="77">
        <v>0</v>
      </c>
      <c r="AC7" s="584">
        <v>0</v>
      </c>
      <c r="AD7" s="28">
        <v>0</v>
      </c>
      <c r="AE7" s="28">
        <v>0</v>
      </c>
      <c r="AF7" s="28">
        <v>0</v>
      </c>
      <c r="AG7" s="28">
        <v>0</v>
      </c>
      <c r="AH7" s="588">
        <v>0</v>
      </c>
      <c r="AI7" s="106">
        <v>0</v>
      </c>
      <c r="AJ7" s="77">
        <v>0</v>
      </c>
      <c r="AK7" s="28">
        <v>0</v>
      </c>
      <c r="AL7" s="28">
        <v>0</v>
      </c>
      <c r="AM7" s="28">
        <v>0</v>
      </c>
      <c r="AN7" s="75">
        <v>5</v>
      </c>
      <c r="AQ7" s="101" t="s">
        <v>165</v>
      </c>
      <c r="AR7" s="77" t="s">
        <v>212</v>
      </c>
      <c r="AS7" s="77" t="s">
        <v>208</v>
      </c>
      <c r="AT7" s="88">
        <v>5.4782608695652177</v>
      </c>
      <c r="AU7" s="77">
        <v>1</v>
      </c>
      <c r="AV7" s="28">
        <v>0</v>
      </c>
      <c r="AW7" s="77">
        <v>10</v>
      </c>
      <c r="AX7" s="584">
        <v>23</v>
      </c>
      <c r="AY7" s="28">
        <v>26</v>
      </c>
      <c r="AZ7" s="28">
        <v>14</v>
      </c>
      <c r="BA7" s="28">
        <v>10</v>
      </c>
      <c r="BB7" s="28">
        <v>29</v>
      </c>
      <c r="BC7" s="588">
        <v>0</v>
      </c>
      <c r="BD7" s="106">
        <v>1.5652173913043479</v>
      </c>
      <c r="BE7" s="77">
        <v>0</v>
      </c>
      <c r="BF7" s="28">
        <v>0</v>
      </c>
      <c r="BG7" s="28">
        <v>0</v>
      </c>
      <c r="BH7" s="28">
        <v>0</v>
      </c>
      <c r="BI7" s="75">
        <v>5</v>
      </c>
    </row>
    <row r="8" spans="1:61">
      <c r="A8" s="366" t="s">
        <v>165</v>
      </c>
      <c r="B8" s="71" t="s">
        <v>212</v>
      </c>
      <c r="C8" s="116" t="s">
        <v>213</v>
      </c>
      <c r="D8" s="89">
        <f>VLOOKUP(Table70[[#This Row],[NAME]],NYY_P[[NAME]:['#]],2,0)</f>
        <v>2.1318594551914729</v>
      </c>
      <c r="E8" s="77">
        <f>VLOOKUP(Table70[[#This Row],[NAME]],NYY_P[[NAME]:['#]],3,0)</f>
        <v>2</v>
      </c>
      <c r="F8" s="28">
        <f>VLOOKUP(Table70[[#This Row],[NAME]],NYY_P[[NAME]:['#]],4,0)</f>
        <v>0</v>
      </c>
      <c r="G8" s="77">
        <f>VLOOKUP(Table70[[#This Row],[NAME]],NYY_P[[NAME]:['#]],5,0)</f>
        <v>14</v>
      </c>
      <c r="H8" s="584">
        <f>VLOOKUP(Table70[[#This Row],[NAME]],NYY_P[[NAME]:['#]],6,0)</f>
        <v>25.33</v>
      </c>
      <c r="I8" s="28">
        <f>VLOOKUP(Table70[[#This Row],[NAME]],NYY_P[[NAME]:['#]],7,0)</f>
        <v>22</v>
      </c>
      <c r="J8" s="28">
        <f>VLOOKUP(Table70[[#This Row],[NAME]],NYY_P[[NAME]:['#]],8,0)</f>
        <v>6</v>
      </c>
      <c r="K8" s="28">
        <f>VLOOKUP(Table70[[#This Row],[NAME]],NYY_P[[NAME]:['#]],9,0)</f>
        <v>6</v>
      </c>
      <c r="L8" s="28">
        <f>VLOOKUP(Table70[[#This Row],[NAME]],NYY_P[[NAME]:['#]],10,0)</f>
        <v>25</v>
      </c>
      <c r="M8" s="28">
        <f>VLOOKUP(Table70[[#This Row],[NAME]],NYY_P[[NAME]:['#]],11,0)</f>
        <v>0</v>
      </c>
      <c r="N8" s="106">
        <f>VLOOKUP(Table70[[#This Row],[NAME]],NYY_P[[NAME]:['#]],12,0)</f>
        <v>1.1054086063955784</v>
      </c>
      <c r="O8" s="77">
        <f>VLOOKUP(Table70[[#This Row],[NAME]],NYY_P[[NAME]:['#]],13,0)</f>
        <v>0</v>
      </c>
      <c r="P8" s="28">
        <f>VLOOKUP(Table70[[#This Row],[NAME]],NYY_P[[NAME]:['#]],14,0)</f>
        <v>0</v>
      </c>
      <c r="Q8" s="28">
        <f>VLOOKUP(Table70[[#This Row],[NAME]],NYY_P[[NAME]:['#]],15,0)</f>
        <v>0</v>
      </c>
      <c r="R8" s="28">
        <f>VLOOKUP(Table70[[#This Row],[NAME]],NYY_P[[NAME]:['#]],16,0)</f>
        <v>0</v>
      </c>
      <c r="S8" s="75">
        <v>6</v>
      </c>
      <c r="V8" s="101" t="s">
        <v>165</v>
      </c>
      <c r="W8" s="77" t="s">
        <v>212</v>
      </c>
      <c r="X8" s="132" t="s">
        <v>213</v>
      </c>
      <c r="Y8" s="88">
        <v>8.5240726124704018</v>
      </c>
      <c r="Z8" s="77">
        <v>0</v>
      </c>
      <c r="AA8" s="28">
        <v>0</v>
      </c>
      <c r="AB8" s="77">
        <v>7</v>
      </c>
      <c r="AC8" s="584">
        <v>12.67</v>
      </c>
      <c r="AD8" s="28">
        <v>16</v>
      </c>
      <c r="AE8" s="28">
        <v>12</v>
      </c>
      <c r="AF8" s="28">
        <v>4</v>
      </c>
      <c r="AG8" s="28">
        <v>3</v>
      </c>
      <c r="AH8" s="588">
        <v>0</v>
      </c>
      <c r="AI8" s="106">
        <v>1.5785319652722967</v>
      </c>
      <c r="AJ8" s="77">
        <v>0</v>
      </c>
      <c r="AK8" s="28">
        <v>0</v>
      </c>
      <c r="AL8" s="28">
        <v>0</v>
      </c>
      <c r="AM8" s="28">
        <v>0</v>
      </c>
      <c r="AN8" s="75">
        <v>6</v>
      </c>
      <c r="AQ8" s="101" t="s">
        <v>165</v>
      </c>
      <c r="AR8" s="77" t="s">
        <v>215</v>
      </c>
      <c r="AS8" s="77" t="s">
        <v>213</v>
      </c>
      <c r="AT8" s="88">
        <v>10.380622837370243</v>
      </c>
      <c r="AU8" s="77">
        <v>0</v>
      </c>
      <c r="AV8" s="28">
        <v>0</v>
      </c>
      <c r="AW8" s="77">
        <v>6</v>
      </c>
      <c r="AX8" s="584">
        <v>8.67</v>
      </c>
      <c r="AY8" s="28">
        <v>7</v>
      </c>
      <c r="AZ8" s="28">
        <v>10</v>
      </c>
      <c r="BA8" s="28">
        <v>7</v>
      </c>
      <c r="BB8" s="28">
        <v>12</v>
      </c>
      <c r="BC8" s="588">
        <v>0</v>
      </c>
      <c r="BD8" s="106">
        <v>1.6147635524798154</v>
      </c>
      <c r="BE8" s="77">
        <v>0</v>
      </c>
      <c r="BF8" s="28">
        <v>0</v>
      </c>
      <c r="BG8" s="28">
        <v>0</v>
      </c>
      <c r="BH8" s="28">
        <v>0</v>
      </c>
      <c r="BI8" s="75">
        <v>6</v>
      </c>
    </row>
    <row r="9" spans="1:61">
      <c r="A9" s="366" t="s">
        <v>165</v>
      </c>
      <c r="B9" s="71" t="s">
        <v>215</v>
      </c>
      <c r="C9" s="116" t="s">
        <v>217</v>
      </c>
      <c r="D9" s="89">
        <f>VLOOKUP(Table70[[#This Row],[NAME]],NYY_P[[NAME]:['#]],2,0)</f>
        <v>2.7391304347826089</v>
      </c>
      <c r="E9" s="77">
        <f>VLOOKUP(Table70[[#This Row],[NAME]],NYY_P[[NAME]:['#]],3,0)</f>
        <v>1</v>
      </c>
      <c r="F9" s="28">
        <f>VLOOKUP(Table70[[#This Row],[NAME]],NYY_P[[NAME]:['#]],4,0)</f>
        <v>0</v>
      </c>
      <c r="G9" s="77">
        <f>VLOOKUP(Table70[[#This Row],[NAME]],NYY_P[[NAME]:['#]],5,0)</f>
        <v>12</v>
      </c>
      <c r="H9" s="584">
        <f>VLOOKUP(Table70[[#This Row],[NAME]],NYY_P[[NAME]:['#]],6,0)</f>
        <v>23</v>
      </c>
      <c r="I9" s="28">
        <f>VLOOKUP(Table70[[#This Row],[NAME]],NYY_P[[NAME]:['#]],7,0)</f>
        <v>13</v>
      </c>
      <c r="J9" s="28">
        <f>VLOOKUP(Table70[[#This Row],[NAME]],NYY_P[[NAME]:['#]],8,0)</f>
        <v>7</v>
      </c>
      <c r="K9" s="28">
        <f>VLOOKUP(Table70[[#This Row],[NAME]],NYY_P[[NAME]:['#]],9,0)</f>
        <v>16</v>
      </c>
      <c r="L9" s="28">
        <f>VLOOKUP(Table70[[#This Row],[NAME]],NYY_P[[NAME]:['#]],10,0)</f>
        <v>29</v>
      </c>
      <c r="M9" s="28">
        <f>VLOOKUP(Table70[[#This Row],[NAME]],NYY_P[[NAME]:['#]],11,0)</f>
        <v>0</v>
      </c>
      <c r="N9" s="106">
        <f>VLOOKUP(Table70[[#This Row],[NAME]],NYY_P[[NAME]:['#]],12,0)</f>
        <v>1.2608695652173914</v>
      </c>
      <c r="O9" s="77">
        <f>VLOOKUP(Table70[[#This Row],[NAME]],NYY_P[[NAME]:['#]],13,0)</f>
        <v>0</v>
      </c>
      <c r="P9" s="28">
        <f>VLOOKUP(Table70[[#This Row],[NAME]],NYY_P[[NAME]:['#]],14,0)</f>
        <v>0</v>
      </c>
      <c r="Q9" s="28">
        <f>VLOOKUP(Table70[[#This Row],[NAME]],NYY_P[[NAME]:['#]],15,0)</f>
        <v>0</v>
      </c>
      <c r="R9" s="28">
        <f>VLOOKUP(Table70[[#This Row],[NAME]],NYY_P[[NAME]:['#]],16,0)</f>
        <v>0</v>
      </c>
      <c r="S9" s="75">
        <v>7</v>
      </c>
      <c r="V9" s="101" t="s">
        <v>165</v>
      </c>
      <c r="W9" s="77" t="s">
        <v>212</v>
      </c>
      <c r="X9" s="132" t="s">
        <v>218</v>
      </c>
      <c r="Y9" s="88">
        <v>4.3777867855695174</v>
      </c>
      <c r="Z9" s="77">
        <v>1</v>
      </c>
      <c r="AA9" s="28">
        <v>3</v>
      </c>
      <c r="AB9" s="77">
        <v>13</v>
      </c>
      <c r="AC9" s="584">
        <v>24.67</v>
      </c>
      <c r="AD9" s="28">
        <v>21</v>
      </c>
      <c r="AE9" s="28">
        <v>12</v>
      </c>
      <c r="AF9" s="28">
        <v>9</v>
      </c>
      <c r="AG9" s="28">
        <v>25</v>
      </c>
      <c r="AH9" s="588">
        <v>0</v>
      </c>
      <c r="AI9" s="106">
        <v>1.2160518848804214</v>
      </c>
      <c r="AJ9" s="77">
        <v>0</v>
      </c>
      <c r="AK9" s="28">
        <v>0</v>
      </c>
      <c r="AL9" s="28">
        <v>0</v>
      </c>
      <c r="AM9" s="28">
        <v>0</v>
      </c>
      <c r="AN9" s="75">
        <v>7</v>
      </c>
      <c r="AQ9" s="101" t="s">
        <v>165</v>
      </c>
      <c r="AR9" s="77" t="s">
        <v>212</v>
      </c>
      <c r="AS9" s="77" t="s">
        <v>218</v>
      </c>
      <c r="AT9" s="88">
        <v>6.1875</v>
      </c>
      <c r="AU9" s="77">
        <v>0</v>
      </c>
      <c r="AV9" s="28">
        <v>0</v>
      </c>
      <c r="AW9" s="77">
        <v>12</v>
      </c>
      <c r="AX9" s="584">
        <v>16</v>
      </c>
      <c r="AY9" s="28">
        <v>22</v>
      </c>
      <c r="AZ9" s="28">
        <v>11</v>
      </c>
      <c r="BA9" s="28">
        <v>9</v>
      </c>
      <c r="BB9" s="28">
        <v>14</v>
      </c>
      <c r="BC9" s="588">
        <v>0</v>
      </c>
      <c r="BD9" s="106">
        <v>1.9375</v>
      </c>
      <c r="BE9" s="77">
        <v>0</v>
      </c>
      <c r="BF9" s="28">
        <v>0</v>
      </c>
      <c r="BG9" s="28">
        <v>0</v>
      </c>
      <c r="BH9" s="28">
        <v>0</v>
      </c>
      <c r="BI9" s="75">
        <v>7</v>
      </c>
    </row>
    <row r="10" spans="1:61">
      <c r="A10" s="366" t="s">
        <v>165</v>
      </c>
      <c r="B10" s="71" t="s">
        <v>212</v>
      </c>
      <c r="C10" s="116" t="s">
        <v>219</v>
      </c>
      <c r="D10" s="89">
        <f>VLOOKUP(Table70[[#This Row],[NAME]],NYY_P[[NAME]:['#]],2,0)</f>
        <v>3.1304347826086958</v>
      </c>
      <c r="E10" s="77">
        <f>VLOOKUP(Table70[[#This Row],[NAME]],NYY_P[[NAME]:['#]],3,0)</f>
        <v>3</v>
      </c>
      <c r="F10" s="28">
        <f>VLOOKUP(Table70[[#This Row],[NAME]],NYY_P[[NAME]:['#]],4,0)</f>
        <v>1</v>
      </c>
      <c r="G10" s="77">
        <f>VLOOKUP(Table70[[#This Row],[NAME]],NYY_P[[NAME]:['#]],5,0)</f>
        <v>20</v>
      </c>
      <c r="H10" s="584">
        <f>VLOOKUP(Table70[[#This Row],[NAME]],NYY_P[[NAME]:['#]],6,0)</f>
        <v>23</v>
      </c>
      <c r="I10" s="28">
        <f>VLOOKUP(Table70[[#This Row],[NAME]],NYY_P[[NAME]:['#]],7,0)</f>
        <v>21</v>
      </c>
      <c r="J10" s="28">
        <f>VLOOKUP(Table70[[#This Row],[NAME]],NYY_P[[NAME]:['#]],8,0)</f>
        <v>8</v>
      </c>
      <c r="K10" s="28">
        <f>VLOOKUP(Table70[[#This Row],[NAME]],NYY_P[[NAME]:['#]],9,0)</f>
        <v>9</v>
      </c>
      <c r="L10" s="28">
        <f>VLOOKUP(Table70[[#This Row],[NAME]],NYY_P[[NAME]:['#]],10,0)</f>
        <v>20</v>
      </c>
      <c r="M10" s="28">
        <f>VLOOKUP(Table70[[#This Row],[NAME]],NYY_P[[NAME]:['#]],11,0)</f>
        <v>0</v>
      </c>
      <c r="N10" s="106">
        <f>VLOOKUP(Table70[[#This Row],[NAME]],NYY_P[[NAME]:['#]],12,0)</f>
        <v>1.3043478260869565</v>
      </c>
      <c r="O10" s="77">
        <f>VLOOKUP(Table70[[#This Row],[NAME]],NYY_P[[NAME]:['#]],13,0)</f>
        <v>0</v>
      </c>
      <c r="P10" s="28">
        <f>VLOOKUP(Table70[[#This Row],[NAME]],NYY_P[[NAME]:['#]],14,0)</f>
        <v>0</v>
      </c>
      <c r="Q10" s="28">
        <f>VLOOKUP(Table70[[#This Row],[NAME]],NYY_P[[NAME]:['#]],15,0)</f>
        <v>0</v>
      </c>
      <c r="R10" s="28">
        <f>VLOOKUP(Table70[[#This Row],[NAME]],NYY_P[[NAME]:['#]],16,0)</f>
        <v>0</v>
      </c>
      <c r="S10" s="75">
        <v>8</v>
      </c>
      <c r="V10" s="101" t="s">
        <v>165</v>
      </c>
      <c r="W10" s="77" t="s">
        <v>212</v>
      </c>
      <c r="X10" s="132" t="s">
        <v>219</v>
      </c>
      <c r="Y10" s="88">
        <v>4.1179461108286723</v>
      </c>
      <c r="Z10" s="77">
        <v>2</v>
      </c>
      <c r="AA10" s="28">
        <v>1</v>
      </c>
      <c r="AB10" s="77">
        <v>14</v>
      </c>
      <c r="AC10" s="584">
        <v>19.670000000000002</v>
      </c>
      <c r="AD10" s="28">
        <v>17</v>
      </c>
      <c r="AE10" s="28">
        <v>9</v>
      </c>
      <c r="AF10" s="28">
        <v>8</v>
      </c>
      <c r="AG10" s="28">
        <v>21</v>
      </c>
      <c r="AH10" s="588">
        <v>0</v>
      </c>
      <c r="AI10" s="106">
        <v>1.2709710218607015</v>
      </c>
      <c r="AJ10" s="77">
        <v>0</v>
      </c>
      <c r="AK10" s="28">
        <v>0</v>
      </c>
      <c r="AL10" s="28">
        <v>0</v>
      </c>
      <c r="AM10" s="28">
        <v>0</v>
      </c>
      <c r="AN10" s="75">
        <v>8</v>
      </c>
      <c r="AQ10" s="101" t="s">
        <v>165</v>
      </c>
      <c r="AR10" s="77" t="s">
        <v>212</v>
      </c>
      <c r="AS10" s="77" t="s">
        <v>219</v>
      </c>
      <c r="AT10" s="88">
        <v>7.59493670886076</v>
      </c>
      <c r="AU10" s="77">
        <v>0</v>
      </c>
      <c r="AV10" s="28">
        <v>0</v>
      </c>
      <c r="AW10" s="77">
        <v>20</v>
      </c>
      <c r="AX10" s="584">
        <v>21.33</v>
      </c>
      <c r="AY10" s="28">
        <v>31</v>
      </c>
      <c r="AZ10" s="28">
        <v>18</v>
      </c>
      <c r="BA10" s="28">
        <v>6</v>
      </c>
      <c r="BB10" s="28">
        <v>25</v>
      </c>
      <c r="BC10" s="588">
        <v>0</v>
      </c>
      <c r="BD10" s="106">
        <v>1.734646038443507</v>
      </c>
      <c r="BE10" s="77">
        <v>0</v>
      </c>
      <c r="BF10" s="28">
        <v>0</v>
      </c>
      <c r="BG10" s="28">
        <v>0</v>
      </c>
      <c r="BH10" s="28">
        <v>0</v>
      </c>
      <c r="BI10" s="75">
        <v>8</v>
      </c>
    </row>
    <row r="11" spans="1:61">
      <c r="A11" s="366" t="s">
        <v>165</v>
      </c>
      <c r="B11" s="71" t="s">
        <v>212</v>
      </c>
      <c r="C11" s="116" t="s">
        <v>220</v>
      </c>
      <c r="D11" s="89">
        <f>VLOOKUP(Table70[[#This Row],[NAME]],NYY_P[[NAME]:['#]],2,0)</f>
        <v>3.79746835443038</v>
      </c>
      <c r="E11" s="77">
        <f>VLOOKUP(Table70[[#This Row],[NAME]],NYY_P[[NAME]:['#]],3,0)</f>
        <v>3</v>
      </c>
      <c r="F11" s="28">
        <f>VLOOKUP(Table70[[#This Row],[NAME]],NYY_P[[NAME]:['#]],4,0)</f>
        <v>1</v>
      </c>
      <c r="G11" s="77">
        <f>VLOOKUP(Table70[[#This Row],[NAME]],NYY_P[[NAME]:['#]],5,0)</f>
        <v>20</v>
      </c>
      <c r="H11" s="584">
        <f>VLOOKUP(Table70[[#This Row],[NAME]],NYY_P[[NAME]:['#]],6,0)</f>
        <v>21.33</v>
      </c>
      <c r="I11" s="28">
        <f>VLOOKUP(Table70[[#This Row],[NAME]],NYY_P[[NAME]:['#]],7,0)</f>
        <v>16</v>
      </c>
      <c r="J11" s="28">
        <f>VLOOKUP(Table70[[#This Row],[NAME]],NYY_P[[NAME]:['#]],8,0)</f>
        <v>9</v>
      </c>
      <c r="K11" s="28">
        <f>VLOOKUP(Table70[[#This Row],[NAME]],NYY_P[[NAME]:['#]],9,0)</f>
        <v>3</v>
      </c>
      <c r="L11" s="28">
        <f>VLOOKUP(Table70[[#This Row],[NAME]],NYY_P[[NAME]:['#]],10,0)</f>
        <v>26</v>
      </c>
      <c r="M11" s="28">
        <f>VLOOKUP(Table70[[#This Row],[NAME]],NYY_P[[NAME]:['#]],11,0)</f>
        <v>1</v>
      </c>
      <c r="N11" s="106">
        <f>VLOOKUP(Table70[[#This Row],[NAME]],NYY_P[[NAME]:['#]],12,0)</f>
        <v>0.89076418190342244</v>
      </c>
      <c r="O11" s="77">
        <f>VLOOKUP(Table70[[#This Row],[NAME]],NYY_P[[NAME]:['#]],13,0)</f>
        <v>0</v>
      </c>
      <c r="P11" s="28">
        <f>VLOOKUP(Table70[[#This Row],[NAME]],NYY_P[[NAME]:['#]],14,0)</f>
        <v>0</v>
      </c>
      <c r="Q11" s="28">
        <f>VLOOKUP(Table70[[#This Row],[NAME]],NYY_P[[NAME]:['#]],15,0)</f>
        <v>0</v>
      </c>
      <c r="R11" s="28">
        <f>VLOOKUP(Table70[[#This Row],[NAME]],NYY_P[[NAME]:['#]],16,0)</f>
        <v>0</v>
      </c>
      <c r="S11" s="75">
        <v>9</v>
      </c>
      <c r="V11" s="101" t="s">
        <v>165</v>
      </c>
      <c r="W11" s="77" t="s">
        <v>212</v>
      </c>
      <c r="X11" s="132" t="s">
        <v>221</v>
      </c>
      <c r="Y11" s="88">
        <v>6.1875</v>
      </c>
      <c r="Z11" s="77">
        <v>2</v>
      </c>
      <c r="AA11" s="28">
        <v>1</v>
      </c>
      <c r="AB11" s="77">
        <v>11</v>
      </c>
      <c r="AC11" s="584">
        <v>16</v>
      </c>
      <c r="AD11" s="28">
        <v>20</v>
      </c>
      <c r="AE11" s="28">
        <v>11</v>
      </c>
      <c r="AF11" s="28">
        <v>12</v>
      </c>
      <c r="AG11" s="28">
        <v>8</v>
      </c>
      <c r="AH11" s="588">
        <v>0</v>
      </c>
      <c r="AI11" s="106">
        <v>2</v>
      </c>
      <c r="AJ11" s="77">
        <v>0</v>
      </c>
      <c r="AK11" s="28">
        <v>0</v>
      </c>
      <c r="AL11" s="28">
        <v>0</v>
      </c>
      <c r="AM11" s="28">
        <v>0</v>
      </c>
      <c r="AN11" s="75">
        <v>9</v>
      </c>
      <c r="AQ11" s="101" t="s">
        <v>165</v>
      </c>
      <c r="AR11" s="77" t="s">
        <v>212</v>
      </c>
      <c r="AS11" s="77" t="s">
        <v>221</v>
      </c>
      <c r="AT11" s="88">
        <v>1.8835019183815833</v>
      </c>
      <c r="AU11" s="77">
        <v>3</v>
      </c>
      <c r="AV11" s="28">
        <v>1</v>
      </c>
      <c r="AW11" s="352">
        <v>28</v>
      </c>
      <c r="AX11" s="584">
        <v>28.67</v>
      </c>
      <c r="AY11" s="28">
        <v>16</v>
      </c>
      <c r="AZ11" s="28">
        <v>6</v>
      </c>
      <c r="BA11" s="28">
        <v>18</v>
      </c>
      <c r="BB11" s="76">
        <v>45</v>
      </c>
      <c r="BC11" s="588">
        <v>0</v>
      </c>
      <c r="BD11" s="106">
        <v>1.1859086152772933</v>
      </c>
      <c r="BE11" s="77">
        <v>0</v>
      </c>
      <c r="BF11" s="28">
        <v>0</v>
      </c>
      <c r="BG11" s="28">
        <v>0</v>
      </c>
      <c r="BH11" s="28">
        <v>0</v>
      </c>
      <c r="BI11" s="75">
        <v>9</v>
      </c>
    </row>
    <row r="12" spans="1:61">
      <c r="A12" s="366" t="s">
        <v>165</v>
      </c>
      <c r="B12" s="71" t="s">
        <v>212</v>
      </c>
      <c r="C12" s="71" t="s">
        <v>222</v>
      </c>
      <c r="D12" s="89">
        <f>VLOOKUP(Table70[[#This Row],[NAME]],NYY_P[[NAME]:['#]],2,0)</f>
        <v>4.2434633519074154</v>
      </c>
      <c r="E12" s="77">
        <f>VLOOKUP(Table70[[#This Row],[NAME]],NYY_P[[NAME]:['#]],3,0)</f>
        <v>2</v>
      </c>
      <c r="F12" s="28">
        <f>VLOOKUP(Table70[[#This Row],[NAME]],NYY_P[[NAME]:['#]],4,0)</f>
        <v>4</v>
      </c>
      <c r="G12" s="77">
        <f>VLOOKUP(Table70[[#This Row],[NAME]],NYY_P[[NAME]:['#]],5,0)</f>
        <v>23</v>
      </c>
      <c r="H12" s="584">
        <f>VLOOKUP(Table70[[#This Row],[NAME]],NYY_P[[NAME]:['#]],6,0)</f>
        <v>23.33</v>
      </c>
      <c r="I12" s="28">
        <f>VLOOKUP(Table70[[#This Row],[NAME]],NYY_P[[NAME]:['#]],7,0)</f>
        <v>17</v>
      </c>
      <c r="J12" s="28">
        <f>VLOOKUP(Table70[[#This Row],[NAME]],NYY_P[[NAME]:['#]],8,0)</f>
        <v>11</v>
      </c>
      <c r="K12" s="28">
        <f>VLOOKUP(Table70[[#This Row],[NAME]],NYY_P[[NAME]:['#]],9,0)</f>
        <v>16</v>
      </c>
      <c r="L12" s="28">
        <f>VLOOKUP(Table70[[#This Row],[NAME]],NYY_P[[NAME]:['#]],10,0)</f>
        <v>30</v>
      </c>
      <c r="M12" s="28">
        <f>VLOOKUP(Table70[[#This Row],[NAME]],NYY_P[[NAME]:['#]],11,0)</f>
        <v>7</v>
      </c>
      <c r="N12" s="106">
        <f>VLOOKUP(Table70[[#This Row],[NAME]],NYY_P[[NAME]:['#]],12,0)</f>
        <v>1.4144877839691385</v>
      </c>
      <c r="O12" s="77">
        <f>VLOOKUP(Table70[[#This Row],[NAME]],NYY_P[[NAME]:['#]],13,0)</f>
        <v>0</v>
      </c>
      <c r="P12" s="28">
        <f>VLOOKUP(Table70[[#This Row],[NAME]],NYY_P[[NAME]:['#]],14,0)</f>
        <v>0</v>
      </c>
      <c r="Q12" s="28">
        <f>VLOOKUP(Table70[[#This Row],[NAME]],NYY_P[[NAME]:['#]],15,0)</f>
        <v>0</v>
      </c>
      <c r="R12" s="28">
        <f>VLOOKUP(Table70[[#This Row],[NAME]],NYY_P[[NAME]:['#]],16,0)</f>
        <v>0</v>
      </c>
      <c r="S12" s="75">
        <v>10</v>
      </c>
      <c r="V12" s="101" t="s">
        <v>165</v>
      </c>
      <c r="W12" s="77" t="s">
        <v>212</v>
      </c>
      <c r="X12" s="77" t="s">
        <v>222</v>
      </c>
      <c r="Y12" s="88">
        <v>1.4024152707440591</v>
      </c>
      <c r="Z12" s="77">
        <v>1</v>
      </c>
      <c r="AA12" s="28">
        <v>2</v>
      </c>
      <c r="AB12" s="77">
        <v>22</v>
      </c>
      <c r="AC12" s="584">
        <v>25.67</v>
      </c>
      <c r="AD12" s="28">
        <v>14</v>
      </c>
      <c r="AE12" s="28">
        <v>4</v>
      </c>
      <c r="AF12" s="28">
        <v>16</v>
      </c>
      <c r="AG12" s="28">
        <v>38</v>
      </c>
      <c r="AH12" s="588">
        <v>6</v>
      </c>
      <c r="AI12" s="106">
        <v>1.168679392286716</v>
      </c>
      <c r="AJ12" s="77">
        <v>0</v>
      </c>
      <c r="AK12" s="28">
        <v>0</v>
      </c>
      <c r="AL12" s="28">
        <v>0</v>
      </c>
      <c r="AM12" s="28">
        <v>0</v>
      </c>
      <c r="AN12" s="75">
        <v>10</v>
      </c>
      <c r="AQ12" s="101" t="s">
        <v>165</v>
      </c>
      <c r="AR12" s="77" t="s">
        <v>212</v>
      </c>
      <c r="AS12" s="77" t="s">
        <v>222</v>
      </c>
      <c r="AT12" s="88">
        <v>2.347826086956522</v>
      </c>
      <c r="AU12" s="77">
        <v>1</v>
      </c>
      <c r="AV12" s="28">
        <v>3</v>
      </c>
      <c r="AW12" s="77">
        <v>23</v>
      </c>
      <c r="AX12" s="584">
        <v>23</v>
      </c>
      <c r="AY12" s="28">
        <v>11</v>
      </c>
      <c r="AZ12" s="28">
        <v>6</v>
      </c>
      <c r="BA12" s="28">
        <v>17</v>
      </c>
      <c r="BB12" s="28">
        <v>34</v>
      </c>
      <c r="BC12" s="588">
        <v>6</v>
      </c>
      <c r="BD12" s="106">
        <v>1.2173913043478262</v>
      </c>
      <c r="BE12" s="77">
        <v>0</v>
      </c>
      <c r="BF12" s="28">
        <v>0</v>
      </c>
      <c r="BG12" s="28">
        <v>0</v>
      </c>
      <c r="BH12" s="28">
        <v>0</v>
      </c>
      <c r="BI12" s="75">
        <v>10</v>
      </c>
    </row>
    <row r="13" spans="1:61">
      <c r="A13" s="101" t="s">
        <v>226</v>
      </c>
      <c r="B13" s="71" t="s">
        <v>206</v>
      </c>
      <c r="C13" s="71" t="s">
        <v>249</v>
      </c>
      <c r="D13" s="89">
        <f>VLOOKUP(Table70[[#This Row],[NAME]],BOS_P[[NAME]:['#]],2,0)</f>
        <v>2.7929658637505539</v>
      </c>
      <c r="E13" s="77">
        <f>VLOOKUP(Table70[[#This Row],[NAME]],BOS_P[[NAME]:['#]],3,0)</f>
        <v>4</v>
      </c>
      <c r="F13" s="28">
        <f>VLOOKUP(Table70[[#This Row],[NAME]],BOS_P[[NAME]:['#]],4,0)</f>
        <v>5</v>
      </c>
      <c r="G13" s="77">
        <f>VLOOKUP(Table70[[#This Row],[NAME]],BOS_P[[NAME]:['#]],5,0)</f>
        <v>10</v>
      </c>
      <c r="H13" s="584">
        <f>VLOOKUP(Table70[[#This Row],[NAME]],BOS_P[[NAME]:['#]],6,0)</f>
        <v>67.67</v>
      </c>
      <c r="I13" s="28">
        <f>VLOOKUP(Table70[[#This Row],[NAME]],BOS_P[[NAME]:['#]],7,0)</f>
        <v>57</v>
      </c>
      <c r="J13" s="28">
        <f>VLOOKUP(Table70[[#This Row],[NAME]],BOS_P[[NAME]:['#]],8,0)</f>
        <v>21</v>
      </c>
      <c r="K13" s="28">
        <f>VLOOKUP(Table70[[#This Row],[NAME]],BOS_P[[NAME]:['#]],9,0)</f>
        <v>20</v>
      </c>
      <c r="L13" s="28">
        <f>VLOOKUP(Table70[[#This Row],[NAME]],BOS_P[[NAME]:['#]],10,0)</f>
        <v>93</v>
      </c>
      <c r="M13" s="588">
        <f>VLOOKUP(Table70[[#This Row],[NAME]],BOS_P[[NAME]:['#]],11,0)</f>
        <v>0</v>
      </c>
      <c r="N13" s="106">
        <f>VLOOKUP(Table70[[#This Row],[NAME]],BOS_P[[NAME]:['#]],12,0)</f>
        <v>1.1378749815280036</v>
      </c>
      <c r="O13" s="77">
        <f>VLOOKUP(Table70[[#This Row],[NAME]],BOS_P[[NAME]:['#]],13,0)</f>
        <v>8</v>
      </c>
      <c r="P13" s="28">
        <f>VLOOKUP(Table70[[#This Row],[NAME]],BOS_P[[NAME]:['#]],14,0)</f>
        <v>5</v>
      </c>
      <c r="Q13" s="28">
        <f>VLOOKUP(Table70[[#This Row],[NAME]],BOS_P[[NAME]:['#]],15,0)</f>
        <v>1</v>
      </c>
      <c r="R13" s="28">
        <f>VLOOKUP(Table70[[#This Row],[NAME]],BOS_P[[NAME]:['#]],16,0)</f>
        <v>1</v>
      </c>
      <c r="S13" s="75">
        <v>11</v>
      </c>
      <c r="V13" s="101" t="s">
        <v>226</v>
      </c>
      <c r="W13" s="77" t="s">
        <v>206</v>
      </c>
      <c r="X13" s="77" t="s">
        <v>249</v>
      </c>
      <c r="Y13" s="88">
        <v>4.4503049283006426</v>
      </c>
      <c r="Z13" s="77">
        <v>2</v>
      </c>
      <c r="AA13" s="28">
        <v>5</v>
      </c>
      <c r="AB13" s="77">
        <v>10</v>
      </c>
      <c r="AC13" s="584">
        <v>60.67</v>
      </c>
      <c r="AD13" s="28">
        <v>58</v>
      </c>
      <c r="AE13" s="28">
        <v>30</v>
      </c>
      <c r="AF13" s="28">
        <v>25</v>
      </c>
      <c r="AG13" s="28">
        <v>73</v>
      </c>
      <c r="AH13" s="28">
        <v>0</v>
      </c>
      <c r="AI13" s="106">
        <v>1.3680567001813086</v>
      </c>
      <c r="AJ13" s="77">
        <v>6</v>
      </c>
      <c r="AK13" s="28">
        <v>1</v>
      </c>
      <c r="AL13" s="28">
        <v>0</v>
      </c>
      <c r="AM13" s="28">
        <v>0</v>
      </c>
      <c r="AN13" s="75">
        <v>11</v>
      </c>
      <c r="AQ13" s="101" t="s">
        <v>226</v>
      </c>
      <c r="AR13" s="77" t="s">
        <v>206</v>
      </c>
      <c r="AS13" s="77" t="s">
        <v>249</v>
      </c>
      <c r="AT13" s="135">
        <v>2.7</v>
      </c>
      <c r="AU13" s="531">
        <v>8</v>
      </c>
      <c r="AV13" s="28">
        <v>2</v>
      </c>
      <c r="AW13" s="77">
        <v>10</v>
      </c>
      <c r="AX13" s="584">
        <v>70</v>
      </c>
      <c r="AY13" s="28">
        <v>50</v>
      </c>
      <c r="AZ13" s="28">
        <v>21</v>
      </c>
      <c r="BA13" s="28">
        <v>27</v>
      </c>
      <c r="BB13" s="28">
        <v>93</v>
      </c>
      <c r="BC13" s="28">
        <v>0</v>
      </c>
      <c r="BD13" s="106">
        <v>1.1000000000000001</v>
      </c>
      <c r="BE13" s="77">
        <v>8</v>
      </c>
      <c r="BF13" s="28">
        <v>5</v>
      </c>
      <c r="BG13" s="28">
        <v>1</v>
      </c>
      <c r="BH13" s="28">
        <v>1</v>
      </c>
      <c r="BI13" s="75">
        <v>11</v>
      </c>
    </row>
    <row r="14" spans="1:61">
      <c r="A14" s="101" t="s">
        <v>226</v>
      </c>
      <c r="B14" s="71" t="s">
        <v>206</v>
      </c>
      <c r="C14" s="116" t="s">
        <v>250</v>
      </c>
      <c r="D14" s="89">
        <f>VLOOKUP(Table70[[#This Row],[NAME]],BOS_P[[NAME]:['#]],2,0)</f>
        <v>3.5338463954766763</v>
      </c>
      <c r="E14" s="77">
        <f>VLOOKUP(Table70[[#This Row],[NAME]],BOS_P[[NAME]:['#]],3,0)</f>
        <v>4</v>
      </c>
      <c r="F14" s="28">
        <f>VLOOKUP(Table70[[#This Row],[NAME]],BOS_P[[NAME]:['#]],4,0)</f>
        <v>4</v>
      </c>
      <c r="G14" s="77">
        <f>VLOOKUP(Table70[[#This Row],[NAME]],BOS_P[[NAME]:['#]],5,0)</f>
        <v>10</v>
      </c>
      <c r="H14" s="584">
        <f>VLOOKUP(Table70[[#This Row],[NAME]],BOS_P[[NAME]:['#]],6,0)</f>
        <v>63.67</v>
      </c>
      <c r="I14" s="28">
        <f>VLOOKUP(Table70[[#This Row],[NAME]],BOS_P[[NAME]:['#]],7,0)</f>
        <v>55</v>
      </c>
      <c r="J14" s="28">
        <f>VLOOKUP(Table70[[#This Row],[NAME]],BOS_P[[NAME]:['#]],8,0)</f>
        <v>25</v>
      </c>
      <c r="K14" s="28">
        <f>VLOOKUP(Table70[[#This Row],[NAME]],BOS_P[[NAME]:['#]],9,0)</f>
        <v>23</v>
      </c>
      <c r="L14" s="28">
        <f>VLOOKUP(Table70[[#This Row],[NAME]],BOS_P[[NAME]:['#]],10,0)</f>
        <v>57</v>
      </c>
      <c r="M14" s="588">
        <f>VLOOKUP(Table70[[#This Row],[NAME]],BOS_P[[NAME]:['#]],11,0)</f>
        <v>0</v>
      </c>
      <c r="N14" s="106">
        <f>VLOOKUP(Table70[[#This Row],[NAME]],BOS_P[[NAME]:['#]],12,0)</f>
        <v>1.2250667504319146</v>
      </c>
      <c r="O14" s="352">
        <f>VLOOKUP(Table70[[#This Row],[NAME]],BOS_P[[NAME]:['#]],13,0)</f>
        <v>9</v>
      </c>
      <c r="P14" s="28">
        <f>VLOOKUP(Table70[[#This Row],[NAME]],BOS_P[[NAME]:['#]],14,0)</f>
        <v>2</v>
      </c>
      <c r="Q14" s="28">
        <f>VLOOKUP(Table70[[#This Row],[NAME]],BOS_P[[NAME]:['#]],15,0)</f>
        <v>0</v>
      </c>
      <c r="R14" s="28">
        <f>VLOOKUP(Table70[[#This Row],[NAME]],BOS_P[[NAME]:['#]],16,0)</f>
        <v>0</v>
      </c>
      <c r="S14" s="75">
        <v>12</v>
      </c>
      <c r="V14" s="101" t="s">
        <v>226</v>
      </c>
      <c r="W14" s="77" t="s">
        <v>206</v>
      </c>
      <c r="X14" s="132" t="s">
        <v>250</v>
      </c>
      <c r="Y14" s="88">
        <v>6.3818181818181818</v>
      </c>
      <c r="Z14" s="77">
        <v>5</v>
      </c>
      <c r="AA14" s="28">
        <v>1</v>
      </c>
      <c r="AB14" s="77">
        <v>10</v>
      </c>
      <c r="AC14" s="584">
        <v>55</v>
      </c>
      <c r="AD14" s="28">
        <v>74</v>
      </c>
      <c r="AE14" s="28">
        <v>39</v>
      </c>
      <c r="AF14" s="28">
        <v>22</v>
      </c>
      <c r="AG14" s="28">
        <v>48</v>
      </c>
      <c r="AH14" s="28">
        <v>0</v>
      </c>
      <c r="AI14" s="106">
        <v>1.7454545454545454</v>
      </c>
      <c r="AJ14" s="77">
        <v>3</v>
      </c>
      <c r="AK14" s="28">
        <v>1</v>
      </c>
      <c r="AL14" s="28">
        <v>0</v>
      </c>
      <c r="AM14" s="28">
        <v>0</v>
      </c>
      <c r="AN14" s="75">
        <v>12</v>
      </c>
      <c r="AQ14" s="101" t="s">
        <v>226</v>
      </c>
      <c r="AR14" s="77" t="s">
        <v>206</v>
      </c>
      <c r="AS14" s="77" t="s">
        <v>251</v>
      </c>
      <c r="AT14" s="135">
        <v>4.7554116243395264</v>
      </c>
      <c r="AU14" s="77">
        <v>7</v>
      </c>
      <c r="AV14" s="28">
        <v>1</v>
      </c>
      <c r="AW14" s="77">
        <v>10</v>
      </c>
      <c r="AX14" s="584">
        <v>58.67</v>
      </c>
      <c r="AY14" s="28">
        <v>65</v>
      </c>
      <c r="AZ14" s="28">
        <v>31</v>
      </c>
      <c r="BA14" s="28">
        <v>16</v>
      </c>
      <c r="BB14" s="28">
        <v>46</v>
      </c>
      <c r="BC14" s="28">
        <v>0</v>
      </c>
      <c r="BD14" s="106">
        <v>1.3806033748082496</v>
      </c>
      <c r="BE14" s="77">
        <v>5</v>
      </c>
      <c r="BF14" s="28">
        <v>1</v>
      </c>
      <c r="BG14" s="28">
        <v>0</v>
      </c>
      <c r="BH14" s="28">
        <v>0</v>
      </c>
      <c r="BI14" s="75">
        <v>12</v>
      </c>
    </row>
    <row r="15" spans="1:61">
      <c r="A15" s="101" t="s">
        <v>226</v>
      </c>
      <c r="B15" s="71" t="s">
        <v>206</v>
      </c>
      <c r="C15" s="116" t="s">
        <v>252</v>
      </c>
      <c r="D15" s="89">
        <f>VLOOKUP(Table70[[#This Row],[NAME]],BOS_P[[NAME]:['#]],2,0)</f>
        <v>5.2758620689655169</v>
      </c>
      <c r="E15" s="77">
        <f>VLOOKUP(Table70[[#This Row],[NAME]],BOS_P[[NAME]:['#]],3,0)</f>
        <v>3</v>
      </c>
      <c r="F15" s="28">
        <f>VLOOKUP(Table70[[#This Row],[NAME]],BOS_P[[NAME]:['#]],4,0)</f>
        <v>3</v>
      </c>
      <c r="G15" s="77">
        <f>VLOOKUP(Table70[[#This Row],[NAME]],BOS_P[[NAME]:['#]],5,0)</f>
        <v>10</v>
      </c>
      <c r="H15" s="584">
        <f>VLOOKUP(Table70[[#This Row],[NAME]],BOS_P[[NAME]:['#]],6,0)</f>
        <v>58</v>
      </c>
      <c r="I15" s="28">
        <f>VLOOKUP(Table70[[#This Row],[NAME]],BOS_P[[NAME]:['#]],7,0)</f>
        <v>59</v>
      </c>
      <c r="J15" s="28">
        <f>VLOOKUP(Table70[[#This Row],[NAME]],BOS_P[[NAME]:['#]],8,0)</f>
        <v>34</v>
      </c>
      <c r="K15" s="28">
        <f>VLOOKUP(Table70[[#This Row],[NAME]],BOS_P[[NAME]:['#]],9,0)</f>
        <v>24</v>
      </c>
      <c r="L15" s="28">
        <f>VLOOKUP(Table70[[#This Row],[NAME]],BOS_P[[NAME]:['#]],10,0)</f>
        <v>63</v>
      </c>
      <c r="M15" s="588">
        <f>VLOOKUP(Table70[[#This Row],[NAME]],BOS_P[[NAME]:['#]],11,0)</f>
        <v>0</v>
      </c>
      <c r="N15" s="106">
        <f>VLOOKUP(Table70[[#This Row],[NAME]],BOS_P[[NAME]:['#]],12,0)</f>
        <v>1.4310344827586208</v>
      </c>
      <c r="O15" s="77">
        <f>VLOOKUP(Table70[[#This Row],[NAME]],BOS_P[[NAME]:['#]],13,0)</f>
        <v>5</v>
      </c>
      <c r="P15" s="28">
        <f>VLOOKUP(Table70[[#This Row],[NAME]],BOS_P[[NAME]:['#]],14,0)</f>
        <v>2</v>
      </c>
      <c r="Q15" s="28">
        <f>VLOOKUP(Table70[[#This Row],[NAME]],BOS_P[[NAME]:['#]],15,0)</f>
        <v>0</v>
      </c>
      <c r="R15" s="28">
        <f>VLOOKUP(Table70[[#This Row],[NAME]],BOS_P[[NAME]:['#]],16,0)</f>
        <v>0</v>
      </c>
      <c r="S15" s="75">
        <v>13</v>
      </c>
      <c r="V15" s="101" t="s">
        <v>226</v>
      </c>
      <c r="W15" s="77" t="s">
        <v>206</v>
      </c>
      <c r="X15" s="132" t="s">
        <v>252</v>
      </c>
      <c r="Y15" s="88">
        <v>4.1010062654262391</v>
      </c>
      <c r="Z15" s="77">
        <v>3</v>
      </c>
      <c r="AA15" s="28">
        <v>2</v>
      </c>
      <c r="AB15" s="77">
        <v>10</v>
      </c>
      <c r="AC15" s="584">
        <v>52.67</v>
      </c>
      <c r="AD15" s="28">
        <v>54</v>
      </c>
      <c r="AE15" s="28">
        <v>24</v>
      </c>
      <c r="AF15" s="28">
        <v>27</v>
      </c>
      <c r="AG15" s="28">
        <v>64</v>
      </c>
      <c r="AH15" s="28">
        <v>0</v>
      </c>
      <c r="AI15" s="106">
        <v>1.5378773495348395</v>
      </c>
      <c r="AJ15" s="77">
        <v>6</v>
      </c>
      <c r="AK15" s="28">
        <v>3</v>
      </c>
      <c r="AL15" s="28">
        <v>0</v>
      </c>
      <c r="AM15" s="28">
        <v>0</v>
      </c>
      <c r="AN15" s="75">
        <v>13</v>
      </c>
      <c r="AQ15" s="101" t="s">
        <v>226</v>
      </c>
      <c r="AR15" s="77" t="s">
        <v>206</v>
      </c>
      <c r="AS15" s="77" t="s">
        <v>250</v>
      </c>
      <c r="AT15" s="135">
        <v>5.9635560463832142</v>
      </c>
      <c r="AU15" s="77">
        <v>3</v>
      </c>
      <c r="AV15" s="28">
        <v>2</v>
      </c>
      <c r="AW15" s="77">
        <v>10</v>
      </c>
      <c r="AX15" s="584">
        <v>54.33</v>
      </c>
      <c r="AY15" s="28">
        <v>66</v>
      </c>
      <c r="AZ15" s="28">
        <v>36</v>
      </c>
      <c r="BA15" s="28">
        <v>21</v>
      </c>
      <c r="BB15" s="28">
        <v>52</v>
      </c>
      <c r="BC15" s="28">
        <v>0</v>
      </c>
      <c r="BD15" s="106">
        <v>1.6013252346769742</v>
      </c>
      <c r="BE15" s="77">
        <v>4</v>
      </c>
      <c r="BF15" s="28">
        <v>1</v>
      </c>
      <c r="BG15" s="28">
        <v>0</v>
      </c>
      <c r="BH15" s="28">
        <v>0</v>
      </c>
      <c r="BI15" s="75">
        <v>13</v>
      </c>
    </row>
    <row r="16" spans="1:61">
      <c r="A16" s="101" t="s">
        <v>226</v>
      </c>
      <c r="B16" s="71" t="s">
        <v>206</v>
      </c>
      <c r="C16" s="116" t="s">
        <v>253</v>
      </c>
      <c r="D16" s="89">
        <f>VLOOKUP(Table70[[#This Row],[NAME]],BOS_P[[NAME]:['#]],2,0)</f>
        <v>4.8542052924321588</v>
      </c>
      <c r="E16" s="77">
        <f>VLOOKUP(Table70[[#This Row],[NAME]],BOS_P[[NAME]:['#]],3,0)</f>
        <v>6</v>
      </c>
      <c r="F16" s="28">
        <f>VLOOKUP(Table70[[#This Row],[NAME]],BOS_P[[NAME]:['#]],4,0)</f>
        <v>3</v>
      </c>
      <c r="G16" s="77">
        <f>VLOOKUP(Table70[[#This Row],[NAME]],BOS_P[[NAME]:['#]],5,0)</f>
        <v>10</v>
      </c>
      <c r="H16" s="584">
        <f>VLOOKUP(Table70[[#This Row],[NAME]],BOS_P[[NAME]:['#]],6,0)</f>
        <v>59.33</v>
      </c>
      <c r="I16" s="28">
        <f>VLOOKUP(Table70[[#This Row],[NAME]],BOS_P[[NAME]:['#]],7,0)</f>
        <v>64</v>
      </c>
      <c r="J16" s="28">
        <f>VLOOKUP(Table70[[#This Row],[NAME]],BOS_P[[NAME]:['#]],8,0)</f>
        <v>32</v>
      </c>
      <c r="K16" s="28">
        <f>VLOOKUP(Table70[[#This Row],[NAME]],BOS_P[[NAME]:['#]],9,0)</f>
        <v>24</v>
      </c>
      <c r="L16" s="28">
        <f>VLOOKUP(Table70[[#This Row],[NAME]],BOS_P[[NAME]:['#]],10,0)</f>
        <v>44</v>
      </c>
      <c r="M16" s="588">
        <f>VLOOKUP(Table70[[#This Row],[NAME]],BOS_P[[NAME]:['#]],11,0)</f>
        <v>0</v>
      </c>
      <c r="N16" s="106">
        <f>VLOOKUP(Table70[[#This Row],[NAME]],BOS_P[[NAME]:['#]],12,0)</f>
        <v>1.4832293949098265</v>
      </c>
      <c r="O16" s="77">
        <f>VLOOKUP(Table70[[#This Row],[NAME]],BOS_P[[NAME]:['#]],13,0)</f>
        <v>5</v>
      </c>
      <c r="P16" s="28">
        <f>VLOOKUP(Table70[[#This Row],[NAME]],BOS_P[[NAME]:['#]],14,0)</f>
        <v>1</v>
      </c>
      <c r="Q16" s="28">
        <f>VLOOKUP(Table70[[#This Row],[NAME]],BOS_P[[NAME]:['#]],15,0)</f>
        <v>0</v>
      </c>
      <c r="R16" s="28">
        <f>VLOOKUP(Table70[[#This Row],[NAME]],BOS_P[[NAME]:['#]],16,0)</f>
        <v>0</v>
      </c>
      <c r="S16" s="75">
        <v>14</v>
      </c>
      <c r="V16" s="101" t="s">
        <v>226</v>
      </c>
      <c r="W16" s="77" t="s">
        <v>206</v>
      </c>
      <c r="X16" s="132" t="s">
        <v>253</v>
      </c>
      <c r="Y16" s="88">
        <v>4.9655172413793105</v>
      </c>
      <c r="Z16" s="77">
        <v>1</v>
      </c>
      <c r="AA16" s="28">
        <v>5</v>
      </c>
      <c r="AB16" s="77">
        <v>10</v>
      </c>
      <c r="AC16" s="584">
        <v>58</v>
      </c>
      <c r="AD16" s="28">
        <v>65</v>
      </c>
      <c r="AE16" s="28">
        <v>32</v>
      </c>
      <c r="AF16" s="28">
        <v>18</v>
      </c>
      <c r="AG16" s="28">
        <v>54</v>
      </c>
      <c r="AH16" s="28">
        <v>0</v>
      </c>
      <c r="AI16" s="106">
        <v>1.4310344827586208</v>
      </c>
      <c r="AJ16" s="77">
        <v>3</v>
      </c>
      <c r="AK16" s="28">
        <v>2</v>
      </c>
      <c r="AL16" s="28">
        <v>0</v>
      </c>
      <c r="AM16" s="28">
        <v>0</v>
      </c>
      <c r="AN16" s="75">
        <v>14</v>
      </c>
      <c r="AQ16" s="101" t="s">
        <v>226</v>
      </c>
      <c r="AR16" s="77" t="s">
        <v>206</v>
      </c>
      <c r="AS16" s="77" t="s">
        <v>253</v>
      </c>
      <c r="AT16" s="135">
        <v>6.3943161634103021</v>
      </c>
      <c r="AU16" s="77">
        <v>5</v>
      </c>
      <c r="AV16" s="28">
        <v>3</v>
      </c>
      <c r="AW16" s="77">
        <v>10</v>
      </c>
      <c r="AX16" s="584">
        <v>50.67</v>
      </c>
      <c r="AY16" s="28">
        <v>70</v>
      </c>
      <c r="AZ16" s="28">
        <v>36</v>
      </c>
      <c r="BA16" s="28">
        <v>21</v>
      </c>
      <c r="BB16" s="28">
        <v>43</v>
      </c>
      <c r="BC16" s="28">
        <v>0</v>
      </c>
      <c r="BD16" s="106">
        <v>1.7959344779948687</v>
      </c>
      <c r="BE16" s="77">
        <v>5</v>
      </c>
      <c r="BF16" s="28">
        <v>1</v>
      </c>
      <c r="BG16" s="28">
        <v>0</v>
      </c>
      <c r="BH16" s="28">
        <v>0</v>
      </c>
      <c r="BI16" s="75">
        <v>14</v>
      </c>
    </row>
    <row r="17" spans="1:61">
      <c r="A17" s="101" t="s">
        <v>226</v>
      </c>
      <c r="B17" s="71" t="s">
        <v>212</v>
      </c>
      <c r="C17" s="116" t="s">
        <v>254</v>
      </c>
      <c r="D17" s="89">
        <f>VLOOKUP(Table70[[#This Row],[NAME]],BOS_P[[NAME]:['#]],2,0)</f>
        <v>5.7434588385449903</v>
      </c>
      <c r="E17" s="77">
        <f>VLOOKUP(Table70[[#This Row],[NAME]],BOS_P[[NAME]:['#]],3,0)</f>
        <v>0</v>
      </c>
      <c r="F17" s="28">
        <f>VLOOKUP(Table70[[#This Row],[NAME]],BOS_P[[NAME]:['#]],4,0)</f>
        <v>0</v>
      </c>
      <c r="G17" s="77">
        <f>VLOOKUP(Table70[[#This Row],[NAME]],BOS_P[[NAME]:['#]],5,0)</f>
        <v>9</v>
      </c>
      <c r="H17" s="584">
        <f>VLOOKUP(Table70[[#This Row],[NAME]],BOS_P[[NAME]:['#]],6,0)</f>
        <v>15.67</v>
      </c>
      <c r="I17" s="28">
        <f>VLOOKUP(Table70[[#This Row],[NAME]],BOS_P[[NAME]:['#]],7,0)</f>
        <v>15</v>
      </c>
      <c r="J17" s="28">
        <f>VLOOKUP(Table70[[#This Row],[NAME]],BOS_P[[NAME]:['#]],8,0)</f>
        <v>10</v>
      </c>
      <c r="K17" s="28">
        <f>VLOOKUP(Table70[[#This Row],[NAME]],BOS_P[[NAME]:['#]],9,0)</f>
        <v>10</v>
      </c>
      <c r="L17" s="28">
        <f>VLOOKUP(Table70[[#This Row],[NAME]],BOS_P[[NAME]:['#]],10,0)</f>
        <v>14</v>
      </c>
      <c r="M17" s="588">
        <f>VLOOKUP(Table70[[#This Row],[NAME]],BOS_P[[NAME]:['#]],11,0)</f>
        <v>1</v>
      </c>
      <c r="N17" s="106">
        <f>VLOOKUP(Table70[[#This Row],[NAME]],BOS_P[[NAME]:['#]],12,0)</f>
        <v>1.5954052329291639</v>
      </c>
      <c r="O17" s="77">
        <f>VLOOKUP(Table70[[#This Row],[NAME]],BOS_P[[NAME]:['#]],13,0)</f>
        <v>0</v>
      </c>
      <c r="P17" s="28">
        <f>VLOOKUP(Table70[[#This Row],[NAME]],BOS_P[[NAME]:['#]],14,0)</f>
        <v>0</v>
      </c>
      <c r="Q17" s="28">
        <f>VLOOKUP(Table70[[#This Row],[NAME]],BOS_P[[NAME]:['#]],15,0)</f>
        <v>0</v>
      </c>
      <c r="R17" s="28">
        <f>VLOOKUP(Table70[[#This Row],[NAME]],BOS_P[[NAME]:['#]],16,0)</f>
        <v>0</v>
      </c>
      <c r="S17" s="75">
        <v>15</v>
      </c>
      <c r="V17" s="101" t="s">
        <v>226</v>
      </c>
      <c r="W17" s="77" t="s">
        <v>212</v>
      </c>
      <c r="X17" s="132" t="s">
        <v>254</v>
      </c>
      <c r="Y17" s="88">
        <v>6.9839627521986554</v>
      </c>
      <c r="Z17" s="77">
        <v>1</v>
      </c>
      <c r="AA17" s="28">
        <v>1</v>
      </c>
      <c r="AB17" s="77">
        <v>7</v>
      </c>
      <c r="AC17" s="584">
        <v>19.329999999999998</v>
      </c>
      <c r="AD17" s="28">
        <v>29</v>
      </c>
      <c r="AE17" s="28">
        <v>15</v>
      </c>
      <c r="AF17" s="28">
        <v>13</v>
      </c>
      <c r="AG17" s="28">
        <v>17</v>
      </c>
      <c r="AH17" s="28">
        <v>0</v>
      </c>
      <c r="AI17" s="106">
        <v>2.1727884117951373</v>
      </c>
      <c r="AJ17" s="77">
        <v>0</v>
      </c>
      <c r="AK17" s="28">
        <v>0</v>
      </c>
      <c r="AL17" s="28">
        <v>0</v>
      </c>
      <c r="AM17" s="28">
        <v>0</v>
      </c>
      <c r="AN17" s="75">
        <v>15</v>
      </c>
      <c r="AQ17" s="101" t="s">
        <v>226</v>
      </c>
      <c r="AR17" s="77" t="s">
        <v>212</v>
      </c>
      <c r="AS17" s="77" t="s">
        <v>254</v>
      </c>
      <c r="AT17" s="135">
        <v>2.945186801199891</v>
      </c>
      <c r="AU17" s="77">
        <v>0</v>
      </c>
      <c r="AV17" s="28">
        <v>0</v>
      </c>
      <c r="AW17" s="77">
        <v>13</v>
      </c>
      <c r="AX17" s="584">
        <v>36.67</v>
      </c>
      <c r="AY17" s="28">
        <v>33</v>
      </c>
      <c r="AZ17" s="28">
        <v>12</v>
      </c>
      <c r="BA17" s="28">
        <v>5</v>
      </c>
      <c r="BB17" s="28">
        <v>37</v>
      </c>
      <c r="BC17" s="28">
        <v>0</v>
      </c>
      <c r="BD17" s="106">
        <v>1.0362694300518134</v>
      </c>
      <c r="BE17" s="77">
        <v>0</v>
      </c>
      <c r="BF17" s="28">
        <v>0</v>
      </c>
      <c r="BG17" s="28">
        <v>0</v>
      </c>
      <c r="BH17" s="28">
        <v>0</v>
      </c>
      <c r="BI17" s="75">
        <v>15</v>
      </c>
    </row>
    <row r="18" spans="1:61">
      <c r="A18" s="101" t="s">
        <v>226</v>
      </c>
      <c r="B18" s="71" t="s">
        <v>215</v>
      </c>
      <c r="C18" s="116" t="s">
        <v>255</v>
      </c>
      <c r="D18" s="89">
        <f>VLOOKUP(Table70[[#This Row],[NAME]],BOS_P[[NAME]:['#]],2,0)</f>
        <v>2.1608643457382954</v>
      </c>
      <c r="E18" s="77">
        <f>VLOOKUP(Table70[[#This Row],[NAME]],BOS_P[[NAME]:['#]],3,0)</f>
        <v>0</v>
      </c>
      <c r="F18" s="28">
        <f>VLOOKUP(Table70[[#This Row],[NAME]],BOS_P[[NAME]:['#]],4,0)</f>
        <v>0</v>
      </c>
      <c r="G18" s="77">
        <f>VLOOKUP(Table70[[#This Row],[NAME]],BOS_P[[NAME]:['#]],5,0)</f>
        <v>5</v>
      </c>
      <c r="H18" s="584">
        <f>VLOOKUP(Table70[[#This Row],[NAME]],BOS_P[[NAME]:['#]],6,0)</f>
        <v>8.33</v>
      </c>
      <c r="I18" s="28">
        <f>VLOOKUP(Table70[[#This Row],[NAME]],BOS_P[[NAME]:['#]],7,0)</f>
        <v>7</v>
      </c>
      <c r="J18" s="28">
        <f>VLOOKUP(Table70[[#This Row],[NAME]],BOS_P[[NAME]:['#]],8,0)</f>
        <v>2</v>
      </c>
      <c r="K18" s="28">
        <f>VLOOKUP(Table70[[#This Row],[NAME]],BOS_P[[NAME]:['#]],9,0)</f>
        <v>4</v>
      </c>
      <c r="L18" s="28">
        <f>VLOOKUP(Table70[[#This Row],[NAME]],BOS_P[[NAME]:['#]],10,0)</f>
        <v>8</v>
      </c>
      <c r="M18" s="588">
        <f>VLOOKUP(Table70[[#This Row],[NAME]],BOS_P[[NAME]:['#]],11,0)</f>
        <v>0</v>
      </c>
      <c r="N18" s="106">
        <f>VLOOKUP(Table70[[#This Row],[NAME]],BOS_P[[NAME]:['#]],12,0)</f>
        <v>1.3205282112845138</v>
      </c>
      <c r="O18" s="77">
        <f>VLOOKUP(Table70[[#This Row],[NAME]],BOS_P[[NAME]:['#]],13,0)</f>
        <v>0</v>
      </c>
      <c r="P18" s="28">
        <f>VLOOKUP(Table70[[#This Row],[NAME]],BOS_P[[NAME]:['#]],14,0)</f>
        <v>0</v>
      </c>
      <c r="Q18" s="28">
        <f>VLOOKUP(Table70[[#This Row],[NAME]],BOS_P[[NAME]:['#]],15,0)</f>
        <v>0</v>
      </c>
      <c r="R18" s="28">
        <f>VLOOKUP(Table70[[#This Row],[NAME]],BOS_P[[NAME]:['#]],16,0)</f>
        <v>0</v>
      </c>
      <c r="S18" s="75">
        <v>16</v>
      </c>
      <c r="V18" s="101" t="s">
        <v>226</v>
      </c>
      <c r="W18" s="77" t="s">
        <v>215</v>
      </c>
      <c r="X18" s="132" t="s">
        <v>256</v>
      </c>
      <c r="Y18" s="88">
        <v>5.7434588385449903</v>
      </c>
      <c r="Z18" s="77">
        <v>0</v>
      </c>
      <c r="AA18" s="28">
        <v>0</v>
      </c>
      <c r="AB18" s="77">
        <v>7</v>
      </c>
      <c r="AC18" s="584">
        <v>15.67</v>
      </c>
      <c r="AD18" s="28">
        <v>19</v>
      </c>
      <c r="AE18" s="28">
        <v>10</v>
      </c>
      <c r="AF18" s="28">
        <v>4</v>
      </c>
      <c r="AG18" s="28">
        <v>11</v>
      </c>
      <c r="AH18" s="28">
        <v>0</v>
      </c>
      <c r="AI18" s="106">
        <v>1.467772814294831</v>
      </c>
      <c r="AJ18" s="77">
        <v>0</v>
      </c>
      <c r="AK18" s="28">
        <v>0</v>
      </c>
      <c r="AL18" s="28">
        <v>0</v>
      </c>
      <c r="AM18" s="28">
        <v>0</v>
      </c>
      <c r="AN18" s="75">
        <v>16</v>
      </c>
      <c r="AQ18" s="101" t="s">
        <v>226</v>
      </c>
      <c r="AR18" s="77" t="s">
        <v>215</v>
      </c>
      <c r="AS18" s="77" t="s">
        <v>252</v>
      </c>
      <c r="AT18" s="135">
        <v>3.5213563743071403</v>
      </c>
      <c r="AU18" s="77">
        <v>3</v>
      </c>
      <c r="AV18" s="28">
        <v>1</v>
      </c>
      <c r="AW18" s="77">
        <v>16</v>
      </c>
      <c r="AX18" s="584">
        <v>30.67</v>
      </c>
      <c r="AY18" s="28">
        <v>25</v>
      </c>
      <c r="AZ18" s="28">
        <v>12</v>
      </c>
      <c r="BA18" s="28">
        <v>18</v>
      </c>
      <c r="BB18" s="28">
        <v>39</v>
      </c>
      <c r="BC18" s="28">
        <v>0</v>
      </c>
      <c r="BD18" s="106">
        <v>1.4020215194000651</v>
      </c>
      <c r="BE18" s="77">
        <v>0</v>
      </c>
      <c r="BF18" s="28">
        <v>0</v>
      </c>
      <c r="BG18" s="28">
        <v>0</v>
      </c>
      <c r="BH18" s="28">
        <v>0</v>
      </c>
      <c r="BI18" s="75">
        <v>16</v>
      </c>
    </row>
    <row r="19" spans="1:61">
      <c r="A19" s="101" t="s">
        <v>226</v>
      </c>
      <c r="B19" s="71" t="s">
        <v>215</v>
      </c>
      <c r="C19" s="116" t="s">
        <v>258</v>
      </c>
      <c r="D19" s="89">
        <f>VLOOKUP(Table70[[#This Row],[NAME]],BOS_P[[NAME]:['#]],2,0)</f>
        <v>3.0478955007256889</v>
      </c>
      <c r="E19" s="77">
        <f>VLOOKUP(Table70[[#This Row],[NAME]],BOS_P[[NAME]:['#]],3,0)</f>
        <v>0</v>
      </c>
      <c r="F19" s="28">
        <f>VLOOKUP(Table70[[#This Row],[NAME]],BOS_P[[NAME]:['#]],4,0)</f>
        <v>0</v>
      </c>
      <c r="G19" s="77">
        <f>VLOOKUP(Table70[[#This Row],[NAME]],BOS_P[[NAME]:['#]],5,0)</f>
        <v>18</v>
      </c>
      <c r="H19" s="584">
        <f>VLOOKUP(Table70[[#This Row],[NAME]],BOS_P[[NAME]:['#]],6,0)</f>
        <v>20.67</v>
      </c>
      <c r="I19" s="28">
        <f>VLOOKUP(Table70[[#This Row],[NAME]],BOS_P[[NAME]:['#]],7,0)</f>
        <v>19</v>
      </c>
      <c r="J19" s="28">
        <f>VLOOKUP(Table70[[#This Row],[NAME]],BOS_P[[NAME]:['#]],8,0)</f>
        <v>7</v>
      </c>
      <c r="K19" s="28">
        <f>VLOOKUP(Table70[[#This Row],[NAME]],BOS_P[[NAME]:['#]],9,0)</f>
        <v>8</v>
      </c>
      <c r="L19" s="28">
        <f>VLOOKUP(Table70[[#This Row],[NAME]],BOS_P[[NAME]:['#]],10,0)</f>
        <v>24</v>
      </c>
      <c r="M19" s="588">
        <f>VLOOKUP(Table70[[#This Row],[NAME]],BOS_P[[NAME]:['#]],11,0)</f>
        <v>0</v>
      </c>
      <c r="N19" s="106">
        <f>VLOOKUP(Table70[[#This Row],[NAME]],BOS_P[[NAME]:['#]],12,0)</f>
        <v>1.3062409288824381</v>
      </c>
      <c r="O19" s="77">
        <f>VLOOKUP(Table70[[#This Row],[NAME]],BOS_P[[NAME]:['#]],13,0)</f>
        <v>0</v>
      </c>
      <c r="P19" s="28">
        <f>VLOOKUP(Table70[[#This Row],[NAME]],BOS_P[[NAME]:['#]],14,0)</f>
        <v>0</v>
      </c>
      <c r="Q19" s="28">
        <f>VLOOKUP(Table70[[#This Row],[NAME]],BOS_P[[NAME]:['#]],15,0)</f>
        <v>0</v>
      </c>
      <c r="R19" s="28">
        <f>VLOOKUP(Table70[[#This Row],[NAME]],BOS_P[[NAME]:['#]],16,0)</f>
        <v>0</v>
      </c>
      <c r="S19" s="75">
        <v>17</v>
      </c>
      <c r="V19" s="101" t="s">
        <v>226</v>
      </c>
      <c r="W19" s="77" t="s">
        <v>212</v>
      </c>
      <c r="X19" s="132" t="s">
        <v>260</v>
      </c>
      <c r="Y19" s="88">
        <v>3.0988686669945897</v>
      </c>
      <c r="Z19" s="77">
        <v>5</v>
      </c>
      <c r="AA19" s="28">
        <v>0</v>
      </c>
      <c r="AB19" s="77">
        <v>19</v>
      </c>
      <c r="AC19" s="584">
        <v>20.329999999999998</v>
      </c>
      <c r="AD19" s="28">
        <v>12</v>
      </c>
      <c r="AE19" s="28">
        <v>7</v>
      </c>
      <c r="AF19" s="28">
        <v>11</v>
      </c>
      <c r="AG19" s="28">
        <v>24</v>
      </c>
      <c r="AH19" s="28">
        <v>0</v>
      </c>
      <c r="AI19" s="106">
        <v>1.1313330054107231</v>
      </c>
      <c r="AJ19" s="77">
        <v>0</v>
      </c>
      <c r="AK19" s="28">
        <v>0</v>
      </c>
      <c r="AL19" s="28">
        <v>0</v>
      </c>
      <c r="AM19" s="28">
        <v>0</v>
      </c>
      <c r="AN19" s="75">
        <v>17</v>
      </c>
      <c r="AQ19" s="101" t="s">
        <v>226</v>
      </c>
      <c r="AR19" s="77" t="s">
        <v>212</v>
      </c>
      <c r="AS19" s="77" t="s">
        <v>257</v>
      </c>
      <c r="AT19" s="135">
        <v>9</v>
      </c>
      <c r="AU19" s="77">
        <v>0</v>
      </c>
      <c r="AV19" s="28">
        <v>0</v>
      </c>
      <c r="AW19" s="77">
        <v>6</v>
      </c>
      <c r="AX19" s="584">
        <v>6</v>
      </c>
      <c r="AY19" s="28">
        <v>8</v>
      </c>
      <c r="AZ19" s="28">
        <v>6</v>
      </c>
      <c r="BA19" s="28">
        <v>5</v>
      </c>
      <c r="BB19" s="28">
        <v>5</v>
      </c>
      <c r="BC19" s="28">
        <v>0</v>
      </c>
      <c r="BD19" s="106">
        <v>2.1666666666666665</v>
      </c>
      <c r="BE19" s="77">
        <v>0</v>
      </c>
      <c r="BF19" s="28">
        <v>0</v>
      </c>
      <c r="BG19" s="28">
        <v>0</v>
      </c>
      <c r="BH19" s="28">
        <v>0</v>
      </c>
      <c r="BI19" s="75">
        <v>17</v>
      </c>
    </row>
    <row r="20" spans="1:61">
      <c r="A20" s="101" t="s">
        <v>226</v>
      </c>
      <c r="B20" s="71" t="s">
        <v>212</v>
      </c>
      <c r="C20" s="116" t="s">
        <v>259</v>
      </c>
      <c r="D20" s="89">
        <f>VLOOKUP(Table70[[#This Row],[NAME]],BOS_P[[NAME]:['#]],2,0)</f>
        <v>5.6827150749802682</v>
      </c>
      <c r="E20" s="77">
        <f>VLOOKUP(Table70[[#This Row],[NAME]],BOS_P[[NAME]:['#]],3,0)</f>
        <v>0</v>
      </c>
      <c r="F20" s="28">
        <f>VLOOKUP(Table70[[#This Row],[NAME]],BOS_P[[NAME]:['#]],4,0)</f>
        <v>0</v>
      </c>
      <c r="G20" s="77">
        <f>VLOOKUP(Table70[[#This Row],[NAME]],BOS_P[[NAME]:['#]],5,0)</f>
        <v>14</v>
      </c>
      <c r="H20" s="584">
        <f>VLOOKUP(Table70[[#This Row],[NAME]],BOS_P[[NAME]:['#]],6,0)</f>
        <v>12.67</v>
      </c>
      <c r="I20" s="28">
        <f>VLOOKUP(Table70[[#This Row],[NAME]],BOS_P[[NAME]:['#]],7,0)</f>
        <v>10</v>
      </c>
      <c r="J20" s="28">
        <f>VLOOKUP(Table70[[#This Row],[NAME]],BOS_P[[NAME]:['#]],8,0)</f>
        <v>8</v>
      </c>
      <c r="K20" s="28">
        <f>VLOOKUP(Table70[[#This Row],[NAME]],BOS_P[[NAME]:['#]],9,0)</f>
        <v>7</v>
      </c>
      <c r="L20" s="28">
        <f>VLOOKUP(Table70[[#This Row],[NAME]],BOS_P[[NAME]:['#]],10,0)</f>
        <v>15</v>
      </c>
      <c r="M20" s="588">
        <f>VLOOKUP(Table70[[#This Row],[NAME]],BOS_P[[NAME]:['#]],11,0)</f>
        <v>1</v>
      </c>
      <c r="N20" s="106">
        <f>VLOOKUP(Table70[[#This Row],[NAME]],BOS_P[[NAME]:['#]],12,0)</f>
        <v>1.3417521704814523</v>
      </c>
      <c r="O20" s="77">
        <f>VLOOKUP(Table70[[#This Row],[NAME]],BOS_P[[NAME]:['#]],13,0)</f>
        <v>0</v>
      </c>
      <c r="P20" s="28">
        <f>VLOOKUP(Table70[[#This Row],[NAME]],BOS_P[[NAME]:['#]],14,0)</f>
        <v>0</v>
      </c>
      <c r="Q20" s="28">
        <f>VLOOKUP(Table70[[#This Row],[NAME]],BOS_P[[NAME]:['#]],15,0)</f>
        <v>0</v>
      </c>
      <c r="R20" s="28">
        <f>VLOOKUP(Table70[[#This Row],[NAME]],BOS_P[[NAME]:['#]],16,0)</f>
        <v>0</v>
      </c>
      <c r="S20" s="75">
        <v>18</v>
      </c>
      <c r="V20" s="101" t="s">
        <v>226</v>
      </c>
      <c r="W20" s="77" t="s">
        <v>212</v>
      </c>
      <c r="X20" s="132" t="s">
        <v>259</v>
      </c>
      <c r="Y20" s="88">
        <v>5.3026245313336897</v>
      </c>
      <c r="Z20" s="77">
        <v>6</v>
      </c>
      <c r="AA20" s="28">
        <v>0</v>
      </c>
      <c r="AB20" s="77">
        <v>15</v>
      </c>
      <c r="AC20" s="584">
        <v>18.670000000000002</v>
      </c>
      <c r="AD20" s="28">
        <v>22</v>
      </c>
      <c r="AE20" s="28">
        <v>11</v>
      </c>
      <c r="AF20" s="28">
        <v>5</v>
      </c>
      <c r="AG20" s="28">
        <v>19</v>
      </c>
      <c r="AH20" s="28">
        <v>1</v>
      </c>
      <c r="AI20" s="106">
        <v>1.44617032672737</v>
      </c>
      <c r="AJ20" s="77">
        <v>0</v>
      </c>
      <c r="AK20" s="28">
        <v>0</v>
      </c>
      <c r="AL20" s="28">
        <v>0</v>
      </c>
      <c r="AM20" s="28">
        <v>0</v>
      </c>
      <c r="AN20" s="75">
        <v>18</v>
      </c>
      <c r="AQ20" s="101" t="s">
        <v>226</v>
      </c>
      <c r="AR20" s="77" t="s">
        <v>212</v>
      </c>
      <c r="AS20" s="77" t="s">
        <v>259</v>
      </c>
      <c r="AT20" s="135">
        <v>6.3548102383053839</v>
      </c>
      <c r="AU20" s="77">
        <v>0</v>
      </c>
      <c r="AV20" s="28">
        <v>2</v>
      </c>
      <c r="AW20" s="77">
        <v>12</v>
      </c>
      <c r="AX20" s="584">
        <v>11.33</v>
      </c>
      <c r="AY20" s="28">
        <v>14</v>
      </c>
      <c r="AZ20" s="28">
        <v>8</v>
      </c>
      <c r="BA20" s="28">
        <v>6</v>
      </c>
      <c r="BB20" s="28">
        <v>10</v>
      </c>
      <c r="BC20" s="28">
        <v>0</v>
      </c>
      <c r="BD20" s="106">
        <v>1.7652250661959399</v>
      </c>
      <c r="BE20" s="77">
        <v>0</v>
      </c>
      <c r="BF20" s="28">
        <v>0</v>
      </c>
      <c r="BG20" s="28">
        <v>0</v>
      </c>
      <c r="BH20" s="28">
        <v>0</v>
      </c>
      <c r="BI20" s="75">
        <v>18</v>
      </c>
    </row>
    <row r="21" spans="1:61">
      <c r="A21" s="101" t="s">
        <v>226</v>
      </c>
      <c r="B21" s="71" t="s">
        <v>212</v>
      </c>
      <c r="C21" s="116" t="s">
        <v>261</v>
      </c>
      <c r="D21" s="89">
        <f>VLOOKUP(Table70[[#This Row],[NAME]],BOS_P[[NAME]:['#]],2,0)</f>
        <v>3.0763387770603874</v>
      </c>
      <c r="E21" s="77">
        <f>VLOOKUP(Table70[[#This Row],[NAME]],BOS_P[[NAME]:['#]],3,0)</f>
        <v>2</v>
      </c>
      <c r="F21" s="28">
        <f>VLOOKUP(Table70[[#This Row],[NAME]],BOS_P[[NAME]:['#]],4,0)</f>
        <v>0</v>
      </c>
      <c r="G21" s="77">
        <f>VLOOKUP(Table70[[#This Row],[NAME]],BOS_P[[NAME]:['#]],5,0)</f>
        <v>20</v>
      </c>
      <c r="H21" s="584">
        <f>VLOOKUP(Table70[[#This Row],[NAME]],BOS_P[[NAME]:['#]],6,0)</f>
        <v>26.33</v>
      </c>
      <c r="I21" s="28">
        <f>VLOOKUP(Table70[[#This Row],[NAME]],BOS_P[[NAME]:['#]],7,0)</f>
        <v>25</v>
      </c>
      <c r="J21" s="28">
        <f>VLOOKUP(Table70[[#This Row],[NAME]],BOS_P[[NAME]:['#]],8,0)</f>
        <v>9</v>
      </c>
      <c r="K21" s="28">
        <f>VLOOKUP(Table70[[#This Row],[NAME]],BOS_P[[NAME]:['#]],9,0)</f>
        <v>15</v>
      </c>
      <c r="L21" s="28">
        <f>VLOOKUP(Table70[[#This Row],[NAME]],BOS_P[[NAME]:['#]],10,0)</f>
        <v>37</v>
      </c>
      <c r="M21" s="588">
        <f>VLOOKUP(Table70[[#This Row],[NAME]],BOS_P[[NAME]:['#]],11,0)</f>
        <v>1</v>
      </c>
      <c r="N21" s="106">
        <f>VLOOKUP(Table70[[#This Row],[NAME]],BOS_P[[NAME]:['#]],12,0)</f>
        <v>1.519179642992784</v>
      </c>
      <c r="O21" s="77">
        <f>VLOOKUP(Table70[[#This Row],[NAME]],BOS_P[[NAME]:['#]],13,0)</f>
        <v>0</v>
      </c>
      <c r="P21" s="28">
        <f>VLOOKUP(Table70[[#This Row],[NAME]],BOS_P[[NAME]:['#]],14,0)</f>
        <v>0</v>
      </c>
      <c r="Q21" s="28">
        <f>VLOOKUP(Table70[[#This Row],[NAME]],BOS_P[[NAME]:['#]],15,0)</f>
        <v>0</v>
      </c>
      <c r="R21" s="28">
        <f>VLOOKUP(Table70[[#This Row],[NAME]],BOS_P[[NAME]:['#]],16,0)</f>
        <v>0</v>
      </c>
      <c r="S21" s="75">
        <v>19</v>
      </c>
      <c r="V21" s="101" t="s">
        <v>226</v>
      </c>
      <c r="W21" s="77" t="s">
        <v>212</v>
      </c>
      <c r="X21" s="132" t="s">
        <v>261</v>
      </c>
      <c r="Y21" s="88">
        <v>7.0831283817019193</v>
      </c>
      <c r="Z21" s="77">
        <v>1</v>
      </c>
      <c r="AA21" s="28">
        <v>1</v>
      </c>
      <c r="AB21" s="77">
        <v>18</v>
      </c>
      <c r="AC21" s="584">
        <v>20.329999999999998</v>
      </c>
      <c r="AD21" s="28">
        <v>24</v>
      </c>
      <c r="AE21" s="28">
        <v>16</v>
      </c>
      <c r="AF21" s="28">
        <v>10</v>
      </c>
      <c r="AG21" s="28">
        <v>34</v>
      </c>
      <c r="AH21" s="28">
        <v>0</v>
      </c>
      <c r="AI21" s="106">
        <v>1.6724053123462863</v>
      </c>
      <c r="AJ21" s="77">
        <v>0</v>
      </c>
      <c r="AK21" s="28">
        <v>0</v>
      </c>
      <c r="AL21" s="28">
        <v>0</v>
      </c>
      <c r="AM21" s="28">
        <v>0</v>
      </c>
      <c r="AN21" s="75">
        <v>19</v>
      </c>
      <c r="AQ21" s="101" t="s">
        <v>226</v>
      </c>
      <c r="AR21" s="77" t="s">
        <v>212</v>
      </c>
      <c r="AS21" s="77" t="s">
        <v>262</v>
      </c>
      <c r="AT21" s="135">
        <v>3.96</v>
      </c>
      <c r="AU21" s="77">
        <v>0</v>
      </c>
      <c r="AV21" s="28">
        <v>0</v>
      </c>
      <c r="AW21" s="77">
        <v>24</v>
      </c>
      <c r="AX21" s="584">
        <v>25</v>
      </c>
      <c r="AY21" s="28">
        <v>26</v>
      </c>
      <c r="AZ21" s="28">
        <v>11</v>
      </c>
      <c r="BA21" s="28">
        <v>6</v>
      </c>
      <c r="BB21" s="28">
        <v>22</v>
      </c>
      <c r="BC21" s="28">
        <v>3</v>
      </c>
      <c r="BD21" s="106">
        <v>1.28</v>
      </c>
      <c r="BE21" s="77">
        <v>0</v>
      </c>
      <c r="BF21" s="28">
        <v>0</v>
      </c>
      <c r="BG21" s="28">
        <v>0</v>
      </c>
      <c r="BH21" s="28">
        <v>0</v>
      </c>
      <c r="BI21" s="75">
        <v>19</v>
      </c>
    </row>
    <row r="22" spans="1:61">
      <c r="A22" s="101" t="s">
        <v>226</v>
      </c>
      <c r="B22" s="71" t="s">
        <v>212</v>
      </c>
      <c r="C22" s="116" t="s">
        <v>262</v>
      </c>
      <c r="D22" s="89">
        <f>VLOOKUP(Table70[[#This Row],[NAME]],BOS_P[[NAME]:['#]],2,0)</f>
        <v>3.1554343591741332</v>
      </c>
      <c r="E22" s="77">
        <f>VLOOKUP(Table70[[#This Row],[NAME]],BOS_P[[NAME]:['#]],3,0)</f>
        <v>4</v>
      </c>
      <c r="F22" s="28">
        <f>VLOOKUP(Table70[[#This Row],[NAME]],BOS_P[[NAME]:['#]],4,0)</f>
        <v>2</v>
      </c>
      <c r="G22" s="77">
        <f>VLOOKUP(Table70[[#This Row],[NAME]],BOS_P[[NAME]:['#]],5,0)</f>
        <v>21</v>
      </c>
      <c r="H22" s="584">
        <f>VLOOKUP(Table70[[#This Row],[NAME]],BOS_P[[NAME]:['#]],6,0)</f>
        <v>25.67</v>
      </c>
      <c r="I22" s="28">
        <f>VLOOKUP(Table70[[#This Row],[NAME]],BOS_P[[NAME]:['#]],7,0)</f>
        <v>27</v>
      </c>
      <c r="J22" s="28">
        <f>VLOOKUP(Table70[[#This Row],[NAME]],BOS_P[[NAME]:['#]],8,0)</f>
        <v>9</v>
      </c>
      <c r="K22" s="28">
        <f>VLOOKUP(Table70[[#This Row],[NAME]],BOS_P[[NAME]:['#]],9,0)</f>
        <v>3</v>
      </c>
      <c r="L22" s="28">
        <f>VLOOKUP(Table70[[#This Row],[NAME]],BOS_P[[NAME]:['#]],10,0)</f>
        <v>24</v>
      </c>
      <c r="M22" s="588">
        <f>VLOOKUP(Table70[[#This Row],[NAME]],BOS_P[[NAME]:['#]],11,0)</f>
        <v>4</v>
      </c>
      <c r="N22" s="106">
        <f>VLOOKUP(Table70[[#This Row],[NAME]],BOS_P[[NAME]:['#]],12,0)</f>
        <v>1.168679392286716</v>
      </c>
      <c r="O22" s="77">
        <f>VLOOKUP(Table70[[#This Row],[NAME]],BOS_P[[NAME]:['#]],13,0)</f>
        <v>0</v>
      </c>
      <c r="P22" s="28">
        <f>VLOOKUP(Table70[[#This Row],[NAME]],BOS_P[[NAME]:['#]],14,0)</f>
        <v>0</v>
      </c>
      <c r="Q22" s="28">
        <f>VLOOKUP(Table70[[#This Row],[NAME]],BOS_P[[NAME]:['#]],15,0)</f>
        <v>0</v>
      </c>
      <c r="R22" s="28">
        <f>VLOOKUP(Table70[[#This Row],[NAME]],BOS_P[[NAME]:['#]],16,0)</f>
        <v>0</v>
      </c>
      <c r="S22" s="75">
        <v>20</v>
      </c>
      <c r="V22" s="101" t="s">
        <v>226</v>
      </c>
      <c r="W22" s="77" t="s">
        <v>212</v>
      </c>
      <c r="X22" s="132" t="s">
        <v>262</v>
      </c>
      <c r="Y22" s="88">
        <v>2.1502521900716749</v>
      </c>
      <c r="Z22" s="77">
        <v>1</v>
      </c>
      <c r="AA22" s="28">
        <v>0</v>
      </c>
      <c r="AB22" s="531">
        <v>30</v>
      </c>
      <c r="AC22" s="584">
        <v>37.67</v>
      </c>
      <c r="AD22" s="28">
        <v>32</v>
      </c>
      <c r="AE22" s="28">
        <v>9</v>
      </c>
      <c r="AF22" s="28">
        <v>9</v>
      </c>
      <c r="AG22" s="28">
        <v>45</v>
      </c>
      <c r="AH22" s="586">
        <v>15</v>
      </c>
      <c r="AI22" s="106">
        <v>1.0883992567029466</v>
      </c>
      <c r="AJ22" s="77">
        <v>0</v>
      </c>
      <c r="AK22" s="28">
        <v>0</v>
      </c>
      <c r="AL22" s="28">
        <v>0</v>
      </c>
      <c r="AM22" s="28">
        <v>0</v>
      </c>
      <c r="AN22" s="75">
        <v>20</v>
      </c>
      <c r="AQ22" s="101" t="s">
        <v>226</v>
      </c>
      <c r="AR22" s="77" t="s">
        <v>212</v>
      </c>
      <c r="AS22" s="77" t="s">
        <v>261</v>
      </c>
      <c r="AT22" s="135">
        <v>4.5</v>
      </c>
      <c r="AU22" s="77">
        <v>1</v>
      </c>
      <c r="AV22" s="28">
        <v>2</v>
      </c>
      <c r="AW22" s="77">
        <v>20</v>
      </c>
      <c r="AX22" s="584">
        <v>22</v>
      </c>
      <c r="AY22" s="28">
        <v>19</v>
      </c>
      <c r="AZ22" s="28">
        <v>11</v>
      </c>
      <c r="BA22" s="28">
        <v>9</v>
      </c>
      <c r="BB22" s="28">
        <v>35</v>
      </c>
      <c r="BC22" s="76">
        <v>12</v>
      </c>
      <c r="BD22" s="106">
        <v>1.2727272727272727</v>
      </c>
      <c r="BE22" s="77">
        <v>0</v>
      </c>
      <c r="BF22" s="28">
        <v>0</v>
      </c>
      <c r="BG22" s="28">
        <v>0</v>
      </c>
      <c r="BH22" s="28">
        <v>0</v>
      </c>
      <c r="BI22" s="75">
        <v>20</v>
      </c>
    </row>
    <row r="23" spans="1:61">
      <c r="A23" s="101" t="s">
        <v>266</v>
      </c>
      <c r="B23" s="71" t="s">
        <v>206</v>
      </c>
      <c r="C23" s="116" t="s">
        <v>284</v>
      </c>
      <c r="D23" s="89">
        <f>VLOOKUP(Table70[[#This Row],[NAME]],TOR_P[[NAME]:['#]],2,0)</f>
        <v>6.0349391212281631</v>
      </c>
      <c r="E23" s="77">
        <f>VLOOKUP(Table70[[#This Row],[NAME]],TOR_P[[NAME]:['#]],3,0)</f>
        <v>2</v>
      </c>
      <c r="F23" s="28">
        <f>VLOOKUP(Table70[[#This Row],[NAME]],TOR_P[[NAME]:['#]],4,0)</f>
        <v>5</v>
      </c>
      <c r="G23" s="77">
        <f>VLOOKUP(Table70[[#This Row],[NAME]],TOR_P[[NAME]:['#]],5,0)</f>
        <v>10</v>
      </c>
      <c r="H23" s="584">
        <f>VLOOKUP(Table70[[#This Row],[NAME]],TOR_P[[NAME]:['#]],6,0)</f>
        <v>56.67</v>
      </c>
      <c r="I23" s="28">
        <f>VLOOKUP(Table70[[#This Row],[NAME]],TOR_P[[NAME]:['#]],7,0)</f>
        <v>52</v>
      </c>
      <c r="J23" s="28">
        <f>VLOOKUP(Table70[[#This Row],[NAME]],TOR_P[[NAME]:['#]],8,0)</f>
        <v>38</v>
      </c>
      <c r="K23" s="28">
        <f>VLOOKUP(Table70[[#This Row],[NAME]],TOR_P[[NAME]:['#]],9,0)</f>
        <v>26</v>
      </c>
      <c r="L23" s="28">
        <f>VLOOKUP(Table70[[#This Row],[NAME]],TOR_P[[NAME]:['#]],10,0)</f>
        <v>41</v>
      </c>
      <c r="M23" s="28">
        <f>VLOOKUP(Table70[[#This Row],[NAME]],TOR_P[[NAME]:['#]],11,0)</f>
        <v>0</v>
      </c>
      <c r="N23" s="106">
        <f>VLOOKUP(Table70[[#This Row],[NAME]],TOR_P[[NAME]:['#]],12,0)</f>
        <v>1.3763896241397564</v>
      </c>
      <c r="O23" s="77">
        <f>VLOOKUP(Table70[[#This Row],[NAME]],TOR_P[[NAME]:['#]],13,0)</f>
        <v>2</v>
      </c>
      <c r="P23" s="28">
        <f>VLOOKUP(Table70[[#This Row],[NAME]],TOR_P[[NAME]:['#]],14,0)</f>
        <v>0</v>
      </c>
      <c r="Q23" s="28">
        <f>VLOOKUP(Table70[[#This Row],[NAME]],TOR_P[[NAME]:['#]],15,0)</f>
        <v>0</v>
      </c>
      <c r="R23" s="28">
        <f>VLOOKUP(Table70[[#This Row],[NAME]],TOR_P[[NAME]:['#]],16,0)</f>
        <v>0</v>
      </c>
      <c r="S23" s="75">
        <v>21</v>
      </c>
      <c r="V23" s="365" t="s">
        <v>266</v>
      </c>
      <c r="W23" s="77" t="s">
        <v>206</v>
      </c>
      <c r="X23" s="132" t="s">
        <v>284</v>
      </c>
      <c r="Y23" s="88">
        <v>2.229255538736755</v>
      </c>
      <c r="Z23" s="531">
        <v>8</v>
      </c>
      <c r="AA23" s="28">
        <v>1</v>
      </c>
      <c r="AB23" s="77">
        <v>10</v>
      </c>
      <c r="AC23" s="584">
        <v>72.67</v>
      </c>
      <c r="AD23" s="28">
        <v>58</v>
      </c>
      <c r="AE23" s="28">
        <v>18</v>
      </c>
      <c r="AF23" s="28">
        <v>20</v>
      </c>
      <c r="AG23" s="28">
        <v>67</v>
      </c>
      <c r="AH23" s="28">
        <v>0</v>
      </c>
      <c r="AI23" s="106">
        <v>1.0733452593917709</v>
      </c>
      <c r="AJ23" s="77">
        <v>8</v>
      </c>
      <c r="AK23" s="28">
        <v>6</v>
      </c>
      <c r="AL23" s="28">
        <v>2</v>
      </c>
      <c r="AM23" s="76">
        <v>2</v>
      </c>
      <c r="AN23" s="75">
        <v>21</v>
      </c>
      <c r="AQ23" s="101" t="s">
        <v>266</v>
      </c>
      <c r="AR23" s="77" t="s">
        <v>206</v>
      </c>
      <c r="AS23" s="77" t="s">
        <v>285</v>
      </c>
      <c r="AT23" s="135">
        <v>3.9173014145810665</v>
      </c>
      <c r="AU23" s="77">
        <v>3</v>
      </c>
      <c r="AV23" s="28">
        <v>5</v>
      </c>
      <c r="AW23" s="77">
        <v>10</v>
      </c>
      <c r="AX23" s="584">
        <v>64.33</v>
      </c>
      <c r="AY23" s="28">
        <v>68</v>
      </c>
      <c r="AZ23" s="28">
        <v>28</v>
      </c>
      <c r="BA23" s="28">
        <v>11</v>
      </c>
      <c r="BB23" s="28">
        <v>62</v>
      </c>
      <c r="BC23" s="28">
        <v>0</v>
      </c>
      <c r="BD23" s="106">
        <v>1.2280429037773979</v>
      </c>
      <c r="BE23" s="77">
        <v>6</v>
      </c>
      <c r="BF23" s="28">
        <v>2</v>
      </c>
      <c r="BG23" s="28">
        <v>0</v>
      </c>
      <c r="BH23" s="28">
        <v>0</v>
      </c>
      <c r="BI23" s="75">
        <v>21</v>
      </c>
    </row>
    <row r="24" spans="1:61">
      <c r="A24" s="101" t="s">
        <v>266</v>
      </c>
      <c r="B24" s="71" t="s">
        <v>206</v>
      </c>
      <c r="C24" s="116" t="s">
        <v>286</v>
      </c>
      <c r="D24" s="89">
        <f>VLOOKUP(Table70[[#This Row],[NAME]],TOR_P[[NAME]:['#]],2,0)</f>
        <v>4.9894015979129298</v>
      </c>
      <c r="E24" s="77">
        <f>VLOOKUP(Table70[[#This Row],[NAME]],TOR_P[[NAME]:['#]],3,0)</f>
        <v>1</v>
      </c>
      <c r="F24" s="28">
        <f>VLOOKUP(Table70[[#This Row],[NAME]],TOR_P[[NAME]:['#]],4,0)</f>
        <v>6</v>
      </c>
      <c r="G24" s="77">
        <f>VLOOKUP(Table70[[#This Row],[NAME]],TOR_P[[NAME]:['#]],5,0)</f>
        <v>10</v>
      </c>
      <c r="H24" s="584">
        <f>VLOOKUP(Table70[[#This Row],[NAME]],TOR_P[[NAME]:['#]],6,0)</f>
        <v>61.33</v>
      </c>
      <c r="I24" s="28">
        <f>VLOOKUP(Table70[[#This Row],[NAME]],TOR_P[[NAME]:['#]],7,0)</f>
        <v>70</v>
      </c>
      <c r="J24" s="28">
        <f>VLOOKUP(Table70[[#This Row],[NAME]],TOR_P[[NAME]:['#]],8,0)</f>
        <v>34</v>
      </c>
      <c r="K24" s="28">
        <f>VLOOKUP(Table70[[#This Row],[NAME]],TOR_P[[NAME]:['#]],9,0)</f>
        <v>20</v>
      </c>
      <c r="L24" s="28">
        <f>VLOOKUP(Table70[[#This Row],[NAME]],TOR_P[[NAME]:['#]],10,0)</f>
        <v>74</v>
      </c>
      <c r="M24" s="28">
        <f>VLOOKUP(Table70[[#This Row],[NAME]],TOR_P[[NAME]:['#]],11,0)</f>
        <v>0</v>
      </c>
      <c r="N24" s="106">
        <f>VLOOKUP(Table70[[#This Row],[NAME]],TOR_P[[NAME]:['#]],12,0)</f>
        <v>1.4674710582096853</v>
      </c>
      <c r="O24" s="77">
        <f>VLOOKUP(Table70[[#This Row],[NAME]],TOR_P[[NAME]:['#]],13,0)</f>
        <v>4</v>
      </c>
      <c r="P24" s="28">
        <f>VLOOKUP(Table70[[#This Row],[NAME]],TOR_P[[NAME]:['#]],14,0)</f>
        <v>1</v>
      </c>
      <c r="Q24" s="28">
        <f>VLOOKUP(Table70[[#This Row],[NAME]],TOR_P[[NAME]:['#]],15,0)</f>
        <v>0</v>
      </c>
      <c r="R24" s="28">
        <f>VLOOKUP(Table70[[#This Row],[NAME]],TOR_P[[NAME]:['#]],16,0)</f>
        <v>0</v>
      </c>
      <c r="S24" s="75">
        <v>22</v>
      </c>
      <c r="V24" s="365" t="s">
        <v>266</v>
      </c>
      <c r="W24" s="77" t="s">
        <v>206</v>
      </c>
      <c r="X24" s="132" t="s">
        <v>286</v>
      </c>
      <c r="Y24" s="88">
        <v>2.798072438986476</v>
      </c>
      <c r="Z24" s="77">
        <v>6</v>
      </c>
      <c r="AA24" s="28">
        <v>0</v>
      </c>
      <c r="AB24" s="77">
        <v>10</v>
      </c>
      <c r="AC24" s="584">
        <v>64.33</v>
      </c>
      <c r="AD24" s="28">
        <v>62</v>
      </c>
      <c r="AE24" s="28">
        <v>20</v>
      </c>
      <c r="AF24" s="28">
        <v>11</v>
      </c>
      <c r="AG24" s="28">
        <v>89</v>
      </c>
      <c r="AH24" s="28">
        <v>0</v>
      </c>
      <c r="AI24" s="106">
        <v>1.1347738224778485</v>
      </c>
      <c r="AJ24" s="77">
        <v>8</v>
      </c>
      <c r="AK24" s="28">
        <v>5</v>
      </c>
      <c r="AL24" s="28">
        <v>0</v>
      </c>
      <c r="AM24" s="28">
        <v>0</v>
      </c>
      <c r="AN24" s="75">
        <v>22</v>
      </c>
      <c r="AQ24" s="101" t="s">
        <v>266</v>
      </c>
      <c r="AR24" s="77" t="s">
        <v>206</v>
      </c>
      <c r="AS24" s="77" t="s">
        <v>287</v>
      </c>
      <c r="AT24" s="135">
        <v>3.338709677419355</v>
      </c>
      <c r="AU24" s="77">
        <v>2</v>
      </c>
      <c r="AV24" s="28">
        <v>4</v>
      </c>
      <c r="AW24" s="77">
        <v>10</v>
      </c>
      <c r="AX24" s="584">
        <v>62</v>
      </c>
      <c r="AY24" s="28">
        <v>47</v>
      </c>
      <c r="AZ24" s="28">
        <v>23</v>
      </c>
      <c r="BA24" s="28">
        <v>31</v>
      </c>
      <c r="BB24" s="28">
        <v>45</v>
      </c>
      <c r="BC24" s="28">
        <v>0</v>
      </c>
      <c r="BD24" s="106">
        <v>1.2580645161290323</v>
      </c>
      <c r="BE24" s="77">
        <v>7</v>
      </c>
      <c r="BF24" s="28">
        <v>1</v>
      </c>
      <c r="BG24" s="28">
        <v>0</v>
      </c>
      <c r="BH24" s="28">
        <v>0</v>
      </c>
      <c r="BI24" s="75">
        <v>22</v>
      </c>
    </row>
    <row r="25" spans="1:61">
      <c r="A25" s="101" t="s">
        <v>266</v>
      </c>
      <c r="B25" s="71" t="s">
        <v>206</v>
      </c>
      <c r="C25" s="116" t="s">
        <v>285</v>
      </c>
      <c r="D25" s="89">
        <f>VLOOKUP(Table70[[#This Row],[NAME]],TOR_P[[NAME]:['#]],2,0)</f>
        <v>4.8378706433154148</v>
      </c>
      <c r="E25" s="77">
        <f>VLOOKUP(Table70[[#This Row],[NAME]],TOR_P[[NAME]:['#]],3,0)</f>
        <v>1</v>
      </c>
      <c r="F25" s="28">
        <f>VLOOKUP(Table70[[#This Row],[NAME]],TOR_P[[NAME]:['#]],4,0)</f>
        <v>4</v>
      </c>
      <c r="G25" s="77">
        <f>VLOOKUP(Table70[[#This Row],[NAME]],TOR_P[[NAME]:['#]],5,0)</f>
        <v>10</v>
      </c>
      <c r="H25" s="584">
        <f>VLOOKUP(Table70[[#This Row],[NAME]],TOR_P[[NAME]:['#]],6,0)</f>
        <v>57.67</v>
      </c>
      <c r="I25" s="76">
        <f>VLOOKUP(Table70[[#This Row],[NAME]],TOR_P[[NAME]:['#]],7,0)</f>
        <v>82</v>
      </c>
      <c r="J25" s="28">
        <f>VLOOKUP(Table70[[#This Row],[NAME]],TOR_P[[NAME]:['#]],8,0)</f>
        <v>31</v>
      </c>
      <c r="K25" s="28">
        <f>VLOOKUP(Table70[[#This Row],[NAME]],TOR_P[[NAME]:['#]],9,0)</f>
        <v>18</v>
      </c>
      <c r="L25" s="28">
        <f>VLOOKUP(Table70[[#This Row],[NAME]],TOR_P[[NAME]:['#]],10,0)</f>
        <v>50</v>
      </c>
      <c r="M25" s="28">
        <f>VLOOKUP(Table70[[#This Row],[NAME]],TOR_P[[NAME]:['#]],11,0)</f>
        <v>0</v>
      </c>
      <c r="N25" s="106">
        <f>VLOOKUP(Table70[[#This Row],[NAME]],TOR_P[[NAME]:['#]],12,0)</f>
        <v>1.7340038148083925</v>
      </c>
      <c r="O25" s="77">
        <f>VLOOKUP(Table70[[#This Row],[NAME]],TOR_P[[NAME]:['#]],13,0)</f>
        <v>4</v>
      </c>
      <c r="P25" s="28">
        <f>VLOOKUP(Table70[[#This Row],[NAME]],TOR_P[[NAME]:['#]],14,0)</f>
        <v>1</v>
      </c>
      <c r="Q25" s="28">
        <f>VLOOKUP(Table70[[#This Row],[NAME]],TOR_P[[NAME]:['#]],15,0)</f>
        <v>0</v>
      </c>
      <c r="R25" s="28">
        <f>VLOOKUP(Table70[[#This Row],[NAME]],TOR_P[[NAME]:['#]],16,0)</f>
        <v>0</v>
      </c>
      <c r="S25" s="75">
        <v>23</v>
      </c>
      <c r="V25" s="365" t="s">
        <v>266</v>
      </c>
      <c r="W25" s="77" t="s">
        <v>206</v>
      </c>
      <c r="X25" s="132" t="s">
        <v>285</v>
      </c>
      <c r="Y25" s="88">
        <v>3</v>
      </c>
      <c r="Z25" s="77">
        <v>3</v>
      </c>
      <c r="AA25" s="28">
        <v>4</v>
      </c>
      <c r="AB25" s="77">
        <v>10</v>
      </c>
      <c r="AC25" s="584">
        <v>63</v>
      </c>
      <c r="AD25" s="28">
        <v>60</v>
      </c>
      <c r="AE25" s="28">
        <v>21</v>
      </c>
      <c r="AF25" s="28">
        <v>15</v>
      </c>
      <c r="AG25" s="28">
        <v>49</v>
      </c>
      <c r="AH25" s="28">
        <v>0</v>
      </c>
      <c r="AI25" s="106">
        <v>1.1904761904761905</v>
      </c>
      <c r="AJ25" s="77">
        <v>9</v>
      </c>
      <c r="AK25" s="28">
        <v>2</v>
      </c>
      <c r="AL25" s="28">
        <v>0</v>
      </c>
      <c r="AM25" s="28">
        <v>0</v>
      </c>
      <c r="AN25" s="75">
        <v>23</v>
      </c>
      <c r="AQ25" s="101" t="s">
        <v>266</v>
      </c>
      <c r="AR25" s="77" t="s">
        <v>206</v>
      </c>
      <c r="AS25" s="77" t="s">
        <v>288</v>
      </c>
      <c r="AT25" s="135">
        <v>4.826546003016591</v>
      </c>
      <c r="AU25" s="77">
        <v>3</v>
      </c>
      <c r="AV25" s="28">
        <v>2</v>
      </c>
      <c r="AW25" s="77">
        <v>10</v>
      </c>
      <c r="AX25" s="584">
        <v>59.67</v>
      </c>
      <c r="AY25" s="28">
        <v>61</v>
      </c>
      <c r="AZ25" s="28">
        <v>32</v>
      </c>
      <c r="BA25" s="28">
        <v>16</v>
      </c>
      <c r="BB25" s="28">
        <v>45</v>
      </c>
      <c r="BC25" s="28">
        <v>0</v>
      </c>
      <c r="BD25" s="106">
        <v>1.290430702195408</v>
      </c>
      <c r="BE25" s="77">
        <v>4</v>
      </c>
      <c r="BF25" s="28">
        <v>1</v>
      </c>
      <c r="BG25" s="28">
        <v>0</v>
      </c>
      <c r="BH25" s="28">
        <v>0</v>
      </c>
      <c r="BI25" s="75">
        <v>23</v>
      </c>
    </row>
    <row r="26" spans="1:61">
      <c r="A26" s="101" t="s">
        <v>266</v>
      </c>
      <c r="B26" s="71" t="s">
        <v>206</v>
      </c>
      <c r="C26" s="116" t="s">
        <v>289</v>
      </c>
      <c r="D26" s="89">
        <f>VLOOKUP(Table70[[#This Row],[NAME]],TOR_P[[NAME]:['#]],2,0)</f>
        <v>5.4945054945054945</v>
      </c>
      <c r="E26" s="77">
        <f>VLOOKUP(Table70[[#This Row],[NAME]],TOR_P[[NAME]:['#]],3,0)</f>
        <v>6</v>
      </c>
      <c r="F26" s="28">
        <f>VLOOKUP(Table70[[#This Row],[NAME]],TOR_P[[NAME]:['#]],4,0)</f>
        <v>3</v>
      </c>
      <c r="G26" s="77">
        <f>VLOOKUP(Table70[[#This Row],[NAME]],TOR_P[[NAME]:['#]],5,0)</f>
        <v>10</v>
      </c>
      <c r="H26" s="584">
        <f>VLOOKUP(Table70[[#This Row],[NAME]],TOR_P[[NAME]:['#]],6,0)</f>
        <v>57.33</v>
      </c>
      <c r="I26" s="28">
        <f>VLOOKUP(Table70[[#This Row],[NAME]],TOR_P[[NAME]:['#]],7,0)</f>
        <v>67</v>
      </c>
      <c r="J26" s="28">
        <f>VLOOKUP(Table70[[#This Row],[NAME]],TOR_P[[NAME]:['#]],8,0)</f>
        <v>35</v>
      </c>
      <c r="K26" s="28">
        <f>VLOOKUP(Table70[[#This Row],[NAME]],TOR_P[[NAME]:['#]],9,0)</f>
        <v>17</v>
      </c>
      <c r="L26" s="28">
        <f>VLOOKUP(Table70[[#This Row],[NAME]],TOR_P[[NAME]:['#]],10,0)</f>
        <v>43</v>
      </c>
      <c r="M26" s="28">
        <f>VLOOKUP(Table70[[#This Row],[NAME]],TOR_P[[NAME]:['#]],11,0)</f>
        <v>0</v>
      </c>
      <c r="N26" s="106">
        <f>VLOOKUP(Table70[[#This Row],[NAME]],TOR_P[[NAME]:['#]],12,0)</f>
        <v>1.4652014652014653</v>
      </c>
      <c r="O26" s="77">
        <f>VLOOKUP(Table70[[#This Row],[NAME]],TOR_P[[NAME]:['#]],13,0)</f>
        <v>4</v>
      </c>
      <c r="P26" s="28">
        <f>VLOOKUP(Table70[[#This Row],[NAME]],TOR_P[[NAME]:['#]],14,0)</f>
        <v>2</v>
      </c>
      <c r="Q26" s="28">
        <f>VLOOKUP(Table70[[#This Row],[NAME]],TOR_P[[NAME]:['#]],15,0)</f>
        <v>0</v>
      </c>
      <c r="R26" s="28">
        <f>VLOOKUP(Table70[[#This Row],[NAME]],TOR_P[[NAME]:['#]],16,0)</f>
        <v>0</v>
      </c>
      <c r="S26" s="75">
        <v>24</v>
      </c>
      <c r="V26" s="365" t="s">
        <v>266</v>
      </c>
      <c r="W26" s="77" t="s">
        <v>206</v>
      </c>
      <c r="X26" s="132" t="s">
        <v>289</v>
      </c>
      <c r="Y26" s="88">
        <v>3.0616978506262562</v>
      </c>
      <c r="Z26" s="77">
        <v>7</v>
      </c>
      <c r="AA26" s="28">
        <v>2</v>
      </c>
      <c r="AB26" s="77">
        <v>10</v>
      </c>
      <c r="AC26" s="584">
        <v>64.67</v>
      </c>
      <c r="AD26" s="28">
        <v>63</v>
      </c>
      <c r="AE26" s="28">
        <v>22</v>
      </c>
      <c r="AF26" s="28">
        <v>18</v>
      </c>
      <c r="AG26" s="28">
        <v>53</v>
      </c>
      <c r="AH26" s="28">
        <v>0</v>
      </c>
      <c r="AI26" s="106">
        <v>1.2525127570743775</v>
      </c>
      <c r="AJ26" s="77">
        <v>7</v>
      </c>
      <c r="AK26" s="28">
        <v>1</v>
      </c>
      <c r="AL26" s="28">
        <v>0</v>
      </c>
      <c r="AM26" s="28">
        <v>0</v>
      </c>
      <c r="AN26" s="75">
        <v>24</v>
      </c>
      <c r="AQ26" s="101" t="s">
        <v>266</v>
      </c>
      <c r="AR26" s="77" t="s">
        <v>206</v>
      </c>
      <c r="AS26" s="77" t="s">
        <v>284</v>
      </c>
      <c r="AT26" s="135">
        <v>3.6635006784260518</v>
      </c>
      <c r="AU26" s="77">
        <v>4</v>
      </c>
      <c r="AV26" s="28">
        <v>3</v>
      </c>
      <c r="AW26" s="77">
        <v>10</v>
      </c>
      <c r="AX26" s="584">
        <v>66.33</v>
      </c>
      <c r="AY26" s="28">
        <v>56</v>
      </c>
      <c r="AZ26" s="28">
        <v>27</v>
      </c>
      <c r="BA26" s="28">
        <v>23</v>
      </c>
      <c r="BB26" s="28">
        <v>74</v>
      </c>
      <c r="BC26" s="28">
        <v>0</v>
      </c>
      <c r="BD26" s="106">
        <v>1.1910146238504449</v>
      </c>
      <c r="BE26" s="77">
        <v>8</v>
      </c>
      <c r="BF26" s="28">
        <v>5</v>
      </c>
      <c r="BG26" s="28">
        <v>1</v>
      </c>
      <c r="BH26" s="28">
        <v>0</v>
      </c>
      <c r="BI26" s="75">
        <v>24</v>
      </c>
    </row>
    <row r="27" spans="1:61">
      <c r="A27" s="101" t="s">
        <v>266</v>
      </c>
      <c r="B27" s="71" t="s">
        <v>212</v>
      </c>
      <c r="C27" s="116" t="s">
        <v>287</v>
      </c>
      <c r="D27" s="89">
        <f>VLOOKUP(Table70[[#This Row],[NAME]],TOR_P[[NAME]:['#]],2,0)</f>
        <v>2.8636363636363638</v>
      </c>
      <c r="E27" s="77">
        <f>VLOOKUP(Table70[[#This Row],[NAME]],TOR_P[[NAME]:['#]],3,0)</f>
        <v>2</v>
      </c>
      <c r="F27" s="28">
        <f>VLOOKUP(Table70[[#This Row],[NAME]],TOR_P[[NAME]:['#]],4,0)</f>
        <v>1</v>
      </c>
      <c r="G27" s="77">
        <f>VLOOKUP(Table70[[#This Row],[NAME]],TOR_P[[NAME]:['#]],5,0)</f>
        <v>13</v>
      </c>
      <c r="H27" s="584">
        <f>VLOOKUP(Table70[[#This Row],[NAME]],TOR_P[[NAME]:['#]],6,0)</f>
        <v>22</v>
      </c>
      <c r="I27" s="28">
        <f>VLOOKUP(Table70[[#This Row],[NAME]],TOR_P[[NAME]:['#]],7,0)</f>
        <v>23</v>
      </c>
      <c r="J27" s="28">
        <f>VLOOKUP(Table70[[#This Row],[NAME]],TOR_P[[NAME]:['#]],8,0)</f>
        <v>7</v>
      </c>
      <c r="K27" s="28">
        <f>VLOOKUP(Table70[[#This Row],[NAME]],TOR_P[[NAME]:['#]],9,0)</f>
        <v>10</v>
      </c>
      <c r="L27" s="28">
        <f>VLOOKUP(Table70[[#This Row],[NAME]],TOR_P[[NAME]:['#]],10,0)</f>
        <v>13</v>
      </c>
      <c r="M27" s="28">
        <f>VLOOKUP(Table70[[#This Row],[NAME]],TOR_P[[NAME]:['#]],11,0)</f>
        <v>0</v>
      </c>
      <c r="N27" s="106">
        <f>VLOOKUP(Table70[[#This Row],[NAME]],TOR_P[[NAME]:['#]],12,0)</f>
        <v>1.5</v>
      </c>
      <c r="O27" s="77">
        <f>VLOOKUP(Table70[[#This Row],[NAME]],TOR_P[[NAME]:['#]],13,0)</f>
        <v>0</v>
      </c>
      <c r="P27" s="28">
        <f>VLOOKUP(Table70[[#This Row],[NAME]],TOR_P[[NAME]:['#]],14,0)</f>
        <v>0</v>
      </c>
      <c r="Q27" s="28">
        <f>VLOOKUP(Table70[[#This Row],[NAME]],TOR_P[[NAME]:['#]],15,0)</f>
        <v>0</v>
      </c>
      <c r="R27" s="28">
        <f>VLOOKUP(Table70[[#This Row],[NAME]],TOR_P[[NAME]:['#]],16,0)</f>
        <v>0</v>
      </c>
      <c r="S27" s="75">
        <v>25</v>
      </c>
      <c r="V27" s="365" t="s">
        <v>266</v>
      </c>
      <c r="W27" s="77" t="s">
        <v>212</v>
      </c>
      <c r="X27" s="132" t="s">
        <v>291</v>
      </c>
      <c r="Y27" s="88">
        <v>3.6353144835545299</v>
      </c>
      <c r="Z27" s="77">
        <v>2</v>
      </c>
      <c r="AA27" s="28">
        <v>1</v>
      </c>
      <c r="AB27" s="77">
        <v>10</v>
      </c>
      <c r="AC27" s="584">
        <v>17.329999999999998</v>
      </c>
      <c r="AD27" s="28">
        <v>13</v>
      </c>
      <c r="AE27" s="28">
        <v>7</v>
      </c>
      <c r="AF27" s="28">
        <v>8</v>
      </c>
      <c r="AG27" s="28">
        <v>23</v>
      </c>
      <c r="AH27" s="28">
        <v>0</v>
      </c>
      <c r="AI27" s="106">
        <v>1.2117714945181768</v>
      </c>
      <c r="AJ27" s="77">
        <v>0</v>
      </c>
      <c r="AK27" s="28">
        <v>0</v>
      </c>
      <c r="AL27" s="28">
        <v>0</v>
      </c>
      <c r="AM27" s="28">
        <v>0</v>
      </c>
      <c r="AN27" s="75">
        <v>25</v>
      </c>
      <c r="AQ27" s="101" t="s">
        <v>266</v>
      </c>
      <c r="AR27" s="77" t="s">
        <v>215</v>
      </c>
      <c r="AS27" s="77" t="s">
        <v>291</v>
      </c>
      <c r="AT27" s="135">
        <v>5.0869565217391308</v>
      </c>
      <c r="AU27" s="77">
        <v>2</v>
      </c>
      <c r="AV27" s="28">
        <v>2</v>
      </c>
      <c r="AW27" s="77">
        <v>12</v>
      </c>
      <c r="AX27" s="584">
        <v>23</v>
      </c>
      <c r="AY27" s="28">
        <v>22</v>
      </c>
      <c r="AZ27" s="28">
        <v>13</v>
      </c>
      <c r="BA27" s="28">
        <v>14</v>
      </c>
      <c r="BB27" s="28">
        <v>19</v>
      </c>
      <c r="BC27" s="28">
        <v>0</v>
      </c>
      <c r="BD27" s="106">
        <v>1.5652173913043479</v>
      </c>
      <c r="BE27" s="77">
        <v>0</v>
      </c>
      <c r="BF27" s="28">
        <v>0</v>
      </c>
      <c r="BG27" s="28">
        <v>0</v>
      </c>
      <c r="BH27" s="28">
        <v>0</v>
      </c>
      <c r="BI27" s="75">
        <v>25</v>
      </c>
    </row>
    <row r="28" spans="1:61">
      <c r="A28" s="101" t="s">
        <v>266</v>
      </c>
      <c r="B28" s="71" t="s">
        <v>212</v>
      </c>
      <c r="C28" s="116" t="s">
        <v>293</v>
      </c>
      <c r="D28" s="89">
        <f>VLOOKUP(Table70[[#This Row],[NAME]],TOR_P[[NAME]:['#]],2,0)</f>
        <v>6.3548102383053839</v>
      </c>
      <c r="E28" s="77">
        <f>VLOOKUP(Table70[[#This Row],[NAME]],TOR_P[[NAME]:['#]],3,0)</f>
        <v>0</v>
      </c>
      <c r="F28" s="28">
        <f>VLOOKUP(Table70[[#This Row],[NAME]],TOR_P[[NAME]:['#]],4,0)</f>
        <v>0</v>
      </c>
      <c r="G28" s="77">
        <f>VLOOKUP(Table70[[#This Row],[NAME]],TOR_P[[NAME]:['#]],5,0)</f>
        <v>9</v>
      </c>
      <c r="H28" s="584">
        <f>VLOOKUP(Table70[[#This Row],[NAME]],TOR_P[[NAME]:['#]],6,0)</f>
        <v>11.33</v>
      </c>
      <c r="I28" s="28">
        <f>VLOOKUP(Table70[[#This Row],[NAME]],TOR_P[[NAME]:['#]],7,0)</f>
        <v>13</v>
      </c>
      <c r="J28" s="28">
        <f>VLOOKUP(Table70[[#This Row],[NAME]],TOR_P[[NAME]:['#]],8,0)</f>
        <v>8</v>
      </c>
      <c r="K28" s="28">
        <f>VLOOKUP(Table70[[#This Row],[NAME]],TOR_P[[NAME]:['#]],9,0)</f>
        <v>2</v>
      </c>
      <c r="L28" s="28">
        <f>VLOOKUP(Table70[[#This Row],[NAME]],TOR_P[[NAME]:['#]],10,0)</f>
        <v>9</v>
      </c>
      <c r="M28" s="28">
        <f>VLOOKUP(Table70[[#This Row],[NAME]],TOR_P[[NAME]:['#]],11,0)</f>
        <v>0</v>
      </c>
      <c r="N28" s="106">
        <f>VLOOKUP(Table70[[#This Row],[NAME]],TOR_P[[NAME]:['#]],12,0)</f>
        <v>1.323918799646955</v>
      </c>
      <c r="O28" s="77">
        <f>VLOOKUP(Table70[[#This Row],[NAME]],TOR_P[[NAME]:['#]],13,0)</f>
        <v>0</v>
      </c>
      <c r="P28" s="28">
        <f>VLOOKUP(Table70[[#This Row],[NAME]],TOR_P[[NAME]:['#]],14,0)</f>
        <v>0</v>
      </c>
      <c r="Q28" s="28">
        <f>VLOOKUP(Table70[[#This Row],[NAME]],TOR_P[[NAME]:['#]],15,0)</f>
        <v>0</v>
      </c>
      <c r="R28" s="28">
        <f>VLOOKUP(Table70[[#This Row],[NAME]],TOR_P[[NAME]:['#]],16,0)</f>
        <v>0</v>
      </c>
      <c r="S28" s="75">
        <v>26</v>
      </c>
      <c r="V28" s="365" t="s">
        <v>266</v>
      </c>
      <c r="W28" s="77" t="s">
        <v>212</v>
      </c>
      <c r="X28" s="132" t="s">
        <v>293</v>
      </c>
      <c r="Y28" s="88">
        <v>5.7815845824411136</v>
      </c>
      <c r="Z28" s="77">
        <v>0</v>
      </c>
      <c r="AA28" s="28">
        <v>0</v>
      </c>
      <c r="AB28" s="77">
        <v>3</v>
      </c>
      <c r="AC28" s="584">
        <v>4.67</v>
      </c>
      <c r="AD28" s="28">
        <v>3</v>
      </c>
      <c r="AE28" s="28">
        <v>3</v>
      </c>
      <c r="AF28" s="28">
        <v>4</v>
      </c>
      <c r="AG28" s="28">
        <v>5</v>
      </c>
      <c r="AH28" s="28">
        <v>0</v>
      </c>
      <c r="AI28" s="106">
        <v>1.4989293361884368</v>
      </c>
      <c r="AJ28" s="77">
        <v>0</v>
      </c>
      <c r="AK28" s="28">
        <v>0</v>
      </c>
      <c r="AL28" s="28">
        <v>0</v>
      </c>
      <c r="AM28" s="28">
        <v>0</v>
      </c>
      <c r="AN28" s="75">
        <v>26</v>
      </c>
      <c r="AQ28" s="101" t="s">
        <v>266</v>
      </c>
      <c r="AR28" s="77" t="s">
        <v>215</v>
      </c>
      <c r="AS28" s="77" t="s">
        <v>293</v>
      </c>
      <c r="AT28" s="135">
        <v>7.0404172099087354</v>
      </c>
      <c r="AU28" s="77">
        <v>1</v>
      </c>
      <c r="AV28" s="28">
        <v>0</v>
      </c>
      <c r="AW28" s="77">
        <v>11</v>
      </c>
      <c r="AX28" s="584">
        <v>7.67</v>
      </c>
      <c r="AY28" s="28">
        <v>10</v>
      </c>
      <c r="AZ28" s="28">
        <v>6</v>
      </c>
      <c r="BA28" s="28">
        <v>5</v>
      </c>
      <c r="BB28" s="28">
        <v>7</v>
      </c>
      <c r="BC28" s="28">
        <v>0</v>
      </c>
      <c r="BD28" s="106">
        <v>1.955671447196871</v>
      </c>
      <c r="BE28" s="77">
        <v>0</v>
      </c>
      <c r="BF28" s="28">
        <v>0</v>
      </c>
      <c r="BG28" s="28">
        <v>0</v>
      </c>
      <c r="BH28" s="28">
        <v>0</v>
      </c>
      <c r="BI28" s="75">
        <v>26</v>
      </c>
    </row>
    <row r="29" spans="1:61">
      <c r="A29" s="101" t="s">
        <v>266</v>
      </c>
      <c r="B29" s="71" t="s">
        <v>212</v>
      </c>
      <c r="C29" s="116" t="s">
        <v>292</v>
      </c>
      <c r="D29" s="89">
        <f>VLOOKUP(Table70[[#This Row],[NAME]],TOR_P[[NAME]:['#]],2,0)</f>
        <v>2.1595680863827234</v>
      </c>
      <c r="E29" s="77">
        <f>VLOOKUP(Table70[[#This Row],[NAME]],TOR_P[[NAME]:['#]],3,0)</f>
        <v>1</v>
      </c>
      <c r="F29" s="28">
        <f>VLOOKUP(Table70[[#This Row],[NAME]],TOR_P[[NAME]:['#]],4,0)</f>
        <v>1</v>
      </c>
      <c r="G29" s="77">
        <f>VLOOKUP(Table70[[#This Row],[NAME]],TOR_P[[NAME]:['#]],5,0)</f>
        <v>12</v>
      </c>
      <c r="H29" s="584">
        <f>VLOOKUP(Table70[[#This Row],[NAME]],TOR_P[[NAME]:['#]],6,0)</f>
        <v>16.670000000000002</v>
      </c>
      <c r="I29" s="28">
        <f>VLOOKUP(Table70[[#This Row],[NAME]],TOR_P[[NAME]:['#]],7,0)</f>
        <v>14</v>
      </c>
      <c r="J29" s="28">
        <f>VLOOKUP(Table70[[#This Row],[NAME]],TOR_P[[NAME]:['#]],8,0)</f>
        <v>4</v>
      </c>
      <c r="K29" s="28">
        <f>VLOOKUP(Table70[[#This Row],[NAME]],TOR_P[[NAME]:['#]],9,0)</f>
        <v>2</v>
      </c>
      <c r="L29" s="28">
        <f>VLOOKUP(Table70[[#This Row],[NAME]],TOR_P[[NAME]:['#]],10,0)</f>
        <v>11</v>
      </c>
      <c r="M29" s="28">
        <f>VLOOKUP(Table70[[#This Row],[NAME]],TOR_P[[NAME]:['#]],11,0)</f>
        <v>0</v>
      </c>
      <c r="N29" s="106">
        <f>VLOOKUP(Table70[[#This Row],[NAME]],TOR_P[[NAME]:['#]],12,0)</f>
        <v>0.95980803839232143</v>
      </c>
      <c r="O29" s="77">
        <f>VLOOKUP(Table70[[#This Row],[NAME]],TOR_P[[NAME]:['#]],13,0)</f>
        <v>0</v>
      </c>
      <c r="P29" s="28">
        <f>VLOOKUP(Table70[[#This Row],[NAME]],TOR_P[[NAME]:['#]],14,0)</f>
        <v>0</v>
      </c>
      <c r="Q29" s="28">
        <f>VLOOKUP(Table70[[#This Row],[NAME]],TOR_P[[NAME]:['#]],15,0)</f>
        <v>0</v>
      </c>
      <c r="R29" s="28">
        <f>VLOOKUP(Table70[[#This Row],[NAME]],TOR_P[[NAME]:['#]],16,0)</f>
        <v>0</v>
      </c>
      <c r="S29" s="75">
        <v>27</v>
      </c>
      <c r="V29" s="365" t="s">
        <v>266</v>
      </c>
      <c r="W29" s="77" t="s">
        <v>212</v>
      </c>
      <c r="X29" s="132" t="s">
        <v>292</v>
      </c>
      <c r="Y29" s="88">
        <v>3.6</v>
      </c>
      <c r="Z29" s="77">
        <v>2</v>
      </c>
      <c r="AA29" s="28">
        <v>0</v>
      </c>
      <c r="AB29" s="77">
        <v>9</v>
      </c>
      <c r="AC29" s="584">
        <v>10</v>
      </c>
      <c r="AD29" s="28">
        <v>11</v>
      </c>
      <c r="AE29" s="28">
        <v>4</v>
      </c>
      <c r="AF29" s="28">
        <v>2</v>
      </c>
      <c r="AG29" s="28">
        <v>9</v>
      </c>
      <c r="AH29" s="28">
        <v>0</v>
      </c>
      <c r="AI29" s="106">
        <v>1.3</v>
      </c>
      <c r="AJ29" s="77">
        <v>0</v>
      </c>
      <c r="AK29" s="28">
        <v>0</v>
      </c>
      <c r="AL29" s="28">
        <v>0</v>
      </c>
      <c r="AM29" s="28">
        <v>0</v>
      </c>
      <c r="AN29" s="75">
        <v>27</v>
      </c>
      <c r="AQ29" s="101" t="s">
        <v>266</v>
      </c>
      <c r="AR29" s="77" t="s">
        <v>212</v>
      </c>
      <c r="AS29" s="77" t="s">
        <v>292</v>
      </c>
      <c r="AT29" s="135">
        <v>4.8696507624200693</v>
      </c>
      <c r="AU29" s="77">
        <v>1</v>
      </c>
      <c r="AV29" s="28">
        <v>2</v>
      </c>
      <c r="AW29" s="77">
        <v>21</v>
      </c>
      <c r="AX29" s="584">
        <v>20.329999999999998</v>
      </c>
      <c r="AY29" s="28">
        <v>25</v>
      </c>
      <c r="AZ29" s="28">
        <v>11</v>
      </c>
      <c r="BA29" s="28">
        <v>6</v>
      </c>
      <c r="BB29" s="28">
        <v>17</v>
      </c>
      <c r="BC29" s="28">
        <v>0</v>
      </c>
      <c r="BD29" s="106">
        <v>1.5248401377274965</v>
      </c>
      <c r="BE29" s="77">
        <v>0</v>
      </c>
      <c r="BF29" s="28">
        <v>0</v>
      </c>
      <c r="BG29" s="28">
        <v>0</v>
      </c>
      <c r="BH29" s="28">
        <v>0</v>
      </c>
      <c r="BI29" s="75">
        <v>27</v>
      </c>
    </row>
    <row r="30" spans="1:61">
      <c r="A30" s="101" t="s">
        <v>266</v>
      </c>
      <c r="B30" s="71" t="s">
        <v>212</v>
      </c>
      <c r="C30" s="116" t="s">
        <v>294</v>
      </c>
      <c r="D30" s="89">
        <f>VLOOKUP(Table70[[#This Row],[NAME]],TOR_P[[NAME]:['#]],2,0)</f>
        <v>6.0957910014513779</v>
      </c>
      <c r="E30" s="77">
        <f>VLOOKUP(Table70[[#This Row],[NAME]],TOR_P[[NAME]:['#]],3,0)</f>
        <v>0</v>
      </c>
      <c r="F30" s="28">
        <f>VLOOKUP(Table70[[#This Row],[NAME]],TOR_P[[NAME]:['#]],4,0)</f>
        <v>1</v>
      </c>
      <c r="G30" s="77">
        <f>VLOOKUP(Table70[[#This Row],[NAME]],TOR_P[[NAME]:['#]],5,0)</f>
        <v>19</v>
      </c>
      <c r="H30" s="584">
        <f>VLOOKUP(Table70[[#This Row],[NAME]],TOR_P[[NAME]:['#]],6,0)</f>
        <v>20.67</v>
      </c>
      <c r="I30" s="28">
        <f>VLOOKUP(Table70[[#This Row],[NAME]],TOR_P[[NAME]:['#]],7,0)</f>
        <v>24</v>
      </c>
      <c r="J30" s="28">
        <f>VLOOKUP(Table70[[#This Row],[NAME]],TOR_P[[NAME]:['#]],8,0)</f>
        <v>14</v>
      </c>
      <c r="K30" s="28">
        <f>VLOOKUP(Table70[[#This Row],[NAME]],TOR_P[[NAME]:['#]],9,0)</f>
        <v>7</v>
      </c>
      <c r="L30" s="28">
        <f>VLOOKUP(Table70[[#This Row],[NAME]],TOR_P[[NAME]:['#]],10,0)</f>
        <v>20</v>
      </c>
      <c r="M30" s="28">
        <f>VLOOKUP(Table70[[#This Row],[NAME]],TOR_P[[NAME]:['#]],11,0)</f>
        <v>1</v>
      </c>
      <c r="N30" s="106">
        <f>VLOOKUP(Table70[[#This Row],[NAME]],TOR_P[[NAME]:['#]],12,0)</f>
        <v>1.4997581035316883</v>
      </c>
      <c r="O30" s="77">
        <f>VLOOKUP(Table70[[#This Row],[NAME]],TOR_P[[NAME]:['#]],13,0)</f>
        <v>0</v>
      </c>
      <c r="P30" s="28">
        <f>VLOOKUP(Table70[[#This Row],[NAME]],TOR_P[[NAME]:['#]],14,0)</f>
        <v>0</v>
      </c>
      <c r="Q30" s="28">
        <f>VLOOKUP(Table70[[#This Row],[NAME]],TOR_P[[NAME]:['#]],15,0)</f>
        <v>0</v>
      </c>
      <c r="R30" s="28">
        <f>VLOOKUP(Table70[[#This Row],[NAME]],TOR_P[[NAME]:['#]],16,0)</f>
        <v>0</v>
      </c>
      <c r="S30" s="75">
        <v>28</v>
      </c>
      <c r="V30" s="365" t="s">
        <v>266</v>
      </c>
      <c r="W30" s="77" t="s">
        <v>212</v>
      </c>
      <c r="X30" s="132" t="s">
        <v>294</v>
      </c>
      <c r="Y30" s="88">
        <v>1.55799192152337</v>
      </c>
      <c r="Z30" s="77">
        <v>0</v>
      </c>
      <c r="AA30" s="28">
        <v>0</v>
      </c>
      <c r="AB30" s="77">
        <v>14</v>
      </c>
      <c r="AC30" s="584">
        <v>17.329999999999998</v>
      </c>
      <c r="AD30" s="28">
        <v>11</v>
      </c>
      <c r="AE30" s="28">
        <v>3</v>
      </c>
      <c r="AF30" s="28">
        <v>0</v>
      </c>
      <c r="AG30" s="28">
        <v>15</v>
      </c>
      <c r="AH30" s="28">
        <v>0</v>
      </c>
      <c r="AI30" s="592">
        <v>0.63473744950952116</v>
      </c>
      <c r="AJ30" s="77">
        <v>0</v>
      </c>
      <c r="AK30" s="28">
        <v>0</v>
      </c>
      <c r="AL30" s="28">
        <v>0</v>
      </c>
      <c r="AM30" s="28">
        <v>0</v>
      </c>
      <c r="AN30" s="75">
        <v>28</v>
      </c>
      <c r="AQ30" s="101" t="s">
        <v>266</v>
      </c>
      <c r="AR30" s="77" t="s">
        <v>212</v>
      </c>
      <c r="AS30" s="77" t="s">
        <v>294</v>
      </c>
      <c r="AT30" s="135">
        <v>4.0510127531882967</v>
      </c>
      <c r="AU30" s="77">
        <v>0</v>
      </c>
      <c r="AV30" s="28">
        <v>0</v>
      </c>
      <c r="AW30" s="77">
        <v>10</v>
      </c>
      <c r="AX30" s="584">
        <v>13.33</v>
      </c>
      <c r="AY30" s="28">
        <v>8</v>
      </c>
      <c r="AZ30" s="28">
        <v>6</v>
      </c>
      <c r="BA30" s="28">
        <v>9</v>
      </c>
      <c r="BB30" s="28">
        <v>12</v>
      </c>
      <c r="BC30" s="28">
        <v>0</v>
      </c>
      <c r="BD30" s="106">
        <v>1.2753188297074269</v>
      </c>
      <c r="BE30" s="77">
        <v>0</v>
      </c>
      <c r="BF30" s="28">
        <v>0</v>
      </c>
      <c r="BG30" s="28">
        <v>0</v>
      </c>
      <c r="BH30" s="28">
        <v>0</v>
      </c>
      <c r="BI30" s="75">
        <v>28</v>
      </c>
    </row>
    <row r="31" spans="1:61">
      <c r="A31" s="101" t="s">
        <v>266</v>
      </c>
      <c r="B31" s="71" t="s">
        <v>212</v>
      </c>
      <c r="C31" s="116" t="s">
        <v>295</v>
      </c>
      <c r="D31" s="89">
        <f>VLOOKUP(Table70[[#This Row],[NAME]],TOR_P[[NAME]:['#]],2,0)</f>
        <v>3.5530990919857879</v>
      </c>
      <c r="E31" s="77">
        <f>VLOOKUP(Table70[[#This Row],[NAME]],TOR_P[[NAME]:['#]],3,0)</f>
        <v>0</v>
      </c>
      <c r="F31" s="28">
        <f>VLOOKUP(Table70[[#This Row],[NAME]],TOR_P[[NAME]:['#]],4,0)</f>
        <v>1</v>
      </c>
      <c r="G31" s="77">
        <f>VLOOKUP(Table70[[#This Row],[NAME]],TOR_P[[NAME]:['#]],5,0)</f>
        <v>21</v>
      </c>
      <c r="H31" s="584">
        <f>VLOOKUP(Table70[[#This Row],[NAME]],TOR_P[[NAME]:['#]],6,0)</f>
        <v>25.33</v>
      </c>
      <c r="I31" s="28">
        <f>VLOOKUP(Table70[[#This Row],[NAME]],TOR_P[[NAME]:['#]],7,0)</f>
        <v>23</v>
      </c>
      <c r="J31" s="28">
        <f>VLOOKUP(Table70[[#This Row],[NAME]],TOR_P[[NAME]:['#]],8,0)</f>
        <v>10</v>
      </c>
      <c r="K31" s="28">
        <f>VLOOKUP(Table70[[#This Row],[NAME]],TOR_P[[NAME]:['#]],9,0)</f>
        <v>6</v>
      </c>
      <c r="L31" s="28">
        <f>VLOOKUP(Table70[[#This Row],[NAME]],TOR_P[[NAME]:['#]],10,0)</f>
        <v>34</v>
      </c>
      <c r="M31" s="28">
        <f>VLOOKUP(Table70[[#This Row],[NAME]],TOR_P[[NAME]:['#]],11,0)</f>
        <v>0</v>
      </c>
      <c r="N31" s="106">
        <f>VLOOKUP(Table70[[#This Row],[NAME]],TOR_P[[NAME]:['#]],12,0)</f>
        <v>1.1448874851954205</v>
      </c>
      <c r="O31" s="77">
        <f>VLOOKUP(Table70[[#This Row],[NAME]],TOR_P[[NAME]:['#]],13,0)</f>
        <v>0</v>
      </c>
      <c r="P31" s="28">
        <f>VLOOKUP(Table70[[#This Row],[NAME]],TOR_P[[NAME]:['#]],14,0)</f>
        <v>0</v>
      </c>
      <c r="Q31" s="28">
        <f>VLOOKUP(Table70[[#This Row],[NAME]],TOR_P[[NAME]:['#]],15,0)</f>
        <v>0</v>
      </c>
      <c r="R31" s="28">
        <f>VLOOKUP(Table70[[#This Row],[NAME]],TOR_P[[NAME]:['#]],16,0)</f>
        <v>0</v>
      </c>
      <c r="S31" s="75">
        <v>29</v>
      </c>
      <c r="V31" s="365" t="s">
        <v>266</v>
      </c>
      <c r="W31" s="77" t="s">
        <v>212</v>
      </c>
      <c r="X31" s="132" t="s">
        <v>295</v>
      </c>
      <c r="Y31" s="88">
        <v>4.5</v>
      </c>
      <c r="Z31" s="77">
        <v>0</v>
      </c>
      <c r="AA31" s="28">
        <v>1</v>
      </c>
      <c r="AB31" s="77">
        <v>19</v>
      </c>
      <c r="AC31" s="584">
        <v>20</v>
      </c>
      <c r="AD31" s="28">
        <v>19</v>
      </c>
      <c r="AE31" s="28">
        <v>10</v>
      </c>
      <c r="AF31" s="28">
        <v>8</v>
      </c>
      <c r="AG31" s="28">
        <v>17</v>
      </c>
      <c r="AH31" s="28">
        <v>0</v>
      </c>
      <c r="AI31" s="106">
        <v>1.35</v>
      </c>
      <c r="AJ31" s="77">
        <v>0</v>
      </c>
      <c r="AK31" s="28">
        <v>0</v>
      </c>
      <c r="AL31" s="28">
        <v>0</v>
      </c>
      <c r="AM31" s="28">
        <v>0</v>
      </c>
      <c r="AN31" s="75">
        <v>29</v>
      </c>
      <c r="AQ31" s="101" t="s">
        <v>266</v>
      </c>
      <c r="AR31" s="77" t="s">
        <v>215</v>
      </c>
      <c r="AS31" s="77" t="s">
        <v>290</v>
      </c>
      <c r="AT31" s="135">
        <v>10.624692572552878</v>
      </c>
      <c r="AU31" s="77">
        <v>0</v>
      </c>
      <c r="AV31" s="28">
        <v>1</v>
      </c>
      <c r="AW31" s="77">
        <v>21</v>
      </c>
      <c r="AX31" s="584">
        <v>20.329999999999998</v>
      </c>
      <c r="AY31" s="28">
        <v>38</v>
      </c>
      <c r="AZ31" s="28">
        <v>24</v>
      </c>
      <c r="BA31" s="28">
        <v>10</v>
      </c>
      <c r="BB31" s="28">
        <v>12</v>
      </c>
      <c r="BC31" s="28">
        <v>1</v>
      </c>
      <c r="BD31" s="106">
        <v>2.3610427939006398</v>
      </c>
      <c r="BE31" s="77">
        <v>0</v>
      </c>
      <c r="BF31" s="28">
        <v>0</v>
      </c>
      <c r="BG31" s="28">
        <v>0</v>
      </c>
      <c r="BH31" s="28">
        <v>0</v>
      </c>
      <c r="BI31" s="75">
        <v>29</v>
      </c>
    </row>
    <row r="32" spans="1:61">
      <c r="A32" s="101" t="s">
        <v>266</v>
      </c>
      <c r="B32" s="71" t="s">
        <v>212</v>
      </c>
      <c r="C32" s="71" t="s">
        <v>296</v>
      </c>
      <c r="D32" s="89">
        <f>VLOOKUP(Table70[[#This Row],[NAME]],TOR_P[[NAME]:['#]],2,0)</f>
        <v>4.2284062161185396</v>
      </c>
      <c r="E32" s="77">
        <f>VLOOKUP(Table70[[#This Row],[NAME]],TOR_P[[NAME]:['#]],3,0)</f>
        <v>3</v>
      </c>
      <c r="F32" s="28">
        <f>VLOOKUP(Table70[[#This Row],[NAME]],TOR_P[[NAME]:['#]],4,0)</f>
        <v>2</v>
      </c>
      <c r="G32" s="77">
        <f>VLOOKUP(Table70[[#This Row],[NAME]],TOR_P[[NAME]:['#]],5,0)</f>
        <v>23</v>
      </c>
      <c r="H32" s="584">
        <f>VLOOKUP(Table70[[#This Row],[NAME]],TOR_P[[NAME]:['#]],6,0)</f>
        <v>27.67</v>
      </c>
      <c r="I32" s="28">
        <f>VLOOKUP(Table70[[#This Row],[NAME]],TOR_P[[NAME]:['#]],7,0)</f>
        <v>19</v>
      </c>
      <c r="J32" s="28">
        <f>VLOOKUP(Table70[[#This Row],[NAME]],TOR_P[[NAME]:['#]],8,0)</f>
        <v>13</v>
      </c>
      <c r="K32" s="28">
        <f>VLOOKUP(Table70[[#This Row],[NAME]],TOR_P[[NAME]:['#]],9,0)</f>
        <v>10</v>
      </c>
      <c r="L32" s="28">
        <f>VLOOKUP(Table70[[#This Row],[NAME]],TOR_P[[NAME]:['#]],10,0)</f>
        <v>30</v>
      </c>
      <c r="M32" s="28">
        <f>VLOOKUP(Table70[[#This Row],[NAME]],TOR_P[[NAME]:['#]],11,0)</f>
        <v>5</v>
      </c>
      <c r="N32" s="106">
        <f>VLOOKUP(Table70[[#This Row],[NAME]],TOR_P[[NAME]:['#]],12,0)</f>
        <v>1.0480664980122876</v>
      </c>
      <c r="O32" s="77">
        <f>VLOOKUP(Table70[[#This Row],[NAME]],TOR_P[[NAME]:['#]],13,0)</f>
        <v>0</v>
      </c>
      <c r="P32" s="28">
        <f>VLOOKUP(Table70[[#This Row],[NAME]],TOR_P[[NAME]:['#]],14,0)</f>
        <v>0</v>
      </c>
      <c r="Q32" s="28">
        <f>VLOOKUP(Table70[[#This Row],[NAME]],TOR_P[[NAME]:['#]],15,0)</f>
        <v>0</v>
      </c>
      <c r="R32" s="28">
        <f>VLOOKUP(Table70[[#This Row],[NAME]],TOR_P[[NAME]:['#]],16,0)</f>
        <v>0</v>
      </c>
      <c r="S32" s="75">
        <v>30</v>
      </c>
      <c r="V32" s="365" t="s">
        <v>266</v>
      </c>
      <c r="W32" s="77" t="s">
        <v>212</v>
      </c>
      <c r="X32" s="77" t="s">
        <v>296</v>
      </c>
      <c r="Y32" s="88">
        <v>3.6666666666666665</v>
      </c>
      <c r="Z32" s="77">
        <v>1</v>
      </c>
      <c r="AA32" s="28">
        <v>2</v>
      </c>
      <c r="AB32" s="77">
        <v>27</v>
      </c>
      <c r="AC32" s="584">
        <v>27</v>
      </c>
      <c r="AD32" s="28">
        <v>23</v>
      </c>
      <c r="AE32" s="28">
        <v>11</v>
      </c>
      <c r="AF32" s="28">
        <v>13</v>
      </c>
      <c r="AG32" s="28">
        <v>37</v>
      </c>
      <c r="AH32" s="586">
        <v>15</v>
      </c>
      <c r="AI32" s="106">
        <v>1.3333333333333333</v>
      </c>
      <c r="AJ32" s="77">
        <v>0</v>
      </c>
      <c r="AK32" s="28">
        <v>0</v>
      </c>
      <c r="AL32" s="28">
        <v>0</v>
      </c>
      <c r="AM32" s="28">
        <v>0</v>
      </c>
      <c r="AN32" s="75">
        <v>30</v>
      </c>
      <c r="AQ32" s="101" t="s">
        <v>266</v>
      </c>
      <c r="AR32" s="77" t="s">
        <v>212</v>
      </c>
      <c r="AS32" s="77" t="s">
        <v>296</v>
      </c>
      <c r="AT32" s="135">
        <v>2.7</v>
      </c>
      <c r="AU32" s="77">
        <v>3</v>
      </c>
      <c r="AV32" s="28">
        <v>2</v>
      </c>
      <c r="AW32" s="77">
        <v>23</v>
      </c>
      <c r="AX32" s="584">
        <v>30</v>
      </c>
      <c r="AY32" s="28">
        <v>16</v>
      </c>
      <c r="AZ32" s="28">
        <v>9</v>
      </c>
      <c r="BA32" s="28">
        <v>12</v>
      </c>
      <c r="BB32" s="76">
        <v>45</v>
      </c>
      <c r="BC32" s="28">
        <v>7</v>
      </c>
      <c r="BD32" s="106">
        <v>0.93333333333333335</v>
      </c>
      <c r="BE32" s="77">
        <v>0</v>
      </c>
      <c r="BF32" s="28">
        <v>0</v>
      </c>
      <c r="BG32" s="28">
        <v>0</v>
      </c>
      <c r="BH32" s="28">
        <v>0</v>
      </c>
      <c r="BI32" s="75">
        <v>30</v>
      </c>
    </row>
    <row r="33" spans="1:61">
      <c r="A33" s="101" t="s">
        <v>300</v>
      </c>
      <c r="B33" s="71" t="s">
        <v>206</v>
      </c>
      <c r="C33" s="116" t="s">
        <v>322</v>
      </c>
      <c r="D33" s="89">
        <f>VLOOKUP(Table70[[#This Row],[NAME]],BAL_P[[NAME]:['#]],2,0)</f>
        <v>4.6551724137931032</v>
      </c>
      <c r="E33" s="77">
        <f>VLOOKUP(Table70[[#This Row],[NAME]],BAL_P[[NAME]:['#]],3,0)</f>
        <v>3</v>
      </c>
      <c r="F33" s="28">
        <f>VLOOKUP(Table70[[#This Row],[NAME]],BAL_P[[NAME]:['#]],4,0)</f>
        <v>5</v>
      </c>
      <c r="G33" s="77">
        <f>VLOOKUP(Table70[[#This Row],[NAME]],BAL_P[[NAME]:['#]],5,0)</f>
        <v>10</v>
      </c>
      <c r="H33" s="584">
        <f>VLOOKUP(Table70[[#This Row],[NAME]],BAL_P[[NAME]:['#]],6,0)</f>
        <v>58</v>
      </c>
      <c r="I33" s="28">
        <f>VLOOKUP(Table70[[#This Row],[NAME]],BAL_P[[NAME]:['#]],7,0)</f>
        <v>56</v>
      </c>
      <c r="J33" s="28">
        <f>VLOOKUP(Table70[[#This Row],[NAME]],BAL_P[[NAME]:['#]],8,0)</f>
        <v>30</v>
      </c>
      <c r="K33" s="76">
        <f>VLOOKUP(Table70[[#This Row],[NAME]],BAL_P[[NAME]:['#]],9,0)</f>
        <v>37</v>
      </c>
      <c r="L33" s="28">
        <f>VLOOKUP(Table70[[#This Row],[NAME]],BAL_P[[NAME]:['#]],10,0)</f>
        <v>63</v>
      </c>
      <c r="M33" s="28">
        <f>VLOOKUP(Table70[[#This Row],[NAME]],BAL_P[[NAME]:['#]],11,0)</f>
        <v>0</v>
      </c>
      <c r="N33" s="106">
        <f>VLOOKUP(Table70[[#This Row],[NAME]],BAL_P[[NAME]:['#]],12,0)</f>
        <v>1.603448275862069</v>
      </c>
      <c r="O33" s="77">
        <f>VLOOKUP(Table70[[#This Row],[NAME]],BAL_P[[NAME]:['#]],13,0)</f>
        <v>4</v>
      </c>
      <c r="P33" s="28">
        <f>VLOOKUP(Table70[[#This Row],[NAME]],BAL_P[[NAME]:['#]],14,0)</f>
        <v>1</v>
      </c>
      <c r="Q33" s="28">
        <f>VLOOKUP(Table70[[#This Row],[NAME]],BAL_P[[NAME]:['#]],15,0)</f>
        <v>0</v>
      </c>
      <c r="R33" s="28">
        <f>VLOOKUP(Table70[[#This Row],[NAME]],BAL_P[[NAME]:['#]],16,0)</f>
        <v>0</v>
      </c>
      <c r="S33" s="75">
        <v>31</v>
      </c>
      <c r="V33" s="101" t="s">
        <v>300</v>
      </c>
      <c r="W33" s="77" t="s">
        <v>206</v>
      </c>
      <c r="X33" s="77" t="s">
        <v>323</v>
      </c>
      <c r="Y33" s="88">
        <v>3.9514122640128786</v>
      </c>
      <c r="Z33" s="77">
        <v>4</v>
      </c>
      <c r="AA33" s="28">
        <v>6</v>
      </c>
      <c r="AB33" s="77">
        <v>10</v>
      </c>
      <c r="AC33" s="584">
        <v>68.33</v>
      </c>
      <c r="AD33" s="28">
        <v>52</v>
      </c>
      <c r="AE33" s="28">
        <v>30</v>
      </c>
      <c r="AF33" s="28">
        <v>25</v>
      </c>
      <c r="AG33" s="28">
        <v>63</v>
      </c>
      <c r="AH33" s="28">
        <v>0</v>
      </c>
      <c r="AI33" s="106">
        <v>1.1268842382555246</v>
      </c>
      <c r="AJ33" s="77">
        <v>6</v>
      </c>
      <c r="AK33" s="28">
        <v>6</v>
      </c>
      <c r="AL33" s="28">
        <v>1</v>
      </c>
      <c r="AM33" s="28">
        <v>1</v>
      </c>
      <c r="AN33" s="75">
        <v>31</v>
      </c>
      <c r="AQ33" s="101" t="s">
        <v>300</v>
      </c>
      <c r="AR33" s="77" t="s">
        <v>206</v>
      </c>
      <c r="AS33" s="77" t="s">
        <v>323</v>
      </c>
      <c r="AT33" s="135">
        <v>5.4</v>
      </c>
      <c r="AU33" s="77">
        <v>3</v>
      </c>
      <c r="AV33" s="28">
        <v>6</v>
      </c>
      <c r="AW33" s="77">
        <v>10</v>
      </c>
      <c r="AX33" s="584">
        <v>65</v>
      </c>
      <c r="AY33" s="28">
        <v>72</v>
      </c>
      <c r="AZ33" s="28">
        <v>39</v>
      </c>
      <c r="BA33" s="28">
        <v>18</v>
      </c>
      <c r="BB33" s="28">
        <v>58</v>
      </c>
      <c r="BC33" s="28">
        <v>0</v>
      </c>
      <c r="BD33" s="106">
        <v>1.3846153846153846</v>
      </c>
      <c r="BE33" s="77">
        <v>5</v>
      </c>
      <c r="BF33" s="28">
        <v>3</v>
      </c>
      <c r="BG33" s="28">
        <v>1</v>
      </c>
      <c r="BH33" s="28">
        <v>1</v>
      </c>
      <c r="BI33" s="75">
        <v>31</v>
      </c>
    </row>
    <row r="34" spans="1:61">
      <c r="A34" s="101" t="s">
        <v>300</v>
      </c>
      <c r="B34" s="71" t="s">
        <v>206</v>
      </c>
      <c r="C34" s="71" t="s">
        <v>323</v>
      </c>
      <c r="D34" s="89">
        <f>VLOOKUP(Table70[[#This Row],[NAME]],BAL_P[[NAME]:['#]],2,0)</f>
        <v>5.9337399044008565</v>
      </c>
      <c r="E34" s="77">
        <f>VLOOKUP(Table70[[#This Row],[NAME]],BAL_P[[NAME]:['#]],3,0)</f>
        <v>4</v>
      </c>
      <c r="F34" s="28">
        <f>VLOOKUP(Table70[[#This Row],[NAME]],BAL_P[[NAME]:['#]],4,0)</f>
        <v>3</v>
      </c>
      <c r="G34" s="77">
        <f>VLOOKUP(Table70[[#This Row],[NAME]],BAL_P[[NAME]:['#]],5,0)</f>
        <v>10</v>
      </c>
      <c r="H34" s="584">
        <f>VLOOKUP(Table70[[#This Row],[NAME]],BAL_P[[NAME]:['#]],6,0)</f>
        <v>60.67</v>
      </c>
      <c r="I34" s="28">
        <f>VLOOKUP(Table70[[#This Row],[NAME]],BAL_P[[NAME]:['#]],7,0)</f>
        <v>74</v>
      </c>
      <c r="J34" s="28">
        <f>VLOOKUP(Table70[[#This Row],[NAME]],BAL_P[[NAME]:['#]],8,0)</f>
        <v>40</v>
      </c>
      <c r="K34" s="28">
        <f>VLOOKUP(Table70[[#This Row],[NAME]],BAL_P[[NAME]:['#]],9,0)</f>
        <v>15</v>
      </c>
      <c r="L34" s="28">
        <f>VLOOKUP(Table70[[#This Row],[NAME]],BAL_P[[NAME]:['#]],10,0)</f>
        <v>44</v>
      </c>
      <c r="M34" s="28">
        <f>VLOOKUP(Table70[[#This Row],[NAME]],BAL_P[[NAME]:['#]],11,0)</f>
        <v>0</v>
      </c>
      <c r="N34" s="106">
        <f>VLOOKUP(Table70[[#This Row],[NAME]],BAL_P[[NAME]:['#]],12,0)</f>
        <v>1.4669523652546563</v>
      </c>
      <c r="O34" s="77">
        <f>VLOOKUP(Table70[[#This Row],[NAME]],BAL_P[[NAME]:['#]],13,0)</f>
        <v>4</v>
      </c>
      <c r="P34" s="28">
        <f>VLOOKUP(Table70[[#This Row],[NAME]],BAL_P[[NAME]:['#]],14,0)</f>
        <v>2</v>
      </c>
      <c r="Q34" s="28">
        <f>VLOOKUP(Table70[[#This Row],[NAME]],BAL_P[[NAME]:['#]],15,0)</f>
        <v>0</v>
      </c>
      <c r="R34" s="28">
        <f>VLOOKUP(Table70[[#This Row],[NAME]],BAL_P[[NAME]:['#]],16,0)</f>
        <v>0</v>
      </c>
      <c r="S34" s="75">
        <v>32</v>
      </c>
      <c r="V34" s="101" t="s">
        <v>300</v>
      </c>
      <c r="W34" s="77" t="s">
        <v>206</v>
      </c>
      <c r="X34" s="132" t="s">
        <v>324</v>
      </c>
      <c r="Y34" s="88">
        <v>2.0969855832241153</v>
      </c>
      <c r="Z34" s="77">
        <v>3</v>
      </c>
      <c r="AA34" s="28">
        <v>0</v>
      </c>
      <c r="AB34" s="77">
        <v>10</v>
      </c>
      <c r="AC34" s="584">
        <v>68.67</v>
      </c>
      <c r="AD34" s="28">
        <v>44</v>
      </c>
      <c r="AE34" s="28">
        <v>16</v>
      </c>
      <c r="AF34" s="28">
        <v>25</v>
      </c>
      <c r="AG34" s="28">
        <v>64</v>
      </c>
      <c r="AH34" s="28">
        <v>0</v>
      </c>
      <c r="AI34" s="106">
        <v>1.0048055919615553</v>
      </c>
      <c r="AJ34" s="77">
        <v>8</v>
      </c>
      <c r="AK34" s="28">
        <v>6</v>
      </c>
      <c r="AL34" s="28">
        <v>1</v>
      </c>
      <c r="AM34" s="28">
        <v>1</v>
      </c>
      <c r="AN34" s="75">
        <v>32</v>
      </c>
      <c r="AQ34" s="101" t="s">
        <v>300</v>
      </c>
      <c r="AR34" s="77" t="s">
        <v>206</v>
      </c>
      <c r="AS34" s="77" t="s">
        <v>325</v>
      </c>
      <c r="AT34" s="135">
        <v>5.3684210526315788</v>
      </c>
      <c r="AU34" s="77">
        <v>1</v>
      </c>
      <c r="AV34" s="28">
        <v>5</v>
      </c>
      <c r="AW34" s="77">
        <v>10</v>
      </c>
      <c r="AX34" s="584">
        <v>57</v>
      </c>
      <c r="AY34" s="28">
        <v>63</v>
      </c>
      <c r="AZ34" s="28">
        <v>34</v>
      </c>
      <c r="BA34" s="28">
        <v>31</v>
      </c>
      <c r="BB34" s="28">
        <v>41</v>
      </c>
      <c r="BC34" s="28">
        <v>0</v>
      </c>
      <c r="BD34" s="106">
        <v>1.6491228070175439</v>
      </c>
      <c r="BE34" s="77">
        <v>3</v>
      </c>
      <c r="BF34" s="28">
        <v>0</v>
      </c>
      <c r="BG34" s="28">
        <v>0</v>
      </c>
      <c r="BH34" s="28">
        <v>0</v>
      </c>
      <c r="BI34" s="75">
        <v>32</v>
      </c>
    </row>
    <row r="35" spans="1:61">
      <c r="A35" s="101" t="s">
        <v>300</v>
      </c>
      <c r="B35" s="71" t="s">
        <v>206</v>
      </c>
      <c r="C35" s="116" t="s">
        <v>326</v>
      </c>
      <c r="D35" s="89">
        <f>VLOOKUP(Table70[[#This Row],[NAME]],BAL_P[[NAME]:['#]],2,0)</f>
        <v>4.6020112493608316</v>
      </c>
      <c r="E35" s="77">
        <f>VLOOKUP(Table70[[#This Row],[NAME]],BAL_P[[NAME]:['#]],3,0)</f>
        <v>5</v>
      </c>
      <c r="F35" s="28">
        <f>VLOOKUP(Table70[[#This Row],[NAME]],BAL_P[[NAME]:['#]],4,0)</f>
        <v>3</v>
      </c>
      <c r="G35" s="77">
        <f>VLOOKUP(Table70[[#This Row],[NAME]],BAL_P[[NAME]:['#]],5,0)</f>
        <v>10</v>
      </c>
      <c r="H35" s="584">
        <f>VLOOKUP(Table70[[#This Row],[NAME]],BAL_P[[NAME]:['#]],6,0)</f>
        <v>58.67</v>
      </c>
      <c r="I35" s="28">
        <f>VLOOKUP(Table70[[#This Row],[NAME]],BAL_P[[NAME]:['#]],7,0)</f>
        <v>65</v>
      </c>
      <c r="J35" s="28">
        <f>VLOOKUP(Table70[[#This Row],[NAME]],BAL_P[[NAME]:['#]],8,0)</f>
        <v>30</v>
      </c>
      <c r="K35" s="28">
        <f>VLOOKUP(Table70[[#This Row],[NAME]],BAL_P[[NAME]:['#]],9,0)</f>
        <v>15</v>
      </c>
      <c r="L35" s="28">
        <f>VLOOKUP(Table70[[#This Row],[NAME]],BAL_P[[NAME]:['#]],10,0)</f>
        <v>62</v>
      </c>
      <c r="M35" s="28">
        <f>VLOOKUP(Table70[[#This Row],[NAME]],BAL_P[[NAME]:['#]],11,0)</f>
        <v>0</v>
      </c>
      <c r="N35" s="106">
        <f>VLOOKUP(Table70[[#This Row],[NAME]],BAL_P[[NAME]:['#]],12,0)</f>
        <v>1.3635588886995056</v>
      </c>
      <c r="O35" s="77">
        <f>VLOOKUP(Table70[[#This Row],[NAME]],BAL_P[[NAME]:['#]],13,0)</f>
        <v>5</v>
      </c>
      <c r="P35" s="28">
        <f>VLOOKUP(Table70[[#This Row],[NAME]],BAL_P[[NAME]:['#]],14,0)</f>
        <v>2</v>
      </c>
      <c r="Q35" s="28">
        <f>VLOOKUP(Table70[[#This Row],[NAME]],BAL_P[[NAME]:['#]],15,0)</f>
        <v>0</v>
      </c>
      <c r="R35" s="28">
        <f>VLOOKUP(Table70[[#This Row],[NAME]],BAL_P[[NAME]:['#]],16,0)</f>
        <v>0</v>
      </c>
      <c r="S35" s="75">
        <v>33</v>
      </c>
      <c r="V35" s="101" t="s">
        <v>300</v>
      </c>
      <c r="W35" s="77" t="s">
        <v>206</v>
      </c>
      <c r="X35" s="132" t="s">
        <v>326</v>
      </c>
      <c r="Y35" s="88">
        <v>4.4237288135593218</v>
      </c>
      <c r="Z35" s="77">
        <v>6</v>
      </c>
      <c r="AA35" s="28">
        <v>3</v>
      </c>
      <c r="AB35" s="77">
        <v>10</v>
      </c>
      <c r="AC35" s="584">
        <v>59</v>
      </c>
      <c r="AD35" s="28">
        <v>64</v>
      </c>
      <c r="AE35" s="28">
        <v>29</v>
      </c>
      <c r="AF35" s="28">
        <v>14</v>
      </c>
      <c r="AG35" s="28">
        <v>65</v>
      </c>
      <c r="AH35" s="28">
        <v>0</v>
      </c>
      <c r="AI35" s="106">
        <v>1.3220338983050848</v>
      </c>
      <c r="AJ35" s="77">
        <v>6</v>
      </c>
      <c r="AK35" s="28">
        <v>2</v>
      </c>
      <c r="AL35" s="28">
        <v>1</v>
      </c>
      <c r="AM35" s="28">
        <v>0</v>
      </c>
      <c r="AN35" s="75">
        <v>33</v>
      </c>
      <c r="AQ35" s="101" t="s">
        <v>300</v>
      </c>
      <c r="AR35" s="77" t="s">
        <v>206</v>
      </c>
      <c r="AS35" s="77" t="s">
        <v>327</v>
      </c>
      <c r="AT35" s="135">
        <v>4.383401519579194</v>
      </c>
      <c r="AU35" s="77">
        <v>1</v>
      </c>
      <c r="AV35" s="28">
        <v>3</v>
      </c>
      <c r="AW35" s="77">
        <v>10</v>
      </c>
      <c r="AX35" s="584">
        <v>51.33</v>
      </c>
      <c r="AY35" s="28">
        <v>61</v>
      </c>
      <c r="AZ35" s="28">
        <v>25</v>
      </c>
      <c r="BA35" s="28">
        <v>24</v>
      </c>
      <c r="BB35" s="28">
        <v>43</v>
      </c>
      <c r="BC35" s="28">
        <v>0</v>
      </c>
      <c r="BD35" s="106">
        <v>1.6559516851743621</v>
      </c>
      <c r="BE35" s="77">
        <v>5</v>
      </c>
      <c r="BF35" s="28">
        <v>0</v>
      </c>
      <c r="BG35" s="28">
        <v>0</v>
      </c>
      <c r="BH35" s="28">
        <v>0</v>
      </c>
      <c r="BI35" s="75">
        <v>33</v>
      </c>
    </row>
    <row r="36" spans="1:61">
      <c r="A36" s="101" t="s">
        <v>300</v>
      </c>
      <c r="B36" s="71" t="s">
        <v>206</v>
      </c>
      <c r="C36" s="116" t="s">
        <v>324</v>
      </c>
      <c r="D36" s="89">
        <f>VLOOKUP(Table70[[#This Row],[NAME]],BAL_P[[NAME]:['#]],2,0)</f>
        <v>3.8571428571428572</v>
      </c>
      <c r="E36" s="77">
        <f>VLOOKUP(Table70[[#This Row],[NAME]],BAL_P[[NAME]:['#]],3,0)</f>
        <v>6</v>
      </c>
      <c r="F36" s="28">
        <f>VLOOKUP(Table70[[#This Row],[NAME]],BAL_P[[NAME]:['#]],4,0)</f>
        <v>3</v>
      </c>
      <c r="G36" s="77">
        <f>VLOOKUP(Table70[[#This Row],[NAME]],BAL_P[[NAME]:['#]],5,0)</f>
        <v>10</v>
      </c>
      <c r="H36" s="584">
        <f>VLOOKUP(Table70[[#This Row],[NAME]],BAL_P[[NAME]:['#]],6,0)</f>
        <v>63</v>
      </c>
      <c r="I36" s="28">
        <f>VLOOKUP(Table70[[#This Row],[NAME]],BAL_P[[NAME]:['#]],7,0)</f>
        <v>59</v>
      </c>
      <c r="J36" s="28">
        <f>VLOOKUP(Table70[[#This Row],[NAME]],BAL_P[[NAME]:['#]],8,0)</f>
        <v>27</v>
      </c>
      <c r="K36" s="28">
        <f>VLOOKUP(Table70[[#This Row],[NAME]],BAL_P[[NAME]:['#]],9,0)</f>
        <v>26</v>
      </c>
      <c r="L36" s="28">
        <f>VLOOKUP(Table70[[#This Row],[NAME]],BAL_P[[NAME]:['#]],10,0)</f>
        <v>70</v>
      </c>
      <c r="M36" s="28">
        <f>VLOOKUP(Table70[[#This Row],[NAME]],BAL_P[[NAME]:['#]],11,0)</f>
        <v>0</v>
      </c>
      <c r="N36" s="106">
        <f>VLOOKUP(Table70[[#This Row],[NAME]],BAL_P[[NAME]:['#]],12,0)</f>
        <v>1.3492063492063493</v>
      </c>
      <c r="O36" s="77">
        <f>VLOOKUP(Table70[[#This Row],[NAME]],BAL_P[[NAME]:['#]],13,0)</f>
        <v>8</v>
      </c>
      <c r="P36" s="28">
        <f>VLOOKUP(Table70[[#This Row],[NAME]],BAL_P[[NAME]:['#]],14,0)</f>
        <v>3</v>
      </c>
      <c r="Q36" s="28">
        <f>VLOOKUP(Table70[[#This Row],[NAME]],BAL_P[[NAME]:['#]],15,0)</f>
        <v>0</v>
      </c>
      <c r="R36" s="28">
        <f>VLOOKUP(Table70[[#This Row],[NAME]],BAL_P[[NAME]:['#]],16,0)</f>
        <v>0</v>
      </c>
      <c r="S36" s="75">
        <v>34</v>
      </c>
      <c r="V36" s="101" t="s">
        <v>300</v>
      </c>
      <c r="W36" s="77" t="s">
        <v>206</v>
      </c>
      <c r="X36" s="132" t="s">
        <v>328</v>
      </c>
      <c r="Y36" s="88">
        <v>6</v>
      </c>
      <c r="Z36" s="77">
        <v>3</v>
      </c>
      <c r="AA36" s="28">
        <v>4</v>
      </c>
      <c r="AB36" s="77">
        <v>10</v>
      </c>
      <c r="AC36" s="584">
        <v>48</v>
      </c>
      <c r="AD36" s="28">
        <v>59</v>
      </c>
      <c r="AE36" s="28">
        <v>32</v>
      </c>
      <c r="AF36" s="28">
        <v>20</v>
      </c>
      <c r="AG36" s="28">
        <v>40</v>
      </c>
      <c r="AH36" s="28">
        <v>0</v>
      </c>
      <c r="AI36" s="106">
        <v>1.6458333333333333</v>
      </c>
      <c r="AJ36" s="77">
        <v>4</v>
      </c>
      <c r="AK36" s="28">
        <v>0</v>
      </c>
      <c r="AL36" s="28">
        <v>0</v>
      </c>
      <c r="AM36" s="28">
        <v>0</v>
      </c>
      <c r="AN36" s="75">
        <v>34</v>
      </c>
      <c r="AQ36" s="101" t="s">
        <v>300</v>
      </c>
      <c r="AR36" s="77" t="s">
        <v>206</v>
      </c>
      <c r="AS36" s="77" t="s">
        <v>328</v>
      </c>
      <c r="AT36" s="135">
        <v>7.9515101705362641</v>
      </c>
      <c r="AU36" s="77">
        <v>3</v>
      </c>
      <c r="AV36" s="28">
        <v>6</v>
      </c>
      <c r="AW36" s="77">
        <v>10</v>
      </c>
      <c r="AX36" s="584">
        <v>48.67</v>
      </c>
      <c r="AY36" s="28">
        <v>66</v>
      </c>
      <c r="AZ36" s="28">
        <v>43</v>
      </c>
      <c r="BA36" s="28">
        <v>28</v>
      </c>
      <c r="BB36" s="28">
        <v>45</v>
      </c>
      <c r="BC36" s="28">
        <v>0</v>
      </c>
      <c r="BD36" s="106">
        <v>1.9313745633860693</v>
      </c>
      <c r="BE36" s="77">
        <v>1</v>
      </c>
      <c r="BF36" s="28">
        <v>1</v>
      </c>
      <c r="BG36" s="28">
        <v>0</v>
      </c>
      <c r="BH36" s="28">
        <v>0</v>
      </c>
      <c r="BI36" s="75">
        <v>34</v>
      </c>
    </row>
    <row r="37" spans="1:61">
      <c r="A37" s="101" t="s">
        <v>300</v>
      </c>
      <c r="B37" s="71" t="s">
        <v>212</v>
      </c>
      <c r="C37" s="116" t="s">
        <v>328</v>
      </c>
      <c r="D37" s="89">
        <f>VLOOKUP(Table70[[#This Row],[NAME]],BAL_P[[NAME]:['#]],2,0)</f>
        <v>4.125</v>
      </c>
      <c r="E37" s="77">
        <f>VLOOKUP(Table70[[#This Row],[NAME]],BAL_P[[NAME]:['#]],3,0)</f>
        <v>0</v>
      </c>
      <c r="F37" s="28">
        <f>VLOOKUP(Table70[[#This Row],[NAME]],BAL_P[[NAME]:['#]],4,0)</f>
        <v>0</v>
      </c>
      <c r="G37" s="77">
        <f>VLOOKUP(Table70[[#This Row],[NAME]],BAL_P[[NAME]:['#]],5,0)</f>
        <v>12</v>
      </c>
      <c r="H37" s="584">
        <f>VLOOKUP(Table70[[#This Row],[NAME]],BAL_P[[NAME]:['#]],6,0)</f>
        <v>24</v>
      </c>
      <c r="I37" s="28">
        <f>VLOOKUP(Table70[[#This Row],[NAME]],BAL_P[[NAME]:['#]],7,0)</f>
        <v>27</v>
      </c>
      <c r="J37" s="28">
        <f>VLOOKUP(Table70[[#This Row],[NAME]],BAL_P[[NAME]:['#]],8,0)</f>
        <v>11</v>
      </c>
      <c r="K37" s="28">
        <f>VLOOKUP(Table70[[#This Row],[NAME]],BAL_P[[NAME]:['#]],9,0)</f>
        <v>7</v>
      </c>
      <c r="L37" s="28">
        <f>VLOOKUP(Table70[[#This Row],[NAME]],BAL_P[[NAME]:['#]],10,0)</f>
        <v>16</v>
      </c>
      <c r="M37" s="28">
        <f>VLOOKUP(Table70[[#This Row],[NAME]],BAL_P[[NAME]:['#]],11,0)</f>
        <v>0</v>
      </c>
      <c r="N37" s="106">
        <f>VLOOKUP(Table70[[#This Row],[NAME]],BAL_P[[NAME]:['#]],12,0)</f>
        <v>1.4166666666666667</v>
      </c>
      <c r="O37" s="77">
        <f>VLOOKUP(Table70[[#This Row],[NAME]],BAL_P[[NAME]:['#]],13,0)</f>
        <v>0</v>
      </c>
      <c r="P37" s="28">
        <f>VLOOKUP(Table70[[#This Row],[NAME]],BAL_P[[NAME]:['#]],14,0)</f>
        <v>0</v>
      </c>
      <c r="Q37" s="28">
        <f>VLOOKUP(Table70[[#This Row],[NAME]],BAL_P[[NAME]:['#]],15,0)</f>
        <v>0</v>
      </c>
      <c r="R37" s="28">
        <f>VLOOKUP(Table70[[#This Row],[NAME]],BAL_P[[NAME]:['#]],16,0)</f>
        <v>0</v>
      </c>
      <c r="S37" s="75">
        <v>35</v>
      </c>
      <c r="V37" s="101" t="s">
        <v>300</v>
      </c>
      <c r="W37" s="77" t="s">
        <v>215</v>
      </c>
      <c r="X37" s="132" t="s">
        <v>322</v>
      </c>
      <c r="Y37" s="88">
        <v>4.1546451240623199</v>
      </c>
      <c r="Z37" s="77">
        <v>0</v>
      </c>
      <c r="AA37" s="28">
        <v>0</v>
      </c>
      <c r="AB37" s="77">
        <v>8</v>
      </c>
      <c r="AC37" s="584">
        <v>17.329999999999998</v>
      </c>
      <c r="AD37" s="28">
        <v>17</v>
      </c>
      <c r="AE37" s="28">
        <v>8</v>
      </c>
      <c r="AF37" s="28">
        <v>7</v>
      </c>
      <c r="AG37" s="28">
        <v>18</v>
      </c>
      <c r="AH37" s="28">
        <v>0</v>
      </c>
      <c r="AI37" s="106">
        <v>1.3848817080207734</v>
      </c>
      <c r="AJ37" s="77">
        <v>0</v>
      </c>
      <c r="AK37" s="28">
        <v>0</v>
      </c>
      <c r="AL37" s="28">
        <v>0</v>
      </c>
      <c r="AM37" s="28">
        <v>0</v>
      </c>
      <c r="AN37" s="75">
        <v>35</v>
      </c>
      <c r="AQ37" s="101" t="s">
        <v>300</v>
      </c>
      <c r="AR37" s="77" t="s">
        <v>215</v>
      </c>
      <c r="AS37" s="77" t="s">
        <v>324</v>
      </c>
      <c r="AT37" s="135">
        <v>6.6213921901528003</v>
      </c>
      <c r="AU37" s="77">
        <v>0</v>
      </c>
      <c r="AV37" s="28">
        <v>1</v>
      </c>
      <c r="AW37" s="77">
        <v>7</v>
      </c>
      <c r="AX37" s="584">
        <v>17.670000000000002</v>
      </c>
      <c r="AY37" s="28">
        <v>17</v>
      </c>
      <c r="AZ37" s="28">
        <v>13</v>
      </c>
      <c r="BA37" s="28">
        <v>9</v>
      </c>
      <c r="BB37" s="28">
        <v>16</v>
      </c>
      <c r="BC37" s="28">
        <v>0</v>
      </c>
      <c r="BD37" s="106">
        <v>1.4714204867006224</v>
      </c>
      <c r="BE37" s="77">
        <v>0</v>
      </c>
      <c r="BF37" s="28">
        <v>0</v>
      </c>
      <c r="BG37" s="28">
        <v>0</v>
      </c>
      <c r="BH37" s="28">
        <v>0</v>
      </c>
      <c r="BI37" s="75">
        <v>35</v>
      </c>
    </row>
    <row r="38" spans="1:61">
      <c r="A38" s="101" t="s">
        <v>300</v>
      </c>
      <c r="B38" s="71" t="s">
        <v>215</v>
      </c>
      <c r="C38" s="116" t="s">
        <v>329</v>
      </c>
      <c r="D38" s="89">
        <f>VLOOKUP(Table70[[#This Row],[NAME]],BAL_P[[NAME]:['#]],2,0)</f>
        <v>0</v>
      </c>
      <c r="E38" s="77">
        <f>VLOOKUP(Table70[[#This Row],[NAME]],BAL_P[[NAME]:['#]],3,0)</f>
        <v>0</v>
      </c>
      <c r="F38" s="28">
        <f>VLOOKUP(Table70[[#This Row],[NAME]],BAL_P[[NAME]:['#]],4,0)</f>
        <v>0</v>
      </c>
      <c r="G38" s="77">
        <f>VLOOKUP(Table70[[#This Row],[NAME]],BAL_P[[NAME]:['#]],5,0)</f>
        <v>0</v>
      </c>
      <c r="H38" s="584">
        <f>VLOOKUP(Table70[[#This Row],[NAME]],BAL_P[[NAME]:['#]],6,0)</f>
        <v>0</v>
      </c>
      <c r="I38" s="28">
        <f>VLOOKUP(Table70[[#This Row],[NAME]],BAL_P[[NAME]:['#]],7,0)</f>
        <v>0</v>
      </c>
      <c r="J38" s="28">
        <f>VLOOKUP(Table70[[#This Row],[NAME]],BAL_P[[NAME]:['#]],8,0)</f>
        <v>0</v>
      </c>
      <c r="K38" s="28">
        <f>VLOOKUP(Table70[[#This Row],[NAME]],BAL_P[[NAME]:['#]],9,0)</f>
        <v>0</v>
      </c>
      <c r="L38" s="28">
        <f>VLOOKUP(Table70[[#This Row],[NAME]],BAL_P[[NAME]:['#]],10,0)</f>
        <v>0</v>
      </c>
      <c r="M38" s="28">
        <f>VLOOKUP(Table70[[#This Row],[NAME]],BAL_P[[NAME]:['#]],11,0)</f>
        <v>0</v>
      </c>
      <c r="N38" s="106">
        <f>VLOOKUP(Table70[[#This Row],[NAME]],BAL_P[[NAME]:['#]],12,0)</f>
        <v>0</v>
      </c>
      <c r="O38" s="77">
        <f>VLOOKUP(Table70[[#This Row],[NAME]],BAL_P[[NAME]:['#]],13,0)</f>
        <v>0</v>
      </c>
      <c r="P38" s="28">
        <f>VLOOKUP(Table70[[#This Row],[NAME]],BAL_P[[NAME]:['#]],14,0)</f>
        <v>0</v>
      </c>
      <c r="Q38" s="28">
        <f>VLOOKUP(Table70[[#This Row],[NAME]],BAL_P[[NAME]:['#]],15,0)</f>
        <v>0</v>
      </c>
      <c r="R38" s="28">
        <f>VLOOKUP(Table70[[#This Row],[NAME]],BAL_P[[NAME]:['#]],16,0)</f>
        <v>0</v>
      </c>
      <c r="S38" s="75">
        <v>36</v>
      </c>
      <c r="V38" s="101" t="s">
        <v>300</v>
      </c>
      <c r="W38" s="77" t="s">
        <v>212</v>
      </c>
      <c r="X38" s="132" t="s">
        <v>331</v>
      </c>
      <c r="Y38" s="88">
        <v>10.121836925960638</v>
      </c>
      <c r="Z38" s="77">
        <v>0</v>
      </c>
      <c r="AA38" s="28">
        <v>2</v>
      </c>
      <c r="AB38" s="77">
        <v>11</v>
      </c>
      <c r="AC38" s="584">
        <v>10.67</v>
      </c>
      <c r="AD38" s="28">
        <v>15</v>
      </c>
      <c r="AE38" s="28">
        <v>12</v>
      </c>
      <c r="AF38" s="28">
        <v>9</v>
      </c>
      <c r="AG38" s="28">
        <v>12</v>
      </c>
      <c r="AH38" s="28">
        <v>0</v>
      </c>
      <c r="AI38" s="106">
        <v>2.2492970946579196</v>
      </c>
      <c r="AJ38" s="77">
        <v>0</v>
      </c>
      <c r="AK38" s="28">
        <v>0</v>
      </c>
      <c r="AL38" s="28">
        <v>0</v>
      </c>
      <c r="AM38" s="28">
        <v>0</v>
      </c>
      <c r="AN38" s="75">
        <v>36</v>
      </c>
      <c r="AQ38" s="101" t="s">
        <v>300</v>
      </c>
      <c r="AR38" s="77" t="s">
        <v>215</v>
      </c>
      <c r="AS38" s="77" t="s">
        <v>331</v>
      </c>
      <c r="AT38" s="135">
        <v>7.4117647058823533</v>
      </c>
      <c r="AU38" s="77">
        <v>0</v>
      </c>
      <c r="AV38" s="28">
        <v>0</v>
      </c>
      <c r="AW38" s="77">
        <v>9</v>
      </c>
      <c r="AX38" s="584">
        <v>17</v>
      </c>
      <c r="AY38" s="28">
        <v>24</v>
      </c>
      <c r="AZ38" s="28">
        <v>14</v>
      </c>
      <c r="BA38" s="28">
        <v>14</v>
      </c>
      <c r="BB38" s="28">
        <v>24</v>
      </c>
      <c r="BC38" s="28">
        <v>0</v>
      </c>
      <c r="BD38" s="106">
        <v>2.2352941176470589</v>
      </c>
      <c r="BE38" s="77">
        <v>0</v>
      </c>
      <c r="BF38" s="28">
        <v>0</v>
      </c>
      <c r="BG38" s="28">
        <v>0</v>
      </c>
      <c r="BH38" s="28">
        <v>0</v>
      </c>
      <c r="BI38" s="75">
        <v>36</v>
      </c>
    </row>
    <row r="39" spans="1:61">
      <c r="A39" s="101" t="s">
        <v>300</v>
      </c>
      <c r="B39" s="71" t="s">
        <v>212</v>
      </c>
      <c r="C39" s="116" t="s">
        <v>330</v>
      </c>
      <c r="D39" s="89">
        <f>VLOOKUP(Table70[[#This Row],[NAME]],BAL_P[[NAME]:['#]],2,0)</f>
        <v>3.75</v>
      </c>
      <c r="E39" s="77">
        <f>VLOOKUP(Table70[[#This Row],[NAME]],BAL_P[[NAME]:['#]],3,0)</f>
        <v>0</v>
      </c>
      <c r="F39" s="28">
        <f>VLOOKUP(Table70[[#This Row],[NAME]],BAL_P[[NAME]:['#]],4,0)</f>
        <v>0</v>
      </c>
      <c r="G39" s="77">
        <f>VLOOKUP(Table70[[#This Row],[NAME]],BAL_P[[NAME]:['#]],5,0)</f>
        <v>9</v>
      </c>
      <c r="H39" s="584">
        <f>VLOOKUP(Table70[[#This Row],[NAME]],BAL_P[[NAME]:['#]],6,0)</f>
        <v>12</v>
      </c>
      <c r="I39" s="28">
        <f>VLOOKUP(Table70[[#This Row],[NAME]],BAL_P[[NAME]:['#]],7,0)</f>
        <v>19</v>
      </c>
      <c r="J39" s="28">
        <f>VLOOKUP(Table70[[#This Row],[NAME]],BAL_P[[NAME]:['#]],8,0)</f>
        <v>5</v>
      </c>
      <c r="K39" s="28">
        <f>VLOOKUP(Table70[[#This Row],[NAME]],BAL_P[[NAME]:['#]],9,0)</f>
        <v>6</v>
      </c>
      <c r="L39" s="28">
        <f>VLOOKUP(Table70[[#This Row],[NAME]],BAL_P[[NAME]:['#]],10,0)</f>
        <v>4</v>
      </c>
      <c r="M39" s="28">
        <f>VLOOKUP(Table70[[#This Row],[NAME]],BAL_P[[NAME]:['#]],11,0)</f>
        <v>0</v>
      </c>
      <c r="N39" s="106">
        <f>VLOOKUP(Table70[[#This Row],[NAME]],BAL_P[[NAME]:['#]],12,0)</f>
        <v>2.0833333333333335</v>
      </c>
      <c r="O39" s="77">
        <f>VLOOKUP(Table70[[#This Row],[NAME]],BAL_P[[NAME]:['#]],13,0)</f>
        <v>0</v>
      </c>
      <c r="P39" s="28">
        <f>VLOOKUP(Table70[[#This Row],[NAME]],BAL_P[[NAME]:['#]],14,0)</f>
        <v>0</v>
      </c>
      <c r="Q39" s="28">
        <f>VLOOKUP(Table70[[#This Row],[NAME]],BAL_P[[NAME]:['#]],15,0)</f>
        <v>0</v>
      </c>
      <c r="R39" s="28">
        <f>VLOOKUP(Table70[[#This Row],[NAME]],BAL_P[[NAME]:['#]],16,0)</f>
        <v>0</v>
      </c>
      <c r="S39" s="75">
        <v>37</v>
      </c>
      <c r="V39" s="101" t="s">
        <v>300</v>
      </c>
      <c r="W39" s="77" t="s">
        <v>212</v>
      </c>
      <c r="X39" s="132" t="s">
        <v>330</v>
      </c>
      <c r="Y39" s="88">
        <v>4.5</v>
      </c>
      <c r="Z39" s="77">
        <v>1</v>
      </c>
      <c r="AA39" s="28">
        <v>0</v>
      </c>
      <c r="AB39" s="77">
        <v>5</v>
      </c>
      <c r="AC39" s="584">
        <v>12</v>
      </c>
      <c r="AD39" s="28">
        <v>8</v>
      </c>
      <c r="AE39" s="28">
        <v>6</v>
      </c>
      <c r="AF39" s="28">
        <v>2</v>
      </c>
      <c r="AG39" s="28">
        <v>12</v>
      </c>
      <c r="AH39" s="28">
        <v>0</v>
      </c>
      <c r="AI39" s="106">
        <v>0.83333333333333337</v>
      </c>
      <c r="AJ39" s="77">
        <v>0</v>
      </c>
      <c r="AK39" s="28">
        <v>0</v>
      </c>
      <c r="AL39" s="28">
        <v>0</v>
      </c>
      <c r="AM39" s="28">
        <v>0</v>
      </c>
      <c r="AN39" s="75">
        <v>37</v>
      </c>
      <c r="AQ39" s="101" t="s">
        <v>300</v>
      </c>
      <c r="AR39" s="77" t="s">
        <v>212</v>
      </c>
      <c r="AS39" s="77" t="s">
        <v>334</v>
      </c>
      <c r="AT39" s="135">
        <v>5.0632911392405067</v>
      </c>
      <c r="AU39" s="77">
        <v>1</v>
      </c>
      <c r="AV39" s="28">
        <v>0</v>
      </c>
      <c r="AW39" s="77">
        <v>19</v>
      </c>
      <c r="AX39" s="584">
        <v>21.33</v>
      </c>
      <c r="AY39" s="28">
        <v>18</v>
      </c>
      <c r="AZ39" s="28">
        <v>12</v>
      </c>
      <c r="BA39" s="28">
        <v>20</v>
      </c>
      <c r="BB39" s="28">
        <v>25</v>
      </c>
      <c r="BC39" s="28">
        <v>0</v>
      </c>
      <c r="BD39" s="106">
        <v>1.7815283638068449</v>
      </c>
      <c r="BE39" s="77">
        <v>0</v>
      </c>
      <c r="BF39" s="28">
        <v>0</v>
      </c>
      <c r="BG39" s="28">
        <v>0</v>
      </c>
      <c r="BH39" s="28">
        <v>0</v>
      </c>
      <c r="BI39" s="75">
        <v>37</v>
      </c>
    </row>
    <row r="40" spans="1:61">
      <c r="A40" s="101" t="s">
        <v>300</v>
      </c>
      <c r="B40" s="71" t="s">
        <v>212</v>
      </c>
      <c r="C40" s="116" t="s">
        <v>327</v>
      </c>
      <c r="D40" s="89">
        <f>VLOOKUP(Table70[[#This Row],[NAME]],BAL_P[[NAME]:['#]],2,0)</f>
        <v>3.9700044111160122</v>
      </c>
      <c r="E40" s="77">
        <f>VLOOKUP(Table70[[#This Row],[NAME]],BAL_P[[NAME]:['#]],3,0)</f>
        <v>0</v>
      </c>
      <c r="F40" s="28">
        <f>VLOOKUP(Table70[[#This Row],[NAME]],BAL_P[[NAME]:['#]],4,0)</f>
        <v>0</v>
      </c>
      <c r="G40" s="77">
        <f>VLOOKUP(Table70[[#This Row],[NAME]],BAL_P[[NAME]:['#]],5,0)</f>
        <v>18</v>
      </c>
      <c r="H40" s="584">
        <f>VLOOKUP(Table70[[#This Row],[NAME]],BAL_P[[NAME]:['#]],6,0)</f>
        <v>22.67</v>
      </c>
      <c r="I40" s="28">
        <f>VLOOKUP(Table70[[#This Row],[NAME]],BAL_P[[NAME]:['#]],7,0)</f>
        <v>20</v>
      </c>
      <c r="J40" s="28">
        <f>VLOOKUP(Table70[[#This Row],[NAME]],BAL_P[[NAME]:['#]],8,0)</f>
        <v>10</v>
      </c>
      <c r="K40" s="28">
        <f>VLOOKUP(Table70[[#This Row],[NAME]],BAL_P[[NAME]:['#]],9,0)</f>
        <v>8</v>
      </c>
      <c r="L40" s="28">
        <f>VLOOKUP(Table70[[#This Row],[NAME]],BAL_P[[NAME]:['#]],10,0)</f>
        <v>22</v>
      </c>
      <c r="M40" s="28">
        <f>VLOOKUP(Table70[[#This Row],[NAME]],BAL_P[[NAME]:['#]],11,0)</f>
        <v>0</v>
      </c>
      <c r="N40" s="106">
        <f>VLOOKUP(Table70[[#This Row],[NAME]],BAL_P[[NAME]:['#]],12,0)</f>
        <v>1.2351124834583149</v>
      </c>
      <c r="O40" s="77">
        <f>VLOOKUP(Table70[[#This Row],[NAME]],BAL_P[[NAME]:['#]],13,0)</f>
        <v>0</v>
      </c>
      <c r="P40" s="28">
        <f>VLOOKUP(Table70[[#This Row],[NAME]],BAL_P[[NAME]:['#]],14,0)</f>
        <v>0</v>
      </c>
      <c r="Q40" s="28">
        <f>VLOOKUP(Table70[[#This Row],[NAME]],BAL_P[[NAME]:['#]],15,0)</f>
        <v>0</v>
      </c>
      <c r="R40" s="28">
        <f>VLOOKUP(Table70[[#This Row],[NAME]],BAL_P[[NAME]:['#]],16,0)</f>
        <v>0</v>
      </c>
      <c r="S40" s="75">
        <v>38</v>
      </c>
      <c r="V40" s="101" t="s">
        <v>300</v>
      </c>
      <c r="W40" s="77" t="s">
        <v>212</v>
      </c>
      <c r="X40" s="132" t="s">
        <v>327</v>
      </c>
      <c r="Y40" s="88">
        <v>4.5</v>
      </c>
      <c r="Z40" s="77">
        <v>0</v>
      </c>
      <c r="AA40" s="28">
        <v>0</v>
      </c>
      <c r="AB40" s="77">
        <v>10</v>
      </c>
      <c r="AC40" s="584">
        <v>16</v>
      </c>
      <c r="AD40" s="28">
        <v>21</v>
      </c>
      <c r="AE40" s="28">
        <v>8</v>
      </c>
      <c r="AF40" s="28">
        <v>5</v>
      </c>
      <c r="AG40" s="28">
        <v>17</v>
      </c>
      <c r="AH40" s="28">
        <v>0</v>
      </c>
      <c r="AI40" s="106">
        <v>1.625</v>
      </c>
      <c r="AJ40" s="77">
        <v>0</v>
      </c>
      <c r="AK40" s="28">
        <v>0</v>
      </c>
      <c r="AL40" s="28">
        <v>0</v>
      </c>
      <c r="AM40" s="28">
        <v>0</v>
      </c>
      <c r="AN40" s="75">
        <v>38</v>
      </c>
      <c r="AQ40" s="101" t="s">
        <v>300</v>
      </c>
      <c r="AR40" s="77" t="s">
        <v>212</v>
      </c>
      <c r="AS40" s="77" t="s">
        <v>326</v>
      </c>
      <c r="AT40" s="135">
        <v>3.2727272727272729</v>
      </c>
      <c r="AU40" s="77">
        <v>2</v>
      </c>
      <c r="AV40" s="28">
        <v>1</v>
      </c>
      <c r="AW40" s="77">
        <v>19</v>
      </c>
      <c r="AX40" s="584">
        <v>22</v>
      </c>
      <c r="AY40" s="28">
        <v>16</v>
      </c>
      <c r="AZ40" s="28">
        <v>8</v>
      </c>
      <c r="BA40" s="28">
        <v>3</v>
      </c>
      <c r="BB40" s="28">
        <v>24</v>
      </c>
      <c r="BC40" s="28">
        <v>0</v>
      </c>
      <c r="BD40" s="583">
        <v>0.86363636363636365</v>
      </c>
      <c r="BE40" s="77">
        <v>0</v>
      </c>
      <c r="BF40" s="28">
        <v>0</v>
      </c>
      <c r="BG40" s="28">
        <v>0</v>
      </c>
      <c r="BH40" s="28">
        <v>0</v>
      </c>
      <c r="BI40" s="75">
        <v>38</v>
      </c>
    </row>
    <row r="41" spans="1:61">
      <c r="A41" s="101" t="s">
        <v>300</v>
      </c>
      <c r="B41" s="71" t="s">
        <v>215</v>
      </c>
      <c r="C41" s="116" t="s">
        <v>333</v>
      </c>
      <c r="D41" s="89">
        <f>VLOOKUP(Table70[[#This Row],[NAME]],BAL_P[[NAME]:['#]],2,0)</f>
        <v>1.9061066007765621</v>
      </c>
      <c r="E41" s="77">
        <f>VLOOKUP(Table70[[#This Row],[NAME]],BAL_P[[NAME]:['#]],3,0)</f>
        <v>2</v>
      </c>
      <c r="F41" s="28">
        <f>VLOOKUP(Table70[[#This Row],[NAME]],BAL_P[[NAME]:['#]],4,0)</f>
        <v>1</v>
      </c>
      <c r="G41" s="77">
        <f>VLOOKUP(Table70[[#This Row],[NAME]],BAL_P[[NAME]:['#]],5,0)</f>
        <v>23</v>
      </c>
      <c r="H41" s="584">
        <f>VLOOKUP(Table70[[#This Row],[NAME]],BAL_P[[NAME]:['#]],6,0)</f>
        <v>28.33</v>
      </c>
      <c r="I41" s="28">
        <f>VLOOKUP(Table70[[#This Row],[NAME]],BAL_P[[NAME]:['#]],7,0)</f>
        <v>14</v>
      </c>
      <c r="J41" s="28">
        <f>VLOOKUP(Table70[[#This Row],[NAME]],BAL_P[[NAME]:['#]],8,0)</f>
        <v>6</v>
      </c>
      <c r="K41" s="28">
        <f>VLOOKUP(Table70[[#This Row],[NAME]],BAL_P[[NAME]:['#]],9,0)</f>
        <v>10</v>
      </c>
      <c r="L41" s="28">
        <f>VLOOKUP(Table70[[#This Row],[NAME]],BAL_P[[NAME]:['#]],10,0)</f>
        <v>40</v>
      </c>
      <c r="M41" s="28">
        <f>VLOOKUP(Table70[[#This Row],[NAME]],BAL_P[[NAME]:['#]],11,0)</f>
        <v>0</v>
      </c>
      <c r="N41" s="106">
        <f>VLOOKUP(Table70[[#This Row],[NAME]],BAL_P[[NAME]:['#]],12,0)</f>
        <v>0.84715848923402759</v>
      </c>
      <c r="O41" s="77">
        <f>VLOOKUP(Table70[[#This Row],[NAME]],BAL_P[[NAME]:['#]],13,0)</f>
        <v>0</v>
      </c>
      <c r="P41" s="28">
        <f>VLOOKUP(Table70[[#This Row],[NAME]],BAL_P[[NAME]:['#]],14,0)</f>
        <v>0</v>
      </c>
      <c r="Q41" s="28">
        <f>VLOOKUP(Table70[[#This Row],[NAME]],BAL_P[[NAME]:['#]],15,0)</f>
        <v>0</v>
      </c>
      <c r="R41" s="28">
        <f>VLOOKUP(Table70[[#This Row],[NAME]],BAL_P[[NAME]:['#]],16,0)</f>
        <v>0</v>
      </c>
      <c r="S41" s="75">
        <v>39</v>
      </c>
      <c r="V41" s="101" t="s">
        <v>300</v>
      </c>
      <c r="W41" s="77" t="s">
        <v>212</v>
      </c>
      <c r="X41" s="132" t="s">
        <v>332</v>
      </c>
      <c r="Y41" s="88">
        <v>3.068530514831231</v>
      </c>
      <c r="Z41" s="77">
        <v>2</v>
      </c>
      <c r="AA41" s="28">
        <v>1</v>
      </c>
      <c r="AB41" s="77">
        <v>23</v>
      </c>
      <c r="AC41" s="584">
        <v>29.33</v>
      </c>
      <c r="AD41" s="28">
        <v>22</v>
      </c>
      <c r="AE41" s="28">
        <v>10</v>
      </c>
      <c r="AF41" s="28">
        <v>10</v>
      </c>
      <c r="AG41" s="28">
        <v>24</v>
      </c>
      <c r="AH41" s="28">
        <v>0</v>
      </c>
      <c r="AI41" s="106">
        <v>1.0910330719399932</v>
      </c>
      <c r="AJ41" s="77">
        <v>0</v>
      </c>
      <c r="AK41" s="28">
        <v>0</v>
      </c>
      <c r="AL41" s="28">
        <v>0</v>
      </c>
      <c r="AM41" s="28">
        <v>0</v>
      </c>
      <c r="AN41" s="75">
        <v>39</v>
      </c>
      <c r="AQ41" s="101" t="s">
        <v>300</v>
      </c>
      <c r="AR41" s="77" t="s">
        <v>212</v>
      </c>
      <c r="AS41" s="77" t="s">
        <v>332</v>
      </c>
      <c r="AT41" s="135">
        <v>3.6818181818181817</v>
      </c>
      <c r="AU41" s="77">
        <v>1</v>
      </c>
      <c r="AV41" s="28">
        <v>1</v>
      </c>
      <c r="AW41" s="77">
        <v>22</v>
      </c>
      <c r="AX41" s="584">
        <v>22</v>
      </c>
      <c r="AY41" s="28">
        <v>22</v>
      </c>
      <c r="AZ41" s="28">
        <v>9</v>
      </c>
      <c r="BA41" s="28">
        <v>11</v>
      </c>
      <c r="BB41" s="28">
        <v>20</v>
      </c>
      <c r="BC41" s="28">
        <v>0</v>
      </c>
      <c r="BD41" s="106">
        <v>1.5</v>
      </c>
      <c r="BE41" s="77">
        <v>0</v>
      </c>
      <c r="BF41" s="28">
        <v>0</v>
      </c>
      <c r="BG41" s="28">
        <v>0</v>
      </c>
      <c r="BH41" s="28">
        <v>0</v>
      </c>
      <c r="BI41" s="75">
        <v>39</v>
      </c>
    </row>
    <row r="42" spans="1:61">
      <c r="A42" s="101" t="s">
        <v>300</v>
      </c>
      <c r="B42" s="71" t="s">
        <v>212</v>
      </c>
      <c r="C42" s="71" t="s">
        <v>335</v>
      </c>
      <c r="D42" s="89">
        <f>VLOOKUP(Table70[[#This Row],[NAME]],BAL_P[[NAME]:['#]],2,0)</f>
        <v>2.6996625421822271</v>
      </c>
      <c r="E42" s="77">
        <f>VLOOKUP(Table70[[#This Row],[NAME]],BAL_P[[NAME]:['#]],3,0)</f>
        <v>3</v>
      </c>
      <c r="F42" s="28">
        <f>VLOOKUP(Table70[[#This Row],[NAME]],BAL_P[[NAME]:['#]],4,0)</f>
        <v>2</v>
      </c>
      <c r="G42" s="352">
        <f>VLOOKUP(Table70[[#This Row],[NAME]],BAL_P[[NAME]:['#]],5,0)</f>
        <v>26</v>
      </c>
      <c r="H42" s="584">
        <f>VLOOKUP(Table70[[#This Row],[NAME]],BAL_P[[NAME]:['#]],6,0)</f>
        <v>26.67</v>
      </c>
      <c r="I42" s="28">
        <f>VLOOKUP(Table70[[#This Row],[NAME]],BAL_P[[NAME]:['#]],7,0)</f>
        <v>19</v>
      </c>
      <c r="J42" s="28">
        <f>VLOOKUP(Table70[[#This Row],[NAME]],BAL_P[[NAME]:['#]],8,0)</f>
        <v>8</v>
      </c>
      <c r="K42" s="28">
        <f>VLOOKUP(Table70[[#This Row],[NAME]],BAL_P[[NAME]:['#]],9,0)</f>
        <v>11</v>
      </c>
      <c r="L42" s="28">
        <f>VLOOKUP(Table70[[#This Row],[NAME]],BAL_P[[NAME]:['#]],10,0)</f>
        <v>20</v>
      </c>
      <c r="M42" s="28">
        <f>VLOOKUP(Table70[[#This Row],[NAME]],BAL_P[[NAME]:['#]],11,0)</f>
        <v>10</v>
      </c>
      <c r="N42" s="106">
        <f>VLOOKUP(Table70[[#This Row],[NAME]],BAL_P[[NAME]:['#]],12,0)</f>
        <v>1.124859392575928</v>
      </c>
      <c r="O42" s="77">
        <f>VLOOKUP(Table70[[#This Row],[NAME]],BAL_P[[NAME]:['#]],13,0)</f>
        <v>0</v>
      </c>
      <c r="P42" s="28">
        <f>VLOOKUP(Table70[[#This Row],[NAME]],BAL_P[[NAME]:['#]],14,0)</f>
        <v>0</v>
      </c>
      <c r="Q42" s="28">
        <f>VLOOKUP(Table70[[#This Row],[NAME]],BAL_P[[NAME]:['#]],15,0)</f>
        <v>0</v>
      </c>
      <c r="R42" s="28">
        <f>VLOOKUP(Table70[[#This Row],[NAME]],BAL_P[[NAME]:['#]],16,0)</f>
        <v>0</v>
      </c>
      <c r="S42" s="75">
        <v>40</v>
      </c>
      <c r="V42" s="101" t="s">
        <v>300</v>
      </c>
      <c r="W42" s="77" t="s">
        <v>212</v>
      </c>
      <c r="X42" s="77" t="s">
        <v>335</v>
      </c>
      <c r="Y42" s="88">
        <v>2.5113358911754444</v>
      </c>
      <c r="Z42" s="77">
        <v>4</v>
      </c>
      <c r="AA42" s="28">
        <v>1</v>
      </c>
      <c r="AB42" s="77">
        <v>27</v>
      </c>
      <c r="AC42" s="584">
        <v>28.67</v>
      </c>
      <c r="AD42" s="28">
        <v>23</v>
      </c>
      <c r="AE42" s="28">
        <v>8</v>
      </c>
      <c r="AF42" s="28">
        <v>9</v>
      </c>
      <c r="AG42" s="28">
        <v>23</v>
      </c>
      <c r="AH42" s="28">
        <v>9</v>
      </c>
      <c r="AI42" s="106">
        <v>1.1161492849668642</v>
      </c>
      <c r="AJ42" s="77">
        <v>0</v>
      </c>
      <c r="AK42" s="28">
        <v>0</v>
      </c>
      <c r="AL42" s="28">
        <v>0</v>
      </c>
      <c r="AM42" s="28">
        <v>0</v>
      </c>
      <c r="AN42" s="75">
        <v>40</v>
      </c>
      <c r="AQ42" s="101" t="s">
        <v>300</v>
      </c>
      <c r="AR42" s="77" t="s">
        <v>212</v>
      </c>
      <c r="AS42" s="77" t="s">
        <v>335</v>
      </c>
      <c r="AT42" s="135">
        <v>4.0690505548705307</v>
      </c>
      <c r="AU42" s="77">
        <v>2</v>
      </c>
      <c r="AV42" s="28">
        <v>3</v>
      </c>
      <c r="AW42" s="77">
        <v>23</v>
      </c>
      <c r="AX42" s="584">
        <v>24.33</v>
      </c>
      <c r="AY42" s="28">
        <v>23</v>
      </c>
      <c r="AZ42" s="28">
        <v>11</v>
      </c>
      <c r="BA42" s="28">
        <v>9</v>
      </c>
      <c r="BB42" s="28">
        <v>23</v>
      </c>
      <c r="BC42" s="28">
        <v>7</v>
      </c>
      <c r="BD42" s="106">
        <v>1.3152486642005756</v>
      </c>
      <c r="BE42" s="77">
        <v>0</v>
      </c>
      <c r="BF42" s="28">
        <v>0</v>
      </c>
      <c r="BG42" s="28">
        <v>0</v>
      </c>
      <c r="BH42" s="28">
        <v>0</v>
      </c>
      <c r="BI42" s="75">
        <v>40</v>
      </c>
    </row>
    <row r="43" spans="1:61">
      <c r="A43" s="101" t="s">
        <v>339</v>
      </c>
      <c r="B43" s="71" t="s">
        <v>206</v>
      </c>
      <c r="C43" s="71" t="s">
        <v>360</v>
      </c>
      <c r="D43" s="89">
        <f>VLOOKUP(Table70[[#This Row],[NAME]],TBR_P[[NAME]:['#]],2,0)</f>
        <v>3.7239544850007387</v>
      </c>
      <c r="E43" s="77">
        <f>VLOOKUP(Table70[[#This Row],[NAME]],TBR_P[[NAME]:['#]],3,0)</f>
        <v>4</v>
      </c>
      <c r="F43" s="28">
        <f>VLOOKUP(Table70[[#This Row],[NAME]],TBR_P[[NAME]:['#]],4,0)</f>
        <v>3</v>
      </c>
      <c r="G43" s="77">
        <f>VLOOKUP(Table70[[#This Row],[NAME]],TBR_P[[NAME]:['#]],5,0)</f>
        <v>10</v>
      </c>
      <c r="H43" s="584">
        <f>VLOOKUP(Table70[[#This Row],[NAME]],TBR_P[[NAME]:['#]],6,0)</f>
        <v>67.67</v>
      </c>
      <c r="I43" s="28">
        <f>VLOOKUP(Table70[[#This Row],[NAME]],TBR_P[[NAME]:['#]],7,0)</f>
        <v>57</v>
      </c>
      <c r="J43" s="28">
        <f>VLOOKUP(Table70[[#This Row],[NAME]],TBR_P[[NAME]:['#]],8,0)</f>
        <v>28</v>
      </c>
      <c r="K43" s="28">
        <f>VLOOKUP(Table70[[#This Row],[NAME]],TBR_P[[NAME]:['#]],9,0)</f>
        <v>19</v>
      </c>
      <c r="L43" s="76">
        <f>VLOOKUP(Table70[[#This Row],[NAME]],TBR_P[[NAME]:['#]],10,0)</f>
        <v>99</v>
      </c>
      <c r="M43" s="28">
        <f>VLOOKUP(Table70[[#This Row],[NAME]],TBR_P[[NAME]:['#]],11,0)</f>
        <v>0</v>
      </c>
      <c r="N43" s="106">
        <f>VLOOKUP(Table70[[#This Row],[NAME]],TBR_P[[NAME]:['#]],12,0)</f>
        <v>1.1230973843653023</v>
      </c>
      <c r="O43" s="77">
        <f>VLOOKUP(Table70[[#This Row],[NAME]],TBR_P[[NAME]:['#]],13,0)</f>
        <v>8</v>
      </c>
      <c r="P43" s="28">
        <f>VLOOKUP(Table70[[#This Row],[NAME]],TBR_P[[NAME]:['#]],14,0)</f>
        <v>5</v>
      </c>
      <c r="Q43" s="28">
        <f>VLOOKUP(Table70[[#This Row],[NAME]],TBR_P[[NAME]:['#]],15,0)</f>
        <v>1</v>
      </c>
      <c r="R43" s="28">
        <f>VLOOKUP(Table70[[#This Row],[NAME]],TBR_P[[NAME]:['#]],16,0)</f>
        <v>1</v>
      </c>
      <c r="S43" s="75">
        <v>41</v>
      </c>
      <c r="V43" s="101" t="s">
        <v>339</v>
      </c>
      <c r="W43" s="77" t="s">
        <v>206</v>
      </c>
      <c r="X43" s="77" t="s">
        <v>360</v>
      </c>
      <c r="Y43" s="88">
        <v>2.6470588235294117</v>
      </c>
      <c r="Z43" s="77">
        <v>4</v>
      </c>
      <c r="AA43" s="28">
        <v>2</v>
      </c>
      <c r="AB43" s="77">
        <v>10</v>
      </c>
      <c r="AC43" s="584">
        <v>68</v>
      </c>
      <c r="AD43" s="28">
        <v>50</v>
      </c>
      <c r="AE43" s="28">
        <v>20</v>
      </c>
      <c r="AF43" s="28">
        <v>23</v>
      </c>
      <c r="AG43" s="28">
        <v>85</v>
      </c>
      <c r="AH43" s="28">
        <v>0</v>
      </c>
      <c r="AI43" s="106">
        <v>1.0735294117647058</v>
      </c>
      <c r="AJ43" s="77">
        <v>8</v>
      </c>
      <c r="AK43" s="28">
        <v>4</v>
      </c>
      <c r="AL43" s="28">
        <v>2</v>
      </c>
      <c r="AM43" s="28">
        <v>1</v>
      </c>
      <c r="AN43" s="75">
        <v>41</v>
      </c>
      <c r="AQ43" s="101" t="s">
        <v>339</v>
      </c>
      <c r="AR43" s="352" t="s">
        <v>206</v>
      </c>
      <c r="AS43" s="352" t="s">
        <v>360</v>
      </c>
      <c r="AT43" s="525">
        <v>1.9726027397260273</v>
      </c>
      <c r="AU43" s="77">
        <v>7</v>
      </c>
      <c r="AV43" s="28">
        <v>2</v>
      </c>
      <c r="AW43" s="77">
        <v>10</v>
      </c>
      <c r="AX43" s="584">
        <v>73</v>
      </c>
      <c r="AY43" s="28">
        <v>53</v>
      </c>
      <c r="AZ43" s="28">
        <v>16</v>
      </c>
      <c r="BA43" s="28">
        <v>28</v>
      </c>
      <c r="BB43" s="76">
        <v>97</v>
      </c>
      <c r="BC43" s="28">
        <v>0</v>
      </c>
      <c r="BD43" s="106">
        <v>1.1095890410958904</v>
      </c>
      <c r="BE43" s="352">
        <v>9</v>
      </c>
      <c r="BF43" s="28">
        <v>5</v>
      </c>
      <c r="BG43" s="28">
        <v>2</v>
      </c>
      <c r="BH43" s="76">
        <v>2</v>
      </c>
      <c r="BI43" s="75">
        <v>41</v>
      </c>
    </row>
    <row r="44" spans="1:61">
      <c r="A44" s="101" t="s">
        <v>339</v>
      </c>
      <c r="B44" s="71" t="s">
        <v>206</v>
      </c>
      <c r="C44" s="116" t="s">
        <v>361</v>
      </c>
      <c r="D44" s="89">
        <f>VLOOKUP(Table70[[#This Row],[NAME]],TBR_P[[NAME]:['#]],2,0)</f>
        <v>4.2</v>
      </c>
      <c r="E44" s="77">
        <f>VLOOKUP(Table70[[#This Row],[NAME]],TBR_P[[NAME]:['#]],3,0)</f>
        <v>3</v>
      </c>
      <c r="F44" s="28">
        <f>VLOOKUP(Table70[[#This Row],[NAME]],TBR_P[[NAME]:['#]],4,0)</f>
        <v>3</v>
      </c>
      <c r="G44" s="77">
        <f>VLOOKUP(Table70[[#This Row],[NAME]],TBR_P[[NAME]:['#]],5,0)</f>
        <v>10</v>
      </c>
      <c r="H44" s="584">
        <f>VLOOKUP(Table70[[#This Row],[NAME]],TBR_P[[NAME]:['#]],6,0)</f>
        <v>60</v>
      </c>
      <c r="I44" s="28">
        <f>VLOOKUP(Table70[[#This Row],[NAME]],TBR_P[[NAME]:['#]],7,0)</f>
        <v>75</v>
      </c>
      <c r="J44" s="28">
        <f>VLOOKUP(Table70[[#This Row],[NAME]],TBR_P[[NAME]:['#]],8,0)</f>
        <v>28</v>
      </c>
      <c r="K44" s="28">
        <f>VLOOKUP(Table70[[#This Row],[NAME]],TBR_P[[NAME]:['#]],9,0)</f>
        <v>19</v>
      </c>
      <c r="L44" s="28">
        <f>VLOOKUP(Table70[[#This Row],[NAME]],TBR_P[[NAME]:['#]],10,0)</f>
        <v>62</v>
      </c>
      <c r="M44" s="28">
        <f>VLOOKUP(Table70[[#This Row],[NAME]],TBR_P[[NAME]:['#]],11,0)</f>
        <v>0</v>
      </c>
      <c r="N44" s="106">
        <f>VLOOKUP(Table70[[#This Row],[NAME]],TBR_P[[NAME]:['#]],12,0)</f>
        <v>1.5666666666666667</v>
      </c>
      <c r="O44" s="77">
        <f>VLOOKUP(Table70[[#This Row],[NAME]],TBR_P[[NAME]:['#]],13,0)</f>
        <v>4</v>
      </c>
      <c r="P44" s="28">
        <f>VLOOKUP(Table70[[#This Row],[NAME]],TBR_P[[NAME]:['#]],14,0)</f>
        <v>2</v>
      </c>
      <c r="Q44" s="28">
        <f>VLOOKUP(Table70[[#This Row],[NAME]],TBR_P[[NAME]:['#]],15,0)</f>
        <v>0</v>
      </c>
      <c r="R44" s="28">
        <f>VLOOKUP(Table70[[#This Row],[NAME]],TBR_P[[NAME]:['#]],16,0)</f>
        <v>0</v>
      </c>
      <c r="S44" s="75">
        <v>42</v>
      </c>
      <c r="V44" s="101" t="s">
        <v>339</v>
      </c>
      <c r="W44" s="77" t="s">
        <v>206</v>
      </c>
      <c r="X44" s="132" t="s">
        <v>361</v>
      </c>
      <c r="Y44" s="88">
        <v>2.7</v>
      </c>
      <c r="Z44" s="77">
        <v>3</v>
      </c>
      <c r="AA44" s="28">
        <v>3</v>
      </c>
      <c r="AB44" s="77">
        <v>10</v>
      </c>
      <c r="AC44" s="584">
        <v>70</v>
      </c>
      <c r="AD44" s="28">
        <v>64</v>
      </c>
      <c r="AE44" s="28">
        <v>21</v>
      </c>
      <c r="AF44" s="28">
        <v>14</v>
      </c>
      <c r="AG44" s="28">
        <v>78</v>
      </c>
      <c r="AH44" s="28">
        <v>0</v>
      </c>
      <c r="AI44" s="106">
        <v>1.1142857142857143</v>
      </c>
      <c r="AJ44" s="77">
        <v>9</v>
      </c>
      <c r="AK44" s="28">
        <v>6</v>
      </c>
      <c r="AL44" s="28">
        <v>1</v>
      </c>
      <c r="AM44" s="28">
        <v>0</v>
      </c>
      <c r="AN44" s="75">
        <v>42</v>
      </c>
      <c r="AQ44" s="101" t="s">
        <v>339</v>
      </c>
      <c r="AR44" s="77" t="s">
        <v>206</v>
      </c>
      <c r="AS44" s="77" t="s">
        <v>361</v>
      </c>
      <c r="AT44" s="135">
        <v>4.9090909090909092</v>
      </c>
      <c r="AU44" s="77">
        <v>1</v>
      </c>
      <c r="AV44" s="28">
        <v>5</v>
      </c>
      <c r="AW44" s="77">
        <v>10</v>
      </c>
      <c r="AX44" s="584">
        <v>66</v>
      </c>
      <c r="AY44" s="76">
        <v>86</v>
      </c>
      <c r="AZ44" s="28">
        <v>36</v>
      </c>
      <c r="BA44" s="28">
        <v>15</v>
      </c>
      <c r="BB44" s="28">
        <v>74</v>
      </c>
      <c r="BC44" s="28">
        <v>0</v>
      </c>
      <c r="BD44" s="106">
        <v>1.5303030303030303</v>
      </c>
      <c r="BE44" s="77">
        <v>5</v>
      </c>
      <c r="BF44" s="28">
        <v>2</v>
      </c>
      <c r="BG44" s="28">
        <v>1</v>
      </c>
      <c r="BH44" s="28">
        <v>1</v>
      </c>
      <c r="BI44" s="75">
        <v>42</v>
      </c>
    </row>
    <row r="45" spans="1:61">
      <c r="A45" s="101" t="s">
        <v>339</v>
      </c>
      <c r="B45" s="71" t="s">
        <v>365</v>
      </c>
      <c r="C45" s="116" t="s">
        <v>366</v>
      </c>
      <c r="D45" s="89">
        <f>VLOOKUP(Table70[[#This Row],[NAME]],TBR_P[[NAME]:['#]],2,0)</f>
        <v>4.7469919235206852</v>
      </c>
      <c r="E45" s="77">
        <f>VLOOKUP(Table70[[#This Row],[NAME]],TBR_P[[NAME]:['#]],3,0)</f>
        <v>1</v>
      </c>
      <c r="F45" s="28">
        <f>VLOOKUP(Table70[[#This Row],[NAME]],TBR_P[[NAME]:['#]],4,0)</f>
        <v>6</v>
      </c>
      <c r="G45" s="77">
        <f>VLOOKUP(Table70[[#This Row],[NAME]],TBR_P[[NAME]:['#]],5,0)</f>
        <v>10</v>
      </c>
      <c r="H45" s="584">
        <f>VLOOKUP(Table70[[#This Row],[NAME]],TBR_P[[NAME]:['#]],6,0)</f>
        <v>60.67</v>
      </c>
      <c r="I45" s="28">
        <f>VLOOKUP(Table70[[#This Row],[NAME]],TBR_P[[NAME]:['#]],7,0)</f>
        <v>66</v>
      </c>
      <c r="J45" s="28">
        <f>VLOOKUP(Table70[[#This Row],[NAME]],TBR_P[[NAME]:['#]],8,0)</f>
        <v>32</v>
      </c>
      <c r="K45" s="28">
        <f>VLOOKUP(Table70[[#This Row],[NAME]],TBR_P[[NAME]:['#]],9,0)</f>
        <v>14</v>
      </c>
      <c r="L45" s="28">
        <f>VLOOKUP(Table70[[#This Row],[NAME]],TBR_P[[NAME]:['#]],10,0)</f>
        <v>70</v>
      </c>
      <c r="M45" s="28">
        <f>VLOOKUP(Table70[[#This Row],[NAME]],TBR_P[[NAME]:['#]],11,0)</f>
        <v>0</v>
      </c>
      <c r="N45" s="106">
        <f>VLOOKUP(Table70[[#This Row],[NAME]],TBR_P[[NAME]:['#]],12,0)</f>
        <v>1.3186088676446348</v>
      </c>
      <c r="O45" s="77">
        <f>VLOOKUP(Table70[[#This Row],[NAME]],TBR_P[[NAME]:['#]],13,0)</f>
        <v>6</v>
      </c>
      <c r="P45" s="28">
        <f>VLOOKUP(Table70[[#This Row],[NAME]],TBR_P[[NAME]:['#]],14,0)</f>
        <v>1</v>
      </c>
      <c r="Q45" s="28">
        <f>VLOOKUP(Table70[[#This Row],[NAME]],TBR_P[[NAME]:['#]],15,0)</f>
        <v>0</v>
      </c>
      <c r="R45" s="28">
        <f>VLOOKUP(Table70[[#This Row],[NAME]],TBR_P[[NAME]:['#]],16,0)</f>
        <v>0</v>
      </c>
      <c r="S45" s="75">
        <v>43</v>
      </c>
      <c r="V45" s="101" t="s">
        <v>339</v>
      </c>
      <c r="W45" s="77" t="s">
        <v>206</v>
      </c>
      <c r="X45" s="132" t="s">
        <v>364</v>
      </c>
      <c r="Y45" s="88">
        <v>3.4975905487330952</v>
      </c>
      <c r="Z45" s="77">
        <v>6</v>
      </c>
      <c r="AA45" s="28">
        <v>3</v>
      </c>
      <c r="AB45" s="77">
        <v>10</v>
      </c>
      <c r="AC45" s="584">
        <v>64.33</v>
      </c>
      <c r="AD45" s="28">
        <v>58</v>
      </c>
      <c r="AE45" s="28">
        <v>25</v>
      </c>
      <c r="AF45" s="28">
        <v>20</v>
      </c>
      <c r="AG45" s="28">
        <v>62</v>
      </c>
      <c r="AH45" s="28">
        <v>0</v>
      </c>
      <c r="AI45" s="106">
        <v>1.2124980568941397</v>
      </c>
      <c r="AJ45" s="77">
        <v>6</v>
      </c>
      <c r="AK45" s="28">
        <v>3</v>
      </c>
      <c r="AL45" s="28">
        <v>1</v>
      </c>
      <c r="AM45" s="28">
        <v>0</v>
      </c>
      <c r="AN45" s="75">
        <v>43</v>
      </c>
      <c r="AQ45" s="101" t="s">
        <v>339</v>
      </c>
      <c r="AR45" s="77" t="s">
        <v>206</v>
      </c>
      <c r="AS45" s="77" t="s">
        <v>362</v>
      </c>
      <c r="AT45" s="135">
        <v>4.1437694935392839</v>
      </c>
      <c r="AU45" s="77">
        <v>4</v>
      </c>
      <c r="AV45" s="28">
        <v>4</v>
      </c>
      <c r="AW45" s="77">
        <v>10</v>
      </c>
      <c r="AX45" s="584">
        <v>67.33</v>
      </c>
      <c r="AY45" s="28">
        <v>63</v>
      </c>
      <c r="AZ45" s="28">
        <v>31</v>
      </c>
      <c r="BA45" s="28">
        <v>18</v>
      </c>
      <c r="BB45" s="28">
        <v>68</v>
      </c>
      <c r="BC45" s="28">
        <v>0</v>
      </c>
      <c r="BD45" s="106">
        <v>1.2030298529630179</v>
      </c>
      <c r="BE45" s="77">
        <v>8</v>
      </c>
      <c r="BF45" s="28">
        <v>4</v>
      </c>
      <c r="BG45" s="28">
        <v>0</v>
      </c>
      <c r="BH45" s="28">
        <v>0</v>
      </c>
      <c r="BI45" s="75">
        <v>43</v>
      </c>
    </row>
    <row r="46" spans="1:61">
      <c r="A46" s="101" t="s">
        <v>339</v>
      </c>
      <c r="B46" s="71" t="s">
        <v>206</v>
      </c>
      <c r="C46" s="116" t="s">
        <v>363</v>
      </c>
      <c r="D46" s="89">
        <f>VLOOKUP(Table70[[#This Row],[NAME]],TBR_P[[NAME]:['#]],2,0)</f>
        <v>5.5862068965517242</v>
      </c>
      <c r="E46" s="77">
        <f>VLOOKUP(Table70[[#This Row],[NAME]],TBR_P[[NAME]:['#]],3,0)</f>
        <v>1</v>
      </c>
      <c r="F46" s="28">
        <f>VLOOKUP(Table70[[#This Row],[NAME]],TBR_P[[NAME]:['#]],4,0)</f>
        <v>3</v>
      </c>
      <c r="G46" s="77">
        <f>VLOOKUP(Table70[[#This Row],[NAME]],TBR_P[[NAME]:['#]],5,0)</f>
        <v>10</v>
      </c>
      <c r="H46" s="584">
        <f>VLOOKUP(Table70[[#This Row],[NAME]],TBR_P[[NAME]:['#]],6,0)</f>
        <v>58</v>
      </c>
      <c r="I46" s="28">
        <f>VLOOKUP(Table70[[#This Row],[NAME]],TBR_P[[NAME]:['#]],7,0)</f>
        <v>63</v>
      </c>
      <c r="J46" s="28">
        <f>VLOOKUP(Table70[[#This Row],[NAME]],TBR_P[[NAME]:['#]],8,0)</f>
        <v>36</v>
      </c>
      <c r="K46" s="28">
        <f>VLOOKUP(Table70[[#This Row],[NAME]],TBR_P[[NAME]:['#]],9,0)</f>
        <v>29</v>
      </c>
      <c r="L46" s="28">
        <f>VLOOKUP(Table70[[#This Row],[NAME]],TBR_P[[NAME]:['#]],10,0)</f>
        <v>53</v>
      </c>
      <c r="M46" s="28">
        <f>VLOOKUP(Table70[[#This Row],[NAME]],TBR_P[[NAME]:['#]],11,0)</f>
        <v>0</v>
      </c>
      <c r="N46" s="106">
        <f>VLOOKUP(Table70[[#This Row],[NAME]],TBR_P[[NAME]:['#]],12,0)</f>
        <v>1.5862068965517242</v>
      </c>
      <c r="O46" s="77">
        <f>VLOOKUP(Table70[[#This Row],[NAME]],TBR_P[[NAME]:['#]],13,0)</f>
        <v>3</v>
      </c>
      <c r="P46" s="28">
        <f>VLOOKUP(Table70[[#This Row],[NAME]],TBR_P[[NAME]:['#]],14,0)</f>
        <v>1</v>
      </c>
      <c r="Q46" s="28">
        <f>VLOOKUP(Table70[[#This Row],[NAME]],TBR_P[[NAME]:['#]],15,0)</f>
        <v>1</v>
      </c>
      <c r="R46" s="28">
        <f>VLOOKUP(Table70[[#This Row],[NAME]],TBR_P[[NAME]:['#]],16,0)</f>
        <v>1</v>
      </c>
      <c r="S46" s="75">
        <v>44</v>
      </c>
      <c r="V46" s="101" t="s">
        <v>339</v>
      </c>
      <c r="W46" s="77" t="s">
        <v>206</v>
      </c>
      <c r="X46" s="132" t="s">
        <v>362</v>
      </c>
      <c r="Y46" s="88">
        <v>3.7195775294657891</v>
      </c>
      <c r="Z46" s="77">
        <v>3</v>
      </c>
      <c r="AA46" s="28">
        <v>6</v>
      </c>
      <c r="AB46" s="77">
        <v>10</v>
      </c>
      <c r="AC46" s="584">
        <v>65.33</v>
      </c>
      <c r="AD46" s="28">
        <v>57</v>
      </c>
      <c r="AE46" s="28">
        <v>27</v>
      </c>
      <c r="AF46" s="28">
        <v>15</v>
      </c>
      <c r="AG46" s="28">
        <v>56</v>
      </c>
      <c r="AH46" s="28">
        <v>0</v>
      </c>
      <c r="AI46" s="106">
        <v>1.1020970457676413</v>
      </c>
      <c r="AJ46" s="77">
        <v>4</v>
      </c>
      <c r="AK46" s="28">
        <v>4</v>
      </c>
      <c r="AL46" s="28">
        <v>2</v>
      </c>
      <c r="AM46" s="76">
        <v>2</v>
      </c>
      <c r="AN46" s="75">
        <v>44</v>
      </c>
      <c r="AQ46" s="101" t="s">
        <v>339</v>
      </c>
      <c r="AR46" s="77" t="s">
        <v>206</v>
      </c>
      <c r="AS46" s="77" t="s">
        <v>367</v>
      </c>
      <c r="AT46" s="135">
        <v>7.7407174323473882</v>
      </c>
      <c r="AU46" s="77">
        <v>1</v>
      </c>
      <c r="AV46" s="76">
        <v>7</v>
      </c>
      <c r="AW46" s="77">
        <v>9</v>
      </c>
      <c r="AX46" s="584">
        <v>47.67</v>
      </c>
      <c r="AY46" s="28">
        <v>73</v>
      </c>
      <c r="AZ46" s="28">
        <v>41</v>
      </c>
      <c r="BA46" s="28">
        <v>14</v>
      </c>
      <c r="BB46" s="28">
        <v>39</v>
      </c>
      <c r="BC46" s="28">
        <v>0</v>
      </c>
      <c r="BD46" s="106">
        <v>1.8250471994965387</v>
      </c>
      <c r="BE46" s="77">
        <v>1</v>
      </c>
      <c r="BF46" s="28">
        <v>1</v>
      </c>
      <c r="BG46" s="28">
        <v>1</v>
      </c>
      <c r="BH46" s="28">
        <v>1</v>
      </c>
      <c r="BI46" s="75">
        <v>44</v>
      </c>
    </row>
    <row r="47" spans="1:61">
      <c r="A47" s="101" t="s">
        <v>339</v>
      </c>
      <c r="B47" s="71" t="s">
        <v>212</v>
      </c>
      <c r="C47" s="116" t="s">
        <v>368</v>
      </c>
      <c r="D47" s="89">
        <f>VLOOKUP(Table70[[#This Row],[NAME]],TBR_P[[NAME]:['#]],2,0)</f>
        <v>16.2</v>
      </c>
      <c r="E47" s="77">
        <f>VLOOKUP(Table70[[#This Row],[NAME]],TBR_P[[NAME]:['#]],3,0)</f>
        <v>0</v>
      </c>
      <c r="F47" s="28">
        <f>VLOOKUP(Table70[[#This Row],[NAME]],TBR_P[[NAME]:['#]],4,0)</f>
        <v>0</v>
      </c>
      <c r="G47" s="77">
        <f>VLOOKUP(Table70[[#This Row],[NAME]],TBR_P[[NAME]:['#]],5,0)</f>
        <v>2</v>
      </c>
      <c r="H47" s="584">
        <f>VLOOKUP(Table70[[#This Row],[NAME]],TBR_P[[NAME]:['#]],6,0)</f>
        <v>5</v>
      </c>
      <c r="I47" s="28">
        <f>VLOOKUP(Table70[[#This Row],[NAME]],TBR_P[[NAME]:['#]],7,0)</f>
        <v>10</v>
      </c>
      <c r="J47" s="28">
        <f>VLOOKUP(Table70[[#This Row],[NAME]],TBR_P[[NAME]:['#]],8,0)</f>
        <v>9</v>
      </c>
      <c r="K47" s="28">
        <f>VLOOKUP(Table70[[#This Row],[NAME]],TBR_P[[NAME]:['#]],9,0)</f>
        <v>8</v>
      </c>
      <c r="L47" s="28">
        <f>VLOOKUP(Table70[[#This Row],[NAME]],TBR_P[[NAME]:['#]],10,0)</f>
        <v>7</v>
      </c>
      <c r="M47" s="28">
        <f>VLOOKUP(Table70[[#This Row],[NAME]],TBR_P[[NAME]:['#]],11,0)</f>
        <v>0</v>
      </c>
      <c r="N47" s="106">
        <f>VLOOKUP(Table70[[#This Row],[NAME]],TBR_P[[NAME]:['#]],12,0)</f>
        <v>3.6</v>
      </c>
      <c r="O47" s="77">
        <f>VLOOKUP(Table70[[#This Row],[NAME]],TBR_P[[NAME]:['#]],13,0)</f>
        <v>0</v>
      </c>
      <c r="P47" s="28">
        <f>VLOOKUP(Table70[[#This Row],[NAME]],TBR_P[[NAME]:['#]],14,0)</f>
        <v>0</v>
      </c>
      <c r="Q47" s="28">
        <f>VLOOKUP(Table70[[#This Row],[NAME]],TBR_P[[NAME]:['#]],15,0)</f>
        <v>0</v>
      </c>
      <c r="R47" s="28">
        <f>VLOOKUP(Table70[[#This Row],[NAME]],TBR_P[[NAME]:['#]],16,0)</f>
        <v>0</v>
      </c>
      <c r="S47" s="75">
        <v>45</v>
      </c>
      <c r="V47" s="101" t="s">
        <v>339</v>
      </c>
      <c r="W47" s="77" t="s">
        <v>212</v>
      </c>
      <c r="X47" s="132" t="s">
        <v>363</v>
      </c>
      <c r="Y47" s="88">
        <v>2.1036229061160885</v>
      </c>
      <c r="Z47" s="77">
        <v>0</v>
      </c>
      <c r="AA47" s="28">
        <v>2</v>
      </c>
      <c r="AB47" s="77">
        <v>12</v>
      </c>
      <c r="AC47" s="584">
        <v>25.67</v>
      </c>
      <c r="AD47" s="28">
        <v>16</v>
      </c>
      <c r="AE47" s="28">
        <v>6</v>
      </c>
      <c r="AF47" s="28">
        <v>12</v>
      </c>
      <c r="AG47" s="28">
        <v>17</v>
      </c>
      <c r="AH47" s="28">
        <v>0</v>
      </c>
      <c r="AI47" s="106">
        <v>1.0907674328009349</v>
      </c>
      <c r="AJ47" s="77">
        <v>0</v>
      </c>
      <c r="AK47" s="28">
        <v>0</v>
      </c>
      <c r="AL47" s="28">
        <v>0</v>
      </c>
      <c r="AM47" s="28">
        <v>0</v>
      </c>
      <c r="AN47" s="75">
        <v>45</v>
      </c>
      <c r="AQ47" s="101" t="s">
        <v>339</v>
      </c>
      <c r="AR47" s="77" t="s">
        <v>215</v>
      </c>
      <c r="AS47" s="77" t="s">
        <v>368</v>
      </c>
      <c r="AT47" s="135">
        <v>6.2307692307692308</v>
      </c>
      <c r="AU47" s="77">
        <v>1</v>
      </c>
      <c r="AV47" s="28">
        <v>0</v>
      </c>
      <c r="AW47" s="77">
        <v>7</v>
      </c>
      <c r="AX47" s="584">
        <v>13</v>
      </c>
      <c r="AY47" s="28">
        <v>8</v>
      </c>
      <c r="AZ47" s="28">
        <v>9</v>
      </c>
      <c r="BA47" s="28">
        <v>8</v>
      </c>
      <c r="BB47" s="28">
        <v>15</v>
      </c>
      <c r="BC47" s="28">
        <v>0</v>
      </c>
      <c r="BD47" s="106">
        <v>1.2307692307692308</v>
      </c>
      <c r="BE47" s="77">
        <v>0</v>
      </c>
      <c r="BF47" s="28">
        <v>0</v>
      </c>
      <c r="BG47" s="28">
        <v>0</v>
      </c>
      <c r="BH47" s="28">
        <v>0</v>
      </c>
      <c r="BI47" s="75">
        <v>45</v>
      </c>
    </row>
    <row r="48" spans="1:61">
      <c r="A48" s="101" t="s">
        <v>339</v>
      </c>
      <c r="B48" s="71" t="s">
        <v>212</v>
      </c>
      <c r="C48" s="116" t="s">
        <v>370</v>
      </c>
      <c r="D48" s="89">
        <f>VLOOKUP(Table70[[#This Row],[NAME]],TBR_P[[NAME]:['#]],2,0)</f>
        <v>5.7272727272727275</v>
      </c>
      <c r="E48" s="77">
        <f>VLOOKUP(Table70[[#This Row],[NAME]],TBR_P[[NAME]:['#]],3,0)</f>
        <v>3</v>
      </c>
      <c r="F48" s="28">
        <f>VLOOKUP(Table70[[#This Row],[NAME]],TBR_P[[NAME]:['#]],4,0)</f>
        <v>1</v>
      </c>
      <c r="G48" s="77">
        <f>VLOOKUP(Table70[[#This Row],[NAME]],TBR_P[[NAME]:['#]],5,0)</f>
        <v>15</v>
      </c>
      <c r="H48" s="584">
        <f>VLOOKUP(Table70[[#This Row],[NAME]],TBR_P[[NAME]:['#]],6,0)</f>
        <v>22</v>
      </c>
      <c r="I48" s="28">
        <f>VLOOKUP(Table70[[#This Row],[NAME]],TBR_P[[NAME]:['#]],7,0)</f>
        <v>28</v>
      </c>
      <c r="J48" s="28">
        <f>VLOOKUP(Table70[[#This Row],[NAME]],TBR_P[[NAME]:['#]],8,0)</f>
        <v>14</v>
      </c>
      <c r="K48" s="28">
        <f>VLOOKUP(Table70[[#This Row],[NAME]],TBR_P[[NAME]:['#]],9,0)</f>
        <v>9</v>
      </c>
      <c r="L48" s="28">
        <f>VLOOKUP(Table70[[#This Row],[NAME]],TBR_P[[NAME]:['#]],10,0)</f>
        <v>25</v>
      </c>
      <c r="M48" s="28">
        <f>VLOOKUP(Table70[[#This Row],[NAME]],TBR_P[[NAME]:['#]],11,0)</f>
        <v>0</v>
      </c>
      <c r="N48" s="106">
        <f>VLOOKUP(Table70[[#This Row],[NAME]],TBR_P[[NAME]:['#]],12,0)</f>
        <v>1.6818181818181819</v>
      </c>
      <c r="O48" s="77">
        <f>VLOOKUP(Table70[[#This Row],[NAME]],TBR_P[[NAME]:['#]],13,0)</f>
        <v>0</v>
      </c>
      <c r="P48" s="28">
        <f>VLOOKUP(Table70[[#This Row],[NAME]],TBR_P[[NAME]:['#]],14,0)</f>
        <v>0</v>
      </c>
      <c r="Q48" s="28">
        <f>VLOOKUP(Table70[[#This Row],[NAME]],TBR_P[[NAME]:['#]],15,0)</f>
        <v>0</v>
      </c>
      <c r="R48" s="28">
        <f>VLOOKUP(Table70[[#This Row],[NAME]],TBR_P[[NAME]:['#]],16,0)</f>
        <v>0</v>
      </c>
      <c r="S48" s="75">
        <v>46</v>
      </c>
      <c r="V48" s="101" t="s">
        <v>339</v>
      </c>
      <c r="W48" s="77" t="s">
        <v>212</v>
      </c>
      <c r="X48" s="132" t="s">
        <v>368</v>
      </c>
      <c r="Y48" s="88">
        <v>4.5</v>
      </c>
      <c r="Z48" s="77">
        <v>0</v>
      </c>
      <c r="AA48" s="28">
        <v>0</v>
      </c>
      <c r="AB48" s="77">
        <v>1</v>
      </c>
      <c r="AC48" s="584">
        <v>2</v>
      </c>
      <c r="AD48" s="28">
        <v>3</v>
      </c>
      <c r="AE48" s="28">
        <v>1</v>
      </c>
      <c r="AF48" s="28">
        <v>0</v>
      </c>
      <c r="AG48" s="28">
        <v>3</v>
      </c>
      <c r="AH48" s="28">
        <v>0</v>
      </c>
      <c r="AI48" s="106">
        <v>1.5</v>
      </c>
      <c r="AJ48" s="77">
        <v>0</v>
      </c>
      <c r="AK48" s="28">
        <v>0</v>
      </c>
      <c r="AL48" s="28">
        <v>0</v>
      </c>
      <c r="AM48" s="28">
        <v>0</v>
      </c>
      <c r="AN48" s="75">
        <v>46</v>
      </c>
      <c r="AQ48" s="101" t="s">
        <v>339</v>
      </c>
      <c r="AR48" s="77" t="s">
        <v>215</v>
      </c>
      <c r="AS48" s="77" t="s">
        <v>363</v>
      </c>
      <c r="AT48" s="135">
        <v>4</v>
      </c>
      <c r="AU48" s="77">
        <v>1</v>
      </c>
      <c r="AV48" s="28">
        <v>1</v>
      </c>
      <c r="AW48" s="77">
        <v>14</v>
      </c>
      <c r="AX48" s="584">
        <v>36</v>
      </c>
      <c r="AY48" s="28">
        <v>34</v>
      </c>
      <c r="AZ48" s="28">
        <v>16</v>
      </c>
      <c r="BA48" s="28">
        <v>10</v>
      </c>
      <c r="BB48" s="28">
        <v>29</v>
      </c>
      <c r="BC48" s="28">
        <v>0</v>
      </c>
      <c r="BD48" s="106">
        <v>1.2222222222222223</v>
      </c>
      <c r="BE48" s="77">
        <v>0</v>
      </c>
      <c r="BF48" s="28">
        <v>0</v>
      </c>
      <c r="BG48" s="28">
        <v>0</v>
      </c>
      <c r="BH48" s="28">
        <v>0</v>
      </c>
      <c r="BI48" s="75">
        <v>46</v>
      </c>
    </row>
    <row r="49" spans="1:61">
      <c r="A49" s="101" t="s">
        <v>339</v>
      </c>
      <c r="B49" s="71" t="s">
        <v>212</v>
      </c>
      <c r="C49" s="116" t="s">
        <v>369</v>
      </c>
      <c r="D49" s="89">
        <f>VLOOKUP(Table70[[#This Row],[NAME]],TBR_P[[NAME]:['#]],2,0)</f>
        <v>2.2045315370483776</v>
      </c>
      <c r="E49" s="77">
        <f>VLOOKUP(Table70[[#This Row],[NAME]],TBR_P[[NAME]:['#]],3,0)</f>
        <v>0</v>
      </c>
      <c r="F49" s="28">
        <f>VLOOKUP(Table70[[#This Row],[NAME]],TBR_P[[NAME]:['#]],4,0)</f>
        <v>0</v>
      </c>
      <c r="G49" s="77">
        <f>VLOOKUP(Table70[[#This Row],[NAME]],TBR_P[[NAME]:['#]],5,0)</f>
        <v>14</v>
      </c>
      <c r="H49" s="584">
        <f>VLOOKUP(Table70[[#This Row],[NAME]],TBR_P[[NAME]:['#]],6,0)</f>
        <v>16.329999999999998</v>
      </c>
      <c r="I49" s="28">
        <f>VLOOKUP(Table70[[#This Row],[NAME]],TBR_P[[NAME]:['#]],7,0)</f>
        <v>16</v>
      </c>
      <c r="J49" s="28">
        <f>VLOOKUP(Table70[[#This Row],[NAME]],TBR_P[[NAME]:['#]],8,0)</f>
        <v>4</v>
      </c>
      <c r="K49" s="28">
        <f>VLOOKUP(Table70[[#This Row],[NAME]],TBR_P[[NAME]:['#]],9,0)</f>
        <v>5</v>
      </c>
      <c r="L49" s="28">
        <f>VLOOKUP(Table70[[#This Row],[NAME]],TBR_P[[NAME]:['#]],10,0)</f>
        <v>17</v>
      </c>
      <c r="M49" s="28">
        <f>VLOOKUP(Table70[[#This Row],[NAME]],TBR_P[[NAME]:['#]],11,0)</f>
        <v>1</v>
      </c>
      <c r="N49" s="106">
        <f>VLOOKUP(Table70[[#This Row],[NAME]],TBR_P[[NAME]:['#]],12,0)</f>
        <v>1.2859767299448868</v>
      </c>
      <c r="O49" s="77">
        <f>VLOOKUP(Table70[[#This Row],[NAME]],TBR_P[[NAME]:['#]],13,0)</f>
        <v>0</v>
      </c>
      <c r="P49" s="28">
        <f>VLOOKUP(Table70[[#This Row],[NAME]],TBR_P[[NAME]:['#]],14,0)</f>
        <v>0</v>
      </c>
      <c r="Q49" s="28">
        <f>VLOOKUP(Table70[[#This Row],[NAME]],TBR_P[[NAME]:['#]],15,0)</f>
        <v>0</v>
      </c>
      <c r="R49" s="28">
        <f>VLOOKUP(Table70[[#This Row],[NAME]],TBR_P[[NAME]:['#]],16,0)</f>
        <v>0</v>
      </c>
      <c r="S49" s="75">
        <v>47</v>
      </c>
      <c r="V49" s="101" t="s">
        <v>339</v>
      </c>
      <c r="W49" s="77" t="s">
        <v>212</v>
      </c>
      <c r="X49" s="132" t="s">
        <v>369</v>
      </c>
      <c r="Y49" s="88">
        <v>0</v>
      </c>
      <c r="Z49" s="77">
        <v>1</v>
      </c>
      <c r="AA49" s="28">
        <v>0</v>
      </c>
      <c r="AB49" s="77">
        <v>3</v>
      </c>
      <c r="AC49" s="584">
        <v>3</v>
      </c>
      <c r="AD49" s="28">
        <v>0</v>
      </c>
      <c r="AE49" s="28">
        <v>0</v>
      </c>
      <c r="AF49" s="28">
        <v>2</v>
      </c>
      <c r="AG49" s="28">
        <v>2</v>
      </c>
      <c r="AH49" s="28">
        <v>0</v>
      </c>
      <c r="AI49" s="106">
        <v>0.66666666666666663</v>
      </c>
      <c r="AJ49" s="77">
        <v>0</v>
      </c>
      <c r="AK49" s="28">
        <v>0</v>
      </c>
      <c r="AL49" s="28">
        <v>0</v>
      </c>
      <c r="AM49" s="28">
        <v>0</v>
      </c>
      <c r="AN49" s="75">
        <v>47</v>
      </c>
      <c r="AQ49" s="101" t="s">
        <v>339</v>
      </c>
      <c r="AR49" s="77" t="s">
        <v>215</v>
      </c>
      <c r="AS49" s="77" t="s">
        <v>369</v>
      </c>
      <c r="AT49" s="135">
        <v>7.7087794432548185</v>
      </c>
      <c r="AU49" s="77">
        <v>0</v>
      </c>
      <c r="AV49" s="28">
        <v>0</v>
      </c>
      <c r="AW49" s="77">
        <v>4</v>
      </c>
      <c r="AX49" s="584">
        <v>4.67</v>
      </c>
      <c r="AY49" s="28">
        <v>6</v>
      </c>
      <c r="AZ49" s="28">
        <v>4</v>
      </c>
      <c r="BA49" s="28">
        <v>1</v>
      </c>
      <c r="BB49" s="28">
        <v>2</v>
      </c>
      <c r="BC49" s="28">
        <v>0</v>
      </c>
      <c r="BD49" s="106">
        <v>1.4989293361884368</v>
      </c>
      <c r="BE49" s="77">
        <v>0</v>
      </c>
      <c r="BF49" s="28">
        <v>0</v>
      </c>
      <c r="BG49" s="28">
        <v>0</v>
      </c>
      <c r="BH49" s="28">
        <v>0</v>
      </c>
      <c r="BI49" s="75">
        <v>47</v>
      </c>
    </row>
    <row r="50" spans="1:61">
      <c r="A50" s="101" t="s">
        <v>339</v>
      </c>
      <c r="B50" s="71" t="s">
        <v>212</v>
      </c>
      <c r="C50" s="116" t="s">
        <v>372</v>
      </c>
      <c r="D50" s="89">
        <f>VLOOKUP(Table70[[#This Row],[NAME]],TBR_P[[NAME]:['#]],2,0)</f>
        <v>6.3529411764705879</v>
      </c>
      <c r="E50" s="77">
        <f>VLOOKUP(Table70[[#This Row],[NAME]],TBR_P[[NAME]:['#]],3,0)</f>
        <v>0</v>
      </c>
      <c r="F50" s="28">
        <f>VLOOKUP(Table70[[#This Row],[NAME]],TBR_P[[NAME]:['#]],4,0)</f>
        <v>4</v>
      </c>
      <c r="G50" s="77">
        <f>VLOOKUP(Table70[[#This Row],[NAME]],TBR_P[[NAME]:['#]],5,0)</f>
        <v>16</v>
      </c>
      <c r="H50" s="584">
        <f>VLOOKUP(Table70[[#This Row],[NAME]],TBR_P[[NAME]:['#]],6,0)</f>
        <v>17</v>
      </c>
      <c r="I50" s="28">
        <f>VLOOKUP(Table70[[#This Row],[NAME]],TBR_P[[NAME]:['#]],7,0)</f>
        <v>22</v>
      </c>
      <c r="J50" s="28">
        <f>VLOOKUP(Table70[[#This Row],[NAME]],TBR_P[[NAME]:['#]],8,0)</f>
        <v>12</v>
      </c>
      <c r="K50" s="28">
        <f>VLOOKUP(Table70[[#This Row],[NAME]],TBR_P[[NAME]:['#]],9,0)</f>
        <v>11</v>
      </c>
      <c r="L50" s="28">
        <f>VLOOKUP(Table70[[#This Row],[NAME]],TBR_P[[NAME]:['#]],10,0)</f>
        <v>10</v>
      </c>
      <c r="M50" s="28">
        <f>VLOOKUP(Table70[[#This Row],[NAME]],TBR_P[[NAME]:['#]],11,0)</f>
        <v>0</v>
      </c>
      <c r="N50" s="106">
        <f>VLOOKUP(Table70[[#This Row],[NAME]],TBR_P[[NAME]:['#]],12,0)</f>
        <v>1.9411764705882353</v>
      </c>
      <c r="O50" s="77">
        <f>VLOOKUP(Table70[[#This Row],[NAME]],TBR_P[[NAME]:['#]],13,0)</f>
        <v>0</v>
      </c>
      <c r="P50" s="28">
        <f>VLOOKUP(Table70[[#This Row],[NAME]],TBR_P[[NAME]:['#]],14,0)</f>
        <v>0</v>
      </c>
      <c r="Q50" s="28">
        <f>VLOOKUP(Table70[[#This Row],[NAME]],TBR_P[[NAME]:['#]],15,0)</f>
        <v>0</v>
      </c>
      <c r="R50" s="28">
        <f>VLOOKUP(Table70[[#This Row],[NAME]],TBR_P[[NAME]:['#]],16,0)</f>
        <v>0</v>
      </c>
      <c r="S50" s="75">
        <v>48</v>
      </c>
      <c r="V50" s="101" t="s">
        <v>339</v>
      </c>
      <c r="W50" s="77" t="s">
        <v>212</v>
      </c>
      <c r="X50" s="132" t="s">
        <v>372</v>
      </c>
      <c r="Y50" s="88">
        <v>8.1818181818181817</v>
      </c>
      <c r="Z50" s="77">
        <v>1</v>
      </c>
      <c r="AA50" s="28">
        <v>0</v>
      </c>
      <c r="AB50" s="77">
        <v>10</v>
      </c>
      <c r="AC50" s="584">
        <v>11</v>
      </c>
      <c r="AD50" s="28">
        <v>19</v>
      </c>
      <c r="AE50" s="28">
        <v>10</v>
      </c>
      <c r="AF50" s="28">
        <v>5</v>
      </c>
      <c r="AG50" s="28">
        <v>10</v>
      </c>
      <c r="AH50" s="28">
        <v>0</v>
      </c>
      <c r="AI50" s="106">
        <v>2.1818181818181817</v>
      </c>
      <c r="AJ50" s="77">
        <v>0</v>
      </c>
      <c r="AK50" s="28">
        <v>0</v>
      </c>
      <c r="AL50" s="28">
        <v>0</v>
      </c>
      <c r="AM50" s="28">
        <v>0</v>
      </c>
      <c r="AN50" s="75">
        <v>48</v>
      </c>
      <c r="AQ50" s="101" t="s">
        <v>339</v>
      </c>
      <c r="AR50" s="77" t="s">
        <v>215</v>
      </c>
      <c r="AS50" s="77" t="s">
        <v>371</v>
      </c>
      <c r="AT50" s="135">
        <v>5.6872037914691944</v>
      </c>
      <c r="AU50" s="77">
        <v>0</v>
      </c>
      <c r="AV50" s="28">
        <v>0</v>
      </c>
      <c r="AW50" s="77">
        <v>6</v>
      </c>
      <c r="AX50" s="584">
        <v>6.33</v>
      </c>
      <c r="AY50" s="28">
        <v>9</v>
      </c>
      <c r="AZ50" s="28">
        <v>4</v>
      </c>
      <c r="BA50" s="28">
        <v>1</v>
      </c>
      <c r="BB50" s="28">
        <v>2</v>
      </c>
      <c r="BC50" s="28">
        <v>0</v>
      </c>
      <c r="BD50" s="106">
        <v>1.5797788309636651</v>
      </c>
      <c r="BE50" s="77">
        <v>0</v>
      </c>
      <c r="BF50" s="28">
        <v>0</v>
      </c>
      <c r="BG50" s="28">
        <v>0</v>
      </c>
      <c r="BH50" s="28">
        <v>0</v>
      </c>
      <c r="BI50" s="75">
        <v>48</v>
      </c>
    </row>
    <row r="51" spans="1:61">
      <c r="A51" s="101" t="s">
        <v>339</v>
      </c>
      <c r="B51" s="71" t="s">
        <v>212</v>
      </c>
      <c r="C51" s="116" t="s">
        <v>373</v>
      </c>
      <c r="D51" s="89">
        <f>VLOOKUP(Table70[[#This Row],[NAME]],TBR_P[[NAME]:['#]],2,0)</f>
        <v>5.1428571428571432</v>
      </c>
      <c r="E51" s="77">
        <f>VLOOKUP(Table70[[#This Row],[NAME]],TBR_P[[NAME]:['#]],3,0)</f>
        <v>1</v>
      </c>
      <c r="F51" s="28">
        <f>VLOOKUP(Table70[[#This Row],[NAME]],TBR_P[[NAME]:['#]],4,0)</f>
        <v>1</v>
      </c>
      <c r="G51" s="77">
        <f>VLOOKUP(Table70[[#This Row],[NAME]],TBR_P[[NAME]:['#]],5,0)</f>
        <v>19</v>
      </c>
      <c r="H51" s="584">
        <f>VLOOKUP(Table70[[#This Row],[NAME]],TBR_P[[NAME]:['#]],6,0)</f>
        <v>21</v>
      </c>
      <c r="I51" s="28">
        <f>VLOOKUP(Table70[[#This Row],[NAME]],TBR_P[[NAME]:['#]],7,0)</f>
        <v>21</v>
      </c>
      <c r="J51" s="28">
        <f>VLOOKUP(Table70[[#This Row],[NAME]],TBR_P[[NAME]:['#]],8,0)</f>
        <v>12</v>
      </c>
      <c r="K51" s="28">
        <f>VLOOKUP(Table70[[#This Row],[NAME]],TBR_P[[NAME]:['#]],9,0)</f>
        <v>14</v>
      </c>
      <c r="L51" s="28">
        <f>VLOOKUP(Table70[[#This Row],[NAME]],TBR_P[[NAME]:['#]],10,0)</f>
        <v>22</v>
      </c>
      <c r="M51" s="28">
        <f>VLOOKUP(Table70[[#This Row],[NAME]],TBR_P[[NAME]:['#]],11,0)</f>
        <v>1</v>
      </c>
      <c r="N51" s="106">
        <f>VLOOKUP(Table70[[#This Row],[NAME]],TBR_P[[NAME]:['#]],12,0)</f>
        <v>1.6666666666666667</v>
      </c>
      <c r="O51" s="77">
        <f>VLOOKUP(Table70[[#This Row],[NAME]],TBR_P[[NAME]:['#]],13,0)</f>
        <v>0</v>
      </c>
      <c r="P51" s="28">
        <f>VLOOKUP(Table70[[#This Row],[NAME]],TBR_P[[NAME]:['#]],14,0)</f>
        <v>0</v>
      </c>
      <c r="Q51" s="28">
        <f>VLOOKUP(Table70[[#This Row],[NAME]],TBR_P[[NAME]:['#]],15,0)</f>
        <v>0</v>
      </c>
      <c r="R51" s="28">
        <f>VLOOKUP(Table70[[#This Row],[NAME]],TBR_P[[NAME]:['#]],16,0)</f>
        <v>0</v>
      </c>
      <c r="S51" s="75">
        <v>49</v>
      </c>
      <c r="V51" s="101" t="s">
        <v>339</v>
      </c>
      <c r="W51" s="77" t="s">
        <v>212</v>
      </c>
      <c r="X51" s="132" t="s">
        <v>373</v>
      </c>
      <c r="Y51" s="88">
        <v>7.0831283817019193</v>
      </c>
      <c r="Z51" s="77">
        <v>2</v>
      </c>
      <c r="AA51" s="28">
        <v>2</v>
      </c>
      <c r="AB51" s="77">
        <v>21</v>
      </c>
      <c r="AC51" s="584">
        <v>20.329999999999998</v>
      </c>
      <c r="AD51" s="28">
        <v>25</v>
      </c>
      <c r="AE51" s="28">
        <v>16</v>
      </c>
      <c r="AF51" s="28">
        <v>10</v>
      </c>
      <c r="AG51" s="28">
        <v>24</v>
      </c>
      <c r="AH51" s="28">
        <v>1</v>
      </c>
      <c r="AI51" s="106">
        <v>1.7215937038858831</v>
      </c>
      <c r="AJ51" s="77">
        <v>0</v>
      </c>
      <c r="AK51" s="28">
        <v>0</v>
      </c>
      <c r="AL51" s="28">
        <v>0</v>
      </c>
      <c r="AM51" s="28">
        <v>0</v>
      </c>
      <c r="AN51" s="75">
        <v>49</v>
      </c>
      <c r="AQ51" s="101" t="s">
        <v>339</v>
      </c>
      <c r="AR51" s="77" t="s">
        <v>212</v>
      </c>
      <c r="AS51" s="77" t="s">
        <v>374</v>
      </c>
      <c r="AT51" s="135">
        <v>6.7487948580610597</v>
      </c>
      <c r="AU51" s="77">
        <v>2</v>
      </c>
      <c r="AV51" s="28">
        <v>2</v>
      </c>
      <c r="AW51" s="77">
        <v>15</v>
      </c>
      <c r="AX51" s="584">
        <v>18.670000000000002</v>
      </c>
      <c r="AY51" s="28">
        <v>21</v>
      </c>
      <c r="AZ51" s="28">
        <v>14</v>
      </c>
      <c r="BA51" s="28">
        <v>11</v>
      </c>
      <c r="BB51" s="28">
        <v>15</v>
      </c>
      <c r="BC51" s="28">
        <v>0</v>
      </c>
      <c r="BD51" s="106">
        <v>1.7139796464916977</v>
      </c>
      <c r="BE51" s="77">
        <v>0</v>
      </c>
      <c r="BF51" s="28">
        <v>0</v>
      </c>
      <c r="BG51" s="28">
        <v>0</v>
      </c>
      <c r="BH51" s="28">
        <v>0</v>
      </c>
      <c r="BI51" s="75">
        <v>49</v>
      </c>
    </row>
    <row r="52" spans="1:61">
      <c r="A52" s="101" t="s">
        <v>339</v>
      </c>
      <c r="B52" s="71" t="s">
        <v>212</v>
      </c>
      <c r="C52" s="116" t="s">
        <v>375</v>
      </c>
      <c r="D52" s="89">
        <f>VLOOKUP(Table70[[#This Row],[NAME]],TBR_P[[NAME]:['#]],2,0)</f>
        <v>5.1272312951006462</v>
      </c>
      <c r="E52" s="77">
        <f>VLOOKUP(Table70[[#This Row],[NAME]],TBR_P[[NAME]:['#]],3,0)</f>
        <v>2</v>
      </c>
      <c r="F52" s="28">
        <f>VLOOKUP(Table70[[#This Row],[NAME]],TBR_P[[NAME]:['#]],4,0)</f>
        <v>4</v>
      </c>
      <c r="G52" s="77">
        <f>VLOOKUP(Table70[[#This Row],[NAME]],TBR_P[[NAME]:['#]],5,0)</f>
        <v>22</v>
      </c>
      <c r="H52" s="584">
        <f>VLOOKUP(Table70[[#This Row],[NAME]],TBR_P[[NAME]:['#]],6,0)</f>
        <v>26.33</v>
      </c>
      <c r="I52" s="28">
        <f>VLOOKUP(Table70[[#This Row],[NAME]],TBR_P[[NAME]:['#]],7,0)</f>
        <v>30</v>
      </c>
      <c r="J52" s="28">
        <f>VLOOKUP(Table70[[#This Row],[NAME]],TBR_P[[NAME]:['#]],8,0)</f>
        <v>15</v>
      </c>
      <c r="K52" s="28">
        <f>VLOOKUP(Table70[[#This Row],[NAME]],TBR_P[[NAME]:['#]],9,0)</f>
        <v>12</v>
      </c>
      <c r="L52" s="76">
        <f>VLOOKUP(Table70[[#This Row],[NAME]],TBR_P[[NAME]:['#]],10,0)</f>
        <v>48</v>
      </c>
      <c r="M52" s="28">
        <f>VLOOKUP(Table70[[#This Row],[NAME]],TBR_P[[NAME]:['#]],11,0)</f>
        <v>4</v>
      </c>
      <c r="N52" s="106">
        <f>VLOOKUP(Table70[[#This Row],[NAME]],TBR_P[[NAME]:['#]],12,0)</f>
        <v>1.5951386251424231</v>
      </c>
      <c r="O52" s="77">
        <f>VLOOKUP(Table70[[#This Row],[NAME]],TBR_P[[NAME]:['#]],13,0)</f>
        <v>0</v>
      </c>
      <c r="P52" s="28">
        <f>VLOOKUP(Table70[[#This Row],[NAME]],TBR_P[[NAME]:['#]],14,0)</f>
        <v>0</v>
      </c>
      <c r="Q52" s="28">
        <f>VLOOKUP(Table70[[#This Row],[NAME]],TBR_P[[NAME]:['#]],15,0)</f>
        <v>0</v>
      </c>
      <c r="R52" s="28">
        <f>VLOOKUP(Table70[[#This Row],[NAME]],TBR_P[[NAME]:['#]],16,0)</f>
        <v>0</v>
      </c>
      <c r="S52" s="75">
        <v>50</v>
      </c>
      <c r="V52" s="101" t="s">
        <v>339</v>
      </c>
      <c r="W52" s="77" t="s">
        <v>212</v>
      </c>
      <c r="X52" s="132" t="s">
        <v>375</v>
      </c>
      <c r="Y52" s="88">
        <v>3.7599696164071403</v>
      </c>
      <c r="Z52" s="77">
        <v>1</v>
      </c>
      <c r="AA52" s="28">
        <v>1</v>
      </c>
      <c r="AB52" s="77">
        <v>24</v>
      </c>
      <c r="AC52" s="584">
        <v>26.33</v>
      </c>
      <c r="AD52" s="28">
        <v>25</v>
      </c>
      <c r="AE52" s="28">
        <v>11</v>
      </c>
      <c r="AF52" s="28">
        <v>12</v>
      </c>
      <c r="AG52" s="28">
        <v>38</v>
      </c>
      <c r="AH52" s="28">
        <v>7</v>
      </c>
      <c r="AI52" s="106">
        <v>1.4052411697683251</v>
      </c>
      <c r="AJ52" s="77">
        <v>0</v>
      </c>
      <c r="AK52" s="28">
        <v>0</v>
      </c>
      <c r="AL52" s="28">
        <v>0</v>
      </c>
      <c r="AM52" s="28">
        <v>0</v>
      </c>
      <c r="AN52" s="75">
        <v>50</v>
      </c>
      <c r="AQ52" s="101" t="s">
        <v>339</v>
      </c>
      <c r="AR52" s="77" t="s">
        <v>212</v>
      </c>
      <c r="AS52" s="77" t="s">
        <v>372</v>
      </c>
      <c r="AT52" s="135">
        <v>5.485232067510549</v>
      </c>
      <c r="AU52" s="77">
        <v>0</v>
      </c>
      <c r="AV52" s="28">
        <v>2</v>
      </c>
      <c r="AW52" s="77">
        <v>21</v>
      </c>
      <c r="AX52" s="584">
        <v>21.33</v>
      </c>
      <c r="AY52" s="28">
        <v>21</v>
      </c>
      <c r="AZ52" s="28">
        <v>13</v>
      </c>
      <c r="BA52" s="28">
        <v>6</v>
      </c>
      <c r="BB52" s="28">
        <v>20</v>
      </c>
      <c r="BC52" s="28">
        <v>9</v>
      </c>
      <c r="BD52" s="106">
        <v>1.2658227848101267</v>
      </c>
      <c r="BE52" s="77">
        <v>0</v>
      </c>
      <c r="BF52" s="28">
        <v>0</v>
      </c>
      <c r="BG52" s="28">
        <v>0</v>
      </c>
      <c r="BH52" s="28">
        <v>0</v>
      </c>
      <c r="BI52" s="75">
        <v>50</v>
      </c>
    </row>
    <row r="53" spans="1:61">
      <c r="A53" s="101" t="s">
        <v>394</v>
      </c>
      <c r="B53" s="71" t="s">
        <v>206</v>
      </c>
      <c r="C53" s="71" t="s">
        <v>414</v>
      </c>
      <c r="D53" s="89">
        <f>VLOOKUP(Table70[[#This Row],[NAME]],CLE_P[[NAME]:['#]],2,0)</f>
        <v>3.694931312174325</v>
      </c>
      <c r="E53" s="77">
        <f>VLOOKUP(Table70[[#This Row],[NAME]],CLE_P[[NAME]:['#]],3,0)</f>
        <v>5</v>
      </c>
      <c r="F53" s="28">
        <f>VLOOKUP(Table70[[#This Row],[NAME]],CLE_P[[NAME]:['#]],4,0)</f>
        <v>5</v>
      </c>
      <c r="G53" s="77">
        <f>VLOOKUP(Table70[[#This Row],[NAME]],CLE_P[[NAME]:['#]],5,0)</f>
        <v>10</v>
      </c>
      <c r="H53" s="584">
        <f>VLOOKUP(Table70[[#This Row],[NAME]],CLE_P[[NAME]:['#]],6,0)</f>
        <v>63.33</v>
      </c>
      <c r="I53" s="28">
        <f>VLOOKUP(Table70[[#This Row],[NAME]],CLE_P[[NAME]:['#]],7,0)</f>
        <v>62</v>
      </c>
      <c r="J53" s="28">
        <f>VLOOKUP(Table70[[#This Row],[NAME]],CLE_P[[NAME]:['#]],8,0)</f>
        <v>26</v>
      </c>
      <c r="K53" s="28">
        <f>VLOOKUP(Table70[[#This Row],[NAME]],CLE_P[[NAME]:['#]],9,0)</f>
        <v>18</v>
      </c>
      <c r="L53" s="28">
        <f>VLOOKUP(Table70[[#This Row],[NAME]],CLE_P[[NAME]:['#]],10,0)</f>
        <v>78</v>
      </c>
      <c r="M53" s="28">
        <f>VLOOKUP(Table70[[#This Row],[NAME]],CLE_P[[NAME]:['#]],11,0)</f>
        <v>0</v>
      </c>
      <c r="N53" s="106">
        <f>VLOOKUP(Table70[[#This Row],[NAME]],CLE_P[[NAME]:['#]],12,0)</f>
        <v>1.2632243802305385</v>
      </c>
      <c r="O53" s="77">
        <f>VLOOKUP(Table70[[#This Row],[NAME]],CLE_P[[NAME]:['#]],13,0)</f>
        <v>6</v>
      </c>
      <c r="P53" s="28">
        <f>VLOOKUP(Table70[[#This Row],[NAME]],CLE_P[[NAME]:['#]],14,0)</f>
        <v>5</v>
      </c>
      <c r="Q53" s="28">
        <f>VLOOKUP(Table70[[#This Row],[NAME]],CLE_P[[NAME]:['#]],15,0)</f>
        <v>0</v>
      </c>
      <c r="R53" s="28">
        <f>VLOOKUP(Table70[[#This Row],[NAME]],CLE_P[[NAME]:['#]],16,0)</f>
        <v>0</v>
      </c>
      <c r="S53" s="75">
        <v>51</v>
      </c>
      <c r="V53" s="101" t="s">
        <v>394</v>
      </c>
      <c r="W53" s="77" t="s">
        <v>206</v>
      </c>
      <c r="X53" s="77" t="s">
        <v>414</v>
      </c>
      <c r="Y53" s="88">
        <v>2.7758306462918827</v>
      </c>
      <c r="Z53" s="77">
        <v>2</v>
      </c>
      <c r="AA53" s="28">
        <v>2</v>
      </c>
      <c r="AB53" s="77">
        <v>10</v>
      </c>
      <c r="AC53" s="584">
        <v>71.33</v>
      </c>
      <c r="AD53" s="28">
        <v>64</v>
      </c>
      <c r="AE53" s="28">
        <v>22</v>
      </c>
      <c r="AF53" s="28">
        <v>13</v>
      </c>
      <c r="AG53" s="28">
        <v>69</v>
      </c>
      <c r="AH53" s="28">
        <v>0</v>
      </c>
      <c r="AI53" s="106">
        <v>1.0794896957801767</v>
      </c>
      <c r="AJ53" s="77">
        <v>6</v>
      </c>
      <c r="AK53" s="28">
        <v>5</v>
      </c>
      <c r="AL53" s="28">
        <v>2</v>
      </c>
      <c r="AM53" s="76">
        <v>2</v>
      </c>
      <c r="AN53" s="75">
        <v>51</v>
      </c>
      <c r="AQ53" s="101" t="s">
        <v>394</v>
      </c>
      <c r="AR53" s="77" t="s">
        <v>206</v>
      </c>
      <c r="AS53" s="77" t="s">
        <v>414</v>
      </c>
      <c r="AT53" s="135">
        <v>4.8966267682263327</v>
      </c>
      <c r="AU53" s="77">
        <v>4</v>
      </c>
      <c r="AV53" s="28">
        <v>1</v>
      </c>
      <c r="AW53" s="77">
        <v>10</v>
      </c>
      <c r="AX53" s="584">
        <v>64.33</v>
      </c>
      <c r="AY53" s="28">
        <v>66</v>
      </c>
      <c r="AZ53" s="28">
        <v>35</v>
      </c>
      <c r="BA53" s="28">
        <v>18</v>
      </c>
      <c r="BB53" s="28">
        <v>89</v>
      </c>
      <c r="BC53" s="28">
        <v>0</v>
      </c>
      <c r="BD53" s="106">
        <v>1.3057671381936888</v>
      </c>
      <c r="BE53" s="77">
        <v>6</v>
      </c>
      <c r="BF53" s="28">
        <v>2</v>
      </c>
      <c r="BG53" s="28">
        <v>1</v>
      </c>
      <c r="BH53" s="28">
        <v>1</v>
      </c>
      <c r="BI53" s="75">
        <v>51</v>
      </c>
    </row>
    <row r="54" spans="1:61">
      <c r="A54" s="101" t="s">
        <v>394</v>
      </c>
      <c r="B54" s="71" t="s">
        <v>206</v>
      </c>
      <c r="C54" s="71" t="s">
        <v>415</v>
      </c>
      <c r="D54" s="89">
        <f>VLOOKUP(Table70[[#This Row],[NAME]],CLE_P[[NAME]:['#]],2,0)</f>
        <v>2.8559065339679792</v>
      </c>
      <c r="E54" s="77">
        <f>VLOOKUP(Table70[[#This Row],[NAME]],CLE_P[[NAME]:['#]],3,0)</f>
        <v>5</v>
      </c>
      <c r="F54" s="28">
        <f>VLOOKUP(Table70[[#This Row],[NAME]],CLE_P[[NAME]:['#]],4,0)</f>
        <v>3</v>
      </c>
      <c r="G54" s="77">
        <f>VLOOKUP(Table70[[#This Row],[NAME]],CLE_P[[NAME]:['#]],5,0)</f>
        <v>10</v>
      </c>
      <c r="H54" s="584">
        <f>VLOOKUP(Table70[[#This Row],[NAME]],CLE_P[[NAME]:['#]],6,0)</f>
        <v>69.33</v>
      </c>
      <c r="I54" s="28">
        <f>VLOOKUP(Table70[[#This Row],[NAME]],CLE_P[[NAME]:['#]],7,0)</f>
        <v>62</v>
      </c>
      <c r="J54" s="28">
        <f>VLOOKUP(Table70[[#This Row],[NAME]],CLE_P[[NAME]:['#]],8,0)</f>
        <v>22</v>
      </c>
      <c r="K54" s="28">
        <f>VLOOKUP(Table70[[#This Row],[NAME]],CLE_P[[NAME]:['#]],9,0)</f>
        <v>19</v>
      </c>
      <c r="L54" s="28">
        <f>VLOOKUP(Table70[[#This Row],[NAME]],CLE_P[[NAME]:['#]],10,0)</f>
        <v>82</v>
      </c>
      <c r="M54" s="28">
        <f>VLOOKUP(Table70[[#This Row],[NAME]],CLE_P[[NAME]:['#]],11,0)</f>
        <v>0</v>
      </c>
      <c r="N54" s="106">
        <f>VLOOKUP(Table70[[#This Row],[NAME]],CLE_P[[NAME]:['#]],12,0)</f>
        <v>1.1683254002596279</v>
      </c>
      <c r="O54" s="77">
        <f>VLOOKUP(Table70[[#This Row],[NAME]],CLE_P[[NAME]:['#]],13,0)</f>
        <v>8</v>
      </c>
      <c r="P54" s="28">
        <f>VLOOKUP(Table70[[#This Row],[NAME]],CLE_P[[NAME]:['#]],14,0)</f>
        <v>6</v>
      </c>
      <c r="Q54" s="28">
        <f>VLOOKUP(Table70[[#This Row],[NAME]],CLE_P[[NAME]:['#]],15,0)</f>
        <v>0</v>
      </c>
      <c r="R54" s="28">
        <f>VLOOKUP(Table70[[#This Row],[NAME]],CLE_P[[NAME]:['#]],16,0)</f>
        <v>0</v>
      </c>
      <c r="S54" s="75">
        <v>52</v>
      </c>
      <c r="V54" s="101" t="s">
        <v>394</v>
      </c>
      <c r="W54" s="77" t="s">
        <v>206</v>
      </c>
      <c r="X54" s="77" t="s">
        <v>415</v>
      </c>
      <c r="Y54" s="88">
        <v>2.9571428571428573</v>
      </c>
      <c r="Z54" s="531">
        <v>8</v>
      </c>
      <c r="AA54" s="28">
        <v>2</v>
      </c>
      <c r="AB54" s="77">
        <v>10</v>
      </c>
      <c r="AC54" s="584">
        <v>70</v>
      </c>
      <c r="AD54" s="28">
        <v>51</v>
      </c>
      <c r="AE54" s="28">
        <v>23</v>
      </c>
      <c r="AF54" s="28">
        <v>21</v>
      </c>
      <c r="AG54" s="28">
        <v>91</v>
      </c>
      <c r="AH54" s="28">
        <v>0</v>
      </c>
      <c r="AI54" s="106">
        <v>1.0285714285714285</v>
      </c>
      <c r="AJ54" s="77">
        <v>7</v>
      </c>
      <c r="AK54" s="28">
        <v>7</v>
      </c>
      <c r="AL54" s="28">
        <v>1</v>
      </c>
      <c r="AM54" s="28">
        <v>1</v>
      </c>
      <c r="AN54" s="75">
        <v>52</v>
      </c>
      <c r="AQ54" s="101" t="s">
        <v>394</v>
      </c>
      <c r="AR54" s="77" t="s">
        <v>206</v>
      </c>
      <c r="AS54" s="77" t="s">
        <v>415</v>
      </c>
      <c r="AT54" s="135">
        <v>2.9432674534338119</v>
      </c>
      <c r="AU54" s="77">
        <v>4</v>
      </c>
      <c r="AV54" s="28">
        <v>4</v>
      </c>
      <c r="AW54" s="77">
        <v>10</v>
      </c>
      <c r="AX54" s="584">
        <v>70.33</v>
      </c>
      <c r="AY54" s="28">
        <v>48</v>
      </c>
      <c r="AZ54" s="28">
        <v>23</v>
      </c>
      <c r="BA54" s="28">
        <v>29</v>
      </c>
      <c r="BB54" s="28">
        <v>78</v>
      </c>
      <c r="BC54" s="28">
        <v>0</v>
      </c>
      <c r="BD54" s="106">
        <v>1.0948386179439784</v>
      </c>
      <c r="BE54" s="77">
        <v>8</v>
      </c>
      <c r="BF54" s="28">
        <v>6</v>
      </c>
      <c r="BG54" s="28">
        <v>0</v>
      </c>
      <c r="BH54" s="28">
        <v>0</v>
      </c>
      <c r="BI54" s="75">
        <v>52</v>
      </c>
    </row>
    <row r="55" spans="1:61">
      <c r="A55" s="101" t="s">
        <v>394</v>
      </c>
      <c r="B55" s="71" t="s">
        <v>206</v>
      </c>
      <c r="C55" s="116" t="s">
        <v>416</v>
      </c>
      <c r="D55" s="89">
        <f>VLOOKUP(Table70[[#This Row],[NAME]],CLE_P[[NAME]:['#]],2,0)</f>
        <v>5.9464285714285712</v>
      </c>
      <c r="E55" s="77">
        <f>VLOOKUP(Table70[[#This Row],[NAME]],CLE_P[[NAME]:['#]],3,0)</f>
        <v>3</v>
      </c>
      <c r="F55" s="28">
        <f>VLOOKUP(Table70[[#This Row],[NAME]],CLE_P[[NAME]:['#]],4,0)</f>
        <v>2</v>
      </c>
      <c r="G55" s="77">
        <f>VLOOKUP(Table70[[#This Row],[NAME]],CLE_P[[NAME]:['#]],5,0)</f>
        <v>10</v>
      </c>
      <c r="H55" s="584">
        <f>VLOOKUP(Table70[[#This Row],[NAME]],CLE_P[[NAME]:['#]],6,0)</f>
        <v>56</v>
      </c>
      <c r="I55" s="28">
        <f>VLOOKUP(Table70[[#This Row],[NAME]],CLE_P[[NAME]:['#]],7,0)</f>
        <v>54</v>
      </c>
      <c r="J55" s="28">
        <f>VLOOKUP(Table70[[#This Row],[NAME]],CLE_P[[NAME]:['#]],8,0)</f>
        <v>37</v>
      </c>
      <c r="K55" s="28">
        <f>VLOOKUP(Table70[[#This Row],[NAME]],CLE_P[[NAME]:['#]],9,0)</f>
        <v>26</v>
      </c>
      <c r="L55" s="28">
        <f>VLOOKUP(Table70[[#This Row],[NAME]],CLE_P[[NAME]:['#]],10,0)</f>
        <v>60</v>
      </c>
      <c r="M55" s="28">
        <f>VLOOKUP(Table70[[#This Row],[NAME]],CLE_P[[NAME]:['#]],11,0)</f>
        <v>0</v>
      </c>
      <c r="N55" s="106">
        <f>VLOOKUP(Table70[[#This Row],[NAME]],CLE_P[[NAME]:['#]],12,0)</f>
        <v>1.4285714285714286</v>
      </c>
      <c r="O55" s="77">
        <f>VLOOKUP(Table70[[#This Row],[NAME]],CLE_P[[NAME]:['#]],13,0)</f>
        <v>3</v>
      </c>
      <c r="P55" s="28">
        <f>VLOOKUP(Table70[[#This Row],[NAME]],CLE_P[[NAME]:['#]],14,0)</f>
        <v>1</v>
      </c>
      <c r="Q55" s="28">
        <f>VLOOKUP(Table70[[#This Row],[NAME]],CLE_P[[NAME]:['#]],15,0)</f>
        <v>0</v>
      </c>
      <c r="R55" s="28">
        <f>VLOOKUP(Table70[[#This Row],[NAME]],CLE_P[[NAME]:['#]],16,0)</f>
        <v>0</v>
      </c>
      <c r="S55" s="75">
        <v>53</v>
      </c>
      <c r="V55" s="101" t="s">
        <v>394</v>
      </c>
      <c r="W55" s="77" t="s">
        <v>206</v>
      </c>
      <c r="X55" s="132" t="s">
        <v>416</v>
      </c>
      <c r="Y55" s="88">
        <v>6.6641351813176382</v>
      </c>
      <c r="Z55" s="77">
        <v>3</v>
      </c>
      <c r="AA55" s="28">
        <v>5</v>
      </c>
      <c r="AB55" s="77">
        <v>10</v>
      </c>
      <c r="AC55" s="584">
        <v>52.67</v>
      </c>
      <c r="AD55" s="28">
        <v>54</v>
      </c>
      <c r="AE55" s="28">
        <v>39</v>
      </c>
      <c r="AF55" s="28">
        <v>27</v>
      </c>
      <c r="AG55" s="28">
        <v>47</v>
      </c>
      <c r="AH55" s="28">
        <v>0</v>
      </c>
      <c r="AI55" s="106">
        <v>1.5378773495348395</v>
      </c>
      <c r="AJ55" s="77">
        <v>5</v>
      </c>
      <c r="AK55" s="28">
        <v>0</v>
      </c>
      <c r="AL55" s="28">
        <v>0</v>
      </c>
      <c r="AM55" s="28">
        <v>0</v>
      </c>
      <c r="AN55" s="75">
        <v>53</v>
      </c>
      <c r="AQ55" s="101" t="s">
        <v>394</v>
      </c>
      <c r="AR55" s="77" t="s">
        <v>206</v>
      </c>
      <c r="AS55" s="77" t="s">
        <v>417</v>
      </c>
      <c r="AT55" s="135">
        <v>4.9773755656108598</v>
      </c>
      <c r="AU55" s="77">
        <v>1</v>
      </c>
      <c r="AV55" s="28">
        <v>5</v>
      </c>
      <c r="AW55" s="77">
        <v>10</v>
      </c>
      <c r="AX55" s="584">
        <v>59.67</v>
      </c>
      <c r="AY55" s="28">
        <v>76</v>
      </c>
      <c r="AZ55" s="28">
        <v>33</v>
      </c>
      <c r="BA55" s="28">
        <v>12</v>
      </c>
      <c r="BB55" s="28">
        <v>67</v>
      </c>
      <c r="BC55" s="28">
        <v>0</v>
      </c>
      <c r="BD55" s="106">
        <v>1.4747779453661807</v>
      </c>
      <c r="BE55" s="77">
        <v>5</v>
      </c>
      <c r="BF55" s="28">
        <v>1</v>
      </c>
      <c r="BG55" s="28">
        <v>0</v>
      </c>
      <c r="BH55" s="28">
        <v>0</v>
      </c>
      <c r="BI55" s="75">
        <v>53</v>
      </c>
    </row>
    <row r="56" spans="1:61">
      <c r="A56" s="101" t="s">
        <v>394</v>
      </c>
      <c r="B56" s="71" t="s">
        <v>206</v>
      </c>
      <c r="C56" s="116" t="s">
        <v>417</v>
      </c>
      <c r="D56" s="89">
        <f>VLOOKUP(Table70[[#This Row],[NAME]],CLE_P[[NAME]:['#]],2,0)</f>
        <v>3.856930937860557</v>
      </c>
      <c r="E56" s="77">
        <f>VLOOKUP(Table70[[#This Row],[NAME]],CLE_P[[NAME]:['#]],3,0)</f>
        <v>6</v>
      </c>
      <c r="F56" s="28">
        <f>VLOOKUP(Table70[[#This Row],[NAME]],CLE_P[[NAME]:['#]],4,0)</f>
        <v>0</v>
      </c>
      <c r="G56" s="77">
        <f>VLOOKUP(Table70[[#This Row],[NAME]],CLE_P[[NAME]:['#]],5,0)</f>
        <v>10</v>
      </c>
      <c r="H56" s="584">
        <f>VLOOKUP(Table70[[#This Row],[NAME]],CLE_P[[NAME]:['#]],6,0)</f>
        <v>60.67</v>
      </c>
      <c r="I56" s="28">
        <f>VLOOKUP(Table70[[#This Row],[NAME]],CLE_P[[NAME]:['#]],7,0)</f>
        <v>60</v>
      </c>
      <c r="J56" s="28">
        <f>VLOOKUP(Table70[[#This Row],[NAME]],CLE_P[[NAME]:['#]],8,0)</f>
        <v>26</v>
      </c>
      <c r="K56" s="28">
        <f>VLOOKUP(Table70[[#This Row],[NAME]],CLE_P[[NAME]:['#]],9,0)</f>
        <v>13</v>
      </c>
      <c r="L56" s="28">
        <f>VLOOKUP(Table70[[#This Row],[NAME]],CLE_P[[NAME]:['#]],10,0)</f>
        <v>62</v>
      </c>
      <c r="M56" s="28">
        <f>VLOOKUP(Table70[[#This Row],[NAME]],CLE_P[[NAME]:['#]],11,0)</f>
        <v>0</v>
      </c>
      <c r="N56" s="106">
        <f>VLOOKUP(Table70[[#This Row],[NAME]],CLE_P[[NAME]:['#]],12,0)</f>
        <v>1.2032305917257293</v>
      </c>
      <c r="O56" s="77">
        <f>VLOOKUP(Table70[[#This Row],[NAME]],CLE_P[[NAME]:['#]],13,0)</f>
        <v>7</v>
      </c>
      <c r="P56" s="28">
        <f>VLOOKUP(Table70[[#This Row],[NAME]],CLE_P[[NAME]:['#]],14,0)</f>
        <v>3</v>
      </c>
      <c r="Q56" s="28">
        <f>VLOOKUP(Table70[[#This Row],[NAME]],CLE_P[[NAME]:['#]],15,0)</f>
        <v>0</v>
      </c>
      <c r="R56" s="28">
        <f>VLOOKUP(Table70[[#This Row],[NAME]],CLE_P[[NAME]:['#]],16,0)</f>
        <v>0</v>
      </c>
      <c r="S56" s="75">
        <v>54</v>
      </c>
      <c r="V56" s="101" t="s">
        <v>394</v>
      </c>
      <c r="W56" s="77" t="s">
        <v>206</v>
      </c>
      <c r="X56" s="132" t="s">
        <v>417</v>
      </c>
      <c r="Y56" s="88">
        <v>3.4975905487330952</v>
      </c>
      <c r="Z56" s="77">
        <v>3</v>
      </c>
      <c r="AA56" s="28">
        <v>2</v>
      </c>
      <c r="AB56" s="77">
        <v>10</v>
      </c>
      <c r="AC56" s="584">
        <v>64.33</v>
      </c>
      <c r="AD56" s="28">
        <v>67</v>
      </c>
      <c r="AE56" s="28">
        <v>25</v>
      </c>
      <c r="AF56" s="28">
        <v>13</v>
      </c>
      <c r="AG56" s="28">
        <v>69</v>
      </c>
      <c r="AH56" s="28">
        <v>0</v>
      </c>
      <c r="AI56" s="106">
        <v>1.2435877506606561</v>
      </c>
      <c r="AJ56" s="77">
        <v>5</v>
      </c>
      <c r="AK56" s="28">
        <v>3</v>
      </c>
      <c r="AL56" s="28">
        <v>1</v>
      </c>
      <c r="AM56" s="28">
        <v>1</v>
      </c>
      <c r="AN56" s="75">
        <v>54</v>
      </c>
      <c r="AQ56" s="101" t="s">
        <v>394</v>
      </c>
      <c r="AR56" s="77" t="s">
        <v>206</v>
      </c>
      <c r="AS56" s="77" t="s">
        <v>418</v>
      </c>
      <c r="AT56" s="135">
        <v>7.3636363636363633</v>
      </c>
      <c r="AU56" s="77">
        <v>4</v>
      </c>
      <c r="AV56" s="28">
        <v>1</v>
      </c>
      <c r="AW56" s="77">
        <v>10</v>
      </c>
      <c r="AX56" s="584">
        <v>55</v>
      </c>
      <c r="AY56" s="28">
        <v>63</v>
      </c>
      <c r="AZ56" s="28">
        <v>45</v>
      </c>
      <c r="BA56" s="28">
        <v>22</v>
      </c>
      <c r="BB56" s="28">
        <v>39</v>
      </c>
      <c r="BC56" s="28">
        <v>0</v>
      </c>
      <c r="BD56" s="106">
        <v>1.5454545454545454</v>
      </c>
      <c r="BE56" s="77">
        <v>1</v>
      </c>
      <c r="BF56" s="28">
        <v>0</v>
      </c>
      <c r="BG56" s="28">
        <v>0</v>
      </c>
      <c r="BH56" s="28">
        <v>0</v>
      </c>
      <c r="BI56" s="75">
        <v>54</v>
      </c>
    </row>
    <row r="57" spans="1:61">
      <c r="A57" s="101" t="s">
        <v>394</v>
      </c>
      <c r="B57" s="71" t="s">
        <v>215</v>
      </c>
      <c r="C57" s="116" t="s">
        <v>419</v>
      </c>
      <c r="D57" s="89">
        <f>VLOOKUP(Table70[[#This Row],[NAME]],CLE_P[[NAME]:['#]],2,0)</f>
        <v>5.85</v>
      </c>
      <c r="E57" s="77">
        <f>VLOOKUP(Table70[[#This Row],[NAME]],CLE_P[[NAME]:['#]],3,0)</f>
        <v>0</v>
      </c>
      <c r="F57" s="28">
        <f>VLOOKUP(Table70[[#This Row],[NAME]],CLE_P[[NAME]:['#]],4,0)</f>
        <v>1</v>
      </c>
      <c r="G57" s="77">
        <f>VLOOKUP(Table70[[#This Row],[NAME]],CLE_P[[NAME]:['#]],5,0)</f>
        <v>8</v>
      </c>
      <c r="H57" s="584">
        <f>VLOOKUP(Table70[[#This Row],[NAME]],CLE_P[[NAME]:['#]],6,0)</f>
        <v>20</v>
      </c>
      <c r="I57" s="28">
        <f>VLOOKUP(Table70[[#This Row],[NAME]],CLE_P[[NAME]:['#]],7,0)</f>
        <v>19</v>
      </c>
      <c r="J57" s="28">
        <f>VLOOKUP(Table70[[#This Row],[NAME]],CLE_P[[NAME]:['#]],8,0)</f>
        <v>13</v>
      </c>
      <c r="K57" s="28">
        <f>VLOOKUP(Table70[[#This Row],[NAME]],CLE_P[[NAME]:['#]],9,0)</f>
        <v>11</v>
      </c>
      <c r="L57" s="28">
        <f>VLOOKUP(Table70[[#This Row],[NAME]],CLE_P[[NAME]:['#]],10,0)</f>
        <v>22</v>
      </c>
      <c r="M57" s="28">
        <f>VLOOKUP(Table70[[#This Row],[NAME]],CLE_P[[NAME]:['#]],11,0)</f>
        <v>0</v>
      </c>
      <c r="N57" s="106">
        <f>VLOOKUP(Table70[[#This Row],[NAME]],CLE_P[[NAME]:['#]],12,0)</f>
        <v>1.5</v>
      </c>
      <c r="O57" s="77">
        <f>VLOOKUP(Table70[[#This Row],[NAME]],CLE_P[[NAME]:['#]],13,0)</f>
        <v>0</v>
      </c>
      <c r="P57" s="28">
        <f>VLOOKUP(Table70[[#This Row],[NAME]],CLE_P[[NAME]:['#]],14,0)</f>
        <v>0</v>
      </c>
      <c r="Q57" s="28">
        <f>VLOOKUP(Table70[[#This Row],[NAME]],CLE_P[[NAME]:['#]],15,0)</f>
        <v>0</v>
      </c>
      <c r="R57" s="28">
        <f>VLOOKUP(Table70[[#This Row],[NAME]],CLE_P[[NAME]:['#]],16,0)</f>
        <v>0</v>
      </c>
      <c r="S57" s="75">
        <v>55</v>
      </c>
      <c r="V57" s="101" t="s">
        <v>394</v>
      </c>
      <c r="W57" s="77" t="s">
        <v>212</v>
      </c>
      <c r="X57" s="132" t="s">
        <v>420</v>
      </c>
      <c r="Y57" s="88">
        <v>2.5714285714285716</v>
      </c>
      <c r="Z57" s="77">
        <v>2</v>
      </c>
      <c r="AA57" s="28">
        <v>2</v>
      </c>
      <c r="AB57" s="77">
        <v>15</v>
      </c>
      <c r="AC57" s="584">
        <v>35</v>
      </c>
      <c r="AD57" s="28">
        <v>30</v>
      </c>
      <c r="AE57" s="28">
        <v>10</v>
      </c>
      <c r="AF57" s="28">
        <v>6</v>
      </c>
      <c r="AG57" s="28">
        <v>19</v>
      </c>
      <c r="AH57" s="28">
        <v>0</v>
      </c>
      <c r="AI57" s="106">
        <v>1.0285714285714285</v>
      </c>
      <c r="AJ57" s="77">
        <v>0</v>
      </c>
      <c r="AK57" s="28">
        <v>0</v>
      </c>
      <c r="AL57" s="28">
        <v>0</v>
      </c>
      <c r="AM57" s="28">
        <v>0</v>
      </c>
      <c r="AN57" s="75">
        <v>55</v>
      </c>
      <c r="AQ57" s="101" t="s">
        <v>394</v>
      </c>
      <c r="AR57" s="77" t="s">
        <v>212</v>
      </c>
      <c r="AS57" s="77" t="s">
        <v>420</v>
      </c>
      <c r="AT57" s="135">
        <v>5.7434588385449903</v>
      </c>
      <c r="AU57" s="77">
        <v>0</v>
      </c>
      <c r="AV57" s="28">
        <v>0</v>
      </c>
      <c r="AW57" s="77">
        <v>11</v>
      </c>
      <c r="AX57" s="584">
        <v>15.67</v>
      </c>
      <c r="AY57" s="28">
        <v>20</v>
      </c>
      <c r="AZ57" s="28">
        <v>10</v>
      </c>
      <c r="BA57" s="28">
        <v>5</v>
      </c>
      <c r="BB57" s="28">
        <v>11</v>
      </c>
      <c r="BC57" s="28">
        <v>0</v>
      </c>
      <c r="BD57" s="106">
        <v>1.5954052329291639</v>
      </c>
      <c r="BE57" s="77">
        <v>0</v>
      </c>
      <c r="BF57" s="28">
        <v>0</v>
      </c>
      <c r="BG57" s="28">
        <v>0</v>
      </c>
      <c r="BH57" s="28">
        <v>0</v>
      </c>
      <c r="BI57" s="75">
        <v>55</v>
      </c>
    </row>
    <row r="58" spans="1:61">
      <c r="A58" s="101" t="s">
        <v>394</v>
      </c>
      <c r="B58" s="71" t="s">
        <v>215</v>
      </c>
      <c r="C58" s="116" t="s">
        <v>421</v>
      </c>
      <c r="D58" s="89">
        <f>VLOOKUP(Table70[[#This Row],[NAME]],CLE_P[[NAME]:['#]],2,0)</f>
        <v>1.741654571843251</v>
      </c>
      <c r="E58" s="77">
        <f>VLOOKUP(Table70[[#This Row],[NAME]],CLE_P[[NAME]:['#]],3,0)</f>
        <v>1</v>
      </c>
      <c r="F58" s="28">
        <f>VLOOKUP(Table70[[#This Row],[NAME]],CLE_P[[NAME]:['#]],4,0)</f>
        <v>1</v>
      </c>
      <c r="G58" s="77">
        <f>VLOOKUP(Table70[[#This Row],[NAME]],CLE_P[[NAME]:['#]],5,0)</f>
        <v>10</v>
      </c>
      <c r="H58" s="584">
        <f>VLOOKUP(Table70[[#This Row],[NAME]],CLE_P[[NAME]:['#]],6,0)</f>
        <v>20.67</v>
      </c>
      <c r="I58" s="28">
        <f>VLOOKUP(Table70[[#This Row],[NAME]],CLE_P[[NAME]:['#]],7,0)</f>
        <v>13</v>
      </c>
      <c r="J58" s="28">
        <f>VLOOKUP(Table70[[#This Row],[NAME]],CLE_P[[NAME]:['#]],8,0)</f>
        <v>4</v>
      </c>
      <c r="K58" s="28">
        <f>VLOOKUP(Table70[[#This Row],[NAME]],CLE_P[[NAME]:['#]],9,0)</f>
        <v>7</v>
      </c>
      <c r="L58" s="28">
        <f>VLOOKUP(Table70[[#This Row],[NAME]],CLE_P[[NAME]:['#]],10,0)</f>
        <v>27</v>
      </c>
      <c r="M58" s="28">
        <f>VLOOKUP(Table70[[#This Row],[NAME]],CLE_P[[NAME]:['#]],11,0)</f>
        <v>0</v>
      </c>
      <c r="N58" s="106">
        <f>VLOOKUP(Table70[[#This Row],[NAME]],CLE_P[[NAME]:['#]],12,0)</f>
        <v>0.96758587324625056</v>
      </c>
      <c r="O58" s="77">
        <f>VLOOKUP(Table70[[#This Row],[NAME]],CLE_P[[NAME]:['#]],13,0)</f>
        <v>0</v>
      </c>
      <c r="P58" s="28">
        <f>VLOOKUP(Table70[[#This Row],[NAME]],CLE_P[[NAME]:['#]],14,0)</f>
        <v>0</v>
      </c>
      <c r="Q58" s="28">
        <f>VLOOKUP(Table70[[#This Row],[NAME]],CLE_P[[NAME]:['#]],15,0)</f>
        <v>0</v>
      </c>
      <c r="R58" s="28">
        <f>VLOOKUP(Table70[[#This Row],[NAME]],CLE_P[[NAME]:['#]],16,0)</f>
        <v>0</v>
      </c>
      <c r="S58" s="75">
        <v>56</v>
      </c>
      <c r="V58" s="101" t="s">
        <v>394</v>
      </c>
      <c r="W58" s="77" t="s">
        <v>212</v>
      </c>
      <c r="X58" s="132" t="s">
        <v>422</v>
      </c>
      <c r="Y58" s="88">
        <v>7.2</v>
      </c>
      <c r="Z58" s="77">
        <v>0</v>
      </c>
      <c r="AA58" s="28">
        <v>1</v>
      </c>
      <c r="AB58" s="77">
        <v>9</v>
      </c>
      <c r="AC58" s="584">
        <v>15</v>
      </c>
      <c r="AD58" s="28">
        <v>16</v>
      </c>
      <c r="AE58" s="28">
        <v>12</v>
      </c>
      <c r="AF58" s="28">
        <v>4</v>
      </c>
      <c r="AG58" s="28">
        <v>10</v>
      </c>
      <c r="AH58" s="28">
        <v>0</v>
      </c>
      <c r="AI58" s="106">
        <v>1.3333333333333333</v>
      </c>
      <c r="AJ58" s="77">
        <v>0</v>
      </c>
      <c r="AK58" s="28">
        <v>0</v>
      </c>
      <c r="AL58" s="28">
        <v>0</v>
      </c>
      <c r="AM58" s="28">
        <v>0</v>
      </c>
      <c r="AN58" s="75">
        <v>56</v>
      </c>
      <c r="AQ58" s="101" t="s">
        <v>394</v>
      </c>
      <c r="AR58" s="77" t="s">
        <v>212</v>
      </c>
      <c r="AS58" s="77" t="s">
        <v>422</v>
      </c>
      <c r="AT58" s="135">
        <v>1.6869728209934396</v>
      </c>
      <c r="AU58" s="77">
        <v>1</v>
      </c>
      <c r="AV58" s="28">
        <v>0</v>
      </c>
      <c r="AW58" s="77">
        <v>8</v>
      </c>
      <c r="AX58" s="584">
        <v>10.67</v>
      </c>
      <c r="AY58" s="28">
        <v>6</v>
      </c>
      <c r="AZ58" s="28">
        <v>2</v>
      </c>
      <c r="BA58" s="28">
        <v>2</v>
      </c>
      <c r="BB58" s="28">
        <v>9</v>
      </c>
      <c r="BC58" s="28">
        <v>0</v>
      </c>
      <c r="BD58" s="106">
        <v>0.7497656982193065</v>
      </c>
      <c r="BE58" s="77">
        <v>0</v>
      </c>
      <c r="BF58" s="28">
        <v>0</v>
      </c>
      <c r="BG58" s="28">
        <v>0</v>
      </c>
      <c r="BH58" s="28">
        <v>0</v>
      </c>
      <c r="BI58" s="75">
        <v>56</v>
      </c>
    </row>
    <row r="59" spans="1:61">
      <c r="A59" s="101" t="s">
        <v>394</v>
      </c>
      <c r="B59" s="71" t="s">
        <v>212</v>
      </c>
      <c r="C59" s="116" t="s">
        <v>418</v>
      </c>
      <c r="D59" s="89">
        <f>VLOOKUP(Table70[[#This Row],[NAME]],CLE_P[[NAME]:['#]],2,0)</f>
        <v>3.6</v>
      </c>
      <c r="E59" s="77">
        <f>VLOOKUP(Table70[[#This Row],[NAME]],CLE_P[[NAME]:['#]],3,0)</f>
        <v>0</v>
      </c>
      <c r="F59" s="28">
        <f>VLOOKUP(Table70[[#This Row],[NAME]],CLE_P[[NAME]:['#]],4,0)</f>
        <v>1</v>
      </c>
      <c r="G59" s="77">
        <f>VLOOKUP(Table70[[#This Row],[NAME]],CLE_P[[NAME]:['#]],5,0)</f>
        <v>6</v>
      </c>
      <c r="H59" s="584">
        <f>VLOOKUP(Table70[[#This Row],[NAME]],CLE_P[[NAME]:['#]],6,0)</f>
        <v>10</v>
      </c>
      <c r="I59" s="28">
        <f>VLOOKUP(Table70[[#This Row],[NAME]],CLE_P[[NAME]:['#]],7,0)</f>
        <v>9</v>
      </c>
      <c r="J59" s="28">
        <f>VLOOKUP(Table70[[#This Row],[NAME]],CLE_P[[NAME]:['#]],8,0)</f>
        <v>4</v>
      </c>
      <c r="K59" s="28">
        <f>VLOOKUP(Table70[[#This Row],[NAME]],CLE_P[[NAME]:['#]],9,0)</f>
        <v>3</v>
      </c>
      <c r="L59" s="28">
        <f>VLOOKUP(Table70[[#This Row],[NAME]],CLE_P[[NAME]:['#]],10,0)</f>
        <v>9</v>
      </c>
      <c r="M59" s="28">
        <f>VLOOKUP(Table70[[#This Row],[NAME]],CLE_P[[NAME]:['#]],11,0)</f>
        <v>1</v>
      </c>
      <c r="N59" s="106">
        <f>VLOOKUP(Table70[[#This Row],[NAME]],CLE_P[[NAME]:['#]],12,0)</f>
        <v>1.2</v>
      </c>
      <c r="O59" s="77">
        <f>VLOOKUP(Table70[[#This Row],[NAME]],CLE_P[[NAME]:['#]],13,0)</f>
        <v>0</v>
      </c>
      <c r="P59" s="28">
        <f>VLOOKUP(Table70[[#This Row],[NAME]],CLE_P[[NAME]:['#]],14,0)</f>
        <v>0</v>
      </c>
      <c r="Q59" s="28">
        <f>VLOOKUP(Table70[[#This Row],[NAME]],CLE_P[[NAME]:['#]],15,0)</f>
        <v>0</v>
      </c>
      <c r="R59" s="28">
        <f>VLOOKUP(Table70[[#This Row],[NAME]],CLE_P[[NAME]:['#]],16,0)</f>
        <v>0</v>
      </c>
      <c r="S59" s="75">
        <v>57</v>
      </c>
      <c r="V59" s="101" t="s">
        <v>394</v>
      </c>
      <c r="W59" s="77" t="s">
        <v>212</v>
      </c>
      <c r="X59" s="132" t="s">
        <v>418</v>
      </c>
      <c r="Y59" s="88">
        <v>3.8571428571428572</v>
      </c>
      <c r="Z59" s="77">
        <v>0</v>
      </c>
      <c r="AA59" s="28">
        <v>0</v>
      </c>
      <c r="AB59" s="77">
        <v>3</v>
      </c>
      <c r="AC59" s="584">
        <v>7</v>
      </c>
      <c r="AD59" s="28">
        <v>3</v>
      </c>
      <c r="AE59" s="28">
        <v>3</v>
      </c>
      <c r="AF59" s="28">
        <v>2</v>
      </c>
      <c r="AG59" s="28">
        <v>3</v>
      </c>
      <c r="AH59" s="28">
        <v>0</v>
      </c>
      <c r="AI59" s="106">
        <v>0.7142857142857143</v>
      </c>
      <c r="AJ59" s="77">
        <v>0</v>
      </c>
      <c r="AK59" s="28">
        <v>0</v>
      </c>
      <c r="AL59" s="28">
        <v>0</v>
      </c>
      <c r="AM59" s="28">
        <v>0</v>
      </c>
      <c r="AN59" s="75">
        <v>57</v>
      </c>
      <c r="AQ59" s="101" t="s">
        <v>394</v>
      </c>
      <c r="AR59" s="77" t="s">
        <v>212</v>
      </c>
      <c r="AS59" s="77" t="s">
        <v>416</v>
      </c>
      <c r="AT59" s="135">
        <v>7.855973813420623</v>
      </c>
      <c r="AU59" s="77">
        <v>1</v>
      </c>
      <c r="AV59" s="28">
        <v>2</v>
      </c>
      <c r="AW59" s="77">
        <v>16</v>
      </c>
      <c r="AX59" s="584">
        <v>18.329999999999998</v>
      </c>
      <c r="AY59" s="28">
        <v>21</v>
      </c>
      <c r="AZ59" s="28">
        <v>16</v>
      </c>
      <c r="BA59" s="28">
        <v>15</v>
      </c>
      <c r="BB59" s="28">
        <v>27</v>
      </c>
      <c r="BC59" s="28">
        <v>0</v>
      </c>
      <c r="BD59" s="106">
        <v>1.9639934533551557</v>
      </c>
      <c r="BE59" s="77">
        <v>0</v>
      </c>
      <c r="BF59" s="28">
        <v>0</v>
      </c>
      <c r="BG59" s="28">
        <v>0</v>
      </c>
      <c r="BH59" s="28">
        <v>0</v>
      </c>
      <c r="BI59" s="75">
        <v>57</v>
      </c>
    </row>
    <row r="60" spans="1:61">
      <c r="A60" s="101" t="s">
        <v>394</v>
      </c>
      <c r="B60" s="71" t="s">
        <v>212</v>
      </c>
      <c r="C60" s="116" t="s">
        <v>423</v>
      </c>
      <c r="D60" s="89">
        <f>VLOOKUP(Table70[[#This Row],[NAME]],CLE_P[[NAME]:['#]],2,0)</f>
        <v>8</v>
      </c>
      <c r="E60" s="77">
        <f>VLOOKUP(Table70[[#This Row],[NAME]],CLE_P[[NAME]:['#]],3,0)</f>
        <v>0</v>
      </c>
      <c r="F60" s="28">
        <f>VLOOKUP(Table70[[#This Row],[NAME]],CLE_P[[NAME]:['#]],4,0)</f>
        <v>2</v>
      </c>
      <c r="G60" s="77">
        <f>VLOOKUP(Table70[[#This Row],[NAME]],CLE_P[[NAME]:['#]],5,0)</f>
        <v>8</v>
      </c>
      <c r="H60" s="584">
        <f>VLOOKUP(Table70[[#This Row],[NAME]],CLE_P[[NAME]:['#]],6,0)</f>
        <v>9</v>
      </c>
      <c r="I60" s="28">
        <f>VLOOKUP(Table70[[#This Row],[NAME]],CLE_P[[NAME]:['#]],7,0)</f>
        <v>13</v>
      </c>
      <c r="J60" s="28">
        <f>VLOOKUP(Table70[[#This Row],[NAME]],CLE_P[[NAME]:['#]],8,0)</f>
        <v>8</v>
      </c>
      <c r="K60" s="28">
        <f>VLOOKUP(Table70[[#This Row],[NAME]],CLE_P[[NAME]:['#]],9,0)</f>
        <v>5</v>
      </c>
      <c r="L60" s="28">
        <f>VLOOKUP(Table70[[#This Row],[NAME]],CLE_P[[NAME]:['#]],10,0)</f>
        <v>11</v>
      </c>
      <c r="M60" s="28">
        <f>VLOOKUP(Table70[[#This Row],[NAME]],CLE_P[[NAME]:['#]],11,0)</f>
        <v>0</v>
      </c>
      <c r="N60" s="106">
        <f>VLOOKUP(Table70[[#This Row],[NAME]],CLE_P[[NAME]:['#]],12,0)</f>
        <v>2</v>
      </c>
      <c r="O60" s="77">
        <f>VLOOKUP(Table70[[#This Row],[NAME]],CLE_P[[NAME]:['#]],13,0)</f>
        <v>0</v>
      </c>
      <c r="P60" s="28">
        <f>VLOOKUP(Table70[[#This Row],[NAME]],CLE_P[[NAME]:['#]],14,0)</f>
        <v>0</v>
      </c>
      <c r="Q60" s="28">
        <f>VLOOKUP(Table70[[#This Row],[NAME]],CLE_P[[NAME]:['#]],15,0)</f>
        <v>0</v>
      </c>
      <c r="R60" s="28">
        <f>VLOOKUP(Table70[[#This Row],[NAME]],CLE_P[[NAME]:['#]],16,0)</f>
        <v>0</v>
      </c>
      <c r="S60" s="75">
        <v>58</v>
      </c>
      <c r="V60" s="101" t="s">
        <v>394</v>
      </c>
      <c r="W60" s="77" t="s">
        <v>212</v>
      </c>
      <c r="X60" s="132" t="s">
        <v>423</v>
      </c>
      <c r="Y60" s="88">
        <v>3.8543897216274092</v>
      </c>
      <c r="Z60" s="77">
        <v>0</v>
      </c>
      <c r="AA60" s="28">
        <v>1</v>
      </c>
      <c r="AB60" s="77">
        <v>7</v>
      </c>
      <c r="AC60" s="584">
        <v>4.67</v>
      </c>
      <c r="AD60" s="28">
        <v>2</v>
      </c>
      <c r="AE60" s="28">
        <v>2</v>
      </c>
      <c r="AF60" s="28">
        <v>3</v>
      </c>
      <c r="AG60" s="28">
        <v>5</v>
      </c>
      <c r="AH60" s="28">
        <v>0</v>
      </c>
      <c r="AI60" s="106">
        <v>1.0706638115631693</v>
      </c>
      <c r="AJ60" s="77">
        <v>0</v>
      </c>
      <c r="AK60" s="28">
        <v>0</v>
      </c>
      <c r="AL60" s="28">
        <v>0</v>
      </c>
      <c r="AM60" s="28">
        <v>0</v>
      </c>
      <c r="AN60" s="75">
        <v>58</v>
      </c>
      <c r="AQ60" s="101" t="s">
        <v>394</v>
      </c>
      <c r="AR60" s="77" t="s">
        <v>215</v>
      </c>
      <c r="AS60" s="77" t="s">
        <v>423</v>
      </c>
      <c r="AT60" s="135">
        <v>3.3739456419868792</v>
      </c>
      <c r="AU60" s="77">
        <v>1</v>
      </c>
      <c r="AV60" s="28">
        <v>1</v>
      </c>
      <c r="AW60" s="77">
        <v>12</v>
      </c>
      <c r="AX60" s="584">
        <v>10.67</v>
      </c>
      <c r="AY60" s="28">
        <v>12</v>
      </c>
      <c r="AZ60" s="28">
        <v>4</v>
      </c>
      <c r="BA60" s="28">
        <v>6</v>
      </c>
      <c r="BB60" s="28">
        <v>11</v>
      </c>
      <c r="BC60" s="28">
        <v>0</v>
      </c>
      <c r="BD60" s="106">
        <v>1.6869728209934396</v>
      </c>
      <c r="BE60" s="77">
        <v>0</v>
      </c>
      <c r="BF60" s="28">
        <v>0</v>
      </c>
      <c r="BG60" s="28">
        <v>0</v>
      </c>
      <c r="BH60" s="28">
        <v>0</v>
      </c>
      <c r="BI60" s="75">
        <v>58</v>
      </c>
    </row>
    <row r="61" spans="1:61">
      <c r="A61" s="101" t="s">
        <v>394</v>
      </c>
      <c r="B61" s="71" t="s">
        <v>212</v>
      </c>
      <c r="C61" s="71" t="s">
        <v>424</v>
      </c>
      <c r="D61" s="89">
        <f>VLOOKUP(Table70[[#This Row],[NAME]],CLE_P[[NAME]:['#]],2,0)</f>
        <v>1.741654571843251</v>
      </c>
      <c r="E61" s="77">
        <f>VLOOKUP(Table70[[#This Row],[NAME]],CLE_P[[NAME]:['#]],3,0)</f>
        <v>1</v>
      </c>
      <c r="F61" s="28">
        <f>VLOOKUP(Table70[[#This Row],[NAME]],CLE_P[[NAME]:['#]],4,0)</f>
        <v>1</v>
      </c>
      <c r="G61" s="77">
        <f>VLOOKUP(Table70[[#This Row],[NAME]],CLE_P[[NAME]:['#]],5,0)</f>
        <v>20</v>
      </c>
      <c r="H61" s="584">
        <f>VLOOKUP(Table70[[#This Row],[NAME]],CLE_P[[NAME]:['#]],6,0)</f>
        <v>20.67</v>
      </c>
      <c r="I61" s="28">
        <f>VLOOKUP(Table70[[#This Row],[NAME]],CLE_P[[NAME]:['#]],7,0)</f>
        <v>11</v>
      </c>
      <c r="J61" s="28">
        <f>VLOOKUP(Table70[[#This Row],[NAME]],CLE_P[[NAME]:['#]],8,0)</f>
        <v>4</v>
      </c>
      <c r="K61" s="28">
        <f>VLOOKUP(Table70[[#This Row],[NAME]],CLE_P[[NAME]:['#]],9,0)</f>
        <v>11</v>
      </c>
      <c r="L61" s="28">
        <f>VLOOKUP(Table70[[#This Row],[NAME]],CLE_P[[NAME]:['#]],10,0)</f>
        <v>30</v>
      </c>
      <c r="M61" s="28">
        <f>VLOOKUP(Table70[[#This Row],[NAME]],CLE_P[[NAME]:['#]],11,0)</f>
        <v>1</v>
      </c>
      <c r="N61" s="106">
        <f>VLOOKUP(Table70[[#This Row],[NAME]],CLE_P[[NAME]:['#]],12,0)</f>
        <v>1.0643444605708756</v>
      </c>
      <c r="O61" s="77">
        <f>VLOOKUP(Table70[[#This Row],[NAME]],CLE_P[[NAME]:['#]],13,0)</f>
        <v>0</v>
      </c>
      <c r="P61" s="28">
        <f>VLOOKUP(Table70[[#This Row],[NAME]],CLE_P[[NAME]:['#]],14,0)</f>
        <v>0</v>
      </c>
      <c r="Q61" s="28">
        <f>VLOOKUP(Table70[[#This Row],[NAME]],CLE_P[[NAME]:['#]],15,0)</f>
        <v>0</v>
      </c>
      <c r="R61" s="28">
        <f>VLOOKUP(Table70[[#This Row],[NAME]],CLE_P[[NAME]:['#]],16,0)</f>
        <v>0</v>
      </c>
      <c r="S61" s="75">
        <v>59</v>
      </c>
      <c r="V61" s="101" t="s">
        <v>394</v>
      </c>
      <c r="W61" s="77" t="s">
        <v>212</v>
      </c>
      <c r="X61" s="77" t="s">
        <v>424</v>
      </c>
      <c r="Y61" s="88">
        <v>3.1760035288928097</v>
      </c>
      <c r="Z61" s="77">
        <v>3</v>
      </c>
      <c r="AA61" s="28">
        <v>1</v>
      </c>
      <c r="AB61" s="77">
        <v>9</v>
      </c>
      <c r="AC61" s="584">
        <v>22.67</v>
      </c>
      <c r="AD61" s="28">
        <v>16</v>
      </c>
      <c r="AE61" s="28">
        <v>8</v>
      </c>
      <c r="AF61" s="28">
        <v>14</v>
      </c>
      <c r="AG61" s="28">
        <v>29</v>
      </c>
      <c r="AH61" s="28">
        <v>0</v>
      </c>
      <c r="AI61" s="106">
        <v>1.3233348037053374</v>
      </c>
      <c r="AJ61" s="77">
        <v>0</v>
      </c>
      <c r="AK61" s="28">
        <v>0</v>
      </c>
      <c r="AL61" s="28">
        <v>0</v>
      </c>
      <c r="AM61" s="28">
        <v>0</v>
      </c>
      <c r="AN61" s="75">
        <v>59</v>
      </c>
      <c r="AQ61" s="101" t="s">
        <v>394</v>
      </c>
      <c r="AR61" s="77" t="s">
        <v>212</v>
      </c>
      <c r="AS61" s="77" t="s">
        <v>424</v>
      </c>
      <c r="AT61" s="135">
        <v>4.426955238563699</v>
      </c>
      <c r="AU61" s="77">
        <v>2</v>
      </c>
      <c r="AV61" s="28">
        <v>4</v>
      </c>
      <c r="AW61" s="77">
        <v>21</v>
      </c>
      <c r="AX61" s="584">
        <v>20.329999999999998</v>
      </c>
      <c r="AY61" s="28">
        <v>18</v>
      </c>
      <c r="AZ61" s="28">
        <v>10</v>
      </c>
      <c r="BA61" s="28">
        <v>9</v>
      </c>
      <c r="BB61" s="28">
        <v>33</v>
      </c>
      <c r="BC61" s="28">
        <v>1</v>
      </c>
      <c r="BD61" s="106">
        <v>1.3280865715691097</v>
      </c>
      <c r="BE61" s="77">
        <v>0</v>
      </c>
      <c r="BF61" s="28">
        <v>0</v>
      </c>
      <c r="BG61" s="28">
        <v>0</v>
      </c>
      <c r="BH61" s="28">
        <v>0</v>
      </c>
      <c r="BI61" s="75">
        <v>59</v>
      </c>
    </row>
    <row r="62" spans="1:61">
      <c r="A62" s="101" t="s">
        <v>394</v>
      </c>
      <c r="B62" s="71" t="s">
        <v>212</v>
      </c>
      <c r="C62" s="71" t="s">
        <v>425</v>
      </c>
      <c r="D62" s="89">
        <f>VLOOKUP(Table70[[#This Row],[NAME]],CLE_P[[NAME]:['#]],2,0)</f>
        <v>1.5166835187057632</v>
      </c>
      <c r="E62" s="77">
        <f>VLOOKUP(Table70[[#This Row],[NAME]],CLE_P[[NAME]:['#]],3,0)</f>
        <v>3</v>
      </c>
      <c r="F62" s="28">
        <f>VLOOKUP(Table70[[#This Row],[NAME]],CLE_P[[NAME]:['#]],4,0)</f>
        <v>0</v>
      </c>
      <c r="G62" s="352">
        <f>VLOOKUP(Table70[[#This Row],[NAME]],CLE_P[[NAME]:['#]],5,0)</f>
        <v>26</v>
      </c>
      <c r="H62" s="584">
        <f>VLOOKUP(Table70[[#This Row],[NAME]],CLE_P[[NAME]:['#]],6,0)</f>
        <v>29.67</v>
      </c>
      <c r="I62" s="28">
        <f>VLOOKUP(Table70[[#This Row],[NAME]],CLE_P[[NAME]:['#]],7,0)</f>
        <v>27</v>
      </c>
      <c r="J62" s="28">
        <f>VLOOKUP(Table70[[#This Row],[NAME]],CLE_P[[NAME]:['#]],8,0)</f>
        <v>5</v>
      </c>
      <c r="K62" s="28">
        <f>VLOOKUP(Table70[[#This Row],[NAME]],CLE_P[[NAME]:['#]],9,0)</f>
        <v>4</v>
      </c>
      <c r="L62" s="28">
        <f>VLOOKUP(Table70[[#This Row],[NAME]],CLE_P[[NAME]:['#]],10,0)</f>
        <v>33</v>
      </c>
      <c r="M62" s="76">
        <f>VLOOKUP(Table70[[#This Row],[NAME]],CLE_P[[NAME]:['#]],11,0)</f>
        <v>11</v>
      </c>
      <c r="N62" s="106">
        <f>VLOOKUP(Table70[[#This Row],[NAME]],CLE_P[[NAME]:['#]],12,0)</f>
        <v>1.0448264239973035</v>
      </c>
      <c r="O62" s="77">
        <f>VLOOKUP(Table70[[#This Row],[NAME]],CLE_P[[NAME]:['#]],13,0)</f>
        <v>0</v>
      </c>
      <c r="P62" s="28">
        <f>VLOOKUP(Table70[[#This Row],[NAME]],CLE_P[[NAME]:['#]],14,0)</f>
        <v>0</v>
      </c>
      <c r="Q62" s="28">
        <f>VLOOKUP(Table70[[#This Row],[NAME]],CLE_P[[NAME]:['#]],15,0)</f>
        <v>0</v>
      </c>
      <c r="R62" s="28">
        <f>VLOOKUP(Table70[[#This Row],[NAME]],CLE_P[[NAME]:['#]],16,0)</f>
        <v>0</v>
      </c>
      <c r="S62" s="75">
        <v>60</v>
      </c>
      <c r="V62" s="101" t="s">
        <v>394</v>
      </c>
      <c r="W62" s="352" t="s">
        <v>212</v>
      </c>
      <c r="X62" s="352" t="s">
        <v>425</v>
      </c>
      <c r="Y62" s="349">
        <v>0.83064143977849558</v>
      </c>
      <c r="Z62" s="77">
        <v>2</v>
      </c>
      <c r="AA62" s="28">
        <v>1</v>
      </c>
      <c r="AB62" s="77">
        <v>19</v>
      </c>
      <c r="AC62" s="584">
        <v>21.67</v>
      </c>
      <c r="AD62" s="28">
        <v>9</v>
      </c>
      <c r="AE62" s="28">
        <v>2</v>
      </c>
      <c r="AF62" s="28">
        <v>6</v>
      </c>
      <c r="AG62" s="28">
        <v>17</v>
      </c>
      <c r="AH62" s="28">
        <v>6</v>
      </c>
      <c r="AI62" s="106">
        <v>0.69220119981541295</v>
      </c>
      <c r="AJ62" s="77">
        <v>0</v>
      </c>
      <c r="AK62" s="28">
        <v>0</v>
      </c>
      <c r="AL62" s="28">
        <v>0</v>
      </c>
      <c r="AM62" s="28">
        <v>0</v>
      </c>
      <c r="AN62" s="75">
        <v>60</v>
      </c>
      <c r="AQ62" s="101" t="s">
        <v>394</v>
      </c>
      <c r="AR62" s="352" t="s">
        <v>212</v>
      </c>
      <c r="AS62" s="352" t="s">
        <v>425</v>
      </c>
      <c r="AT62" s="526">
        <v>0.33333333333333331</v>
      </c>
      <c r="AU62" s="77">
        <v>4</v>
      </c>
      <c r="AV62" s="28">
        <v>0</v>
      </c>
      <c r="AW62" s="77">
        <v>24</v>
      </c>
      <c r="AX62" s="584">
        <v>27</v>
      </c>
      <c r="AY62" s="28">
        <v>21</v>
      </c>
      <c r="AZ62" s="28">
        <v>1</v>
      </c>
      <c r="BA62" s="28">
        <v>7</v>
      </c>
      <c r="BB62" s="28">
        <v>28</v>
      </c>
      <c r="BC62" s="28">
        <v>8</v>
      </c>
      <c r="BD62" s="106">
        <v>1.037037037037037</v>
      </c>
      <c r="BE62" s="77">
        <v>0</v>
      </c>
      <c r="BF62" s="28">
        <v>0</v>
      </c>
      <c r="BG62" s="28">
        <v>0</v>
      </c>
      <c r="BH62" s="28">
        <v>0</v>
      </c>
      <c r="BI62" s="75">
        <v>60</v>
      </c>
    </row>
    <row r="63" spans="1:61">
      <c r="A63" s="101" t="s">
        <v>429</v>
      </c>
      <c r="B63" s="71" t="s">
        <v>206</v>
      </c>
      <c r="C63" s="116" t="s">
        <v>448</v>
      </c>
      <c r="D63" s="89">
        <f>VLOOKUP(Table70[[#This Row],[NAME]],MIN_P[[NAME]:['#]],2,0)</f>
        <v>8.3728877919119036</v>
      </c>
      <c r="E63" s="77">
        <f>VLOOKUP(Table70[[#This Row],[NAME]],MIN_P[[NAME]:['#]],3,0)</f>
        <v>2</v>
      </c>
      <c r="F63" s="76">
        <f>VLOOKUP(Table70[[#This Row],[NAME]],MIN_P[[NAME]:['#]],4,0)</f>
        <v>7</v>
      </c>
      <c r="G63" s="77">
        <f>VLOOKUP(Table70[[#This Row],[NAME]],MIN_P[[NAME]:['#]],5,0)</f>
        <v>10</v>
      </c>
      <c r="H63" s="584">
        <f>VLOOKUP(Table70[[#This Row],[NAME]],MIN_P[[NAME]:['#]],6,0)</f>
        <v>52.67</v>
      </c>
      <c r="I63" s="28">
        <f>VLOOKUP(Table70[[#This Row],[NAME]],MIN_P[[NAME]:['#]],7,0)</f>
        <v>60</v>
      </c>
      <c r="J63" s="76">
        <f>VLOOKUP(Table70[[#This Row],[NAME]],MIN_P[[NAME]:['#]],8,0)</f>
        <v>49</v>
      </c>
      <c r="K63" s="28">
        <f>VLOOKUP(Table70[[#This Row],[NAME]],MIN_P[[NAME]:['#]],9,0)</f>
        <v>28</v>
      </c>
      <c r="L63" s="28">
        <f>VLOOKUP(Table70[[#This Row],[NAME]],MIN_P[[NAME]:['#]],10,0)</f>
        <v>43</v>
      </c>
      <c r="M63" s="28">
        <f>VLOOKUP(Table70[[#This Row],[NAME]],MIN_P[[NAME]:['#]],11,0)</f>
        <v>0</v>
      </c>
      <c r="N63" s="106">
        <f>VLOOKUP(Table70[[#This Row],[NAME]],MIN_P[[NAME]:['#]],12,0)</f>
        <v>1.670780330358838</v>
      </c>
      <c r="O63" s="77">
        <f>VLOOKUP(Table70[[#This Row],[NAME]],MIN_P[[NAME]:['#]],13,0)</f>
        <v>3</v>
      </c>
      <c r="P63" s="28">
        <f>VLOOKUP(Table70[[#This Row],[NAME]],MIN_P[[NAME]:['#]],14,0)</f>
        <v>2</v>
      </c>
      <c r="Q63" s="28">
        <f>VLOOKUP(Table70[[#This Row],[NAME]],MIN_P[[NAME]:['#]],15,0)</f>
        <v>0</v>
      </c>
      <c r="R63" s="28">
        <f>VLOOKUP(Table70[[#This Row],[NAME]],MIN_P[[NAME]:['#]],16,0)</f>
        <v>0</v>
      </c>
      <c r="S63" s="75">
        <v>61</v>
      </c>
      <c r="V63" s="101" t="s">
        <v>429</v>
      </c>
      <c r="W63" s="77" t="s">
        <v>206</v>
      </c>
      <c r="X63" s="132" t="s">
        <v>448</v>
      </c>
      <c r="Y63" s="88">
        <v>6.4203402231571243</v>
      </c>
      <c r="Z63" s="77">
        <v>3</v>
      </c>
      <c r="AA63" s="28">
        <v>5</v>
      </c>
      <c r="AB63" s="77">
        <v>10</v>
      </c>
      <c r="AC63" s="584">
        <v>54.67</v>
      </c>
      <c r="AD63" s="28">
        <v>65</v>
      </c>
      <c r="AE63" s="28">
        <v>39</v>
      </c>
      <c r="AF63" s="28">
        <v>28</v>
      </c>
      <c r="AG63" s="28">
        <v>45</v>
      </c>
      <c r="AH63" s="28">
        <v>0</v>
      </c>
      <c r="AI63" s="106">
        <v>1.7011157856228278</v>
      </c>
      <c r="AJ63" s="77">
        <v>5</v>
      </c>
      <c r="AK63" s="28">
        <v>0</v>
      </c>
      <c r="AL63" s="28">
        <v>0</v>
      </c>
      <c r="AM63" s="28">
        <v>0</v>
      </c>
      <c r="AN63" s="75">
        <v>61</v>
      </c>
      <c r="AQ63" s="101" t="s">
        <v>429</v>
      </c>
      <c r="AR63" s="77" t="s">
        <v>206</v>
      </c>
      <c r="AS63" s="77" t="s">
        <v>289</v>
      </c>
      <c r="AT63" s="135">
        <v>3.3921302578018997</v>
      </c>
      <c r="AU63" s="531">
        <v>8</v>
      </c>
      <c r="AV63" s="28">
        <v>1</v>
      </c>
      <c r="AW63" s="77">
        <v>10</v>
      </c>
      <c r="AX63" s="584">
        <v>66.33</v>
      </c>
      <c r="AY63" s="28">
        <v>57</v>
      </c>
      <c r="AZ63" s="28">
        <v>25</v>
      </c>
      <c r="BA63" s="28">
        <v>20</v>
      </c>
      <c r="BB63" s="28">
        <v>70</v>
      </c>
      <c r="BC63" s="28">
        <v>0</v>
      </c>
      <c r="BD63" s="106">
        <v>1.1608623548922057</v>
      </c>
      <c r="BE63" s="77">
        <v>8</v>
      </c>
      <c r="BF63" s="28">
        <v>3</v>
      </c>
      <c r="BG63" s="28">
        <v>1</v>
      </c>
      <c r="BH63" s="28">
        <v>1</v>
      </c>
      <c r="BI63" s="75">
        <v>61</v>
      </c>
    </row>
    <row r="64" spans="1:61">
      <c r="A64" s="101" t="s">
        <v>429</v>
      </c>
      <c r="B64" s="71" t="s">
        <v>206</v>
      </c>
      <c r="C64" s="116" t="s">
        <v>449</v>
      </c>
      <c r="D64" s="89">
        <f>VLOOKUP(Table70[[#This Row],[NAME]],MIN_P[[NAME]:['#]],2,0)</f>
        <v>5.2758620689655169</v>
      </c>
      <c r="E64" s="77">
        <f>VLOOKUP(Table70[[#This Row],[NAME]],MIN_P[[NAME]:['#]],3,0)</f>
        <v>4</v>
      </c>
      <c r="F64" s="28">
        <f>VLOOKUP(Table70[[#This Row],[NAME]],MIN_P[[NAME]:['#]],4,0)</f>
        <v>4</v>
      </c>
      <c r="G64" s="77">
        <f>VLOOKUP(Table70[[#This Row],[NAME]],MIN_P[[NAME]:['#]],5,0)</f>
        <v>10</v>
      </c>
      <c r="H64" s="584">
        <f>VLOOKUP(Table70[[#This Row],[NAME]],MIN_P[[NAME]:['#]],6,0)</f>
        <v>58</v>
      </c>
      <c r="I64" s="28">
        <f>VLOOKUP(Table70[[#This Row],[NAME]],MIN_P[[NAME]:['#]],7,0)</f>
        <v>63</v>
      </c>
      <c r="J64" s="28">
        <f>VLOOKUP(Table70[[#This Row],[NAME]],MIN_P[[NAME]:['#]],8,0)</f>
        <v>34</v>
      </c>
      <c r="K64" s="28">
        <f>VLOOKUP(Table70[[#This Row],[NAME]],MIN_P[[NAME]:['#]],9,0)</f>
        <v>23</v>
      </c>
      <c r="L64" s="28">
        <f>VLOOKUP(Table70[[#This Row],[NAME]],MIN_P[[NAME]:['#]],10,0)</f>
        <v>47</v>
      </c>
      <c r="M64" s="28">
        <f>VLOOKUP(Table70[[#This Row],[NAME]],MIN_P[[NAME]:['#]],11,0)</f>
        <v>0</v>
      </c>
      <c r="N64" s="106">
        <f>VLOOKUP(Table70[[#This Row],[NAME]],MIN_P[[NAME]:['#]],12,0)</f>
        <v>1.4827586206896552</v>
      </c>
      <c r="O64" s="77">
        <f>VLOOKUP(Table70[[#This Row],[NAME]],MIN_P[[NAME]:['#]],13,0)</f>
        <v>4</v>
      </c>
      <c r="P64" s="28">
        <f>VLOOKUP(Table70[[#This Row],[NAME]],MIN_P[[NAME]:['#]],14,0)</f>
        <v>2</v>
      </c>
      <c r="Q64" s="28">
        <f>VLOOKUP(Table70[[#This Row],[NAME]],MIN_P[[NAME]:['#]],15,0)</f>
        <v>0</v>
      </c>
      <c r="R64" s="28">
        <f>VLOOKUP(Table70[[#This Row],[NAME]],MIN_P[[NAME]:['#]],16,0)</f>
        <v>0</v>
      </c>
      <c r="S64" s="75">
        <v>62</v>
      </c>
      <c r="V64" s="101" t="s">
        <v>429</v>
      </c>
      <c r="W64" s="77" t="s">
        <v>206</v>
      </c>
      <c r="X64" s="132" t="s">
        <v>449</v>
      </c>
      <c r="Y64" s="88">
        <v>4.5240797794713794</v>
      </c>
      <c r="Z64" s="77">
        <v>3</v>
      </c>
      <c r="AA64" s="28">
        <v>3</v>
      </c>
      <c r="AB64" s="77">
        <v>10</v>
      </c>
      <c r="AC64" s="584">
        <v>61.67</v>
      </c>
      <c r="AD64" s="28">
        <v>65</v>
      </c>
      <c r="AE64" s="28">
        <v>31</v>
      </c>
      <c r="AF64" s="28">
        <v>11</v>
      </c>
      <c r="AG64" s="28">
        <v>58</v>
      </c>
      <c r="AH64" s="28">
        <v>0</v>
      </c>
      <c r="AI64" s="106">
        <v>1.2323658180638883</v>
      </c>
      <c r="AJ64" s="77">
        <v>4</v>
      </c>
      <c r="AK64" s="28">
        <v>2</v>
      </c>
      <c r="AL64" s="28">
        <v>0</v>
      </c>
      <c r="AM64" s="28">
        <v>0</v>
      </c>
      <c r="AN64" s="75">
        <v>62</v>
      </c>
      <c r="AQ64" s="101" t="s">
        <v>429</v>
      </c>
      <c r="AR64" s="77" t="s">
        <v>206</v>
      </c>
      <c r="AS64" s="77" t="s">
        <v>450</v>
      </c>
      <c r="AT64" s="135">
        <v>4.1328639216286547</v>
      </c>
      <c r="AU64" s="77">
        <v>4</v>
      </c>
      <c r="AV64" s="28">
        <v>3</v>
      </c>
      <c r="AW64" s="77">
        <v>10</v>
      </c>
      <c r="AX64" s="584">
        <v>65.33</v>
      </c>
      <c r="AY64" s="28">
        <v>64</v>
      </c>
      <c r="AZ64" s="28">
        <v>30</v>
      </c>
      <c r="BA64" s="28">
        <v>25</v>
      </c>
      <c r="BB64" s="28">
        <v>75</v>
      </c>
      <c r="BC64" s="28">
        <v>0</v>
      </c>
      <c r="BD64" s="106">
        <v>1.3623144037961121</v>
      </c>
      <c r="BE64" s="77">
        <v>7</v>
      </c>
      <c r="BF64" s="28">
        <v>5</v>
      </c>
      <c r="BG64" s="28">
        <v>0</v>
      </c>
      <c r="BH64" s="28">
        <v>0</v>
      </c>
      <c r="BI64" s="75">
        <v>62</v>
      </c>
    </row>
    <row r="65" spans="1:61">
      <c r="A65" s="101" t="s">
        <v>429</v>
      </c>
      <c r="B65" s="71" t="s">
        <v>206</v>
      </c>
      <c r="C65" s="116" t="s">
        <v>451</v>
      </c>
      <c r="D65" s="89">
        <f>VLOOKUP(Table70[[#This Row],[NAME]],MIN_P[[NAME]:['#]],2,0)</f>
        <v>3.2080796079013814</v>
      </c>
      <c r="E65" s="77">
        <f>VLOOKUP(Table70[[#This Row],[NAME]],MIN_P[[NAME]:['#]],3,0)</f>
        <v>6</v>
      </c>
      <c r="F65" s="28">
        <f>VLOOKUP(Table70[[#This Row],[NAME]],MIN_P[[NAME]:['#]],4,0)</f>
        <v>1</v>
      </c>
      <c r="G65" s="77">
        <f>VLOOKUP(Table70[[#This Row],[NAME]],MIN_P[[NAME]:['#]],5,0)</f>
        <v>10</v>
      </c>
      <c r="H65" s="584">
        <f>VLOOKUP(Table70[[#This Row],[NAME]],MIN_P[[NAME]:['#]],6,0)</f>
        <v>67.33</v>
      </c>
      <c r="I65" s="28">
        <f>VLOOKUP(Table70[[#This Row],[NAME]],MIN_P[[NAME]:['#]],7,0)</f>
        <v>57</v>
      </c>
      <c r="J65" s="28">
        <f>VLOOKUP(Table70[[#This Row],[NAME]],MIN_P[[NAME]:['#]],8,0)</f>
        <v>24</v>
      </c>
      <c r="K65" s="28">
        <f>VLOOKUP(Table70[[#This Row],[NAME]],MIN_P[[NAME]:['#]],9,0)</f>
        <v>18</v>
      </c>
      <c r="L65" s="28">
        <f>VLOOKUP(Table70[[#This Row],[NAME]],MIN_P[[NAME]:['#]],10,0)</f>
        <v>74</v>
      </c>
      <c r="M65" s="28">
        <f>VLOOKUP(Table70[[#This Row],[NAME]],MIN_P[[NAME]:['#]],11,0)</f>
        <v>0</v>
      </c>
      <c r="N65" s="106">
        <f>VLOOKUP(Table70[[#This Row],[NAME]],MIN_P[[NAME]:['#]],12,0)</f>
        <v>1.113916530521313</v>
      </c>
      <c r="O65" s="77">
        <f>VLOOKUP(Table70[[#This Row],[NAME]],MIN_P[[NAME]:['#]],13,0)</f>
        <v>8</v>
      </c>
      <c r="P65" s="28">
        <f>VLOOKUP(Table70[[#This Row],[NAME]],MIN_P[[NAME]:['#]],14,0)</f>
        <v>6</v>
      </c>
      <c r="Q65" s="28">
        <f>VLOOKUP(Table70[[#This Row],[NAME]],MIN_P[[NAME]:['#]],15,0)</f>
        <v>0</v>
      </c>
      <c r="R65" s="28">
        <f>VLOOKUP(Table70[[#This Row],[NAME]],MIN_P[[NAME]:['#]],16,0)</f>
        <v>0</v>
      </c>
      <c r="S65" s="75">
        <v>63</v>
      </c>
      <c r="V65" s="101" t="s">
        <v>429</v>
      </c>
      <c r="W65" s="77" t="s">
        <v>206</v>
      </c>
      <c r="X65" s="132" t="s">
        <v>451</v>
      </c>
      <c r="Y65" s="88">
        <v>3.774193548387097</v>
      </c>
      <c r="Z65" s="77">
        <v>5</v>
      </c>
      <c r="AA65" s="28">
        <v>2</v>
      </c>
      <c r="AB65" s="77">
        <v>10</v>
      </c>
      <c r="AC65" s="584">
        <v>62</v>
      </c>
      <c r="AD65" s="28">
        <v>53</v>
      </c>
      <c r="AE65" s="28">
        <v>26</v>
      </c>
      <c r="AF65" s="28">
        <v>21</v>
      </c>
      <c r="AG65" s="28">
        <v>58</v>
      </c>
      <c r="AH65" s="28">
        <v>0</v>
      </c>
      <c r="AI65" s="106">
        <v>1.1935483870967742</v>
      </c>
      <c r="AJ65" s="77">
        <v>7</v>
      </c>
      <c r="AK65" s="28">
        <v>4</v>
      </c>
      <c r="AL65" s="28">
        <v>0</v>
      </c>
      <c r="AM65" s="28">
        <v>0</v>
      </c>
      <c r="AN65" s="75">
        <v>63</v>
      </c>
      <c r="AQ65" s="101" t="s">
        <v>429</v>
      </c>
      <c r="AR65" s="77" t="s">
        <v>365</v>
      </c>
      <c r="AS65" s="77" t="s">
        <v>451</v>
      </c>
      <c r="AT65" s="135">
        <v>4.8688524590163933</v>
      </c>
      <c r="AU65" s="77">
        <v>5</v>
      </c>
      <c r="AV65" s="28">
        <v>2</v>
      </c>
      <c r="AW65" s="77">
        <v>10</v>
      </c>
      <c r="AX65" s="584">
        <v>61</v>
      </c>
      <c r="AY65" s="28">
        <v>73</v>
      </c>
      <c r="AZ65" s="28">
        <v>33</v>
      </c>
      <c r="BA65" s="28">
        <v>13</v>
      </c>
      <c r="BB65" s="28">
        <v>49</v>
      </c>
      <c r="BC65" s="28">
        <v>0</v>
      </c>
      <c r="BD65" s="106">
        <v>1.4098360655737705</v>
      </c>
      <c r="BE65" s="77">
        <v>4</v>
      </c>
      <c r="BF65" s="28">
        <v>3</v>
      </c>
      <c r="BG65" s="28">
        <v>0</v>
      </c>
      <c r="BH65" s="28">
        <v>0</v>
      </c>
      <c r="BI65" s="75">
        <v>63</v>
      </c>
    </row>
    <row r="66" spans="1:61">
      <c r="A66" s="101" t="s">
        <v>429</v>
      </c>
      <c r="B66" s="71" t="s">
        <v>206</v>
      </c>
      <c r="C66" s="116" t="s">
        <v>452</v>
      </c>
      <c r="D66" s="89">
        <f>VLOOKUP(Table70[[#This Row],[NAME]],MIN_P[[NAME]:['#]],2,0)</f>
        <v>4.95</v>
      </c>
      <c r="E66" s="77">
        <f>VLOOKUP(Table70[[#This Row],[NAME]],MIN_P[[NAME]:['#]],3,0)</f>
        <v>3</v>
      </c>
      <c r="F66" s="28">
        <f>VLOOKUP(Table70[[#This Row],[NAME]],MIN_P[[NAME]:['#]],4,0)</f>
        <v>5</v>
      </c>
      <c r="G66" s="77">
        <f>VLOOKUP(Table70[[#This Row],[NAME]],MIN_P[[NAME]:['#]],5,0)</f>
        <v>10</v>
      </c>
      <c r="H66" s="584">
        <f>VLOOKUP(Table70[[#This Row],[NAME]],MIN_P[[NAME]:['#]],6,0)</f>
        <v>60</v>
      </c>
      <c r="I66" s="28">
        <f>VLOOKUP(Table70[[#This Row],[NAME]],MIN_P[[NAME]:['#]],7,0)</f>
        <v>69</v>
      </c>
      <c r="J66" s="28">
        <f>VLOOKUP(Table70[[#This Row],[NAME]],MIN_P[[NAME]:['#]],8,0)</f>
        <v>33</v>
      </c>
      <c r="K66" s="28">
        <f>VLOOKUP(Table70[[#This Row],[NAME]],MIN_P[[NAME]:['#]],9,0)</f>
        <v>21</v>
      </c>
      <c r="L66" s="28">
        <f>VLOOKUP(Table70[[#This Row],[NAME]],MIN_P[[NAME]:['#]],10,0)</f>
        <v>52</v>
      </c>
      <c r="M66" s="28">
        <f>VLOOKUP(Table70[[#This Row],[NAME]],MIN_P[[NAME]:['#]],11,0)</f>
        <v>0</v>
      </c>
      <c r="N66" s="106">
        <f>VLOOKUP(Table70[[#This Row],[NAME]],MIN_P[[NAME]:['#]],12,0)</f>
        <v>1.5</v>
      </c>
      <c r="O66" s="77">
        <f>VLOOKUP(Table70[[#This Row],[NAME]],MIN_P[[NAME]:['#]],13,0)</f>
        <v>4</v>
      </c>
      <c r="P66" s="28">
        <f>VLOOKUP(Table70[[#This Row],[NAME]],MIN_P[[NAME]:['#]],14,0)</f>
        <v>2</v>
      </c>
      <c r="Q66" s="28">
        <f>VLOOKUP(Table70[[#This Row],[NAME]],MIN_P[[NAME]:['#]],15,0)</f>
        <v>0</v>
      </c>
      <c r="R66" s="28">
        <f>VLOOKUP(Table70[[#This Row],[NAME]],MIN_P[[NAME]:['#]],16,0)</f>
        <v>0</v>
      </c>
      <c r="S66" s="75">
        <v>64</v>
      </c>
      <c r="V66" s="101" t="s">
        <v>429</v>
      </c>
      <c r="W66" s="77" t="s">
        <v>206</v>
      </c>
      <c r="X66" s="132" t="s">
        <v>450</v>
      </c>
      <c r="Y66" s="88">
        <v>3.3751834338822762</v>
      </c>
      <c r="Z66" s="77">
        <v>5</v>
      </c>
      <c r="AA66" s="28">
        <v>0</v>
      </c>
      <c r="AB66" s="77">
        <v>10</v>
      </c>
      <c r="AC66" s="584">
        <v>61.33</v>
      </c>
      <c r="AD66" s="28">
        <v>61</v>
      </c>
      <c r="AE66" s="28">
        <v>23</v>
      </c>
      <c r="AF66" s="28">
        <v>18</v>
      </c>
      <c r="AG66" s="28">
        <v>59</v>
      </c>
      <c r="AH66" s="28">
        <v>0</v>
      </c>
      <c r="AI66" s="106">
        <v>1.2881134844285016</v>
      </c>
      <c r="AJ66" s="77">
        <v>8</v>
      </c>
      <c r="AK66" s="28">
        <v>3</v>
      </c>
      <c r="AL66" s="28">
        <v>0</v>
      </c>
      <c r="AM66" s="28">
        <v>0</v>
      </c>
      <c r="AN66" s="75">
        <v>64</v>
      </c>
      <c r="AQ66" s="101" t="s">
        <v>429</v>
      </c>
      <c r="AR66" s="77" t="s">
        <v>206</v>
      </c>
      <c r="AS66" s="77" t="s">
        <v>453</v>
      </c>
      <c r="AT66" s="135">
        <v>6.5849643314432047</v>
      </c>
      <c r="AU66" s="77">
        <v>2</v>
      </c>
      <c r="AV66" s="28">
        <v>5</v>
      </c>
      <c r="AW66" s="77">
        <v>10</v>
      </c>
      <c r="AX66" s="584">
        <v>54.67</v>
      </c>
      <c r="AY66" s="28">
        <v>63</v>
      </c>
      <c r="AZ66" s="28">
        <v>40</v>
      </c>
      <c r="BA66" s="28">
        <v>27</v>
      </c>
      <c r="BB66" s="28">
        <v>45</v>
      </c>
      <c r="BC66" s="28">
        <v>0</v>
      </c>
      <c r="BD66" s="106">
        <v>1.6462410828608012</v>
      </c>
      <c r="BE66" s="77">
        <v>2</v>
      </c>
      <c r="BF66" s="28">
        <v>1</v>
      </c>
      <c r="BG66" s="28">
        <v>0</v>
      </c>
      <c r="BH66" s="28">
        <v>0</v>
      </c>
      <c r="BI66" s="75">
        <v>64</v>
      </c>
    </row>
    <row r="67" spans="1:61">
      <c r="A67" s="101" t="s">
        <v>429</v>
      </c>
      <c r="B67" s="71" t="s">
        <v>212</v>
      </c>
      <c r="C67" s="116" t="s">
        <v>454</v>
      </c>
      <c r="D67" s="89">
        <f>VLOOKUP(Table70[[#This Row],[NAME]],MIN_P[[NAME]:['#]],2,0)</f>
        <v>6.2307692307692308</v>
      </c>
      <c r="E67" s="77">
        <f>VLOOKUP(Table70[[#This Row],[NAME]],MIN_P[[NAME]:['#]],3,0)</f>
        <v>0</v>
      </c>
      <c r="F67" s="28">
        <f>VLOOKUP(Table70[[#This Row],[NAME]],MIN_P[[NAME]:['#]],4,0)</f>
        <v>1</v>
      </c>
      <c r="G67" s="77">
        <f>VLOOKUP(Table70[[#This Row],[NAME]],MIN_P[[NAME]:['#]],5,0)</f>
        <v>9</v>
      </c>
      <c r="H67" s="584">
        <f>VLOOKUP(Table70[[#This Row],[NAME]],MIN_P[[NAME]:['#]],6,0)</f>
        <v>13</v>
      </c>
      <c r="I67" s="28">
        <f>VLOOKUP(Table70[[#This Row],[NAME]],MIN_P[[NAME]:['#]],7,0)</f>
        <v>20</v>
      </c>
      <c r="J67" s="28">
        <f>VLOOKUP(Table70[[#This Row],[NAME]],MIN_P[[NAME]:['#]],8,0)</f>
        <v>9</v>
      </c>
      <c r="K67" s="28">
        <f>VLOOKUP(Table70[[#This Row],[NAME]],MIN_P[[NAME]:['#]],9,0)</f>
        <v>7</v>
      </c>
      <c r="L67" s="28">
        <f>VLOOKUP(Table70[[#This Row],[NAME]],MIN_P[[NAME]:['#]],10,0)</f>
        <v>17</v>
      </c>
      <c r="M67" s="28">
        <f>VLOOKUP(Table70[[#This Row],[NAME]],MIN_P[[NAME]:['#]],11,0)</f>
        <v>0</v>
      </c>
      <c r="N67" s="106">
        <f>VLOOKUP(Table70[[#This Row],[NAME]],MIN_P[[NAME]:['#]],12,0)</f>
        <v>2.0769230769230771</v>
      </c>
      <c r="O67" s="77">
        <f>VLOOKUP(Table70[[#This Row],[NAME]],MIN_P[[NAME]:['#]],13,0)</f>
        <v>0</v>
      </c>
      <c r="P67" s="28">
        <f>VLOOKUP(Table70[[#This Row],[NAME]],MIN_P[[NAME]:['#]],14,0)</f>
        <v>0</v>
      </c>
      <c r="Q67" s="28">
        <f>VLOOKUP(Table70[[#This Row],[NAME]],MIN_P[[NAME]:['#]],15,0)</f>
        <v>0</v>
      </c>
      <c r="R67" s="28">
        <f>VLOOKUP(Table70[[#This Row],[NAME]],MIN_P[[NAME]:['#]],16,0)</f>
        <v>0</v>
      </c>
      <c r="S67" s="75">
        <v>65</v>
      </c>
      <c r="V67" s="101" t="s">
        <v>429</v>
      </c>
      <c r="W67" s="77" t="s">
        <v>212</v>
      </c>
      <c r="X67" s="132" t="s">
        <v>453</v>
      </c>
      <c r="Y67" s="88">
        <v>4.95</v>
      </c>
      <c r="Z67" s="77">
        <v>0</v>
      </c>
      <c r="AA67" s="28">
        <v>2</v>
      </c>
      <c r="AB67" s="77">
        <v>9</v>
      </c>
      <c r="AC67" s="584">
        <v>20</v>
      </c>
      <c r="AD67" s="28">
        <v>22</v>
      </c>
      <c r="AE67" s="28">
        <v>11</v>
      </c>
      <c r="AF67" s="28">
        <v>6</v>
      </c>
      <c r="AG67" s="28">
        <v>16</v>
      </c>
      <c r="AH67" s="28">
        <v>0</v>
      </c>
      <c r="AI67" s="106">
        <v>1.4</v>
      </c>
      <c r="AJ67" s="77">
        <v>0</v>
      </c>
      <c r="AK67" s="28">
        <v>0</v>
      </c>
      <c r="AL67" s="28">
        <v>0</v>
      </c>
      <c r="AM67" s="28">
        <v>0</v>
      </c>
      <c r="AN67" s="75">
        <v>65</v>
      </c>
      <c r="AQ67" s="101" t="s">
        <v>429</v>
      </c>
      <c r="AR67" s="77" t="s">
        <v>215</v>
      </c>
      <c r="AS67" s="116" t="s">
        <v>454</v>
      </c>
      <c r="AT67" s="135">
        <v>0</v>
      </c>
      <c r="AU67" s="77">
        <v>0</v>
      </c>
      <c r="AV67" s="28">
        <v>0</v>
      </c>
      <c r="AW67" s="77">
        <v>7</v>
      </c>
      <c r="AX67" s="584">
        <v>9</v>
      </c>
      <c r="AY67" s="28">
        <v>4</v>
      </c>
      <c r="AZ67" s="28">
        <v>0</v>
      </c>
      <c r="BA67" s="28">
        <v>4</v>
      </c>
      <c r="BB67" s="28">
        <v>6</v>
      </c>
      <c r="BC67" s="28">
        <v>0</v>
      </c>
      <c r="BD67" s="106">
        <v>0.88888888888888884</v>
      </c>
      <c r="BE67" s="77">
        <v>0</v>
      </c>
      <c r="BF67" s="28">
        <v>0</v>
      </c>
      <c r="BG67" s="28">
        <v>0</v>
      </c>
      <c r="BH67" s="28">
        <v>0</v>
      </c>
      <c r="BI67" s="75">
        <v>65</v>
      </c>
    </row>
    <row r="68" spans="1:61">
      <c r="A68" s="101" t="s">
        <v>429</v>
      </c>
      <c r="B68" s="71" t="s">
        <v>212</v>
      </c>
      <c r="C68" s="116" t="s">
        <v>455</v>
      </c>
      <c r="D68" s="89">
        <f>VLOOKUP(Table70[[#This Row],[NAME]],MIN_P[[NAME]:['#]],2,0)</f>
        <v>4.3670048522276135</v>
      </c>
      <c r="E68" s="77">
        <f>VLOOKUP(Table70[[#This Row],[NAME]],MIN_P[[NAME]:['#]],3,0)</f>
        <v>0</v>
      </c>
      <c r="F68" s="28">
        <f>VLOOKUP(Table70[[#This Row],[NAME]],MIN_P[[NAME]:['#]],4,0)</f>
        <v>0</v>
      </c>
      <c r="G68" s="77">
        <f>VLOOKUP(Table70[[#This Row],[NAME]],MIN_P[[NAME]:['#]],5,0)</f>
        <v>11</v>
      </c>
      <c r="H68" s="584">
        <f>VLOOKUP(Table70[[#This Row],[NAME]],MIN_P[[NAME]:['#]],6,0)</f>
        <v>22.67</v>
      </c>
      <c r="I68" s="28">
        <f>VLOOKUP(Table70[[#This Row],[NAME]],MIN_P[[NAME]:['#]],7,0)</f>
        <v>25</v>
      </c>
      <c r="J68" s="28">
        <f>VLOOKUP(Table70[[#This Row],[NAME]],MIN_P[[NAME]:['#]],8,0)</f>
        <v>11</v>
      </c>
      <c r="K68" s="28">
        <f>VLOOKUP(Table70[[#This Row],[NAME]],MIN_P[[NAME]:['#]],9,0)</f>
        <v>9</v>
      </c>
      <c r="L68" s="28">
        <f>VLOOKUP(Table70[[#This Row],[NAME]],MIN_P[[NAME]:['#]],10,0)</f>
        <v>21</v>
      </c>
      <c r="M68" s="28">
        <f>VLOOKUP(Table70[[#This Row],[NAME]],MIN_P[[NAME]:['#]],11,0)</f>
        <v>0</v>
      </c>
      <c r="N68" s="106">
        <f>VLOOKUP(Table70[[#This Row],[NAME]],MIN_P[[NAME]:['#]],12,0)</f>
        <v>1.4997794441993824</v>
      </c>
      <c r="O68" s="77">
        <f>VLOOKUP(Table70[[#This Row],[NAME]],MIN_P[[NAME]:['#]],13,0)</f>
        <v>0</v>
      </c>
      <c r="P68" s="28">
        <f>VLOOKUP(Table70[[#This Row],[NAME]],MIN_P[[NAME]:['#]],14,0)</f>
        <v>0</v>
      </c>
      <c r="Q68" s="28">
        <f>VLOOKUP(Table70[[#This Row],[NAME]],MIN_P[[NAME]:['#]],15,0)</f>
        <v>0</v>
      </c>
      <c r="R68" s="28">
        <f>VLOOKUP(Table70[[#This Row],[NAME]],MIN_P[[NAME]:['#]],16,0)</f>
        <v>0</v>
      </c>
      <c r="S68" s="75">
        <v>66</v>
      </c>
      <c r="V68" s="101" t="s">
        <v>429</v>
      </c>
      <c r="W68" s="77" t="s">
        <v>212</v>
      </c>
      <c r="X68" s="132" t="s">
        <v>455</v>
      </c>
      <c r="Y68" s="88">
        <v>4.5</v>
      </c>
      <c r="Z68" s="77">
        <v>0</v>
      </c>
      <c r="AA68" s="28">
        <v>0</v>
      </c>
      <c r="AB68" s="77">
        <v>4</v>
      </c>
      <c r="AC68" s="584">
        <v>6</v>
      </c>
      <c r="AD68" s="28">
        <v>6</v>
      </c>
      <c r="AE68" s="28">
        <v>3</v>
      </c>
      <c r="AF68" s="28">
        <v>2</v>
      </c>
      <c r="AG68" s="28">
        <v>9</v>
      </c>
      <c r="AH68" s="28">
        <v>0</v>
      </c>
      <c r="AI68" s="106">
        <v>1.3333333333333333</v>
      </c>
      <c r="AJ68" s="77">
        <v>0</v>
      </c>
      <c r="AK68" s="28">
        <v>0</v>
      </c>
      <c r="AL68" s="28">
        <v>0</v>
      </c>
      <c r="AM68" s="28">
        <v>0</v>
      </c>
      <c r="AN68" s="75">
        <v>66</v>
      </c>
      <c r="AQ68" s="101" t="s">
        <v>429</v>
      </c>
      <c r="AR68" s="77" t="s">
        <v>212</v>
      </c>
      <c r="AS68" s="77" t="s">
        <v>455</v>
      </c>
      <c r="AT68" s="135">
        <v>4.9429657794676807</v>
      </c>
      <c r="AU68" s="77">
        <v>1</v>
      </c>
      <c r="AV68" s="28">
        <v>1</v>
      </c>
      <c r="AW68" s="77">
        <v>13</v>
      </c>
      <c r="AX68" s="584">
        <v>23.67</v>
      </c>
      <c r="AY68" s="28">
        <v>21</v>
      </c>
      <c r="AZ68" s="28">
        <v>13</v>
      </c>
      <c r="BA68" s="28">
        <v>14</v>
      </c>
      <c r="BB68" s="28">
        <v>10</v>
      </c>
      <c r="BC68" s="28">
        <v>0</v>
      </c>
      <c r="BD68" s="106">
        <v>1.478664976763836</v>
      </c>
      <c r="BE68" s="77">
        <v>0</v>
      </c>
      <c r="BF68" s="28">
        <v>0</v>
      </c>
      <c r="BG68" s="28">
        <v>0</v>
      </c>
      <c r="BH68" s="28">
        <v>0</v>
      </c>
      <c r="BI68" s="75">
        <v>66</v>
      </c>
    </row>
    <row r="69" spans="1:61">
      <c r="A69" s="101" t="s">
        <v>429</v>
      </c>
      <c r="B69" s="71" t="s">
        <v>212</v>
      </c>
      <c r="C69" s="116" t="s">
        <v>457</v>
      </c>
      <c r="D69" s="89">
        <f>VLOOKUP(Table70[[#This Row],[NAME]],MIN_P[[NAME]:['#]],2,0)</f>
        <v>3.3067973055725663</v>
      </c>
      <c r="E69" s="77">
        <f>VLOOKUP(Table70[[#This Row],[NAME]],MIN_P[[NAME]:['#]],3,0)</f>
        <v>2</v>
      </c>
      <c r="F69" s="28">
        <f>VLOOKUP(Table70[[#This Row],[NAME]],MIN_P[[NAME]:['#]],4,0)</f>
        <v>1</v>
      </c>
      <c r="G69" s="77">
        <f>VLOOKUP(Table70[[#This Row],[NAME]],MIN_P[[NAME]:['#]],5,0)</f>
        <v>14</v>
      </c>
      <c r="H69" s="584">
        <f>VLOOKUP(Table70[[#This Row],[NAME]],MIN_P[[NAME]:['#]],6,0)</f>
        <v>16.329999999999998</v>
      </c>
      <c r="I69" s="28">
        <f>VLOOKUP(Table70[[#This Row],[NAME]],MIN_P[[NAME]:['#]],7,0)</f>
        <v>17</v>
      </c>
      <c r="J69" s="28">
        <f>VLOOKUP(Table70[[#This Row],[NAME]],MIN_P[[NAME]:['#]],8,0)</f>
        <v>6</v>
      </c>
      <c r="K69" s="28">
        <f>VLOOKUP(Table70[[#This Row],[NAME]],MIN_P[[NAME]:['#]],9,0)</f>
        <v>8</v>
      </c>
      <c r="L69" s="28">
        <f>VLOOKUP(Table70[[#This Row],[NAME]],MIN_P[[NAME]:['#]],10,0)</f>
        <v>19</v>
      </c>
      <c r="M69" s="28">
        <f>VLOOKUP(Table70[[#This Row],[NAME]],MIN_P[[NAME]:['#]],11,0)</f>
        <v>0</v>
      </c>
      <c r="N69" s="106">
        <f>VLOOKUP(Table70[[#This Row],[NAME]],MIN_P[[NAME]:['#]],12,0)</f>
        <v>1.5309246785058177</v>
      </c>
      <c r="O69" s="77">
        <f>VLOOKUP(Table70[[#This Row],[NAME]],MIN_P[[NAME]:['#]],13,0)</f>
        <v>0</v>
      </c>
      <c r="P69" s="28">
        <f>VLOOKUP(Table70[[#This Row],[NAME]],MIN_P[[NAME]:['#]],14,0)</f>
        <v>0</v>
      </c>
      <c r="Q69" s="28">
        <f>VLOOKUP(Table70[[#This Row],[NAME]],MIN_P[[NAME]:['#]],15,0)</f>
        <v>0</v>
      </c>
      <c r="R69" s="28">
        <f>VLOOKUP(Table70[[#This Row],[NAME]],MIN_P[[NAME]:['#]],16,0)</f>
        <v>0</v>
      </c>
      <c r="S69" s="75">
        <v>67</v>
      </c>
      <c r="V69" s="101" t="s">
        <v>429</v>
      </c>
      <c r="W69" s="77" t="s">
        <v>212</v>
      </c>
      <c r="X69" s="132" t="s">
        <v>457</v>
      </c>
      <c r="Y69" s="88">
        <v>3.3758439609902475</v>
      </c>
      <c r="Z69" s="77">
        <v>1</v>
      </c>
      <c r="AA69" s="28">
        <v>0</v>
      </c>
      <c r="AB69" s="77">
        <v>13</v>
      </c>
      <c r="AC69" s="584">
        <v>13.33</v>
      </c>
      <c r="AD69" s="28">
        <v>12</v>
      </c>
      <c r="AE69" s="28">
        <v>5</v>
      </c>
      <c r="AF69" s="28">
        <v>4</v>
      </c>
      <c r="AG69" s="28">
        <v>10</v>
      </c>
      <c r="AH69" s="28">
        <v>0</v>
      </c>
      <c r="AI69" s="106">
        <v>1.2003000750187547</v>
      </c>
      <c r="AJ69" s="77">
        <v>0</v>
      </c>
      <c r="AK69" s="28">
        <v>0</v>
      </c>
      <c r="AL69" s="28">
        <v>0</v>
      </c>
      <c r="AM69" s="28">
        <v>0</v>
      </c>
      <c r="AN69" s="75">
        <v>67</v>
      </c>
      <c r="AQ69" s="101" t="s">
        <v>429</v>
      </c>
      <c r="AR69" s="77" t="s">
        <v>212</v>
      </c>
      <c r="AS69" s="77" t="s">
        <v>457</v>
      </c>
      <c r="AT69" s="135">
        <v>4.0909090909090908</v>
      </c>
      <c r="AU69" s="77">
        <v>0</v>
      </c>
      <c r="AV69" s="28">
        <v>1</v>
      </c>
      <c r="AW69" s="77">
        <v>19</v>
      </c>
      <c r="AX69" s="584">
        <v>22</v>
      </c>
      <c r="AY69" s="28">
        <v>19</v>
      </c>
      <c r="AZ69" s="28">
        <v>10</v>
      </c>
      <c r="BA69" s="28">
        <v>9</v>
      </c>
      <c r="BB69" s="28">
        <v>20</v>
      </c>
      <c r="BC69" s="28">
        <v>1</v>
      </c>
      <c r="BD69" s="106">
        <v>1.2727272727272727</v>
      </c>
      <c r="BE69" s="77">
        <v>0</v>
      </c>
      <c r="BF69" s="28">
        <v>0</v>
      </c>
      <c r="BG69" s="28">
        <v>0</v>
      </c>
      <c r="BH69" s="28">
        <v>0</v>
      </c>
      <c r="BI69" s="75">
        <v>67</v>
      </c>
    </row>
    <row r="70" spans="1:61">
      <c r="A70" s="101" t="s">
        <v>429</v>
      </c>
      <c r="B70" s="71" t="s">
        <v>212</v>
      </c>
      <c r="C70" s="116" t="s">
        <v>456</v>
      </c>
      <c r="D70" s="89">
        <f>VLOOKUP(Table70[[#This Row],[NAME]],MIN_P[[NAME]:['#]],2,0)</f>
        <v>8.8779284833538838</v>
      </c>
      <c r="E70" s="77">
        <f>VLOOKUP(Table70[[#This Row],[NAME]],MIN_P[[NAME]:['#]],3,0)</f>
        <v>1</v>
      </c>
      <c r="F70" s="28">
        <f>VLOOKUP(Table70[[#This Row],[NAME]],MIN_P[[NAME]:['#]],4,0)</f>
        <v>1</v>
      </c>
      <c r="G70" s="77">
        <f>VLOOKUP(Table70[[#This Row],[NAME]],MIN_P[[NAME]:['#]],5,0)</f>
        <v>19</v>
      </c>
      <c r="H70" s="584">
        <f>VLOOKUP(Table70[[#This Row],[NAME]],MIN_P[[NAME]:['#]],6,0)</f>
        <v>24.33</v>
      </c>
      <c r="I70" s="28">
        <f>VLOOKUP(Table70[[#This Row],[NAME]],MIN_P[[NAME]:['#]],7,0)</f>
        <v>33</v>
      </c>
      <c r="J70" s="28">
        <f>VLOOKUP(Table70[[#This Row],[NAME]],MIN_P[[NAME]:['#]],8,0)</f>
        <v>24</v>
      </c>
      <c r="K70" s="28">
        <f>VLOOKUP(Table70[[#This Row],[NAME]],MIN_P[[NAME]:['#]],9,0)</f>
        <v>5</v>
      </c>
      <c r="L70" s="28">
        <f>VLOOKUP(Table70[[#This Row],[NAME]],MIN_P[[NAME]:['#]],10,0)</f>
        <v>30</v>
      </c>
      <c r="M70" s="28">
        <f>VLOOKUP(Table70[[#This Row],[NAME]],MIN_P[[NAME]:['#]],11,0)</f>
        <v>0</v>
      </c>
      <c r="N70" s="106">
        <f>VLOOKUP(Table70[[#This Row],[NAME]],MIN_P[[NAME]:['#]],12,0)</f>
        <v>1.5618577887381835</v>
      </c>
      <c r="O70" s="77">
        <f>VLOOKUP(Table70[[#This Row],[NAME]],MIN_P[[NAME]:['#]],13,0)</f>
        <v>0</v>
      </c>
      <c r="P70" s="28">
        <f>VLOOKUP(Table70[[#This Row],[NAME]],MIN_P[[NAME]:['#]],14,0)</f>
        <v>0</v>
      </c>
      <c r="Q70" s="28">
        <f>VLOOKUP(Table70[[#This Row],[NAME]],MIN_P[[NAME]:['#]],15,0)</f>
        <v>0</v>
      </c>
      <c r="R70" s="28">
        <f>VLOOKUP(Table70[[#This Row],[NAME]],MIN_P[[NAME]:['#]],16,0)</f>
        <v>0</v>
      </c>
      <c r="S70" s="75">
        <v>68</v>
      </c>
      <c r="V70" s="101" t="s">
        <v>429</v>
      </c>
      <c r="W70" s="77" t="s">
        <v>212</v>
      </c>
      <c r="X70" s="132" t="s">
        <v>456</v>
      </c>
      <c r="Y70" s="88">
        <v>3.9517014270032935</v>
      </c>
      <c r="Z70" s="77">
        <v>1</v>
      </c>
      <c r="AA70" s="28">
        <v>2</v>
      </c>
      <c r="AB70" s="77">
        <v>18</v>
      </c>
      <c r="AC70" s="584">
        <v>27.33</v>
      </c>
      <c r="AD70" s="28">
        <v>25</v>
      </c>
      <c r="AE70" s="28">
        <v>12</v>
      </c>
      <c r="AF70" s="28">
        <v>7</v>
      </c>
      <c r="AG70" s="28">
        <v>18</v>
      </c>
      <c r="AH70" s="28">
        <v>0</v>
      </c>
      <c r="AI70" s="106">
        <v>1.1708744968898648</v>
      </c>
      <c r="AJ70" s="77">
        <v>0</v>
      </c>
      <c r="AK70" s="28">
        <v>0</v>
      </c>
      <c r="AL70" s="28">
        <v>0</v>
      </c>
      <c r="AM70" s="28">
        <v>0</v>
      </c>
      <c r="AN70" s="75">
        <v>68</v>
      </c>
      <c r="AQ70" s="101" t="s">
        <v>429</v>
      </c>
      <c r="AR70" s="77" t="s">
        <v>215</v>
      </c>
      <c r="AS70" s="77" t="s">
        <v>456</v>
      </c>
      <c r="AT70" s="135">
        <v>3.6</v>
      </c>
      <c r="AU70" s="77">
        <v>0</v>
      </c>
      <c r="AV70" s="28">
        <v>0</v>
      </c>
      <c r="AW70" s="77">
        <v>6</v>
      </c>
      <c r="AX70" s="584">
        <v>10</v>
      </c>
      <c r="AY70" s="28">
        <v>9</v>
      </c>
      <c r="AZ70" s="28">
        <v>4</v>
      </c>
      <c r="BA70" s="28">
        <v>5</v>
      </c>
      <c r="BB70" s="28">
        <v>6</v>
      </c>
      <c r="BC70" s="28">
        <v>0</v>
      </c>
      <c r="BD70" s="106">
        <v>1.4</v>
      </c>
      <c r="BE70" s="77">
        <v>0</v>
      </c>
      <c r="BF70" s="28">
        <v>0</v>
      </c>
      <c r="BG70" s="28">
        <v>0</v>
      </c>
      <c r="BH70" s="28">
        <v>0</v>
      </c>
      <c r="BI70" s="75">
        <v>68</v>
      </c>
    </row>
    <row r="71" spans="1:61">
      <c r="A71" s="101" t="s">
        <v>429</v>
      </c>
      <c r="B71" s="71" t="s">
        <v>212</v>
      </c>
      <c r="C71" s="116" t="s">
        <v>458</v>
      </c>
      <c r="D71" s="89">
        <f>VLOOKUP(Table70[[#This Row],[NAME]],MIN_P[[NAME]:['#]],2,0)</f>
        <v>2.7790030877812084</v>
      </c>
      <c r="E71" s="77">
        <f>VLOOKUP(Table70[[#This Row],[NAME]],MIN_P[[NAME]:['#]],3,0)</f>
        <v>0</v>
      </c>
      <c r="F71" s="28">
        <f>VLOOKUP(Table70[[#This Row],[NAME]],MIN_P[[NAME]:['#]],4,0)</f>
        <v>0</v>
      </c>
      <c r="G71" s="77">
        <f>VLOOKUP(Table70[[#This Row],[NAME]],MIN_P[[NAME]:['#]],5,0)</f>
        <v>20</v>
      </c>
      <c r="H71" s="584">
        <f>VLOOKUP(Table70[[#This Row],[NAME]],MIN_P[[NAME]:['#]],6,0)</f>
        <v>22.67</v>
      </c>
      <c r="I71" s="28">
        <f>VLOOKUP(Table70[[#This Row],[NAME]],MIN_P[[NAME]:['#]],7,0)</f>
        <v>19</v>
      </c>
      <c r="J71" s="28">
        <f>VLOOKUP(Table70[[#This Row],[NAME]],MIN_P[[NAME]:['#]],8,0)</f>
        <v>7</v>
      </c>
      <c r="K71" s="28">
        <f>VLOOKUP(Table70[[#This Row],[NAME]],MIN_P[[NAME]:['#]],9,0)</f>
        <v>6</v>
      </c>
      <c r="L71" s="28">
        <f>VLOOKUP(Table70[[#This Row],[NAME]],MIN_P[[NAME]:['#]],10,0)</f>
        <v>24</v>
      </c>
      <c r="M71" s="28">
        <f>VLOOKUP(Table70[[#This Row],[NAME]],MIN_P[[NAME]:['#]],11,0)</f>
        <v>0</v>
      </c>
      <c r="N71" s="106">
        <f>VLOOKUP(Table70[[#This Row],[NAME]],MIN_P[[NAME]:['#]],12,0)</f>
        <v>1.1027790030877811</v>
      </c>
      <c r="O71" s="77">
        <f>VLOOKUP(Table70[[#This Row],[NAME]],MIN_P[[NAME]:['#]],13,0)</f>
        <v>0</v>
      </c>
      <c r="P71" s="28">
        <f>VLOOKUP(Table70[[#This Row],[NAME]],MIN_P[[NAME]:['#]],14,0)</f>
        <v>0</v>
      </c>
      <c r="Q71" s="28">
        <f>VLOOKUP(Table70[[#This Row],[NAME]],MIN_P[[NAME]:['#]],15,0)</f>
        <v>0</v>
      </c>
      <c r="R71" s="28">
        <f>VLOOKUP(Table70[[#This Row],[NAME]],MIN_P[[NAME]:['#]],16,0)</f>
        <v>0</v>
      </c>
      <c r="S71" s="75">
        <v>69</v>
      </c>
      <c r="V71" s="101" t="s">
        <v>429</v>
      </c>
      <c r="W71" s="77" t="s">
        <v>212</v>
      </c>
      <c r="X71" s="132" t="s">
        <v>458</v>
      </c>
      <c r="Y71" s="88">
        <v>5.9644227415416813</v>
      </c>
      <c r="Z71" s="77">
        <v>1</v>
      </c>
      <c r="AA71" s="28">
        <v>2</v>
      </c>
      <c r="AB71" s="77">
        <v>24</v>
      </c>
      <c r="AC71" s="584">
        <v>28.67</v>
      </c>
      <c r="AD71" s="28">
        <v>39</v>
      </c>
      <c r="AE71" s="28">
        <v>19</v>
      </c>
      <c r="AF71" s="28">
        <v>9</v>
      </c>
      <c r="AG71" s="28">
        <v>33</v>
      </c>
      <c r="AH71" s="28">
        <v>0</v>
      </c>
      <c r="AI71" s="106">
        <v>1.6742239274502964</v>
      </c>
      <c r="AJ71" s="77">
        <v>0</v>
      </c>
      <c r="AK71" s="28">
        <v>0</v>
      </c>
      <c r="AL71" s="28">
        <v>0</v>
      </c>
      <c r="AM71" s="28">
        <v>0</v>
      </c>
      <c r="AN71" s="75">
        <v>69</v>
      </c>
      <c r="AQ71" s="101" t="s">
        <v>429</v>
      </c>
      <c r="AR71" s="77" t="s">
        <v>212</v>
      </c>
      <c r="AS71" s="77" t="s">
        <v>458</v>
      </c>
      <c r="AT71" s="135">
        <v>5.4722334819618963</v>
      </c>
      <c r="AU71" s="77">
        <v>0</v>
      </c>
      <c r="AV71" s="28">
        <v>3</v>
      </c>
      <c r="AW71" s="77">
        <v>22</v>
      </c>
      <c r="AX71" s="584">
        <v>24.67</v>
      </c>
      <c r="AY71" s="28">
        <v>35</v>
      </c>
      <c r="AZ71" s="28">
        <v>15</v>
      </c>
      <c r="BA71" s="28">
        <v>5</v>
      </c>
      <c r="BB71" s="28">
        <v>29</v>
      </c>
      <c r="BC71" s="28">
        <v>0</v>
      </c>
      <c r="BD71" s="106">
        <v>1.6214025131738954</v>
      </c>
      <c r="BE71" s="77">
        <v>0</v>
      </c>
      <c r="BF71" s="28">
        <v>0</v>
      </c>
      <c r="BG71" s="28">
        <v>0</v>
      </c>
      <c r="BH71" s="28">
        <v>0</v>
      </c>
      <c r="BI71" s="75">
        <v>69</v>
      </c>
    </row>
    <row r="72" spans="1:61">
      <c r="A72" s="101" t="s">
        <v>429</v>
      </c>
      <c r="B72" s="71" t="s">
        <v>212</v>
      </c>
      <c r="C72" s="116" t="s">
        <v>227</v>
      </c>
      <c r="D72" s="89">
        <f>VLOOKUP(Table70[[#This Row],[NAME]],MIN_P[[NAME]:['#]],2,0)</f>
        <v>3.9084090011843666</v>
      </c>
      <c r="E72" s="77">
        <f>VLOOKUP(Table70[[#This Row],[NAME]],MIN_P[[NAME]:['#]],3,0)</f>
        <v>0</v>
      </c>
      <c r="F72" s="28">
        <f>VLOOKUP(Table70[[#This Row],[NAME]],MIN_P[[NAME]:['#]],4,0)</f>
        <v>2</v>
      </c>
      <c r="G72" s="77">
        <f>VLOOKUP(Table70[[#This Row],[NAME]],MIN_P[[NAME]:['#]],5,0)</f>
        <v>23</v>
      </c>
      <c r="H72" s="584">
        <f>VLOOKUP(Table70[[#This Row],[NAME]],MIN_P[[NAME]:['#]],6,0)</f>
        <v>25.33</v>
      </c>
      <c r="I72" s="28">
        <f>VLOOKUP(Table70[[#This Row],[NAME]],MIN_P[[NAME]:['#]],7,0)</f>
        <v>23</v>
      </c>
      <c r="J72" s="28">
        <f>VLOOKUP(Table70[[#This Row],[NAME]],MIN_P[[NAME]:['#]],8,0)</f>
        <v>11</v>
      </c>
      <c r="K72" s="28">
        <f>VLOOKUP(Table70[[#This Row],[NAME]],MIN_P[[NAME]:['#]],9,0)</f>
        <v>7</v>
      </c>
      <c r="L72" s="28">
        <f>VLOOKUP(Table70[[#This Row],[NAME]],MIN_P[[NAME]:['#]],10,0)</f>
        <v>36</v>
      </c>
      <c r="M72" s="76">
        <f>VLOOKUP(Table70[[#This Row],[NAME]],MIN_P[[NAME]:['#]],11,0)</f>
        <v>11</v>
      </c>
      <c r="N72" s="106">
        <f>VLOOKUP(Table70[[#This Row],[NAME]],MIN_P[[NAME]:['#]],12,0)</f>
        <v>1.1843663639952626</v>
      </c>
      <c r="O72" s="77">
        <f>VLOOKUP(Table70[[#This Row],[NAME]],MIN_P[[NAME]:['#]],13,0)</f>
        <v>0</v>
      </c>
      <c r="P72" s="28">
        <f>VLOOKUP(Table70[[#This Row],[NAME]],MIN_P[[NAME]:['#]],14,0)</f>
        <v>0</v>
      </c>
      <c r="Q72" s="28">
        <f>VLOOKUP(Table70[[#This Row],[NAME]],MIN_P[[NAME]:['#]],15,0)</f>
        <v>0</v>
      </c>
      <c r="R72" s="28">
        <f>VLOOKUP(Table70[[#This Row],[NAME]],MIN_P[[NAME]:['#]],16,0)</f>
        <v>0</v>
      </c>
      <c r="S72" s="75">
        <v>70</v>
      </c>
      <c r="V72" s="101" t="s">
        <v>429</v>
      </c>
      <c r="W72" s="77" t="s">
        <v>215</v>
      </c>
      <c r="X72" s="132" t="s">
        <v>227</v>
      </c>
      <c r="Y72" s="88">
        <v>2.7</v>
      </c>
      <c r="Z72" s="77">
        <v>2</v>
      </c>
      <c r="AA72" s="28">
        <v>3</v>
      </c>
      <c r="AB72" s="77">
        <v>28</v>
      </c>
      <c r="AC72" s="584">
        <v>30</v>
      </c>
      <c r="AD72" s="28">
        <v>22</v>
      </c>
      <c r="AE72" s="28">
        <v>9</v>
      </c>
      <c r="AF72" s="28">
        <v>6</v>
      </c>
      <c r="AG72" s="28">
        <v>33</v>
      </c>
      <c r="AH72" s="28">
        <v>12</v>
      </c>
      <c r="AI72" s="106">
        <v>0.93333333333333335</v>
      </c>
      <c r="AJ72" s="77">
        <v>0</v>
      </c>
      <c r="AK72" s="28">
        <v>0</v>
      </c>
      <c r="AL72" s="28">
        <v>0</v>
      </c>
      <c r="AM72" s="28">
        <v>0</v>
      </c>
      <c r="AN72" s="75">
        <v>70</v>
      </c>
      <c r="AQ72" s="101" t="s">
        <v>429</v>
      </c>
      <c r="AR72" s="77" t="s">
        <v>212</v>
      </c>
      <c r="AS72" s="77" t="s">
        <v>459</v>
      </c>
      <c r="AT72" s="135">
        <v>3.6603965429588201</v>
      </c>
      <c r="AU72" s="77">
        <v>1</v>
      </c>
      <c r="AV72" s="28">
        <v>3</v>
      </c>
      <c r="AW72" s="77">
        <v>21</v>
      </c>
      <c r="AX72" s="584">
        <v>19.670000000000002</v>
      </c>
      <c r="AY72" s="28">
        <v>15</v>
      </c>
      <c r="AZ72" s="28">
        <v>8</v>
      </c>
      <c r="BA72" s="28">
        <v>4</v>
      </c>
      <c r="BB72" s="28">
        <v>15</v>
      </c>
      <c r="BC72" s="28">
        <v>6</v>
      </c>
      <c r="BD72" s="106">
        <v>0.96593797661413316</v>
      </c>
      <c r="BE72" s="77">
        <v>0</v>
      </c>
      <c r="BF72" s="28">
        <v>0</v>
      </c>
      <c r="BG72" s="28">
        <v>0</v>
      </c>
      <c r="BH72" s="28">
        <v>0</v>
      </c>
      <c r="BI72" s="75">
        <v>70</v>
      </c>
    </row>
    <row r="73" spans="1:61">
      <c r="A73" s="101" t="s">
        <v>463</v>
      </c>
      <c r="B73" s="71" t="s">
        <v>206</v>
      </c>
      <c r="C73" s="116" t="s">
        <v>486</v>
      </c>
      <c r="D73" s="89">
        <f>VLOOKUP(Table70[[#This Row],[NAME]],DET_P[[NAME]:['#]],2,0)</f>
        <v>3.5492957746478875</v>
      </c>
      <c r="E73" s="77">
        <f>VLOOKUP(Table70[[#This Row],[NAME]],DET_P[[NAME]:['#]],3,0)</f>
        <v>4</v>
      </c>
      <c r="F73" s="28">
        <f>VLOOKUP(Table70[[#This Row],[NAME]],DET_P[[NAME]:['#]],4,0)</f>
        <v>2</v>
      </c>
      <c r="G73" s="77">
        <f>VLOOKUP(Table70[[#This Row],[NAME]],DET_P[[NAME]:['#]],5,0)</f>
        <v>10</v>
      </c>
      <c r="H73" s="584">
        <f>VLOOKUP(Table70[[#This Row],[NAME]],DET_P[[NAME]:['#]],6,0)</f>
        <v>71</v>
      </c>
      <c r="I73" s="28">
        <f>VLOOKUP(Table70[[#This Row],[NAME]],DET_P[[NAME]:['#]],7,0)</f>
        <v>70</v>
      </c>
      <c r="J73" s="28">
        <f>VLOOKUP(Table70[[#This Row],[NAME]],DET_P[[NAME]:['#]],8,0)</f>
        <v>28</v>
      </c>
      <c r="K73" s="28">
        <f>VLOOKUP(Table70[[#This Row],[NAME]],DET_P[[NAME]:['#]],9,0)</f>
        <v>15</v>
      </c>
      <c r="L73" s="28">
        <f>VLOOKUP(Table70[[#This Row],[NAME]],DET_P[[NAME]:['#]],10,0)</f>
        <v>84</v>
      </c>
      <c r="M73" s="28">
        <f>VLOOKUP(Table70[[#This Row],[NAME]],DET_P[[NAME]:['#]],11,0)</f>
        <v>0</v>
      </c>
      <c r="N73" s="106">
        <f>VLOOKUP(Table70[[#This Row],[NAME]],DET_P[[NAME]:['#]],12,0)</f>
        <v>1.1971830985915493</v>
      </c>
      <c r="O73" s="77">
        <f>VLOOKUP(Table70[[#This Row],[NAME]],DET_P[[NAME]:['#]],13,0)</f>
        <v>7</v>
      </c>
      <c r="P73" s="28">
        <f>VLOOKUP(Table70[[#This Row],[NAME]],DET_P[[NAME]:['#]],14,0)</f>
        <v>4</v>
      </c>
      <c r="Q73" s="76">
        <f>VLOOKUP(Table70[[#This Row],[NAME]],DET_P[[NAME]:['#]],15,0)</f>
        <v>2</v>
      </c>
      <c r="R73" s="28">
        <f>VLOOKUP(Table70[[#This Row],[NAME]],DET_P[[NAME]:['#]],16,0)</f>
        <v>1</v>
      </c>
      <c r="S73" s="75">
        <v>71</v>
      </c>
      <c r="V73" s="101" t="s">
        <v>463</v>
      </c>
      <c r="W73" s="77" t="s">
        <v>206</v>
      </c>
      <c r="X73" s="132" t="s">
        <v>486</v>
      </c>
      <c r="Y73" s="88">
        <v>7</v>
      </c>
      <c r="Z73" s="77">
        <v>1</v>
      </c>
      <c r="AA73" s="28">
        <v>5</v>
      </c>
      <c r="AB73" s="77">
        <v>10</v>
      </c>
      <c r="AC73" s="584">
        <v>54</v>
      </c>
      <c r="AD73" s="28">
        <v>68</v>
      </c>
      <c r="AE73" s="28">
        <v>42</v>
      </c>
      <c r="AF73" s="28">
        <v>26</v>
      </c>
      <c r="AG73" s="28">
        <v>61</v>
      </c>
      <c r="AH73" s="28">
        <v>0</v>
      </c>
      <c r="AI73" s="106">
        <v>1.7407407407407407</v>
      </c>
      <c r="AJ73" s="77">
        <v>2</v>
      </c>
      <c r="AK73" s="28">
        <v>0</v>
      </c>
      <c r="AL73" s="28">
        <v>0</v>
      </c>
      <c r="AM73" s="28">
        <v>0</v>
      </c>
      <c r="AN73" s="75">
        <v>71</v>
      </c>
      <c r="AQ73" s="101" t="s">
        <v>463</v>
      </c>
      <c r="AR73" s="77" t="s">
        <v>206</v>
      </c>
      <c r="AS73" s="77" t="s">
        <v>487</v>
      </c>
      <c r="AT73" s="135">
        <v>5.6514913657770807</v>
      </c>
      <c r="AU73" s="77">
        <v>1</v>
      </c>
      <c r="AV73" s="28">
        <v>6</v>
      </c>
      <c r="AW73" s="77">
        <v>10</v>
      </c>
      <c r="AX73" s="584">
        <v>57.33</v>
      </c>
      <c r="AY73" s="28">
        <v>72</v>
      </c>
      <c r="AZ73" s="28">
        <v>36</v>
      </c>
      <c r="BA73" s="28">
        <v>29</v>
      </c>
      <c r="BB73" s="28">
        <v>65</v>
      </c>
      <c r="BC73" s="28">
        <v>0</v>
      </c>
      <c r="BD73" s="106">
        <v>1.7617303331589047</v>
      </c>
      <c r="BE73" s="77">
        <v>3</v>
      </c>
      <c r="BF73" s="28">
        <v>1</v>
      </c>
      <c r="BG73" s="28">
        <v>0</v>
      </c>
      <c r="BH73" s="28">
        <v>0</v>
      </c>
      <c r="BI73" s="75">
        <v>71</v>
      </c>
    </row>
    <row r="74" spans="1:61">
      <c r="A74" s="101" t="s">
        <v>463</v>
      </c>
      <c r="B74" s="71" t="s">
        <v>206</v>
      </c>
      <c r="C74" s="116" t="s">
        <v>488</v>
      </c>
      <c r="D74" s="89">
        <f>VLOOKUP(Table70[[#This Row],[NAME]],DET_P[[NAME]:['#]],2,0)</f>
        <v>3.8573396601867445</v>
      </c>
      <c r="E74" s="77">
        <f>VLOOKUP(Table70[[#This Row],[NAME]],DET_P[[NAME]:['#]],3,0)</f>
        <v>5</v>
      </c>
      <c r="F74" s="28">
        <f>VLOOKUP(Table70[[#This Row],[NAME]],DET_P[[NAME]:['#]],4,0)</f>
        <v>2</v>
      </c>
      <c r="G74" s="77">
        <f>VLOOKUP(Table70[[#This Row],[NAME]],DET_P[[NAME]:['#]],5,0)</f>
        <v>10</v>
      </c>
      <c r="H74" s="584">
        <f>VLOOKUP(Table70[[#This Row],[NAME]],DET_P[[NAME]:['#]],6,0)</f>
        <v>65.33</v>
      </c>
      <c r="I74" s="28">
        <f>VLOOKUP(Table70[[#This Row],[NAME]],DET_P[[NAME]:['#]],7,0)</f>
        <v>61</v>
      </c>
      <c r="J74" s="28">
        <f>VLOOKUP(Table70[[#This Row],[NAME]],DET_P[[NAME]:['#]],8,0)</f>
        <v>28</v>
      </c>
      <c r="K74" s="28">
        <f>VLOOKUP(Table70[[#This Row],[NAME]],DET_P[[NAME]:['#]],9,0)</f>
        <v>25</v>
      </c>
      <c r="L74" s="28">
        <f>VLOOKUP(Table70[[#This Row],[NAME]],DET_P[[NAME]:['#]],10,0)</f>
        <v>42</v>
      </c>
      <c r="M74" s="28">
        <f>VLOOKUP(Table70[[#This Row],[NAME]],DET_P[[NAME]:['#]],11,0)</f>
        <v>0</v>
      </c>
      <c r="N74" s="106">
        <f>VLOOKUP(Table70[[#This Row],[NAME]],DET_P[[NAME]:['#]],12,0)</f>
        <v>1.3163936935557936</v>
      </c>
      <c r="O74" s="77">
        <f>VLOOKUP(Table70[[#This Row],[NAME]],DET_P[[NAME]:['#]],13,0)</f>
        <v>7</v>
      </c>
      <c r="P74" s="28">
        <f>VLOOKUP(Table70[[#This Row],[NAME]],DET_P[[NAME]:['#]],14,0)</f>
        <v>4</v>
      </c>
      <c r="Q74" s="28">
        <f>VLOOKUP(Table70[[#This Row],[NAME]],DET_P[[NAME]:['#]],15,0)</f>
        <v>0</v>
      </c>
      <c r="R74" s="28">
        <f>VLOOKUP(Table70[[#This Row],[NAME]],DET_P[[NAME]:['#]],16,0)</f>
        <v>0</v>
      </c>
      <c r="S74" s="75">
        <v>72</v>
      </c>
      <c r="V74" s="101" t="s">
        <v>463</v>
      </c>
      <c r="W74" s="77" t="s">
        <v>206</v>
      </c>
      <c r="X74" s="132" t="s">
        <v>488</v>
      </c>
      <c r="Y74" s="88">
        <v>6.333333333333333</v>
      </c>
      <c r="Z74" s="77">
        <v>2</v>
      </c>
      <c r="AA74" s="28">
        <v>5</v>
      </c>
      <c r="AB74" s="77">
        <v>10</v>
      </c>
      <c r="AC74" s="584">
        <v>54</v>
      </c>
      <c r="AD74" s="28">
        <v>59</v>
      </c>
      <c r="AE74" s="28">
        <v>38</v>
      </c>
      <c r="AF74" s="28">
        <v>23</v>
      </c>
      <c r="AG74" s="28">
        <v>45</v>
      </c>
      <c r="AH74" s="28">
        <v>0</v>
      </c>
      <c r="AI74" s="106">
        <v>1.5185185185185186</v>
      </c>
      <c r="AJ74" s="77">
        <v>2</v>
      </c>
      <c r="AK74" s="28">
        <v>0</v>
      </c>
      <c r="AL74" s="28">
        <v>0</v>
      </c>
      <c r="AM74" s="28">
        <v>0</v>
      </c>
      <c r="AN74" s="75">
        <v>72</v>
      </c>
      <c r="AQ74" s="101" t="s">
        <v>463</v>
      </c>
      <c r="AR74" s="77" t="s">
        <v>206</v>
      </c>
      <c r="AS74" s="77" t="s">
        <v>486</v>
      </c>
      <c r="AT74" s="135">
        <v>5.7315233785822022</v>
      </c>
      <c r="AU74" s="77">
        <v>2</v>
      </c>
      <c r="AV74" s="28">
        <v>6</v>
      </c>
      <c r="AW74" s="77">
        <v>10</v>
      </c>
      <c r="AX74" s="584">
        <v>59.67</v>
      </c>
      <c r="AY74" s="28">
        <v>71</v>
      </c>
      <c r="AZ74" s="28">
        <v>38</v>
      </c>
      <c r="BA74" s="28">
        <v>22</v>
      </c>
      <c r="BB74" s="28">
        <v>71</v>
      </c>
      <c r="BC74" s="28">
        <v>0</v>
      </c>
      <c r="BD74" s="106">
        <v>1.5585721468074409</v>
      </c>
      <c r="BE74" s="77">
        <v>6</v>
      </c>
      <c r="BF74" s="28">
        <v>2</v>
      </c>
      <c r="BG74" s="28">
        <v>0</v>
      </c>
      <c r="BH74" s="28">
        <v>0</v>
      </c>
      <c r="BI74" s="75">
        <v>72</v>
      </c>
    </row>
    <row r="75" spans="1:61">
      <c r="A75" s="101" t="s">
        <v>463</v>
      </c>
      <c r="B75" s="71" t="s">
        <v>206</v>
      </c>
      <c r="C75" s="71" t="s">
        <v>489</v>
      </c>
      <c r="D75" s="89">
        <f>VLOOKUP(Table70[[#This Row],[NAME]],DET_P[[NAME]:['#]],2,0)</f>
        <v>4.7391096218286259</v>
      </c>
      <c r="E75" s="77">
        <f>VLOOKUP(Table70[[#This Row],[NAME]],DET_P[[NAME]:['#]],3,0)</f>
        <v>6</v>
      </c>
      <c r="F75" s="28">
        <f>VLOOKUP(Table70[[#This Row],[NAME]],DET_P[[NAME]:['#]],4,0)</f>
        <v>2</v>
      </c>
      <c r="G75" s="77">
        <f>VLOOKUP(Table70[[#This Row],[NAME]],DET_P[[NAME]:['#]],5,0)</f>
        <v>10</v>
      </c>
      <c r="H75" s="584">
        <f>VLOOKUP(Table70[[#This Row],[NAME]],DET_P[[NAME]:['#]],6,0)</f>
        <v>62.67</v>
      </c>
      <c r="I75" s="28">
        <f>VLOOKUP(Table70[[#This Row],[NAME]],DET_P[[NAME]:['#]],7,0)</f>
        <v>57</v>
      </c>
      <c r="J75" s="28">
        <f>VLOOKUP(Table70[[#This Row],[NAME]],DET_P[[NAME]:['#]],8,0)</f>
        <v>33</v>
      </c>
      <c r="K75" s="28">
        <f>VLOOKUP(Table70[[#This Row],[NAME]],DET_P[[NAME]:['#]],9,0)</f>
        <v>21</v>
      </c>
      <c r="L75" s="28">
        <f>VLOOKUP(Table70[[#This Row],[NAME]],DET_P[[NAME]:['#]],10,0)</f>
        <v>56</v>
      </c>
      <c r="M75" s="28">
        <f>VLOOKUP(Table70[[#This Row],[NAME]],DET_P[[NAME]:['#]],11,0)</f>
        <v>0</v>
      </c>
      <c r="N75" s="106">
        <f>VLOOKUP(Table70[[#This Row],[NAME]],DET_P[[NAME]:['#]],12,0)</f>
        <v>1.2446146481570128</v>
      </c>
      <c r="O75" s="77">
        <f>VLOOKUP(Table70[[#This Row],[NAME]],DET_P[[NAME]:['#]],13,0)</f>
        <v>5</v>
      </c>
      <c r="P75" s="28">
        <f>VLOOKUP(Table70[[#This Row],[NAME]],DET_P[[NAME]:['#]],14,0)</f>
        <v>2</v>
      </c>
      <c r="Q75" s="28">
        <f>VLOOKUP(Table70[[#This Row],[NAME]],DET_P[[NAME]:['#]],15,0)</f>
        <v>0</v>
      </c>
      <c r="R75" s="28">
        <f>VLOOKUP(Table70[[#This Row],[NAME]],DET_P[[NAME]:['#]],16,0)</f>
        <v>0</v>
      </c>
      <c r="S75" s="75">
        <v>73</v>
      </c>
      <c r="V75" s="101" t="s">
        <v>463</v>
      </c>
      <c r="W75" s="77" t="s">
        <v>206</v>
      </c>
      <c r="X75" s="132" t="s">
        <v>487</v>
      </c>
      <c r="Y75" s="88">
        <v>7.3953755016243079</v>
      </c>
      <c r="Z75" s="77">
        <v>2</v>
      </c>
      <c r="AA75" s="28">
        <v>6</v>
      </c>
      <c r="AB75" s="77">
        <v>10</v>
      </c>
      <c r="AC75" s="584">
        <v>52.33</v>
      </c>
      <c r="AD75" s="28">
        <v>73</v>
      </c>
      <c r="AE75" s="28">
        <v>43</v>
      </c>
      <c r="AF75" s="28">
        <v>29</v>
      </c>
      <c r="AG75" s="28">
        <v>63</v>
      </c>
      <c r="AH75" s="28">
        <v>0</v>
      </c>
      <c r="AI75" s="106">
        <v>1.9491687368622206</v>
      </c>
      <c r="AJ75" s="77">
        <v>2</v>
      </c>
      <c r="AK75" s="28">
        <v>1</v>
      </c>
      <c r="AL75" s="28">
        <v>0</v>
      </c>
      <c r="AM75" s="28">
        <v>0</v>
      </c>
      <c r="AN75" s="75">
        <v>73</v>
      </c>
      <c r="AQ75" s="101" t="s">
        <v>463</v>
      </c>
      <c r="AR75" s="77" t="s">
        <v>206</v>
      </c>
      <c r="AS75" s="77" t="s">
        <v>488</v>
      </c>
      <c r="AT75" s="135">
        <v>4.6784494281895146</v>
      </c>
      <c r="AU75" s="77">
        <v>5</v>
      </c>
      <c r="AV75" s="28">
        <v>3</v>
      </c>
      <c r="AW75" s="77">
        <v>10</v>
      </c>
      <c r="AX75" s="584">
        <v>67.33</v>
      </c>
      <c r="AY75" s="28">
        <v>71</v>
      </c>
      <c r="AZ75" s="28">
        <v>35</v>
      </c>
      <c r="BA75" s="28">
        <v>20</v>
      </c>
      <c r="BB75" s="28">
        <v>55</v>
      </c>
      <c r="BC75" s="28">
        <v>0</v>
      </c>
      <c r="BD75" s="106">
        <v>1.3515520570325263</v>
      </c>
      <c r="BE75" s="77">
        <v>6</v>
      </c>
      <c r="BF75" s="28">
        <v>4</v>
      </c>
      <c r="BG75" s="28">
        <v>1</v>
      </c>
      <c r="BH75" s="28">
        <v>1</v>
      </c>
      <c r="BI75" s="75">
        <v>73</v>
      </c>
    </row>
    <row r="76" spans="1:61">
      <c r="A76" s="101" t="s">
        <v>463</v>
      </c>
      <c r="B76" s="71" t="s">
        <v>206</v>
      </c>
      <c r="C76" s="116" t="s">
        <v>490</v>
      </c>
      <c r="D76" s="89">
        <f>VLOOKUP(Table70[[#This Row],[NAME]],DET_P[[NAME]:['#]],2,0)</f>
        <v>5.5384615384615383</v>
      </c>
      <c r="E76" s="77">
        <f>VLOOKUP(Table70[[#This Row],[NAME]],DET_P[[NAME]:['#]],3,0)</f>
        <v>1</v>
      </c>
      <c r="F76" s="28">
        <f>VLOOKUP(Table70[[#This Row],[NAME]],DET_P[[NAME]:['#]],4,0)</f>
        <v>5</v>
      </c>
      <c r="G76" s="77">
        <f>VLOOKUP(Table70[[#This Row],[NAME]],DET_P[[NAME]:['#]],5,0)</f>
        <v>10</v>
      </c>
      <c r="H76" s="584">
        <f>VLOOKUP(Table70[[#This Row],[NAME]],DET_P[[NAME]:['#]],6,0)</f>
        <v>52</v>
      </c>
      <c r="I76" s="28">
        <f>VLOOKUP(Table70[[#This Row],[NAME]],DET_P[[NAME]:['#]],7,0)</f>
        <v>71</v>
      </c>
      <c r="J76" s="28">
        <f>VLOOKUP(Table70[[#This Row],[NAME]],DET_P[[NAME]:['#]],8,0)</f>
        <v>32</v>
      </c>
      <c r="K76" s="28">
        <f>VLOOKUP(Table70[[#This Row],[NAME]],DET_P[[NAME]:['#]],9,0)</f>
        <v>12</v>
      </c>
      <c r="L76" s="28">
        <f>VLOOKUP(Table70[[#This Row],[NAME]],DET_P[[NAME]:['#]],10,0)</f>
        <v>31</v>
      </c>
      <c r="M76" s="28">
        <f>VLOOKUP(Table70[[#This Row],[NAME]],DET_P[[NAME]:['#]],11,0)</f>
        <v>0</v>
      </c>
      <c r="N76" s="106">
        <f>VLOOKUP(Table70[[#This Row],[NAME]],DET_P[[NAME]:['#]],12,0)</f>
        <v>1.5961538461538463</v>
      </c>
      <c r="O76" s="77">
        <f>VLOOKUP(Table70[[#This Row],[NAME]],DET_P[[NAME]:['#]],13,0)</f>
        <v>3</v>
      </c>
      <c r="P76" s="28">
        <f>VLOOKUP(Table70[[#This Row],[NAME]],DET_P[[NAME]:['#]],14,0)</f>
        <v>1</v>
      </c>
      <c r="Q76" s="28">
        <f>VLOOKUP(Table70[[#This Row],[NAME]],DET_P[[NAME]:['#]],15,0)</f>
        <v>0</v>
      </c>
      <c r="R76" s="28">
        <f>VLOOKUP(Table70[[#This Row],[NAME]],DET_P[[NAME]:['#]],16,0)</f>
        <v>0</v>
      </c>
      <c r="S76" s="75">
        <v>74</v>
      </c>
      <c r="V76" s="101" t="s">
        <v>463</v>
      </c>
      <c r="W76" s="77" t="s">
        <v>206</v>
      </c>
      <c r="X76" s="132" t="s">
        <v>490</v>
      </c>
      <c r="Y76" s="88">
        <v>5.2460140579461685</v>
      </c>
      <c r="Z76" s="77">
        <v>3</v>
      </c>
      <c r="AA76" s="28">
        <v>5</v>
      </c>
      <c r="AB76" s="77">
        <v>10</v>
      </c>
      <c r="AC76" s="584">
        <v>58.33</v>
      </c>
      <c r="AD76" s="28">
        <v>66</v>
      </c>
      <c r="AE76" s="28">
        <v>34</v>
      </c>
      <c r="AF76" s="28">
        <v>25</v>
      </c>
      <c r="AG76" s="28">
        <v>34</v>
      </c>
      <c r="AH76" s="28">
        <v>0</v>
      </c>
      <c r="AI76" s="106">
        <v>1.5600891479513115</v>
      </c>
      <c r="AJ76" s="77">
        <v>5</v>
      </c>
      <c r="AK76" s="28">
        <v>1</v>
      </c>
      <c r="AL76" s="28">
        <v>0</v>
      </c>
      <c r="AM76" s="28">
        <v>0</v>
      </c>
      <c r="AN76" s="75">
        <v>74</v>
      </c>
      <c r="AQ76" s="101" t="s">
        <v>463</v>
      </c>
      <c r="AR76" s="77" t="s">
        <v>206</v>
      </c>
      <c r="AS76" s="77" t="s">
        <v>490</v>
      </c>
      <c r="AT76" s="135">
        <v>8.6210012651364547</v>
      </c>
      <c r="AU76" s="77">
        <v>0</v>
      </c>
      <c r="AV76" s="28">
        <v>5</v>
      </c>
      <c r="AW76" s="77">
        <v>10</v>
      </c>
      <c r="AX76" s="584">
        <v>55.33</v>
      </c>
      <c r="AY76" s="28">
        <v>79</v>
      </c>
      <c r="AZ76" s="76">
        <v>53</v>
      </c>
      <c r="BA76" s="28">
        <v>27</v>
      </c>
      <c r="BB76" s="28">
        <v>46</v>
      </c>
      <c r="BC76" s="28">
        <v>0</v>
      </c>
      <c r="BD76" s="106">
        <v>1.9157780589192122</v>
      </c>
      <c r="BE76" s="77">
        <v>2</v>
      </c>
      <c r="BF76" s="28">
        <v>0</v>
      </c>
      <c r="BG76" s="28">
        <v>0</v>
      </c>
      <c r="BH76" s="28">
        <v>0</v>
      </c>
      <c r="BI76" s="75">
        <v>74</v>
      </c>
    </row>
    <row r="77" spans="1:61">
      <c r="A77" s="101" t="s">
        <v>463</v>
      </c>
      <c r="B77" s="71" t="s">
        <v>215</v>
      </c>
      <c r="C77" s="116" t="s">
        <v>491</v>
      </c>
      <c r="D77" s="89">
        <f>VLOOKUP(Table70[[#This Row],[NAME]],DET_P[[NAME]:['#]],2,0)</f>
        <v>7.615384615384615</v>
      </c>
      <c r="E77" s="77">
        <f>VLOOKUP(Table70[[#This Row],[NAME]],DET_P[[NAME]:['#]],3,0)</f>
        <v>1</v>
      </c>
      <c r="F77" s="28">
        <f>VLOOKUP(Table70[[#This Row],[NAME]],DET_P[[NAME]:['#]],4,0)</f>
        <v>0</v>
      </c>
      <c r="G77" s="77">
        <f>VLOOKUP(Table70[[#This Row],[NAME]],DET_P[[NAME]:['#]],5,0)</f>
        <v>7</v>
      </c>
      <c r="H77" s="584">
        <f>VLOOKUP(Table70[[#This Row],[NAME]],DET_P[[NAME]:['#]],6,0)</f>
        <v>13</v>
      </c>
      <c r="I77" s="28">
        <f>VLOOKUP(Table70[[#This Row],[NAME]],DET_P[[NAME]:['#]],7,0)</f>
        <v>19</v>
      </c>
      <c r="J77" s="28">
        <f>VLOOKUP(Table70[[#This Row],[NAME]],DET_P[[NAME]:['#]],8,0)</f>
        <v>11</v>
      </c>
      <c r="K77" s="28">
        <f>VLOOKUP(Table70[[#This Row],[NAME]],DET_P[[NAME]:['#]],9,0)</f>
        <v>5</v>
      </c>
      <c r="L77" s="28">
        <f>VLOOKUP(Table70[[#This Row],[NAME]],DET_P[[NAME]:['#]],10,0)</f>
        <v>15</v>
      </c>
      <c r="M77" s="28">
        <f>VLOOKUP(Table70[[#This Row],[NAME]],DET_P[[NAME]:['#]],11,0)</f>
        <v>0</v>
      </c>
      <c r="N77" s="106">
        <f>VLOOKUP(Table70[[#This Row],[NAME]],DET_P[[NAME]:['#]],12,0)</f>
        <v>1.8461538461538463</v>
      </c>
      <c r="O77" s="77">
        <f>VLOOKUP(Table70[[#This Row],[NAME]],DET_P[[NAME]:['#]],13,0)</f>
        <v>0</v>
      </c>
      <c r="P77" s="28">
        <f>VLOOKUP(Table70[[#This Row],[NAME]],DET_P[[NAME]:['#]],14,0)</f>
        <v>0</v>
      </c>
      <c r="Q77" s="28">
        <f>VLOOKUP(Table70[[#This Row],[NAME]],DET_P[[NAME]:['#]],15,0)</f>
        <v>0</v>
      </c>
      <c r="R77" s="28">
        <f>VLOOKUP(Table70[[#This Row],[NAME]],DET_P[[NAME]:['#]],16,0)</f>
        <v>0</v>
      </c>
      <c r="S77" s="75">
        <v>75</v>
      </c>
      <c r="V77" s="101" t="s">
        <v>463</v>
      </c>
      <c r="W77" s="77" t="s">
        <v>212</v>
      </c>
      <c r="X77" s="132" t="s">
        <v>492</v>
      </c>
      <c r="Y77" s="88">
        <v>3.6809815950920246</v>
      </c>
      <c r="Z77" s="77">
        <v>0</v>
      </c>
      <c r="AA77" s="28">
        <v>0</v>
      </c>
      <c r="AB77" s="77">
        <v>8</v>
      </c>
      <c r="AC77" s="584">
        <v>14.67</v>
      </c>
      <c r="AD77" s="28">
        <v>13</v>
      </c>
      <c r="AE77" s="28">
        <v>6</v>
      </c>
      <c r="AF77" s="28">
        <v>4</v>
      </c>
      <c r="AG77" s="28">
        <v>8</v>
      </c>
      <c r="AH77" s="28">
        <v>0</v>
      </c>
      <c r="AI77" s="106">
        <v>1.1588275391956373</v>
      </c>
      <c r="AJ77" s="77">
        <v>0</v>
      </c>
      <c r="AK77" s="28">
        <v>0</v>
      </c>
      <c r="AL77" s="28">
        <v>0</v>
      </c>
      <c r="AM77" s="28">
        <v>0</v>
      </c>
      <c r="AN77" s="75">
        <v>75</v>
      </c>
      <c r="AQ77" s="101" t="s">
        <v>463</v>
      </c>
      <c r="AR77" s="77" t="s">
        <v>212</v>
      </c>
      <c r="AS77" s="77" t="s">
        <v>492</v>
      </c>
      <c r="AT77" s="135">
        <v>4.9601959583588489</v>
      </c>
      <c r="AU77" s="77">
        <v>0</v>
      </c>
      <c r="AV77" s="28">
        <v>0</v>
      </c>
      <c r="AW77" s="77">
        <v>9</v>
      </c>
      <c r="AX77" s="584">
        <v>16.329999999999998</v>
      </c>
      <c r="AY77" s="28">
        <v>23</v>
      </c>
      <c r="AZ77" s="28">
        <v>9</v>
      </c>
      <c r="BA77" s="28">
        <v>4</v>
      </c>
      <c r="BB77" s="28">
        <v>8</v>
      </c>
      <c r="BC77" s="28">
        <v>0</v>
      </c>
      <c r="BD77" s="106">
        <v>1.6533986527862832</v>
      </c>
      <c r="BE77" s="77">
        <v>0</v>
      </c>
      <c r="BF77" s="28">
        <v>0</v>
      </c>
      <c r="BG77" s="28">
        <v>0</v>
      </c>
      <c r="BH77" s="28">
        <v>0</v>
      </c>
      <c r="BI77" s="75">
        <v>75</v>
      </c>
    </row>
    <row r="78" spans="1:61">
      <c r="A78" s="101" t="s">
        <v>463</v>
      </c>
      <c r="B78" s="71" t="s">
        <v>212</v>
      </c>
      <c r="C78" s="116" t="s">
        <v>493</v>
      </c>
      <c r="D78" s="89">
        <f>VLOOKUP(Table70[[#This Row],[NAME]],DET_P[[NAME]:['#]],2,0)</f>
        <v>8.1</v>
      </c>
      <c r="E78" s="77">
        <f>VLOOKUP(Table70[[#This Row],[NAME]],DET_P[[NAME]:['#]],3,0)</f>
        <v>0</v>
      </c>
      <c r="F78" s="28">
        <f>VLOOKUP(Table70[[#This Row],[NAME]],DET_P[[NAME]:['#]],4,0)</f>
        <v>0</v>
      </c>
      <c r="G78" s="77">
        <f>VLOOKUP(Table70[[#This Row],[NAME]],DET_P[[NAME]:['#]],5,0)</f>
        <v>7</v>
      </c>
      <c r="H78" s="584">
        <f>VLOOKUP(Table70[[#This Row],[NAME]],DET_P[[NAME]:['#]],6,0)</f>
        <v>10</v>
      </c>
      <c r="I78" s="28">
        <f>VLOOKUP(Table70[[#This Row],[NAME]],DET_P[[NAME]:['#]],7,0)</f>
        <v>14</v>
      </c>
      <c r="J78" s="28">
        <f>VLOOKUP(Table70[[#This Row],[NAME]],DET_P[[NAME]:['#]],8,0)</f>
        <v>9</v>
      </c>
      <c r="K78" s="28">
        <f>VLOOKUP(Table70[[#This Row],[NAME]],DET_P[[NAME]:['#]],9,0)</f>
        <v>4</v>
      </c>
      <c r="L78" s="28">
        <f>VLOOKUP(Table70[[#This Row],[NAME]],DET_P[[NAME]:['#]],10,0)</f>
        <v>9</v>
      </c>
      <c r="M78" s="28">
        <f>VLOOKUP(Table70[[#This Row],[NAME]],DET_P[[NAME]:['#]],11,0)</f>
        <v>0</v>
      </c>
      <c r="N78" s="106">
        <f>VLOOKUP(Table70[[#This Row],[NAME]],DET_P[[NAME]:['#]],12,0)</f>
        <v>1.8</v>
      </c>
      <c r="O78" s="77">
        <f>VLOOKUP(Table70[[#This Row],[NAME]],DET_P[[NAME]:['#]],13,0)</f>
        <v>0</v>
      </c>
      <c r="P78" s="28">
        <f>VLOOKUP(Table70[[#This Row],[NAME]],DET_P[[NAME]:['#]],14,0)</f>
        <v>0</v>
      </c>
      <c r="Q78" s="28">
        <f>VLOOKUP(Table70[[#This Row],[NAME]],DET_P[[NAME]:['#]],15,0)</f>
        <v>0</v>
      </c>
      <c r="R78" s="28">
        <f>VLOOKUP(Table70[[#This Row],[NAME]],DET_P[[NAME]:['#]],16,0)</f>
        <v>0</v>
      </c>
      <c r="S78" s="75">
        <v>76</v>
      </c>
      <c r="V78" s="101" t="s">
        <v>463</v>
      </c>
      <c r="W78" s="77" t="s">
        <v>212</v>
      </c>
      <c r="X78" s="132" t="s">
        <v>493</v>
      </c>
      <c r="Y78" s="88">
        <v>7.615384615384615</v>
      </c>
      <c r="Z78" s="77">
        <v>0</v>
      </c>
      <c r="AA78" s="28">
        <v>0</v>
      </c>
      <c r="AB78" s="77">
        <v>8</v>
      </c>
      <c r="AC78" s="584">
        <v>13</v>
      </c>
      <c r="AD78" s="28">
        <v>19</v>
      </c>
      <c r="AE78" s="28">
        <v>11</v>
      </c>
      <c r="AF78" s="28">
        <v>6</v>
      </c>
      <c r="AG78" s="28">
        <v>11</v>
      </c>
      <c r="AH78" s="28">
        <v>0</v>
      </c>
      <c r="AI78" s="106">
        <v>1.9230769230769231</v>
      </c>
      <c r="AJ78" s="77">
        <v>0</v>
      </c>
      <c r="AK78" s="28">
        <v>0</v>
      </c>
      <c r="AL78" s="28">
        <v>0</v>
      </c>
      <c r="AM78" s="28">
        <v>0</v>
      </c>
      <c r="AN78" s="75">
        <v>76</v>
      </c>
      <c r="AQ78" s="101" t="s">
        <v>463</v>
      </c>
      <c r="AR78" s="77" t="s">
        <v>212</v>
      </c>
      <c r="AS78" s="77" t="s">
        <v>493</v>
      </c>
      <c r="AT78" s="135">
        <v>6.7484662576687118</v>
      </c>
      <c r="AU78" s="77">
        <v>0</v>
      </c>
      <c r="AV78" s="28">
        <v>0</v>
      </c>
      <c r="AW78" s="77">
        <v>15</v>
      </c>
      <c r="AX78" s="584">
        <v>14.67</v>
      </c>
      <c r="AY78" s="28">
        <v>16</v>
      </c>
      <c r="AZ78" s="28">
        <v>11</v>
      </c>
      <c r="BA78" s="28">
        <v>3</v>
      </c>
      <c r="BB78" s="28">
        <v>11</v>
      </c>
      <c r="BC78" s="28">
        <v>0</v>
      </c>
      <c r="BD78" s="106">
        <v>1.2951601908657124</v>
      </c>
      <c r="BE78" s="77">
        <v>0</v>
      </c>
      <c r="BF78" s="28">
        <v>0</v>
      </c>
      <c r="BG78" s="28">
        <v>0</v>
      </c>
      <c r="BH78" s="28">
        <v>0</v>
      </c>
      <c r="BI78" s="75">
        <v>76</v>
      </c>
    </row>
    <row r="79" spans="1:61">
      <c r="A79" s="101" t="s">
        <v>463</v>
      </c>
      <c r="B79" s="71" t="s">
        <v>212</v>
      </c>
      <c r="C79" s="116" t="s">
        <v>492</v>
      </c>
      <c r="D79" s="89">
        <f>VLOOKUP(Table70[[#This Row],[NAME]],DET_P[[NAME]:['#]],2,0)</f>
        <v>3.2591826176927059</v>
      </c>
      <c r="E79" s="77">
        <f>VLOOKUP(Table70[[#This Row],[NAME]],DET_P[[NAME]:['#]],3,0)</f>
        <v>1</v>
      </c>
      <c r="F79" s="28">
        <f>VLOOKUP(Table70[[#This Row],[NAME]],DET_P[[NAME]:['#]],4,0)</f>
        <v>2</v>
      </c>
      <c r="G79" s="77">
        <f>VLOOKUP(Table70[[#This Row],[NAME]],DET_P[[NAME]:['#]],5,0)</f>
        <v>10</v>
      </c>
      <c r="H79" s="584">
        <f>VLOOKUP(Table70[[#This Row],[NAME]],DET_P[[NAME]:['#]],6,0)</f>
        <v>19.329999999999998</v>
      </c>
      <c r="I79" s="28">
        <f>VLOOKUP(Table70[[#This Row],[NAME]],DET_P[[NAME]:['#]],7,0)</f>
        <v>18</v>
      </c>
      <c r="J79" s="28">
        <f>VLOOKUP(Table70[[#This Row],[NAME]],DET_P[[NAME]:['#]],8,0)</f>
        <v>7</v>
      </c>
      <c r="K79" s="28">
        <f>VLOOKUP(Table70[[#This Row],[NAME]],DET_P[[NAME]:['#]],9,0)</f>
        <v>2</v>
      </c>
      <c r="L79" s="28">
        <f>VLOOKUP(Table70[[#This Row],[NAME]],DET_P[[NAME]:['#]],10,0)</f>
        <v>14</v>
      </c>
      <c r="M79" s="28">
        <f>VLOOKUP(Table70[[#This Row],[NAME]],DET_P[[NAME]:['#]],11,0)</f>
        <v>0</v>
      </c>
      <c r="N79" s="106">
        <f>VLOOKUP(Table70[[#This Row],[NAME]],DET_P[[NAME]:['#]],12,0)</f>
        <v>1.0346611484738748</v>
      </c>
      <c r="O79" s="77">
        <f>VLOOKUP(Table70[[#This Row],[NAME]],DET_P[[NAME]:['#]],13,0)</f>
        <v>0</v>
      </c>
      <c r="P79" s="28">
        <f>VLOOKUP(Table70[[#This Row],[NAME]],DET_P[[NAME]:['#]],14,0)</f>
        <v>0</v>
      </c>
      <c r="Q79" s="28">
        <f>VLOOKUP(Table70[[#This Row],[NAME]],DET_P[[NAME]:['#]],15,0)</f>
        <v>0</v>
      </c>
      <c r="R79" s="28">
        <f>VLOOKUP(Table70[[#This Row],[NAME]],DET_P[[NAME]:['#]],16,0)</f>
        <v>0</v>
      </c>
      <c r="S79" s="75">
        <v>77</v>
      </c>
      <c r="V79" s="101" t="s">
        <v>463</v>
      </c>
      <c r="W79" s="77" t="s">
        <v>212</v>
      </c>
      <c r="X79" s="132" t="s">
        <v>494</v>
      </c>
      <c r="Y79" s="88">
        <v>4.0909090909090908</v>
      </c>
      <c r="Z79" s="77">
        <v>2</v>
      </c>
      <c r="AA79" s="28">
        <v>1</v>
      </c>
      <c r="AB79" s="77">
        <v>18</v>
      </c>
      <c r="AC79" s="584">
        <v>22</v>
      </c>
      <c r="AD79" s="28">
        <v>18</v>
      </c>
      <c r="AE79" s="28">
        <v>10</v>
      </c>
      <c r="AF79" s="28">
        <v>9</v>
      </c>
      <c r="AG79" s="28">
        <v>17</v>
      </c>
      <c r="AH79" s="28">
        <v>0</v>
      </c>
      <c r="AI79" s="106">
        <v>1.2272727272727273</v>
      </c>
      <c r="AJ79" s="77">
        <v>0</v>
      </c>
      <c r="AK79" s="28">
        <v>0</v>
      </c>
      <c r="AL79" s="28">
        <v>0</v>
      </c>
      <c r="AM79" s="28">
        <v>0</v>
      </c>
      <c r="AN79" s="75">
        <v>77</v>
      </c>
      <c r="AQ79" s="101" t="s">
        <v>463</v>
      </c>
      <c r="AR79" s="77" t="s">
        <v>212</v>
      </c>
      <c r="AS79" s="77" t="s">
        <v>494</v>
      </c>
      <c r="AT79" s="135">
        <v>12</v>
      </c>
      <c r="AU79" s="77">
        <v>0</v>
      </c>
      <c r="AV79" s="28">
        <v>1</v>
      </c>
      <c r="AW79" s="77">
        <v>15</v>
      </c>
      <c r="AX79" s="584">
        <v>15</v>
      </c>
      <c r="AY79" s="28">
        <v>24</v>
      </c>
      <c r="AZ79" s="28">
        <v>20</v>
      </c>
      <c r="BA79" s="28">
        <v>8</v>
      </c>
      <c r="BB79" s="28">
        <v>21</v>
      </c>
      <c r="BC79" s="28">
        <v>0</v>
      </c>
      <c r="BD79" s="106">
        <v>2.1333333333333333</v>
      </c>
      <c r="BE79" s="77">
        <v>0</v>
      </c>
      <c r="BF79" s="28">
        <v>0</v>
      </c>
      <c r="BG79" s="28">
        <v>0</v>
      </c>
      <c r="BH79" s="28">
        <v>0</v>
      </c>
      <c r="BI79" s="75">
        <v>77</v>
      </c>
    </row>
    <row r="80" spans="1:61">
      <c r="A80" s="101" t="s">
        <v>463</v>
      </c>
      <c r="B80" s="71" t="s">
        <v>212</v>
      </c>
      <c r="C80" s="71" t="s">
        <v>494</v>
      </c>
      <c r="D80" s="89">
        <f>VLOOKUP(Table70[[#This Row],[NAME]],DET_P[[NAME]:['#]],2,0)</f>
        <v>4.5840407470288618</v>
      </c>
      <c r="E80" s="77">
        <f>VLOOKUP(Table70[[#This Row],[NAME]],DET_P[[NAME]:['#]],3,0)</f>
        <v>1</v>
      </c>
      <c r="F80" s="28">
        <f>VLOOKUP(Table70[[#This Row],[NAME]],DET_P[[NAME]:['#]],4,0)</f>
        <v>1</v>
      </c>
      <c r="G80" s="77">
        <f>VLOOKUP(Table70[[#This Row],[NAME]],DET_P[[NAME]:['#]],5,0)</f>
        <v>14</v>
      </c>
      <c r="H80" s="584">
        <f>VLOOKUP(Table70[[#This Row],[NAME]],DET_P[[NAME]:['#]],6,0)</f>
        <v>17.670000000000002</v>
      </c>
      <c r="I80" s="28">
        <f>VLOOKUP(Table70[[#This Row],[NAME]],DET_P[[NAME]:['#]],7,0)</f>
        <v>18</v>
      </c>
      <c r="J80" s="28">
        <f>VLOOKUP(Table70[[#This Row],[NAME]],DET_P[[NAME]:['#]],8,0)</f>
        <v>9</v>
      </c>
      <c r="K80" s="28">
        <f>VLOOKUP(Table70[[#This Row],[NAME]],DET_P[[NAME]:['#]],9,0)</f>
        <v>13</v>
      </c>
      <c r="L80" s="28">
        <f>VLOOKUP(Table70[[#This Row],[NAME]],DET_P[[NAME]:['#]],10,0)</f>
        <v>15</v>
      </c>
      <c r="M80" s="28">
        <f>VLOOKUP(Table70[[#This Row],[NAME]],DET_P[[NAME]:['#]],11,0)</f>
        <v>0</v>
      </c>
      <c r="N80" s="106">
        <f>VLOOKUP(Table70[[#This Row],[NAME]],DET_P[[NAME]:['#]],12,0)</f>
        <v>1.7543859649122806</v>
      </c>
      <c r="O80" s="77">
        <f>VLOOKUP(Table70[[#This Row],[NAME]],DET_P[[NAME]:['#]],13,0)</f>
        <v>0</v>
      </c>
      <c r="P80" s="28">
        <f>VLOOKUP(Table70[[#This Row],[NAME]],DET_P[[NAME]:['#]],14,0)</f>
        <v>0</v>
      </c>
      <c r="Q80" s="28">
        <f>VLOOKUP(Table70[[#This Row],[NAME]],DET_P[[NAME]:['#]],15,0)</f>
        <v>0</v>
      </c>
      <c r="R80" s="28">
        <f>VLOOKUP(Table70[[#This Row],[NAME]],DET_P[[NAME]:['#]],16,0)</f>
        <v>0</v>
      </c>
      <c r="S80" s="75">
        <v>78</v>
      </c>
      <c r="V80" s="101" t="s">
        <v>463</v>
      </c>
      <c r="W80" s="77" t="s">
        <v>212</v>
      </c>
      <c r="X80" s="132" t="s">
        <v>495</v>
      </c>
      <c r="Y80" s="88">
        <v>3.8576939562794688</v>
      </c>
      <c r="Z80" s="77">
        <v>2</v>
      </c>
      <c r="AA80" s="28">
        <v>1</v>
      </c>
      <c r="AB80" s="77">
        <v>19</v>
      </c>
      <c r="AC80" s="584">
        <v>23.33</v>
      </c>
      <c r="AD80" s="28">
        <v>27</v>
      </c>
      <c r="AE80" s="28">
        <v>10</v>
      </c>
      <c r="AF80" s="28">
        <v>8</v>
      </c>
      <c r="AG80" s="28">
        <v>15</v>
      </c>
      <c r="AH80" s="28">
        <v>0</v>
      </c>
      <c r="AI80" s="106">
        <v>1.5002143163309045</v>
      </c>
      <c r="AJ80" s="77">
        <v>0</v>
      </c>
      <c r="AK80" s="28">
        <v>0</v>
      </c>
      <c r="AL80" s="28">
        <v>0</v>
      </c>
      <c r="AM80" s="28">
        <v>0</v>
      </c>
      <c r="AN80" s="75">
        <v>78</v>
      </c>
      <c r="AQ80" s="101" t="s">
        <v>463</v>
      </c>
      <c r="AR80" s="77" t="s">
        <v>215</v>
      </c>
      <c r="AS80" s="77" t="s">
        <v>495</v>
      </c>
      <c r="AT80" s="135">
        <v>4.3191361727654467</v>
      </c>
      <c r="AU80" s="77">
        <v>2</v>
      </c>
      <c r="AV80" s="28">
        <v>0</v>
      </c>
      <c r="AW80" s="77">
        <v>14</v>
      </c>
      <c r="AX80" s="584">
        <v>16.670000000000002</v>
      </c>
      <c r="AY80" s="28">
        <v>18</v>
      </c>
      <c r="AZ80" s="28">
        <v>8</v>
      </c>
      <c r="BA80" s="28">
        <v>7</v>
      </c>
      <c r="BB80" s="28">
        <v>19</v>
      </c>
      <c r="BC80" s="28">
        <v>0</v>
      </c>
      <c r="BD80" s="106">
        <v>1.4997000599880022</v>
      </c>
      <c r="BE80" s="77">
        <v>0</v>
      </c>
      <c r="BF80" s="28">
        <v>0</v>
      </c>
      <c r="BG80" s="28">
        <v>0</v>
      </c>
      <c r="BH80" s="28">
        <v>0</v>
      </c>
      <c r="BI80" s="75">
        <v>78</v>
      </c>
    </row>
    <row r="81" spans="1:61">
      <c r="A81" s="101" t="s">
        <v>463</v>
      </c>
      <c r="B81" s="71" t="s">
        <v>212</v>
      </c>
      <c r="C81" s="116" t="s">
        <v>495</v>
      </c>
      <c r="D81" s="89">
        <f>VLOOKUP(Table70[[#This Row],[NAME]],DET_P[[NAME]:['#]],2,0)</f>
        <v>3.96</v>
      </c>
      <c r="E81" s="77">
        <f>VLOOKUP(Table70[[#This Row],[NAME]],DET_P[[NAME]:['#]],3,0)</f>
        <v>2</v>
      </c>
      <c r="F81" s="28">
        <f>VLOOKUP(Table70[[#This Row],[NAME]],DET_P[[NAME]:['#]],4,0)</f>
        <v>5</v>
      </c>
      <c r="G81" s="77">
        <f>VLOOKUP(Table70[[#This Row],[NAME]],DET_P[[NAME]:['#]],5,0)</f>
        <v>22</v>
      </c>
      <c r="H81" s="584">
        <f>VLOOKUP(Table70[[#This Row],[NAME]],DET_P[[NAME]:['#]],6,0)</f>
        <v>25</v>
      </c>
      <c r="I81" s="28">
        <f>VLOOKUP(Table70[[#This Row],[NAME]],DET_P[[NAME]:['#]],7,0)</f>
        <v>28</v>
      </c>
      <c r="J81" s="28">
        <f>VLOOKUP(Table70[[#This Row],[NAME]],DET_P[[NAME]:['#]],8,0)</f>
        <v>11</v>
      </c>
      <c r="K81" s="28">
        <f>VLOOKUP(Table70[[#This Row],[NAME]],DET_P[[NAME]:['#]],9,0)</f>
        <v>5</v>
      </c>
      <c r="L81" s="28">
        <f>VLOOKUP(Table70[[#This Row],[NAME]],DET_P[[NAME]:['#]],10,0)</f>
        <v>12</v>
      </c>
      <c r="M81" s="28">
        <f>VLOOKUP(Table70[[#This Row],[NAME]],DET_P[[NAME]:['#]],11,0)</f>
        <v>7</v>
      </c>
      <c r="N81" s="106">
        <f>VLOOKUP(Table70[[#This Row],[NAME]],DET_P[[NAME]:['#]],12,0)</f>
        <v>1.32</v>
      </c>
      <c r="O81" s="77">
        <f>VLOOKUP(Table70[[#This Row],[NAME]],DET_P[[NAME]:['#]],13,0)</f>
        <v>0</v>
      </c>
      <c r="P81" s="28">
        <f>VLOOKUP(Table70[[#This Row],[NAME]],DET_P[[NAME]:['#]],14,0)</f>
        <v>0</v>
      </c>
      <c r="Q81" s="28">
        <f>VLOOKUP(Table70[[#This Row],[NAME]],DET_P[[NAME]:['#]],15,0)</f>
        <v>0</v>
      </c>
      <c r="R81" s="28">
        <f>VLOOKUP(Table70[[#This Row],[NAME]],DET_P[[NAME]:['#]],16,0)</f>
        <v>0</v>
      </c>
      <c r="S81" s="75">
        <v>79</v>
      </c>
      <c r="V81" s="101" t="s">
        <v>463</v>
      </c>
      <c r="W81" s="77" t="s">
        <v>212</v>
      </c>
      <c r="X81" s="132" t="s">
        <v>496</v>
      </c>
      <c r="Y81" s="88">
        <v>2.6756756756756759</v>
      </c>
      <c r="Z81" s="77">
        <v>1</v>
      </c>
      <c r="AA81" s="28">
        <v>1</v>
      </c>
      <c r="AB81" s="77">
        <v>25</v>
      </c>
      <c r="AC81" s="584">
        <v>37</v>
      </c>
      <c r="AD81" s="28">
        <v>31</v>
      </c>
      <c r="AE81" s="28">
        <v>11</v>
      </c>
      <c r="AF81" s="28">
        <v>11</v>
      </c>
      <c r="AG81" s="28">
        <v>34</v>
      </c>
      <c r="AH81" s="28">
        <v>1</v>
      </c>
      <c r="AI81" s="106">
        <v>1.1351351351351351</v>
      </c>
      <c r="AJ81" s="77">
        <v>0</v>
      </c>
      <c r="AK81" s="28">
        <v>0</v>
      </c>
      <c r="AL81" s="28">
        <v>0</v>
      </c>
      <c r="AM81" s="28">
        <v>0</v>
      </c>
      <c r="AN81" s="75">
        <v>79</v>
      </c>
      <c r="AQ81" s="101" t="s">
        <v>463</v>
      </c>
      <c r="AR81" s="77" t="s">
        <v>212</v>
      </c>
      <c r="AS81" s="77" t="s">
        <v>496</v>
      </c>
      <c r="AT81" s="135">
        <v>5.4722334819618963</v>
      </c>
      <c r="AU81" s="77">
        <v>2</v>
      </c>
      <c r="AV81" s="28">
        <v>3</v>
      </c>
      <c r="AW81" s="77">
        <v>21</v>
      </c>
      <c r="AX81" s="584">
        <v>24.67</v>
      </c>
      <c r="AY81" s="28">
        <v>27</v>
      </c>
      <c r="AZ81" s="28">
        <v>15</v>
      </c>
      <c r="BA81" s="28">
        <v>15</v>
      </c>
      <c r="BB81" s="28">
        <v>12</v>
      </c>
      <c r="BC81" s="28">
        <v>0</v>
      </c>
      <c r="BD81" s="106">
        <v>1.7024726388325901</v>
      </c>
      <c r="BE81" s="77">
        <v>0</v>
      </c>
      <c r="BF81" s="28">
        <v>0</v>
      </c>
      <c r="BG81" s="28">
        <v>0</v>
      </c>
      <c r="BH81" s="28">
        <v>0</v>
      </c>
      <c r="BI81" s="75">
        <v>79</v>
      </c>
    </row>
    <row r="82" spans="1:61">
      <c r="A82" s="101" t="s">
        <v>463</v>
      </c>
      <c r="B82" s="71" t="s">
        <v>212</v>
      </c>
      <c r="C82" s="116" t="s">
        <v>496</v>
      </c>
      <c r="D82" s="89">
        <f>VLOOKUP(Table70[[#This Row],[NAME]],DET_P[[NAME]:['#]],2,0)</f>
        <v>4.2194092827004219</v>
      </c>
      <c r="E82" s="77">
        <f>VLOOKUP(Table70[[#This Row],[NAME]],DET_P[[NAME]:['#]],3,0)</f>
        <v>0</v>
      </c>
      <c r="F82" s="28">
        <f>VLOOKUP(Table70[[#This Row],[NAME]],DET_P[[NAME]:['#]],4,0)</f>
        <v>0</v>
      </c>
      <c r="G82" s="77">
        <f>VLOOKUP(Table70[[#This Row],[NAME]],DET_P[[NAME]:['#]],5,0)</f>
        <v>18</v>
      </c>
      <c r="H82" s="584">
        <f>VLOOKUP(Table70[[#This Row],[NAME]],DET_P[[NAME]:['#]],6,0)</f>
        <v>21.33</v>
      </c>
      <c r="I82" s="28">
        <f>VLOOKUP(Table70[[#This Row],[NAME]],DET_P[[NAME]:['#]],7,0)</f>
        <v>26</v>
      </c>
      <c r="J82" s="28">
        <f>VLOOKUP(Table70[[#This Row],[NAME]],DET_P[[NAME]:['#]],8,0)</f>
        <v>10</v>
      </c>
      <c r="K82" s="28">
        <f>VLOOKUP(Table70[[#This Row],[NAME]],DET_P[[NAME]:['#]],9,0)</f>
        <v>4</v>
      </c>
      <c r="L82" s="28">
        <f>VLOOKUP(Table70[[#This Row],[NAME]],DET_P[[NAME]:['#]],10,0)</f>
        <v>12</v>
      </c>
      <c r="M82" s="28">
        <f>VLOOKUP(Table70[[#This Row],[NAME]],DET_P[[NAME]:['#]],11,0)</f>
        <v>1</v>
      </c>
      <c r="N82" s="106">
        <f>VLOOKUP(Table70[[#This Row],[NAME]],DET_P[[NAME]:['#]],12,0)</f>
        <v>1.4064697609001409</v>
      </c>
      <c r="O82" s="77">
        <f>VLOOKUP(Table70[[#This Row],[NAME]],DET_P[[NAME]:['#]],13,0)</f>
        <v>0</v>
      </c>
      <c r="P82" s="28">
        <f>VLOOKUP(Table70[[#This Row],[NAME]],DET_P[[NAME]:['#]],14,0)</f>
        <v>0</v>
      </c>
      <c r="Q82" s="28">
        <f>VLOOKUP(Table70[[#This Row],[NAME]],DET_P[[NAME]:['#]],15,0)</f>
        <v>0</v>
      </c>
      <c r="R82" s="28">
        <f>VLOOKUP(Table70[[#This Row],[NAME]],DET_P[[NAME]:['#]],16,0)</f>
        <v>0</v>
      </c>
      <c r="S82" s="75">
        <v>80</v>
      </c>
      <c r="V82" s="101" t="s">
        <v>463</v>
      </c>
      <c r="W82" s="77" t="s">
        <v>215</v>
      </c>
      <c r="X82" s="132" t="s">
        <v>497</v>
      </c>
      <c r="Y82" s="88">
        <v>8.4144916244643539</v>
      </c>
      <c r="Z82" s="77">
        <v>1</v>
      </c>
      <c r="AA82" s="28">
        <v>2</v>
      </c>
      <c r="AB82" s="77">
        <v>22</v>
      </c>
      <c r="AC82" s="584">
        <v>25.67</v>
      </c>
      <c r="AD82" s="28">
        <v>36</v>
      </c>
      <c r="AE82" s="28">
        <v>24</v>
      </c>
      <c r="AF82" s="28">
        <v>24</v>
      </c>
      <c r="AG82" s="28">
        <v>38</v>
      </c>
      <c r="AH82" s="28">
        <v>4</v>
      </c>
      <c r="AI82" s="106">
        <v>2.337358784573432</v>
      </c>
      <c r="AJ82" s="77">
        <v>0</v>
      </c>
      <c r="AK82" s="28">
        <v>0</v>
      </c>
      <c r="AL82" s="28">
        <v>0</v>
      </c>
      <c r="AM82" s="28">
        <v>0</v>
      </c>
      <c r="AN82" s="75">
        <v>80</v>
      </c>
      <c r="AQ82" s="101" t="s">
        <v>463</v>
      </c>
      <c r="AR82" s="77" t="s">
        <v>212</v>
      </c>
      <c r="AS82" s="77" t="s">
        <v>498</v>
      </c>
      <c r="AT82" s="135">
        <v>6.4116985376827893</v>
      </c>
      <c r="AU82" s="77">
        <v>0</v>
      </c>
      <c r="AV82" s="28">
        <v>4</v>
      </c>
      <c r="AW82" s="77">
        <v>24</v>
      </c>
      <c r="AX82" s="584">
        <v>26.67</v>
      </c>
      <c r="AY82" s="28">
        <v>31</v>
      </c>
      <c r="AZ82" s="28">
        <v>19</v>
      </c>
      <c r="BA82" s="28">
        <v>20</v>
      </c>
      <c r="BB82" s="28">
        <v>29</v>
      </c>
      <c r="BC82" s="28">
        <v>6</v>
      </c>
      <c r="BD82" s="106">
        <v>1.9122609673790776</v>
      </c>
      <c r="BE82" s="77">
        <v>0</v>
      </c>
      <c r="BF82" s="28">
        <v>0</v>
      </c>
      <c r="BG82" s="28">
        <v>0</v>
      </c>
      <c r="BH82" s="28">
        <v>0</v>
      </c>
      <c r="BI82" s="75">
        <v>80</v>
      </c>
    </row>
    <row r="83" spans="1:61">
      <c r="A83" s="101" t="s">
        <v>502</v>
      </c>
      <c r="B83" s="71" t="s">
        <v>206</v>
      </c>
      <c r="C83" s="116" t="s">
        <v>521</v>
      </c>
      <c r="D83" s="89">
        <f>VLOOKUP(Table70[[#This Row],[NAME]],KCR_P[[NAME]:['#]],2,0)</f>
        <v>3.2857142857142856</v>
      </c>
      <c r="E83" s="77">
        <f>VLOOKUP(Table70[[#This Row],[NAME]],KCR_P[[NAME]:['#]],3,0)</f>
        <v>6</v>
      </c>
      <c r="F83" s="28">
        <f>VLOOKUP(Table70[[#This Row],[NAME]],KCR_P[[NAME]:['#]],4,0)</f>
        <v>3</v>
      </c>
      <c r="G83" s="77">
        <f>VLOOKUP(Table70[[#This Row],[NAME]],KCR_P[[NAME]:['#]],5,0)</f>
        <v>10</v>
      </c>
      <c r="H83" s="584">
        <f>VLOOKUP(Table70[[#This Row],[NAME]],KCR_P[[NAME]:['#]],6,0)</f>
        <v>63</v>
      </c>
      <c r="I83" s="28">
        <f>VLOOKUP(Table70[[#This Row],[NAME]],KCR_P[[NAME]:['#]],7,0)</f>
        <v>61</v>
      </c>
      <c r="J83" s="28">
        <f>VLOOKUP(Table70[[#This Row],[NAME]],KCR_P[[NAME]:['#]],8,0)</f>
        <v>23</v>
      </c>
      <c r="K83" s="28">
        <f>VLOOKUP(Table70[[#This Row],[NAME]],KCR_P[[NAME]:['#]],9,0)</f>
        <v>17</v>
      </c>
      <c r="L83" s="28">
        <f>VLOOKUP(Table70[[#This Row],[NAME]],KCR_P[[NAME]:['#]],10,0)</f>
        <v>51</v>
      </c>
      <c r="M83" s="28">
        <f>VLOOKUP(Table70[[#This Row],[NAME]],KCR_P[[NAME]:['#]],11,0)</f>
        <v>0</v>
      </c>
      <c r="N83" s="106">
        <f>VLOOKUP(Table70[[#This Row],[NAME]],KCR_P[[NAME]:['#]],12,0)</f>
        <v>1.2380952380952381</v>
      </c>
      <c r="O83" s="77">
        <f>VLOOKUP(Table70[[#This Row],[NAME]],KCR_P[[NAME]:['#]],13,0)</f>
        <v>7</v>
      </c>
      <c r="P83" s="28">
        <f>VLOOKUP(Table70[[#This Row],[NAME]],KCR_P[[NAME]:['#]],14,0)</f>
        <v>5</v>
      </c>
      <c r="Q83" s="28">
        <f>VLOOKUP(Table70[[#This Row],[NAME]],KCR_P[[NAME]:['#]],15,0)</f>
        <v>1</v>
      </c>
      <c r="R83" s="28">
        <f>VLOOKUP(Table70[[#This Row],[NAME]],KCR_P[[NAME]:['#]],16,0)</f>
        <v>1</v>
      </c>
      <c r="S83" s="75">
        <v>81</v>
      </c>
      <c r="V83" s="101" t="s">
        <v>502</v>
      </c>
      <c r="W83" s="77" t="s">
        <v>206</v>
      </c>
      <c r="X83" s="132" t="s">
        <v>521</v>
      </c>
      <c r="Y83" s="88">
        <v>5.7966101694915251</v>
      </c>
      <c r="Z83" s="77">
        <v>4</v>
      </c>
      <c r="AA83" s="28">
        <v>4</v>
      </c>
      <c r="AB83" s="77">
        <v>10</v>
      </c>
      <c r="AC83" s="584">
        <v>59</v>
      </c>
      <c r="AD83" s="28">
        <v>74</v>
      </c>
      <c r="AE83" s="28">
        <v>38</v>
      </c>
      <c r="AF83" s="28">
        <v>15</v>
      </c>
      <c r="AG83" s="28">
        <v>53</v>
      </c>
      <c r="AH83" s="28">
        <v>0</v>
      </c>
      <c r="AI83" s="106">
        <v>1.5084745762711864</v>
      </c>
      <c r="AJ83" s="77">
        <v>2</v>
      </c>
      <c r="AK83" s="28">
        <v>1</v>
      </c>
      <c r="AL83" s="28">
        <v>0</v>
      </c>
      <c r="AM83" s="28">
        <v>0</v>
      </c>
      <c r="AN83" s="75">
        <v>81</v>
      </c>
      <c r="AQ83" s="101" t="s">
        <v>502</v>
      </c>
      <c r="AR83" s="77" t="s">
        <v>206</v>
      </c>
      <c r="AS83" s="77" t="s">
        <v>522</v>
      </c>
      <c r="AT83" s="135">
        <v>5.3684210526315788</v>
      </c>
      <c r="AU83" s="77">
        <v>3</v>
      </c>
      <c r="AV83" s="28">
        <v>4</v>
      </c>
      <c r="AW83" s="77">
        <v>10</v>
      </c>
      <c r="AX83" s="584">
        <v>57</v>
      </c>
      <c r="AY83" s="28">
        <v>56</v>
      </c>
      <c r="AZ83" s="28">
        <v>34</v>
      </c>
      <c r="BA83" s="28">
        <v>30</v>
      </c>
      <c r="BB83" s="28">
        <v>58</v>
      </c>
      <c r="BC83" s="28">
        <v>0</v>
      </c>
      <c r="BD83" s="106">
        <v>1.5087719298245614</v>
      </c>
      <c r="BE83" s="77">
        <v>3</v>
      </c>
      <c r="BF83" s="28">
        <v>1</v>
      </c>
      <c r="BG83" s="28">
        <v>0</v>
      </c>
      <c r="BH83" s="28">
        <v>0</v>
      </c>
      <c r="BI83" s="75">
        <v>81</v>
      </c>
    </row>
    <row r="84" spans="1:61">
      <c r="A84" s="101" t="s">
        <v>502</v>
      </c>
      <c r="B84" s="71" t="s">
        <v>206</v>
      </c>
      <c r="C84" s="116" t="s">
        <v>523</v>
      </c>
      <c r="D84" s="89">
        <f>VLOOKUP(Table70[[#This Row],[NAME]],KCR_P[[NAME]:['#]],2,0)</f>
        <v>3.694931312174325</v>
      </c>
      <c r="E84" s="77">
        <f>VLOOKUP(Table70[[#This Row],[NAME]],KCR_P[[NAME]:['#]],3,0)</f>
        <v>5</v>
      </c>
      <c r="F84" s="28">
        <f>VLOOKUP(Table70[[#This Row],[NAME]],KCR_P[[NAME]:['#]],4,0)</f>
        <v>3</v>
      </c>
      <c r="G84" s="77">
        <f>VLOOKUP(Table70[[#This Row],[NAME]],KCR_P[[NAME]:['#]],5,0)</f>
        <v>10</v>
      </c>
      <c r="H84" s="584">
        <f>VLOOKUP(Table70[[#This Row],[NAME]],KCR_P[[NAME]:['#]],6,0)</f>
        <v>63.33</v>
      </c>
      <c r="I84" s="28">
        <f>VLOOKUP(Table70[[#This Row],[NAME]],KCR_P[[NAME]:['#]],7,0)</f>
        <v>59</v>
      </c>
      <c r="J84" s="28">
        <f>VLOOKUP(Table70[[#This Row],[NAME]],KCR_P[[NAME]:['#]],8,0)</f>
        <v>26</v>
      </c>
      <c r="K84" s="28">
        <f>VLOOKUP(Table70[[#This Row],[NAME]],KCR_P[[NAME]:['#]],9,0)</f>
        <v>29</v>
      </c>
      <c r="L84" s="28">
        <f>VLOOKUP(Table70[[#This Row],[NAME]],KCR_P[[NAME]:['#]],10,0)</f>
        <v>50</v>
      </c>
      <c r="M84" s="28">
        <f>VLOOKUP(Table70[[#This Row],[NAME]],KCR_P[[NAME]:['#]],11,0)</f>
        <v>0</v>
      </c>
      <c r="N84" s="106">
        <f>VLOOKUP(Table70[[#This Row],[NAME]],KCR_P[[NAME]:['#]],12,0)</f>
        <v>1.3895468182535924</v>
      </c>
      <c r="O84" s="77">
        <f>VLOOKUP(Table70[[#This Row],[NAME]],KCR_P[[NAME]:['#]],13,0)</f>
        <v>7</v>
      </c>
      <c r="P84" s="28">
        <f>VLOOKUP(Table70[[#This Row],[NAME]],KCR_P[[NAME]:['#]],14,0)</f>
        <v>4</v>
      </c>
      <c r="Q84" s="28">
        <f>VLOOKUP(Table70[[#This Row],[NAME]],KCR_P[[NAME]:['#]],15,0)</f>
        <v>0</v>
      </c>
      <c r="R84" s="28">
        <f>VLOOKUP(Table70[[#This Row],[NAME]],KCR_P[[NAME]:['#]],16,0)</f>
        <v>0</v>
      </c>
      <c r="S84" s="75">
        <v>82</v>
      </c>
      <c r="V84" s="101" t="s">
        <v>502</v>
      </c>
      <c r="W84" s="77" t="s">
        <v>206</v>
      </c>
      <c r="X84" s="132" t="s">
        <v>523</v>
      </c>
      <c r="Y84" s="88">
        <v>4.9655172413793105</v>
      </c>
      <c r="Z84" s="77">
        <v>2</v>
      </c>
      <c r="AA84" s="28">
        <v>4</v>
      </c>
      <c r="AB84" s="77">
        <v>10</v>
      </c>
      <c r="AC84" s="584">
        <v>58</v>
      </c>
      <c r="AD84" s="28">
        <v>62</v>
      </c>
      <c r="AE84" s="28">
        <v>32</v>
      </c>
      <c r="AF84" s="28">
        <v>34</v>
      </c>
      <c r="AG84" s="28">
        <v>40</v>
      </c>
      <c r="AH84" s="28">
        <v>0</v>
      </c>
      <c r="AI84" s="106">
        <v>1.6551724137931034</v>
      </c>
      <c r="AJ84" s="77">
        <v>5</v>
      </c>
      <c r="AK84" s="28">
        <v>2</v>
      </c>
      <c r="AL84" s="28">
        <v>1</v>
      </c>
      <c r="AM84" s="28">
        <v>1</v>
      </c>
      <c r="AN84" s="75">
        <v>82</v>
      </c>
      <c r="AQ84" s="101" t="s">
        <v>502</v>
      </c>
      <c r="AR84" s="77" t="s">
        <v>206</v>
      </c>
      <c r="AS84" s="77" t="s">
        <v>524</v>
      </c>
      <c r="AT84" s="135">
        <v>4.95</v>
      </c>
      <c r="AU84" s="77">
        <v>2</v>
      </c>
      <c r="AV84" s="28">
        <v>5</v>
      </c>
      <c r="AW84" s="77">
        <v>10</v>
      </c>
      <c r="AX84" s="584">
        <v>60</v>
      </c>
      <c r="AY84" s="28">
        <v>66</v>
      </c>
      <c r="AZ84" s="28">
        <v>33</v>
      </c>
      <c r="BA84" s="28">
        <v>27</v>
      </c>
      <c r="BB84" s="28">
        <v>66</v>
      </c>
      <c r="BC84" s="28">
        <v>0</v>
      </c>
      <c r="BD84" s="106">
        <v>1.55</v>
      </c>
      <c r="BE84" s="77">
        <v>4</v>
      </c>
      <c r="BF84" s="28">
        <v>3</v>
      </c>
      <c r="BG84" s="28">
        <v>0</v>
      </c>
      <c r="BH84" s="28">
        <v>0</v>
      </c>
      <c r="BI84" s="75">
        <v>82</v>
      </c>
    </row>
    <row r="85" spans="1:61">
      <c r="A85" s="101" t="s">
        <v>502</v>
      </c>
      <c r="B85" s="71" t="s">
        <v>365</v>
      </c>
      <c r="C85" s="116" t="s">
        <v>525</v>
      </c>
      <c r="D85" s="89">
        <f>VLOOKUP(Table70[[#This Row],[NAME]],KCR_P[[NAME]:['#]],2,0)</f>
        <v>5.431034482758621</v>
      </c>
      <c r="E85" s="77">
        <f>VLOOKUP(Table70[[#This Row],[NAME]],KCR_P[[NAME]:['#]],3,0)</f>
        <v>1</v>
      </c>
      <c r="F85" s="28">
        <f>VLOOKUP(Table70[[#This Row],[NAME]],KCR_P[[NAME]:['#]],4,0)</f>
        <v>4</v>
      </c>
      <c r="G85" s="77">
        <f>VLOOKUP(Table70[[#This Row],[NAME]],KCR_P[[NAME]:['#]],5,0)</f>
        <v>10</v>
      </c>
      <c r="H85" s="584">
        <f>VLOOKUP(Table70[[#This Row],[NAME]],KCR_P[[NAME]:['#]],6,0)</f>
        <v>58</v>
      </c>
      <c r="I85" s="28">
        <f>VLOOKUP(Table70[[#This Row],[NAME]],KCR_P[[NAME]:['#]],7,0)</f>
        <v>59</v>
      </c>
      <c r="J85" s="28">
        <f>VLOOKUP(Table70[[#This Row],[NAME]],KCR_P[[NAME]:['#]],8,0)</f>
        <v>35</v>
      </c>
      <c r="K85" s="28">
        <f>VLOOKUP(Table70[[#This Row],[NAME]],KCR_P[[NAME]:['#]],9,0)</f>
        <v>22</v>
      </c>
      <c r="L85" s="28">
        <f>VLOOKUP(Table70[[#This Row],[NAME]],KCR_P[[NAME]:['#]],10,0)</f>
        <v>64</v>
      </c>
      <c r="M85" s="28">
        <f>VLOOKUP(Table70[[#This Row],[NAME]],KCR_P[[NAME]:['#]],11,0)</f>
        <v>0</v>
      </c>
      <c r="N85" s="106">
        <f>VLOOKUP(Table70[[#This Row],[NAME]],KCR_P[[NAME]:['#]],12,0)</f>
        <v>1.396551724137931</v>
      </c>
      <c r="O85" s="77">
        <f>VLOOKUP(Table70[[#This Row],[NAME]],KCR_P[[NAME]:['#]],13,0)</f>
        <v>6</v>
      </c>
      <c r="P85" s="28">
        <f>VLOOKUP(Table70[[#This Row],[NAME]],KCR_P[[NAME]:['#]],14,0)</f>
        <v>2</v>
      </c>
      <c r="Q85" s="28">
        <f>VLOOKUP(Table70[[#This Row],[NAME]],KCR_P[[NAME]:['#]],15,0)</f>
        <v>0</v>
      </c>
      <c r="R85" s="28">
        <f>VLOOKUP(Table70[[#This Row],[NAME]],KCR_P[[NAME]:['#]],16,0)</f>
        <v>0</v>
      </c>
      <c r="S85" s="75">
        <v>83</v>
      </c>
      <c r="V85" s="101" t="s">
        <v>502</v>
      </c>
      <c r="W85" s="77" t="s">
        <v>206</v>
      </c>
      <c r="X85" s="132" t="s">
        <v>524</v>
      </c>
      <c r="Y85" s="88">
        <v>4.9088119993182202</v>
      </c>
      <c r="Z85" s="77">
        <v>4</v>
      </c>
      <c r="AA85" s="28">
        <v>1</v>
      </c>
      <c r="AB85" s="77">
        <v>10</v>
      </c>
      <c r="AC85" s="584">
        <v>58.67</v>
      </c>
      <c r="AD85" s="28">
        <v>66</v>
      </c>
      <c r="AE85" s="28">
        <v>32</v>
      </c>
      <c r="AF85" s="28">
        <v>27</v>
      </c>
      <c r="AG85" s="28">
        <v>59</v>
      </c>
      <c r="AH85" s="28">
        <v>0</v>
      </c>
      <c r="AI85" s="106">
        <v>1.5851372081131754</v>
      </c>
      <c r="AJ85" s="77">
        <v>6</v>
      </c>
      <c r="AK85" s="28">
        <v>1</v>
      </c>
      <c r="AL85" s="28">
        <v>0</v>
      </c>
      <c r="AM85" s="28">
        <v>0</v>
      </c>
      <c r="AN85" s="75">
        <v>83</v>
      </c>
      <c r="AQ85" s="101" t="s">
        <v>502</v>
      </c>
      <c r="AR85" s="77" t="s">
        <v>206</v>
      </c>
      <c r="AS85" s="77" t="s">
        <v>523</v>
      </c>
      <c r="AT85" s="135">
        <v>6.75</v>
      </c>
      <c r="AU85" s="77">
        <v>4</v>
      </c>
      <c r="AV85" s="28">
        <v>4</v>
      </c>
      <c r="AW85" s="77">
        <v>10</v>
      </c>
      <c r="AX85" s="584">
        <v>52</v>
      </c>
      <c r="AY85" s="28">
        <v>74</v>
      </c>
      <c r="AZ85" s="28">
        <v>39</v>
      </c>
      <c r="BA85" s="28">
        <v>28</v>
      </c>
      <c r="BB85" s="28">
        <v>39</v>
      </c>
      <c r="BC85" s="28">
        <v>0</v>
      </c>
      <c r="BD85" s="106">
        <v>1.9615384615384615</v>
      </c>
      <c r="BE85" s="77">
        <v>3</v>
      </c>
      <c r="BF85" s="28">
        <v>1</v>
      </c>
      <c r="BG85" s="28">
        <v>0</v>
      </c>
      <c r="BH85" s="28">
        <v>0</v>
      </c>
      <c r="BI85" s="75">
        <v>83</v>
      </c>
    </row>
    <row r="86" spans="1:61">
      <c r="A86" s="101" t="s">
        <v>502</v>
      </c>
      <c r="B86" s="71" t="s">
        <v>206</v>
      </c>
      <c r="C86" s="116" t="s">
        <v>524</v>
      </c>
      <c r="D86" s="89">
        <f>VLOOKUP(Table70[[#This Row],[NAME]],KCR_P[[NAME]:['#]],2,0)</f>
        <v>4.6551724137931032</v>
      </c>
      <c r="E86" s="77">
        <f>VLOOKUP(Table70[[#This Row],[NAME]],KCR_P[[NAME]:['#]],3,0)</f>
        <v>3</v>
      </c>
      <c r="F86" s="28">
        <f>VLOOKUP(Table70[[#This Row],[NAME]],KCR_P[[NAME]:['#]],4,0)</f>
        <v>3</v>
      </c>
      <c r="G86" s="77">
        <f>VLOOKUP(Table70[[#This Row],[NAME]],KCR_P[[NAME]:['#]],5,0)</f>
        <v>10</v>
      </c>
      <c r="H86" s="584">
        <f>VLOOKUP(Table70[[#This Row],[NAME]],KCR_P[[NAME]:['#]],6,0)</f>
        <v>58</v>
      </c>
      <c r="I86" s="28">
        <f>VLOOKUP(Table70[[#This Row],[NAME]],KCR_P[[NAME]:['#]],7,0)</f>
        <v>66</v>
      </c>
      <c r="J86" s="28">
        <f>VLOOKUP(Table70[[#This Row],[NAME]],KCR_P[[NAME]:['#]],8,0)</f>
        <v>30</v>
      </c>
      <c r="K86" s="28">
        <f>VLOOKUP(Table70[[#This Row],[NAME]],KCR_P[[NAME]:['#]],9,0)</f>
        <v>19</v>
      </c>
      <c r="L86" s="28">
        <f>VLOOKUP(Table70[[#This Row],[NAME]],KCR_P[[NAME]:['#]],10,0)</f>
        <v>58</v>
      </c>
      <c r="M86" s="28">
        <f>VLOOKUP(Table70[[#This Row],[NAME]],KCR_P[[NAME]:['#]],11,0)</f>
        <v>0</v>
      </c>
      <c r="N86" s="106">
        <f>VLOOKUP(Table70[[#This Row],[NAME]],KCR_P[[NAME]:['#]],12,0)</f>
        <v>1.4655172413793103</v>
      </c>
      <c r="O86" s="77">
        <f>VLOOKUP(Table70[[#This Row],[NAME]],KCR_P[[NAME]:['#]],13,0)</f>
        <v>5</v>
      </c>
      <c r="P86" s="28">
        <f>VLOOKUP(Table70[[#This Row],[NAME]],KCR_P[[NAME]:['#]],14,0)</f>
        <v>2</v>
      </c>
      <c r="Q86" s="28">
        <f>VLOOKUP(Table70[[#This Row],[NAME]],KCR_P[[NAME]:['#]],15,0)</f>
        <v>0</v>
      </c>
      <c r="R86" s="28">
        <f>VLOOKUP(Table70[[#This Row],[NAME]],KCR_P[[NAME]:['#]],16,0)</f>
        <v>0</v>
      </c>
      <c r="S86" s="75">
        <v>84</v>
      </c>
      <c r="V86" s="101" t="s">
        <v>502</v>
      </c>
      <c r="W86" s="77" t="s">
        <v>206</v>
      </c>
      <c r="X86" s="132" t="s">
        <v>526</v>
      </c>
      <c r="Y86" s="88">
        <v>8.534933230114186</v>
      </c>
      <c r="Z86" s="77">
        <v>2</v>
      </c>
      <c r="AA86" s="28">
        <v>4</v>
      </c>
      <c r="AB86" s="77">
        <v>10</v>
      </c>
      <c r="AC86" s="584">
        <v>51.67</v>
      </c>
      <c r="AD86" s="28">
        <v>68</v>
      </c>
      <c r="AE86" s="76">
        <v>49</v>
      </c>
      <c r="AF86" s="28">
        <v>28</v>
      </c>
      <c r="AG86" s="28">
        <v>47</v>
      </c>
      <c r="AH86" s="28">
        <v>0</v>
      </c>
      <c r="AI86" s="106">
        <v>1.8579446487323399</v>
      </c>
      <c r="AJ86" s="77">
        <v>3</v>
      </c>
      <c r="AK86" s="28">
        <v>1</v>
      </c>
      <c r="AL86" s="28">
        <v>0</v>
      </c>
      <c r="AM86" s="28">
        <v>0</v>
      </c>
      <c r="AN86" s="75">
        <v>84</v>
      </c>
      <c r="AQ86" s="101" t="s">
        <v>502</v>
      </c>
      <c r="AR86" s="77" t="s">
        <v>365</v>
      </c>
      <c r="AS86" s="77" t="s">
        <v>526</v>
      </c>
      <c r="AT86" s="135">
        <v>5.0721034311287916</v>
      </c>
      <c r="AU86" s="77">
        <v>3</v>
      </c>
      <c r="AV86" s="28">
        <v>3</v>
      </c>
      <c r="AW86" s="77">
        <v>10</v>
      </c>
      <c r="AX86" s="584">
        <v>60.33</v>
      </c>
      <c r="AY86" s="28">
        <v>55</v>
      </c>
      <c r="AZ86" s="28">
        <v>34</v>
      </c>
      <c r="BA86" s="28">
        <v>28</v>
      </c>
      <c r="BB86" s="28">
        <v>64</v>
      </c>
      <c r="BC86" s="28">
        <v>0</v>
      </c>
      <c r="BD86" s="106">
        <v>1.3757666169401626</v>
      </c>
      <c r="BE86" s="77">
        <v>3</v>
      </c>
      <c r="BF86" s="28">
        <v>3</v>
      </c>
      <c r="BG86" s="28">
        <v>0</v>
      </c>
      <c r="BH86" s="28">
        <v>0</v>
      </c>
      <c r="BI86" s="75">
        <v>84</v>
      </c>
    </row>
    <row r="87" spans="1:61">
      <c r="A87" s="101" t="s">
        <v>502</v>
      </c>
      <c r="B87" s="71" t="s">
        <v>212</v>
      </c>
      <c r="C87" s="116" t="s">
        <v>526</v>
      </c>
      <c r="D87" s="89">
        <f>VLOOKUP(Table70[[#This Row],[NAME]],KCR_P[[NAME]:['#]],2,0)</f>
        <v>2.3136246786632393</v>
      </c>
      <c r="E87" s="77">
        <f>VLOOKUP(Table70[[#This Row],[NAME]],KCR_P[[NAME]:['#]],3,0)</f>
        <v>0</v>
      </c>
      <c r="F87" s="28">
        <f>VLOOKUP(Table70[[#This Row],[NAME]],KCR_P[[NAME]:['#]],4,0)</f>
        <v>0</v>
      </c>
      <c r="G87" s="77">
        <f>VLOOKUP(Table70[[#This Row],[NAME]],KCR_P[[NAME]:['#]],5,0)</f>
        <v>5</v>
      </c>
      <c r="H87" s="584">
        <f>VLOOKUP(Table70[[#This Row],[NAME]],KCR_P[[NAME]:['#]],6,0)</f>
        <v>11.67</v>
      </c>
      <c r="I87" s="28">
        <f>VLOOKUP(Table70[[#This Row],[NAME]],KCR_P[[NAME]:['#]],7,0)</f>
        <v>12</v>
      </c>
      <c r="J87" s="28">
        <f>VLOOKUP(Table70[[#This Row],[NAME]],KCR_P[[NAME]:['#]],8,0)</f>
        <v>3</v>
      </c>
      <c r="K87" s="28">
        <f>VLOOKUP(Table70[[#This Row],[NAME]],KCR_P[[NAME]:['#]],9,0)</f>
        <v>7</v>
      </c>
      <c r="L87" s="28">
        <f>VLOOKUP(Table70[[#This Row],[NAME]],KCR_P[[NAME]:['#]],10,0)</f>
        <v>7</v>
      </c>
      <c r="M87" s="28">
        <f>VLOOKUP(Table70[[#This Row],[NAME]],KCR_P[[NAME]:['#]],11,0)</f>
        <v>0</v>
      </c>
      <c r="N87" s="106">
        <f>VLOOKUP(Table70[[#This Row],[NAME]],KCR_P[[NAME]:['#]],12,0)</f>
        <v>1.6281062553556127</v>
      </c>
      <c r="O87" s="77">
        <f>VLOOKUP(Table70[[#This Row],[NAME]],KCR_P[[NAME]:['#]],13,0)</f>
        <v>0</v>
      </c>
      <c r="P87" s="28">
        <f>VLOOKUP(Table70[[#This Row],[NAME]],KCR_P[[NAME]:['#]],14,0)</f>
        <v>0</v>
      </c>
      <c r="Q87" s="28">
        <f>VLOOKUP(Table70[[#This Row],[NAME]],KCR_P[[NAME]:['#]],15,0)</f>
        <v>0</v>
      </c>
      <c r="R87" s="28">
        <f>VLOOKUP(Table70[[#This Row],[NAME]],KCR_P[[NAME]:['#]],16,0)</f>
        <v>0</v>
      </c>
      <c r="S87" s="75">
        <v>85</v>
      </c>
      <c r="V87" s="101" t="s">
        <v>502</v>
      </c>
      <c r="W87" s="77" t="s">
        <v>212</v>
      </c>
      <c r="X87" s="132" t="s">
        <v>528</v>
      </c>
      <c r="Y87" s="88">
        <v>5.7272727272727275</v>
      </c>
      <c r="Z87" s="77">
        <v>3</v>
      </c>
      <c r="AA87" s="28">
        <v>2</v>
      </c>
      <c r="AB87" s="77">
        <v>14</v>
      </c>
      <c r="AC87" s="584">
        <v>33</v>
      </c>
      <c r="AD87" s="28">
        <v>32</v>
      </c>
      <c r="AE87" s="28">
        <v>21</v>
      </c>
      <c r="AF87" s="28">
        <v>9</v>
      </c>
      <c r="AG87" s="28">
        <v>23</v>
      </c>
      <c r="AH87" s="28">
        <v>0</v>
      </c>
      <c r="AI87" s="106">
        <v>1.2424242424242424</v>
      </c>
      <c r="AJ87" s="77">
        <v>0</v>
      </c>
      <c r="AK87" s="28">
        <v>0</v>
      </c>
      <c r="AL87" s="28">
        <v>0</v>
      </c>
      <c r="AM87" s="28">
        <v>0</v>
      </c>
      <c r="AN87" s="75">
        <v>85</v>
      </c>
      <c r="AQ87" s="101" t="s">
        <v>502</v>
      </c>
      <c r="AR87" s="77" t="s">
        <v>212</v>
      </c>
      <c r="AS87" s="77" t="s">
        <v>528</v>
      </c>
      <c r="AT87" s="135">
        <v>3.375</v>
      </c>
      <c r="AU87" s="77">
        <v>1</v>
      </c>
      <c r="AV87" s="28">
        <v>0</v>
      </c>
      <c r="AW87" s="77">
        <v>11</v>
      </c>
      <c r="AX87" s="584">
        <v>24</v>
      </c>
      <c r="AY87" s="28">
        <v>19</v>
      </c>
      <c r="AZ87" s="28">
        <v>9</v>
      </c>
      <c r="BA87" s="28">
        <v>10</v>
      </c>
      <c r="BB87" s="28">
        <v>12</v>
      </c>
      <c r="BC87" s="28">
        <v>0</v>
      </c>
      <c r="BD87" s="106">
        <v>1.2083333333333333</v>
      </c>
      <c r="BE87" s="77">
        <v>0</v>
      </c>
      <c r="BF87" s="28">
        <v>0</v>
      </c>
      <c r="BG87" s="28">
        <v>0</v>
      </c>
      <c r="BH87" s="28">
        <v>0</v>
      </c>
      <c r="BI87" s="75">
        <v>85</v>
      </c>
    </row>
    <row r="88" spans="1:61">
      <c r="A88" s="101" t="s">
        <v>502</v>
      </c>
      <c r="B88" s="71" t="s">
        <v>212</v>
      </c>
      <c r="C88" s="116" t="s">
        <v>531</v>
      </c>
      <c r="D88" s="89">
        <f>VLOOKUP(Table70[[#This Row],[NAME]],KCR_P[[NAME]:['#]],2,0)</f>
        <v>10.8</v>
      </c>
      <c r="E88" s="77">
        <f>VLOOKUP(Table70[[#This Row],[NAME]],KCR_P[[NAME]:['#]],3,0)</f>
        <v>1</v>
      </c>
      <c r="F88" s="28">
        <f>VLOOKUP(Table70[[#This Row],[NAME]],KCR_P[[NAME]:['#]],4,0)</f>
        <v>1</v>
      </c>
      <c r="G88" s="77">
        <f>VLOOKUP(Table70[[#This Row],[NAME]],KCR_P[[NAME]:['#]],5,0)</f>
        <v>17</v>
      </c>
      <c r="H88" s="584">
        <f>VLOOKUP(Table70[[#This Row],[NAME]],KCR_P[[NAME]:['#]],6,0)</f>
        <v>15</v>
      </c>
      <c r="I88" s="28">
        <f>VLOOKUP(Table70[[#This Row],[NAME]],KCR_P[[NAME]:['#]],7,0)</f>
        <v>25</v>
      </c>
      <c r="J88" s="28">
        <f>VLOOKUP(Table70[[#This Row],[NAME]],KCR_P[[NAME]:['#]],8,0)</f>
        <v>18</v>
      </c>
      <c r="K88" s="28">
        <f>VLOOKUP(Table70[[#This Row],[NAME]],KCR_P[[NAME]:['#]],9,0)</f>
        <v>6</v>
      </c>
      <c r="L88" s="28">
        <f>VLOOKUP(Table70[[#This Row],[NAME]],KCR_P[[NAME]:['#]],10,0)</f>
        <v>27</v>
      </c>
      <c r="M88" s="28">
        <f>VLOOKUP(Table70[[#This Row],[NAME]],KCR_P[[NAME]:['#]],11,0)</f>
        <v>1</v>
      </c>
      <c r="N88" s="106">
        <f>VLOOKUP(Table70[[#This Row],[NAME]],KCR_P[[NAME]:['#]],12,0)</f>
        <v>2.0666666666666669</v>
      </c>
      <c r="O88" s="77">
        <f>VLOOKUP(Table70[[#This Row],[NAME]],KCR_P[[NAME]:['#]],13,0)</f>
        <v>0</v>
      </c>
      <c r="P88" s="28">
        <f>VLOOKUP(Table70[[#This Row],[NAME]],KCR_P[[NAME]:['#]],14,0)</f>
        <v>0</v>
      </c>
      <c r="Q88" s="28">
        <f>VLOOKUP(Table70[[#This Row],[NAME]],KCR_P[[NAME]:['#]],15,0)</f>
        <v>0</v>
      </c>
      <c r="R88" s="28">
        <f>VLOOKUP(Table70[[#This Row],[NAME]],KCR_P[[NAME]:['#]],16,0)</f>
        <v>0</v>
      </c>
      <c r="S88" s="75">
        <v>86</v>
      </c>
      <c r="V88" s="101" t="s">
        <v>502</v>
      </c>
      <c r="W88" s="77" t="s">
        <v>212</v>
      </c>
      <c r="X88" s="132" t="s">
        <v>531</v>
      </c>
      <c r="Y88" s="88">
        <v>2.3684210526315788</v>
      </c>
      <c r="Z88" s="77">
        <v>0</v>
      </c>
      <c r="AA88" s="28">
        <v>0</v>
      </c>
      <c r="AB88" s="77">
        <v>14</v>
      </c>
      <c r="AC88" s="584">
        <v>19</v>
      </c>
      <c r="AD88" s="28">
        <v>16</v>
      </c>
      <c r="AE88" s="28">
        <v>5</v>
      </c>
      <c r="AF88" s="28">
        <v>6</v>
      </c>
      <c r="AG88" s="28">
        <v>20</v>
      </c>
      <c r="AH88" s="28">
        <v>1</v>
      </c>
      <c r="AI88" s="106">
        <v>1.1578947368421053</v>
      </c>
      <c r="AJ88" s="77">
        <v>0</v>
      </c>
      <c r="AK88" s="28">
        <v>0</v>
      </c>
      <c r="AL88" s="28">
        <v>0</v>
      </c>
      <c r="AM88" s="28">
        <v>0</v>
      </c>
      <c r="AN88" s="75">
        <v>86</v>
      </c>
      <c r="AQ88" s="101" t="s">
        <v>502</v>
      </c>
      <c r="AR88" s="77" t="s">
        <v>215</v>
      </c>
      <c r="AS88" s="77" t="s">
        <v>530</v>
      </c>
      <c r="AT88" s="135">
        <v>2.3483365949119372</v>
      </c>
      <c r="AU88" s="77">
        <v>2</v>
      </c>
      <c r="AV88" s="28">
        <v>0</v>
      </c>
      <c r="AW88" s="77">
        <v>7</v>
      </c>
      <c r="AX88" s="584">
        <v>15.33</v>
      </c>
      <c r="AY88" s="28">
        <v>14</v>
      </c>
      <c r="AZ88" s="28">
        <v>4</v>
      </c>
      <c r="BA88" s="28">
        <v>2</v>
      </c>
      <c r="BB88" s="28">
        <v>14</v>
      </c>
      <c r="BC88" s="28">
        <v>0</v>
      </c>
      <c r="BD88" s="106">
        <v>1.0437051532941943</v>
      </c>
      <c r="BE88" s="77">
        <v>1</v>
      </c>
      <c r="BF88" s="28">
        <v>0</v>
      </c>
      <c r="BG88" s="28">
        <v>0</v>
      </c>
      <c r="BH88" s="28">
        <v>0</v>
      </c>
      <c r="BI88" s="75">
        <v>86</v>
      </c>
    </row>
    <row r="89" spans="1:61">
      <c r="A89" s="101" t="s">
        <v>502</v>
      </c>
      <c r="B89" s="71" t="s">
        <v>212</v>
      </c>
      <c r="C89" s="116" t="s">
        <v>527</v>
      </c>
      <c r="D89" s="89">
        <f>VLOOKUP(Table70[[#This Row],[NAME]],KCR_P[[NAME]:['#]],2,0)</f>
        <v>3.7792441511697659</v>
      </c>
      <c r="E89" s="77">
        <f>VLOOKUP(Table70[[#This Row],[NAME]],KCR_P[[NAME]:['#]],3,0)</f>
        <v>0</v>
      </c>
      <c r="F89" s="28">
        <f>VLOOKUP(Table70[[#This Row],[NAME]],KCR_P[[NAME]:['#]],4,0)</f>
        <v>1</v>
      </c>
      <c r="G89" s="77">
        <f>VLOOKUP(Table70[[#This Row],[NAME]],KCR_P[[NAME]:['#]],5,0)</f>
        <v>14</v>
      </c>
      <c r="H89" s="584">
        <f>VLOOKUP(Table70[[#This Row],[NAME]],KCR_P[[NAME]:['#]],6,0)</f>
        <v>16.670000000000002</v>
      </c>
      <c r="I89" s="28">
        <f>VLOOKUP(Table70[[#This Row],[NAME]],KCR_P[[NAME]:['#]],7,0)</f>
        <v>13</v>
      </c>
      <c r="J89" s="28">
        <f>VLOOKUP(Table70[[#This Row],[NAME]],KCR_P[[NAME]:['#]],8,0)</f>
        <v>7</v>
      </c>
      <c r="K89" s="28">
        <f>VLOOKUP(Table70[[#This Row],[NAME]],KCR_P[[NAME]:['#]],9,0)</f>
        <v>14</v>
      </c>
      <c r="L89" s="28">
        <f>VLOOKUP(Table70[[#This Row],[NAME]],KCR_P[[NAME]:['#]],10,0)</f>
        <v>18</v>
      </c>
      <c r="M89" s="28">
        <f>VLOOKUP(Table70[[#This Row],[NAME]],KCR_P[[NAME]:['#]],11,0)</f>
        <v>1</v>
      </c>
      <c r="N89" s="106">
        <f>VLOOKUP(Table70[[#This Row],[NAME]],KCR_P[[NAME]:['#]],12,0)</f>
        <v>1.6196760647870425</v>
      </c>
      <c r="O89" s="77">
        <f>VLOOKUP(Table70[[#This Row],[NAME]],KCR_P[[NAME]:['#]],13,0)</f>
        <v>0</v>
      </c>
      <c r="P89" s="28">
        <f>VLOOKUP(Table70[[#This Row],[NAME]],KCR_P[[NAME]:['#]],14,0)</f>
        <v>0</v>
      </c>
      <c r="Q89" s="28">
        <f>VLOOKUP(Table70[[#This Row],[NAME]],KCR_P[[NAME]:['#]],15,0)</f>
        <v>0</v>
      </c>
      <c r="R89" s="28">
        <f>VLOOKUP(Table70[[#This Row],[NAME]],KCR_P[[NAME]:['#]],16,0)</f>
        <v>0</v>
      </c>
      <c r="S89" s="75">
        <v>87</v>
      </c>
      <c r="V89" s="101" t="s">
        <v>502</v>
      </c>
      <c r="W89" s="77" t="s">
        <v>212</v>
      </c>
      <c r="X89" s="132" t="s">
        <v>527</v>
      </c>
      <c r="Y89" s="88">
        <v>7.657859381997314</v>
      </c>
      <c r="Z89" s="77">
        <v>0</v>
      </c>
      <c r="AA89" s="28">
        <v>1</v>
      </c>
      <c r="AB89" s="77">
        <v>15</v>
      </c>
      <c r="AC89" s="584">
        <v>22.33</v>
      </c>
      <c r="AD89" s="28">
        <v>32</v>
      </c>
      <c r="AE89" s="28">
        <v>19</v>
      </c>
      <c r="AF89" s="28">
        <v>16</v>
      </c>
      <c r="AG89" s="28">
        <v>24</v>
      </c>
      <c r="AH89" s="28">
        <v>0</v>
      </c>
      <c r="AI89" s="106">
        <v>2.1495745633676671</v>
      </c>
      <c r="AJ89" s="77">
        <v>0</v>
      </c>
      <c r="AK89" s="28">
        <v>0</v>
      </c>
      <c r="AL89" s="28">
        <v>0</v>
      </c>
      <c r="AM89" s="28">
        <v>0</v>
      </c>
      <c r="AN89" s="75">
        <v>87</v>
      </c>
      <c r="AQ89" s="101" t="s">
        <v>502</v>
      </c>
      <c r="AR89" s="77" t="s">
        <v>212</v>
      </c>
      <c r="AS89" s="77" t="s">
        <v>527</v>
      </c>
      <c r="AT89" s="135">
        <v>4.5</v>
      </c>
      <c r="AU89" s="77">
        <v>2</v>
      </c>
      <c r="AV89" s="28">
        <v>1</v>
      </c>
      <c r="AW89" s="77">
        <v>20</v>
      </c>
      <c r="AX89" s="584">
        <v>28</v>
      </c>
      <c r="AY89" s="28">
        <v>27</v>
      </c>
      <c r="AZ89" s="28">
        <v>14</v>
      </c>
      <c r="BA89" s="28">
        <v>9</v>
      </c>
      <c r="BB89" s="28">
        <v>28</v>
      </c>
      <c r="BC89" s="28">
        <v>1</v>
      </c>
      <c r="BD89" s="106">
        <v>1.2857142857142858</v>
      </c>
      <c r="BE89" s="77">
        <v>0</v>
      </c>
      <c r="BF89" s="28">
        <v>0</v>
      </c>
      <c r="BG89" s="28">
        <v>0</v>
      </c>
      <c r="BH89" s="28">
        <v>0</v>
      </c>
      <c r="BI89" s="75">
        <v>87</v>
      </c>
    </row>
    <row r="90" spans="1:61">
      <c r="A90" s="101" t="s">
        <v>502</v>
      </c>
      <c r="B90" s="71" t="s">
        <v>212</v>
      </c>
      <c r="C90" s="116" t="s">
        <v>529</v>
      </c>
      <c r="D90" s="89">
        <f>VLOOKUP(Table70[[#This Row],[NAME]],KCR_P[[NAME]:['#]],2,0)</f>
        <v>6.3529411764705879</v>
      </c>
      <c r="E90" s="77">
        <f>VLOOKUP(Table70[[#This Row],[NAME]],KCR_P[[NAME]:['#]],3,0)</f>
        <v>1</v>
      </c>
      <c r="F90" s="28">
        <f>VLOOKUP(Table70[[#This Row],[NAME]],KCR_P[[NAME]:['#]],4,0)</f>
        <v>0</v>
      </c>
      <c r="G90" s="77">
        <f>VLOOKUP(Table70[[#This Row],[NAME]],KCR_P[[NAME]:['#]],5,0)</f>
        <v>19</v>
      </c>
      <c r="H90" s="584">
        <f>VLOOKUP(Table70[[#This Row],[NAME]],KCR_P[[NAME]:['#]],6,0)</f>
        <v>17</v>
      </c>
      <c r="I90" s="28">
        <f>VLOOKUP(Table70[[#This Row],[NAME]],KCR_P[[NAME]:['#]],7,0)</f>
        <v>20</v>
      </c>
      <c r="J90" s="28">
        <f>VLOOKUP(Table70[[#This Row],[NAME]],KCR_P[[NAME]:['#]],8,0)</f>
        <v>12</v>
      </c>
      <c r="K90" s="28">
        <f>VLOOKUP(Table70[[#This Row],[NAME]],KCR_P[[NAME]:['#]],9,0)</f>
        <v>12</v>
      </c>
      <c r="L90" s="28">
        <f>VLOOKUP(Table70[[#This Row],[NAME]],KCR_P[[NAME]:['#]],10,0)</f>
        <v>15</v>
      </c>
      <c r="M90" s="28">
        <f>VLOOKUP(Table70[[#This Row],[NAME]],KCR_P[[NAME]:['#]],11,0)</f>
        <v>0</v>
      </c>
      <c r="N90" s="106">
        <f>VLOOKUP(Table70[[#This Row],[NAME]],KCR_P[[NAME]:['#]],12,0)</f>
        <v>1.8823529411764706</v>
      </c>
      <c r="O90" s="77">
        <f>VLOOKUP(Table70[[#This Row],[NAME]],KCR_P[[NAME]:['#]],13,0)</f>
        <v>0</v>
      </c>
      <c r="P90" s="28">
        <f>VLOOKUP(Table70[[#This Row],[NAME]],KCR_P[[NAME]:['#]],14,0)</f>
        <v>0</v>
      </c>
      <c r="Q90" s="28">
        <f>VLOOKUP(Table70[[#This Row],[NAME]],KCR_P[[NAME]:['#]],15,0)</f>
        <v>0</v>
      </c>
      <c r="R90" s="28">
        <f>VLOOKUP(Table70[[#This Row],[NAME]],KCR_P[[NAME]:['#]],16,0)</f>
        <v>0</v>
      </c>
      <c r="S90" s="75">
        <v>88</v>
      </c>
      <c r="V90" s="101" t="s">
        <v>502</v>
      </c>
      <c r="W90" s="77" t="s">
        <v>212</v>
      </c>
      <c r="X90" s="132" t="s">
        <v>529</v>
      </c>
      <c r="Y90" s="88">
        <v>8.6587436332767389</v>
      </c>
      <c r="Z90" s="77">
        <v>0</v>
      </c>
      <c r="AA90" s="28">
        <v>1</v>
      </c>
      <c r="AB90" s="77">
        <v>14</v>
      </c>
      <c r="AC90" s="584">
        <v>17.670000000000002</v>
      </c>
      <c r="AD90" s="28">
        <v>27</v>
      </c>
      <c r="AE90" s="28">
        <v>17</v>
      </c>
      <c r="AF90" s="28">
        <v>12</v>
      </c>
      <c r="AG90" s="28">
        <v>9</v>
      </c>
      <c r="AH90" s="28">
        <v>1</v>
      </c>
      <c r="AI90" s="106">
        <v>2.2071307300509337</v>
      </c>
      <c r="AJ90" s="77">
        <v>0</v>
      </c>
      <c r="AK90" s="28">
        <v>0</v>
      </c>
      <c r="AL90" s="28">
        <v>0</v>
      </c>
      <c r="AM90" s="28">
        <v>0</v>
      </c>
      <c r="AN90" s="75">
        <v>88</v>
      </c>
      <c r="AQ90" s="101" t="s">
        <v>502</v>
      </c>
      <c r="AR90" s="77" t="s">
        <v>212</v>
      </c>
      <c r="AS90" s="77" t="s">
        <v>529</v>
      </c>
      <c r="AT90" s="135">
        <v>1.2</v>
      </c>
      <c r="AU90" s="77">
        <v>1</v>
      </c>
      <c r="AV90" s="28">
        <v>0</v>
      </c>
      <c r="AW90" s="77">
        <v>14</v>
      </c>
      <c r="AX90" s="584">
        <v>15</v>
      </c>
      <c r="AY90" s="28">
        <v>12</v>
      </c>
      <c r="AZ90" s="28">
        <v>2</v>
      </c>
      <c r="BA90" s="28">
        <v>7</v>
      </c>
      <c r="BB90" s="28">
        <v>16</v>
      </c>
      <c r="BC90" s="28">
        <v>0</v>
      </c>
      <c r="BD90" s="106">
        <v>1.2666666666666666</v>
      </c>
      <c r="BE90" s="77">
        <v>0</v>
      </c>
      <c r="BF90" s="28">
        <v>0</v>
      </c>
      <c r="BG90" s="28">
        <v>0</v>
      </c>
      <c r="BH90" s="28">
        <v>0</v>
      </c>
      <c r="BI90" s="75">
        <v>88</v>
      </c>
    </row>
    <row r="91" spans="1:61">
      <c r="A91" s="101" t="s">
        <v>502</v>
      </c>
      <c r="B91" s="71" t="s">
        <v>215</v>
      </c>
      <c r="C91" s="116" t="s">
        <v>533</v>
      </c>
      <c r="D91" s="89">
        <f>VLOOKUP(Table70[[#This Row],[NAME]],KCR_P[[NAME]:['#]],2,0)</f>
        <v>3.75</v>
      </c>
      <c r="E91" s="77">
        <f>VLOOKUP(Table70[[#This Row],[NAME]],KCR_P[[NAME]:['#]],3,0)</f>
        <v>1</v>
      </c>
      <c r="F91" s="28">
        <f>VLOOKUP(Table70[[#This Row],[NAME]],KCR_P[[NAME]:['#]],4,0)</f>
        <v>2</v>
      </c>
      <c r="G91" s="77">
        <f>VLOOKUP(Table70[[#This Row],[NAME]],KCR_P[[NAME]:['#]],5,0)</f>
        <v>23</v>
      </c>
      <c r="H91" s="584">
        <f>VLOOKUP(Table70[[#This Row],[NAME]],KCR_P[[NAME]:['#]],6,0)</f>
        <v>24</v>
      </c>
      <c r="I91" s="28">
        <f>VLOOKUP(Table70[[#This Row],[NAME]],KCR_P[[NAME]:['#]],7,0)</f>
        <v>22</v>
      </c>
      <c r="J91" s="28">
        <f>VLOOKUP(Table70[[#This Row],[NAME]],KCR_P[[NAME]:['#]],8,0)</f>
        <v>10</v>
      </c>
      <c r="K91" s="28">
        <f>VLOOKUP(Table70[[#This Row],[NAME]],KCR_P[[NAME]:['#]],9,0)</f>
        <v>7</v>
      </c>
      <c r="L91" s="28">
        <f>VLOOKUP(Table70[[#This Row],[NAME]],KCR_P[[NAME]:['#]],10,0)</f>
        <v>32</v>
      </c>
      <c r="M91" s="28">
        <f>VLOOKUP(Table70[[#This Row],[NAME]],KCR_P[[NAME]:['#]],11,0)</f>
        <v>2</v>
      </c>
      <c r="N91" s="106">
        <f>VLOOKUP(Table70[[#This Row],[NAME]],KCR_P[[NAME]:['#]],12,0)</f>
        <v>1.2083333333333333</v>
      </c>
      <c r="O91" s="77">
        <f>VLOOKUP(Table70[[#This Row],[NAME]],KCR_P[[NAME]:['#]],13,0)</f>
        <v>0</v>
      </c>
      <c r="P91" s="28">
        <f>VLOOKUP(Table70[[#This Row],[NAME]],KCR_P[[NAME]:['#]],14,0)</f>
        <v>0</v>
      </c>
      <c r="Q91" s="28">
        <f>VLOOKUP(Table70[[#This Row],[NAME]],KCR_P[[NAME]:['#]],15,0)</f>
        <v>0</v>
      </c>
      <c r="R91" s="28">
        <f>VLOOKUP(Table70[[#This Row],[NAME]],KCR_P[[NAME]:['#]],16,0)</f>
        <v>0</v>
      </c>
      <c r="S91" s="75">
        <v>89</v>
      </c>
      <c r="V91" s="101" t="s">
        <v>502</v>
      </c>
      <c r="W91" s="77" t="s">
        <v>212</v>
      </c>
      <c r="X91" s="132" t="s">
        <v>532</v>
      </c>
      <c r="Y91" s="88">
        <v>3.4838709677419355</v>
      </c>
      <c r="Z91" s="77">
        <v>0</v>
      </c>
      <c r="AA91" s="28">
        <v>2</v>
      </c>
      <c r="AB91" s="77">
        <v>26</v>
      </c>
      <c r="AC91" s="584">
        <v>31</v>
      </c>
      <c r="AD91" s="28">
        <v>32</v>
      </c>
      <c r="AE91" s="28">
        <v>12</v>
      </c>
      <c r="AF91" s="28">
        <v>10</v>
      </c>
      <c r="AG91" s="28">
        <v>26</v>
      </c>
      <c r="AH91" s="28">
        <v>5</v>
      </c>
      <c r="AI91" s="106">
        <v>1.3548387096774193</v>
      </c>
      <c r="AJ91" s="77">
        <v>0</v>
      </c>
      <c r="AK91" s="28">
        <v>0</v>
      </c>
      <c r="AL91" s="28">
        <v>0</v>
      </c>
      <c r="AM91" s="28">
        <v>0</v>
      </c>
      <c r="AN91" s="75">
        <v>89</v>
      </c>
      <c r="AQ91" s="101" t="s">
        <v>502</v>
      </c>
      <c r="AR91" s="77" t="s">
        <v>212</v>
      </c>
      <c r="AS91" s="77" t="s">
        <v>532</v>
      </c>
      <c r="AT91" s="135">
        <v>5.5580061755624168</v>
      </c>
      <c r="AU91" s="77">
        <v>1</v>
      </c>
      <c r="AV91" s="28">
        <v>3</v>
      </c>
      <c r="AW91" s="77">
        <v>19</v>
      </c>
      <c r="AX91" s="584">
        <v>22.67</v>
      </c>
      <c r="AY91" s="28">
        <v>22</v>
      </c>
      <c r="AZ91" s="28">
        <v>14</v>
      </c>
      <c r="BA91" s="28">
        <v>14</v>
      </c>
      <c r="BB91" s="28">
        <v>25</v>
      </c>
      <c r="BC91" s="28">
        <v>0</v>
      </c>
      <c r="BD91" s="106">
        <v>1.5880017644464048</v>
      </c>
      <c r="BE91" s="77">
        <v>0</v>
      </c>
      <c r="BF91" s="28">
        <v>0</v>
      </c>
      <c r="BG91" s="28">
        <v>0</v>
      </c>
      <c r="BH91" s="28">
        <v>0</v>
      </c>
      <c r="BI91" s="75">
        <v>89</v>
      </c>
    </row>
    <row r="92" spans="1:61">
      <c r="A92" s="101" t="s">
        <v>502</v>
      </c>
      <c r="B92" s="71" t="s">
        <v>212</v>
      </c>
      <c r="C92" s="116" t="s">
        <v>532</v>
      </c>
      <c r="D92" s="89">
        <f>VLOOKUP(Table70[[#This Row],[NAME]],KCR_P[[NAME]:['#]],2,0)</f>
        <v>3.4137931034482758</v>
      </c>
      <c r="E92" s="77">
        <f>VLOOKUP(Table70[[#This Row],[NAME]],KCR_P[[NAME]:['#]],3,0)</f>
        <v>4</v>
      </c>
      <c r="F92" s="28">
        <f>VLOOKUP(Table70[[#This Row],[NAME]],KCR_P[[NAME]:['#]],4,0)</f>
        <v>1</v>
      </c>
      <c r="G92" s="77">
        <f>VLOOKUP(Table70[[#This Row],[NAME]],KCR_P[[NAME]:['#]],5,0)</f>
        <v>25</v>
      </c>
      <c r="H92" s="584">
        <f>VLOOKUP(Table70[[#This Row],[NAME]],KCR_P[[NAME]:['#]],6,0)</f>
        <v>29</v>
      </c>
      <c r="I92" s="28">
        <f>VLOOKUP(Table70[[#This Row],[NAME]],KCR_P[[NAME]:['#]],7,0)</f>
        <v>28</v>
      </c>
      <c r="J92" s="28">
        <f>VLOOKUP(Table70[[#This Row],[NAME]],KCR_P[[NAME]:['#]],8,0)</f>
        <v>11</v>
      </c>
      <c r="K92" s="28">
        <f>VLOOKUP(Table70[[#This Row],[NAME]],KCR_P[[NAME]:['#]],9,0)</f>
        <v>11</v>
      </c>
      <c r="L92" s="28">
        <f>VLOOKUP(Table70[[#This Row],[NAME]],KCR_P[[NAME]:['#]],10,0)</f>
        <v>25</v>
      </c>
      <c r="M92" s="28">
        <f>VLOOKUP(Table70[[#This Row],[NAME]],KCR_P[[NAME]:['#]],11,0)</f>
        <v>7</v>
      </c>
      <c r="N92" s="106">
        <f>VLOOKUP(Table70[[#This Row],[NAME]],KCR_P[[NAME]:['#]],12,0)</f>
        <v>1.3448275862068966</v>
      </c>
      <c r="O92" s="77">
        <f>VLOOKUP(Table70[[#This Row],[NAME]],KCR_P[[NAME]:['#]],13,0)</f>
        <v>0</v>
      </c>
      <c r="P92" s="28">
        <f>VLOOKUP(Table70[[#This Row],[NAME]],KCR_P[[NAME]:['#]],14,0)</f>
        <v>0</v>
      </c>
      <c r="Q92" s="28">
        <f>VLOOKUP(Table70[[#This Row],[NAME]],KCR_P[[NAME]:['#]],15,0)</f>
        <v>0</v>
      </c>
      <c r="R92" s="28">
        <f>VLOOKUP(Table70[[#This Row],[NAME]],KCR_P[[NAME]:['#]],16,0)</f>
        <v>0</v>
      </c>
      <c r="S92" s="75">
        <v>90</v>
      </c>
      <c r="V92" s="101" t="s">
        <v>502</v>
      </c>
      <c r="W92" s="77" t="s">
        <v>215</v>
      </c>
      <c r="X92" s="132" t="s">
        <v>534</v>
      </c>
      <c r="Y92" s="88">
        <v>5.333333333333333</v>
      </c>
      <c r="Z92" s="77">
        <v>3</v>
      </c>
      <c r="AA92" s="28">
        <v>3</v>
      </c>
      <c r="AB92" s="77">
        <v>23</v>
      </c>
      <c r="AC92" s="584">
        <v>27</v>
      </c>
      <c r="AD92" s="28">
        <v>25</v>
      </c>
      <c r="AE92" s="28">
        <v>16</v>
      </c>
      <c r="AF92" s="28">
        <v>15</v>
      </c>
      <c r="AG92" s="28">
        <v>31</v>
      </c>
      <c r="AH92" s="28">
        <v>2</v>
      </c>
      <c r="AI92" s="106">
        <v>1.4814814814814814</v>
      </c>
      <c r="AJ92" s="77">
        <v>0</v>
      </c>
      <c r="AK92" s="28">
        <v>0</v>
      </c>
      <c r="AL92" s="28">
        <v>0</v>
      </c>
      <c r="AM92" s="28">
        <v>0</v>
      </c>
      <c r="AN92" s="75">
        <v>90</v>
      </c>
      <c r="AQ92" s="101" t="s">
        <v>502</v>
      </c>
      <c r="AR92" s="77" t="s">
        <v>212</v>
      </c>
      <c r="AS92" s="77" t="s">
        <v>535</v>
      </c>
      <c r="AT92" s="135">
        <v>1.4592622618565059</v>
      </c>
      <c r="AU92" s="77">
        <v>1</v>
      </c>
      <c r="AV92" s="28">
        <v>0</v>
      </c>
      <c r="AW92" s="77">
        <v>22</v>
      </c>
      <c r="AX92" s="584">
        <v>24.67</v>
      </c>
      <c r="AY92" s="28">
        <v>16</v>
      </c>
      <c r="AZ92" s="28">
        <v>4</v>
      </c>
      <c r="BA92" s="28">
        <v>7</v>
      </c>
      <c r="BB92" s="28">
        <v>31</v>
      </c>
      <c r="BC92" s="28">
        <v>9</v>
      </c>
      <c r="BD92" s="106">
        <v>0.93230644507498983</v>
      </c>
      <c r="BE92" s="77">
        <v>0</v>
      </c>
      <c r="BF92" s="28">
        <v>0</v>
      </c>
      <c r="BG92" s="28">
        <v>0</v>
      </c>
      <c r="BH92" s="28">
        <v>0</v>
      </c>
      <c r="BI92" s="75">
        <v>90</v>
      </c>
    </row>
    <row r="93" spans="1:61">
      <c r="A93" s="101" t="s">
        <v>539</v>
      </c>
      <c r="B93" s="71" t="s">
        <v>206</v>
      </c>
      <c r="C93" s="116" t="s">
        <v>556</v>
      </c>
      <c r="D93" s="89">
        <f>VLOOKUP(Table70[[#This Row],[NAME]],CHW_P[[NAME]:['#]],2,0)</f>
        <v>2.940739640576266</v>
      </c>
      <c r="E93" s="77">
        <f>VLOOKUP(Table70[[#This Row],[NAME]],CHW_P[[NAME]:['#]],3,0)</f>
        <v>5</v>
      </c>
      <c r="F93" s="28">
        <f>VLOOKUP(Table70[[#This Row],[NAME]],CHW_P[[NAME]:['#]],4,0)</f>
        <v>3</v>
      </c>
      <c r="G93" s="77">
        <f>VLOOKUP(Table70[[#This Row],[NAME]],CHW_P[[NAME]:['#]],5,0)</f>
        <v>10</v>
      </c>
      <c r="H93" s="584">
        <f>VLOOKUP(Table70[[#This Row],[NAME]],CHW_P[[NAME]:['#]],6,0)</f>
        <v>67.33</v>
      </c>
      <c r="I93" s="28">
        <f>VLOOKUP(Table70[[#This Row],[NAME]],CHW_P[[NAME]:['#]],7,0)</f>
        <v>53</v>
      </c>
      <c r="J93" s="28">
        <f>VLOOKUP(Table70[[#This Row],[NAME]],CHW_P[[NAME]:['#]],8,0)</f>
        <v>22</v>
      </c>
      <c r="K93" s="28">
        <f>VLOOKUP(Table70[[#This Row],[NAME]],CHW_P[[NAME]:['#]],9,0)</f>
        <v>22</v>
      </c>
      <c r="L93" s="28">
        <f>VLOOKUP(Table70[[#This Row],[NAME]],CHW_P[[NAME]:['#]],10,0)</f>
        <v>82</v>
      </c>
      <c r="M93" s="28">
        <f>VLOOKUP(Table70[[#This Row],[NAME]],CHW_P[[NAME]:['#]],11,0)</f>
        <v>0</v>
      </c>
      <c r="N93" s="106">
        <f>VLOOKUP(Table70[[#This Row],[NAME]],CHW_P[[NAME]:['#]],12,0)</f>
        <v>1.113916530521313</v>
      </c>
      <c r="O93" s="77">
        <f>VLOOKUP(Table70[[#This Row],[NAME]],CHW_P[[NAME]:['#]],13,0)</f>
        <v>6</v>
      </c>
      <c r="P93" s="28">
        <f>VLOOKUP(Table70[[#This Row],[NAME]],CHW_P[[NAME]:['#]],14,0)</f>
        <v>5</v>
      </c>
      <c r="Q93" s="28">
        <f>VLOOKUP(Table70[[#This Row],[NAME]],CHW_P[[NAME]:['#]],15,0)</f>
        <v>1</v>
      </c>
      <c r="R93" s="28">
        <f>VLOOKUP(Table70[[#This Row],[NAME]],CHW_P[[NAME]:['#]],16,0)</f>
        <v>1</v>
      </c>
      <c r="S93" s="75">
        <v>91</v>
      </c>
      <c r="V93" s="101" t="s">
        <v>539</v>
      </c>
      <c r="W93" s="77" t="s">
        <v>206</v>
      </c>
      <c r="X93" s="132" t="s">
        <v>557</v>
      </c>
      <c r="Y93" s="88">
        <v>3.1992037537324043</v>
      </c>
      <c r="Z93" s="77">
        <v>3</v>
      </c>
      <c r="AA93" s="28">
        <v>4</v>
      </c>
      <c r="AB93" s="77">
        <v>10</v>
      </c>
      <c r="AC93" s="584">
        <v>70.33</v>
      </c>
      <c r="AD93" s="28">
        <v>45</v>
      </c>
      <c r="AE93" s="28">
        <v>25</v>
      </c>
      <c r="AF93" s="28">
        <v>32</v>
      </c>
      <c r="AG93" s="28">
        <v>81</v>
      </c>
      <c r="AH93" s="28">
        <v>0</v>
      </c>
      <c r="AI93" s="106">
        <v>1.0948386179439784</v>
      </c>
      <c r="AJ93" s="77">
        <v>8</v>
      </c>
      <c r="AK93" s="28">
        <v>6</v>
      </c>
      <c r="AL93" s="28">
        <v>2</v>
      </c>
      <c r="AM93" s="76">
        <v>2</v>
      </c>
      <c r="AN93" s="75">
        <v>91</v>
      </c>
      <c r="AQ93" s="101" t="s">
        <v>539</v>
      </c>
      <c r="AR93" s="77" t="s">
        <v>206</v>
      </c>
      <c r="AS93" s="77" t="s">
        <v>558</v>
      </c>
      <c r="AT93" s="135">
        <v>2.955223880597015</v>
      </c>
      <c r="AU93" s="77">
        <v>5</v>
      </c>
      <c r="AV93" s="28">
        <v>2</v>
      </c>
      <c r="AW93" s="77">
        <v>10</v>
      </c>
      <c r="AX93" s="584">
        <v>67</v>
      </c>
      <c r="AY93" s="28">
        <v>56</v>
      </c>
      <c r="AZ93" s="28">
        <v>22</v>
      </c>
      <c r="BA93" s="28">
        <v>24</v>
      </c>
      <c r="BB93" s="28">
        <v>80</v>
      </c>
      <c r="BC93" s="28">
        <v>0</v>
      </c>
      <c r="BD93" s="106">
        <v>1.1940298507462686</v>
      </c>
      <c r="BE93" s="77">
        <v>7</v>
      </c>
      <c r="BF93" s="28">
        <v>6</v>
      </c>
      <c r="BG93" s="28">
        <v>0</v>
      </c>
      <c r="BH93" s="28">
        <v>0</v>
      </c>
      <c r="BI93" s="75">
        <v>91</v>
      </c>
    </row>
    <row r="94" spans="1:61">
      <c r="A94" s="101" t="s">
        <v>539</v>
      </c>
      <c r="B94" s="71" t="s">
        <v>206</v>
      </c>
      <c r="C94" s="116" t="s">
        <v>557</v>
      </c>
      <c r="D94" s="89">
        <f>VLOOKUP(Table70[[#This Row],[NAME]],CHW_P[[NAME]:['#]],2,0)</f>
        <v>4.4503049283006426</v>
      </c>
      <c r="E94" s="77">
        <f>VLOOKUP(Table70[[#This Row],[NAME]],CHW_P[[NAME]:['#]],3,0)</f>
        <v>5</v>
      </c>
      <c r="F94" s="28">
        <f>VLOOKUP(Table70[[#This Row],[NAME]],CHW_P[[NAME]:['#]],4,0)</f>
        <v>4</v>
      </c>
      <c r="G94" s="77">
        <f>VLOOKUP(Table70[[#This Row],[NAME]],CHW_P[[NAME]:['#]],5,0)</f>
        <v>10</v>
      </c>
      <c r="H94" s="584">
        <f>VLOOKUP(Table70[[#This Row],[NAME]],CHW_P[[NAME]:['#]],6,0)</f>
        <v>60.67</v>
      </c>
      <c r="I94" s="28">
        <f>VLOOKUP(Table70[[#This Row],[NAME]],CHW_P[[NAME]:['#]],7,0)</f>
        <v>61</v>
      </c>
      <c r="J94" s="28">
        <f>VLOOKUP(Table70[[#This Row],[NAME]],CHW_P[[NAME]:['#]],8,0)</f>
        <v>30</v>
      </c>
      <c r="K94" s="28">
        <f>VLOOKUP(Table70[[#This Row],[NAME]],CHW_P[[NAME]:['#]],9,0)</f>
        <v>26</v>
      </c>
      <c r="L94" s="28">
        <f>VLOOKUP(Table70[[#This Row],[NAME]],CHW_P[[NAME]:['#]],10,0)</f>
        <v>71</v>
      </c>
      <c r="M94" s="28">
        <f>VLOOKUP(Table70[[#This Row],[NAME]],CHW_P[[NAME]:['#]],11,0)</f>
        <v>0</v>
      </c>
      <c r="N94" s="106">
        <f>VLOOKUP(Table70[[#This Row],[NAME]],CHW_P[[NAME]:['#]],12,0)</f>
        <v>1.4339871435635405</v>
      </c>
      <c r="O94" s="77">
        <f>VLOOKUP(Table70[[#This Row],[NAME]],CHW_P[[NAME]:['#]],13,0)</f>
        <v>6</v>
      </c>
      <c r="P94" s="28">
        <f>VLOOKUP(Table70[[#This Row],[NAME]],CHW_P[[NAME]:['#]],14,0)</f>
        <v>2</v>
      </c>
      <c r="Q94" s="28">
        <f>VLOOKUP(Table70[[#This Row],[NAME]],CHW_P[[NAME]:['#]],15,0)</f>
        <v>0</v>
      </c>
      <c r="R94" s="28">
        <f>VLOOKUP(Table70[[#This Row],[NAME]],CHW_P[[NAME]:['#]],16,0)</f>
        <v>0</v>
      </c>
      <c r="S94" s="75">
        <v>92</v>
      </c>
      <c r="V94" s="101" t="s">
        <v>539</v>
      </c>
      <c r="W94" s="77" t="s">
        <v>206</v>
      </c>
      <c r="X94" s="132" t="s">
        <v>560</v>
      </c>
      <c r="Y94" s="88">
        <v>6.5113816834303861</v>
      </c>
      <c r="Z94" s="77">
        <v>2</v>
      </c>
      <c r="AA94" s="76">
        <v>8</v>
      </c>
      <c r="AB94" s="77">
        <v>10</v>
      </c>
      <c r="AC94" s="584">
        <v>56.67</v>
      </c>
      <c r="AD94" s="28">
        <v>61</v>
      </c>
      <c r="AE94" s="28">
        <v>41</v>
      </c>
      <c r="AF94" s="28">
        <v>28</v>
      </c>
      <c r="AG94" s="28">
        <v>59</v>
      </c>
      <c r="AH94" s="28">
        <v>0</v>
      </c>
      <c r="AI94" s="106">
        <v>1.5704958531851068</v>
      </c>
      <c r="AJ94" s="77">
        <v>3</v>
      </c>
      <c r="AK94" s="28">
        <v>0</v>
      </c>
      <c r="AL94" s="28">
        <v>0</v>
      </c>
      <c r="AM94" s="28">
        <v>0</v>
      </c>
      <c r="AN94" s="75">
        <v>92</v>
      </c>
      <c r="AQ94" s="101" t="s">
        <v>539</v>
      </c>
      <c r="AR94" s="77" t="s">
        <v>206</v>
      </c>
      <c r="AS94" s="77" t="s">
        <v>559</v>
      </c>
      <c r="AT94" s="135">
        <v>5.5456461812874975</v>
      </c>
      <c r="AU94" s="77">
        <v>4</v>
      </c>
      <c r="AV94" s="28">
        <v>4</v>
      </c>
      <c r="AW94" s="77">
        <v>10</v>
      </c>
      <c r="AX94" s="584">
        <v>61.67</v>
      </c>
      <c r="AY94" s="28">
        <v>67</v>
      </c>
      <c r="AZ94" s="28">
        <v>38</v>
      </c>
      <c r="BA94" s="28">
        <v>25</v>
      </c>
      <c r="BB94" s="28">
        <v>89</v>
      </c>
      <c r="BC94" s="28">
        <v>0</v>
      </c>
      <c r="BD94" s="106">
        <v>1.4918112534457597</v>
      </c>
      <c r="BE94" s="77">
        <v>5</v>
      </c>
      <c r="BF94" s="28">
        <v>2</v>
      </c>
      <c r="BG94" s="28">
        <v>0</v>
      </c>
      <c r="BH94" s="28">
        <v>0</v>
      </c>
      <c r="BI94" s="75">
        <v>92</v>
      </c>
    </row>
    <row r="95" spans="1:61">
      <c r="A95" s="101" t="s">
        <v>539</v>
      </c>
      <c r="B95" s="71" t="s">
        <v>206</v>
      </c>
      <c r="C95" s="116" t="s">
        <v>560</v>
      </c>
      <c r="D95" s="89">
        <f>VLOOKUP(Table70[[#This Row],[NAME]],CHW_P[[NAME]:['#]],2,0)</f>
        <v>6.7918277194919936</v>
      </c>
      <c r="E95" s="77">
        <f>VLOOKUP(Table70[[#This Row],[NAME]],CHW_P[[NAME]:['#]],3,0)</f>
        <v>1</v>
      </c>
      <c r="F95" s="28">
        <f>VLOOKUP(Table70[[#This Row],[NAME]],CHW_P[[NAME]:['#]],4,0)</f>
        <v>4</v>
      </c>
      <c r="G95" s="77">
        <f>VLOOKUP(Table70[[#This Row],[NAME]],CHW_P[[NAME]:['#]],5,0)</f>
        <v>10</v>
      </c>
      <c r="H95" s="584">
        <f>VLOOKUP(Table70[[#This Row],[NAME]],CHW_P[[NAME]:['#]],6,0)</f>
        <v>54.33</v>
      </c>
      <c r="I95" s="28">
        <f>VLOOKUP(Table70[[#This Row],[NAME]],CHW_P[[NAME]:['#]],7,0)</f>
        <v>70</v>
      </c>
      <c r="J95" s="28">
        <f>VLOOKUP(Table70[[#This Row],[NAME]],CHW_P[[NAME]:['#]],8,0)</f>
        <v>41</v>
      </c>
      <c r="K95" s="28">
        <f>VLOOKUP(Table70[[#This Row],[NAME]],CHW_P[[NAME]:['#]],9,0)</f>
        <v>24</v>
      </c>
      <c r="L95" s="28">
        <f>VLOOKUP(Table70[[#This Row],[NAME]],CHW_P[[NAME]:['#]],10,0)</f>
        <v>52</v>
      </c>
      <c r="M95" s="28">
        <f>VLOOKUP(Table70[[#This Row],[NAME]],CHW_P[[NAME]:['#]],11,0)</f>
        <v>0</v>
      </c>
      <c r="N95" s="106">
        <f>VLOOKUP(Table70[[#This Row],[NAME]],CHW_P[[NAME]:['#]],12,0)</f>
        <v>1.7301674949383399</v>
      </c>
      <c r="O95" s="77">
        <f>VLOOKUP(Table70[[#This Row],[NAME]],CHW_P[[NAME]:['#]],13,0)</f>
        <v>2</v>
      </c>
      <c r="P95" s="28">
        <f>VLOOKUP(Table70[[#This Row],[NAME]],CHW_P[[NAME]:['#]],14,0)</f>
        <v>1</v>
      </c>
      <c r="Q95" s="28">
        <f>VLOOKUP(Table70[[#This Row],[NAME]],CHW_P[[NAME]:['#]],15,0)</f>
        <v>0</v>
      </c>
      <c r="R95" s="28">
        <f>VLOOKUP(Table70[[#This Row],[NAME]],CHW_P[[NAME]:['#]],16,0)</f>
        <v>0</v>
      </c>
      <c r="S95" s="75">
        <v>93</v>
      </c>
      <c r="V95" s="101" t="s">
        <v>539</v>
      </c>
      <c r="W95" s="77" t="s">
        <v>206</v>
      </c>
      <c r="X95" s="132" t="s">
        <v>558</v>
      </c>
      <c r="Y95" s="88">
        <v>4.7142857142857144</v>
      </c>
      <c r="Z95" s="77">
        <v>3</v>
      </c>
      <c r="AA95" s="28">
        <v>5</v>
      </c>
      <c r="AB95" s="77">
        <v>10</v>
      </c>
      <c r="AC95" s="584">
        <v>63</v>
      </c>
      <c r="AD95" s="28">
        <v>57</v>
      </c>
      <c r="AE95" s="28">
        <v>33</v>
      </c>
      <c r="AF95" s="28">
        <v>15</v>
      </c>
      <c r="AG95" s="28">
        <v>75</v>
      </c>
      <c r="AH95" s="28">
        <v>0</v>
      </c>
      <c r="AI95" s="106">
        <v>1.1428571428571428</v>
      </c>
      <c r="AJ95" s="77">
        <v>4</v>
      </c>
      <c r="AK95" s="28">
        <v>3</v>
      </c>
      <c r="AL95" s="28">
        <v>2</v>
      </c>
      <c r="AM95" s="76">
        <v>2</v>
      </c>
      <c r="AN95" s="75">
        <v>93</v>
      </c>
      <c r="AQ95" s="101" t="s">
        <v>539</v>
      </c>
      <c r="AR95" s="77" t="s">
        <v>206</v>
      </c>
      <c r="AS95" s="77" t="s">
        <v>560</v>
      </c>
      <c r="AT95" s="135">
        <v>5.4621120166464365</v>
      </c>
      <c r="AU95" s="77">
        <v>5</v>
      </c>
      <c r="AV95" s="28">
        <v>4</v>
      </c>
      <c r="AW95" s="77">
        <v>10</v>
      </c>
      <c r="AX95" s="584">
        <v>57.67</v>
      </c>
      <c r="AY95" s="28">
        <v>70</v>
      </c>
      <c r="AZ95" s="28">
        <v>35</v>
      </c>
      <c r="BA95" s="28">
        <v>20</v>
      </c>
      <c r="BB95" s="28">
        <v>69</v>
      </c>
      <c r="BC95" s="28">
        <v>0</v>
      </c>
      <c r="BD95" s="106">
        <v>1.5606034333275534</v>
      </c>
      <c r="BE95" s="77">
        <v>6</v>
      </c>
      <c r="BF95" s="28">
        <v>3</v>
      </c>
      <c r="BG95" s="28">
        <v>0</v>
      </c>
      <c r="BH95" s="28">
        <v>0</v>
      </c>
      <c r="BI95" s="75">
        <v>93</v>
      </c>
    </row>
    <row r="96" spans="1:61">
      <c r="A96" s="101" t="s">
        <v>539</v>
      </c>
      <c r="B96" s="71" t="s">
        <v>206</v>
      </c>
      <c r="C96" s="116" t="s">
        <v>558</v>
      </c>
      <c r="D96" s="89">
        <f>VLOOKUP(Table70[[#This Row],[NAME]],CHW_P[[NAME]:['#]],2,0)</f>
        <v>4.0052744354705787</v>
      </c>
      <c r="E96" s="77">
        <f>VLOOKUP(Table70[[#This Row],[NAME]],CHW_P[[NAME]:['#]],3,0)</f>
        <v>4</v>
      </c>
      <c r="F96" s="28">
        <f>VLOOKUP(Table70[[#This Row],[NAME]],CHW_P[[NAME]:['#]],4,0)</f>
        <v>3</v>
      </c>
      <c r="G96" s="77">
        <f>VLOOKUP(Table70[[#This Row],[NAME]],CHW_P[[NAME]:['#]],5,0)</f>
        <v>10</v>
      </c>
      <c r="H96" s="584">
        <f>VLOOKUP(Table70[[#This Row],[NAME]],CHW_P[[NAME]:['#]],6,0)</f>
        <v>60.67</v>
      </c>
      <c r="I96" s="28">
        <f>VLOOKUP(Table70[[#This Row],[NAME]],CHW_P[[NAME]:['#]],7,0)</f>
        <v>60</v>
      </c>
      <c r="J96" s="28">
        <f>VLOOKUP(Table70[[#This Row],[NAME]],CHW_P[[NAME]:['#]],8,0)</f>
        <v>27</v>
      </c>
      <c r="K96" s="28">
        <f>VLOOKUP(Table70[[#This Row],[NAME]],CHW_P[[NAME]:['#]],9,0)</f>
        <v>29</v>
      </c>
      <c r="L96" s="28">
        <f>VLOOKUP(Table70[[#This Row],[NAME]],CHW_P[[NAME]:['#]],10,0)</f>
        <v>63</v>
      </c>
      <c r="M96" s="28">
        <f>VLOOKUP(Table70[[#This Row],[NAME]],CHW_P[[NAME]:['#]],11,0)</f>
        <v>0</v>
      </c>
      <c r="N96" s="106">
        <f>VLOOKUP(Table70[[#This Row],[NAME]],CHW_P[[NAME]:['#]],12,0)</f>
        <v>1.4669523652546563</v>
      </c>
      <c r="O96" s="77">
        <f>VLOOKUP(Table70[[#This Row],[NAME]],CHW_P[[NAME]:['#]],13,0)</f>
        <v>7</v>
      </c>
      <c r="P96" s="28">
        <f>VLOOKUP(Table70[[#This Row],[NAME]],CHW_P[[NAME]:['#]],14,0)</f>
        <v>2</v>
      </c>
      <c r="Q96" s="28">
        <f>VLOOKUP(Table70[[#This Row],[NAME]],CHW_P[[NAME]:['#]],15,0)</f>
        <v>0</v>
      </c>
      <c r="R96" s="28">
        <f>VLOOKUP(Table70[[#This Row],[NAME]],CHW_P[[NAME]:['#]],16,0)</f>
        <v>0</v>
      </c>
      <c r="S96" s="75">
        <v>94</v>
      </c>
      <c r="V96" s="101" t="s">
        <v>539</v>
      </c>
      <c r="W96" s="77" t="s">
        <v>206</v>
      </c>
      <c r="X96" s="132" t="s">
        <v>561</v>
      </c>
      <c r="Y96" s="88">
        <v>4.8</v>
      </c>
      <c r="Z96" s="77">
        <v>3</v>
      </c>
      <c r="AA96" s="28">
        <v>3</v>
      </c>
      <c r="AB96" s="77">
        <v>10</v>
      </c>
      <c r="AC96" s="584">
        <v>60</v>
      </c>
      <c r="AD96" s="28">
        <v>57</v>
      </c>
      <c r="AE96" s="28">
        <v>32</v>
      </c>
      <c r="AF96" s="28">
        <v>24</v>
      </c>
      <c r="AG96" s="28">
        <v>73</v>
      </c>
      <c r="AH96" s="28">
        <v>0</v>
      </c>
      <c r="AI96" s="106">
        <v>1.35</v>
      </c>
      <c r="AJ96" s="77">
        <v>5</v>
      </c>
      <c r="AK96" s="28">
        <v>1</v>
      </c>
      <c r="AL96" s="28">
        <v>0</v>
      </c>
      <c r="AM96" s="28">
        <v>0</v>
      </c>
      <c r="AN96" s="75">
        <v>94</v>
      </c>
      <c r="AQ96" s="101" t="s">
        <v>539</v>
      </c>
      <c r="AR96" s="77" t="s">
        <v>206</v>
      </c>
      <c r="AS96" s="77" t="s">
        <v>562</v>
      </c>
      <c r="AT96" s="135">
        <v>5.9614260666277037</v>
      </c>
      <c r="AU96" s="77">
        <v>3</v>
      </c>
      <c r="AV96" s="28">
        <v>3</v>
      </c>
      <c r="AW96" s="77">
        <v>9</v>
      </c>
      <c r="AX96" s="584">
        <v>51.33</v>
      </c>
      <c r="AY96" s="28">
        <v>69</v>
      </c>
      <c r="AZ96" s="28">
        <v>34</v>
      </c>
      <c r="BA96" s="28">
        <v>18</v>
      </c>
      <c r="BB96" s="28">
        <v>31</v>
      </c>
      <c r="BC96" s="28">
        <v>0</v>
      </c>
      <c r="BD96" s="106">
        <v>1.6949152542372883</v>
      </c>
      <c r="BE96" s="77">
        <v>4</v>
      </c>
      <c r="BF96" s="28">
        <v>1</v>
      </c>
      <c r="BG96" s="28">
        <v>0</v>
      </c>
      <c r="BH96" s="28">
        <v>0</v>
      </c>
      <c r="BI96" s="75">
        <v>94</v>
      </c>
    </row>
    <row r="97" spans="1:61">
      <c r="A97" s="101" t="s">
        <v>539</v>
      </c>
      <c r="B97" s="71" t="s">
        <v>215</v>
      </c>
      <c r="C97" s="116" t="s">
        <v>563</v>
      </c>
      <c r="D97" s="89">
        <f>VLOOKUP(Table70[[#This Row],[NAME]],CHW_P[[NAME]:['#]],2,0)</f>
        <v>3.4615384615384617</v>
      </c>
      <c r="E97" s="77">
        <f>VLOOKUP(Table70[[#This Row],[NAME]],CHW_P[[NAME]:['#]],3,0)</f>
        <v>0</v>
      </c>
      <c r="F97" s="28">
        <f>VLOOKUP(Table70[[#This Row],[NAME]],CHW_P[[NAME]:['#]],4,0)</f>
        <v>0</v>
      </c>
      <c r="G97" s="77">
        <f>VLOOKUP(Table70[[#This Row],[NAME]],CHW_P[[NAME]:['#]],5,0)</f>
        <v>8</v>
      </c>
      <c r="H97" s="584">
        <f>VLOOKUP(Table70[[#This Row],[NAME]],CHW_P[[NAME]:['#]],6,0)</f>
        <v>13</v>
      </c>
      <c r="I97" s="28">
        <f>VLOOKUP(Table70[[#This Row],[NAME]],CHW_P[[NAME]:['#]],7,0)</f>
        <v>16</v>
      </c>
      <c r="J97" s="28">
        <f>VLOOKUP(Table70[[#This Row],[NAME]],CHW_P[[NAME]:['#]],8,0)</f>
        <v>5</v>
      </c>
      <c r="K97" s="28">
        <f>VLOOKUP(Table70[[#This Row],[NAME]],CHW_P[[NAME]:['#]],9,0)</f>
        <v>3</v>
      </c>
      <c r="L97" s="28">
        <f>VLOOKUP(Table70[[#This Row],[NAME]],CHW_P[[NAME]:['#]],10,0)</f>
        <v>12</v>
      </c>
      <c r="M97" s="28">
        <f>VLOOKUP(Table70[[#This Row],[NAME]],CHW_P[[NAME]:['#]],11,0)</f>
        <v>2</v>
      </c>
      <c r="N97" s="106">
        <f>VLOOKUP(Table70[[#This Row],[NAME]],CHW_P[[NAME]:['#]],12,0)</f>
        <v>1.4615384615384615</v>
      </c>
      <c r="O97" s="77">
        <f>VLOOKUP(Table70[[#This Row],[NAME]],CHW_P[[NAME]:['#]],13,0)</f>
        <v>0</v>
      </c>
      <c r="P97" s="28">
        <f>VLOOKUP(Table70[[#This Row],[NAME]],CHW_P[[NAME]:['#]],14,0)</f>
        <v>0</v>
      </c>
      <c r="Q97" s="28">
        <f>VLOOKUP(Table70[[#This Row],[NAME]],CHW_P[[NAME]:['#]],15,0)</f>
        <v>0</v>
      </c>
      <c r="R97" s="28">
        <f>VLOOKUP(Table70[[#This Row],[NAME]],CHW_P[[NAME]:['#]],16,0)</f>
        <v>0</v>
      </c>
      <c r="S97" s="75">
        <v>95</v>
      </c>
      <c r="V97" s="101" t="s">
        <v>539</v>
      </c>
      <c r="W97" s="77" t="s">
        <v>215</v>
      </c>
      <c r="X97" s="132" t="s">
        <v>564</v>
      </c>
      <c r="Y97" s="88">
        <v>0</v>
      </c>
      <c r="Z97" s="77">
        <v>0</v>
      </c>
      <c r="AA97" s="28">
        <v>0</v>
      </c>
      <c r="AB97" s="77">
        <v>0</v>
      </c>
      <c r="AC97" s="584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106">
        <v>0</v>
      </c>
      <c r="AJ97" s="77">
        <v>0</v>
      </c>
      <c r="AK97" s="28">
        <v>0</v>
      </c>
      <c r="AL97" s="28">
        <v>0</v>
      </c>
      <c r="AM97" s="28">
        <v>0</v>
      </c>
      <c r="AN97" s="75">
        <v>95</v>
      </c>
      <c r="AQ97" s="101" t="s">
        <v>539</v>
      </c>
      <c r="AR97" s="77" t="s">
        <v>212</v>
      </c>
      <c r="AS97" s="77" t="s">
        <v>557</v>
      </c>
      <c r="AT97" s="135">
        <v>5.0150021431633096</v>
      </c>
      <c r="AU97" s="77">
        <v>2</v>
      </c>
      <c r="AV97" s="28">
        <v>1</v>
      </c>
      <c r="AW97" s="77">
        <v>16</v>
      </c>
      <c r="AX97" s="584">
        <v>23.33</v>
      </c>
      <c r="AY97" s="28">
        <v>22</v>
      </c>
      <c r="AZ97" s="28">
        <v>13</v>
      </c>
      <c r="BA97" s="28">
        <v>11</v>
      </c>
      <c r="BB97" s="28">
        <v>27</v>
      </c>
      <c r="BC97" s="28">
        <v>0</v>
      </c>
      <c r="BD97" s="106">
        <v>1.4144877839691385</v>
      </c>
      <c r="BE97" s="77">
        <v>0</v>
      </c>
      <c r="BF97" s="28">
        <v>0</v>
      </c>
      <c r="BG97" s="28">
        <v>0</v>
      </c>
      <c r="BH97" s="28">
        <v>0</v>
      </c>
      <c r="BI97" s="75">
        <v>95</v>
      </c>
    </row>
    <row r="98" spans="1:61">
      <c r="A98" s="101" t="s">
        <v>539</v>
      </c>
      <c r="B98" s="71" t="s">
        <v>215</v>
      </c>
      <c r="C98" s="116" t="s">
        <v>565</v>
      </c>
      <c r="D98" s="89">
        <f>VLOOKUP(Table70[[#This Row],[NAME]],CHW_P[[NAME]:['#]],2,0)</f>
        <v>3</v>
      </c>
      <c r="E98" s="77">
        <f>VLOOKUP(Table70[[#This Row],[NAME]],CHW_P[[NAME]:['#]],3,0)</f>
        <v>1</v>
      </c>
      <c r="F98" s="28">
        <f>VLOOKUP(Table70[[#This Row],[NAME]],CHW_P[[NAME]:['#]],4,0)</f>
        <v>0</v>
      </c>
      <c r="G98" s="77">
        <f>VLOOKUP(Table70[[#This Row],[NAME]],CHW_P[[NAME]:['#]],5,0)</f>
        <v>5</v>
      </c>
      <c r="H98" s="584">
        <f>VLOOKUP(Table70[[#This Row],[NAME]],CHW_P[[NAME]:['#]],6,0)</f>
        <v>12</v>
      </c>
      <c r="I98" s="28">
        <f>VLOOKUP(Table70[[#This Row],[NAME]],CHW_P[[NAME]:['#]],7,0)</f>
        <v>10</v>
      </c>
      <c r="J98" s="28">
        <f>VLOOKUP(Table70[[#This Row],[NAME]],CHW_P[[NAME]:['#]],8,0)</f>
        <v>4</v>
      </c>
      <c r="K98" s="28">
        <f>VLOOKUP(Table70[[#This Row],[NAME]],CHW_P[[NAME]:['#]],9,0)</f>
        <v>4</v>
      </c>
      <c r="L98" s="28">
        <f>VLOOKUP(Table70[[#This Row],[NAME]],CHW_P[[NAME]:['#]],10,0)</f>
        <v>7</v>
      </c>
      <c r="M98" s="28">
        <f>VLOOKUP(Table70[[#This Row],[NAME]],CHW_P[[NAME]:['#]],11,0)</f>
        <v>0</v>
      </c>
      <c r="N98" s="106">
        <f>VLOOKUP(Table70[[#This Row],[NAME]],CHW_P[[NAME]:['#]],12,0)</f>
        <v>1.1666666666666667</v>
      </c>
      <c r="O98" s="77">
        <f>VLOOKUP(Table70[[#This Row],[NAME]],CHW_P[[NAME]:['#]],13,0)</f>
        <v>0</v>
      </c>
      <c r="P98" s="28">
        <f>VLOOKUP(Table70[[#This Row],[NAME]],CHW_P[[NAME]:['#]],14,0)</f>
        <v>0</v>
      </c>
      <c r="Q98" s="28">
        <f>VLOOKUP(Table70[[#This Row],[NAME]],CHW_P[[NAME]:['#]],15,0)</f>
        <v>0</v>
      </c>
      <c r="R98" s="28">
        <f>VLOOKUP(Table70[[#This Row],[NAME]],CHW_P[[NAME]:['#]],16,0)</f>
        <v>0</v>
      </c>
      <c r="S98" s="75">
        <v>96</v>
      </c>
      <c r="V98" s="101" t="s">
        <v>539</v>
      </c>
      <c r="W98" s="77" t="s">
        <v>212</v>
      </c>
      <c r="X98" s="132" t="s">
        <v>566</v>
      </c>
      <c r="Y98" s="88">
        <v>0</v>
      </c>
      <c r="Z98" s="77">
        <v>0</v>
      </c>
      <c r="AA98" s="28">
        <v>0</v>
      </c>
      <c r="AB98" s="77">
        <v>0</v>
      </c>
      <c r="AC98" s="584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106">
        <v>0</v>
      </c>
      <c r="AJ98" s="77">
        <v>0</v>
      </c>
      <c r="AK98" s="28">
        <v>0</v>
      </c>
      <c r="AL98" s="28">
        <v>0</v>
      </c>
      <c r="AM98" s="28">
        <v>0</v>
      </c>
      <c r="AN98" s="75">
        <v>96</v>
      </c>
      <c r="AQ98" s="101" t="s">
        <v>539</v>
      </c>
      <c r="AR98" s="77" t="s">
        <v>212</v>
      </c>
      <c r="AS98" s="77" t="s">
        <v>561</v>
      </c>
      <c r="AT98" s="135">
        <v>3.4220532319391634</v>
      </c>
      <c r="AU98" s="77">
        <v>1</v>
      </c>
      <c r="AV98" s="28">
        <v>0</v>
      </c>
      <c r="AW98" s="77">
        <v>14</v>
      </c>
      <c r="AX98" s="584">
        <v>23.67</v>
      </c>
      <c r="AY98" s="28">
        <v>24</v>
      </c>
      <c r="AZ98" s="28">
        <v>9</v>
      </c>
      <c r="BA98" s="28">
        <v>5</v>
      </c>
      <c r="BB98" s="28">
        <v>29</v>
      </c>
      <c r="BC98" s="28">
        <v>0</v>
      </c>
      <c r="BD98" s="106">
        <v>1.2251795521757498</v>
      </c>
      <c r="BE98" s="77">
        <v>0</v>
      </c>
      <c r="BF98" s="28">
        <v>0</v>
      </c>
      <c r="BG98" s="28">
        <v>0</v>
      </c>
      <c r="BH98" s="28">
        <v>0</v>
      </c>
      <c r="BI98" s="75">
        <v>96</v>
      </c>
    </row>
    <row r="99" spans="1:61">
      <c r="A99" s="101" t="s">
        <v>539</v>
      </c>
      <c r="B99" s="71" t="s">
        <v>212</v>
      </c>
      <c r="C99" s="116" t="s">
        <v>561</v>
      </c>
      <c r="D99" s="89">
        <f>VLOOKUP(Table70[[#This Row],[NAME]],CHW_P[[NAME]:['#]],2,0)</f>
        <v>5.4722334819618963</v>
      </c>
      <c r="E99" s="77">
        <f>VLOOKUP(Table70[[#This Row],[NAME]],CHW_P[[NAME]:['#]],3,0)</f>
        <v>2</v>
      </c>
      <c r="F99" s="28">
        <f>VLOOKUP(Table70[[#This Row],[NAME]],CHW_P[[NAME]:['#]],4,0)</f>
        <v>1</v>
      </c>
      <c r="G99" s="77">
        <f>VLOOKUP(Table70[[#This Row],[NAME]],CHW_P[[NAME]:['#]],5,0)</f>
        <v>21</v>
      </c>
      <c r="H99" s="584">
        <f>VLOOKUP(Table70[[#This Row],[NAME]],CHW_P[[NAME]:['#]],6,0)</f>
        <v>24.67</v>
      </c>
      <c r="I99" s="28">
        <f>VLOOKUP(Table70[[#This Row],[NAME]],CHW_P[[NAME]:['#]],7,0)</f>
        <v>31</v>
      </c>
      <c r="J99" s="28">
        <f>VLOOKUP(Table70[[#This Row],[NAME]],CHW_P[[NAME]:['#]],8,0)</f>
        <v>15</v>
      </c>
      <c r="K99" s="28">
        <f>VLOOKUP(Table70[[#This Row],[NAME]],CHW_P[[NAME]:['#]],9,0)</f>
        <v>15</v>
      </c>
      <c r="L99" s="28">
        <f>VLOOKUP(Table70[[#This Row],[NAME]],CHW_P[[NAME]:['#]],10,0)</f>
        <v>23</v>
      </c>
      <c r="M99" s="28">
        <f>VLOOKUP(Table70[[#This Row],[NAME]],CHW_P[[NAME]:['#]],11,0)</f>
        <v>0</v>
      </c>
      <c r="N99" s="106">
        <f>VLOOKUP(Table70[[#This Row],[NAME]],CHW_P[[NAME]:['#]],12,0)</f>
        <v>1.8646128901499797</v>
      </c>
      <c r="O99" s="77">
        <f>VLOOKUP(Table70[[#This Row],[NAME]],CHW_P[[NAME]:['#]],13,0)</f>
        <v>0</v>
      </c>
      <c r="P99" s="28">
        <f>VLOOKUP(Table70[[#This Row],[NAME]],CHW_P[[NAME]:['#]],14,0)</f>
        <v>0</v>
      </c>
      <c r="Q99" s="28">
        <f>VLOOKUP(Table70[[#This Row],[NAME]],CHW_P[[NAME]:['#]],15,0)</f>
        <v>0</v>
      </c>
      <c r="R99" s="28">
        <f>VLOOKUP(Table70[[#This Row],[NAME]],CHW_P[[NAME]:['#]],16,0)</f>
        <v>0</v>
      </c>
      <c r="S99" s="75">
        <v>97</v>
      </c>
      <c r="V99" s="101" t="s">
        <v>539</v>
      </c>
      <c r="W99" s="77" t="s">
        <v>212</v>
      </c>
      <c r="X99" s="132" t="s">
        <v>556</v>
      </c>
      <c r="Y99" s="88">
        <v>2.0185029436501263</v>
      </c>
      <c r="Z99" s="77">
        <v>1</v>
      </c>
      <c r="AA99" s="28">
        <v>1</v>
      </c>
      <c r="AB99" s="77">
        <v>25</v>
      </c>
      <c r="AC99" s="584">
        <v>35.67</v>
      </c>
      <c r="AD99" s="28">
        <v>38</v>
      </c>
      <c r="AE99" s="28">
        <v>8</v>
      </c>
      <c r="AF99" s="28">
        <v>19</v>
      </c>
      <c r="AG99" s="28">
        <v>32</v>
      </c>
      <c r="AH99" s="28">
        <v>0</v>
      </c>
      <c r="AI99" s="106">
        <v>1.5979814970563497</v>
      </c>
      <c r="AJ99" s="77">
        <v>0</v>
      </c>
      <c r="AK99" s="28">
        <v>0</v>
      </c>
      <c r="AL99" s="28">
        <v>0</v>
      </c>
      <c r="AM99" s="28">
        <v>0</v>
      </c>
      <c r="AN99" s="75">
        <v>97</v>
      </c>
      <c r="AQ99" s="101" t="s">
        <v>539</v>
      </c>
      <c r="AR99" s="77" t="s">
        <v>212</v>
      </c>
      <c r="AS99" s="77" t="s">
        <v>556</v>
      </c>
      <c r="AT99" s="135">
        <v>3.4369885433715224</v>
      </c>
      <c r="AU99" s="77">
        <v>0</v>
      </c>
      <c r="AV99" s="28">
        <v>2</v>
      </c>
      <c r="AW99" s="77">
        <v>19</v>
      </c>
      <c r="AX99" s="584">
        <v>18.329999999999998</v>
      </c>
      <c r="AY99" s="28">
        <v>16</v>
      </c>
      <c r="AZ99" s="28">
        <v>7</v>
      </c>
      <c r="BA99" s="28">
        <v>8</v>
      </c>
      <c r="BB99" s="28">
        <v>25</v>
      </c>
      <c r="BC99" s="28">
        <v>2</v>
      </c>
      <c r="BD99" s="106">
        <v>1.3093289689034371</v>
      </c>
      <c r="BE99" s="77">
        <v>0</v>
      </c>
      <c r="BF99" s="28">
        <v>0</v>
      </c>
      <c r="BG99" s="28">
        <v>0</v>
      </c>
      <c r="BH99" s="28">
        <v>0</v>
      </c>
      <c r="BI99" s="75">
        <v>97</v>
      </c>
    </row>
    <row r="100" spans="1:61">
      <c r="A100" s="101" t="s">
        <v>539</v>
      </c>
      <c r="B100" s="71" t="s">
        <v>212</v>
      </c>
      <c r="C100" s="116" t="s">
        <v>567</v>
      </c>
      <c r="D100" s="89">
        <f>VLOOKUP(Table70[[#This Row],[NAME]],CHW_P[[NAME]:['#]],2,0)</f>
        <v>4.6027957722468464</v>
      </c>
      <c r="E100" s="77">
        <f>VLOOKUP(Table70[[#This Row],[NAME]],CHW_P[[NAME]:['#]],3,0)</f>
        <v>1</v>
      </c>
      <c r="F100" s="28">
        <f>VLOOKUP(Table70[[#This Row],[NAME]],CHW_P[[NAME]:['#]],4,0)</f>
        <v>3</v>
      </c>
      <c r="G100" s="77">
        <f>VLOOKUP(Table70[[#This Row],[NAME]],CHW_P[[NAME]:['#]],5,0)</f>
        <v>19</v>
      </c>
      <c r="H100" s="584">
        <f>VLOOKUP(Table70[[#This Row],[NAME]],CHW_P[[NAME]:['#]],6,0)</f>
        <v>29.33</v>
      </c>
      <c r="I100" s="28">
        <f>VLOOKUP(Table70[[#This Row],[NAME]],CHW_P[[NAME]:['#]],7,0)</f>
        <v>25</v>
      </c>
      <c r="J100" s="28">
        <f>VLOOKUP(Table70[[#This Row],[NAME]],CHW_P[[NAME]:['#]],8,0)</f>
        <v>15</v>
      </c>
      <c r="K100" s="28">
        <f>VLOOKUP(Table70[[#This Row],[NAME]],CHW_P[[NAME]:['#]],9,0)</f>
        <v>9</v>
      </c>
      <c r="L100" s="28">
        <f>VLOOKUP(Table70[[#This Row],[NAME]],CHW_P[[NAME]:['#]],10,0)</f>
        <v>20</v>
      </c>
      <c r="M100" s="28">
        <f>VLOOKUP(Table70[[#This Row],[NAME]],CHW_P[[NAME]:['#]],11,0)</f>
        <v>0</v>
      </c>
      <c r="N100" s="106">
        <f>VLOOKUP(Table70[[#This Row],[NAME]],CHW_P[[NAME]:['#]],12,0)</f>
        <v>1.1592226389362428</v>
      </c>
      <c r="O100" s="77">
        <f>VLOOKUP(Table70[[#This Row],[NAME]],CHW_P[[NAME]:['#]],13,0)</f>
        <v>0</v>
      </c>
      <c r="P100" s="28">
        <f>VLOOKUP(Table70[[#This Row],[NAME]],CHW_P[[NAME]:['#]],14,0)</f>
        <v>0</v>
      </c>
      <c r="Q100" s="28">
        <f>VLOOKUP(Table70[[#This Row],[NAME]],CHW_P[[NAME]:['#]],15,0)</f>
        <v>0</v>
      </c>
      <c r="R100" s="28">
        <f>VLOOKUP(Table70[[#This Row],[NAME]],CHW_P[[NAME]:['#]],16,0)</f>
        <v>0</v>
      </c>
      <c r="S100" s="75">
        <v>98</v>
      </c>
      <c r="V100" s="101" t="s">
        <v>539</v>
      </c>
      <c r="W100" s="77" t="s">
        <v>212</v>
      </c>
      <c r="X100" s="132" t="s">
        <v>567</v>
      </c>
      <c r="Y100" s="88">
        <v>2.6344676180021955</v>
      </c>
      <c r="Z100" s="77">
        <v>2</v>
      </c>
      <c r="AA100" s="28">
        <v>0</v>
      </c>
      <c r="AB100" s="77">
        <v>21</v>
      </c>
      <c r="AC100" s="584">
        <v>27.33</v>
      </c>
      <c r="AD100" s="28">
        <v>23</v>
      </c>
      <c r="AE100" s="28">
        <v>8</v>
      </c>
      <c r="AF100" s="28">
        <v>7</v>
      </c>
      <c r="AG100" s="28">
        <v>20</v>
      </c>
      <c r="AH100" s="28">
        <v>0</v>
      </c>
      <c r="AI100" s="106">
        <v>1.0976948408342482</v>
      </c>
      <c r="AJ100" s="77">
        <v>0</v>
      </c>
      <c r="AK100" s="28">
        <v>0</v>
      </c>
      <c r="AL100" s="28">
        <v>0</v>
      </c>
      <c r="AM100" s="28">
        <v>0</v>
      </c>
      <c r="AN100" s="75">
        <v>98</v>
      </c>
      <c r="AQ100" s="101" t="s">
        <v>539</v>
      </c>
      <c r="AR100" s="77" t="s">
        <v>212</v>
      </c>
      <c r="AS100" s="77" t="s">
        <v>567</v>
      </c>
      <c r="AT100" s="135">
        <v>3.6</v>
      </c>
      <c r="AU100" s="77">
        <v>0</v>
      </c>
      <c r="AV100" s="28">
        <v>0</v>
      </c>
      <c r="AW100" s="77">
        <v>9</v>
      </c>
      <c r="AX100" s="584">
        <v>10</v>
      </c>
      <c r="AY100" s="28">
        <v>7</v>
      </c>
      <c r="AZ100" s="28">
        <v>4</v>
      </c>
      <c r="BA100" s="28">
        <v>0</v>
      </c>
      <c r="BB100" s="28">
        <v>11</v>
      </c>
      <c r="BC100" s="28">
        <v>0</v>
      </c>
      <c r="BD100" s="106">
        <v>0.7</v>
      </c>
      <c r="BE100" s="77">
        <v>0</v>
      </c>
      <c r="BF100" s="28">
        <v>0</v>
      </c>
      <c r="BG100" s="28">
        <v>0</v>
      </c>
      <c r="BH100" s="28">
        <v>0</v>
      </c>
      <c r="BI100" s="75">
        <v>98</v>
      </c>
    </row>
    <row r="101" spans="1:61">
      <c r="A101" s="101" t="s">
        <v>539</v>
      </c>
      <c r="B101" s="71" t="s">
        <v>212</v>
      </c>
      <c r="C101" s="116" t="s">
        <v>568</v>
      </c>
      <c r="D101" s="89">
        <f>VLOOKUP(Table70[[#This Row],[NAME]],CHW_P[[NAME]:['#]],2,0)</f>
        <v>4.5</v>
      </c>
      <c r="E101" s="77">
        <f>VLOOKUP(Table70[[#This Row],[NAME]],CHW_P[[NAME]:['#]],3,0)</f>
        <v>0</v>
      </c>
      <c r="F101" s="28">
        <f>VLOOKUP(Table70[[#This Row],[NAME]],CHW_P[[NAME]:['#]],4,0)</f>
        <v>1</v>
      </c>
      <c r="G101" s="77">
        <f>VLOOKUP(Table70[[#This Row],[NAME]],CHW_P[[NAME]:['#]],5,0)</f>
        <v>18</v>
      </c>
      <c r="H101" s="584">
        <f>VLOOKUP(Table70[[#This Row],[NAME]],CHW_P[[NAME]:['#]],6,0)</f>
        <v>18</v>
      </c>
      <c r="I101" s="28">
        <f>VLOOKUP(Table70[[#This Row],[NAME]],CHW_P[[NAME]:['#]],7,0)</f>
        <v>18</v>
      </c>
      <c r="J101" s="28">
        <f>VLOOKUP(Table70[[#This Row],[NAME]],CHW_P[[NAME]:['#]],8,0)</f>
        <v>9</v>
      </c>
      <c r="K101" s="28">
        <f>VLOOKUP(Table70[[#This Row],[NAME]],CHW_P[[NAME]:['#]],9,0)</f>
        <v>8</v>
      </c>
      <c r="L101" s="28">
        <f>VLOOKUP(Table70[[#This Row],[NAME]],CHW_P[[NAME]:['#]],10,0)</f>
        <v>22</v>
      </c>
      <c r="M101" s="28">
        <f>VLOOKUP(Table70[[#This Row],[NAME]],CHW_P[[NAME]:['#]],11,0)</f>
        <v>0</v>
      </c>
      <c r="N101" s="106">
        <f>VLOOKUP(Table70[[#This Row],[NAME]],CHW_P[[NAME]:['#]],12,0)</f>
        <v>1.4444444444444444</v>
      </c>
      <c r="O101" s="77">
        <f>VLOOKUP(Table70[[#This Row],[NAME]],CHW_P[[NAME]:['#]],13,0)</f>
        <v>0</v>
      </c>
      <c r="P101" s="28">
        <f>VLOOKUP(Table70[[#This Row],[NAME]],CHW_P[[NAME]:['#]],14,0)</f>
        <v>0</v>
      </c>
      <c r="Q101" s="28">
        <f>VLOOKUP(Table70[[#This Row],[NAME]],CHW_P[[NAME]:['#]],15,0)</f>
        <v>0</v>
      </c>
      <c r="R101" s="28">
        <f>VLOOKUP(Table70[[#This Row],[NAME]],CHW_P[[NAME]:['#]],16,0)</f>
        <v>0</v>
      </c>
      <c r="S101" s="75">
        <v>99</v>
      </c>
      <c r="V101" s="101" t="s">
        <v>539</v>
      </c>
      <c r="W101" s="77" t="s">
        <v>212</v>
      </c>
      <c r="X101" s="132" t="s">
        <v>568</v>
      </c>
      <c r="Y101" s="88">
        <v>3.1159838430467399</v>
      </c>
      <c r="Z101" s="77">
        <v>0</v>
      </c>
      <c r="AA101" s="28">
        <v>0</v>
      </c>
      <c r="AB101" s="77">
        <v>14</v>
      </c>
      <c r="AC101" s="584">
        <v>17.329999999999998</v>
      </c>
      <c r="AD101" s="28">
        <v>11</v>
      </c>
      <c r="AE101" s="28">
        <v>6</v>
      </c>
      <c r="AF101" s="28">
        <v>8</v>
      </c>
      <c r="AG101" s="28">
        <v>16</v>
      </c>
      <c r="AH101" s="28">
        <v>1</v>
      </c>
      <c r="AI101" s="106">
        <v>1.0963646855164455</v>
      </c>
      <c r="AJ101" s="77">
        <v>0</v>
      </c>
      <c r="AK101" s="28">
        <v>0</v>
      </c>
      <c r="AL101" s="28">
        <v>0</v>
      </c>
      <c r="AM101" s="28">
        <v>0</v>
      </c>
      <c r="AN101" s="75">
        <v>99</v>
      </c>
      <c r="AQ101" s="101" t="s">
        <v>539</v>
      </c>
      <c r="AR101" s="77" t="s">
        <v>212</v>
      </c>
      <c r="AS101" s="77" t="s">
        <v>568</v>
      </c>
      <c r="AT101" s="135">
        <v>3.5653650254668925</v>
      </c>
      <c r="AU101" s="77">
        <v>1</v>
      </c>
      <c r="AV101" s="28">
        <v>2</v>
      </c>
      <c r="AW101" s="77">
        <v>18</v>
      </c>
      <c r="AX101" s="584">
        <v>17.670000000000002</v>
      </c>
      <c r="AY101" s="28">
        <v>16</v>
      </c>
      <c r="AZ101" s="28">
        <v>7</v>
      </c>
      <c r="BA101" s="28">
        <v>7</v>
      </c>
      <c r="BB101" s="28">
        <v>17</v>
      </c>
      <c r="BC101" s="28">
        <v>0</v>
      </c>
      <c r="BD101" s="106">
        <v>1.3016411997736275</v>
      </c>
      <c r="BE101" s="77">
        <v>0</v>
      </c>
      <c r="BF101" s="28">
        <v>0</v>
      </c>
      <c r="BG101" s="28">
        <v>0</v>
      </c>
      <c r="BH101" s="28">
        <v>0</v>
      </c>
      <c r="BI101" s="75">
        <v>99</v>
      </c>
    </row>
    <row r="102" spans="1:61">
      <c r="A102" s="101" t="s">
        <v>539</v>
      </c>
      <c r="B102" s="71" t="s">
        <v>212</v>
      </c>
      <c r="C102" s="71" t="s">
        <v>569</v>
      </c>
      <c r="D102" s="89">
        <f>VLOOKUP(Table70[[#This Row],[NAME]],CHW_P[[NAME]:['#]],2,0)</f>
        <v>2.25</v>
      </c>
      <c r="E102" s="77">
        <f>VLOOKUP(Table70[[#This Row],[NAME]],CHW_P[[NAME]:['#]],3,0)</f>
        <v>1</v>
      </c>
      <c r="F102" s="28">
        <f>VLOOKUP(Table70[[#This Row],[NAME]],CHW_P[[NAME]:['#]],4,0)</f>
        <v>1</v>
      </c>
      <c r="G102" s="77">
        <f>VLOOKUP(Table70[[#This Row],[NAME]],CHW_P[[NAME]:['#]],5,0)</f>
        <v>21</v>
      </c>
      <c r="H102" s="584">
        <f>VLOOKUP(Table70[[#This Row],[NAME]],CHW_P[[NAME]:['#]],6,0)</f>
        <v>24</v>
      </c>
      <c r="I102" s="28">
        <f>VLOOKUP(Table70[[#This Row],[NAME]],CHW_P[[NAME]:['#]],7,0)</f>
        <v>14</v>
      </c>
      <c r="J102" s="28">
        <f>VLOOKUP(Table70[[#This Row],[NAME]],CHW_P[[NAME]:['#]],8,0)</f>
        <v>6</v>
      </c>
      <c r="K102" s="28">
        <f>VLOOKUP(Table70[[#This Row],[NAME]],CHW_P[[NAME]:['#]],9,0)</f>
        <v>6</v>
      </c>
      <c r="L102" s="28">
        <f>VLOOKUP(Table70[[#This Row],[NAME]],CHW_P[[NAME]:['#]],10,0)</f>
        <v>34</v>
      </c>
      <c r="M102" s="28">
        <f>VLOOKUP(Table70[[#This Row],[NAME]],CHW_P[[NAME]:['#]],11,0)</f>
        <v>9</v>
      </c>
      <c r="N102" s="106">
        <f>VLOOKUP(Table70[[#This Row],[NAME]],CHW_P[[NAME]:['#]],12,0)</f>
        <v>0.83333333333333337</v>
      </c>
      <c r="O102" s="77">
        <f>VLOOKUP(Table70[[#This Row],[NAME]],CHW_P[[NAME]:['#]],13,0)</f>
        <v>0</v>
      </c>
      <c r="P102" s="28">
        <f>VLOOKUP(Table70[[#This Row],[NAME]],CHW_P[[NAME]:['#]],14,0)</f>
        <v>0</v>
      </c>
      <c r="Q102" s="28">
        <f>VLOOKUP(Table70[[#This Row],[NAME]],CHW_P[[NAME]:['#]],15,0)</f>
        <v>0</v>
      </c>
      <c r="R102" s="28">
        <f>VLOOKUP(Table70[[#This Row],[NAME]],CHW_P[[NAME]:['#]],16,0)</f>
        <v>0</v>
      </c>
      <c r="S102" s="75">
        <v>100</v>
      </c>
      <c r="V102" s="101" t="s">
        <v>539</v>
      </c>
      <c r="W102" s="77" t="s">
        <v>212</v>
      </c>
      <c r="X102" s="77" t="s">
        <v>569</v>
      </c>
      <c r="Y102" s="88">
        <v>3.6822366177974772</v>
      </c>
      <c r="Z102" s="77">
        <v>2</v>
      </c>
      <c r="AA102" s="28">
        <v>3</v>
      </c>
      <c r="AB102" s="77">
        <v>27</v>
      </c>
      <c r="AC102" s="584">
        <v>29.33</v>
      </c>
      <c r="AD102" s="28">
        <v>26</v>
      </c>
      <c r="AE102" s="28">
        <v>12</v>
      </c>
      <c r="AF102" s="28">
        <v>1</v>
      </c>
      <c r="AG102" s="28">
        <v>41</v>
      </c>
      <c r="AH102" s="28">
        <v>2</v>
      </c>
      <c r="AI102" s="106">
        <v>0.92055915444936931</v>
      </c>
      <c r="AJ102" s="77">
        <v>0</v>
      </c>
      <c r="AK102" s="28">
        <v>0</v>
      </c>
      <c r="AL102" s="28">
        <v>0</v>
      </c>
      <c r="AM102" s="28">
        <v>0</v>
      </c>
      <c r="AN102" s="75">
        <v>100</v>
      </c>
      <c r="AQ102" s="101" t="s">
        <v>539</v>
      </c>
      <c r="AR102" s="77" t="s">
        <v>212</v>
      </c>
      <c r="AS102" s="77" t="s">
        <v>569</v>
      </c>
      <c r="AT102" s="135">
        <v>2.7345233573870114</v>
      </c>
      <c r="AU102" s="77">
        <v>1</v>
      </c>
      <c r="AV102" s="28">
        <v>0</v>
      </c>
      <c r="AW102" s="77">
        <v>23</v>
      </c>
      <c r="AX102" s="584">
        <v>26.33</v>
      </c>
      <c r="AY102" s="28">
        <v>18</v>
      </c>
      <c r="AZ102" s="28">
        <v>8</v>
      </c>
      <c r="BA102" s="28">
        <v>7</v>
      </c>
      <c r="BB102" s="28">
        <v>37</v>
      </c>
      <c r="BC102" s="28">
        <v>11</v>
      </c>
      <c r="BD102" s="106">
        <v>0.94948727687048995</v>
      </c>
      <c r="BE102" s="77">
        <v>0</v>
      </c>
      <c r="BF102" s="28">
        <v>0</v>
      </c>
      <c r="BG102" s="28">
        <v>0</v>
      </c>
      <c r="BH102" s="28">
        <v>0</v>
      </c>
      <c r="BI102" s="75">
        <v>100</v>
      </c>
    </row>
    <row r="103" spans="1:61">
      <c r="A103" s="101" t="s">
        <v>580</v>
      </c>
      <c r="B103" s="71" t="s">
        <v>206</v>
      </c>
      <c r="C103" s="116" t="s">
        <v>597</v>
      </c>
      <c r="D103" s="89">
        <f>VLOOKUP(Table70[[#This Row],[NAME]],HOU_P[[NAME]:['#]],2,0)</f>
        <v>2.6284348864994027</v>
      </c>
      <c r="E103" s="352">
        <f>VLOOKUP(Table70[[#This Row],[NAME]],HOU_P[[NAME]:['#]],3,0)</f>
        <v>7</v>
      </c>
      <c r="F103" s="28">
        <f>VLOOKUP(Table70[[#This Row],[NAME]],HOU_P[[NAME]:['#]],4,0)</f>
        <v>3</v>
      </c>
      <c r="G103" s="77">
        <f>VLOOKUP(Table70[[#This Row],[NAME]],HOU_P[[NAME]:['#]],5,0)</f>
        <v>10</v>
      </c>
      <c r="H103" s="582">
        <f>VLOOKUP(Table70[[#This Row],[NAME]],HOU_P[[NAME]:['#]],6,0)</f>
        <v>75.33</v>
      </c>
      <c r="I103" s="28">
        <f>VLOOKUP(Table70[[#This Row],[NAME]],HOU_P[[NAME]:['#]],7,0)</f>
        <v>46</v>
      </c>
      <c r="J103" s="28">
        <f>VLOOKUP(Table70[[#This Row],[NAME]],HOU_P[[NAME]:['#]],8,0)</f>
        <v>22</v>
      </c>
      <c r="K103" s="28">
        <f>VLOOKUP(Table70[[#This Row],[NAME]],HOU_P[[NAME]:['#]],9,0)</f>
        <v>22</v>
      </c>
      <c r="L103" s="28">
        <f>VLOOKUP(Table70[[#This Row],[NAME]],HOU_P[[NAME]:['#]],10,0)</f>
        <v>87</v>
      </c>
      <c r="M103" s="28">
        <f>VLOOKUP(Table70[[#This Row],[NAME]],HOU_P[[NAME]:['#]],11,0)</f>
        <v>0</v>
      </c>
      <c r="N103" s="583">
        <f>VLOOKUP(Table70[[#This Row],[NAME]],HOU_P[[NAME]:['#]],12,0)</f>
        <v>0.90269480950484537</v>
      </c>
      <c r="O103" s="77">
        <f>VLOOKUP(Table70[[#This Row],[NAME]],HOU_P[[NAME]:['#]],13,0)</f>
        <v>8</v>
      </c>
      <c r="P103" s="28">
        <f>VLOOKUP(Table70[[#This Row],[NAME]],HOU_P[[NAME]:['#]],14,0)</f>
        <v>6</v>
      </c>
      <c r="Q103" s="76">
        <f>VLOOKUP(Table70[[#This Row],[NAME]],HOU_P[[NAME]:['#]],15,0)</f>
        <v>2</v>
      </c>
      <c r="R103" s="28">
        <f>VLOOKUP(Table70[[#This Row],[NAME]],HOU_P[[NAME]:['#]],16,0)</f>
        <v>1</v>
      </c>
      <c r="S103" s="75">
        <v>101</v>
      </c>
      <c r="V103" s="101" t="s">
        <v>580</v>
      </c>
      <c r="W103" s="77" t="s">
        <v>206</v>
      </c>
      <c r="X103" s="132" t="s">
        <v>597</v>
      </c>
      <c r="Y103" s="88">
        <v>1.5194805194805194</v>
      </c>
      <c r="Z103" s="77">
        <v>6</v>
      </c>
      <c r="AA103" s="28">
        <v>1</v>
      </c>
      <c r="AB103" s="77">
        <v>10</v>
      </c>
      <c r="AC103" s="584">
        <v>77</v>
      </c>
      <c r="AD103" s="28">
        <v>43</v>
      </c>
      <c r="AE103" s="28">
        <v>13</v>
      </c>
      <c r="AF103" s="28">
        <v>21</v>
      </c>
      <c r="AG103" s="28">
        <v>88</v>
      </c>
      <c r="AH103" s="28">
        <v>0</v>
      </c>
      <c r="AI103" s="583">
        <v>0.83116883116883122</v>
      </c>
      <c r="AJ103" s="531">
        <v>10</v>
      </c>
      <c r="AK103" s="28">
        <v>7</v>
      </c>
      <c r="AL103" s="28">
        <v>2</v>
      </c>
      <c r="AM103" s="76">
        <v>2</v>
      </c>
      <c r="AN103" s="75">
        <v>101</v>
      </c>
      <c r="AQ103" s="366" t="s">
        <v>580</v>
      </c>
      <c r="AR103" s="77" t="s">
        <v>206</v>
      </c>
      <c r="AS103" s="77" t="s">
        <v>597</v>
      </c>
      <c r="AT103" s="135">
        <v>2.4546570298649941</v>
      </c>
      <c r="AU103" s="77">
        <v>5</v>
      </c>
      <c r="AV103" s="28">
        <v>2</v>
      </c>
      <c r="AW103" s="77">
        <v>10</v>
      </c>
      <c r="AX103" s="584">
        <v>73.33</v>
      </c>
      <c r="AY103" s="28">
        <v>41</v>
      </c>
      <c r="AZ103" s="28">
        <v>20</v>
      </c>
      <c r="BA103" s="28">
        <v>19</v>
      </c>
      <c r="BB103" s="28">
        <v>79</v>
      </c>
      <c r="BC103" s="28">
        <v>0</v>
      </c>
      <c r="BD103" s="583">
        <v>0.81821900995499797</v>
      </c>
      <c r="BE103" s="77">
        <v>8</v>
      </c>
      <c r="BF103" s="28">
        <v>6</v>
      </c>
      <c r="BG103" s="28">
        <v>2</v>
      </c>
      <c r="BH103" s="76">
        <v>2</v>
      </c>
      <c r="BI103" s="75">
        <v>101</v>
      </c>
    </row>
    <row r="104" spans="1:61">
      <c r="A104" s="101" t="s">
        <v>580</v>
      </c>
      <c r="B104" s="71" t="s">
        <v>206</v>
      </c>
      <c r="C104" s="116" t="s">
        <v>598</v>
      </c>
      <c r="D104" s="89">
        <f>VLOOKUP(Table70[[#This Row],[NAME]],HOU_P[[NAME]:['#]],2,0)</f>
        <v>4.3448275862068968</v>
      </c>
      <c r="E104" s="77">
        <f>VLOOKUP(Table70[[#This Row],[NAME]],HOU_P[[NAME]:['#]],3,0)</f>
        <v>4</v>
      </c>
      <c r="F104" s="28">
        <f>VLOOKUP(Table70[[#This Row],[NAME]],HOU_P[[NAME]:['#]],4,0)</f>
        <v>1</v>
      </c>
      <c r="G104" s="77">
        <f>VLOOKUP(Table70[[#This Row],[NAME]],HOU_P[[NAME]:['#]],5,0)</f>
        <v>10</v>
      </c>
      <c r="H104" s="584">
        <f>VLOOKUP(Table70[[#This Row],[NAME]],HOU_P[[NAME]:['#]],6,0)</f>
        <v>58</v>
      </c>
      <c r="I104" s="28">
        <f>VLOOKUP(Table70[[#This Row],[NAME]],HOU_P[[NAME]:['#]],7,0)</f>
        <v>55</v>
      </c>
      <c r="J104" s="28">
        <f>VLOOKUP(Table70[[#This Row],[NAME]],HOU_P[[NAME]:['#]],8,0)</f>
        <v>28</v>
      </c>
      <c r="K104" s="28">
        <f>VLOOKUP(Table70[[#This Row],[NAME]],HOU_P[[NAME]:['#]],9,0)</f>
        <v>28</v>
      </c>
      <c r="L104" s="28">
        <f>VLOOKUP(Table70[[#This Row],[NAME]],HOU_P[[NAME]:['#]],10,0)</f>
        <v>46</v>
      </c>
      <c r="M104" s="28">
        <f>VLOOKUP(Table70[[#This Row],[NAME]],HOU_P[[NAME]:['#]],11,0)</f>
        <v>0</v>
      </c>
      <c r="N104" s="106">
        <f>VLOOKUP(Table70[[#This Row],[NAME]],HOU_P[[NAME]:['#]],12,0)</f>
        <v>1.4310344827586208</v>
      </c>
      <c r="O104" s="77">
        <f>VLOOKUP(Table70[[#This Row],[NAME]],HOU_P[[NAME]:['#]],13,0)</f>
        <v>5</v>
      </c>
      <c r="P104" s="28">
        <f>VLOOKUP(Table70[[#This Row],[NAME]],HOU_P[[NAME]:['#]],14,0)</f>
        <v>3</v>
      </c>
      <c r="Q104" s="28">
        <f>VLOOKUP(Table70[[#This Row],[NAME]],HOU_P[[NAME]:['#]],15,0)</f>
        <v>0</v>
      </c>
      <c r="R104" s="28">
        <f>VLOOKUP(Table70[[#This Row],[NAME]],HOU_P[[NAME]:['#]],16,0)</f>
        <v>0</v>
      </c>
      <c r="S104" s="75">
        <v>102</v>
      </c>
      <c r="V104" s="101" t="s">
        <v>580</v>
      </c>
      <c r="W104" s="77" t="s">
        <v>206</v>
      </c>
      <c r="X104" s="132" t="s">
        <v>598</v>
      </c>
      <c r="Y104" s="88">
        <v>4.0344827586206895</v>
      </c>
      <c r="Z104" s="77">
        <v>4</v>
      </c>
      <c r="AA104" s="28">
        <v>3</v>
      </c>
      <c r="AB104" s="77">
        <v>10</v>
      </c>
      <c r="AC104" s="584">
        <v>58</v>
      </c>
      <c r="AD104" s="28">
        <v>62</v>
      </c>
      <c r="AE104" s="28">
        <v>26</v>
      </c>
      <c r="AF104" s="28">
        <v>24</v>
      </c>
      <c r="AG104" s="28">
        <v>56</v>
      </c>
      <c r="AH104" s="28">
        <v>0</v>
      </c>
      <c r="AI104" s="106">
        <v>1.4827586206896552</v>
      </c>
      <c r="AJ104" s="77">
        <v>7</v>
      </c>
      <c r="AK104" s="28">
        <v>3</v>
      </c>
      <c r="AL104" s="28">
        <v>0</v>
      </c>
      <c r="AM104" s="28">
        <v>0</v>
      </c>
      <c r="AN104" s="75">
        <v>102</v>
      </c>
      <c r="AQ104" s="366" t="s">
        <v>580</v>
      </c>
      <c r="AR104" s="77" t="s">
        <v>206</v>
      </c>
      <c r="AS104" s="77" t="s">
        <v>599</v>
      </c>
      <c r="AT104" s="135">
        <v>4.2774394772018418</v>
      </c>
      <c r="AU104" s="77">
        <v>4</v>
      </c>
      <c r="AV104" s="28">
        <v>3</v>
      </c>
      <c r="AW104" s="77">
        <v>10</v>
      </c>
      <c r="AX104" s="584">
        <v>67.33</v>
      </c>
      <c r="AY104" s="28">
        <v>53</v>
      </c>
      <c r="AZ104" s="28">
        <v>32</v>
      </c>
      <c r="BA104" s="28">
        <v>27</v>
      </c>
      <c r="BB104" s="28">
        <v>86</v>
      </c>
      <c r="BC104" s="28">
        <v>0</v>
      </c>
      <c r="BD104" s="106">
        <v>1.1881776325560671</v>
      </c>
      <c r="BE104" s="77">
        <v>6</v>
      </c>
      <c r="BF104" s="28">
        <v>3</v>
      </c>
      <c r="BG104" s="28">
        <v>0</v>
      </c>
      <c r="BH104" s="28">
        <v>0</v>
      </c>
      <c r="BI104" s="75">
        <v>102</v>
      </c>
    </row>
    <row r="105" spans="1:61">
      <c r="A105" s="101" t="s">
        <v>580</v>
      </c>
      <c r="B105" s="71" t="s">
        <v>206</v>
      </c>
      <c r="C105" s="116" t="s">
        <v>599</v>
      </c>
      <c r="D105" s="89">
        <f>VLOOKUP(Table70[[#This Row],[NAME]],HOU_P[[NAME]:['#]],2,0)</f>
        <v>3.3417495915639388</v>
      </c>
      <c r="E105" s="77">
        <f>VLOOKUP(Table70[[#This Row],[NAME]],HOU_P[[NAME]:['#]],3,0)</f>
        <v>5</v>
      </c>
      <c r="F105" s="28">
        <f>VLOOKUP(Table70[[#This Row],[NAME]],HOU_P[[NAME]:['#]],4,0)</f>
        <v>2</v>
      </c>
      <c r="G105" s="77">
        <f>VLOOKUP(Table70[[#This Row],[NAME]],HOU_P[[NAME]:['#]],5,0)</f>
        <v>10</v>
      </c>
      <c r="H105" s="584">
        <f>VLOOKUP(Table70[[#This Row],[NAME]],HOU_P[[NAME]:['#]],6,0)</f>
        <v>67.33</v>
      </c>
      <c r="I105" s="28">
        <f>VLOOKUP(Table70[[#This Row],[NAME]],HOU_P[[NAME]:['#]],7,0)</f>
        <v>55</v>
      </c>
      <c r="J105" s="28">
        <f>VLOOKUP(Table70[[#This Row],[NAME]],HOU_P[[NAME]:['#]],8,0)</f>
        <v>25</v>
      </c>
      <c r="K105" s="28">
        <f>VLOOKUP(Table70[[#This Row],[NAME]],HOU_P[[NAME]:['#]],9,0)</f>
        <v>25</v>
      </c>
      <c r="L105" s="28">
        <f>VLOOKUP(Table70[[#This Row],[NAME]],HOU_P[[NAME]:['#]],10,0)</f>
        <v>80</v>
      </c>
      <c r="M105" s="28">
        <f>VLOOKUP(Table70[[#This Row],[NAME]],HOU_P[[NAME]:['#]],11,0)</f>
        <v>0</v>
      </c>
      <c r="N105" s="106">
        <f>VLOOKUP(Table70[[#This Row],[NAME]],HOU_P[[NAME]:['#]],12,0)</f>
        <v>1.1881776325560671</v>
      </c>
      <c r="O105" s="77">
        <f>VLOOKUP(Table70[[#This Row],[NAME]],HOU_P[[NAME]:['#]],13,0)</f>
        <v>8</v>
      </c>
      <c r="P105" s="28">
        <f>VLOOKUP(Table70[[#This Row],[NAME]],HOU_P[[NAME]:['#]],14,0)</f>
        <v>3</v>
      </c>
      <c r="Q105" s="28">
        <f>VLOOKUP(Table70[[#This Row],[NAME]],HOU_P[[NAME]:['#]],15,0)</f>
        <v>0</v>
      </c>
      <c r="R105" s="28">
        <f>VLOOKUP(Table70[[#This Row],[NAME]],HOU_P[[NAME]:['#]],16,0)</f>
        <v>0</v>
      </c>
      <c r="S105" s="75">
        <v>103</v>
      </c>
      <c r="V105" s="101" t="s">
        <v>580</v>
      </c>
      <c r="W105" s="77" t="s">
        <v>206</v>
      </c>
      <c r="X105" s="132" t="s">
        <v>599</v>
      </c>
      <c r="Y105" s="88">
        <v>4.5240797794713794</v>
      </c>
      <c r="Z105" s="77">
        <v>3</v>
      </c>
      <c r="AA105" s="28">
        <v>3</v>
      </c>
      <c r="AB105" s="77">
        <v>10</v>
      </c>
      <c r="AC105" s="584">
        <v>61.67</v>
      </c>
      <c r="AD105" s="28">
        <v>59</v>
      </c>
      <c r="AE105" s="28">
        <v>31</v>
      </c>
      <c r="AF105" s="28">
        <v>22</v>
      </c>
      <c r="AG105" s="28">
        <v>70</v>
      </c>
      <c r="AH105" s="28">
        <v>0</v>
      </c>
      <c r="AI105" s="106">
        <v>1.3134425166207231</v>
      </c>
      <c r="AJ105" s="77">
        <v>6</v>
      </c>
      <c r="AK105" s="28">
        <v>3</v>
      </c>
      <c r="AL105" s="28">
        <v>0</v>
      </c>
      <c r="AM105" s="28">
        <v>0</v>
      </c>
      <c r="AN105" s="75">
        <v>103</v>
      </c>
      <c r="AQ105" s="366" t="s">
        <v>580</v>
      </c>
      <c r="AR105" s="77" t="s">
        <v>206</v>
      </c>
      <c r="AS105" s="77" t="s">
        <v>600</v>
      </c>
      <c r="AT105" s="135">
        <v>5.5161290322580649</v>
      </c>
      <c r="AU105" s="77">
        <v>3</v>
      </c>
      <c r="AV105" s="28">
        <v>3</v>
      </c>
      <c r="AW105" s="77">
        <v>10</v>
      </c>
      <c r="AX105" s="584">
        <v>62</v>
      </c>
      <c r="AY105" s="28">
        <v>53</v>
      </c>
      <c r="AZ105" s="28">
        <v>38</v>
      </c>
      <c r="BA105" s="76">
        <v>36</v>
      </c>
      <c r="BB105" s="28">
        <v>80</v>
      </c>
      <c r="BC105" s="28">
        <v>0</v>
      </c>
      <c r="BD105" s="106">
        <v>1.435483870967742</v>
      </c>
      <c r="BE105" s="77">
        <v>5</v>
      </c>
      <c r="BF105" s="28">
        <v>3</v>
      </c>
      <c r="BG105" s="28">
        <v>1</v>
      </c>
      <c r="BH105" s="28">
        <v>1</v>
      </c>
      <c r="BI105" s="75">
        <v>103</v>
      </c>
    </row>
    <row r="106" spans="1:61">
      <c r="A106" s="101" t="s">
        <v>580</v>
      </c>
      <c r="B106" s="71" t="s">
        <v>206</v>
      </c>
      <c r="C106" s="116" t="s">
        <v>600</v>
      </c>
      <c r="D106" s="89">
        <f>VLOOKUP(Table70[[#This Row],[NAME]],HOU_P[[NAME]:['#]],2,0)</f>
        <v>4.6334102609621874</v>
      </c>
      <c r="E106" s="77">
        <f>VLOOKUP(Table70[[#This Row],[NAME]],HOU_P[[NAME]:['#]],3,0)</f>
        <v>1</v>
      </c>
      <c r="F106" s="28">
        <f>VLOOKUP(Table70[[#This Row],[NAME]],HOU_P[[NAME]:['#]],4,0)</f>
        <v>4</v>
      </c>
      <c r="G106" s="77">
        <f>VLOOKUP(Table70[[#This Row],[NAME]],HOU_P[[NAME]:['#]],5,0)</f>
        <v>10</v>
      </c>
      <c r="H106" s="584">
        <f>VLOOKUP(Table70[[#This Row],[NAME]],HOU_P[[NAME]:['#]],6,0)</f>
        <v>56.33</v>
      </c>
      <c r="I106" s="28">
        <f>VLOOKUP(Table70[[#This Row],[NAME]],HOU_P[[NAME]:['#]],7,0)</f>
        <v>61</v>
      </c>
      <c r="J106" s="28">
        <f>VLOOKUP(Table70[[#This Row],[NAME]],HOU_P[[NAME]:['#]],8,0)</f>
        <v>29</v>
      </c>
      <c r="K106" s="28">
        <f>VLOOKUP(Table70[[#This Row],[NAME]],HOU_P[[NAME]:['#]],9,0)</f>
        <v>32</v>
      </c>
      <c r="L106" s="28">
        <f>VLOOKUP(Table70[[#This Row],[NAME]],HOU_P[[NAME]:['#]],10,0)</f>
        <v>52</v>
      </c>
      <c r="M106" s="28">
        <f>VLOOKUP(Table70[[#This Row],[NAME]],HOU_P[[NAME]:['#]],11,0)</f>
        <v>0</v>
      </c>
      <c r="N106" s="106">
        <f>VLOOKUP(Table70[[#This Row],[NAME]],HOU_P[[NAME]:['#]],12,0)</f>
        <v>1.6509852654003196</v>
      </c>
      <c r="O106" s="77">
        <f>VLOOKUP(Table70[[#This Row],[NAME]],HOU_P[[NAME]:['#]],13,0)</f>
        <v>5</v>
      </c>
      <c r="P106" s="28">
        <f>VLOOKUP(Table70[[#This Row],[NAME]],HOU_P[[NAME]:['#]],14,0)</f>
        <v>0</v>
      </c>
      <c r="Q106" s="28">
        <f>VLOOKUP(Table70[[#This Row],[NAME]],HOU_P[[NAME]:['#]],15,0)</f>
        <v>0</v>
      </c>
      <c r="R106" s="28">
        <f>VLOOKUP(Table70[[#This Row],[NAME]],HOU_P[[NAME]:['#]],16,0)</f>
        <v>0</v>
      </c>
      <c r="S106" s="75">
        <v>104</v>
      </c>
      <c r="V106" s="101" t="s">
        <v>580</v>
      </c>
      <c r="W106" s="77" t="s">
        <v>206</v>
      </c>
      <c r="X106" s="132" t="s">
        <v>600</v>
      </c>
      <c r="Y106" s="88">
        <v>6.2948647156267254</v>
      </c>
      <c r="Z106" s="77">
        <v>4</v>
      </c>
      <c r="AA106" s="28">
        <v>6</v>
      </c>
      <c r="AB106" s="77">
        <v>10</v>
      </c>
      <c r="AC106" s="584">
        <v>54.33</v>
      </c>
      <c r="AD106" s="28">
        <v>53</v>
      </c>
      <c r="AE106" s="28">
        <v>38</v>
      </c>
      <c r="AF106" s="28">
        <v>28</v>
      </c>
      <c r="AG106" s="28">
        <v>62</v>
      </c>
      <c r="AH106" s="28">
        <v>0</v>
      </c>
      <c r="AI106" s="106">
        <v>1.4908890115958036</v>
      </c>
      <c r="AJ106" s="77">
        <v>3</v>
      </c>
      <c r="AK106" s="28">
        <v>3</v>
      </c>
      <c r="AL106" s="28">
        <v>1</v>
      </c>
      <c r="AM106" s="28">
        <v>1</v>
      </c>
      <c r="AN106" s="75">
        <v>104</v>
      </c>
      <c r="AQ106" s="366" t="s">
        <v>580</v>
      </c>
      <c r="AR106" s="77" t="s">
        <v>206</v>
      </c>
      <c r="AS106" s="77" t="s">
        <v>598</v>
      </c>
      <c r="AT106" s="135">
        <v>6.1937533086289038</v>
      </c>
      <c r="AU106" s="77">
        <v>3</v>
      </c>
      <c r="AV106" s="28">
        <v>4</v>
      </c>
      <c r="AW106" s="77">
        <v>10</v>
      </c>
      <c r="AX106" s="584">
        <v>56.67</v>
      </c>
      <c r="AY106" s="28">
        <v>75</v>
      </c>
      <c r="AZ106" s="28">
        <v>39</v>
      </c>
      <c r="BA106" s="28">
        <v>32</v>
      </c>
      <c r="BB106" s="28">
        <v>53</v>
      </c>
      <c r="BC106" s="28">
        <v>0</v>
      </c>
      <c r="BD106" s="106">
        <v>1.8881242279865891</v>
      </c>
      <c r="BE106" s="77">
        <v>4</v>
      </c>
      <c r="BF106" s="28">
        <v>1</v>
      </c>
      <c r="BG106" s="28">
        <v>0</v>
      </c>
      <c r="BH106" s="28">
        <v>0</v>
      </c>
      <c r="BI106" s="75">
        <v>104</v>
      </c>
    </row>
    <row r="107" spans="1:61">
      <c r="A107" s="101" t="s">
        <v>580</v>
      </c>
      <c r="B107" s="71" t="s">
        <v>212</v>
      </c>
      <c r="C107" s="116" t="s">
        <v>602</v>
      </c>
      <c r="D107" s="89">
        <f>VLOOKUP(Table70[[#This Row],[NAME]],HOU_P[[NAME]:['#]],2,0)</f>
        <v>5.7272727272727275</v>
      </c>
      <c r="E107" s="77">
        <f>VLOOKUP(Table70[[#This Row],[NAME]],HOU_P[[NAME]:['#]],3,0)</f>
        <v>1</v>
      </c>
      <c r="F107" s="28">
        <f>VLOOKUP(Table70[[#This Row],[NAME]],HOU_P[[NAME]:['#]],4,0)</f>
        <v>0</v>
      </c>
      <c r="G107" s="77">
        <f>VLOOKUP(Table70[[#This Row],[NAME]],HOU_P[[NAME]:['#]],5,0)</f>
        <v>14</v>
      </c>
      <c r="H107" s="584">
        <f>VLOOKUP(Table70[[#This Row],[NAME]],HOU_P[[NAME]:['#]],6,0)</f>
        <v>22</v>
      </c>
      <c r="I107" s="28">
        <f>VLOOKUP(Table70[[#This Row],[NAME]],HOU_P[[NAME]:['#]],7,0)</f>
        <v>21</v>
      </c>
      <c r="J107" s="28">
        <f>VLOOKUP(Table70[[#This Row],[NAME]],HOU_P[[NAME]:['#]],8,0)</f>
        <v>14</v>
      </c>
      <c r="K107" s="28">
        <f>VLOOKUP(Table70[[#This Row],[NAME]],HOU_P[[NAME]:['#]],9,0)</f>
        <v>12</v>
      </c>
      <c r="L107" s="28">
        <f>VLOOKUP(Table70[[#This Row],[NAME]],HOU_P[[NAME]:['#]],10,0)</f>
        <v>19</v>
      </c>
      <c r="M107" s="28">
        <f>VLOOKUP(Table70[[#This Row],[NAME]],HOU_P[[NAME]:['#]],11,0)</f>
        <v>0</v>
      </c>
      <c r="N107" s="106">
        <f>VLOOKUP(Table70[[#This Row],[NAME]],HOU_P[[NAME]:['#]],12,0)</f>
        <v>1.5</v>
      </c>
      <c r="O107" s="77">
        <f>VLOOKUP(Table70[[#This Row],[NAME]],HOU_P[[NAME]:['#]],13,0)</f>
        <v>0</v>
      </c>
      <c r="P107" s="28">
        <f>VLOOKUP(Table70[[#This Row],[NAME]],HOU_P[[NAME]:['#]],14,0)</f>
        <v>0</v>
      </c>
      <c r="Q107" s="28">
        <f>VLOOKUP(Table70[[#This Row],[NAME]],HOU_P[[NAME]:['#]],15,0)</f>
        <v>0</v>
      </c>
      <c r="R107" s="28">
        <f>VLOOKUP(Table70[[#This Row],[NAME]],HOU_P[[NAME]:['#]],16,0)</f>
        <v>0</v>
      </c>
      <c r="S107" s="75">
        <v>105</v>
      </c>
      <c r="V107" s="101" t="s">
        <v>580</v>
      </c>
      <c r="W107" s="77" t="s">
        <v>212</v>
      </c>
      <c r="X107" s="132" t="s">
        <v>602</v>
      </c>
      <c r="Y107" s="88">
        <v>5.625</v>
      </c>
      <c r="Z107" s="77">
        <v>1</v>
      </c>
      <c r="AA107" s="28">
        <v>1</v>
      </c>
      <c r="AB107" s="77">
        <v>17</v>
      </c>
      <c r="AC107" s="584">
        <v>32</v>
      </c>
      <c r="AD107" s="28">
        <v>22</v>
      </c>
      <c r="AE107" s="28">
        <v>20</v>
      </c>
      <c r="AF107" s="28">
        <v>13</v>
      </c>
      <c r="AG107" s="28">
        <v>43</v>
      </c>
      <c r="AH107" s="28">
        <v>1</v>
      </c>
      <c r="AI107" s="106">
        <v>1.09375</v>
      </c>
      <c r="AJ107" s="77">
        <v>0</v>
      </c>
      <c r="AK107" s="28">
        <v>0</v>
      </c>
      <c r="AL107" s="28">
        <v>0</v>
      </c>
      <c r="AM107" s="28">
        <v>0</v>
      </c>
      <c r="AN107" s="75">
        <v>105</v>
      </c>
      <c r="AQ107" s="366" t="s">
        <v>580</v>
      </c>
      <c r="AR107" s="77" t="s">
        <v>212</v>
      </c>
      <c r="AS107" s="77" t="s">
        <v>602</v>
      </c>
      <c r="AT107" s="135">
        <v>8.4832904884318765</v>
      </c>
      <c r="AU107" s="77">
        <v>1</v>
      </c>
      <c r="AV107" s="28">
        <v>0</v>
      </c>
      <c r="AW107" s="77">
        <v>12</v>
      </c>
      <c r="AX107" s="584">
        <v>11.67</v>
      </c>
      <c r="AY107" s="28">
        <v>16</v>
      </c>
      <c r="AZ107" s="28">
        <v>11</v>
      </c>
      <c r="BA107" s="28">
        <v>10</v>
      </c>
      <c r="BB107" s="28">
        <v>13</v>
      </c>
      <c r="BC107" s="28">
        <v>1</v>
      </c>
      <c r="BD107" s="106">
        <v>2.2279348757497859</v>
      </c>
      <c r="BE107" s="77">
        <v>0</v>
      </c>
      <c r="BF107" s="28">
        <v>0</v>
      </c>
      <c r="BG107" s="28">
        <v>0</v>
      </c>
      <c r="BH107" s="28">
        <v>0</v>
      </c>
      <c r="BI107" s="75">
        <v>105</v>
      </c>
    </row>
    <row r="108" spans="1:61">
      <c r="A108" s="101" t="s">
        <v>580</v>
      </c>
      <c r="B108" s="71" t="s">
        <v>215</v>
      </c>
      <c r="C108" s="116" t="s">
        <v>601</v>
      </c>
      <c r="D108" s="89">
        <f>VLOOKUP(Table70[[#This Row],[NAME]],HOU_P[[NAME]:['#]],2,0)</f>
        <v>0</v>
      </c>
      <c r="E108" s="77">
        <f>VLOOKUP(Table70[[#This Row],[NAME]],HOU_P[[NAME]:['#]],3,0)</f>
        <v>0</v>
      </c>
      <c r="F108" s="28">
        <f>VLOOKUP(Table70[[#This Row],[NAME]],HOU_P[[NAME]:['#]],4,0)</f>
        <v>0</v>
      </c>
      <c r="G108" s="77">
        <f>VLOOKUP(Table70[[#This Row],[NAME]],HOU_P[[NAME]:['#]],5,0)</f>
        <v>0</v>
      </c>
      <c r="H108" s="584">
        <f>VLOOKUP(Table70[[#This Row],[NAME]],HOU_P[[NAME]:['#]],6,0)</f>
        <v>0</v>
      </c>
      <c r="I108" s="28">
        <f>VLOOKUP(Table70[[#This Row],[NAME]],HOU_P[[NAME]:['#]],7,0)</f>
        <v>0</v>
      </c>
      <c r="J108" s="28">
        <f>VLOOKUP(Table70[[#This Row],[NAME]],HOU_P[[NAME]:['#]],8,0)</f>
        <v>0</v>
      </c>
      <c r="K108" s="28">
        <f>VLOOKUP(Table70[[#This Row],[NAME]],HOU_P[[NAME]:['#]],9,0)</f>
        <v>0</v>
      </c>
      <c r="L108" s="28">
        <f>VLOOKUP(Table70[[#This Row],[NAME]],HOU_P[[NAME]:['#]],10,0)</f>
        <v>0</v>
      </c>
      <c r="M108" s="28">
        <f>VLOOKUP(Table70[[#This Row],[NAME]],HOU_P[[NAME]:['#]],11,0)</f>
        <v>0</v>
      </c>
      <c r="N108" s="106">
        <f>VLOOKUP(Table70[[#This Row],[NAME]],HOU_P[[NAME]:['#]],12,0)</f>
        <v>0</v>
      </c>
      <c r="O108" s="77">
        <f>VLOOKUP(Table70[[#This Row],[NAME]],HOU_P[[NAME]:['#]],13,0)</f>
        <v>0</v>
      </c>
      <c r="P108" s="28">
        <f>VLOOKUP(Table70[[#This Row],[NAME]],HOU_P[[NAME]:['#]],14,0)</f>
        <v>0</v>
      </c>
      <c r="Q108" s="28">
        <f>VLOOKUP(Table70[[#This Row],[NAME]],HOU_P[[NAME]:['#]],15,0)</f>
        <v>0</v>
      </c>
      <c r="R108" s="28">
        <f>VLOOKUP(Table70[[#This Row],[NAME]],HOU_P[[NAME]:['#]],16,0)</f>
        <v>0</v>
      </c>
      <c r="S108" s="75">
        <v>106</v>
      </c>
      <c r="V108" s="101" t="s">
        <v>580</v>
      </c>
      <c r="W108" s="77" t="s">
        <v>212</v>
      </c>
      <c r="X108" s="132" t="s">
        <v>604</v>
      </c>
      <c r="Y108" s="88">
        <v>0</v>
      </c>
      <c r="Z108" s="77">
        <v>0</v>
      </c>
      <c r="AA108" s="28">
        <v>0</v>
      </c>
      <c r="AB108" s="77">
        <v>0</v>
      </c>
      <c r="AC108" s="584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106">
        <v>0</v>
      </c>
      <c r="AJ108" s="77">
        <v>0</v>
      </c>
      <c r="AK108" s="28">
        <v>0</v>
      </c>
      <c r="AL108" s="28">
        <v>0</v>
      </c>
      <c r="AM108" s="28">
        <v>0</v>
      </c>
      <c r="AN108" s="75">
        <v>106</v>
      </c>
      <c r="AQ108" s="366" t="s">
        <v>580</v>
      </c>
      <c r="AR108" s="77" t="s">
        <v>212</v>
      </c>
      <c r="AS108" s="77" t="s">
        <v>604</v>
      </c>
      <c r="AT108" s="135">
        <v>2.9197080291970803</v>
      </c>
      <c r="AU108" s="77">
        <v>0</v>
      </c>
      <c r="AV108" s="28">
        <v>0</v>
      </c>
      <c r="AW108" s="77">
        <v>7</v>
      </c>
      <c r="AX108" s="584">
        <v>12.33</v>
      </c>
      <c r="AY108" s="28">
        <v>10</v>
      </c>
      <c r="AZ108" s="28">
        <v>4</v>
      </c>
      <c r="BA108" s="28">
        <v>1</v>
      </c>
      <c r="BB108" s="28">
        <v>7</v>
      </c>
      <c r="BC108" s="28">
        <v>0</v>
      </c>
      <c r="BD108" s="106">
        <v>0.89213300892133007</v>
      </c>
      <c r="BE108" s="77">
        <v>0</v>
      </c>
      <c r="BF108" s="28">
        <v>0</v>
      </c>
      <c r="BG108" s="28">
        <v>0</v>
      </c>
      <c r="BH108" s="28">
        <v>0</v>
      </c>
      <c r="BI108" s="75">
        <v>106</v>
      </c>
    </row>
    <row r="109" spans="1:61">
      <c r="A109" s="101" t="s">
        <v>580</v>
      </c>
      <c r="B109" s="71" t="s">
        <v>212</v>
      </c>
      <c r="C109" s="116" t="s">
        <v>603</v>
      </c>
      <c r="D109" s="89">
        <f>VLOOKUP(Table70[[#This Row],[NAME]],HOU_P[[NAME]:['#]],2,0)</f>
        <v>3.3157894736842106</v>
      </c>
      <c r="E109" s="77">
        <f>VLOOKUP(Table70[[#This Row],[NAME]],HOU_P[[NAME]:['#]],3,0)</f>
        <v>0</v>
      </c>
      <c r="F109" s="28">
        <f>VLOOKUP(Table70[[#This Row],[NAME]],HOU_P[[NAME]:['#]],4,0)</f>
        <v>1</v>
      </c>
      <c r="G109" s="77">
        <f>VLOOKUP(Table70[[#This Row],[NAME]],HOU_P[[NAME]:['#]],5,0)</f>
        <v>10</v>
      </c>
      <c r="H109" s="584">
        <f>VLOOKUP(Table70[[#This Row],[NAME]],HOU_P[[NAME]:['#]],6,0)</f>
        <v>19</v>
      </c>
      <c r="I109" s="28">
        <f>VLOOKUP(Table70[[#This Row],[NAME]],HOU_P[[NAME]:['#]],7,0)</f>
        <v>21</v>
      </c>
      <c r="J109" s="28">
        <f>VLOOKUP(Table70[[#This Row],[NAME]],HOU_P[[NAME]:['#]],8,0)</f>
        <v>7</v>
      </c>
      <c r="K109" s="28">
        <f>VLOOKUP(Table70[[#This Row],[NAME]],HOU_P[[NAME]:['#]],9,0)</f>
        <v>4</v>
      </c>
      <c r="L109" s="28">
        <f>VLOOKUP(Table70[[#This Row],[NAME]],HOU_P[[NAME]:['#]],10,0)</f>
        <v>19</v>
      </c>
      <c r="M109" s="28">
        <f>VLOOKUP(Table70[[#This Row],[NAME]],HOU_P[[NAME]:['#]],11,0)</f>
        <v>0</v>
      </c>
      <c r="N109" s="106">
        <f>VLOOKUP(Table70[[#This Row],[NAME]],HOU_P[[NAME]:['#]],12,0)</f>
        <v>1.3157894736842106</v>
      </c>
      <c r="O109" s="77">
        <f>VLOOKUP(Table70[[#This Row],[NAME]],HOU_P[[NAME]:['#]],13,0)</f>
        <v>0</v>
      </c>
      <c r="P109" s="28">
        <f>VLOOKUP(Table70[[#This Row],[NAME]],HOU_P[[NAME]:['#]],14,0)</f>
        <v>0</v>
      </c>
      <c r="Q109" s="28">
        <f>VLOOKUP(Table70[[#This Row],[NAME]],HOU_P[[NAME]:['#]],15,0)</f>
        <v>0</v>
      </c>
      <c r="R109" s="28">
        <f>VLOOKUP(Table70[[#This Row],[NAME]],HOU_P[[NAME]:['#]],16,0)</f>
        <v>0</v>
      </c>
      <c r="S109" s="75">
        <v>107</v>
      </c>
      <c r="V109" s="101" t="s">
        <v>580</v>
      </c>
      <c r="W109" s="77" t="s">
        <v>212</v>
      </c>
      <c r="X109" s="132" t="s">
        <v>603</v>
      </c>
      <c r="Y109" s="88">
        <v>2.7935851008794623</v>
      </c>
      <c r="Z109" s="77">
        <v>0</v>
      </c>
      <c r="AA109" s="28">
        <v>0</v>
      </c>
      <c r="AB109" s="77">
        <v>7</v>
      </c>
      <c r="AC109" s="584">
        <v>19.329999999999998</v>
      </c>
      <c r="AD109" s="28">
        <v>13</v>
      </c>
      <c r="AE109" s="28">
        <v>6</v>
      </c>
      <c r="AF109" s="28">
        <v>6</v>
      </c>
      <c r="AG109" s="28">
        <v>14</v>
      </c>
      <c r="AH109" s="28">
        <v>0</v>
      </c>
      <c r="AI109" s="106">
        <v>0.9829280910501812</v>
      </c>
      <c r="AJ109" s="77">
        <v>0</v>
      </c>
      <c r="AK109" s="28">
        <v>0</v>
      </c>
      <c r="AL109" s="28">
        <v>0</v>
      </c>
      <c r="AM109" s="28">
        <v>0</v>
      </c>
      <c r="AN109" s="75">
        <v>107</v>
      </c>
      <c r="AQ109" s="366" t="s">
        <v>580</v>
      </c>
      <c r="AR109" s="77" t="s">
        <v>212</v>
      </c>
      <c r="AS109" s="77" t="s">
        <v>603</v>
      </c>
      <c r="AT109" s="135">
        <v>1.9285714285714286</v>
      </c>
      <c r="AU109" s="77">
        <v>1</v>
      </c>
      <c r="AV109" s="28">
        <v>0</v>
      </c>
      <c r="AW109" s="77">
        <v>7</v>
      </c>
      <c r="AX109" s="584">
        <v>14</v>
      </c>
      <c r="AY109" s="28">
        <v>11</v>
      </c>
      <c r="AZ109" s="28">
        <v>3</v>
      </c>
      <c r="BA109" s="28">
        <v>3</v>
      </c>
      <c r="BB109" s="28">
        <v>8</v>
      </c>
      <c r="BC109" s="28">
        <v>0</v>
      </c>
      <c r="BD109" s="106">
        <v>1</v>
      </c>
      <c r="BE109" s="77">
        <v>0</v>
      </c>
      <c r="BF109" s="28">
        <v>0</v>
      </c>
      <c r="BG109" s="28">
        <v>0</v>
      </c>
      <c r="BH109" s="28">
        <v>0</v>
      </c>
      <c r="BI109" s="75">
        <v>107</v>
      </c>
    </row>
    <row r="110" spans="1:61">
      <c r="A110" s="101" t="s">
        <v>580</v>
      </c>
      <c r="B110" s="71" t="s">
        <v>212</v>
      </c>
      <c r="C110" s="116" t="s">
        <v>605</v>
      </c>
      <c r="D110" s="89">
        <f>VLOOKUP(Table70[[#This Row],[NAME]],HOU_P[[NAME]:['#]],2,0)</f>
        <v>4.190377651319193</v>
      </c>
      <c r="E110" s="77">
        <f>VLOOKUP(Table70[[#This Row],[NAME]],HOU_P[[NAME]:['#]],3,0)</f>
        <v>1</v>
      </c>
      <c r="F110" s="28">
        <f>VLOOKUP(Table70[[#This Row],[NAME]],HOU_P[[NAME]:['#]],4,0)</f>
        <v>0</v>
      </c>
      <c r="G110" s="77">
        <f>VLOOKUP(Table70[[#This Row],[NAME]],HOU_P[[NAME]:['#]],5,0)</f>
        <v>18</v>
      </c>
      <c r="H110" s="584">
        <f>VLOOKUP(Table70[[#This Row],[NAME]],HOU_P[[NAME]:['#]],6,0)</f>
        <v>19.329999999999998</v>
      </c>
      <c r="I110" s="28">
        <f>VLOOKUP(Table70[[#This Row],[NAME]],HOU_P[[NAME]:['#]],7,0)</f>
        <v>22</v>
      </c>
      <c r="J110" s="28">
        <f>VLOOKUP(Table70[[#This Row],[NAME]],HOU_P[[NAME]:['#]],8,0)</f>
        <v>9</v>
      </c>
      <c r="K110" s="28">
        <f>VLOOKUP(Table70[[#This Row],[NAME]],HOU_P[[NAME]:['#]],9,0)</f>
        <v>4</v>
      </c>
      <c r="L110" s="28">
        <f>VLOOKUP(Table70[[#This Row],[NAME]],HOU_P[[NAME]:['#]],10,0)</f>
        <v>17</v>
      </c>
      <c r="M110" s="28">
        <f>VLOOKUP(Table70[[#This Row],[NAME]],HOU_P[[NAME]:['#]],11,0)</f>
        <v>0</v>
      </c>
      <c r="N110" s="106">
        <f>VLOOKUP(Table70[[#This Row],[NAME]],HOU_P[[NAME]:['#]],12,0)</f>
        <v>1.3450594930160373</v>
      </c>
      <c r="O110" s="77">
        <f>VLOOKUP(Table70[[#This Row],[NAME]],HOU_P[[NAME]:['#]],13,0)</f>
        <v>0</v>
      </c>
      <c r="P110" s="28">
        <f>VLOOKUP(Table70[[#This Row],[NAME]],HOU_P[[NAME]:['#]],14,0)</f>
        <v>0</v>
      </c>
      <c r="Q110" s="28">
        <f>VLOOKUP(Table70[[#This Row],[NAME]],HOU_P[[NAME]:['#]],15,0)</f>
        <v>0</v>
      </c>
      <c r="R110" s="28">
        <f>VLOOKUP(Table70[[#This Row],[NAME]],HOU_P[[NAME]:['#]],16,0)</f>
        <v>0</v>
      </c>
      <c r="S110" s="75">
        <v>108</v>
      </c>
      <c r="V110" s="101" t="s">
        <v>580</v>
      </c>
      <c r="W110" s="77" t="s">
        <v>212</v>
      </c>
      <c r="X110" s="132" t="s">
        <v>605</v>
      </c>
      <c r="Y110" s="88">
        <v>5.3989202159568084</v>
      </c>
      <c r="Z110" s="77">
        <v>0</v>
      </c>
      <c r="AA110" s="28">
        <v>1</v>
      </c>
      <c r="AB110" s="77">
        <v>13</v>
      </c>
      <c r="AC110" s="584">
        <v>16.670000000000002</v>
      </c>
      <c r="AD110" s="28">
        <v>22</v>
      </c>
      <c r="AE110" s="28">
        <v>10</v>
      </c>
      <c r="AF110" s="28">
        <v>6</v>
      </c>
      <c r="AG110" s="28">
        <v>16</v>
      </c>
      <c r="AH110" s="28">
        <v>0</v>
      </c>
      <c r="AI110" s="106">
        <v>1.6796640671865626</v>
      </c>
      <c r="AJ110" s="77">
        <v>0</v>
      </c>
      <c r="AK110" s="28">
        <v>0</v>
      </c>
      <c r="AL110" s="28">
        <v>0</v>
      </c>
      <c r="AM110" s="28">
        <v>0</v>
      </c>
      <c r="AN110" s="75">
        <v>108</v>
      </c>
      <c r="AQ110" s="366" t="s">
        <v>580</v>
      </c>
      <c r="AR110" s="77" t="s">
        <v>212</v>
      </c>
      <c r="AS110" s="77" t="s">
        <v>605</v>
      </c>
      <c r="AT110" s="135">
        <v>6.0624617268830381</v>
      </c>
      <c r="AU110" s="77">
        <v>2</v>
      </c>
      <c r="AV110" s="28">
        <v>1</v>
      </c>
      <c r="AW110" s="77">
        <v>13</v>
      </c>
      <c r="AX110" s="584">
        <v>16.329999999999998</v>
      </c>
      <c r="AY110" s="28">
        <v>15</v>
      </c>
      <c r="AZ110" s="28">
        <v>11</v>
      </c>
      <c r="BA110" s="28">
        <v>7</v>
      </c>
      <c r="BB110" s="28">
        <v>19</v>
      </c>
      <c r="BC110" s="28">
        <v>0</v>
      </c>
      <c r="BD110" s="106">
        <v>1.3472137170851195</v>
      </c>
      <c r="BE110" s="77">
        <v>0</v>
      </c>
      <c r="BF110" s="28">
        <v>0</v>
      </c>
      <c r="BG110" s="28">
        <v>0</v>
      </c>
      <c r="BH110" s="28">
        <v>0</v>
      </c>
      <c r="BI110" s="75">
        <v>108</v>
      </c>
    </row>
    <row r="111" spans="1:61">
      <c r="A111" s="101" t="s">
        <v>580</v>
      </c>
      <c r="B111" s="71" t="s">
        <v>212</v>
      </c>
      <c r="C111" s="116" t="s">
        <v>606</v>
      </c>
      <c r="D111" s="89">
        <f>VLOOKUP(Table70[[#This Row],[NAME]],HOU_P[[NAME]:['#]],2,0)</f>
        <v>4.2857142857142856</v>
      </c>
      <c r="E111" s="77">
        <f>VLOOKUP(Table70[[#This Row],[NAME]],HOU_P[[NAME]:['#]],3,0)</f>
        <v>3</v>
      </c>
      <c r="F111" s="28">
        <f>VLOOKUP(Table70[[#This Row],[NAME]],HOU_P[[NAME]:['#]],4,0)</f>
        <v>2</v>
      </c>
      <c r="G111" s="77">
        <f>VLOOKUP(Table70[[#This Row],[NAME]],HOU_P[[NAME]:['#]],5,0)</f>
        <v>22</v>
      </c>
      <c r="H111" s="584">
        <f>VLOOKUP(Table70[[#This Row],[NAME]],HOU_P[[NAME]:['#]],6,0)</f>
        <v>21</v>
      </c>
      <c r="I111" s="28">
        <f>VLOOKUP(Table70[[#This Row],[NAME]],HOU_P[[NAME]:['#]],7,0)</f>
        <v>22</v>
      </c>
      <c r="J111" s="28">
        <f>VLOOKUP(Table70[[#This Row],[NAME]],HOU_P[[NAME]:['#]],8,0)</f>
        <v>10</v>
      </c>
      <c r="K111" s="28">
        <f>VLOOKUP(Table70[[#This Row],[NAME]],HOU_P[[NAME]:['#]],9,0)</f>
        <v>5</v>
      </c>
      <c r="L111" s="28">
        <f>VLOOKUP(Table70[[#This Row],[NAME]],HOU_P[[NAME]:['#]],10,0)</f>
        <v>25</v>
      </c>
      <c r="M111" s="28">
        <f>VLOOKUP(Table70[[#This Row],[NAME]],HOU_P[[NAME]:['#]],11,0)</f>
        <v>1</v>
      </c>
      <c r="N111" s="106">
        <f>VLOOKUP(Table70[[#This Row],[NAME]],HOU_P[[NAME]:['#]],12,0)</f>
        <v>1.2857142857142858</v>
      </c>
      <c r="O111" s="77">
        <f>VLOOKUP(Table70[[#This Row],[NAME]],HOU_P[[NAME]:['#]],13,0)</f>
        <v>0</v>
      </c>
      <c r="P111" s="28">
        <f>VLOOKUP(Table70[[#This Row],[NAME]],HOU_P[[NAME]:['#]],14,0)</f>
        <v>0</v>
      </c>
      <c r="Q111" s="28">
        <f>VLOOKUP(Table70[[#This Row],[NAME]],HOU_P[[NAME]:['#]],15,0)</f>
        <v>0</v>
      </c>
      <c r="R111" s="28">
        <f>VLOOKUP(Table70[[#This Row],[NAME]],HOU_P[[NAME]:['#]],16,0)</f>
        <v>0</v>
      </c>
      <c r="S111" s="75">
        <v>109</v>
      </c>
      <c r="V111" s="101" t="s">
        <v>580</v>
      </c>
      <c r="W111" s="77" t="s">
        <v>212</v>
      </c>
      <c r="X111" s="132" t="s">
        <v>606</v>
      </c>
      <c r="Y111" s="88">
        <v>4.1179461108286723</v>
      </c>
      <c r="Z111" s="77">
        <v>1</v>
      </c>
      <c r="AA111" s="28">
        <v>2</v>
      </c>
      <c r="AB111" s="77">
        <v>21</v>
      </c>
      <c r="AC111" s="584">
        <v>19.670000000000002</v>
      </c>
      <c r="AD111" s="28">
        <v>24</v>
      </c>
      <c r="AE111" s="28">
        <v>9</v>
      </c>
      <c r="AF111" s="28">
        <v>12</v>
      </c>
      <c r="AG111" s="28">
        <v>17</v>
      </c>
      <c r="AH111" s="28">
        <v>2</v>
      </c>
      <c r="AI111" s="106">
        <v>1.8301982714794101</v>
      </c>
      <c r="AJ111" s="77">
        <v>0</v>
      </c>
      <c r="AK111" s="28">
        <v>0</v>
      </c>
      <c r="AL111" s="28">
        <v>0</v>
      </c>
      <c r="AM111" s="28">
        <v>0</v>
      </c>
      <c r="AN111" s="75">
        <v>109</v>
      </c>
      <c r="AQ111" s="366" t="s">
        <v>580</v>
      </c>
      <c r="AR111" s="77" t="s">
        <v>212</v>
      </c>
      <c r="AS111" s="77" t="s">
        <v>606</v>
      </c>
      <c r="AT111" s="135">
        <v>3.9279869067103115</v>
      </c>
      <c r="AU111" s="77">
        <v>4</v>
      </c>
      <c r="AV111" s="28">
        <v>1</v>
      </c>
      <c r="AW111" s="77">
        <v>19</v>
      </c>
      <c r="AX111" s="584">
        <v>18.329999999999998</v>
      </c>
      <c r="AY111" s="28">
        <v>17</v>
      </c>
      <c r="AZ111" s="28">
        <v>8</v>
      </c>
      <c r="BA111" s="28">
        <v>4</v>
      </c>
      <c r="BB111" s="28">
        <v>28</v>
      </c>
      <c r="BC111" s="28">
        <v>1</v>
      </c>
      <c r="BD111" s="106">
        <v>1.1456628477905075</v>
      </c>
      <c r="BE111" s="77">
        <v>0</v>
      </c>
      <c r="BF111" s="28">
        <v>0</v>
      </c>
      <c r="BG111" s="28">
        <v>0</v>
      </c>
      <c r="BH111" s="28">
        <v>0</v>
      </c>
      <c r="BI111" s="75">
        <v>109</v>
      </c>
    </row>
    <row r="112" spans="1:61">
      <c r="A112" s="101" t="s">
        <v>580</v>
      </c>
      <c r="B112" s="71" t="s">
        <v>212</v>
      </c>
      <c r="C112" s="116" t="s">
        <v>607</v>
      </c>
      <c r="D112" s="89">
        <f>VLOOKUP(Table70[[#This Row],[NAME]],HOU_P[[NAME]:['#]],2,0)</f>
        <v>1.875</v>
      </c>
      <c r="E112" s="77">
        <f>VLOOKUP(Table70[[#This Row],[NAME]],HOU_P[[NAME]:['#]],3,0)</f>
        <v>3</v>
      </c>
      <c r="F112" s="28">
        <f>VLOOKUP(Table70[[#This Row],[NAME]],HOU_P[[NAME]:['#]],4,0)</f>
        <v>2</v>
      </c>
      <c r="G112" s="77">
        <f>VLOOKUP(Table70[[#This Row],[NAME]],HOU_P[[NAME]:['#]],5,0)</f>
        <v>20</v>
      </c>
      <c r="H112" s="584">
        <f>VLOOKUP(Table70[[#This Row],[NAME]],HOU_P[[NAME]:['#]],6,0)</f>
        <v>24</v>
      </c>
      <c r="I112" s="28">
        <f>VLOOKUP(Table70[[#This Row],[NAME]],HOU_P[[NAME]:['#]],7,0)</f>
        <v>19</v>
      </c>
      <c r="J112" s="28">
        <f>VLOOKUP(Table70[[#This Row],[NAME]],HOU_P[[NAME]:['#]],8,0)</f>
        <v>5</v>
      </c>
      <c r="K112" s="28">
        <f>VLOOKUP(Table70[[#This Row],[NAME]],HOU_P[[NAME]:['#]],9,0)</f>
        <v>4</v>
      </c>
      <c r="L112" s="28">
        <f>VLOOKUP(Table70[[#This Row],[NAME]],HOU_P[[NAME]:['#]],10,0)</f>
        <v>22</v>
      </c>
      <c r="M112" s="28">
        <f>VLOOKUP(Table70[[#This Row],[NAME]],HOU_P[[NAME]:['#]],11,0)</f>
        <v>8</v>
      </c>
      <c r="N112" s="106">
        <f>VLOOKUP(Table70[[#This Row],[NAME]],HOU_P[[NAME]:['#]],12,0)</f>
        <v>0.95833333333333337</v>
      </c>
      <c r="O112" s="77">
        <f>VLOOKUP(Table70[[#This Row],[NAME]],HOU_P[[NAME]:['#]],13,0)</f>
        <v>0</v>
      </c>
      <c r="P112" s="28">
        <f>VLOOKUP(Table70[[#This Row],[NAME]],HOU_P[[NAME]:['#]],14,0)</f>
        <v>0</v>
      </c>
      <c r="Q112" s="28">
        <f>VLOOKUP(Table70[[#This Row],[NAME]],HOU_P[[NAME]:['#]],15,0)</f>
        <v>0</v>
      </c>
      <c r="R112" s="28">
        <f>VLOOKUP(Table70[[#This Row],[NAME]],HOU_P[[NAME]:['#]],16,0)</f>
        <v>0</v>
      </c>
      <c r="S112" s="75">
        <v>110</v>
      </c>
      <c r="V112" s="101" t="s">
        <v>580</v>
      </c>
      <c r="W112" s="77" t="s">
        <v>212</v>
      </c>
      <c r="X112" s="132" t="s">
        <v>607</v>
      </c>
      <c r="Y112" s="88">
        <v>6.7487948580610597</v>
      </c>
      <c r="Z112" s="77">
        <v>1</v>
      </c>
      <c r="AA112" s="28">
        <v>3</v>
      </c>
      <c r="AB112" s="77">
        <v>18</v>
      </c>
      <c r="AC112" s="584">
        <v>18.670000000000002</v>
      </c>
      <c r="AD112" s="28">
        <v>25</v>
      </c>
      <c r="AE112" s="28">
        <v>14</v>
      </c>
      <c r="AF112" s="28">
        <v>10</v>
      </c>
      <c r="AG112" s="28">
        <v>25</v>
      </c>
      <c r="AH112" s="28">
        <v>6</v>
      </c>
      <c r="AI112" s="106">
        <v>1.8746652383502944</v>
      </c>
      <c r="AJ112" s="77">
        <v>0</v>
      </c>
      <c r="AK112" s="28">
        <v>0</v>
      </c>
      <c r="AL112" s="28">
        <v>0</v>
      </c>
      <c r="AM112" s="28">
        <v>0</v>
      </c>
      <c r="AN112" s="75">
        <v>110</v>
      </c>
      <c r="AQ112" s="366" t="s">
        <v>580</v>
      </c>
      <c r="AR112" s="77" t="s">
        <v>212</v>
      </c>
      <c r="AS112" s="77" t="s">
        <v>607</v>
      </c>
      <c r="AT112" s="135">
        <v>1.8</v>
      </c>
      <c r="AU112" s="77">
        <v>2</v>
      </c>
      <c r="AV112" s="28">
        <v>1</v>
      </c>
      <c r="AW112" s="77">
        <v>19</v>
      </c>
      <c r="AX112" s="584">
        <v>20</v>
      </c>
      <c r="AY112" s="28">
        <v>16</v>
      </c>
      <c r="AZ112" s="28">
        <v>4</v>
      </c>
      <c r="BA112" s="28">
        <v>7</v>
      </c>
      <c r="BB112" s="28">
        <v>28</v>
      </c>
      <c r="BC112" s="76">
        <v>12</v>
      </c>
      <c r="BD112" s="106">
        <v>1.1499999999999999</v>
      </c>
      <c r="BE112" s="77">
        <v>0</v>
      </c>
      <c r="BF112" s="28">
        <v>0</v>
      </c>
      <c r="BG112" s="28">
        <v>0</v>
      </c>
      <c r="BH112" s="28">
        <v>0</v>
      </c>
      <c r="BI112" s="75">
        <v>110</v>
      </c>
    </row>
    <row r="113" spans="1:61">
      <c r="A113" s="101" t="s">
        <v>611</v>
      </c>
      <c r="B113" s="71" t="s">
        <v>206</v>
      </c>
      <c r="C113" s="71" t="s">
        <v>630</v>
      </c>
      <c r="D113" s="89">
        <f>VLOOKUP(Table70[[#This Row],[NAME]],SEA_P[[NAME]:['#]],2,0)</f>
        <v>3.5278154681139755</v>
      </c>
      <c r="E113" s="77">
        <f>VLOOKUP(Table70[[#This Row],[NAME]],SEA_P[[NAME]:['#]],3,0)</f>
        <v>2</v>
      </c>
      <c r="F113" s="28">
        <f>VLOOKUP(Table70[[#This Row],[NAME]],SEA_P[[NAME]:['#]],4,0)</f>
        <v>4</v>
      </c>
      <c r="G113" s="77">
        <f>VLOOKUP(Table70[[#This Row],[NAME]],SEA_P[[NAME]:['#]],5,0)</f>
        <v>10</v>
      </c>
      <c r="H113" s="584">
        <f>VLOOKUP(Table70[[#This Row],[NAME]],SEA_P[[NAME]:['#]],6,0)</f>
        <v>66.33</v>
      </c>
      <c r="I113" s="28">
        <f>VLOOKUP(Table70[[#This Row],[NAME]],SEA_P[[NAME]:['#]],7,0)</f>
        <v>78</v>
      </c>
      <c r="J113" s="28">
        <f>VLOOKUP(Table70[[#This Row],[NAME]],SEA_P[[NAME]:['#]],8,0)</f>
        <v>26</v>
      </c>
      <c r="K113" s="28">
        <f>VLOOKUP(Table70[[#This Row],[NAME]],SEA_P[[NAME]:['#]],9,0)</f>
        <v>22</v>
      </c>
      <c r="L113" s="28">
        <f>VLOOKUP(Table70[[#This Row],[NAME]],SEA_P[[NAME]:['#]],10,0)</f>
        <v>58</v>
      </c>
      <c r="M113" s="28">
        <f>VLOOKUP(Table70[[#This Row],[NAME]],SEA_P[[NAME]:['#]],11,0)</f>
        <v>0</v>
      </c>
      <c r="N113" s="106">
        <f>VLOOKUP(Table70[[#This Row],[NAME]],SEA_P[[NAME]:['#]],12,0)</f>
        <v>1.5076134479119554</v>
      </c>
      <c r="O113" s="77">
        <f>VLOOKUP(Table70[[#This Row],[NAME]],SEA_P[[NAME]:['#]],13,0)</f>
        <v>6</v>
      </c>
      <c r="P113" s="28">
        <f>VLOOKUP(Table70[[#This Row],[NAME]],SEA_P[[NAME]:['#]],14,0)</f>
        <v>5</v>
      </c>
      <c r="Q113" s="28">
        <f>VLOOKUP(Table70[[#This Row],[NAME]],SEA_P[[NAME]:['#]],15,0)</f>
        <v>1</v>
      </c>
      <c r="R113" s="28">
        <f>VLOOKUP(Table70[[#This Row],[NAME]],SEA_P[[NAME]:['#]],16,0)</f>
        <v>1</v>
      </c>
      <c r="S113" s="75">
        <v>111</v>
      </c>
      <c r="V113" s="101" t="s">
        <v>611</v>
      </c>
      <c r="W113" s="77" t="s">
        <v>206</v>
      </c>
      <c r="X113" s="77" t="s">
        <v>630</v>
      </c>
      <c r="Y113" s="88">
        <v>2.9711497057557055</v>
      </c>
      <c r="Z113" s="77">
        <v>5</v>
      </c>
      <c r="AA113" s="28">
        <v>4</v>
      </c>
      <c r="AB113" s="77">
        <v>10</v>
      </c>
      <c r="AC113" s="584">
        <v>69.67</v>
      </c>
      <c r="AD113" s="28">
        <v>61</v>
      </c>
      <c r="AE113" s="28">
        <v>23</v>
      </c>
      <c r="AF113" s="28">
        <v>21</v>
      </c>
      <c r="AG113" s="28">
        <v>54</v>
      </c>
      <c r="AH113" s="28">
        <v>0</v>
      </c>
      <c r="AI113" s="106">
        <v>1.1769771781254486</v>
      </c>
      <c r="AJ113" s="77">
        <v>9</v>
      </c>
      <c r="AK113" s="28">
        <v>5</v>
      </c>
      <c r="AL113" s="28">
        <v>1</v>
      </c>
      <c r="AM113" s="28">
        <v>1</v>
      </c>
      <c r="AN113" s="75">
        <v>111</v>
      </c>
      <c r="AQ113" s="101" t="s">
        <v>611</v>
      </c>
      <c r="AR113" s="77" t="s">
        <v>206</v>
      </c>
      <c r="AS113" s="77" t="s">
        <v>630</v>
      </c>
      <c r="AT113" s="135">
        <v>2.7692307692307692</v>
      </c>
      <c r="AU113" s="77">
        <v>4</v>
      </c>
      <c r="AV113" s="28">
        <v>5</v>
      </c>
      <c r="AW113" s="77">
        <v>10</v>
      </c>
      <c r="AX113" s="582">
        <v>78</v>
      </c>
      <c r="AY113" s="28">
        <v>55</v>
      </c>
      <c r="AZ113" s="28">
        <v>24</v>
      </c>
      <c r="BA113" s="28">
        <v>28</v>
      </c>
      <c r="BB113" s="28">
        <v>74</v>
      </c>
      <c r="BC113" s="28">
        <v>0</v>
      </c>
      <c r="BD113" s="106">
        <v>1.0641025641025641</v>
      </c>
      <c r="BE113" s="77">
        <v>7</v>
      </c>
      <c r="BF113" s="76">
        <v>7</v>
      </c>
      <c r="BG113" s="586">
        <v>4</v>
      </c>
      <c r="BH113" s="76">
        <v>2</v>
      </c>
      <c r="BI113" s="75">
        <v>111</v>
      </c>
    </row>
    <row r="114" spans="1:61">
      <c r="A114" s="101" t="s">
        <v>611</v>
      </c>
      <c r="B114" s="71" t="s">
        <v>206</v>
      </c>
      <c r="C114" s="116" t="s">
        <v>631</v>
      </c>
      <c r="D114" s="89">
        <f>VLOOKUP(Table70[[#This Row],[NAME]],SEA_P[[NAME]:['#]],2,0)</f>
        <v>2.6441935982681306</v>
      </c>
      <c r="E114" s="77">
        <f>VLOOKUP(Table70[[#This Row],[NAME]],SEA_P[[NAME]:['#]],3,0)</f>
        <v>6</v>
      </c>
      <c r="F114" s="28">
        <f>VLOOKUP(Table70[[#This Row],[NAME]],SEA_P[[NAME]:['#]],4,0)</f>
        <v>2</v>
      </c>
      <c r="G114" s="77">
        <f>VLOOKUP(Table70[[#This Row],[NAME]],SEA_P[[NAME]:['#]],5,0)</f>
        <v>10</v>
      </c>
      <c r="H114" s="584">
        <f>VLOOKUP(Table70[[#This Row],[NAME]],SEA_P[[NAME]:['#]],6,0)</f>
        <v>64.67</v>
      </c>
      <c r="I114" s="28">
        <f>VLOOKUP(Table70[[#This Row],[NAME]],SEA_P[[NAME]:['#]],7,0)</f>
        <v>62</v>
      </c>
      <c r="J114" s="28">
        <f>VLOOKUP(Table70[[#This Row],[NAME]],SEA_P[[NAME]:['#]],8,0)</f>
        <v>19</v>
      </c>
      <c r="K114" s="28">
        <f>VLOOKUP(Table70[[#This Row],[NAME]],SEA_P[[NAME]:['#]],9,0)</f>
        <v>22</v>
      </c>
      <c r="L114" s="28">
        <f>VLOOKUP(Table70[[#This Row],[NAME]],SEA_P[[NAME]:['#]],10,0)</f>
        <v>61</v>
      </c>
      <c r="M114" s="28">
        <f>VLOOKUP(Table70[[#This Row],[NAME]],SEA_P[[NAME]:['#]],11,0)</f>
        <v>0</v>
      </c>
      <c r="N114" s="106">
        <f>VLOOKUP(Table70[[#This Row],[NAME]],SEA_P[[NAME]:['#]],12,0)</f>
        <v>1.2989021184475027</v>
      </c>
      <c r="O114" s="77">
        <f>VLOOKUP(Table70[[#This Row],[NAME]],SEA_P[[NAME]:['#]],13,0)</f>
        <v>7</v>
      </c>
      <c r="P114" s="28">
        <f>VLOOKUP(Table70[[#This Row],[NAME]],SEA_P[[NAME]:['#]],14,0)</f>
        <v>3</v>
      </c>
      <c r="Q114" s="28">
        <f>VLOOKUP(Table70[[#This Row],[NAME]],SEA_P[[NAME]:['#]],15,0)</f>
        <v>1</v>
      </c>
      <c r="R114" s="28">
        <f>VLOOKUP(Table70[[#This Row],[NAME]],SEA_P[[NAME]:['#]],16,0)</f>
        <v>1</v>
      </c>
      <c r="S114" s="75">
        <v>112</v>
      </c>
      <c r="V114" s="101" t="s">
        <v>611</v>
      </c>
      <c r="W114" s="77" t="s">
        <v>206</v>
      </c>
      <c r="X114" s="132" t="s">
        <v>632</v>
      </c>
      <c r="Y114" s="88">
        <v>5.4339622641509431</v>
      </c>
      <c r="Z114" s="77">
        <v>1</v>
      </c>
      <c r="AA114" s="28">
        <v>3</v>
      </c>
      <c r="AB114" s="77">
        <v>10</v>
      </c>
      <c r="AC114" s="584">
        <v>53</v>
      </c>
      <c r="AD114" s="28">
        <v>61</v>
      </c>
      <c r="AE114" s="28">
        <v>32</v>
      </c>
      <c r="AF114" s="28">
        <v>24</v>
      </c>
      <c r="AG114" s="28">
        <v>61</v>
      </c>
      <c r="AH114" s="28">
        <v>0</v>
      </c>
      <c r="AI114" s="106">
        <v>1.6037735849056605</v>
      </c>
      <c r="AJ114" s="77">
        <v>2</v>
      </c>
      <c r="AK114" s="28">
        <v>1</v>
      </c>
      <c r="AL114" s="28">
        <v>0</v>
      </c>
      <c r="AM114" s="28">
        <v>0</v>
      </c>
      <c r="AN114" s="75">
        <v>112</v>
      </c>
      <c r="AQ114" s="101" t="s">
        <v>611</v>
      </c>
      <c r="AR114" s="77" t="s">
        <v>206</v>
      </c>
      <c r="AS114" s="77" t="s">
        <v>633</v>
      </c>
      <c r="AT114" s="135">
        <v>4.1114664230242122</v>
      </c>
      <c r="AU114" s="77">
        <v>3</v>
      </c>
      <c r="AV114" s="28">
        <v>4</v>
      </c>
      <c r="AW114" s="77">
        <v>10</v>
      </c>
      <c r="AX114" s="584">
        <v>65.67</v>
      </c>
      <c r="AY114" s="28">
        <v>58</v>
      </c>
      <c r="AZ114" s="28">
        <v>30</v>
      </c>
      <c r="BA114" s="28">
        <v>15</v>
      </c>
      <c r="BB114" s="28">
        <v>57</v>
      </c>
      <c r="BC114" s="28">
        <v>0</v>
      </c>
      <c r="BD114" s="106">
        <v>1.1116186995583981</v>
      </c>
      <c r="BE114" s="77">
        <v>6</v>
      </c>
      <c r="BF114" s="28">
        <v>4</v>
      </c>
      <c r="BG114" s="28">
        <v>1</v>
      </c>
      <c r="BH114" s="28">
        <v>1</v>
      </c>
      <c r="BI114" s="75">
        <v>112</v>
      </c>
    </row>
    <row r="115" spans="1:61">
      <c r="A115" s="101" t="s">
        <v>611</v>
      </c>
      <c r="B115" s="71" t="s">
        <v>206</v>
      </c>
      <c r="C115" s="116" t="s">
        <v>634</v>
      </c>
      <c r="D115" s="89">
        <f>VLOOKUP(Table70[[#This Row],[NAME]],SEA_P[[NAME]:['#]],2,0)</f>
        <v>2.6998650067496626</v>
      </c>
      <c r="E115" s="77">
        <f>VLOOKUP(Table70[[#This Row],[NAME]],SEA_P[[NAME]:['#]],3,0)</f>
        <v>5</v>
      </c>
      <c r="F115" s="28">
        <f>VLOOKUP(Table70[[#This Row],[NAME]],SEA_P[[NAME]:['#]],4,0)</f>
        <v>4</v>
      </c>
      <c r="G115" s="77">
        <f>VLOOKUP(Table70[[#This Row],[NAME]],SEA_P[[NAME]:['#]],5,0)</f>
        <v>10</v>
      </c>
      <c r="H115" s="584">
        <f>VLOOKUP(Table70[[#This Row],[NAME]],SEA_P[[NAME]:['#]],6,0)</f>
        <v>66.67</v>
      </c>
      <c r="I115" s="28">
        <f>VLOOKUP(Table70[[#This Row],[NAME]],SEA_P[[NAME]:['#]],7,0)</f>
        <v>64</v>
      </c>
      <c r="J115" s="28">
        <f>VLOOKUP(Table70[[#This Row],[NAME]],SEA_P[[NAME]:['#]],8,0)</f>
        <v>20</v>
      </c>
      <c r="K115" s="28">
        <f>VLOOKUP(Table70[[#This Row],[NAME]],SEA_P[[NAME]:['#]],9,0)</f>
        <v>6</v>
      </c>
      <c r="L115" s="28">
        <f>VLOOKUP(Table70[[#This Row],[NAME]],SEA_P[[NAME]:['#]],10,0)</f>
        <v>63</v>
      </c>
      <c r="M115" s="28">
        <f>VLOOKUP(Table70[[#This Row],[NAME]],SEA_P[[NAME]:['#]],11,0)</f>
        <v>0</v>
      </c>
      <c r="N115" s="106">
        <f>VLOOKUP(Table70[[#This Row],[NAME]],SEA_P[[NAME]:['#]],12,0)</f>
        <v>1.0499475026248688</v>
      </c>
      <c r="O115" s="352">
        <f>VLOOKUP(Table70[[#This Row],[NAME]],SEA_P[[NAME]:['#]],13,0)</f>
        <v>9</v>
      </c>
      <c r="P115" s="28">
        <f>VLOOKUP(Table70[[#This Row],[NAME]],SEA_P[[NAME]:['#]],14,0)</f>
        <v>5</v>
      </c>
      <c r="Q115" s="28">
        <f>VLOOKUP(Table70[[#This Row],[NAME]],SEA_P[[NAME]:['#]],15,0)</f>
        <v>1</v>
      </c>
      <c r="R115" s="28">
        <f>VLOOKUP(Table70[[#This Row],[NAME]],SEA_P[[NAME]:['#]],16,0)</f>
        <v>1</v>
      </c>
      <c r="S115" s="75">
        <v>113</v>
      </c>
      <c r="V115" s="101" t="s">
        <v>611</v>
      </c>
      <c r="W115" s="77" t="s">
        <v>206</v>
      </c>
      <c r="X115" s="132" t="s">
        <v>631</v>
      </c>
      <c r="Y115" s="88">
        <v>3.3576869267837712</v>
      </c>
      <c r="Z115" s="77">
        <v>4</v>
      </c>
      <c r="AA115" s="28">
        <v>4</v>
      </c>
      <c r="AB115" s="77">
        <v>10</v>
      </c>
      <c r="AC115" s="584">
        <v>64.33</v>
      </c>
      <c r="AD115" s="28">
        <v>62</v>
      </c>
      <c r="AE115" s="28">
        <v>24</v>
      </c>
      <c r="AF115" s="28">
        <v>19</v>
      </c>
      <c r="AG115" s="28">
        <v>55</v>
      </c>
      <c r="AH115" s="28">
        <v>0</v>
      </c>
      <c r="AI115" s="106">
        <v>1.2591325975439143</v>
      </c>
      <c r="AJ115" s="77">
        <v>7</v>
      </c>
      <c r="AK115" s="28">
        <v>3</v>
      </c>
      <c r="AL115" s="28">
        <v>1</v>
      </c>
      <c r="AM115" s="28">
        <v>1</v>
      </c>
      <c r="AN115" s="75">
        <v>113</v>
      </c>
      <c r="AQ115" s="101" t="s">
        <v>611</v>
      </c>
      <c r="AR115" s="77" t="s">
        <v>206</v>
      </c>
      <c r="AS115" s="77" t="s">
        <v>636</v>
      </c>
      <c r="AT115" s="135">
        <v>3.2891731384193696</v>
      </c>
      <c r="AU115" s="77">
        <v>4</v>
      </c>
      <c r="AV115" s="28">
        <v>4</v>
      </c>
      <c r="AW115" s="77">
        <v>9</v>
      </c>
      <c r="AX115" s="584">
        <v>65.67</v>
      </c>
      <c r="AY115" s="28">
        <v>57</v>
      </c>
      <c r="AZ115" s="28">
        <v>24</v>
      </c>
      <c r="BA115" s="28">
        <v>8</v>
      </c>
      <c r="BB115" s="28">
        <v>56</v>
      </c>
      <c r="BC115" s="28">
        <v>0</v>
      </c>
      <c r="BD115" s="106">
        <v>0.98979747220953251</v>
      </c>
      <c r="BE115" s="77">
        <v>6</v>
      </c>
      <c r="BF115" s="28">
        <v>3</v>
      </c>
      <c r="BG115" s="28">
        <v>1</v>
      </c>
      <c r="BH115" s="28">
        <v>1</v>
      </c>
      <c r="BI115" s="75">
        <v>113</v>
      </c>
    </row>
    <row r="116" spans="1:61">
      <c r="A116" s="101" t="s">
        <v>611</v>
      </c>
      <c r="B116" s="71" t="s">
        <v>206</v>
      </c>
      <c r="C116" s="116" t="s">
        <v>632</v>
      </c>
      <c r="D116" s="89">
        <f>VLOOKUP(Table70[[#This Row],[NAME]],SEA_P[[NAME]:['#]],2,0)</f>
        <v>5.2363636363636363</v>
      </c>
      <c r="E116" s="77">
        <f>VLOOKUP(Table70[[#This Row],[NAME]],SEA_P[[NAME]:['#]],3,0)</f>
        <v>4</v>
      </c>
      <c r="F116" s="28">
        <f>VLOOKUP(Table70[[#This Row],[NAME]],SEA_P[[NAME]:['#]],4,0)</f>
        <v>1</v>
      </c>
      <c r="G116" s="77">
        <f>VLOOKUP(Table70[[#This Row],[NAME]],SEA_P[[NAME]:['#]],5,0)</f>
        <v>10</v>
      </c>
      <c r="H116" s="584">
        <f>VLOOKUP(Table70[[#This Row],[NAME]],SEA_P[[NAME]:['#]],6,0)</f>
        <v>55</v>
      </c>
      <c r="I116" s="28">
        <f>VLOOKUP(Table70[[#This Row],[NAME]],SEA_P[[NAME]:['#]],7,0)</f>
        <v>64</v>
      </c>
      <c r="J116" s="28">
        <f>VLOOKUP(Table70[[#This Row],[NAME]],SEA_P[[NAME]:['#]],8,0)</f>
        <v>32</v>
      </c>
      <c r="K116" s="28">
        <f>VLOOKUP(Table70[[#This Row],[NAME]],SEA_P[[NAME]:['#]],9,0)</f>
        <v>22</v>
      </c>
      <c r="L116" s="28">
        <f>VLOOKUP(Table70[[#This Row],[NAME]],SEA_P[[NAME]:['#]],10,0)</f>
        <v>80</v>
      </c>
      <c r="M116" s="28">
        <f>VLOOKUP(Table70[[#This Row],[NAME]],SEA_P[[NAME]:['#]],11,0)</f>
        <v>0</v>
      </c>
      <c r="N116" s="106">
        <f>VLOOKUP(Table70[[#This Row],[NAME]],SEA_P[[NAME]:['#]],12,0)</f>
        <v>1.5636363636363637</v>
      </c>
      <c r="O116" s="77">
        <f>VLOOKUP(Table70[[#This Row],[NAME]],SEA_P[[NAME]:['#]],13,0)</f>
        <v>3</v>
      </c>
      <c r="P116" s="28">
        <f>VLOOKUP(Table70[[#This Row],[NAME]],SEA_P[[NAME]:['#]],14,0)</f>
        <v>1</v>
      </c>
      <c r="Q116" s="28">
        <f>VLOOKUP(Table70[[#This Row],[NAME]],SEA_P[[NAME]:['#]],15,0)</f>
        <v>0</v>
      </c>
      <c r="R116" s="28">
        <f>VLOOKUP(Table70[[#This Row],[NAME]],SEA_P[[NAME]:['#]],16,0)</f>
        <v>0</v>
      </c>
      <c r="S116" s="75">
        <v>114</v>
      </c>
      <c r="V116" s="101" t="s">
        <v>611</v>
      </c>
      <c r="W116" s="77" t="s">
        <v>365</v>
      </c>
      <c r="X116" s="132" t="s">
        <v>634</v>
      </c>
      <c r="Y116" s="88">
        <v>3.6816089994886654</v>
      </c>
      <c r="Z116" s="77">
        <v>5</v>
      </c>
      <c r="AA116" s="28">
        <v>0</v>
      </c>
      <c r="AB116" s="77">
        <v>10</v>
      </c>
      <c r="AC116" s="584">
        <v>58.67</v>
      </c>
      <c r="AD116" s="28">
        <v>60</v>
      </c>
      <c r="AE116" s="28">
        <v>24</v>
      </c>
      <c r="AF116" s="28">
        <v>16</v>
      </c>
      <c r="AG116" s="28">
        <v>61</v>
      </c>
      <c r="AH116" s="28">
        <v>0</v>
      </c>
      <c r="AI116" s="106">
        <v>1.2953809442645303</v>
      </c>
      <c r="AJ116" s="77">
        <v>5</v>
      </c>
      <c r="AK116" s="28">
        <v>3</v>
      </c>
      <c r="AL116" s="28">
        <v>0</v>
      </c>
      <c r="AM116" s="28">
        <v>0</v>
      </c>
      <c r="AN116" s="75">
        <v>114</v>
      </c>
      <c r="AQ116" s="101" t="s">
        <v>611</v>
      </c>
      <c r="AR116" s="77" t="s">
        <v>206</v>
      </c>
      <c r="AS116" s="77" t="s">
        <v>635</v>
      </c>
      <c r="AT116" s="135">
        <v>5.1984348798211286</v>
      </c>
      <c r="AU116" s="77">
        <v>4</v>
      </c>
      <c r="AV116" s="28">
        <v>3</v>
      </c>
      <c r="AW116" s="77">
        <v>9</v>
      </c>
      <c r="AX116" s="584">
        <v>53.67</v>
      </c>
      <c r="AY116" s="28">
        <v>57</v>
      </c>
      <c r="AZ116" s="28">
        <v>31</v>
      </c>
      <c r="BA116" s="28">
        <v>19</v>
      </c>
      <c r="BB116" s="28">
        <v>46</v>
      </c>
      <c r="BC116" s="28">
        <v>0</v>
      </c>
      <c r="BD116" s="106">
        <v>1.4160611142165083</v>
      </c>
      <c r="BE116" s="77">
        <v>5</v>
      </c>
      <c r="BF116" s="28">
        <v>3</v>
      </c>
      <c r="BG116" s="28">
        <v>0</v>
      </c>
      <c r="BH116" s="28">
        <v>0</v>
      </c>
      <c r="BI116" s="75">
        <v>114</v>
      </c>
    </row>
    <row r="117" spans="1:61">
      <c r="A117" s="101" t="s">
        <v>611</v>
      </c>
      <c r="B117" s="71" t="s">
        <v>212</v>
      </c>
      <c r="C117" s="116" t="s">
        <v>633</v>
      </c>
      <c r="D117" s="89">
        <f>VLOOKUP(Table70[[#This Row],[NAME]],SEA_P[[NAME]:['#]],2,0)</f>
        <v>6</v>
      </c>
      <c r="E117" s="77">
        <f>VLOOKUP(Table70[[#This Row],[NAME]],SEA_P[[NAME]:['#]],3,0)</f>
        <v>0</v>
      </c>
      <c r="F117" s="28">
        <f>VLOOKUP(Table70[[#This Row],[NAME]],SEA_P[[NAME]:['#]],4,0)</f>
        <v>0</v>
      </c>
      <c r="G117" s="77">
        <f>VLOOKUP(Table70[[#This Row],[NAME]],SEA_P[[NAME]:['#]],5,0)</f>
        <v>6</v>
      </c>
      <c r="H117" s="584">
        <f>VLOOKUP(Table70[[#This Row],[NAME]],SEA_P[[NAME]:['#]],6,0)</f>
        <v>12</v>
      </c>
      <c r="I117" s="28">
        <f>VLOOKUP(Table70[[#This Row],[NAME]],SEA_P[[NAME]:['#]],7,0)</f>
        <v>18</v>
      </c>
      <c r="J117" s="28">
        <f>VLOOKUP(Table70[[#This Row],[NAME]],SEA_P[[NAME]:['#]],8,0)</f>
        <v>8</v>
      </c>
      <c r="K117" s="28">
        <f>VLOOKUP(Table70[[#This Row],[NAME]],SEA_P[[NAME]:['#]],9,0)</f>
        <v>2</v>
      </c>
      <c r="L117" s="28">
        <f>VLOOKUP(Table70[[#This Row],[NAME]],SEA_P[[NAME]:['#]],10,0)</f>
        <v>9</v>
      </c>
      <c r="M117" s="28">
        <f>VLOOKUP(Table70[[#This Row],[NAME]],SEA_P[[NAME]:['#]],11,0)</f>
        <v>0</v>
      </c>
      <c r="N117" s="106">
        <f>VLOOKUP(Table70[[#This Row],[NAME]],SEA_P[[NAME]:['#]],12,0)</f>
        <v>1.6666666666666667</v>
      </c>
      <c r="O117" s="77">
        <f>VLOOKUP(Table70[[#This Row],[NAME]],SEA_P[[NAME]:['#]],13,0)</f>
        <v>0</v>
      </c>
      <c r="P117" s="28">
        <f>VLOOKUP(Table70[[#This Row],[NAME]],SEA_P[[NAME]:['#]],14,0)</f>
        <v>0</v>
      </c>
      <c r="Q117" s="28">
        <f>VLOOKUP(Table70[[#This Row],[NAME]],SEA_P[[NAME]:['#]],15,0)</f>
        <v>0</v>
      </c>
      <c r="R117" s="28">
        <f>VLOOKUP(Table70[[#This Row],[NAME]],SEA_P[[NAME]:['#]],16,0)</f>
        <v>0</v>
      </c>
      <c r="S117" s="75">
        <v>115</v>
      </c>
      <c r="V117" s="101" t="s">
        <v>611</v>
      </c>
      <c r="W117" s="77" t="s">
        <v>212</v>
      </c>
      <c r="X117" s="132" t="s">
        <v>633</v>
      </c>
      <c r="Y117" s="88">
        <v>5.0632911392405067</v>
      </c>
      <c r="Z117" s="77">
        <v>0</v>
      </c>
      <c r="AA117" s="28">
        <v>1</v>
      </c>
      <c r="AB117" s="77">
        <v>8</v>
      </c>
      <c r="AC117" s="584">
        <v>21.33</v>
      </c>
      <c r="AD117" s="28">
        <v>22</v>
      </c>
      <c r="AE117" s="28">
        <v>12</v>
      </c>
      <c r="AF117" s="28">
        <v>7</v>
      </c>
      <c r="AG117" s="28">
        <v>18</v>
      </c>
      <c r="AH117" s="28">
        <v>0</v>
      </c>
      <c r="AI117" s="106">
        <v>1.3595874355368027</v>
      </c>
      <c r="AJ117" s="77">
        <v>0</v>
      </c>
      <c r="AK117" s="28">
        <v>0</v>
      </c>
      <c r="AL117" s="28">
        <v>0</v>
      </c>
      <c r="AM117" s="28">
        <v>0</v>
      </c>
      <c r="AN117" s="75">
        <v>115</v>
      </c>
      <c r="AQ117" s="101" t="s">
        <v>611</v>
      </c>
      <c r="AR117" s="77" t="s">
        <v>212</v>
      </c>
      <c r="AS117" s="77" t="s">
        <v>638</v>
      </c>
      <c r="AT117" s="135">
        <v>4.6535677352637022</v>
      </c>
      <c r="AU117" s="77">
        <v>0</v>
      </c>
      <c r="AV117" s="28">
        <v>0</v>
      </c>
      <c r="AW117" s="77">
        <v>8</v>
      </c>
      <c r="AX117" s="584">
        <v>9.67</v>
      </c>
      <c r="AY117" s="28">
        <v>14</v>
      </c>
      <c r="AZ117" s="28">
        <v>5</v>
      </c>
      <c r="BA117" s="28">
        <v>3</v>
      </c>
      <c r="BB117" s="28">
        <v>11</v>
      </c>
      <c r="BC117" s="28">
        <v>0</v>
      </c>
      <c r="BD117" s="106">
        <v>1.7580144777662876</v>
      </c>
      <c r="BE117" s="77">
        <v>0</v>
      </c>
      <c r="BF117" s="28">
        <v>0</v>
      </c>
      <c r="BG117" s="28">
        <v>0</v>
      </c>
      <c r="BH117" s="28">
        <v>0</v>
      </c>
      <c r="BI117" s="75">
        <v>115</v>
      </c>
    </row>
    <row r="118" spans="1:61">
      <c r="A118" s="101" t="s">
        <v>611</v>
      </c>
      <c r="B118" s="71" t="s">
        <v>215</v>
      </c>
      <c r="C118" s="116" t="s">
        <v>637</v>
      </c>
      <c r="D118" s="89">
        <f>VLOOKUP(Table70[[#This Row],[NAME]],SEA_P[[NAME]:['#]],2,0)</f>
        <v>5.1903114186851216</v>
      </c>
      <c r="E118" s="77">
        <f>VLOOKUP(Table70[[#This Row],[NAME]],SEA_P[[NAME]:['#]],3,0)</f>
        <v>0</v>
      </c>
      <c r="F118" s="28">
        <f>VLOOKUP(Table70[[#This Row],[NAME]],SEA_P[[NAME]:['#]],4,0)</f>
        <v>0</v>
      </c>
      <c r="G118" s="77">
        <f>VLOOKUP(Table70[[#This Row],[NAME]],SEA_P[[NAME]:['#]],5,0)</f>
        <v>7</v>
      </c>
      <c r="H118" s="584">
        <f>VLOOKUP(Table70[[#This Row],[NAME]],SEA_P[[NAME]:['#]],6,0)</f>
        <v>8.67</v>
      </c>
      <c r="I118" s="28">
        <f>VLOOKUP(Table70[[#This Row],[NAME]],SEA_P[[NAME]:['#]],7,0)</f>
        <v>9</v>
      </c>
      <c r="J118" s="28">
        <f>VLOOKUP(Table70[[#This Row],[NAME]],SEA_P[[NAME]:['#]],8,0)</f>
        <v>5</v>
      </c>
      <c r="K118" s="28">
        <f>VLOOKUP(Table70[[#This Row],[NAME]],SEA_P[[NAME]:['#]],9,0)</f>
        <v>2</v>
      </c>
      <c r="L118" s="28">
        <f>VLOOKUP(Table70[[#This Row],[NAME]],SEA_P[[NAME]:['#]],10,0)</f>
        <v>6</v>
      </c>
      <c r="M118" s="28">
        <f>VLOOKUP(Table70[[#This Row],[NAME]],SEA_P[[NAME]:['#]],11,0)</f>
        <v>0</v>
      </c>
      <c r="N118" s="106">
        <f>VLOOKUP(Table70[[#This Row],[NAME]],SEA_P[[NAME]:['#]],12,0)</f>
        <v>1.2687427912341407</v>
      </c>
      <c r="O118" s="77">
        <f>VLOOKUP(Table70[[#This Row],[NAME]],SEA_P[[NAME]:['#]],13,0)</f>
        <v>0</v>
      </c>
      <c r="P118" s="28">
        <f>VLOOKUP(Table70[[#This Row],[NAME]],SEA_P[[NAME]:['#]],14,0)</f>
        <v>0</v>
      </c>
      <c r="Q118" s="28">
        <f>VLOOKUP(Table70[[#This Row],[NAME]],SEA_P[[NAME]:['#]],15,0)</f>
        <v>0</v>
      </c>
      <c r="R118" s="28">
        <f>VLOOKUP(Table70[[#This Row],[NAME]],SEA_P[[NAME]:['#]],16,0)</f>
        <v>0</v>
      </c>
      <c r="S118" s="75">
        <v>116</v>
      </c>
      <c r="V118" s="101" t="s">
        <v>611</v>
      </c>
      <c r="W118" s="77" t="s">
        <v>212</v>
      </c>
      <c r="X118" s="132" t="s">
        <v>636</v>
      </c>
      <c r="Y118" s="88">
        <v>0</v>
      </c>
      <c r="Z118" s="77">
        <v>0</v>
      </c>
      <c r="AA118" s="28">
        <v>0</v>
      </c>
      <c r="AB118" s="77">
        <v>0</v>
      </c>
      <c r="AC118" s="584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106">
        <v>0</v>
      </c>
      <c r="AJ118" s="77">
        <v>0</v>
      </c>
      <c r="AK118" s="28">
        <v>0</v>
      </c>
      <c r="AL118" s="28">
        <v>0</v>
      </c>
      <c r="AM118" s="28">
        <v>0</v>
      </c>
      <c r="AN118" s="75">
        <v>116</v>
      </c>
      <c r="AQ118" s="101" t="s">
        <v>611</v>
      </c>
      <c r="AR118" s="77" t="s">
        <v>215</v>
      </c>
      <c r="AS118" s="77" t="s">
        <v>631</v>
      </c>
      <c r="AT118" s="135">
        <v>4.2</v>
      </c>
      <c r="AU118" s="77">
        <v>3</v>
      </c>
      <c r="AV118" s="28">
        <v>0</v>
      </c>
      <c r="AW118" s="77">
        <v>13</v>
      </c>
      <c r="AX118" s="584">
        <v>30</v>
      </c>
      <c r="AY118" s="28">
        <v>28</v>
      </c>
      <c r="AZ118" s="28">
        <v>14</v>
      </c>
      <c r="BA118" s="28">
        <v>14</v>
      </c>
      <c r="BB118" s="28">
        <v>29</v>
      </c>
      <c r="BC118" s="28">
        <v>0</v>
      </c>
      <c r="BD118" s="106">
        <v>1.4</v>
      </c>
      <c r="BE118" s="77">
        <v>0</v>
      </c>
      <c r="BF118" s="28">
        <v>0</v>
      </c>
      <c r="BG118" s="28">
        <v>0</v>
      </c>
      <c r="BH118" s="28">
        <v>0</v>
      </c>
      <c r="BI118" s="75">
        <v>116</v>
      </c>
    </row>
    <row r="119" spans="1:61">
      <c r="A119" s="101" t="s">
        <v>611</v>
      </c>
      <c r="B119" s="71" t="s">
        <v>212</v>
      </c>
      <c r="C119" s="116" t="s">
        <v>635</v>
      </c>
      <c r="D119" s="89">
        <f>VLOOKUP(Table70[[#This Row],[NAME]],SEA_P[[NAME]:['#]],2,0)</f>
        <v>9.6428571428571423</v>
      </c>
      <c r="E119" s="77">
        <f>VLOOKUP(Table70[[#This Row],[NAME]],SEA_P[[NAME]:['#]],3,0)</f>
        <v>0</v>
      </c>
      <c r="F119" s="28">
        <f>VLOOKUP(Table70[[#This Row],[NAME]],SEA_P[[NAME]:['#]],4,0)</f>
        <v>2</v>
      </c>
      <c r="G119" s="77">
        <f>VLOOKUP(Table70[[#This Row],[NAME]],SEA_P[[NAME]:['#]],5,0)</f>
        <v>9</v>
      </c>
      <c r="H119" s="584">
        <f>VLOOKUP(Table70[[#This Row],[NAME]],SEA_P[[NAME]:['#]],6,0)</f>
        <v>14</v>
      </c>
      <c r="I119" s="28">
        <f>VLOOKUP(Table70[[#This Row],[NAME]],SEA_P[[NAME]:['#]],7,0)</f>
        <v>24</v>
      </c>
      <c r="J119" s="28">
        <f>VLOOKUP(Table70[[#This Row],[NAME]],SEA_P[[NAME]:['#]],8,0)</f>
        <v>15</v>
      </c>
      <c r="K119" s="28">
        <f>VLOOKUP(Table70[[#This Row],[NAME]],SEA_P[[NAME]:['#]],9,0)</f>
        <v>7</v>
      </c>
      <c r="L119" s="28">
        <f>VLOOKUP(Table70[[#This Row],[NAME]],SEA_P[[NAME]:['#]],10,0)</f>
        <v>9</v>
      </c>
      <c r="M119" s="28">
        <f>VLOOKUP(Table70[[#This Row],[NAME]],SEA_P[[NAME]:['#]],11,0)</f>
        <v>0</v>
      </c>
      <c r="N119" s="106">
        <f>VLOOKUP(Table70[[#This Row],[NAME]],SEA_P[[NAME]:['#]],12,0)</f>
        <v>2.2142857142857144</v>
      </c>
      <c r="O119" s="77">
        <f>VLOOKUP(Table70[[#This Row],[NAME]],SEA_P[[NAME]:['#]],13,0)</f>
        <v>0</v>
      </c>
      <c r="P119" s="28">
        <f>VLOOKUP(Table70[[#This Row],[NAME]],SEA_P[[NAME]:['#]],14,0)</f>
        <v>0</v>
      </c>
      <c r="Q119" s="28">
        <f>VLOOKUP(Table70[[#This Row],[NAME]],SEA_P[[NAME]:['#]],15,0)</f>
        <v>0</v>
      </c>
      <c r="R119" s="28">
        <f>VLOOKUP(Table70[[#This Row],[NAME]],SEA_P[[NAME]:['#]],16,0)</f>
        <v>0</v>
      </c>
      <c r="S119" s="75">
        <v>117</v>
      </c>
      <c r="V119" s="101" t="s">
        <v>611</v>
      </c>
      <c r="W119" s="77" t="s">
        <v>212</v>
      </c>
      <c r="X119" s="132" t="s">
        <v>635</v>
      </c>
      <c r="Y119" s="88">
        <v>8.7378640776699026</v>
      </c>
      <c r="Z119" s="77">
        <v>1</v>
      </c>
      <c r="AA119" s="28">
        <v>2</v>
      </c>
      <c r="AB119" s="77">
        <v>7</v>
      </c>
      <c r="AC119" s="584">
        <v>11.33</v>
      </c>
      <c r="AD119" s="28">
        <v>15</v>
      </c>
      <c r="AE119" s="28">
        <v>11</v>
      </c>
      <c r="AF119" s="28">
        <v>6</v>
      </c>
      <c r="AG119" s="28">
        <v>11</v>
      </c>
      <c r="AH119" s="28">
        <v>0</v>
      </c>
      <c r="AI119" s="106">
        <v>1.8534863195057369</v>
      </c>
      <c r="AJ119" s="77">
        <v>0</v>
      </c>
      <c r="AK119" s="28">
        <v>0</v>
      </c>
      <c r="AL119" s="28">
        <v>0</v>
      </c>
      <c r="AM119" s="28">
        <v>0</v>
      </c>
      <c r="AN119" s="75">
        <v>117</v>
      </c>
      <c r="AQ119" s="101" t="s">
        <v>611</v>
      </c>
      <c r="AR119" s="77" t="s">
        <v>212</v>
      </c>
      <c r="AS119" s="77" t="s">
        <v>639</v>
      </c>
      <c r="AT119" s="135">
        <v>4.0479760119940034</v>
      </c>
      <c r="AU119" s="77">
        <v>0</v>
      </c>
      <c r="AV119" s="28">
        <v>0</v>
      </c>
      <c r="AW119" s="77">
        <v>5</v>
      </c>
      <c r="AX119" s="584">
        <v>6.67</v>
      </c>
      <c r="AY119" s="28">
        <v>7</v>
      </c>
      <c r="AZ119" s="28">
        <v>3</v>
      </c>
      <c r="BA119" s="28">
        <v>4</v>
      </c>
      <c r="BB119" s="28">
        <v>7</v>
      </c>
      <c r="BC119" s="28">
        <v>0</v>
      </c>
      <c r="BD119" s="106">
        <v>1.6491754122938531</v>
      </c>
      <c r="BE119" s="77">
        <v>0</v>
      </c>
      <c r="BF119" s="28">
        <v>0</v>
      </c>
      <c r="BG119" s="28">
        <v>0</v>
      </c>
      <c r="BH119" s="28">
        <v>0</v>
      </c>
      <c r="BI119" s="75">
        <v>117</v>
      </c>
    </row>
    <row r="120" spans="1:61">
      <c r="A120" s="101" t="s">
        <v>611</v>
      </c>
      <c r="B120" s="71" t="s">
        <v>215</v>
      </c>
      <c r="C120" s="71" t="s">
        <v>640</v>
      </c>
      <c r="D120" s="89">
        <f>VLOOKUP(Table70[[#This Row],[NAME]],SEA_P[[NAME]:['#]],2,0)</f>
        <v>5.6603773584905657</v>
      </c>
      <c r="E120" s="77">
        <f>VLOOKUP(Table70[[#This Row],[NAME]],SEA_P[[NAME]:['#]],3,0)</f>
        <v>0</v>
      </c>
      <c r="F120" s="28">
        <f>VLOOKUP(Table70[[#This Row],[NAME]],SEA_P[[NAME]:['#]],4,0)</f>
        <v>0</v>
      </c>
      <c r="G120" s="77">
        <f>VLOOKUP(Table70[[#This Row],[NAME]],SEA_P[[NAME]:['#]],5,0)</f>
        <v>14</v>
      </c>
      <c r="H120" s="584">
        <f>VLOOKUP(Table70[[#This Row],[NAME]],SEA_P[[NAME]:['#]],6,0)</f>
        <v>20.67</v>
      </c>
      <c r="I120" s="28">
        <f>VLOOKUP(Table70[[#This Row],[NAME]],SEA_P[[NAME]:['#]],7,0)</f>
        <v>22</v>
      </c>
      <c r="J120" s="28">
        <f>VLOOKUP(Table70[[#This Row],[NAME]],SEA_P[[NAME]:['#]],8,0)</f>
        <v>13</v>
      </c>
      <c r="K120" s="28">
        <f>VLOOKUP(Table70[[#This Row],[NAME]],SEA_P[[NAME]:['#]],9,0)</f>
        <v>9</v>
      </c>
      <c r="L120" s="28">
        <f>VLOOKUP(Table70[[#This Row],[NAME]],SEA_P[[NAME]:['#]],10,0)</f>
        <v>14</v>
      </c>
      <c r="M120" s="28">
        <f>VLOOKUP(Table70[[#This Row],[NAME]],SEA_P[[NAME]:['#]],11,0)</f>
        <v>0</v>
      </c>
      <c r="N120" s="106">
        <f>VLOOKUP(Table70[[#This Row],[NAME]],SEA_P[[NAME]:['#]],12,0)</f>
        <v>1.4997581035316883</v>
      </c>
      <c r="O120" s="77">
        <f>VLOOKUP(Table70[[#This Row],[NAME]],SEA_P[[NAME]:['#]],13,0)</f>
        <v>0</v>
      </c>
      <c r="P120" s="28">
        <f>VLOOKUP(Table70[[#This Row],[NAME]],SEA_P[[NAME]:['#]],14,0)</f>
        <v>0</v>
      </c>
      <c r="Q120" s="28">
        <f>VLOOKUP(Table70[[#This Row],[NAME]],SEA_P[[NAME]:['#]],15,0)</f>
        <v>0</v>
      </c>
      <c r="R120" s="28">
        <f>VLOOKUP(Table70[[#This Row],[NAME]],SEA_P[[NAME]:['#]],16,0)</f>
        <v>0</v>
      </c>
      <c r="S120" s="75">
        <v>118</v>
      </c>
      <c r="V120" s="101" t="s">
        <v>611</v>
      </c>
      <c r="W120" s="77" t="s">
        <v>212</v>
      </c>
      <c r="X120" s="132" t="s">
        <v>643</v>
      </c>
      <c r="Y120" s="88">
        <v>3.1153846153846154</v>
      </c>
      <c r="Z120" s="77">
        <v>2</v>
      </c>
      <c r="AA120" s="28">
        <v>2</v>
      </c>
      <c r="AB120" s="77">
        <v>20</v>
      </c>
      <c r="AC120" s="584">
        <v>26</v>
      </c>
      <c r="AD120" s="28">
        <v>15</v>
      </c>
      <c r="AE120" s="28">
        <v>9</v>
      </c>
      <c r="AF120" s="28">
        <v>14</v>
      </c>
      <c r="AG120" s="28">
        <v>31</v>
      </c>
      <c r="AH120" s="28">
        <v>0</v>
      </c>
      <c r="AI120" s="106">
        <v>1.1153846153846154</v>
      </c>
      <c r="AJ120" s="77">
        <v>0</v>
      </c>
      <c r="AK120" s="28">
        <v>0</v>
      </c>
      <c r="AL120" s="28">
        <v>0</v>
      </c>
      <c r="AM120" s="28">
        <v>0</v>
      </c>
      <c r="AN120" s="75">
        <v>118</v>
      </c>
      <c r="AQ120" s="101" t="s">
        <v>611</v>
      </c>
      <c r="AR120" s="77" t="s">
        <v>212</v>
      </c>
      <c r="AS120" s="77" t="s">
        <v>642</v>
      </c>
      <c r="AT120" s="135">
        <v>5.8670143415906129</v>
      </c>
      <c r="AU120" s="77">
        <v>0</v>
      </c>
      <c r="AV120" s="28">
        <v>1</v>
      </c>
      <c r="AW120" s="77">
        <v>2</v>
      </c>
      <c r="AX120" s="584">
        <v>7.67</v>
      </c>
      <c r="AY120" s="28">
        <v>9</v>
      </c>
      <c r="AZ120" s="28">
        <v>5</v>
      </c>
      <c r="BA120" s="28">
        <v>4</v>
      </c>
      <c r="BB120" s="28">
        <v>4</v>
      </c>
      <c r="BC120" s="28">
        <v>0</v>
      </c>
      <c r="BD120" s="106">
        <v>1.6949152542372881</v>
      </c>
      <c r="BE120" s="77">
        <v>0</v>
      </c>
      <c r="BF120" s="28">
        <v>0</v>
      </c>
      <c r="BG120" s="28">
        <v>0</v>
      </c>
      <c r="BH120" s="28">
        <v>0</v>
      </c>
      <c r="BI120" s="75">
        <v>118</v>
      </c>
    </row>
    <row r="121" spans="1:61">
      <c r="A121" s="101" t="s">
        <v>611</v>
      </c>
      <c r="B121" s="71" t="s">
        <v>212</v>
      </c>
      <c r="C121" s="116" t="s">
        <v>641</v>
      </c>
      <c r="D121" s="89">
        <f>VLOOKUP(Table70[[#This Row],[NAME]],SEA_P[[NAME]:['#]],2,0)</f>
        <v>6.1526775541207748</v>
      </c>
      <c r="E121" s="77">
        <f>VLOOKUP(Table70[[#This Row],[NAME]],SEA_P[[NAME]:['#]],3,0)</f>
        <v>6</v>
      </c>
      <c r="F121" s="28">
        <f>VLOOKUP(Table70[[#This Row],[NAME]],SEA_P[[NAME]:['#]],4,0)</f>
        <v>1</v>
      </c>
      <c r="G121" s="77">
        <f>VLOOKUP(Table70[[#This Row],[NAME]],SEA_P[[NAME]:['#]],5,0)</f>
        <v>23</v>
      </c>
      <c r="H121" s="584">
        <f>VLOOKUP(Table70[[#This Row],[NAME]],SEA_P[[NAME]:['#]],6,0)</f>
        <v>26.33</v>
      </c>
      <c r="I121" s="28">
        <f>VLOOKUP(Table70[[#This Row],[NAME]],SEA_P[[NAME]:['#]],7,0)</f>
        <v>31</v>
      </c>
      <c r="J121" s="28">
        <f>VLOOKUP(Table70[[#This Row],[NAME]],SEA_P[[NAME]:['#]],8,0)</f>
        <v>18</v>
      </c>
      <c r="K121" s="28">
        <f>VLOOKUP(Table70[[#This Row],[NAME]],SEA_P[[NAME]:['#]],9,0)</f>
        <v>12</v>
      </c>
      <c r="L121" s="28">
        <f>VLOOKUP(Table70[[#This Row],[NAME]],SEA_P[[NAME]:['#]],10,0)</f>
        <v>34</v>
      </c>
      <c r="M121" s="28">
        <f>VLOOKUP(Table70[[#This Row],[NAME]],SEA_P[[NAME]:['#]],11,0)</f>
        <v>0</v>
      </c>
      <c r="N121" s="106">
        <f>VLOOKUP(Table70[[#This Row],[NAME]],SEA_P[[NAME]:['#]],12,0)</f>
        <v>1.6331181162172428</v>
      </c>
      <c r="O121" s="77">
        <f>VLOOKUP(Table70[[#This Row],[NAME]],SEA_P[[NAME]:['#]],13,0)</f>
        <v>0</v>
      </c>
      <c r="P121" s="28">
        <f>VLOOKUP(Table70[[#This Row],[NAME]],SEA_P[[NAME]:['#]],14,0)</f>
        <v>0</v>
      </c>
      <c r="Q121" s="28">
        <f>VLOOKUP(Table70[[#This Row],[NAME]],SEA_P[[NAME]:['#]],15,0)</f>
        <v>0</v>
      </c>
      <c r="R121" s="28">
        <f>VLOOKUP(Table70[[#This Row],[NAME]],SEA_P[[NAME]:['#]],16,0)</f>
        <v>0</v>
      </c>
      <c r="S121" s="75">
        <v>119</v>
      </c>
      <c r="V121" s="101" t="s">
        <v>611</v>
      </c>
      <c r="W121" s="77" t="s">
        <v>215</v>
      </c>
      <c r="X121" s="132" t="s">
        <v>641</v>
      </c>
      <c r="Y121" s="88">
        <v>3.3473840813290354</v>
      </c>
      <c r="Z121" s="77">
        <v>3</v>
      </c>
      <c r="AA121" s="28">
        <v>1</v>
      </c>
      <c r="AB121" s="77">
        <v>23</v>
      </c>
      <c r="AC121" s="584">
        <v>40.33</v>
      </c>
      <c r="AD121" s="28">
        <v>30</v>
      </c>
      <c r="AE121" s="28">
        <v>15</v>
      </c>
      <c r="AF121" s="28">
        <v>20</v>
      </c>
      <c r="AG121" s="76">
        <v>49</v>
      </c>
      <c r="AH121" s="28">
        <v>0</v>
      </c>
      <c r="AI121" s="106">
        <v>1.2397718819737169</v>
      </c>
      <c r="AJ121" s="77">
        <v>0</v>
      </c>
      <c r="AK121" s="28">
        <v>0</v>
      </c>
      <c r="AL121" s="28">
        <v>0</v>
      </c>
      <c r="AM121" s="28">
        <v>0</v>
      </c>
      <c r="AN121" s="75">
        <v>119</v>
      </c>
      <c r="AQ121" s="101" t="s">
        <v>611</v>
      </c>
      <c r="AR121" s="77" t="s">
        <v>212</v>
      </c>
      <c r="AS121" s="77" t="s">
        <v>643</v>
      </c>
      <c r="AT121" s="135">
        <v>3.1764705882352939</v>
      </c>
      <c r="AU121" s="77">
        <v>1</v>
      </c>
      <c r="AV121" s="28">
        <v>0</v>
      </c>
      <c r="AW121" s="77">
        <v>18</v>
      </c>
      <c r="AX121" s="584">
        <v>17</v>
      </c>
      <c r="AY121" s="28">
        <v>12</v>
      </c>
      <c r="AZ121" s="28">
        <v>6</v>
      </c>
      <c r="BA121" s="28">
        <v>9</v>
      </c>
      <c r="BB121" s="28">
        <v>21</v>
      </c>
      <c r="BC121" s="28">
        <v>1</v>
      </c>
      <c r="BD121" s="106">
        <v>1.2352941176470589</v>
      </c>
      <c r="BE121" s="77">
        <v>0</v>
      </c>
      <c r="BF121" s="28">
        <v>0</v>
      </c>
      <c r="BG121" s="28">
        <v>0</v>
      </c>
      <c r="BH121" s="28">
        <v>0</v>
      </c>
      <c r="BI121" s="75">
        <v>119</v>
      </c>
    </row>
    <row r="122" spans="1:61">
      <c r="A122" s="101" t="s">
        <v>611</v>
      </c>
      <c r="B122" s="71" t="s">
        <v>215</v>
      </c>
      <c r="C122" s="116" t="s">
        <v>644</v>
      </c>
      <c r="D122" s="89">
        <f>VLOOKUP(Table70[[#This Row],[NAME]],SEA_P[[NAME]:['#]],2,0)</f>
        <v>2.1318594551914729</v>
      </c>
      <c r="E122" s="77">
        <f>VLOOKUP(Table70[[#This Row],[NAME]],SEA_P[[NAME]:['#]],3,0)</f>
        <v>1</v>
      </c>
      <c r="F122" s="28">
        <f>VLOOKUP(Table70[[#This Row],[NAME]],SEA_P[[NAME]:['#]],4,0)</f>
        <v>2</v>
      </c>
      <c r="G122" s="77">
        <f>VLOOKUP(Table70[[#This Row],[NAME]],SEA_P[[NAME]:['#]],5,0)</f>
        <v>21</v>
      </c>
      <c r="H122" s="584">
        <f>VLOOKUP(Table70[[#This Row],[NAME]],SEA_P[[NAME]:['#]],6,0)</f>
        <v>25.33</v>
      </c>
      <c r="I122" s="28">
        <f>VLOOKUP(Table70[[#This Row],[NAME]],SEA_P[[NAME]:['#]],7,0)</f>
        <v>15</v>
      </c>
      <c r="J122" s="28">
        <f>VLOOKUP(Table70[[#This Row],[NAME]],SEA_P[[NAME]:['#]],8,0)</f>
        <v>6</v>
      </c>
      <c r="K122" s="28">
        <f>VLOOKUP(Table70[[#This Row],[NAME]],SEA_P[[NAME]:['#]],9,0)</f>
        <v>17</v>
      </c>
      <c r="L122" s="28">
        <f>VLOOKUP(Table70[[#This Row],[NAME]],SEA_P[[NAME]:['#]],10,0)</f>
        <v>31</v>
      </c>
      <c r="M122" s="76">
        <f>VLOOKUP(Table70[[#This Row],[NAME]],SEA_P[[NAME]:['#]],11,0)</f>
        <v>11</v>
      </c>
      <c r="N122" s="106">
        <f>VLOOKUP(Table70[[#This Row],[NAME]],SEA_P[[NAME]:['#]],12,0)</f>
        <v>1.2633241215949469</v>
      </c>
      <c r="O122" s="77">
        <f>VLOOKUP(Table70[[#This Row],[NAME]],SEA_P[[NAME]:['#]],13,0)</f>
        <v>0</v>
      </c>
      <c r="P122" s="28">
        <f>VLOOKUP(Table70[[#This Row],[NAME]],SEA_P[[NAME]:['#]],14,0)</f>
        <v>0</v>
      </c>
      <c r="Q122" s="28">
        <f>VLOOKUP(Table70[[#This Row],[NAME]],SEA_P[[NAME]:['#]],15,0)</f>
        <v>0</v>
      </c>
      <c r="R122" s="28">
        <f>VLOOKUP(Table70[[#This Row],[NAME]],SEA_P[[NAME]:['#]],16,0)</f>
        <v>0</v>
      </c>
      <c r="S122" s="75">
        <v>120</v>
      </c>
      <c r="V122" s="101" t="s">
        <v>611</v>
      </c>
      <c r="W122" s="77" t="s">
        <v>212</v>
      </c>
      <c r="X122" s="132" t="s">
        <v>645</v>
      </c>
      <c r="Y122" s="88">
        <v>4.2434633519074154</v>
      </c>
      <c r="Z122" s="77">
        <v>1</v>
      </c>
      <c r="AA122" s="28">
        <v>1</v>
      </c>
      <c r="AB122" s="77">
        <v>20</v>
      </c>
      <c r="AC122" s="584">
        <v>23.33</v>
      </c>
      <c r="AD122" s="28">
        <v>23</v>
      </c>
      <c r="AE122" s="28">
        <v>11</v>
      </c>
      <c r="AF122" s="28">
        <v>4</v>
      </c>
      <c r="AG122" s="28">
        <v>34</v>
      </c>
      <c r="AH122" s="28">
        <v>7</v>
      </c>
      <c r="AI122" s="106">
        <v>1.1573081868838406</v>
      </c>
      <c r="AJ122" s="77">
        <v>0</v>
      </c>
      <c r="AK122" s="28">
        <v>0</v>
      </c>
      <c r="AL122" s="28">
        <v>0</v>
      </c>
      <c r="AM122" s="28">
        <v>0</v>
      </c>
      <c r="AN122" s="75">
        <v>120</v>
      </c>
      <c r="AQ122" s="101" t="s">
        <v>611</v>
      </c>
      <c r="AR122" s="77" t="s">
        <v>212</v>
      </c>
      <c r="AS122" s="77" t="s">
        <v>646</v>
      </c>
      <c r="AT122" s="135">
        <v>5.3989202159568084</v>
      </c>
      <c r="AU122" s="77">
        <v>1</v>
      </c>
      <c r="AV122" s="28">
        <v>3</v>
      </c>
      <c r="AW122" s="77">
        <v>16</v>
      </c>
      <c r="AX122" s="584">
        <v>16.670000000000002</v>
      </c>
      <c r="AY122" s="28">
        <v>18</v>
      </c>
      <c r="AZ122" s="28">
        <v>10</v>
      </c>
      <c r="BA122" s="28">
        <v>9</v>
      </c>
      <c r="BB122" s="28">
        <v>15</v>
      </c>
      <c r="BC122" s="28">
        <v>7</v>
      </c>
      <c r="BD122" s="106">
        <v>1.6196760647870425</v>
      </c>
      <c r="BE122" s="77">
        <v>0</v>
      </c>
      <c r="BF122" s="28">
        <v>0</v>
      </c>
      <c r="BG122" s="28">
        <v>0</v>
      </c>
      <c r="BH122" s="28">
        <v>0</v>
      </c>
      <c r="BI122" s="75">
        <v>120</v>
      </c>
    </row>
    <row r="123" spans="1:61">
      <c r="A123" s="101" t="s">
        <v>650</v>
      </c>
      <c r="B123" s="71" t="s">
        <v>206</v>
      </c>
      <c r="C123" s="116" t="s">
        <v>251</v>
      </c>
      <c r="D123" s="89">
        <f>VLOOKUP(Table70[[#This Row],[NAME]],TEX_P[[NAME]:['#]],2,0)</f>
        <v>3.8769230769230769</v>
      </c>
      <c r="E123" s="77">
        <f>VLOOKUP(Table70[[#This Row],[NAME]],TEX_P[[NAME]:['#]],3,0)</f>
        <v>4</v>
      </c>
      <c r="F123" s="28">
        <f>VLOOKUP(Table70[[#This Row],[NAME]],TEX_P[[NAME]:['#]],4,0)</f>
        <v>5</v>
      </c>
      <c r="G123" s="77">
        <f>VLOOKUP(Table70[[#This Row],[NAME]],TEX_P[[NAME]:['#]],5,0)</f>
        <v>10</v>
      </c>
      <c r="H123" s="584">
        <f>VLOOKUP(Table70[[#This Row],[NAME]],TEX_P[[NAME]:['#]],6,0)</f>
        <v>65</v>
      </c>
      <c r="I123" s="28">
        <f>VLOOKUP(Table70[[#This Row],[NAME]],TEX_P[[NAME]:['#]],7,0)</f>
        <v>71</v>
      </c>
      <c r="J123" s="28">
        <f>VLOOKUP(Table70[[#This Row],[NAME]],TEX_P[[NAME]:['#]],8,0)</f>
        <v>28</v>
      </c>
      <c r="K123" s="28">
        <f>VLOOKUP(Table70[[#This Row],[NAME]],TEX_P[[NAME]:['#]],9,0)</f>
        <v>16</v>
      </c>
      <c r="L123" s="28">
        <f>VLOOKUP(Table70[[#This Row],[NAME]],TEX_P[[NAME]:['#]],10,0)</f>
        <v>56</v>
      </c>
      <c r="M123" s="28">
        <f>VLOOKUP(Table70[[#This Row],[NAME]],TEX_P[[NAME]:['#]],11,0)</f>
        <v>0</v>
      </c>
      <c r="N123" s="106">
        <f>VLOOKUP(Table70[[#This Row],[NAME]],TEX_P[[NAME]:['#]],12,0)</f>
        <v>1.3384615384615384</v>
      </c>
      <c r="O123" s="77">
        <f>VLOOKUP(Table70[[#This Row],[NAME]],TEX_P[[NAME]:['#]],13,0)</f>
        <v>6</v>
      </c>
      <c r="P123" s="28">
        <f>VLOOKUP(Table70[[#This Row],[NAME]],TEX_P[[NAME]:['#]],14,0)</f>
        <v>4</v>
      </c>
      <c r="Q123" s="28">
        <f>VLOOKUP(Table70[[#This Row],[NAME]],TEX_P[[NAME]:['#]],15,0)</f>
        <v>0</v>
      </c>
      <c r="R123" s="28">
        <f>VLOOKUP(Table70[[#This Row],[NAME]],TEX_P[[NAME]:['#]],16,0)</f>
        <v>0</v>
      </c>
      <c r="S123" s="75">
        <v>121</v>
      </c>
      <c r="V123" s="101" t="s">
        <v>650</v>
      </c>
      <c r="W123" s="77" t="s">
        <v>206</v>
      </c>
      <c r="X123" s="132" t="s">
        <v>251</v>
      </c>
      <c r="Y123" s="88">
        <v>4.8318332543818094</v>
      </c>
      <c r="Z123" s="77">
        <v>1</v>
      </c>
      <c r="AA123" s="28">
        <v>6</v>
      </c>
      <c r="AB123" s="77">
        <v>10</v>
      </c>
      <c r="AC123" s="584">
        <v>63.33</v>
      </c>
      <c r="AD123" s="28">
        <v>73</v>
      </c>
      <c r="AE123" s="28">
        <v>34</v>
      </c>
      <c r="AF123" s="28">
        <v>10</v>
      </c>
      <c r="AG123" s="28">
        <v>55</v>
      </c>
      <c r="AH123" s="28">
        <v>0</v>
      </c>
      <c r="AI123" s="106">
        <v>1.3105952944891837</v>
      </c>
      <c r="AJ123" s="77">
        <v>5</v>
      </c>
      <c r="AK123" s="28">
        <v>2</v>
      </c>
      <c r="AL123" s="28">
        <v>0</v>
      </c>
      <c r="AM123" s="28">
        <v>0</v>
      </c>
      <c r="AN123" s="75">
        <v>121</v>
      </c>
      <c r="AQ123" s="101" t="s">
        <v>650</v>
      </c>
      <c r="AR123" s="77" t="s">
        <v>206</v>
      </c>
      <c r="AS123" s="77" t="s">
        <v>452</v>
      </c>
      <c r="AT123" s="135">
        <v>5.6181723599791917</v>
      </c>
      <c r="AU123" s="77">
        <v>2</v>
      </c>
      <c r="AV123" s="76">
        <v>7</v>
      </c>
      <c r="AW123" s="77">
        <v>10</v>
      </c>
      <c r="AX123" s="584">
        <v>57.67</v>
      </c>
      <c r="AY123" s="28">
        <v>60</v>
      </c>
      <c r="AZ123" s="28">
        <v>36</v>
      </c>
      <c r="BA123" s="28">
        <v>32</v>
      </c>
      <c r="BB123" s="28">
        <v>48</v>
      </c>
      <c r="BC123" s="28">
        <v>0</v>
      </c>
      <c r="BD123" s="106">
        <v>1.5952835096237212</v>
      </c>
      <c r="BE123" s="77">
        <v>3</v>
      </c>
      <c r="BF123" s="28">
        <v>0</v>
      </c>
      <c r="BG123" s="28">
        <v>0</v>
      </c>
      <c r="BH123" s="28">
        <v>0</v>
      </c>
      <c r="BI123" s="75">
        <v>121</v>
      </c>
    </row>
    <row r="124" spans="1:61">
      <c r="A124" s="101" t="s">
        <v>650</v>
      </c>
      <c r="B124" s="71" t="s">
        <v>206</v>
      </c>
      <c r="C124" s="116" t="s">
        <v>364</v>
      </c>
      <c r="D124" s="89">
        <f>VLOOKUP(Table70[[#This Row],[NAME]],TEX_P[[NAME]:['#]],2,0)</f>
        <v>3.5714285714285716</v>
      </c>
      <c r="E124" s="77">
        <f>VLOOKUP(Table70[[#This Row],[NAME]],TEX_P[[NAME]:['#]],3,0)</f>
        <v>3</v>
      </c>
      <c r="F124" s="28">
        <f>VLOOKUP(Table70[[#This Row],[NAME]],TEX_P[[NAME]:['#]],4,0)</f>
        <v>2</v>
      </c>
      <c r="G124" s="77">
        <f>VLOOKUP(Table70[[#This Row],[NAME]],TEX_P[[NAME]:['#]],5,0)</f>
        <v>10</v>
      </c>
      <c r="H124" s="584">
        <f>VLOOKUP(Table70[[#This Row],[NAME]],TEX_P[[NAME]:['#]],6,0)</f>
        <v>63</v>
      </c>
      <c r="I124" s="28">
        <f>VLOOKUP(Table70[[#This Row],[NAME]],TEX_P[[NAME]:['#]],7,0)</f>
        <v>62</v>
      </c>
      <c r="J124" s="28">
        <f>VLOOKUP(Table70[[#This Row],[NAME]],TEX_P[[NAME]:['#]],8,0)</f>
        <v>25</v>
      </c>
      <c r="K124" s="28">
        <f>VLOOKUP(Table70[[#This Row],[NAME]],TEX_P[[NAME]:['#]],9,0)</f>
        <v>16</v>
      </c>
      <c r="L124" s="28">
        <f>VLOOKUP(Table70[[#This Row],[NAME]],TEX_P[[NAME]:['#]],10,0)</f>
        <v>72</v>
      </c>
      <c r="M124" s="28">
        <f>VLOOKUP(Table70[[#This Row],[NAME]],TEX_P[[NAME]:['#]],11,0)</f>
        <v>0</v>
      </c>
      <c r="N124" s="106">
        <f>VLOOKUP(Table70[[#This Row],[NAME]],TEX_P[[NAME]:['#]],12,0)</f>
        <v>1.2380952380952381</v>
      </c>
      <c r="O124" s="77">
        <f>VLOOKUP(Table70[[#This Row],[NAME]],TEX_P[[NAME]:['#]],13,0)</f>
        <v>7</v>
      </c>
      <c r="P124" s="28">
        <f>VLOOKUP(Table70[[#This Row],[NAME]],TEX_P[[NAME]:['#]],14,0)</f>
        <v>5</v>
      </c>
      <c r="Q124" s="28">
        <f>VLOOKUP(Table70[[#This Row],[NAME]],TEX_P[[NAME]:['#]],15,0)</f>
        <v>0</v>
      </c>
      <c r="R124" s="28">
        <f>VLOOKUP(Table70[[#This Row],[NAME]],TEX_P[[NAME]:['#]],16,0)</f>
        <v>0</v>
      </c>
      <c r="S124" s="75">
        <v>122</v>
      </c>
      <c r="V124" s="101" t="s">
        <v>650</v>
      </c>
      <c r="W124" s="77" t="s">
        <v>206</v>
      </c>
      <c r="X124" s="132" t="s">
        <v>669</v>
      </c>
      <c r="Y124" s="88">
        <v>3.3210332103321032</v>
      </c>
      <c r="Z124" s="77">
        <v>4</v>
      </c>
      <c r="AA124" s="28">
        <v>3</v>
      </c>
      <c r="AB124" s="77">
        <v>10</v>
      </c>
      <c r="AC124" s="584">
        <v>62.33</v>
      </c>
      <c r="AD124" s="28">
        <v>60</v>
      </c>
      <c r="AE124" s="28">
        <v>23</v>
      </c>
      <c r="AF124" s="28">
        <v>19</v>
      </c>
      <c r="AG124" s="28">
        <v>48</v>
      </c>
      <c r="AH124" s="28">
        <v>0</v>
      </c>
      <c r="AI124" s="106">
        <v>1.2674474570832666</v>
      </c>
      <c r="AJ124" s="77">
        <v>7</v>
      </c>
      <c r="AK124" s="28">
        <v>4</v>
      </c>
      <c r="AL124" s="28">
        <v>1</v>
      </c>
      <c r="AM124" s="28">
        <v>1</v>
      </c>
      <c r="AN124" s="75">
        <v>122</v>
      </c>
      <c r="AQ124" s="101" t="s">
        <v>650</v>
      </c>
      <c r="AR124" s="77" t="s">
        <v>206</v>
      </c>
      <c r="AS124" s="77" t="s">
        <v>669</v>
      </c>
      <c r="AT124" s="135">
        <v>5.2790346907993966</v>
      </c>
      <c r="AU124" s="77">
        <v>3</v>
      </c>
      <c r="AV124" s="28">
        <v>5</v>
      </c>
      <c r="AW124" s="77">
        <v>10</v>
      </c>
      <c r="AX124" s="584">
        <v>59.67</v>
      </c>
      <c r="AY124" s="28">
        <v>65</v>
      </c>
      <c r="AZ124" s="28">
        <v>35</v>
      </c>
      <c r="BA124" s="28">
        <v>28</v>
      </c>
      <c r="BB124" s="28">
        <v>57</v>
      </c>
      <c r="BC124" s="28">
        <v>0</v>
      </c>
      <c r="BD124" s="106">
        <v>1.5585721468074409</v>
      </c>
      <c r="BE124" s="77">
        <v>5</v>
      </c>
      <c r="BF124" s="28">
        <v>1</v>
      </c>
      <c r="BG124" s="28">
        <v>0</v>
      </c>
      <c r="BH124" s="28">
        <v>0</v>
      </c>
      <c r="BI124" s="75">
        <v>122</v>
      </c>
    </row>
    <row r="125" spans="1:61">
      <c r="A125" s="101" t="s">
        <v>650</v>
      </c>
      <c r="B125" s="71" t="s">
        <v>206</v>
      </c>
      <c r="C125" s="116" t="s">
        <v>669</v>
      </c>
      <c r="D125" s="89">
        <f>VLOOKUP(Table70[[#This Row],[NAME]],TEX_P[[NAME]:['#]],2,0)</f>
        <v>4.5508174616551491</v>
      </c>
      <c r="E125" s="77">
        <f>VLOOKUP(Table70[[#This Row],[NAME]],TEX_P[[NAME]:['#]],3,0)</f>
        <v>3</v>
      </c>
      <c r="F125" s="28">
        <f>VLOOKUP(Table70[[#This Row],[NAME]],TEX_P[[NAME]:['#]],4,0)</f>
        <v>3</v>
      </c>
      <c r="G125" s="77">
        <f>VLOOKUP(Table70[[#This Row],[NAME]],TEX_P[[NAME]:['#]],5,0)</f>
        <v>10</v>
      </c>
      <c r="H125" s="584">
        <f>VLOOKUP(Table70[[#This Row],[NAME]],TEX_P[[NAME]:['#]],6,0)</f>
        <v>59.33</v>
      </c>
      <c r="I125" s="28">
        <f>VLOOKUP(Table70[[#This Row],[NAME]],TEX_P[[NAME]:['#]],7,0)</f>
        <v>58</v>
      </c>
      <c r="J125" s="28">
        <f>VLOOKUP(Table70[[#This Row],[NAME]],TEX_P[[NAME]:['#]],8,0)</f>
        <v>30</v>
      </c>
      <c r="K125" s="28">
        <f>VLOOKUP(Table70[[#This Row],[NAME]],TEX_P[[NAME]:['#]],9,0)</f>
        <v>22</v>
      </c>
      <c r="L125" s="28">
        <f>VLOOKUP(Table70[[#This Row],[NAME]],TEX_P[[NAME]:['#]],10,0)</f>
        <v>46</v>
      </c>
      <c r="M125" s="28">
        <f>VLOOKUP(Table70[[#This Row],[NAME]],TEX_P[[NAME]:['#]],11,0)</f>
        <v>0</v>
      </c>
      <c r="N125" s="106">
        <f>VLOOKUP(Table70[[#This Row],[NAME]],TEX_P[[NAME]:['#]],12,0)</f>
        <v>1.3483903590089332</v>
      </c>
      <c r="O125" s="77">
        <f>VLOOKUP(Table70[[#This Row],[NAME]],TEX_P[[NAME]:['#]],13,0)</f>
        <v>5</v>
      </c>
      <c r="P125" s="28">
        <f>VLOOKUP(Table70[[#This Row],[NAME]],TEX_P[[NAME]:['#]],14,0)</f>
        <v>2</v>
      </c>
      <c r="Q125" s="28">
        <f>VLOOKUP(Table70[[#This Row],[NAME]],TEX_P[[NAME]:['#]],15,0)</f>
        <v>0</v>
      </c>
      <c r="R125" s="28">
        <f>VLOOKUP(Table70[[#This Row],[NAME]],TEX_P[[NAME]:['#]],16,0)</f>
        <v>0</v>
      </c>
      <c r="S125" s="75">
        <v>123</v>
      </c>
      <c r="V125" s="101" t="s">
        <v>650</v>
      </c>
      <c r="W125" s="77" t="s">
        <v>206</v>
      </c>
      <c r="X125" s="132" t="s">
        <v>670</v>
      </c>
      <c r="Y125" s="88">
        <v>4.209677419354839</v>
      </c>
      <c r="Z125" s="77">
        <v>2</v>
      </c>
      <c r="AA125" s="28">
        <v>3</v>
      </c>
      <c r="AB125" s="77">
        <v>10</v>
      </c>
      <c r="AC125" s="584">
        <v>62</v>
      </c>
      <c r="AD125" s="28">
        <v>68</v>
      </c>
      <c r="AE125" s="28">
        <v>29</v>
      </c>
      <c r="AF125" s="28">
        <v>12</v>
      </c>
      <c r="AG125" s="28">
        <v>40</v>
      </c>
      <c r="AH125" s="28">
        <v>0</v>
      </c>
      <c r="AI125" s="106">
        <v>1.2903225806451613</v>
      </c>
      <c r="AJ125" s="77">
        <v>4</v>
      </c>
      <c r="AK125" s="28">
        <v>2</v>
      </c>
      <c r="AL125" s="28">
        <v>0</v>
      </c>
      <c r="AM125" s="28">
        <v>0</v>
      </c>
      <c r="AN125" s="75">
        <v>123</v>
      </c>
      <c r="AQ125" s="101" t="s">
        <v>650</v>
      </c>
      <c r="AR125" s="77" t="s">
        <v>206</v>
      </c>
      <c r="AS125" s="77" t="s">
        <v>670</v>
      </c>
      <c r="AT125" s="135">
        <v>5.3092870385976738</v>
      </c>
      <c r="AU125" s="77">
        <v>4</v>
      </c>
      <c r="AV125" s="28">
        <v>5</v>
      </c>
      <c r="AW125" s="77">
        <v>10</v>
      </c>
      <c r="AX125" s="584">
        <v>59.33</v>
      </c>
      <c r="AY125" s="28">
        <v>84</v>
      </c>
      <c r="AZ125" s="28">
        <v>35</v>
      </c>
      <c r="BA125" s="28">
        <v>20</v>
      </c>
      <c r="BB125" s="28">
        <v>44</v>
      </c>
      <c r="BC125" s="28">
        <v>0</v>
      </c>
      <c r="BD125" s="106">
        <v>1.7529074667116131</v>
      </c>
      <c r="BE125" s="77">
        <v>4</v>
      </c>
      <c r="BF125" s="28">
        <v>2</v>
      </c>
      <c r="BG125" s="28">
        <v>1</v>
      </c>
      <c r="BH125" s="28">
        <v>1</v>
      </c>
      <c r="BI125" s="75">
        <v>123</v>
      </c>
    </row>
    <row r="126" spans="1:61">
      <c r="A126" s="101" t="s">
        <v>650</v>
      </c>
      <c r="B126" s="71" t="s">
        <v>206</v>
      </c>
      <c r="C126" s="116" t="s">
        <v>671</v>
      </c>
      <c r="D126" s="89">
        <f>VLOOKUP(Table70[[#This Row],[NAME]],TEX_P[[NAME]:['#]],2,0)</f>
        <v>6.7918277194919936</v>
      </c>
      <c r="E126" s="77">
        <f>VLOOKUP(Table70[[#This Row],[NAME]],TEX_P[[NAME]:['#]],3,0)</f>
        <v>1</v>
      </c>
      <c r="F126" s="28">
        <f>VLOOKUP(Table70[[#This Row],[NAME]],TEX_P[[NAME]:['#]],4,0)</f>
        <v>6</v>
      </c>
      <c r="G126" s="77">
        <f>VLOOKUP(Table70[[#This Row],[NAME]],TEX_P[[NAME]:['#]],5,0)</f>
        <v>10</v>
      </c>
      <c r="H126" s="584">
        <f>VLOOKUP(Table70[[#This Row],[NAME]],TEX_P[[NAME]:['#]],6,0)</f>
        <v>54.33</v>
      </c>
      <c r="I126" s="28">
        <f>VLOOKUP(Table70[[#This Row],[NAME]],TEX_P[[NAME]:['#]],7,0)</f>
        <v>62</v>
      </c>
      <c r="J126" s="28">
        <f>VLOOKUP(Table70[[#This Row],[NAME]],TEX_P[[NAME]:['#]],8,0)</f>
        <v>41</v>
      </c>
      <c r="K126" s="28">
        <f>VLOOKUP(Table70[[#This Row],[NAME]],TEX_P[[NAME]:['#]],9,0)</f>
        <v>27</v>
      </c>
      <c r="L126" s="28">
        <f>VLOOKUP(Table70[[#This Row],[NAME]],TEX_P[[NAME]:['#]],10,0)</f>
        <v>62</v>
      </c>
      <c r="M126" s="28">
        <f>VLOOKUP(Table70[[#This Row],[NAME]],TEX_P[[NAME]:['#]],11,0)</f>
        <v>0</v>
      </c>
      <c r="N126" s="106">
        <f>VLOOKUP(Table70[[#This Row],[NAME]],TEX_P[[NAME]:['#]],12,0)</f>
        <v>1.6381373090373643</v>
      </c>
      <c r="O126" s="77">
        <f>VLOOKUP(Table70[[#This Row],[NAME]],TEX_P[[NAME]:['#]],13,0)</f>
        <v>2</v>
      </c>
      <c r="P126" s="28">
        <f>VLOOKUP(Table70[[#This Row],[NAME]],TEX_P[[NAME]:['#]],14,0)</f>
        <v>0</v>
      </c>
      <c r="Q126" s="28">
        <f>VLOOKUP(Table70[[#This Row],[NAME]],TEX_P[[NAME]:['#]],15,0)</f>
        <v>0</v>
      </c>
      <c r="R126" s="28">
        <f>VLOOKUP(Table70[[#This Row],[NAME]],TEX_P[[NAME]:['#]],16,0)</f>
        <v>0</v>
      </c>
      <c r="S126" s="75">
        <v>124</v>
      </c>
      <c r="V126" s="101" t="s">
        <v>650</v>
      </c>
      <c r="W126" s="77" t="s">
        <v>206</v>
      </c>
      <c r="X126" s="132" t="s">
        <v>671</v>
      </c>
      <c r="Y126" s="88">
        <v>9</v>
      </c>
      <c r="Z126" s="77">
        <v>2</v>
      </c>
      <c r="AA126" s="28">
        <v>5</v>
      </c>
      <c r="AB126" s="77">
        <v>10</v>
      </c>
      <c r="AC126" s="584">
        <v>43</v>
      </c>
      <c r="AD126" s="28">
        <v>67</v>
      </c>
      <c r="AE126" s="28">
        <v>43</v>
      </c>
      <c r="AF126" s="28">
        <v>25</v>
      </c>
      <c r="AG126" s="28">
        <v>40</v>
      </c>
      <c r="AH126" s="28">
        <v>0</v>
      </c>
      <c r="AI126" s="106">
        <v>2.13953488372093</v>
      </c>
      <c r="AJ126" s="77">
        <v>3</v>
      </c>
      <c r="AK126" s="28">
        <v>0</v>
      </c>
      <c r="AL126" s="28">
        <v>0</v>
      </c>
      <c r="AM126" s="28">
        <v>0</v>
      </c>
      <c r="AN126" s="75">
        <v>124</v>
      </c>
      <c r="AQ126" s="101" t="s">
        <v>650</v>
      </c>
      <c r="AR126" s="77" t="s">
        <v>206</v>
      </c>
      <c r="AS126" s="77" t="s">
        <v>671</v>
      </c>
      <c r="AT126" s="135">
        <v>4.7649606930851922</v>
      </c>
      <c r="AU126" s="77">
        <v>2</v>
      </c>
      <c r="AV126" s="28">
        <v>6</v>
      </c>
      <c r="AW126" s="77">
        <v>10</v>
      </c>
      <c r="AX126" s="584">
        <v>62.33</v>
      </c>
      <c r="AY126" s="28">
        <v>69</v>
      </c>
      <c r="AZ126" s="28">
        <v>33</v>
      </c>
      <c r="BA126" s="28">
        <v>33</v>
      </c>
      <c r="BB126" s="28">
        <v>52</v>
      </c>
      <c r="BC126" s="28">
        <v>0</v>
      </c>
      <c r="BD126" s="106">
        <v>1.6364511471201668</v>
      </c>
      <c r="BE126" s="77">
        <v>3</v>
      </c>
      <c r="BF126" s="28">
        <v>2</v>
      </c>
      <c r="BG126" s="28">
        <v>0</v>
      </c>
      <c r="BH126" s="28">
        <v>0</v>
      </c>
      <c r="BI126" s="75">
        <v>124</v>
      </c>
    </row>
    <row r="127" spans="1:61">
      <c r="A127" s="101" t="s">
        <v>650</v>
      </c>
      <c r="B127" s="71" t="s">
        <v>215</v>
      </c>
      <c r="C127" s="116" t="s">
        <v>672</v>
      </c>
      <c r="D127" s="89">
        <f>VLOOKUP(Table70[[#This Row],[NAME]],TEX_P[[NAME]:['#]],2,0)</f>
        <v>4.5</v>
      </c>
      <c r="E127" s="77">
        <f>VLOOKUP(Table70[[#This Row],[NAME]],TEX_P[[NAME]:['#]],3,0)</f>
        <v>1</v>
      </c>
      <c r="F127" s="28">
        <f>VLOOKUP(Table70[[#This Row],[NAME]],TEX_P[[NAME]:['#]],4,0)</f>
        <v>2</v>
      </c>
      <c r="G127" s="77">
        <f>VLOOKUP(Table70[[#This Row],[NAME]],TEX_P[[NAME]:['#]],5,0)</f>
        <v>9</v>
      </c>
      <c r="H127" s="584">
        <f>VLOOKUP(Table70[[#This Row],[NAME]],TEX_P[[NAME]:['#]],6,0)</f>
        <v>18</v>
      </c>
      <c r="I127" s="28">
        <f>VLOOKUP(Table70[[#This Row],[NAME]],TEX_P[[NAME]:['#]],7,0)</f>
        <v>19</v>
      </c>
      <c r="J127" s="28">
        <f>VLOOKUP(Table70[[#This Row],[NAME]],TEX_P[[NAME]:['#]],8,0)</f>
        <v>9</v>
      </c>
      <c r="K127" s="28">
        <f>VLOOKUP(Table70[[#This Row],[NAME]],TEX_P[[NAME]:['#]],9,0)</f>
        <v>7</v>
      </c>
      <c r="L127" s="28">
        <f>VLOOKUP(Table70[[#This Row],[NAME]],TEX_P[[NAME]:['#]],10,0)</f>
        <v>21</v>
      </c>
      <c r="M127" s="28">
        <f>VLOOKUP(Table70[[#This Row],[NAME]],TEX_P[[NAME]:['#]],11,0)</f>
        <v>0</v>
      </c>
      <c r="N127" s="106">
        <f>VLOOKUP(Table70[[#This Row],[NAME]],TEX_P[[NAME]:['#]],12,0)</f>
        <v>1.4444444444444444</v>
      </c>
      <c r="O127" s="77">
        <f>VLOOKUP(Table70[[#This Row],[NAME]],TEX_P[[NAME]:['#]],13,0)</f>
        <v>0</v>
      </c>
      <c r="P127" s="28">
        <f>VLOOKUP(Table70[[#This Row],[NAME]],TEX_P[[NAME]:['#]],14,0)</f>
        <v>0</v>
      </c>
      <c r="Q127" s="28">
        <f>VLOOKUP(Table70[[#This Row],[NAME]],TEX_P[[NAME]:['#]],15,0)</f>
        <v>0</v>
      </c>
      <c r="R127" s="28">
        <f>VLOOKUP(Table70[[#This Row],[NAME]],TEX_P[[NAME]:['#]],16,0)</f>
        <v>0</v>
      </c>
      <c r="S127" s="75">
        <v>125</v>
      </c>
      <c r="V127" s="101" t="s">
        <v>650</v>
      </c>
      <c r="W127" s="77" t="s">
        <v>212</v>
      </c>
      <c r="X127" s="132" t="s">
        <v>674</v>
      </c>
      <c r="Y127" s="88">
        <v>5.5857253685027146</v>
      </c>
      <c r="Z127" s="77">
        <v>0</v>
      </c>
      <c r="AA127" s="28">
        <v>4</v>
      </c>
      <c r="AB127" s="77">
        <v>18</v>
      </c>
      <c r="AC127" s="584">
        <v>38.67</v>
      </c>
      <c r="AD127" s="28">
        <v>44</v>
      </c>
      <c r="AE127" s="28">
        <v>24</v>
      </c>
      <c r="AF127" s="28">
        <v>23</v>
      </c>
      <c r="AG127" s="28">
        <v>30</v>
      </c>
      <c r="AH127" s="28">
        <v>0</v>
      </c>
      <c r="AI127" s="106">
        <v>1.7326092578226013</v>
      </c>
      <c r="AJ127" s="77">
        <v>0</v>
      </c>
      <c r="AK127" s="28">
        <v>0</v>
      </c>
      <c r="AL127" s="28">
        <v>0</v>
      </c>
      <c r="AM127" s="28">
        <v>0</v>
      </c>
      <c r="AN127" s="75">
        <v>125</v>
      </c>
      <c r="AQ127" s="101" t="s">
        <v>650</v>
      </c>
      <c r="AR127" s="77" t="s">
        <v>212</v>
      </c>
      <c r="AS127" s="77" t="s">
        <v>674</v>
      </c>
      <c r="AT127" s="135">
        <v>4.6086320409656185</v>
      </c>
      <c r="AU127" s="77">
        <v>0</v>
      </c>
      <c r="AV127" s="28">
        <v>0</v>
      </c>
      <c r="AW127" s="77">
        <v>8</v>
      </c>
      <c r="AX127" s="584">
        <v>13.67</v>
      </c>
      <c r="AY127" s="28">
        <v>14</v>
      </c>
      <c r="AZ127" s="28">
        <v>7</v>
      </c>
      <c r="BA127" s="28">
        <v>7</v>
      </c>
      <c r="BB127" s="28">
        <v>10</v>
      </c>
      <c r="BC127" s="28">
        <v>0</v>
      </c>
      <c r="BD127" s="106">
        <v>1.5362106803218727</v>
      </c>
      <c r="BE127" s="77">
        <v>0</v>
      </c>
      <c r="BF127" s="28">
        <v>0</v>
      </c>
      <c r="BG127" s="28">
        <v>0</v>
      </c>
      <c r="BH127" s="28">
        <v>0</v>
      </c>
      <c r="BI127" s="75">
        <v>125</v>
      </c>
    </row>
    <row r="128" spans="1:61">
      <c r="A128" s="101" t="s">
        <v>650</v>
      </c>
      <c r="B128" s="71" t="s">
        <v>215</v>
      </c>
      <c r="C128" s="116" t="s">
        <v>675</v>
      </c>
      <c r="D128" s="89">
        <f>VLOOKUP(Table70[[#This Row],[NAME]],TEX_P[[NAME]:['#]],2,0)</f>
        <v>5.4</v>
      </c>
      <c r="E128" s="77">
        <f>VLOOKUP(Table70[[#This Row],[NAME]],TEX_P[[NAME]:['#]],3,0)</f>
        <v>0</v>
      </c>
      <c r="F128" s="28">
        <f>VLOOKUP(Table70[[#This Row],[NAME]],TEX_P[[NAME]:['#]],4,0)</f>
        <v>0</v>
      </c>
      <c r="G128" s="77">
        <f>VLOOKUP(Table70[[#This Row],[NAME]],TEX_P[[NAME]:['#]],5,0)</f>
        <v>6</v>
      </c>
      <c r="H128" s="584">
        <f>VLOOKUP(Table70[[#This Row],[NAME]],TEX_P[[NAME]:['#]],6,0)</f>
        <v>10</v>
      </c>
      <c r="I128" s="28">
        <f>VLOOKUP(Table70[[#This Row],[NAME]],TEX_P[[NAME]:['#]],7,0)</f>
        <v>8</v>
      </c>
      <c r="J128" s="28">
        <f>VLOOKUP(Table70[[#This Row],[NAME]],TEX_P[[NAME]:['#]],8,0)</f>
        <v>6</v>
      </c>
      <c r="K128" s="28">
        <f>VLOOKUP(Table70[[#This Row],[NAME]],TEX_P[[NAME]:['#]],9,0)</f>
        <v>4</v>
      </c>
      <c r="L128" s="28">
        <f>VLOOKUP(Table70[[#This Row],[NAME]],TEX_P[[NAME]:['#]],10,0)</f>
        <v>10</v>
      </c>
      <c r="M128" s="28">
        <f>VLOOKUP(Table70[[#This Row],[NAME]],TEX_P[[NAME]:['#]],11,0)</f>
        <v>0</v>
      </c>
      <c r="N128" s="106">
        <f>VLOOKUP(Table70[[#This Row],[NAME]],TEX_P[[NAME]:['#]],12,0)</f>
        <v>1.2</v>
      </c>
      <c r="O128" s="77">
        <f>VLOOKUP(Table70[[#This Row],[NAME]],TEX_P[[NAME]:['#]],13,0)</f>
        <v>0</v>
      </c>
      <c r="P128" s="28">
        <f>VLOOKUP(Table70[[#This Row],[NAME]],TEX_P[[NAME]:['#]],14,0)</f>
        <v>0</v>
      </c>
      <c r="Q128" s="28">
        <f>VLOOKUP(Table70[[#This Row],[NAME]],TEX_P[[NAME]:['#]],15,0)</f>
        <v>0</v>
      </c>
      <c r="R128" s="28">
        <f>VLOOKUP(Table70[[#This Row],[NAME]],TEX_P[[NAME]:['#]],16,0)</f>
        <v>0</v>
      </c>
      <c r="S128" s="75">
        <v>126</v>
      </c>
      <c r="V128" s="101" t="s">
        <v>650</v>
      </c>
      <c r="W128" s="77" t="s">
        <v>212</v>
      </c>
      <c r="X128" s="77" t="s">
        <v>680</v>
      </c>
      <c r="Y128" s="88">
        <v>0.91509913573970503</v>
      </c>
      <c r="Z128" s="77">
        <v>1</v>
      </c>
      <c r="AA128" s="28">
        <v>0</v>
      </c>
      <c r="AB128" s="77">
        <v>13</v>
      </c>
      <c r="AC128" s="584">
        <v>19.670000000000002</v>
      </c>
      <c r="AD128" s="28">
        <v>9</v>
      </c>
      <c r="AE128" s="28">
        <v>2</v>
      </c>
      <c r="AF128" s="28">
        <v>8</v>
      </c>
      <c r="AG128" s="28">
        <v>12</v>
      </c>
      <c r="AH128" s="28">
        <v>0</v>
      </c>
      <c r="AI128" s="106">
        <v>0.864260294865277</v>
      </c>
      <c r="AJ128" s="77">
        <v>0</v>
      </c>
      <c r="AK128" s="28">
        <v>0</v>
      </c>
      <c r="AL128" s="28">
        <v>0</v>
      </c>
      <c r="AM128" s="28">
        <v>0</v>
      </c>
      <c r="AN128" s="75">
        <v>126</v>
      </c>
      <c r="AQ128" s="101" t="s">
        <v>650</v>
      </c>
      <c r="AR128" s="77" t="s">
        <v>212</v>
      </c>
      <c r="AS128" s="77" t="s">
        <v>677</v>
      </c>
      <c r="AT128" s="135">
        <v>4.8</v>
      </c>
      <c r="AU128" s="77">
        <v>0</v>
      </c>
      <c r="AV128" s="28">
        <v>0</v>
      </c>
      <c r="AW128" s="77">
        <v>12</v>
      </c>
      <c r="AX128" s="584">
        <v>15</v>
      </c>
      <c r="AY128" s="28">
        <v>15</v>
      </c>
      <c r="AZ128" s="28">
        <v>8</v>
      </c>
      <c r="BA128" s="28">
        <v>4</v>
      </c>
      <c r="BB128" s="28">
        <v>10</v>
      </c>
      <c r="BC128" s="28">
        <v>0</v>
      </c>
      <c r="BD128" s="106">
        <v>1.2666666666666666</v>
      </c>
      <c r="BE128" s="77">
        <v>0</v>
      </c>
      <c r="BF128" s="28">
        <v>0</v>
      </c>
      <c r="BG128" s="28">
        <v>0</v>
      </c>
      <c r="BH128" s="28">
        <v>0</v>
      </c>
      <c r="BI128" s="75">
        <v>126</v>
      </c>
    </row>
    <row r="129" spans="1:61">
      <c r="A129" s="101" t="s">
        <v>650</v>
      </c>
      <c r="B129" s="71" t="s">
        <v>215</v>
      </c>
      <c r="C129" s="71" t="s">
        <v>678</v>
      </c>
      <c r="D129" s="89">
        <f>VLOOKUP(Table70[[#This Row],[NAME]],TEX_P[[NAME]:['#]],2,0)</f>
        <v>6.882352941176471</v>
      </c>
      <c r="E129" s="77">
        <f>VLOOKUP(Table70[[#This Row],[NAME]],TEX_P[[NAME]:['#]],3,0)</f>
        <v>0</v>
      </c>
      <c r="F129" s="28">
        <f>VLOOKUP(Table70[[#This Row],[NAME]],TEX_P[[NAME]:['#]],4,0)</f>
        <v>1</v>
      </c>
      <c r="G129" s="77">
        <f>VLOOKUP(Table70[[#This Row],[NAME]],TEX_P[[NAME]:['#]],5,0)</f>
        <v>13</v>
      </c>
      <c r="H129" s="584">
        <f>VLOOKUP(Table70[[#This Row],[NAME]],TEX_P[[NAME]:['#]],6,0)</f>
        <v>17</v>
      </c>
      <c r="I129" s="28">
        <f>VLOOKUP(Table70[[#This Row],[NAME]],TEX_P[[NAME]:['#]],7,0)</f>
        <v>22</v>
      </c>
      <c r="J129" s="28">
        <f>VLOOKUP(Table70[[#This Row],[NAME]],TEX_P[[NAME]:['#]],8,0)</f>
        <v>13</v>
      </c>
      <c r="K129" s="28">
        <f>VLOOKUP(Table70[[#This Row],[NAME]],TEX_P[[NAME]:['#]],9,0)</f>
        <v>6</v>
      </c>
      <c r="L129" s="28">
        <f>VLOOKUP(Table70[[#This Row],[NAME]],TEX_P[[NAME]:['#]],10,0)</f>
        <v>13</v>
      </c>
      <c r="M129" s="28">
        <f>VLOOKUP(Table70[[#This Row],[NAME]],TEX_P[[NAME]:['#]],11,0)</f>
        <v>1</v>
      </c>
      <c r="N129" s="106">
        <f>VLOOKUP(Table70[[#This Row],[NAME]],TEX_P[[NAME]:['#]],12,0)</f>
        <v>1.6470588235294117</v>
      </c>
      <c r="O129" s="77">
        <f>VLOOKUP(Table70[[#This Row],[NAME]],TEX_P[[NAME]:['#]],13,0)</f>
        <v>0</v>
      </c>
      <c r="P129" s="28">
        <f>VLOOKUP(Table70[[#This Row],[NAME]],TEX_P[[NAME]:['#]],14,0)</f>
        <v>0</v>
      </c>
      <c r="Q129" s="28">
        <f>VLOOKUP(Table70[[#This Row],[NAME]],TEX_P[[NAME]:['#]],15,0)</f>
        <v>0</v>
      </c>
      <c r="R129" s="28">
        <f>VLOOKUP(Table70[[#This Row],[NAME]],TEX_P[[NAME]:['#]],16,0)</f>
        <v>0</v>
      </c>
      <c r="S129" s="75">
        <v>127</v>
      </c>
      <c r="V129" s="101" t="s">
        <v>650</v>
      </c>
      <c r="W129" s="77" t="s">
        <v>212</v>
      </c>
      <c r="X129" s="132" t="s">
        <v>673</v>
      </c>
      <c r="Y129" s="88">
        <v>0</v>
      </c>
      <c r="Z129" s="77">
        <v>0</v>
      </c>
      <c r="AA129" s="28">
        <v>0</v>
      </c>
      <c r="AB129" s="77">
        <v>2</v>
      </c>
      <c r="AC129" s="584">
        <v>4</v>
      </c>
      <c r="AD129" s="28">
        <v>2</v>
      </c>
      <c r="AE129" s="28">
        <v>0</v>
      </c>
      <c r="AF129" s="28">
        <v>3</v>
      </c>
      <c r="AG129" s="28">
        <v>3</v>
      </c>
      <c r="AH129" s="28">
        <v>0</v>
      </c>
      <c r="AI129" s="106">
        <v>1.25</v>
      </c>
      <c r="AJ129" s="77">
        <v>0</v>
      </c>
      <c r="AK129" s="28">
        <v>0</v>
      </c>
      <c r="AL129" s="28">
        <v>0</v>
      </c>
      <c r="AM129" s="28">
        <v>0</v>
      </c>
      <c r="AN129" s="75">
        <v>127</v>
      </c>
      <c r="AQ129" s="101" t="s">
        <v>650</v>
      </c>
      <c r="AR129" s="77" t="s">
        <v>215</v>
      </c>
      <c r="AS129" s="77" t="s">
        <v>673</v>
      </c>
      <c r="AT129" s="135">
        <v>4.5</v>
      </c>
      <c r="AU129" s="77">
        <v>0</v>
      </c>
      <c r="AV129" s="28">
        <v>2</v>
      </c>
      <c r="AW129" s="77">
        <v>12</v>
      </c>
      <c r="AX129" s="584">
        <v>14</v>
      </c>
      <c r="AY129" s="28">
        <v>10</v>
      </c>
      <c r="AZ129" s="28">
        <v>7</v>
      </c>
      <c r="BA129" s="28">
        <v>1</v>
      </c>
      <c r="BB129" s="28">
        <v>5</v>
      </c>
      <c r="BC129" s="28">
        <v>0</v>
      </c>
      <c r="BD129" s="106">
        <v>0.7857142857142857</v>
      </c>
      <c r="BE129" s="77">
        <v>0</v>
      </c>
      <c r="BF129" s="28">
        <v>0</v>
      </c>
      <c r="BG129" s="28">
        <v>0</v>
      </c>
      <c r="BH129" s="28">
        <v>0</v>
      </c>
      <c r="BI129" s="75">
        <v>127</v>
      </c>
    </row>
    <row r="130" spans="1:61">
      <c r="A130" s="101" t="s">
        <v>650</v>
      </c>
      <c r="B130" s="71" t="s">
        <v>212</v>
      </c>
      <c r="C130" s="116" t="s">
        <v>674</v>
      </c>
      <c r="D130" s="89">
        <f>VLOOKUP(Table70[[#This Row],[NAME]],TEX_P[[NAME]:['#]],2,0)</f>
        <v>8.3370092633436261</v>
      </c>
      <c r="E130" s="77">
        <f>VLOOKUP(Table70[[#This Row],[NAME]],TEX_P[[NAME]:['#]],3,0)</f>
        <v>2</v>
      </c>
      <c r="F130" s="28">
        <f>VLOOKUP(Table70[[#This Row],[NAME]],TEX_P[[NAME]:['#]],4,0)</f>
        <v>3</v>
      </c>
      <c r="G130" s="77">
        <f>VLOOKUP(Table70[[#This Row],[NAME]],TEX_P[[NAME]:['#]],5,0)</f>
        <v>17</v>
      </c>
      <c r="H130" s="584">
        <f>VLOOKUP(Table70[[#This Row],[NAME]],TEX_P[[NAME]:['#]],6,0)</f>
        <v>22.67</v>
      </c>
      <c r="I130" s="28">
        <f>VLOOKUP(Table70[[#This Row],[NAME]],TEX_P[[NAME]:['#]],7,0)</f>
        <v>24</v>
      </c>
      <c r="J130" s="28">
        <f>VLOOKUP(Table70[[#This Row],[NAME]],TEX_P[[NAME]:['#]],8,0)</f>
        <v>21</v>
      </c>
      <c r="K130" s="28">
        <f>VLOOKUP(Table70[[#This Row],[NAME]],TEX_P[[NAME]:['#]],9,0)</f>
        <v>14</v>
      </c>
      <c r="L130" s="28">
        <f>VLOOKUP(Table70[[#This Row],[NAME]],TEX_P[[NAME]:['#]],10,0)</f>
        <v>15</v>
      </c>
      <c r="M130" s="28">
        <f>VLOOKUP(Table70[[#This Row],[NAME]],TEX_P[[NAME]:['#]],11,0)</f>
        <v>0</v>
      </c>
      <c r="N130" s="106">
        <f>VLOOKUP(Table70[[#This Row],[NAME]],TEX_P[[NAME]:['#]],12,0)</f>
        <v>1.6762240846934273</v>
      </c>
      <c r="O130" s="77">
        <f>VLOOKUP(Table70[[#This Row],[NAME]],TEX_P[[NAME]:['#]],13,0)</f>
        <v>0</v>
      </c>
      <c r="P130" s="28">
        <f>VLOOKUP(Table70[[#This Row],[NAME]],TEX_P[[NAME]:['#]],14,0)</f>
        <v>0</v>
      </c>
      <c r="Q130" s="28">
        <f>VLOOKUP(Table70[[#This Row],[NAME]],TEX_P[[NAME]:['#]],15,0)</f>
        <v>0</v>
      </c>
      <c r="R130" s="28">
        <f>VLOOKUP(Table70[[#This Row],[NAME]],TEX_P[[NAME]:['#]],16,0)</f>
        <v>0</v>
      </c>
      <c r="S130" s="75">
        <v>128</v>
      </c>
      <c r="V130" s="101" t="s">
        <v>650</v>
      </c>
      <c r="W130" s="77" t="s">
        <v>212</v>
      </c>
      <c r="X130" s="132" t="s">
        <v>679</v>
      </c>
      <c r="Y130" s="88">
        <v>3.4220532319391634</v>
      </c>
      <c r="Z130" s="77">
        <v>1</v>
      </c>
      <c r="AA130" s="28">
        <v>1</v>
      </c>
      <c r="AB130" s="77">
        <v>19</v>
      </c>
      <c r="AC130" s="584">
        <v>23.67</v>
      </c>
      <c r="AD130" s="28">
        <v>23</v>
      </c>
      <c r="AE130" s="28">
        <v>9</v>
      </c>
      <c r="AF130" s="28">
        <v>5</v>
      </c>
      <c r="AG130" s="28">
        <v>24</v>
      </c>
      <c r="AH130" s="28">
        <v>0</v>
      </c>
      <c r="AI130" s="106">
        <v>1.1829319814110688</v>
      </c>
      <c r="AJ130" s="77">
        <v>0</v>
      </c>
      <c r="AK130" s="28">
        <v>0</v>
      </c>
      <c r="AL130" s="28">
        <v>0</v>
      </c>
      <c r="AM130" s="28">
        <v>0</v>
      </c>
      <c r="AN130" s="75">
        <v>128</v>
      </c>
      <c r="AQ130" s="101" t="s">
        <v>650</v>
      </c>
      <c r="AR130" s="77" t="s">
        <v>212</v>
      </c>
      <c r="AS130" s="77" t="s">
        <v>679</v>
      </c>
      <c r="AT130" s="135">
        <v>4.2637189103829458</v>
      </c>
      <c r="AU130" s="77">
        <v>0</v>
      </c>
      <c r="AV130" s="28">
        <v>1</v>
      </c>
      <c r="AW130" s="77">
        <v>24</v>
      </c>
      <c r="AX130" s="584">
        <v>25.33</v>
      </c>
      <c r="AY130" s="28">
        <v>24</v>
      </c>
      <c r="AZ130" s="28">
        <v>12</v>
      </c>
      <c r="BA130" s="28">
        <v>13</v>
      </c>
      <c r="BB130" s="28">
        <v>31</v>
      </c>
      <c r="BC130" s="28">
        <v>1</v>
      </c>
      <c r="BD130" s="106">
        <v>1.4607185155941573</v>
      </c>
      <c r="BE130" s="77">
        <v>0</v>
      </c>
      <c r="BF130" s="28">
        <v>0</v>
      </c>
      <c r="BG130" s="28">
        <v>0</v>
      </c>
      <c r="BH130" s="28">
        <v>0</v>
      </c>
      <c r="BI130" s="75">
        <v>128</v>
      </c>
    </row>
    <row r="131" spans="1:61">
      <c r="A131" s="101" t="s">
        <v>650</v>
      </c>
      <c r="B131" s="71" t="s">
        <v>212</v>
      </c>
      <c r="C131" s="116" t="s">
        <v>679</v>
      </c>
      <c r="D131" s="89">
        <f>VLOOKUP(Table70[[#This Row],[NAME]],TEX_P[[NAME]:['#]],2,0)</f>
        <v>6.0456784594715636</v>
      </c>
      <c r="E131" s="77">
        <f>VLOOKUP(Table70[[#This Row],[NAME]],TEX_P[[NAME]:['#]],3,0)</f>
        <v>1</v>
      </c>
      <c r="F131" s="28">
        <f>VLOOKUP(Table70[[#This Row],[NAME]],TEX_P[[NAME]:['#]],4,0)</f>
        <v>1</v>
      </c>
      <c r="G131" s="77">
        <f>VLOOKUP(Table70[[#This Row],[NAME]],TEX_P[[NAME]:['#]],5,0)</f>
        <v>23</v>
      </c>
      <c r="H131" s="584">
        <f>VLOOKUP(Table70[[#This Row],[NAME]],TEX_P[[NAME]:['#]],6,0)</f>
        <v>22.33</v>
      </c>
      <c r="I131" s="28">
        <f>VLOOKUP(Table70[[#This Row],[NAME]],TEX_P[[NAME]:['#]],7,0)</f>
        <v>20</v>
      </c>
      <c r="J131" s="28">
        <f>VLOOKUP(Table70[[#This Row],[NAME]],TEX_P[[NAME]:['#]],8,0)</f>
        <v>15</v>
      </c>
      <c r="K131" s="28">
        <f>VLOOKUP(Table70[[#This Row],[NAME]],TEX_P[[NAME]:['#]],9,0)</f>
        <v>14</v>
      </c>
      <c r="L131" s="28">
        <f>VLOOKUP(Table70[[#This Row],[NAME]],TEX_P[[NAME]:['#]],10,0)</f>
        <v>23</v>
      </c>
      <c r="M131" s="28">
        <f>VLOOKUP(Table70[[#This Row],[NAME]],TEX_P[[NAME]:['#]],11,0)</f>
        <v>2</v>
      </c>
      <c r="N131" s="106">
        <f>VLOOKUP(Table70[[#This Row],[NAME]],TEX_P[[NAME]:['#]],12,0)</f>
        <v>1.5226153157187641</v>
      </c>
      <c r="O131" s="77">
        <f>VLOOKUP(Table70[[#This Row],[NAME]],TEX_P[[NAME]:['#]],13,0)</f>
        <v>0</v>
      </c>
      <c r="P131" s="28">
        <f>VLOOKUP(Table70[[#This Row],[NAME]],TEX_P[[NAME]:['#]],14,0)</f>
        <v>0</v>
      </c>
      <c r="Q131" s="28">
        <f>VLOOKUP(Table70[[#This Row],[NAME]],TEX_P[[NAME]:['#]],15,0)</f>
        <v>0</v>
      </c>
      <c r="R131" s="28">
        <f>VLOOKUP(Table70[[#This Row],[NAME]],TEX_P[[NAME]:['#]],16,0)</f>
        <v>0</v>
      </c>
      <c r="S131" s="75">
        <v>129</v>
      </c>
      <c r="V131" s="101" t="s">
        <v>650</v>
      </c>
      <c r="W131" s="77" t="s">
        <v>212</v>
      </c>
      <c r="X131" s="132" t="s">
        <v>676</v>
      </c>
      <c r="Y131" s="88">
        <v>3.8076923076923075</v>
      </c>
      <c r="Z131" s="77">
        <v>1</v>
      </c>
      <c r="AA131" s="28">
        <v>0</v>
      </c>
      <c r="AB131" s="77">
        <v>20</v>
      </c>
      <c r="AC131" s="584">
        <v>26</v>
      </c>
      <c r="AD131" s="28">
        <v>25</v>
      </c>
      <c r="AE131" s="28">
        <v>11</v>
      </c>
      <c r="AF131" s="28">
        <v>11</v>
      </c>
      <c r="AG131" s="28">
        <v>29</v>
      </c>
      <c r="AH131" s="28">
        <v>0</v>
      </c>
      <c r="AI131" s="106">
        <v>1.3846153846153846</v>
      </c>
      <c r="AJ131" s="77">
        <v>0</v>
      </c>
      <c r="AK131" s="28">
        <v>0</v>
      </c>
      <c r="AL131" s="28">
        <v>0</v>
      </c>
      <c r="AM131" s="28">
        <v>0</v>
      </c>
      <c r="AN131" s="75">
        <v>129</v>
      </c>
      <c r="AQ131" s="101" t="s">
        <v>650</v>
      </c>
      <c r="AR131" s="77" t="s">
        <v>212</v>
      </c>
      <c r="AS131" s="77" t="s">
        <v>676</v>
      </c>
      <c r="AT131" s="135">
        <v>5.0150021431633096</v>
      </c>
      <c r="AU131" s="77">
        <v>1</v>
      </c>
      <c r="AV131" s="28">
        <v>1</v>
      </c>
      <c r="AW131" s="77">
        <v>24</v>
      </c>
      <c r="AX131" s="584">
        <v>23.33</v>
      </c>
      <c r="AY131" s="28">
        <v>24</v>
      </c>
      <c r="AZ131" s="28">
        <v>13</v>
      </c>
      <c r="BA131" s="28">
        <v>10</v>
      </c>
      <c r="BB131" s="28">
        <v>23</v>
      </c>
      <c r="BC131" s="28">
        <v>0</v>
      </c>
      <c r="BD131" s="106">
        <v>1.4573510501500215</v>
      </c>
      <c r="BE131" s="77">
        <v>0</v>
      </c>
      <c r="BF131" s="28">
        <v>0</v>
      </c>
      <c r="BG131" s="28">
        <v>0</v>
      </c>
      <c r="BH131" s="28">
        <v>0</v>
      </c>
      <c r="BI131" s="75">
        <v>129</v>
      </c>
    </row>
    <row r="132" spans="1:61">
      <c r="A132" s="101" t="s">
        <v>650</v>
      </c>
      <c r="B132" s="71" t="s">
        <v>212</v>
      </c>
      <c r="C132" s="116" t="s">
        <v>676</v>
      </c>
      <c r="D132" s="89">
        <f>VLOOKUP(Table70[[#This Row],[NAME]],TEX_P[[NAME]:['#]],2,0)</f>
        <v>7.2548141513658759</v>
      </c>
      <c r="E132" s="77">
        <f>VLOOKUP(Table70[[#This Row],[NAME]],TEX_P[[NAME]:['#]],3,0)</f>
        <v>0</v>
      </c>
      <c r="F132" s="28">
        <f>VLOOKUP(Table70[[#This Row],[NAME]],TEX_P[[NAME]:['#]],4,0)</f>
        <v>2</v>
      </c>
      <c r="G132" s="77">
        <f>VLOOKUP(Table70[[#This Row],[NAME]],TEX_P[[NAME]:['#]],5,0)</f>
        <v>21</v>
      </c>
      <c r="H132" s="584">
        <f>VLOOKUP(Table70[[#This Row],[NAME]],TEX_P[[NAME]:['#]],6,0)</f>
        <v>22.33</v>
      </c>
      <c r="I132" s="28">
        <f>VLOOKUP(Table70[[#This Row],[NAME]],TEX_P[[NAME]:['#]],7,0)</f>
        <v>30</v>
      </c>
      <c r="J132" s="28">
        <f>VLOOKUP(Table70[[#This Row],[NAME]],TEX_P[[NAME]:['#]],8,0)</f>
        <v>18</v>
      </c>
      <c r="K132" s="28">
        <f>VLOOKUP(Table70[[#This Row],[NAME]],TEX_P[[NAME]:['#]],9,0)</f>
        <v>7</v>
      </c>
      <c r="L132" s="28">
        <f>VLOOKUP(Table70[[#This Row],[NAME]],TEX_P[[NAME]:['#]],10,0)</f>
        <v>29</v>
      </c>
      <c r="M132" s="28">
        <f>VLOOKUP(Table70[[#This Row],[NAME]],TEX_P[[NAME]:['#]],11,0)</f>
        <v>4</v>
      </c>
      <c r="N132" s="106">
        <f>VLOOKUP(Table70[[#This Row],[NAME]],TEX_P[[NAME]:['#]],12,0)</f>
        <v>1.6569637259292433</v>
      </c>
      <c r="O132" s="77">
        <f>VLOOKUP(Table70[[#This Row],[NAME]],TEX_P[[NAME]:['#]],13,0)</f>
        <v>0</v>
      </c>
      <c r="P132" s="28">
        <f>VLOOKUP(Table70[[#This Row],[NAME]],TEX_P[[NAME]:['#]],14,0)</f>
        <v>0</v>
      </c>
      <c r="Q132" s="28">
        <f>VLOOKUP(Table70[[#This Row],[NAME]],TEX_P[[NAME]:['#]],15,0)</f>
        <v>0</v>
      </c>
      <c r="R132" s="28">
        <f>VLOOKUP(Table70[[#This Row],[NAME]],TEX_P[[NAME]:['#]],16,0)</f>
        <v>0</v>
      </c>
      <c r="S132" s="75">
        <v>130</v>
      </c>
      <c r="V132" s="101" t="s">
        <v>650</v>
      </c>
      <c r="W132" s="77" t="s">
        <v>212</v>
      </c>
      <c r="X132" s="132" t="s">
        <v>681</v>
      </c>
      <c r="Y132" s="88">
        <v>6.3829787234042561</v>
      </c>
      <c r="Z132" s="77">
        <v>3</v>
      </c>
      <c r="AA132" s="28">
        <v>3</v>
      </c>
      <c r="AB132" s="77">
        <v>17</v>
      </c>
      <c r="AC132" s="584">
        <v>18.329999999999998</v>
      </c>
      <c r="AD132" s="28">
        <v>18</v>
      </c>
      <c r="AE132" s="28">
        <v>13</v>
      </c>
      <c r="AF132" s="28">
        <v>14</v>
      </c>
      <c r="AG132" s="28">
        <v>24</v>
      </c>
      <c r="AH132" s="28">
        <v>3</v>
      </c>
      <c r="AI132" s="106">
        <v>1.7457719585379161</v>
      </c>
      <c r="AJ132" s="77">
        <v>0</v>
      </c>
      <c r="AK132" s="28">
        <v>0</v>
      </c>
      <c r="AL132" s="28">
        <v>0</v>
      </c>
      <c r="AM132" s="28">
        <v>0</v>
      </c>
      <c r="AN132" s="75">
        <v>130</v>
      </c>
      <c r="AQ132" s="101" t="s">
        <v>650</v>
      </c>
      <c r="AR132" s="77" t="s">
        <v>212</v>
      </c>
      <c r="AS132" s="77" t="s">
        <v>680</v>
      </c>
      <c r="AT132" s="135">
        <v>4.05</v>
      </c>
      <c r="AU132" s="77">
        <v>1</v>
      </c>
      <c r="AV132" s="28">
        <v>0</v>
      </c>
      <c r="AW132" s="77">
        <v>19</v>
      </c>
      <c r="AX132" s="584">
        <v>20</v>
      </c>
      <c r="AY132" s="28">
        <v>17</v>
      </c>
      <c r="AZ132" s="28">
        <v>9</v>
      </c>
      <c r="BA132" s="28">
        <v>5</v>
      </c>
      <c r="BB132" s="28">
        <v>23</v>
      </c>
      <c r="BC132" s="28">
        <v>5</v>
      </c>
      <c r="BD132" s="106">
        <v>1.1000000000000001</v>
      </c>
      <c r="BE132" s="77">
        <v>0</v>
      </c>
      <c r="BF132" s="28">
        <v>0</v>
      </c>
      <c r="BG132" s="28">
        <v>0</v>
      </c>
      <c r="BH132" s="28">
        <v>0</v>
      </c>
      <c r="BI132" s="75">
        <v>130</v>
      </c>
    </row>
    <row r="133" spans="1:61">
      <c r="A133" s="101" t="s">
        <v>685</v>
      </c>
      <c r="B133" s="71" t="s">
        <v>206</v>
      </c>
      <c r="C133" s="71" t="s">
        <v>687</v>
      </c>
      <c r="D133" s="89">
        <f>VLOOKUP(Table70[[#This Row],[NAME]],LAA_P[[NAME]:['#]],2,0)</f>
        <v>3.4440532680238789</v>
      </c>
      <c r="E133" s="77">
        <f>VLOOKUP(Table70[[#This Row],[NAME]],LAA_P[[NAME]:['#]],3,0)</f>
        <v>4</v>
      </c>
      <c r="F133" s="28">
        <f>VLOOKUP(Table70[[#This Row],[NAME]],LAA_P[[NAME]:['#]],4,0)</f>
        <v>6</v>
      </c>
      <c r="G133" s="77">
        <f>VLOOKUP(Table70[[#This Row],[NAME]],LAA_P[[NAME]:['#]],5,0)</f>
        <v>10</v>
      </c>
      <c r="H133" s="584">
        <f>VLOOKUP(Table70[[#This Row],[NAME]],LAA_P[[NAME]:['#]],6,0)</f>
        <v>65.33</v>
      </c>
      <c r="I133" s="28">
        <f>VLOOKUP(Table70[[#This Row],[NAME]],LAA_P[[NAME]:['#]],7,0)</f>
        <v>60</v>
      </c>
      <c r="J133" s="28">
        <f>VLOOKUP(Table70[[#This Row],[NAME]],LAA_P[[NAME]:['#]],8,0)</f>
        <v>25</v>
      </c>
      <c r="K133" s="28">
        <f>VLOOKUP(Table70[[#This Row],[NAME]],LAA_P[[NAME]:['#]],9,0)</f>
        <v>24</v>
      </c>
      <c r="L133" s="28">
        <f>VLOOKUP(Table70[[#This Row],[NAME]],LAA_P[[NAME]:['#]],10,0)</f>
        <v>77</v>
      </c>
      <c r="M133" s="28">
        <f>VLOOKUP(Table70[[#This Row],[NAME]],LAA_P[[NAME]:['#]],11,0)</f>
        <v>0</v>
      </c>
      <c r="N133" s="106">
        <f>VLOOKUP(Table70[[#This Row],[NAME]],LAA_P[[NAME]:['#]],12,0)</f>
        <v>1.2857798867289147</v>
      </c>
      <c r="O133" s="77">
        <f>VLOOKUP(Table70[[#This Row],[NAME]],LAA_P[[NAME]:['#]],13,0)</f>
        <v>6</v>
      </c>
      <c r="P133" s="28">
        <f>VLOOKUP(Table70[[#This Row],[NAME]],LAA_P[[NAME]:['#]],14,0)</f>
        <v>4</v>
      </c>
      <c r="Q133" s="28">
        <f>VLOOKUP(Table70[[#This Row],[NAME]],LAA_P[[NAME]:['#]],15,0)</f>
        <v>1</v>
      </c>
      <c r="R133" s="28">
        <f>VLOOKUP(Table70[[#This Row],[NAME]],LAA_P[[NAME]:['#]],16,0)</f>
        <v>1</v>
      </c>
      <c r="S133" s="75">
        <v>131</v>
      </c>
      <c r="V133" s="101" t="s">
        <v>685</v>
      </c>
      <c r="W133" s="77" t="s">
        <v>206</v>
      </c>
      <c r="X133" s="77" t="s">
        <v>687</v>
      </c>
      <c r="Y133" s="88">
        <v>2.2880386424304056</v>
      </c>
      <c r="Z133" s="77">
        <v>5</v>
      </c>
      <c r="AA133" s="28">
        <v>3</v>
      </c>
      <c r="AB133" s="77">
        <v>10</v>
      </c>
      <c r="AC133" s="585">
        <v>78.67</v>
      </c>
      <c r="AD133" s="28">
        <v>63</v>
      </c>
      <c r="AE133" s="28">
        <v>20</v>
      </c>
      <c r="AF133" s="28">
        <v>17</v>
      </c>
      <c r="AG133" s="28">
        <v>101</v>
      </c>
      <c r="AH133" s="28">
        <v>0</v>
      </c>
      <c r="AI133" s="106">
        <v>1.0169060633024025</v>
      </c>
      <c r="AJ133" s="77">
        <v>9</v>
      </c>
      <c r="AK133" s="76">
        <v>8</v>
      </c>
      <c r="AL133" s="28">
        <v>2</v>
      </c>
      <c r="AM133" s="28">
        <v>1</v>
      </c>
      <c r="AN133" s="75">
        <v>131</v>
      </c>
      <c r="AQ133" s="101" t="s">
        <v>685</v>
      </c>
      <c r="AR133" s="77" t="s">
        <v>206</v>
      </c>
      <c r="AS133" s="77" t="s">
        <v>687</v>
      </c>
      <c r="AT133" s="135">
        <v>2.1176470588235294</v>
      </c>
      <c r="AU133" s="77">
        <v>6</v>
      </c>
      <c r="AV133" s="28">
        <v>4</v>
      </c>
      <c r="AW133" s="77">
        <v>10</v>
      </c>
      <c r="AX133" s="584">
        <v>68</v>
      </c>
      <c r="AY133" s="28">
        <v>48</v>
      </c>
      <c r="AZ133" s="28">
        <v>16</v>
      </c>
      <c r="BA133" s="28">
        <v>25</v>
      </c>
      <c r="BB133" s="28">
        <v>76</v>
      </c>
      <c r="BC133" s="28">
        <v>0</v>
      </c>
      <c r="BD133" s="106">
        <v>1.0735294117647058</v>
      </c>
      <c r="BE133" s="77">
        <v>8</v>
      </c>
      <c r="BF133" s="28">
        <v>5</v>
      </c>
      <c r="BG133" s="28">
        <v>1</v>
      </c>
      <c r="BH133" s="28">
        <v>1</v>
      </c>
      <c r="BI133" s="75">
        <v>131</v>
      </c>
    </row>
    <row r="134" spans="1:61">
      <c r="A134" s="101" t="s">
        <v>685</v>
      </c>
      <c r="B134" s="71" t="s">
        <v>206</v>
      </c>
      <c r="C134" s="116" t="s">
        <v>703</v>
      </c>
      <c r="D134" s="89">
        <f>VLOOKUP(Table70[[#This Row],[NAME]],LAA_P[[NAME]:['#]],2,0)</f>
        <v>4.4262295081967213</v>
      </c>
      <c r="E134" s="77">
        <f>VLOOKUP(Table70[[#This Row],[NAME]],LAA_P[[NAME]:['#]],3,0)</f>
        <v>2</v>
      </c>
      <c r="F134" s="28">
        <f>VLOOKUP(Table70[[#This Row],[NAME]],LAA_P[[NAME]:['#]],4,0)</f>
        <v>4</v>
      </c>
      <c r="G134" s="77">
        <f>VLOOKUP(Table70[[#This Row],[NAME]],LAA_P[[NAME]:['#]],5,0)</f>
        <v>10</v>
      </c>
      <c r="H134" s="584">
        <f>VLOOKUP(Table70[[#This Row],[NAME]],LAA_P[[NAME]:['#]],6,0)</f>
        <v>61</v>
      </c>
      <c r="I134" s="28">
        <f>VLOOKUP(Table70[[#This Row],[NAME]],LAA_P[[NAME]:['#]],7,0)</f>
        <v>73</v>
      </c>
      <c r="J134" s="28">
        <f>VLOOKUP(Table70[[#This Row],[NAME]],LAA_P[[NAME]:['#]],8,0)</f>
        <v>30</v>
      </c>
      <c r="K134" s="28">
        <f>VLOOKUP(Table70[[#This Row],[NAME]],LAA_P[[NAME]:['#]],9,0)</f>
        <v>22</v>
      </c>
      <c r="L134" s="28">
        <f>VLOOKUP(Table70[[#This Row],[NAME]],LAA_P[[NAME]:['#]],10,0)</f>
        <v>56</v>
      </c>
      <c r="M134" s="28">
        <f>VLOOKUP(Table70[[#This Row],[NAME]],LAA_P[[NAME]:['#]],11,0)</f>
        <v>0</v>
      </c>
      <c r="N134" s="106">
        <f>VLOOKUP(Table70[[#This Row],[NAME]],LAA_P[[NAME]:['#]],12,0)</f>
        <v>1.5573770491803278</v>
      </c>
      <c r="O134" s="77">
        <f>VLOOKUP(Table70[[#This Row],[NAME]],LAA_P[[NAME]:['#]],13,0)</f>
        <v>5</v>
      </c>
      <c r="P134" s="28">
        <f>VLOOKUP(Table70[[#This Row],[NAME]],LAA_P[[NAME]:['#]],14,0)</f>
        <v>3</v>
      </c>
      <c r="Q134" s="28">
        <f>VLOOKUP(Table70[[#This Row],[NAME]],LAA_P[[NAME]:['#]],15,0)</f>
        <v>0</v>
      </c>
      <c r="R134" s="28">
        <f>VLOOKUP(Table70[[#This Row],[NAME]],LAA_P[[NAME]:['#]],16,0)</f>
        <v>0</v>
      </c>
      <c r="S134" s="75">
        <v>132</v>
      </c>
      <c r="V134" s="101" t="s">
        <v>685</v>
      </c>
      <c r="W134" s="77" t="s">
        <v>206</v>
      </c>
      <c r="X134" s="132" t="s">
        <v>703</v>
      </c>
      <c r="Y134" s="88">
        <v>6.2441402587661727</v>
      </c>
      <c r="Z134" s="77">
        <v>4</v>
      </c>
      <c r="AA134" s="28">
        <v>4</v>
      </c>
      <c r="AB134" s="77">
        <v>10</v>
      </c>
      <c r="AC134" s="584">
        <v>53.33</v>
      </c>
      <c r="AD134" s="28">
        <v>57</v>
      </c>
      <c r="AE134" s="28">
        <v>37</v>
      </c>
      <c r="AF134" s="28">
        <v>25</v>
      </c>
      <c r="AG134" s="28">
        <v>49</v>
      </c>
      <c r="AH134" s="28">
        <v>0</v>
      </c>
      <c r="AI134" s="106">
        <v>1.5375960997562348</v>
      </c>
      <c r="AJ134" s="77">
        <v>2</v>
      </c>
      <c r="AK134" s="28">
        <v>1</v>
      </c>
      <c r="AL134" s="28">
        <v>1</v>
      </c>
      <c r="AM134" s="28">
        <v>1</v>
      </c>
      <c r="AN134" s="75">
        <v>132</v>
      </c>
      <c r="AQ134" s="101" t="s">
        <v>685</v>
      </c>
      <c r="AR134" s="77" t="s">
        <v>206</v>
      </c>
      <c r="AS134" s="77" t="s">
        <v>704</v>
      </c>
      <c r="AT134" s="135">
        <v>4.6784494281895146</v>
      </c>
      <c r="AU134" s="77">
        <v>4</v>
      </c>
      <c r="AV134" s="28">
        <v>2</v>
      </c>
      <c r="AW134" s="77">
        <v>10</v>
      </c>
      <c r="AX134" s="584">
        <v>67.33</v>
      </c>
      <c r="AY134" s="28">
        <v>63</v>
      </c>
      <c r="AZ134" s="28">
        <v>35</v>
      </c>
      <c r="BA134" s="28">
        <v>20</v>
      </c>
      <c r="BB134" s="28">
        <v>63</v>
      </c>
      <c r="BC134" s="28">
        <v>0</v>
      </c>
      <c r="BD134" s="106">
        <v>1.2327342937769197</v>
      </c>
      <c r="BE134" s="77">
        <v>6</v>
      </c>
      <c r="BF134" s="28">
        <v>2</v>
      </c>
      <c r="BG134" s="28">
        <v>0</v>
      </c>
      <c r="BH134" s="28">
        <v>0</v>
      </c>
      <c r="BI134" s="75">
        <v>132</v>
      </c>
    </row>
    <row r="135" spans="1:61">
      <c r="A135" s="101" t="s">
        <v>685</v>
      </c>
      <c r="B135" s="71" t="s">
        <v>206</v>
      </c>
      <c r="C135" s="116" t="s">
        <v>705</v>
      </c>
      <c r="D135" s="89">
        <f>VLOOKUP(Table70[[#This Row],[NAME]],LAA_P[[NAME]:['#]],2,0)</f>
        <v>4.9229239184485332</v>
      </c>
      <c r="E135" s="77">
        <f>VLOOKUP(Table70[[#This Row],[NAME]],LAA_P[[NAME]:['#]],3,0)</f>
        <v>2</v>
      </c>
      <c r="F135" s="28">
        <f>VLOOKUP(Table70[[#This Row],[NAME]],LAA_P[[NAME]:['#]],4,0)</f>
        <v>2</v>
      </c>
      <c r="G135" s="77">
        <f>VLOOKUP(Table70[[#This Row],[NAME]],LAA_P[[NAME]:['#]],5,0)</f>
        <v>10</v>
      </c>
      <c r="H135" s="584">
        <f>VLOOKUP(Table70[[#This Row],[NAME]],LAA_P[[NAME]:['#]],6,0)</f>
        <v>60.33</v>
      </c>
      <c r="I135" s="28">
        <f>VLOOKUP(Table70[[#This Row],[NAME]],LAA_P[[NAME]:['#]],7,0)</f>
        <v>63</v>
      </c>
      <c r="J135" s="28">
        <f>VLOOKUP(Table70[[#This Row],[NAME]],LAA_P[[NAME]:['#]],8,0)</f>
        <v>33</v>
      </c>
      <c r="K135" s="28">
        <f>VLOOKUP(Table70[[#This Row],[NAME]],LAA_P[[NAME]:['#]],9,0)</f>
        <v>28</v>
      </c>
      <c r="L135" s="28">
        <f>VLOOKUP(Table70[[#This Row],[NAME]],LAA_P[[NAME]:['#]],10,0)</f>
        <v>48</v>
      </c>
      <c r="M135" s="28">
        <f>VLOOKUP(Table70[[#This Row],[NAME]],LAA_P[[NAME]:['#]],11,0)</f>
        <v>0</v>
      </c>
      <c r="N135" s="106">
        <f>VLOOKUP(Table70[[#This Row],[NAME]],LAA_P[[NAME]:['#]],12,0)</f>
        <v>1.5083706282115035</v>
      </c>
      <c r="O135" s="77">
        <f>VLOOKUP(Table70[[#This Row],[NAME]],LAA_P[[NAME]:['#]],13,0)</f>
        <v>4</v>
      </c>
      <c r="P135" s="28">
        <f>VLOOKUP(Table70[[#This Row],[NAME]],LAA_P[[NAME]:['#]],14,0)</f>
        <v>2</v>
      </c>
      <c r="Q135" s="28">
        <f>VLOOKUP(Table70[[#This Row],[NAME]],LAA_P[[NAME]:['#]],15,0)</f>
        <v>0</v>
      </c>
      <c r="R135" s="28">
        <f>VLOOKUP(Table70[[#This Row],[NAME]],LAA_P[[NAME]:['#]],16,0)</f>
        <v>0</v>
      </c>
      <c r="S135" s="75">
        <v>133</v>
      </c>
      <c r="V135" s="101" t="s">
        <v>685</v>
      </c>
      <c r="W135" s="77" t="s">
        <v>206</v>
      </c>
      <c r="X135" s="132" t="s">
        <v>705</v>
      </c>
      <c r="Y135" s="88">
        <v>3.6374941706824191</v>
      </c>
      <c r="Z135" s="77">
        <v>4</v>
      </c>
      <c r="AA135" s="28">
        <v>2</v>
      </c>
      <c r="AB135" s="77">
        <v>10</v>
      </c>
      <c r="AC135" s="584">
        <v>64.33</v>
      </c>
      <c r="AD135" s="28">
        <v>58</v>
      </c>
      <c r="AE135" s="28">
        <v>26</v>
      </c>
      <c r="AF135" s="28">
        <v>26</v>
      </c>
      <c r="AG135" s="28">
        <v>43</v>
      </c>
      <c r="AH135" s="28">
        <v>0</v>
      </c>
      <c r="AI135" s="106">
        <v>1.3057671381936888</v>
      </c>
      <c r="AJ135" s="77">
        <v>7</v>
      </c>
      <c r="AK135" s="28">
        <v>4</v>
      </c>
      <c r="AL135" s="28">
        <v>1</v>
      </c>
      <c r="AM135" s="28">
        <v>0</v>
      </c>
      <c r="AN135" s="75">
        <v>133</v>
      </c>
      <c r="AQ135" s="101" t="s">
        <v>685</v>
      </c>
      <c r="AR135" s="77" t="s">
        <v>206</v>
      </c>
      <c r="AS135" s="77" t="s">
        <v>703</v>
      </c>
      <c r="AT135" s="135">
        <v>7.0975484313389341</v>
      </c>
      <c r="AU135" s="77">
        <v>1</v>
      </c>
      <c r="AV135" s="76">
        <v>7</v>
      </c>
      <c r="AW135" s="77">
        <v>10</v>
      </c>
      <c r="AX135" s="584">
        <v>58.33</v>
      </c>
      <c r="AY135" s="28">
        <v>66</v>
      </c>
      <c r="AZ135" s="28">
        <v>46</v>
      </c>
      <c r="BA135" s="28">
        <v>9</v>
      </c>
      <c r="BB135" s="28">
        <v>63</v>
      </c>
      <c r="BC135" s="28">
        <v>0</v>
      </c>
      <c r="BD135" s="106">
        <v>1.2857877593005316</v>
      </c>
      <c r="BE135" s="77">
        <v>2</v>
      </c>
      <c r="BF135" s="28">
        <v>0</v>
      </c>
      <c r="BG135" s="28">
        <v>0</v>
      </c>
      <c r="BH135" s="28">
        <v>0</v>
      </c>
      <c r="BI135" s="75">
        <v>133</v>
      </c>
    </row>
    <row r="136" spans="1:61">
      <c r="A136" s="101" t="s">
        <v>685</v>
      </c>
      <c r="B136" s="71" t="s">
        <v>206</v>
      </c>
      <c r="C136" s="116" t="s">
        <v>704</v>
      </c>
      <c r="D136" s="89">
        <f>VLOOKUP(Table70[[#This Row],[NAME]],LAA_P[[NAME]:['#]],2,0)</f>
        <v>8.3667863934079865</v>
      </c>
      <c r="E136" s="77">
        <f>VLOOKUP(Table70[[#This Row],[NAME]],LAA_P[[NAME]:['#]],3,0)</f>
        <v>5</v>
      </c>
      <c r="F136" s="28">
        <f>VLOOKUP(Table70[[#This Row],[NAME]],LAA_P[[NAME]:['#]],4,0)</f>
        <v>5</v>
      </c>
      <c r="G136" s="77">
        <f>VLOOKUP(Table70[[#This Row],[NAME]],LAA_P[[NAME]:['#]],5,0)</f>
        <v>10</v>
      </c>
      <c r="H136" s="584">
        <f>VLOOKUP(Table70[[#This Row],[NAME]],LAA_P[[NAME]:['#]],6,0)</f>
        <v>47.33</v>
      </c>
      <c r="I136" s="28">
        <f>VLOOKUP(Table70[[#This Row],[NAME]],LAA_P[[NAME]:['#]],7,0)</f>
        <v>71</v>
      </c>
      <c r="J136" s="28">
        <f>VLOOKUP(Table70[[#This Row],[NAME]],LAA_P[[NAME]:['#]],8,0)</f>
        <v>44</v>
      </c>
      <c r="K136" s="28">
        <f>VLOOKUP(Table70[[#This Row],[NAME]],LAA_P[[NAME]:['#]],9,0)</f>
        <v>22</v>
      </c>
      <c r="L136" s="28">
        <f>VLOOKUP(Table70[[#This Row],[NAME]],LAA_P[[NAME]:['#]],10,0)</f>
        <v>55</v>
      </c>
      <c r="M136" s="28">
        <f>VLOOKUP(Table70[[#This Row],[NAME]],LAA_P[[NAME]:['#]],11,0)</f>
        <v>0</v>
      </c>
      <c r="N136" s="106">
        <f>VLOOKUP(Table70[[#This Row],[NAME]],LAA_P[[NAME]:['#]],12,0)</f>
        <v>1.9649271075427848</v>
      </c>
      <c r="O136" s="77">
        <f>VLOOKUP(Table70[[#This Row],[NAME]],LAA_P[[NAME]:['#]],13,0)</f>
        <v>3</v>
      </c>
      <c r="P136" s="28">
        <f>VLOOKUP(Table70[[#This Row],[NAME]],LAA_P[[NAME]:['#]],14,0)</f>
        <v>1</v>
      </c>
      <c r="Q136" s="28">
        <f>VLOOKUP(Table70[[#This Row],[NAME]],LAA_P[[NAME]:['#]],15,0)</f>
        <v>0</v>
      </c>
      <c r="R136" s="28">
        <f>VLOOKUP(Table70[[#This Row],[NAME]],LAA_P[[NAME]:['#]],16,0)</f>
        <v>0</v>
      </c>
      <c r="S136" s="75">
        <v>134</v>
      </c>
      <c r="V136" s="101" t="s">
        <v>685</v>
      </c>
      <c r="W136" s="77" t="s">
        <v>206</v>
      </c>
      <c r="X136" s="132" t="s">
        <v>706</v>
      </c>
      <c r="Y136" s="88">
        <v>6.5816613538346145</v>
      </c>
      <c r="Z136" s="77">
        <v>1</v>
      </c>
      <c r="AA136" s="28">
        <v>5</v>
      </c>
      <c r="AB136" s="77">
        <v>10</v>
      </c>
      <c r="AC136" s="584">
        <v>53.33</v>
      </c>
      <c r="AD136" s="28">
        <v>58</v>
      </c>
      <c r="AE136" s="28">
        <v>39</v>
      </c>
      <c r="AF136" s="28">
        <v>28</v>
      </c>
      <c r="AG136" s="28">
        <v>43</v>
      </c>
      <c r="AH136" s="28">
        <v>0</v>
      </c>
      <c r="AI136" s="106">
        <v>1.6126007875492219</v>
      </c>
      <c r="AJ136" s="77">
        <v>4</v>
      </c>
      <c r="AK136" s="28">
        <v>0</v>
      </c>
      <c r="AL136" s="28">
        <v>0</v>
      </c>
      <c r="AM136" s="28">
        <v>0</v>
      </c>
      <c r="AN136" s="75">
        <v>134</v>
      </c>
      <c r="AQ136" s="101" t="s">
        <v>685</v>
      </c>
      <c r="AR136" s="77" t="s">
        <v>206</v>
      </c>
      <c r="AS136" s="77" t="s">
        <v>705</v>
      </c>
      <c r="AT136" s="135">
        <v>3.2295105497344623</v>
      </c>
      <c r="AU136" s="77">
        <v>7</v>
      </c>
      <c r="AV136" s="28">
        <v>1</v>
      </c>
      <c r="AW136" s="77">
        <v>10</v>
      </c>
      <c r="AX136" s="584">
        <v>69.67</v>
      </c>
      <c r="AY136" s="28">
        <v>68</v>
      </c>
      <c r="AZ136" s="28">
        <v>25</v>
      </c>
      <c r="BA136" s="28">
        <v>21</v>
      </c>
      <c r="BB136" s="28">
        <v>56</v>
      </c>
      <c r="BC136" s="28">
        <v>0</v>
      </c>
      <c r="BD136" s="106">
        <v>1.2774508396727429</v>
      </c>
      <c r="BE136" s="77">
        <v>8</v>
      </c>
      <c r="BF136" s="28">
        <v>5</v>
      </c>
      <c r="BG136" s="28">
        <v>2</v>
      </c>
      <c r="BH136" s="76">
        <v>2</v>
      </c>
      <c r="BI136" s="75">
        <v>134</v>
      </c>
    </row>
    <row r="137" spans="1:61">
      <c r="A137" s="101" t="s">
        <v>685</v>
      </c>
      <c r="B137" s="71" t="s">
        <v>212</v>
      </c>
      <c r="C137" s="116" t="s">
        <v>706</v>
      </c>
      <c r="D137" s="89">
        <f>VLOOKUP(Table70[[#This Row],[NAME]],LAA_P[[NAME]:['#]],2,0)</f>
        <v>8.5274378207658916</v>
      </c>
      <c r="E137" s="77">
        <f>VLOOKUP(Table70[[#This Row],[NAME]],LAA_P[[NAME]:['#]],3,0)</f>
        <v>0</v>
      </c>
      <c r="F137" s="28">
        <f>VLOOKUP(Table70[[#This Row],[NAME]],LAA_P[[NAME]:['#]],4,0)</f>
        <v>0</v>
      </c>
      <c r="G137" s="77">
        <f>VLOOKUP(Table70[[#This Row],[NAME]],LAA_P[[NAME]:['#]],5,0)</f>
        <v>17</v>
      </c>
      <c r="H137" s="584">
        <f>VLOOKUP(Table70[[#This Row],[NAME]],LAA_P[[NAME]:['#]],6,0)</f>
        <v>25.33</v>
      </c>
      <c r="I137" s="28">
        <f>VLOOKUP(Table70[[#This Row],[NAME]],LAA_P[[NAME]:['#]],7,0)</f>
        <v>36</v>
      </c>
      <c r="J137" s="28">
        <f>VLOOKUP(Table70[[#This Row],[NAME]],LAA_P[[NAME]:['#]],8,0)</f>
        <v>24</v>
      </c>
      <c r="K137" s="28">
        <f>VLOOKUP(Table70[[#This Row],[NAME]],LAA_P[[NAME]:['#]],9,0)</f>
        <v>17</v>
      </c>
      <c r="L137" s="28">
        <f>VLOOKUP(Table70[[#This Row],[NAME]],LAA_P[[NAME]:['#]],10,0)</f>
        <v>24</v>
      </c>
      <c r="M137" s="28">
        <f>VLOOKUP(Table70[[#This Row],[NAME]],LAA_P[[NAME]:['#]],11,0)</f>
        <v>0</v>
      </c>
      <c r="N137" s="106">
        <f>VLOOKUP(Table70[[#This Row],[NAME]],LAA_P[[NAME]:['#]],12,0)</f>
        <v>2.0923805763916308</v>
      </c>
      <c r="O137" s="77">
        <f>VLOOKUP(Table70[[#This Row],[NAME]],LAA_P[[NAME]:['#]],13,0)</f>
        <v>0</v>
      </c>
      <c r="P137" s="28">
        <f>VLOOKUP(Table70[[#This Row],[NAME]],LAA_P[[NAME]:['#]],14,0)</f>
        <v>0</v>
      </c>
      <c r="Q137" s="28">
        <f>VLOOKUP(Table70[[#This Row],[NAME]],LAA_P[[NAME]:['#]],15,0)</f>
        <v>0</v>
      </c>
      <c r="R137" s="28">
        <f>VLOOKUP(Table70[[#This Row],[NAME]],LAA_P[[NAME]:['#]],16,0)</f>
        <v>0</v>
      </c>
      <c r="S137" s="75">
        <v>135</v>
      </c>
      <c r="V137" s="101" t="s">
        <v>685</v>
      </c>
      <c r="W137" s="77" t="s">
        <v>212</v>
      </c>
      <c r="X137" s="132" t="s">
        <v>704</v>
      </c>
      <c r="Y137" s="88">
        <v>7.4688796680497926</v>
      </c>
      <c r="Z137" s="77">
        <v>1</v>
      </c>
      <c r="AA137" s="28">
        <v>2</v>
      </c>
      <c r="AB137" s="77">
        <v>15</v>
      </c>
      <c r="AC137" s="584">
        <v>31.33</v>
      </c>
      <c r="AD137" s="28">
        <v>41</v>
      </c>
      <c r="AE137" s="28">
        <v>26</v>
      </c>
      <c r="AF137" s="28">
        <v>10</v>
      </c>
      <c r="AG137" s="28">
        <v>37</v>
      </c>
      <c r="AH137" s="28">
        <v>0</v>
      </c>
      <c r="AI137" s="106">
        <v>1.6278327481646984</v>
      </c>
      <c r="AJ137" s="77">
        <v>0</v>
      </c>
      <c r="AK137" s="28">
        <v>0</v>
      </c>
      <c r="AL137" s="28">
        <v>0</v>
      </c>
      <c r="AM137" s="28">
        <v>0</v>
      </c>
      <c r="AN137" s="75">
        <v>135</v>
      </c>
      <c r="AQ137" s="101" t="s">
        <v>685</v>
      </c>
      <c r="AR137" s="77" t="s">
        <v>215</v>
      </c>
      <c r="AS137" s="77" t="s">
        <v>706</v>
      </c>
      <c r="AT137" s="135">
        <v>2.7790030877812084</v>
      </c>
      <c r="AU137" s="77">
        <v>1</v>
      </c>
      <c r="AV137" s="28">
        <v>1</v>
      </c>
      <c r="AW137" s="77">
        <v>12</v>
      </c>
      <c r="AX137" s="584">
        <v>22.67</v>
      </c>
      <c r="AY137" s="28">
        <v>18</v>
      </c>
      <c r="AZ137" s="28">
        <v>7</v>
      </c>
      <c r="BA137" s="28">
        <v>5</v>
      </c>
      <c r="BB137" s="28">
        <v>22</v>
      </c>
      <c r="BC137" s="28">
        <v>1</v>
      </c>
      <c r="BD137" s="106">
        <v>1.0145566828407586</v>
      </c>
      <c r="BE137" s="77">
        <v>0</v>
      </c>
      <c r="BF137" s="28">
        <v>0</v>
      </c>
      <c r="BG137" s="28">
        <v>0</v>
      </c>
      <c r="BH137" s="28">
        <v>0</v>
      </c>
      <c r="BI137" s="75">
        <v>135</v>
      </c>
    </row>
    <row r="138" spans="1:61">
      <c r="A138" s="101" t="s">
        <v>685</v>
      </c>
      <c r="B138" s="71" t="s">
        <v>215</v>
      </c>
      <c r="C138" s="116" t="s">
        <v>708</v>
      </c>
      <c r="D138" s="89">
        <f>VLOOKUP(Table70[[#This Row],[NAME]],LAA_P[[NAME]:['#]],2,0)</f>
        <v>6.1349693251533743</v>
      </c>
      <c r="E138" s="77">
        <f>VLOOKUP(Table70[[#This Row],[NAME]],LAA_P[[NAME]:['#]],3,0)</f>
        <v>0</v>
      </c>
      <c r="F138" s="28">
        <f>VLOOKUP(Table70[[#This Row],[NAME]],LAA_P[[NAME]:['#]],4,0)</f>
        <v>1</v>
      </c>
      <c r="G138" s="77">
        <f>VLOOKUP(Table70[[#This Row],[NAME]],LAA_P[[NAME]:['#]],5,0)</f>
        <v>8</v>
      </c>
      <c r="H138" s="584">
        <f>VLOOKUP(Table70[[#This Row],[NAME]],LAA_P[[NAME]:['#]],6,0)</f>
        <v>14.67</v>
      </c>
      <c r="I138" s="28">
        <f>VLOOKUP(Table70[[#This Row],[NAME]],LAA_P[[NAME]:['#]],7,0)</f>
        <v>14</v>
      </c>
      <c r="J138" s="28">
        <f>VLOOKUP(Table70[[#This Row],[NAME]],LAA_P[[NAME]:['#]],8,0)</f>
        <v>10</v>
      </c>
      <c r="K138" s="28">
        <f>VLOOKUP(Table70[[#This Row],[NAME]],LAA_P[[NAME]:['#]],9,0)</f>
        <v>3</v>
      </c>
      <c r="L138" s="28">
        <f>VLOOKUP(Table70[[#This Row],[NAME]],LAA_P[[NAME]:['#]],10,0)</f>
        <v>18</v>
      </c>
      <c r="M138" s="28">
        <f>VLOOKUP(Table70[[#This Row],[NAME]],LAA_P[[NAME]:['#]],11,0)</f>
        <v>0</v>
      </c>
      <c r="N138" s="106">
        <f>VLOOKUP(Table70[[#This Row],[NAME]],LAA_P[[NAME]:['#]],12,0)</f>
        <v>1.1588275391956373</v>
      </c>
      <c r="O138" s="77">
        <f>VLOOKUP(Table70[[#This Row],[NAME]],LAA_P[[NAME]:['#]],13,0)</f>
        <v>0</v>
      </c>
      <c r="P138" s="28">
        <f>VLOOKUP(Table70[[#This Row],[NAME]],LAA_P[[NAME]:['#]],14,0)</f>
        <v>0</v>
      </c>
      <c r="Q138" s="28">
        <f>VLOOKUP(Table70[[#This Row],[NAME]],LAA_P[[NAME]:['#]],15,0)</f>
        <v>0</v>
      </c>
      <c r="R138" s="28">
        <f>VLOOKUP(Table70[[#This Row],[NAME]],LAA_P[[NAME]:['#]],16,0)</f>
        <v>0</v>
      </c>
      <c r="S138" s="75">
        <v>136</v>
      </c>
      <c r="V138" s="101" t="s">
        <v>685</v>
      </c>
      <c r="W138" s="77" t="s">
        <v>212</v>
      </c>
      <c r="X138" s="132" t="s">
        <v>709</v>
      </c>
      <c r="Y138" s="88">
        <v>6</v>
      </c>
      <c r="Z138" s="77">
        <v>0</v>
      </c>
      <c r="AA138" s="28">
        <v>0</v>
      </c>
      <c r="AB138" s="77">
        <v>3</v>
      </c>
      <c r="AC138" s="584">
        <v>3</v>
      </c>
      <c r="AD138" s="28">
        <v>4</v>
      </c>
      <c r="AE138" s="28">
        <v>2</v>
      </c>
      <c r="AF138" s="28">
        <v>0</v>
      </c>
      <c r="AG138" s="28">
        <v>2</v>
      </c>
      <c r="AH138" s="28">
        <v>0</v>
      </c>
      <c r="AI138" s="106">
        <v>1.3333333333333333</v>
      </c>
      <c r="AJ138" s="77">
        <v>0</v>
      </c>
      <c r="AK138" s="28">
        <v>0</v>
      </c>
      <c r="AL138" s="28">
        <v>0</v>
      </c>
      <c r="AM138" s="28">
        <v>0</v>
      </c>
      <c r="AN138" s="75">
        <v>136</v>
      </c>
      <c r="AQ138" s="101" t="s">
        <v>685</v>
      </c>
      <c r="AR138" s="77" t="s">
        <v>212</v>
      </c>
      <c r="AS138" s="77" t="s">
        <v>709</v>
      </c>
      <c r="AT138" s="135">
        <v>0</v>
      </c>
      <c r="AU138" s="77">
        <v>0</v>
      </c>
      <c r="AV138" s="28">
        <v>0</v>
      </c>
      <c r="AW138" s="77">
        <v>0</v>
      </c>
      <c r="AX138" s="584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106">
        <v>0</v>
      </c>
      <c r="BE138" s="77">
        <v>0</v>
      </c>
      <c r="BF138" s="28">
        <v>0</v>
      </c>
      <c r="BG138" s="28">
        <v>0</v>
      </c>
      <c r="BH138" s="28">
        <v>0</v>
      </c>
      <c r="BI138" s="75">
        <v>136</v>
      </c>
    </row>
    <row r="139" spans="1:61">
      <c r="A139" s="101" t="s">
        <v>685</v>
      </c>
      <c r="B139" s="71" t="s">
        <v>212</v>
      </c>
      <c r="C139" s="116" t="s">
        <v>707</v>
      </c>
      <c r="D139" s="89">
        <f>VLOOKUP(Table70[[#This Row],[NAME]],LAA_P[[NAME]:['#]],2,0)</f>
        <v>7.7899596076168498</v>
      </c>
      <c r="E139" s="77">
        <f>VLOOKUP(Table70[[#This Row],[NAME]],LAA_P[[NAME]:['#]],3,0)</f>
        <v>1</v>
      </c>
      <c r="F139" s="28">
        <f>VLOOKUP(Table70[[#This Row],[NAME]],LAA_P[[NAME]:['#]],4,0)</f>
        <v>1</v>
      </c>
      <c r="G139" s="77">
        <f>VLOOKUP(Table70[[#This Row],[NAME]],LAA_P[[NAME]:['#]],5,0)</f>
        <v>8</v>
      </c>
      <c r="H139" s="584">
        <f>VLOOKUP(Table70[[#This Row],[NAME]],LAA_P[[NAME]:['#]],6,0)</f>
        <v>17.329999999999998</v>
      </c>
      <c r="I139" s="28">
        <f>VLOOKUP(Table70[[#This Row],[NAME]],LAA_P[[NAME]:['#]],7,0)</f>
        <v>21</v>
      </c>
      <c r="J139" s="28">
        <f>VLOOKUP(Table70[[#This Row],[NAME]],LAA_P[[NAME]:['#]],8,0)</f>
        <v>15</v>
      </c>
      <c r="K139" s="28">
        <f>VLOOKUP(Table70[[#This Row],[NAME]],LAA_P[[NAME]:['#]],9,0)</f>
        <v>7</v>
      </c>
      <c r="L139" s="28">
        <f>VLOOKUP(Table70[[#This Row],[NAME]],LAA_P[[NAME]:['#]],10,0)</f>
        <v>11</v>
      </c>
      <c r="M139" s="28">
        <f>VLOOKUP(Table70[[#This Row],[NAME]],LAA_P[[NAME]:['#]],11,0)</f>
        <v>0</v>
      </c>
      <c r="N139" s="106">
        <f>VLOOKUP(Table70[[#This Row],[NAME]],LAA_P[[NAME]:['#]],12,0)</f>
        <v>1.6156953260242355</v>
      </c>
      <c r="O139" s="77">
        <f>VLOOKUP(Table70[[#This Row],[NAME]],LAA_P[[NAME]:['#]],13,0)</f>
        <v>0</v>
      </c>
      <c r="P139" s="28">
        <f>VLOOKUP(Table70[[#This Row],[NAME]],LAA_P[[NAME]:['#]],14,0)</f>
        <v>0</v>
      </c>
      <c r="Q139" s="28">
        <f>VLOOKUP(Table70[[#This Row],[NAME]],LAA_P[[NAME]:['#]],15,0)</f>
        <v>0</v>
      </c>
      <c r="R139" s="28">
        <f>VLOOKUP(Table70[[#This Row],[NAME]],LAA_P[[NAME]:['#]],16,0)</f>
        <v>0</v>
      </c>
      <c r="S139" s="75">
        <v>137</v>
      </c>
      <c r="V139" s="101" t="s">
        <v>685</v>
      </c>
      <c r="W139" s="77" t="s">
        <v>212</v>
      </c>
      <c r="X139" s="132" t="s">
        <v>707</v>
      </c>
      <c r="Y139" s="88">
        <v>10.392609699769054</v>
      </c>
      <c r="Z139" s="77">
        <v>1</v>
      </c>
      <c r="AA139" s="28">
        <v>1</v>
      </c>
      <c r="AB139" s="77">
        <v>4</v>
      </c>
      <c r="AC139" s="584">
        <v>4.33</v>
      </c>
      <c r="AD139" s="28">
        <v>6</v>
      </c>
      <c r="AE139" s="28">
        <v>5</v>
      </c>
      <c r="AF139" s="28">
        <v>5</v>
      </c>
      <c r="AG139" s="28">
        <v>1</v>
      </c>
      <c r="AH139" s="28">
        <v>0</v>
      </c>
      <c r="AI139" s="106">
        <v>2.5404157043879909</v>
      </c>
      <c r="AJ139" s="77">
        <v>0</v>
      </c>
      <c r="AK139" s="28">
        <v>0</v>
      </c>
      <c r="AL139" s="28">
        <v>0</v>
      </c>
      <c r="AM139" s="28">
        <v>0</v>
      </c>
      <c r="AN139" s="75">
        <v>137</v>
      </c>
      <c r="AQ139" s="101" t="s">
        <v>685</v>
      </c>
      <c r="AR139" s="77" t="s">
        <v>215</v>
      </c>
      <c r="AS139" s="77" t="s">
        <v>707</v>
      </c>
      <c r="AT139" s="135">
        <v>4.3963712491277045</v>
      </c>
      <c r="AU139" s="77">
        <v>0</v>
      </c>
      <c r="AV139" s="28">
        <v>1</v>
      </c>
      <c r="AW139" s="77">
        <v>8</v>
      </c>
      <c r="AX139" s="584">
        <v>14.33</v>
      </c>
      <c r="AY139" s="28">
        <v>15</v>
      </c>
      <c r="AZ139" s="28">
        <v>7</v>
      </c>
      <c r="BA139" s="28">
        <v>6</v>
      </c>
      <c r="BB139" s="28">
        <v>17</v>
      </c>
      <c r="BC139" s="28">
        <v>0</v>
      </c>
      <c r="BD139" s="106">
        <v>1.4654570830425679</v>
      </c>
      <c r="BE139" s="77">
        <v>0</v>
      </c>
      <c r="BF139" s="28">
        <v>0</v>
      </c>
      <c r="BG139" s="28">
        <v>0</v>
      </c>
      <c r="BH139" s="28">
        <v>0</v>
      </c>
      <c r="BI139" s="75">
        <v>137</v>
      </c>
    </row>
    <row r="140" spans="1:61">
      <c r="A140" s="101" t="s">
        <v>685</v>
      </c>
      <c r="B140" s="71" t="s">
        <v>212</v>
      </c>
      <c r="C140" s="116" t="s">
        <v>710</v>
      </c>
      <c r="D140" s="89">
        <f>VLOOKUP(Table70[[#This Row],[NAME]],LAA_P[[NAME]:['#]],2,0)</f>
        <v>6.8632435180477875</v>
      </c>
      <c r="E140" s="77">
        <f>VLOOKUP(Table70[[#This Row],[NAME]],LAA_P[[NAME]:['#]],3,0)</f>
        <v>0</v>
      </c>
      <c r="F140" s="28">
        <f>VLOOKUP(Table70[[#This Row],[NAME]],LAA_P[[NAME]:['#]],4,0)</f>
        <v>1</v>
      </c>
      <c r="G140" s="77">
        <f>VLOOKUP(Table70[[#This Row],[NAME]],LAA_P[[NAME]:['#]],5,0)</f>
        <v>13</v>
      </c>
      <c r="H140" s="584">
        <f>VLOOKUP(Table70[[#This Row],[NAME]],LAA_P[[NAME]:['#]],6,0)</f>
        <v>19.670000000000002</v>
      </c>
      <c r="I140" s="28">
        <f>VLOOKUP(Table70[[#This Row],[NAME]],LAA_P[[NAME]:['#]],7,0)</f>
        <v>26</v>
      </c>
      <c r="J140" s="28">
        <f>VLOOKUP(Table70[[#This Row],[NAME]],LAA_P[[NAME]:['#]],8,0)</f>
        <v>15</v>
      </c>
      <c r="K140" s="28">
        <f>VLOOKUP(Table70[[#This Row],[NAME]],LAA_P[[NAME]:['#]],9,0)</f>
        <v>13</v>
      </c>
      <c r="L140" s="28">
        <f>VLOOKUP(Table70[[#This Row],[NAME]],LAA_P[[NAME]:['#]],10,0)</f>
        <v>16</v>
      </c>
      <c r="M140" s="28">
        <f>VLOOKUP(Table70[[#This Row],[NAME]],LAA_P[[NAME]:['#]],11,0)</f>
        <v>0</v>
      </c>
      <c r="N140" s="106">
        <f>VLOOKUP(Table70[[#This Row],[NAME]],LAA_P[[NAME]:['#]],12,0)</f>
        <v>1.9827147941026944</v>
      </c>
      <c r="O140" s="77">
        <f>VLOOKUP(Table70[[#This Row],[NAME]],LAA_P[[NAME]:['#]],13,0)</f>
        <v>0</v>
      </c>
      <c r="P140" s="28">
        <f>VLOOKUP(Table70[[#This Row],[NAME]],LAA_P[[NAME]:['#]],14,0)</f>
        <v>0</v>
      </c>
      <c r="Q140" s="28">
        <f>VLOOKUP(Table70[[#This Row],[NAME]],LAA_P[[NAME]:['#]],15,0)</f>
        <v>0</v>
      </c>
      <c r="R140" s="28">
        <f>VLOOKUP(Table70[[#This Row],[NAME]],LAA_P[[NAME]:['#]],16,0)</f>
        <v>0</v>
      </c>
      <c r="S140" s="75">
        <v>138</v>
      </c>
      <c r="V140" s="101" t="s">
        <v>685</v>
      </c>
      <c r="W140" s="77" t="s">
        <v>212</v>
      </c>
      <c r="X140" s="132" t="s">
        <v>710</v>
      </c>
      <c r="Y140" s="88">
        <v>3.0763387770603874</v>
      </c>
      <c r="Z140" s="77">
        <v>0</v>
      </c>
      <c r="AA140" s="28">
        <v>1</v>
      </c>
      <c r="AB140" s="77">
        <v>12</v>
      </c>
      <c r="AC140" s="584">
        <v>26.33</v>
      </c>
      <c r="AD140" s="28">
        <v>22</v>
      </c>
      <c r="AE140" s="28">
        <v>9</v>
      </c>
      <c r="AF140" s="28">
        <v>15</v>
      </c>
      <c r="AG140" s="28">
        <v>29</v>
      </c>
      <c r="AH140" s="28">
        <v>0</v>
      </c>
      <c r="AI140" s="106">
        <v>1.4052411697683251</v>
      </c>
      <c r="AJ140" s="77">
        <v>0</v>
      </c>
      <c r="AK140" s="28">
        <v>0</v>
      </c>
      <c r="AL140" s="28">
        <v>0</v>
      </c>
      <c r="AM140" s="28">
        <v>0</v>
      </c>
      <c r="AN140" s="75">
        <v>138</v>
      </c>
      <c r="AQ140" s="101" t="s">
        <v>685</v>
      </c>
      <c r="AR140" s="77" t="s">
        <v>212</v>
      </c>
      <c r="AS140" s="77" t="s">
        <v>710</v>
      </c>
      <c r="AT140" s="135">
        <v>7.615384615384615</v>
      </c>
      <c r="AU140" s="77">
        <v>0</v>
      </c>
      <c r="AV140" s="28">
        <v>0</v>
      </c>
      <c r="AW140" s="77">
        <v>10</v>
      </c>
      <c r="AX140" s="584">
        <v>13</v>
      </c>
      <c r="AY140" s="28">
        <v>14</v>
      </c>
      <c r="AZ140" s="28">
        <v>11</v>
      </c>
      <c r="BA140" s="28">
        <v>8</v>
      </c>
      <c r="BB140" s="28">
        <v>15</v>
      </c>
      <c r="BC140" s="28">
        <v>0</v>
      </c>
      <c r="BD140" s="106">
        <v>1.6923076923076923</v>
      </c>
      <c r="BE140" s="77">
        <v>0</v>
      </c>
      <c r="BF140" s="28">
        <v>0</v>
      </c>
      <c r="BG140" s="28">
        <v>0</v>
      </c>
      <c r="BH140" s="28">
        <v>0</v>
      </c>
      <c r="BI140" s="75">
        <v>138</v>
      </c>
    </row>
    <row r="141" spans="1:61">
      <c r="A141" s="101" t="s">
        <v>685</v>
      </c>
      <c r="B141" s="71" t="s">
        <v>215</v>
      </c>
      <c r="C141" s="116" t="s">
        <v>711</v>
      </c>
      <c r="D141" s="89">
        <f>VLOOKUP(Table70[[#This Row],[NAME]],LAA_P[[NAME]:['#]],2,0)</f>
        <v>6.6315789473684212</v>
      </c>
      <c r="E141" s="77">
        <f>VLOOKUP(Table70[[#This Row],[NAME]],LAA_P[[NAME]:['#]],3,0)</f>
        <v>1</v>
      </c>
      <c r="F141" s="28">
        <f>VLOOKUP(Table70[[#This Row],[NAME]],LAA_P[[NAME]:['#]],4,0)</f>
        <v>1</v>
      </c>
      <c r="G141" s="77">
        <f>VLOOKUP(Table70[[#This Row],[NAME]],LAA_P[[NAME]:['#]],5,0)</f>
        <v>16</v>
      </c>
      <c r="H141" s="584">
        <f>VLOOKUP(Table70[[#This Row],[NAME]],LAA_P[[NAME]:['#]],6,0)</f>
        <v>19</v>
      </c>
      <c r="I141" s="28">
        <f>VLOOKUP(Table70[[#This Row],[NAME]],LAA_P[[NAME]:['#]],7,0)</f>
        <v>21</v>
      </c>
      <c r="J141" s="28">
        <f>VLOOKUP(Table70[[#This Row],[NAME]],LAA_P[[NAME]:['#]],8,0)</f>
        <v>14</v>
      </c>
      <c r="K141" s="28">
        <f>VLOOKUP(Table70[[#This Row],[NAME]],LAA_P[[NAME]:['#]],9,0)</f>
        <v>12</v>
      </c>
      <c r="L141" s="28">
        <f>VLOOKUP(Table70[[#This Row],[NAME]],LAA_P[[NAME]:['#]],10,0)</f>
        <v>13</v>
      </c>
      <c r="M141" s="28">
        <f>VLOOKUP(Table70[[#This Row],[NAME]],LAA_P[[NAME]:['#]],11,0)</f>
        <v>0</v>
      </c>
      <c r="N141" s="106">
        <f>VLOOKUP(Table70[[#This Row],[NAME]],LAA_P[[NAME]:['#]],12,0)</f>
        <v>1.736842105263158</v>
      </c>
      <c r="O141" s="77">
        <f>VLOOKUP(Table70[[#This Row],[NAME]],LAA_P[[NAME]:['#]],13,0)</f>
        <v>0</v>
      </c>
      <c r="P141" s="28">
        <f>VLOOKUP(Table70[[#This Row],[NAME]],LAA_P[[NAME]:['#]],14,0)</f>
        <v>0</v>
      </c>
      <c r="Q141" s="28">
        <f>VLOOKUP(Table70[[#This Row],[NAME]],LAA_P[[NAME]:['#]],15,0)</f>
        <v>0</v>
      </c>
      <c r="R141" s="28">
        <f>VLOOKUP(Table70[[#This Row],[NAME]],LAA_P[[NAME]:['#]],16,0)</f>
        <v>0</v>
      </c>
      <c r="S141" s="75">
        <v>139</v>
      </c>
      <c r="V141" s="101" t="s">
        <v>685</v>
      </c>
      <c r="W141" s="77" t="s">
        <v>212</v>
      </c>
      <c r="X141" s="132" t="s">
        <v>712</v>
      </c>
      <c r="Y141" s="88">
        <v>3.239352129574085</v>
      </c>
      <c r="Z141" s="77">
        <v>1</v>
      </c>
      <c r="AA141" s="28">
        <v>1</v>
      </c>
      <c r="AB141" s="77">
        <v>13</v>
      </c>
      <c r="AC141" s="584">
        <v>16.670000000000002</v>
      </c>
      <c r="AD141" s="28">
        <v>15</v>
      </c>
      <c r="AE141" s="28">
        <v>6</v>
      </c>
      <c r="AF141" s="28">
        <v>3</v>
      </c>
      <c r="AG141" s="28">
        <v>10</v>
      </c>
      <c r="AH141" s="28">
        <v>0</v>
      </c>
      <c r="AI141" s="106">
        <v>1.0797840431913617</v>
      </c>
      <c r="AJ141" s="77">
        <v>0</v>
      </c>
      <c r="AK141" s="28">
        <v>0</v>
      </c>
      <c r="AL141" s="28">
        <v>0</v>
      </c>
      <c r="AM141" s="28">
        <v>0</v>
      </c>
      <c r="AN141" s="75">
        <v>139</v>
      </c>
      <c r="AQ141" s="101" t="s">
        <v>685</v>
      </c>
      <c r="AR141" s="77" t="s">
        <v>212</v>
      </c>
      <c r="AS141" s="77" t="s">
        <v>712</v>
      </c>
      <c r="AT141" s="135">
        <v>3.8576939562794688</v>
      </c>
      <c r="AU141" s="77">
        <v>3</v>
      </c>
      <c r="AV141" s="28">
        <v>2</v>
      </c>
      <c r="AW141" s="77">
        <v>21</v>
      </c>
      <c r="AX141" s="584">
        <v>23.33</v>
      </c>
      <c r="AY141" s="28">
        <v>28</v>
      </c>
      <c r="AZ141" s="28">
        <v>10</v>
      </c>
      <c r="BA141" s="28">
        <v>2</v>
      </c>
      <c r="BB141" s="28">
        <v>18</v>
      </c>
      <c r="BC141" s="28">
        <v>0</v>
      </c>
      <c r="BD141" s="106">
        <v>1.2858979854264896</v>
      </c>
      <c r="BE141" s="77">
        <v>0</v>
      </c>
      <c r="BF141" s="28">
        <v>0</v>
      </c>
      <c r="BG141" s="28">
        <v>0</v>
      </c>
      <c r="BH141" s="28">
        <v>0</v>
      </c>
      <c r="BI141" s="75">
        <v>139</v>
      </c>
    </row>
    <row r="142" spans="1:61">
      <c r="A142" s="101" t="s">
        <v>685</v>
      </c>
      <c r="B142" s="71" t="s">
        <v>212</v>
      </c>
      <c r="C142" s="116" t="s">
        <v>713</v>
      </c>
      <c r="D142" s="89">
        <f>VLOOKUP(Table70[[#This Row],[NAME]],LAA_P[[NAME]:['#]],2,0)</f>
        <v>7.1781238131409042</v>
      </c>
      <c r="E142" s="77">
        <f>VLOOKUP(Table70[[#This Row],[NAME]],LAA_P[[NAME]:['#]],3,0)</f>
        <v>1</v>
      </c>
      <c r="F142" s="28">
        <f>VLOOKUP(Table70[[#This Row],[NAME]],LAA_P[[NAME]:['#]],4,0)</f>
        <v>3</v>
      </c>
      <c r="G142" s="77">
        <f>VLOOKUP(Table70[[#This Row],[NAME]],LAA_P[[NAME]:['#]],5,0)</f>
        <v>22</v>
      </c>
      <c r="H142" s="584">
        <f>VLOOKUP(Table70[[#This Row],[NAME]],LAA_P[[NAME]:['#]],6,0)</f>
        <v>26.33</v>
      </c>
      <c r="I142" s="28">
        <f>VLOOKUP(Table70[[#This Row],[NAME]],LAA_P[[NAME]:['#]],7,0)</f>
        <v>30</v>
      </c>
      <c r="J142" s="28">
        <f>VLOOKUP(Table70[[#This Row],[NAME]],LAA_P[[NAME]:['#]],8,0)</f>
        <v>21</v>
      </c>
      <c r="K142" s="28">
        <f>VLOOKUP(Table70[[#This Row],[NAME]],LAA_P[[NAME]:['#]],9,0)</f>
        <v>9</v>
      </c>
      <c r="L142" s="28">
        <f>VLOOKUP(Table70[[#This Row],[NAME]],LAA_P[[NAME]:['#]],10,0)</f>
        <v>20</v>
      </c>
      <c r="M142" s="28">
        <f>VLOOKUP(Table70[[#This Row],[NAME]],LAA_P[[NAME]:['#]],11,0)</f>
        <v>6</v>
      </c>
      <c r="N142" s="106">
        <f>VLOOKUP(Table70[[#This Row],[NAME]],LAA_P[[NAME]:['#]],12,0)</f>
        <v>1.4812001519179645</v>
      </c>
      <c r="O142" s="77">
        <f>VLOOKUP(Table70[[#This Row],[NAME]],LAA_P[[NAME]:['#]],13,0)</f>
        <v>0</v>
      </c>
      <c r="P142" s="28">
        <f>VLOOKUP(Table70[[#This Row],[NAME]],LAA_P[[NAME]:['#]],14,0)</f>
        <v>0</v>
      </c>
      <c r="Q142" s="28">
        <f>VLOOKUP(Table70[[#This Row],[NAME]],LAA_P[[NAME]:['#]],15,0)</f>
        <v>0</v>
      </c>
      <c r="R142" s="28">
        <f>VLOOKUP(Table70[[#This Row],[NAME]],LAA_P[[NAME]:['#]],16,0)</f>
        <v>0</v>
      </c>
      <c r="S142" s="75">
        <v>140</v>
      </c>
      <c r="V142" s="101" t="s">
        <v>685</v>
      </c>
      <c r="W142" s="77" t="s">
        <v>212</v>
      </c>
      <c r="X142" s="132" t="s">
        <v>713</v>
      </c>
      <c r="Y142" s="88">
        <v>5.0618672665916753</v>
      </c>
      <c r="Z142" s="77">
        <v>2</v>
      </c>
      <c r="AA142" s="28">
        <v>2</v>
      </c>
      <c r="AB142" s="77">
        <v>20</v>
      </c>
      <c r="AC142" s="584">
        <v>26.67</v>
      </c>
      <c r="AD142" s="28">
        <v>33</v>
      </c>
      <c r="AE142" s="28">
        <v>15</v>
      </c>
      <c r="AF142" s="28">
        <v>7</v>
      </c>
      <c r="AG142" s="28">
        <v>23</v>
      </c>
      <c r="AH142" s="28">
        <v>6</v>
      </c>
      <c r="AI142" s="106">
        <v>1.4998125234345705</v>
      </c>
      <c r="AJ142" s="77">
        <v>0</v>
      </c>
      <c r="AK142" s="28">
        <v>0</v>
      </c>
      <c r="AL142" s="28">
        <v>0</v>
      </c>
      <c r="AM142" s="28">
        <v>0</v>
      </c>
      <c r="AN142" s="75">
        <v>140</v>
      </c>
      <c r="AQ142" s="101" t="s">
        <v>685</v>
      </c>
      <c r="AR142" s="77" t="s">
        <v>212</v>
      </c>
      <c r="AS142" s="77" t="s">
        <v>713</v>
      </c>
      <c r="AT142" s="135">
        <v>2.4549918166939446</v>
      </c>
      <c r="AU142" s="77">
        <v>0</v>
      </c>
      <c r="AV142" s="28">
        <v>0</v>
      </c>
      <c r="AW142" s="77">
        <v>19</v>
      </c>
      <c r="AX142" s="584">
        <v>18.329999999999998</v>
      </c>
      <c r="AY142" s="28">
        <v>20</v>
      </c>
      <c r="AZ142" s="28">
        <v>5</v>
      </c>
      <c r="BA142" s="28">
        <v>6</v>
      </c>
      <c r="BB142" s="28">
        <v>20</v>
      </c>
      <c r="BC142" s="28">
        <v>7</v>
      </c>
      <c r="BD142" s="106">
        <v>1.4184397163120568</v>
      </c>
      <c r="BE142" s="77">
        <v>0</v>
      </c>
      <c r="BF142" s="28">
        <v>0</v>
      </c>
      <c r="BG142" s="28">
        <v>0</v>
      </c>
      <c r="BH142" s="28">
        <v>0</v>
      </c>
      <c r="BI142" s="75">
        <v>140</v>
      </c>
    </row>
    <row r="143" spans="1:61">
      <c r="A143" s="101" t="s">
        <v>717</v>
      </c>
      <c r="B143" s="71" t="s">
        <v>206</v>
      </c>
      <c r="C143" s="116" t="s">
        <v>742</v>
      </c>
      <c r="D143" s="89">
        <f>VLOOKUP(Table70[[#This Row],[NAME]],OAK_P[[NAME]:['#]],2,0)</f>
        <v>4.937424995714041</v>
      </c>
      <c r="E143" s="77">
        <f>VLOOKUP(Table70[[#This Row],[NAME]],OAK_P[[NAME]:['#]],3,0)</f>
        <v>6</v>
      </c>
      <c r="F143" s="28">
        <f>VLOOKUP(Table70[[#This Row],[NAME]],OAK_P[[NAME]:['#]],4,0)</f>
        <v>4</v>
      </c>
      <c r="G143" s="77">
        <f>VLOOKUP(Table70[[#This Row],[NAME]],OAK_P[[NAME]:['#]],5,0)</f>
        <v>10</v>
      </c>
      <c r="H143" s="584">
        <f>VLOOKUP(Table70[[#This Row],[NAME]],OAK_P[[NAME]:['#]],6,0)</f>
        <v>58.33</v>
      </c>
      <c r="I143" s="28">
        <f>VLOOKUP(Table70[[#This Row],[NAME]],OAK_P[[NAME]:['#]],7,0)</f>
        <v>62</v>
      </c>
      <c r="J143" s="28">
        <f>VLOOKUP(Table70[[#This Row],[NAME]],OAK_P[[NAME]:['#]],8,0)</f>
        <v>32</v>
      </c>
      <c r="K143" s="28">
        <f>VLOOKUP(Table70[[#This Row],[NAME]],OAK_P[[NAME]:['#]],9,0)</f>
        <v>36</v>
      </c>
      <c r="L143" s="28">
        <f>VLOOKUP(Table70[[#This Row],[NAME]],OAK_P[[NAME]:['#]],10,0)</f>
        <v>69</v>
      </c>
      <c r="M143" s="28">
        <f>VLOOKUP(Table70[[#This Row],[NAME]],OAK_P[[NAME]:['#]],11,0)</f>
        <v>0</v>
      </c>
      <c r="N143" s="106">
        <f>VLOOKUP(Table70[[#This Row],[NAME]],OAK_P[[NAME]:['#]],12,0)</f>
        <v>1.6800960054860279</v>
      </c>
      <c r="O143" s="77">
        <f>VLOOKUP(Table70[[#This Row],[NAME]],OAK_P[[NAME]:['#]],13,0)</f>
        <v>3</v>
      </c>
      <c r="P143" s="28">
        <f>VLOOKUP(Table70[[#This Row],[NAME]],OAK_P[[NAME]:['#]],14,0)</f>
        <v>2</v>
      </c>
      <c r="Q143" s="28">
        <f>VLOOKUP(Table70[[#This Row],[NAME]],OAK_P[[NAME]:['#]],15,0)</f>
        <v>0</v>
      </c>
      <c r="R143" s="28">
        <f>VLOOKUP(Table70[[#This Row],[NAME]],OAK_P[[NAME]:['#]],16,0)</f>
        <v>0</v>
      </c>
      <c r="S143" s="75">
        <v>141</v>
      </c>
      <c r="V143" s="101" t="s">
        <v>717</v>
      </c>
      <c r="W143" s="77" t="s">
        <v>206</v>
      </c>
      <c r="X143" s="77" t="s">
        <v>743</v>
      </c>
      <c r="Y143" s="88">
        <v>5.5806938159879333</v>
      </c>
      <c r="Z143" s="77">
        <v>1</v>
      </c>
      <c r="AA143" s="28">
        <v>5</v>
      </c>
      <c r="AB143" s="77">
        <v>10</v>
      </c>
      <c r="AC143" s="584">
        <v>59.67</v>
      </c>
      <c r="AD143" s="28">
        <v>69</v>
      </c>
      <c r="AE143" s="28">
        <v>37</v>
      </c>
      <c r="AF143" s="28">
        <v>27</v>
      </c>
      <c r="AG143" s="28">
        <v>59</v>
      </c>
      <c r="AH143" s="28">
        <v>0</v>
      </c>
      <c r="AI143" s="106">
        <v>1.6088486676721971</v>
      </c>
      <c r="AJ143" s="77">
        <v>3</v>
      </c>
      <c r="AK143" s="28">
        <v>3</v>
      </c>
      <c r="AL143" s="28">
        <v>0</v>
      </c>
      <c r="AM143" s="28">
        <v>0</v>
      </c>
      <c r="AN143" s="75">
        <v>141</v>
      </c>
      <c r="AQ143" s="101" t="s">
        <v>717</v>
      </c>
      <c r="AR143" s="77" t="s">
        <v>206</v>
      </c>
      <c r="AS143" s="77" t="s">
        <v>743</v>
      </c>
      <c r="AT143" s="135">
        <v>4.6132971506105838</v>
      </c>
      <c r="AU143" s="77">
        <v>4</v>
      </c>
      <c r="AV143" s="28">
        <v>4</v>
      </c>
      <c r="AW143" s="77">
        <v>10</v>
      </c>
      <c r="AX143" s="584">
        <v>66.33</v>
      </c>
      <c r="AY143" s="28">
        <v>64</v>
      </c>
      <c r="AZ143" s="28">
        <v>34</v>
      </c>
      <c r="BA143" s="28">
        <v>25</v>
      </c>
      <c r="BB143" s="28">
        <v>65</v>
      </c>
      <c r="BC143" s="28">
        <v>0</v>
      </c>
      <c r="BD143" s="106">
        <v>1.3417759686416404</v>
      </c>
      <c r="BE143" s="77">
        <v>6</v>
      </c>
      <c r="BF143" s="28">
        <v>4</v>
      </c>
      <c r="BG143" s="28">
        <v>1</v>
      </c>
      <c r="BH143" s="28">
        <v>1</v>
      </c>
      <c r="BI143" s="75">
        <v>141</v>
      </c>
    </row>
    <row r="144" spans="1:61">
      <c r="A144" s="101" t="s">
        <v>717</v>
      </c>
      <c r="B144" s="71" t="s">
        <v>206</v>
      </c>
      <c r="C144" s="116" t="s">
        <v>744</v>
      </c>
      <c r="D144" s="89">
        <f>VLOOKUP(Table70[[#This Row],[NAME]],OAK_P[[NAME]:['#]],2,0)</f>
        <v>7.1897745428723594</v>
      </c>
      <c r="E144" s="77">
        <f>VLOOKUP(Table70[[#This Row],[NAME]],OAK_P[[NAME]:['#]],3,0)</f>
        <v>1</v>
      </c>
      <c r="F144" s="28">
        <f>VLOOKUP(Table70[[#This Row],[NAME]],OAK_P[[NAME]:['#]],4,0)</f>
        <v>6</v>
      </c>
      <c r="G144" s="77">
        <f>VLOOKUP(Table70[[#This Row],[NAME]],OAK_P[[NAME]:['#]],5,0)</f>
        <v>10</v>
      </c>
      <c r="H144" s="584">
        <f>VLOOKUP(Table70[[#This Row],[NAME]],OAK_P[[NAME]:['#]],6,0)</f>
        <v>56.33</v>
      </c>
      <c r="I144" s="28">
        <f>VLOOKUP(Table70[[#This Row],[NAME]],OAK_P[[NAME]:['#]],7,0)</f>
        <v>71</v>
      </c>
      <c r="J144" s="28">
        <f>VLOOKUP(Table70[[#This Row],[NAME]],OAK_P[[NAME]:['#]],8,0)</f>
        <v>45</v>
      </c>
      <c r="K144" s="28">
        <f>VLOOKUP(Table70[[#This Row],[NAME]],OAK_P[[NAME]:['#]],9,0)</f>
        <v>16</v>
      </c>
      <c r="L144" s="28">
        <f>VLOOKUP(Table70[[#This Row],[NAME]],OAK_P[[NAME]:['#]],10,0)</f>
        <v>58</v>
      </c>
      <c r="M144" s="28">
        <f>VLOOKUP(Table70[[#This Row],[NAME]],OAK_P[[NAME]:['#]],11,0)</f>
        <v>0</v>
      </c>
      <c r="N144" s="106">
        <f>VLOOKUP(Table70[[#This Row],[NAME]],OAK_P[[NAME]:['#]],12,0)</f>
        <v>1.5444700869873957</v>
      </c>
      <c r="O144" s="77">
        <f>VLOOKUP(Table70[[#This Row],[NAME]],OAK_P[[NAME]:['#]],13,0)</f>
        <v>2</v>
      </c>
      <c r="P144" s="28">
        <f>VLOOKUP(Table70[[#This Row],[NAME]],OAK_P[[NAME]:['#]],14,0)</f>
        <v>0</v>
      </c>
      <c r="Q144" s="28">
        <f>VLOOKUP(Table70[[#This Row],[NAME]],OAK_P[[NAME]:['#]],15,0)</f>
        <v>0</v>
      </c>
      <c r="R144" s="28">
        <f>VLOOKUP(Table70[[#This Row],[NAME]],OAK_P[[NAME]:['#]],16,0)</f>
        <v>0</v>
      </c>
      <c r="S144" s="75">
        <v>142</v>
      </c>
      <c r="V144" s="101" t="s">
        <v>717</v>
      </c>
      <c r="W144" s="77" t="s">
        <v>206</v>
      </c>
      <c r="X144" s="77" t="s">
        <v>745</v>
      </c>
      <c r="Y144" s="88">
        <v>6.0753797112319523</v>
      </c>
      <c r="Z144" s="77">
        <v>3</v>
      </c>
      <c r="AA144" s="28">
        <v>5</v>
      </c>
      <c r="AB144" s="77">
        <v>10</v>
      </c>
      <c r="AC144" s="584">
        <v>53.33</v>
      </c>
      <c r="AD144" s="28">
        <v>67</v>
      </c>
      <c r="AE144" s="28">
        <v>36</v>
      </c>
      <c r="AF144" s="28">
        <v>20</v>
      </c>
      <c r="AG144" s="28">
        <v>57</v>
      </c>
      <c r="AH144" s="28">
        <v>0</v>
      </c>
      <c r="AI144" s="106">
        <v>1.6313519594974686</v>
      </c>
      <c r="AJ144" s="77">
        <v>4</v>
      </c>
      <c r="AK144" s="28">
        <v>1</v>
      </c>
      <c r="AL144" s="28">
        <v>1</v>
      </c>
      <c r="AM144" s="28">
        <v>1</v>
      </c>
      <c r="AN144" s="75">
        <v>142</v>
      </c>
      <c r="AQ144" s="101" t="s">
        <v>717</v>
      </c>
      <c r="AR144" s="77" t="s">
        <v>206</v>
      </c>
      <c r="AS144" s="77" t="s">
        <v>745</v>
      </c>
      <c r="AT144" s="135">
        <v>4.3197840107994603</v>
      </c>
      <c r="AU144" s="77">
        <v>5</v>
      </c>
      <c r="AV144" s="28">
        <v>4</v>
      </c>
      <c r="AW144" s="77">
        <v>10</v>
      </c>
      <c r="AX144" s="584">
        <v>66.67</v>
      </c>
      <c r="AY144" s="28">
        <v>68</v>
      </c>
      <c r="AZ144" s="28">
        <v>32</v>
      </c>
      <c r="BA144" s="28">
        <v>20</v>
      </c>
      <c r="BB144" s="28">
        <v>73</v>
      </c>
      <c r="BC144" s="28">
        <v>0</v>
      </c>
      <c r="BD144" s="106">
        <v>1.319934003299835</v>
      </c>
      <c r="BE144" s="77">
        <v>6</v>
      </c>
      <c r="BF144" s="28">
        <v>2</v>
      </c>
      <c r="BG144" s="28">
        <v>1</v>
      </c>
      <c r="BH144" s="28">
        <v>1</v>
      </c>
      <c r="BI144" s="75">
        <v>142</v>
      </c>
    </row>
    <row r="145" spans="1:61">
      <c r="A145" s="101" t="s">
        <v>717</v>
      </c>
      <c r="B145" s="71" t="s">
        <v>365</v>
      </c>
      <c r="C145" s="71" t="s">
        <v>746</v>
      </c>
      <c r="D145" s="89">
        <f>VLOOKUP(Table70[[#This Row],[NAME]],OAK_P[[NAME]:['#]],2,0)</f>
        <v>4.365008083348302</v>
      </c>
      <c r="E145" s="77">
        <f>VLOOKUP(Table70[[#This Row],[NAME]],OAK_P[[NAME]:['#]],3,0)</f>
        <v>2</v>
      </c>
      <c r="F145" s="28">
        <f>VLOOKUP(Table70[[#This Row],[NAME]],OAK_P[[NAME]:['#]],4,0)</f>
        <v>3</v>
      </c>
      <c r="G145" s="77">
        <f>VLOOKUP(Table70[[#This Row],[NAME]],OAK_P[[NAME]:['#]],5,0)</f>
        <v>10</v>
      </c>
      <c r="H145" s="584">
        <f>VLOOKUP(Table70[[#This Row],[NAME]],OAK_P[[NAME]:['#]],6,0)</f>
        <v>55.67</v>
      </c>
      <c r="I145" s="28">
        <f>VLOOKUP(Table70[[#This Row],[NAME]],OAK_P[[NAME]:['#]],7,0)</f>
        <v>55</v>
      </c>
      <c r="J145" s="28">
        <f>VLOOKUP(Table70[[#This Row],[NAME]],OAK_P[[NAME]:['#]],8,0)</f>
        <v>27</v>
      </c>
      <c r="K145" s="28">
        <f>VLOOKUP(Table70[[#This Row],[NAME]],OAK_P[[NAME]:['#]],9,0)</f>
        <v>14</v>
      </c>
      <c r="L145" s="28">
        <f>VLOOKUP(Table70[[#This Row],[NAME]],OAK_P[[NAME]:['#]],10,0)</f>
        <v>43</v>
      </c>
      <c r="M145" s="28">
        <f>VLOOKUP(Table70[[#This Row],[NAME]],OAK_P[[NAME]:['#]],11,0)</f>
        <v>0</v>
      </c>
      <c r="N145" s="106">
        <f>VLOOKUP(Table70[[#This Row],[NAME]],OAK_P[[NAME]:['#]],12,0)</f>
        <v>1.2394467397161846</v>
      </c>
      <c r="O145" s="77">
        <f>VLOOKUP(Table70[[#This Row],[NAME]],OAK_P[[NAME]:['#]],13,0)</f>
        <v>4</v>
      </c>
      <c r="P145" s="28">
        <f>VLOOKUP(Table70[[#This Row],[NAME]],OAK_P[[NAME]:['#]],14,0)</f>
        <v>3</v>
      </c>
      <c r="Q145" s="28">
        <f>VLOOKUP(Table70[[#This Row],[NAME]],OAK_P[[NAME]:['#]],15,0)</f>
        <v>0</v>
      </c>
      <c r="R145" s="28">
        <f>VLOOKUP(Table70[[#This Row],[NAME]],OAK_P[[NAME]:['#]],16,0)</f>
        <v>0</v>
      </c>
      <c r="S145" s="75">
        <v>143</v>
      </c>
      <c r="V145" s="101" t="s">
        <v>717</v>
      </c>
      <c r="W145" s="77" t="s">
        <v>365</v>
      </c>
      <c r="X145" s="132" t="s">
        <v>747</v>
      </c>
      <c r="Y145" s="88">
        <v>3.2772672099878619</v>
      </c>
      <c r="Z145" s="77">
        <v>3</v>
      </c>
      <c r="AA145" s="28">
        <v>5</v>
      </c>
      <c r="AB145" s="77">
        <v>10</v>
      </c>
      <c r="AC145" s="584">
        <v>57.67</v>
      </c>
      <c r="AD145" s="28">
        <v>48</v>
      </c>
      <c r="AE145" s="28">
        <v>21</v>
      </c>
      <c r="AF145" s="28">
        <v>35</v>
      </c>
      <c r="AG145" s="28">
        <v>47</v>
      </c>
      <c r="AH145" s="28">
        <v>0</v>
      </c>
      <c r="AI145" s="106">
        <v>1.4392231662909658</v>
      </c>
      <c r="AJ145" s="77">
        <v>6</v>
      </c>
      <c r="AK145" s="28">
        <v>4</v>
      </c>
      <c r="AL145" s="28">
        <v>0</v>
      </c>
      <c r="AM145" s="28">
        <v>0</v>
      </c>
      <c r="AN145" s="75">
        <v>143</v>
      </c>
      <c r="AQ145" s="101" t="s">
        <v>717</v>
      </c>
      <c r="AR145" s="77" t="s">
        <v>206</v>
      </c>
      <c r="AS145" s="77" t="s">
        <v>748</v>
      </c>
      <c r="AT145" s="135">
        <v>4.2406156745720116</v>
      </c>
      <c r="AU145" s="77">
        <v>4</v>
      </c>
      <c r="AV145" s="28">
        <v>2</v>
      </c>
      <c r="AW145" s="77">
        <v>10</v>
      </c>
      <c r="AX145" s="584">
        <v>63.67</v>
      </c>
      <c r="AY145" s="28">
        <v>71</v>
      </c>
      <c r="AZ145" s="28">
        <v>30</v>
      </c>
      <c r="BA145" s="28">
        <v>19</v>
      </c>
      <c r="BB145" s="28">
        <v>50</v>
      </c>
      <c r="BC145" s="28">
        <v>0</v>
      </c>
      <c r="BD145" s="106">
        <v>1.4135385581906705</v>
      </c>
      <c r="BE145" s="352">
        <v>9</v>
      </c>
      <c r="BF145" s="28">
        <v>2</v>
      </c>
      <c r="BG145" s="28">
        <v>0</v>
      </c>
      <c r="BH145" s="28">
        <v>0</v>
      </c>
      <c r="BI145" s="75">
        <v>143</v>
      </c>
    </row>
    <row r="146" spans="1:61">
      <c r="A146" s="101" t="s">
        <v>717</v>
      </c>
      <c r="B146" s="71" t="s">
        <v>206</v>
      </c>
      <c r="C146" s="116" t="s">
        <v>749</v>
      </c>
      <c r="D146" s="89">
        <f>VLOOKUP(Table70[[#This Row],[NAME]],OAK_P[[NAME]:['#]],2,0)</f>
        <v>8.3239341303857444</v>
      </c>
      <c r="E146" s="77">
        <f>VLOOKUP(Table70[[#This Row],[NAME]],OAK_P[[NAME]:['#]],3,0)</f>
        <v>2</v>
      </c>
      <c r="F146" s="28">
        <f>VLOOKUP(Table70[[#This Row],[NAME]],OAK_P[[NAME]:['#]],4,0)</f>
        <v>6</v>
      </c>
      <c r="G146" s="77">
        <f>VLOOKUP(Table70[[#This Row],[NAME]],OAK_P[[NAME]:['#]],5,0)</f>
        <v>10</v>
      </c>
      <c r="H146" s="584">
        <f>VLOOKUP(Table70[[#This Row],[NAME]],OAK_P[[NAME]:['#]],6,0)</f>
        <v>44.33</v>
      </c>
      <c r="I146" s="28">
        <f>VLOOKUP(Table70[[#This Row],[NAME]],OAK_P[[NAME]:['#]],7,0)</f>
        <v>61</v>
      </c>
      <c r="J146" s="28">
        <f>VLOOKUP(Table70[[#This Row],[NAME]],OAK_P[[NAME]:['#]],8,0)</f>
        <v>41</v>
      </c>
      <c r="K146" s="28">
        <f>VLOOKUP(Table70[[#This Row],[NAME]],OAK_P[[NAME]:['#]],9,0)</f>
        <v>28</v>
      </c>
      <c r="L146" s="28">
        <f>VLOOKUP(Table70[[#This Row],[NAME]],OAK_P[[NAME]:['#]],10,0)</f>
        <v>40</v>
      </c>
      <c r="M146" s="28">
        <f>VLOOKUP(Table70[[#This Row],[NAME]],OAK_P[[NAME]:['#]],11,0)</f>
        <v>0</v>
      </c>
      <c r="N146" s="106">
        <f>VLOOKUP(Table70[[#This Row],[NAME]],OAK_P[[NAME]:['#]],12,0)</f>
        <v>2.0076697496052334</v>
      </c>
      <c r="O146" s="77">
        <f>VLOOKUP(Table70[[#This Row],[NAME]],OAK_P[[NAME]:['#]],13,0)</f>
        <v>1</v>
      </c>
      <c r="P146" s="28">
        <f>VLOOKUP(Table70[[#This Row],[NAME]],OAK_P[[NAME]:['#]],14,0)</f>
        <v>0</v>
      </c>
      <c r="Q146" s="28">
        <f>VLOOKUP(Table70[[#This Row],[NAME]],OAK_P[[NAME]:['#]],15,0)</f>
        <v>0</v>
      </c>
      <c r="R146" s="28">
        <f>VLOOKUP(Table70[[#This Row],[NAME]],OAK_P[[NAME]:['#]],16,0)</f>
        <v>0</v>
      </c>
      <c r="S146" s="75">
        <v>144</v>
      </c>
      <c r="V146" s="101" t="s">
        <v>717</v>
      </c>
      <c r="W146" s="77" t="s">
        <v>365</v>
      </c>
      <c r="X146" s="132" t="s">
        <v>742</v>
      </c>
      <c r="Y146" s="88">
        <v>5.1206896551724137</v>
      </c>
      <c r="Z146" s="77">
        <v>3</v>
      </c>
      <c r="AA146" s="28">
        <v>4</v>
      </c>
      <c r="AB146" s="77">
        <v>10</v>
      </c>
      <c r="AC146" s="584">
        <v>58</v>
      </c>
      <c r="AD146" s="28">
        <v>50</v>
      </c>
      <c r="AE146" s="28">
        <v>33</v>
      </c>
      <c r="AF146" s="76">
        <v>37</v>
      </c>
      <c r="AG146" s="28">
        <v>60</v>
      </c>
      <c r="AH146" s="28">
        <v>0</v>
      </c>
      <c r="AI146" s="106">
        <v>1.5</v>
      </c>
      <c r="AJ146" s="77">
        <v>3</v>
      </c>
      <c r="AK146" s="28">
        <v>2</v>
      </c>
      <c r="AL146" s="28">
        <v>0</v>
      </c>
      <c r="AM146" s="28">
        <v>0</v>
      </c>
      <c r="AN146" s="75">
        <v>144</v>
      </c>
      <c r="AQ146" s="101" t="s">
        <v>717</v>
      </c>
      <c r="AR146" s="77" t="s">
        <v>206</v>
      </c>
      <c r="AS146" s="77" t="s">
        <v>330</v>
      </c>
      <c r="AT146" s="135">
        <v>6.5454545454545459</v>
      </c>
      <c r="AU146" s="77">
        <v>2</v>
      </c>
      <c r="AV146" s="28">
        <v>6</v>
      </c>
      <c r="AW146" s="77">
        <v>9</v>
      </c>
      <c r="AX146" s="584">
        <v>55</v>
      </c>
      <c r="AY146" s="28">
        <v>68</v>
      </c>
      <c r="AZ146" s="28">
        <v>40</v>
      </c>
      <c r="BA146" s="28">
        <v>11</v>
      </c>
      <c r="BB146" s="28">
        <v>27</v>
      </c>
      <c r="BC146" s="28">
        <v>0</v>
      </c>
      <c r="BD146" s="106">
        <v>1.4363636363636363</v>
      </c>
      <c r="BE146" s="77">
        <v>4</v>
      </c>
      <c r="BF146" s="28">
        <v>0</v>
      </c>
      <c r="BG146" s="28">
        <v>0</v>
      </c>
      <c r="BH146" s="28">
        <v>0</v>
      </c>
      <c r="BI146" s="75">
        <v>144</v>
      </c>
    </row>
    <row r="147" spans="1:61">
      <c r="A147" s="101" t="s">
        <v>717</v>
      </c>
      <c r="B147" s="71" t="s">
        <v>215</v>
      </c>
      <c r="C147" s="71" t="s">
        <v>750</v>
      </c>
      <c r="D147" s="89">
        <f>VLOOKUP(Table70[[#This Row],[NAME]],OAK_P[[NAME]:['#]],2,0)</f>
        <v>2.0454545454545454</v>
      </c>
      <c r="E147" s="77">
        <f>VLOOKUP(Table70[[#This Row],[NAME]],OAK_P[[NAME]:['#]],3,0)</f>
        <v>0</v>
      </c>
      <c r="F147" s="28">
        <f>VLOOKUP(Table70[[#This Row],[NAME]],OAK_P[[NAME]:['#]],4,0)</f>
        <v>0</v>
      </c>
      <c r="G147" s="77">
        <f>VLOOKUP(Table70[[#This Row],[NAME]],OAK_P[[NAME]:['#]],5,0)</f>
        <v>9</v>
      </c>
      <c r="H147" s="584">
        <f>VLOOKUP(Table70[[#This Row],[NAME]],OAK_P[[NAME]:['#]],6,0)</f>
        <v>22</v>
      </c>
      <c r="I147" s="28">
        <f>VLOOKUP(Table70[[#This Row],[NAME]],OAK_P[[NAME]:['#]],7,0)</f>
        <v>16</v>
      </c>
      <c r="J147" s="28">
        <f>VLOOKUP(Table70[[#This Row],[NAME]],OAK_P[[NAME]:['#]],8,0)</f>
        <v>5</v>
      </c>
      <c r="K147" s="28">
        <f>VLOOKUP(Table70[[#This Row],[NAME]],OAK_P[[NAME]:['#]],9,0)</f>
        <v>7</v>
      </c>
      <c r="L147" s="28">
        <f>VLOOKUP(Table70[[#This Row],[NAME]],OAK_P[[NAME]:['#]],10,0)</f>
        <v>20</v>
      </c>
      <c r="M147" s="28">
        <f>VLOOKUP(Table70[[#This Row],[NAME]],OAK_P[[NAME]:['#]],11,0)</f>
        <v>1</v>
      </c>
      <c r="N147" s="106">
        <f>VLOOKUP(Table70[[#This Row],[NAME]],OAK_P[[NAME]:['#]],12,0)</f>
        <v>1.0454545454545454</v>
      </c>
      <c r="O147" s="77">
        <f>VLOOKUP(Table70[[#This Row],[NAME]],OAK_P[[NAME]:['#]],13,0)</f>
        <v>0</v>
      </c>
      <c r="P147" s="28">
        <f>VLOOKUP(Table70[[#This Row],[NAME]],OAK_P[[NAME]:['#]],14,0)</f>
        <v>0</v>
      </c>
      <c r="Q147" s="28">
        <f>VLOOKUP(Table70[[#This Row],[NAME]],OAK_P[[NAME]:['#]],15,0)</f>
        <v>0</v>
      </c>
      <c r="R147" s="28">
        <f>VLOOKUP(Table70[[#This Row],[NAME]],OAK_P[[NAME]:['#]],16,0)</f>
        <v>0</v>
      </c>
      <c r="S147" s="75">
        <v>145</v>
      </c>
      <c r="V147" s="101" t="s">
        <v>717</v>
      </c>
      <c r="W147" s="77" t="s">
        <v>212</v>
      </c>
      <c r="X147" s="132" t="s">
        <v>744</v>
      </c>
      <c r="Y147" s="88">
        <v>3.8211151995471271</v>
      </c>
      <c r="Z147" s="77">
        <v>1</v>
      </c>
      <c r="AA147" s="28">
        <v>2</v>
      </c>
      <c r="AB147" s="77">
        <v>11</v>
      </c>
      <c r="AC147" s="584">
        <v>35.33</v>
      </c>
      <c r="AD147" s="28">
        <v>28</v>
      </c>
      <c r="AE147" s="28">
        <v>15</v>
      </c>
      <c r="AF147" s="28">
        <v>18</v>
      </c>
      <c r="AG147" s="28">
        <v>35</v>
      </c>
      <c r="AH147" s="28">
        <v>0</v>
      </c>
      <c r="AI147" s="106">
        <v>1.3020096235493914</v>
      </c>
      <c r="AJ147" s="77">
        <v>0</v>
      </c>
      <c r="AK147" s="28">
        <v>0</v>
      </c>
      <c r="AL147" s="28">
        <v>0</v>
      </c>
      <c r="AM147" s="28">
        <v>0</v>
      </c>
      <c r="AN147" s="75">
        <v>145</v>
      </c>
      <c r="AQ147" s="101" t="s">
        <v>717</v>
      </c>
      <c r="AR147" s="77" t="s">
        <v>212</v>
      </c>
      <c r="AS147" s="77" t="s">
        <v>744</v>
      </c>
      <c r="AT147" s="135">
        <v>7.7899596076168498</v>
      </c>
      <c r="AU147" s="77">
        <v>0</v>
      </c>
      <c r="AV147" s="28">
        <v>1</v>
      </c>
      <c r="AW147" s="77">
        <v>8</v>
      </c>
      <c r="AX147" s="584">
        <v>17.329999999999998</v>
      </c>
      <c r="AY147" s="28">
        <v>20</v>
      </c>
      <c r="AZ147" s="28">
        <v>15</v>
      </c>
      <c r="BA147" s="28">
        <v>6</v>
      </c>
      <c r="BB147" s="28">
        <v>10</v>
      </c>
      <c r="BC147" s="28">
        <v>0</v>
      </c>
      <c r="BD147" s="106">
        <v>1.5002885170225044</v>
      </c>
      <c r="BE147" s="77">
        <v>0</v>
      </c>
      <c r="BF147" s="28">
        <v>0</v>
      </c>
      <c r="BG147" s="28">
        <v>0</v>
      </c>
      <c r="BH147" s="28">
        <v>0</v>
      </c>
      <c r="BI147" s="75">
        <v>145</v>
      </c>
    </row>
    <row r="148" spans="1:61">
      <c r="A148" s="101" t="s">
        <v>717</v>
      </c>
      <c r="B148" s="71" t="s">
        <v>215</v>
      </c>
      <c r="C148" s="87" t="s">
        <v>751</v>
      </c>
      <c r="D148" s="89">
        <f>VLOOKUP(Table70[[#This Row],[NAME]],OAK_P[[NAME]:['#]],2,0)</f>
        <v>10.8</v>
      </c>
      <c r="E148" s="77">
        <f>VLOOKUP(Table70[[#This Row],[NAME]],OAK_P[[NAME]:['#]],3,0)</f>
        <v>1</v>
      </c>
      <c r="F148" s="28">
        <f>VLOOKUP(Table70[[#This Row],[NAME]],OAK_P[[NAME]:['#]],4,0)</f>
        <v>0</v>
      </c>
      <c r="G148" s="77">
        <f>VLOOKUP(Table70[[#This Row],[NAME]],OAK_P[[NAME]:['#]],5,0)</f>
        <v>4</v>
      </c>
      <c r="H148" s="584">
        <f>VLOOKUP(Table70[[#This Row],[NAME]],OAK_P[[NAME]:['#]],6,0)</f>
        <v>10</v>
      </c>
      <c r="I148" s="28">
        <f>VLOOKUP(Table70[[#This Row],[NAME]],OAK_P[[NAME]:['#]],7,0)</f>
        <v>15</v>
      </c>
      <c r="J148" s="28">
        <f>VLOOKUP(Table70[[#This Row],[NAME]],OAK_P[[NAME]:['#]],8,0)</f>
        <v>12</v>
      </c>
      <c r="K148" s="28">
        <f>VLOOKUP(Table70[[#This Row],[NAME]],OAK_P[[NAME]:['#]],9,0)</f>
        <v>9</v>
      </c>
      <c r="L148" s="28">
        <f>VLOOKUP(Table70[[#This Row],[NAME]],OAK_P[[NAME]:['#]],10,0)</f>
        <v>9</v>
      </c>
      <c r="M148" s="28">
        <f>VLOOKUP(Table70[[#This Row],[NAME]],OAK_P[[NAME]:['#]],11,0)</f>
        <v>0</v>
      </c>
      <c r="N148" s="106">
        <f>VLOOKUP(Table70[[#This Row],[NAME]],OAK_P[[NAME]:['#]],12,0)</f>
        <v>2.4</v>
      </c>
      <c r="O148" s="77">
        <f>VLOOKUP(Table70[[#This Row],[NAME]],OAK_P[[NAME]:['#]],13,0)</f>
        <v>0</v>
      </c>
      <c r="P148" s="28">
        <f>VLOOKUP(Table70[[#This Row],[NAME]],OAK_P[[NAME]:['#]],14,0)</f>
        <v>0</v>
      </c>
      <c r="Q148" s="28">
        <f>VLOOKUP(Table70[[#This Row],[NAME]],OAK_P[[NAME]:['#]],15,0)</f>
        <v>0</v>
      </c>
      <c r="R148" s="28">
        <f>VLOOKUP(Table70[[#This Row],[NAME]],OAK_P[[NAME]:['#]],16,0)</f>
        <v>0</v>
      </c>
      <c r="S148" s="75">
        <v>146</v>
      </c>
      <c r="V148" s="101" t="s">
        <v>717</v>
      </c>
      <c r="W148" s="77" t="s">
        <v>212</v>
      </c>
      <c r="X148" s="132" t="s">
        <v>752</v>
      </c>
      <c r="Y148" s="88">
        <v>4.5</v>
      </c>
      <c r="Z148" s="77">
        <v>0</v>
      </c>
      <c r="AA148" s="28">
        <v>0</v>
      </c>
      <c r="AB148" s="77">
        <v>1</v>
      </c>
      <c r="AC148" s="584">
        <v>2</v>
      </c>
      <c r="AD148" s="28">
        <v>2</v>
      </c>
      <c r="AE148" s="28">
        <v>1</v>
      </c>
      <c r="AF148" s="28">
        <v>1</v>
      </c>
      <c r="AG148" s="28">
        <v>0</v>
      </c>
      <c r="AH148" s="28">
        <v>0</v>
      </c>
      <c r="AI148" s="106">
        <v>1.5</v>
      </c>
      <c r="AJ148" s="77">
        <v>0</v>
      </c>
      <c r="AK148" s="28">
        <v>0</v>
      </c>
      <c r="AL148" s="28">
        <v>0</v>
      </c>
      <c r="AM148" s="28">
        <v>0</v>
      </c>
      <c r="AN148" s="75">
        <v>146</v>
      </c>
      <c r="AQ148" s="101" t="s">
        <v>717</v>
      </c>
      <c r="AR148" s="77" t="s">
        <v>212</v>
      </c>
      <c r="AS148" s="77" t="s">
        <v>752</v>
      </c>
      <c r="AT148" s="135">
        <v>9</v>
      </c>
      <c r="AU148" s="77">
        <v>0</v>
      </c>
      <c r="AV148" s="28">
        <v>0</v>
      </c>
      <c r="AW148" s="77">
        <v>3</v>
      </c>
      <c r="AX148" s="584">
        <v>3</v>
      </c>
      <c r="AY148" s="28">
        <v>3</v>
      </c>
      <c r="AZ148" s="28">
        <v>3</v>
      </c>
      <c r="BA148" s="28">
        <v>1</v>
      </c>
      <c r="BB148" s="28">
        <v>2</v>
      </c>
      <c r="BC148" s="28">
        <v>0</v>
      </c>
      <c r="BD148" s="106">
        <v>1.3333333333333333</v>
      </c>
      <c r="BE148" s="77">
        <v>0</v>
      </c>
      <c r="BF148" s="28">
        <v>0</v>
      </c>
      <c r="BG148" s="28">
        <v>0</v>
      </c>
      <c r="BH148" s="28">
        <v>0</v>
      </c>
      <c r="BI148" s="75">
        <v>146</v>
      </c>
    </row>
    <row r="149" spans="1:61">
      <c r="A149" s="101" t="s">
        <v>717</v>
      </c>
      <c r="B149" s="71" t="s">
        <v>212</v>
      </c>
      <c r="C149" s="116" t="s">
        <v>753</v>
      </c>
      <c r="D149" s="89">
        <f>VLOOKUP(Table70[[#This Row],[NAME]],OAK_P[[NAME]:['#]],2,0)</f>
        <v>8.7082728592162546</v>
      </c>
      <c r="E149" s="77">
        <f>VLOOKUP(Table70[[#This Row],[NAME]],OAK_P[[NAME]:['#]],3,0)</f>
        <v>1</v>
      </c>
      <c r="F149" s="28">
        <f>VLOOKUP(Table70[[#This Row],[NAME]],OAK_P[[NAME]:['#]],4,0)</f>
        <v>0</v>
      </c>
      <c r="G149" s="77">
        <f>VLOOKUP(Table70[[#This Row],[NAME]],OAK_P[[NAME]:['#]],5,0)</f>
        <v>17</v>
      </c>
      <c r="H149" s="584">
        <f>VLOOKUP(Table70[[#This Row],[NAME]],OAK_P[[NAME]:['#]],6,0)</f>
        <v>20.67</v>
      </c>
      <c r="I149" s="28">
        <f>VLOOKUP(Table70[[#This Row],[NAME]],OAK_P[[NAME]:['#]],7,0)</f>
        <v>29</v>
      </c>
      <c r="J149" s="28">
        <f>VLOOKUP(Table70[[#This Row],[NAME]],OAK_P[[NAME]:['#]],8,0)</f>
        <v>20</v>
      </c>
      <c r="K149" s="28">
        <f>VLOOKUP(Table70[[#This Row],[NAME]],OAK_P[[NAME]:['#]],9,0)</f>
        <v>15</v>
      </c>
      <c r="L149" s="28">
        <f>VLOOKUP(Table70[[#This Row],[NAME]],OAK_P[[NAME]:['#]],10,0)</f>
        <v>22</v>
      </c>
      <c r="M149" s="28">
        <f>VLOOKUP(Table70[[#This Row],[NAME]],OAK_P[[NAME]:['#]],11,0)</f>
        <v>0</v>
      </c>
      <c r="N149" s="106">
        <f>VLOOKUP(Table70[[#This Row],[NAME]],OAK_P[[NAME]:['#]],12,0)</f>
        <v>2.1286889211417512</v>
      </c>
      <c r="O149" s="77">
        <f>VLOOKUP(Table70[[#This Row],[NAME]],OAK_P[[NAME]:['#]],13,0)</f>
        <v>0</v>
      </c>
      <c r="P149" s="28">
        <f>VLOOKUP(Table70[[#This Row],[NAME]],OAK_P[[NAME]:['#]],14,0)</f>
        <v>0</v>
      </c>
      <c r="Q149" s="28">
        <f>VLOOKUP(Table70[[#This Row],[NAME]],OAK_P[[NAME]:['#]],15,0)</f>
        <v>0</v>
      </c>
      <c r="R149" s="28">
        <f>VLOOKUP(Table70[[#This Row],[NAME]],OAK_P[[NAME]:['#]],16,0)</f>
        <v>0</v>
      </c>
      <c r="S149" s="75">
        <v>147</v>
      </c>
      <c r="V149" s="101" t="s">
        <v>717</v>
      </c>
      <c r="W149" s="77" t="s">
        <v>215</v>
      </c>
      <c r="X149" s="132" t="s">
        <v>749</v>
      </c>
      <c r="Y149" s="88">
        <v>2.8252528775723751</v>
      </c>
      <c r="Z149" s="77">
        <v>2</v>
      </c>
      <c r="AA149" s="28">
        <v>0</v>
      </c>
      <c r="AB149" s="77">
        <v>10</v>
      </c>
      <c r="AC149" s="584">
        <v>28.67</v>
      </c>
      <c r="AD149" s="28">
        <v>24</v>
      </c>
      <c r="AE149" s="28">
        <v>9</v>
      </c>
      <c r="AF149" s="28">
        <v>8</v>
      </c>
      <c r="AG149" s="28">
        <v>17</v>
      </c>
      <c r="AH149" s="28">
        <v>0</v>
      </c>
      <c r="AI149" s="106">
        <v>1.1161492849668642</v>
      </c>
      <c r="AJ149" s="77">
        <v>0</v>
      </c>
      <c r="AK149" s="28">
        <v>0</v>
      </c>
      <c r="AL149" s="28">
        <v>0</v>
      </c>
      <c r="AM149" s="28">
        <v>0</v>
      </c>
      <c r="AN149" s="75">
        <v>147</v>
      </c>
      <c r="AQ149" s="101" t="s">
        <v>717</v>
      </c>
      <c r="AR149" s="77" t="s">
        <v>212</v>
      </c>
      <c r="AS149" s="77" t="s">
        <v>753</v>
      </c>
      <c r="AT149" s="135">
        <v>4.190377651319193</v>
      </c>
      <c r="AU149" s="77">
        <v>2</v>
      </c>
      <c r="AV149" s="28">
        <v>3</v>
      </c>
      <c r="AW149" s="77">
        <v>20</v>
      </c>
      <c r="AX149" s="584">
        <v>19.329999999999998</v>
      </c>
      <c r="AY149" s="28">
        <v>19</v>
      </c>
      <c r="AZ149" s="28">
        <v>9</v>
      </c>
      <c r="BA149" s="28">
        <v>11</v>
      </c>
      <c r="BB149" s="28">
        <v>20</v>
      </c>
      <c r="BC149" s="28">
        <v>0</v>
      </c>
      <c r="BD149" s="106">
        <v>1.5519917227108124</v>
      </c>
      <c r="BE149" s="77">
        <v>0</v>
      </c>
      <c r="BF149" s="28">
        <v>0</v>
      </c>
      <c r="BG149" s="28">
        <v>0</v>
      </c>
      <c r="BH149" s="28">
        <v>0</v>
      </c>
      <c r="BI149" s="75">
        <v>147</v>
      </c>
    </row>
    <row r="150" spans="1:61">
      <c r="A150" s="101" t="s">
        <v>717</v>
      </c>
      <c r="B150" s="71" t="s">
        <v>212</v>
      </c>
      <c r="C150" s="116" t="s">
        <v>754</v>
      </c>
      <c r="D150" s="89">
        <f>VLOOKUP(Table70[[#This Row],[NAME]],OAK_P[[NAME]:['#]],2,0)</f>
        <v>5.0829509354041651</v>
      </c>
      <c r="E150" s="77">
        <f>VLOOKUP(Table70[[#This Row],[NAME]],OAK_P[[NAME]:['#]],3,0)</f>
        <v>1</v>
      </c>
      <c r="F150" s="28">
        <f>VLOOKUP(Table70[[#This Row],[NAME]],OAK_P[[NAME]:['#]],4,0)</f>
        <v>1</v>
      </c>
      <c r="G150" s="77">
        <f>VLOOKUP(Table70[[#This Row],[NAME]],OAK_P[[NAME]:['#]],5,0)</f>
        <v>24</v>
      </c>
      <c r="H150" s="584">
        <f>VLOOKUP(Table70[[#This Row],[NAME]],OAK_P[[NAME]:['#]],6,0)</f>
        <v>28.33</v>
      </c>
      <c r="I150" s="28">
        <f>VLOOKUP(Table70[[#This Row],[NAME]],OAK_P[[NAME]:['#]],7,0)</f>
        <v>23</v>
      </c>
      <c r="J150" s="28">
        <f>VLOOKUP(Table70[[#This Row],[NAME]],OAK_P[[NAME]:['#]],8,0)</f>
        <v>16</v>
      </c>
      <c r="K150" s="28">
        <f>VLOOKUP(Table70[[#This Row],[NAME]],OAK_P[[NAME]:['#]],9,0)</f>
        <v>16</v>
      </c>
      <c r="L150" s="28">
        <f>VLOOKUP(Table70[[#This Row],[NAME]],OAK_P[[NAME]:['#]],10,0)</f>
        <v>31</v>
      </c>
      <c r="M150" s="28">
        <f>VLOOKUP(Table70[[#This Row],[NAME]],OAK_P[[NAME]:['#]],11,0)</f>
        <v>0</v>
      </c>
      <c r="N150" s="106">
        <f>VLOOKUP(Table70[[#This Row],[NAME]],OAK_P[[NAME]:['#]],12,0)</f>
        <v>1.3766325450052947</v>
      </c>
      <c r="O150" s="77">
        <f>VLOOKUP(Table70[[#This Row],[NAME]],OAK_P[[NAME]:['#]],13,0)</f>
        <v>0</v>
      </c>
      <c r="P150" s="28">
        <f>VLOOKUP(Table70[[#This Row],[NAME]],OAK_P[[NAME]:['#]],14,0)</f>
        <v>0</v>
      </c>
      <c r="Q150" s="28">
        <f>VLOOKUP(Table70[[#This Row],[NAME]],OAK_P[[NAME]:['#]],15,0)</f>
        <v>0</v>
      </c>
      <c r="R150" s="28">
        <f>VLOOKUP(Table70[[#This Row],[NAME]],OAK_P[[NAME]:['#]],16,0)</f>
        <v>0</v>
      </c>
      <c r="S150" s="75">
        <v>148</v>
      </c>
      <c r="V150" s="101" t="s">
        <v>717</v>
      </c>
      <c r="W150" s="77" t="s">
        <v>212</v>
      </c>
      <c r="X150" s="132" t="s">
        <v>753</v>
      </c>
      <c r="Y150" s="88">
        <v>4.1756882152799264</v>
      </c>
      <c r="Z150" s="77">
        <v>1</v>
      </c>
      <c r="AA150" s="28">
        <v>2</v>
      </c>
      <c r="AB150" s="77">
        <v>23</v>
      </c>
      <c r="AC150" s="584">
        <v>32.33</v>
      </c>
      <c r="AD150" s="28">
        <v>34</v>
      </c>
      <c r="AE150" s="28">
        <v>15</v>
      </c>
      <c r="AF150" s="28">
        <v>10</v>
      </c>
      <c r="AG150" s="28">
        <v>39</v>
      </c>
      <c r="AH150" s="28">
        <v>0</v>
      </c>
      <c r="AI150" s="106">
        <v>1.360965047943087</v>
      </c>
      <c r="AJ150" s="77">
        <v>0</v>
      </c>
      <c r="AK150" s="28">
        <v>0</v>
      </c>
      <c r="AL150" s="28">
        <v>0</v>
      </c>
      <c r="AM150" s="28">
        <v>0</v>
      </c>
      <c r="AN150" s="75">
        <v>148</v>
      </c>
      <c r="AQ150" s="101" t="s">
        <v>717</v>
      </c>
      <c r="AR150" s="77" t="s">
        <v>215</v>
      </c>
      <c r="AS150" s="77" t="s">
        <v>754</v>
      </c>
      <c r="AT150" s="135">
        <v>3.7792441511697659</v>
      </c>
      <c r="AU150" s="77">
        <v>1</v>
      </c>
      <c r="AV150" s="28">
        <v>0</v>
      </c>
      <c r="AW150" s="77">
        <v>16</v>
      </c>
      <c r="AX150" s="584">
        <v>16.670000000000002</v>
      </c>
      <c r="AY150" s="28">
        <v>20</v>
      </c>
      <c r="AZ150" s="28">
        <v>7</v>
      </c>
      <c r="BA150" s="28">
        <v>6</v>
      </c>
      <c r="BB150" s="28">
        <v>17</v>
      </c>
      <c r="BC150" s="28">
        <v>1</v>
      </c>
      <c r="BD150" s="106">
        <v>1.5596880623875224</v>
      </c>
      <c r="BE150" s="77">
        <v>0</v>
      </c>
      <c r="BF150" s="28">
        <v>0</v>
      </c>
      <c r="BG150" s="28">
        <v>0</v>
      </c>
      <c r="BH150" s="28">
        <v>0</v>
      </c>
      <c r="BI150" s="75">
        <v>148</v>
      </c>
    </row>
    <row r="151" spans="1:61">
      <c r="A151" s="101" t="s">
        <v>717</v>
      </c>
      <c r="B151" s="71" t="s">
        <v>212</v>
      </c>
      <c r="C151" s="116" t="s">
        <v>755</v>
      </c>
      <c r="D151" s="89">
        <f>VLOOKUP(Table70[[#This Row],[NAME]],OAK_P[[NAME]:['#]],2,0)</f>
        <v>2.2768341163715213</v>
      </c>
      <c r="E151" s="77">
        <f>VLOOKUP(Table70[[#This Row],[NAME]],OAK_P[[NAME]:['#]],3,0)</f>
        <v>0</v>
      </c>
      <c r="F151" s="28">
        <f>VLOOKUP(Table70[[#This Row],[NAME]],OAK_P[[NAME]:['#]],4,0)</f>
        <v>2</v>
      </c>
      <c r="G151" s="77">
        <f>VLOOKUP(Table70[[#This Row],[NAME]],OAK_P[[NAME]:['#]],5,0)</f>
        <v>24</v>
      </c>
      <c r="H151" s="584">
        <f>VLOOKUP(Table70[[#This Row],[NAME]],OAK_P[[NAME]:['#]],6,0)</f>
        <v>27.67</v>
      </c>
      <c r="I151" s="28">
        <f>VLOOKUP(Table70[[#This Row],[NAME]],OAK_P[[NAME]:['#]],7,0)</f>
        <v>18</v>
      </c>
      <c r="J151" s="28">
        <f>VLOOKUP(Table70[[#This Row],[NAME]],OAK_P[[NAME]:['#]],8,0)</f>
        <v>7</v>
      </c>
      <c r="K151" s="28">
        <f>VLOOKUP(Table70[[#This Row],[NAME]],OAK_P[[NAME]:['#]],9,0)</f>
        <v>9</v>
      </c>
      <c r="L151" s="28">
        <f>VLOOKUP(Table70[[#This Row],[NAME]],OAK_P[[NAME]:['#]],10,0)</f>
        <v>31</v>
      </c>
      <c r="M151" s="28">
        <f>VLOOKUP(Table70[[#This Row],[NAME]],OAK_P[[NAME]:['#]],11,0)</f>
        <v>2</v>
      </c>
      <c r="N151" s="106">
        <f>VLOOKUP(Table70[[#This Row],[NAME]],OAK_P[[NAME]:['#]],12,0)</f>
        <v>0.97578604987350914</v>
      </c>
      <c r="O151" s="77">
        <f>VLOOKUP(Table70[[#This Row],[NAME]],OAK_P[[NAME]:['#]],13,0)</f>
        <v>0</v>
      </c>
      <c r="P151" s="28">
        <f>VLOOKUP(Table70[[#This Row],[NAME]],OAK_P[[NAME]:['#]],14,0)</f>
        <v>0</v>
      </c>
      <c r="Q151" s="28">
        <f>VLOOKUP(Table70[[#This Row],[NAME]],OAK_P[[NAME]:['#]],15,0)</f>
        <v>0</v>
      </c>
      <c r="R151" s="28">
        <f>VLOOKUP(Table70[[#This Row],[NAME]],OAK_P[[NAME]:['#]],16,0)</f>
        <v>0</v>
      </c>
      <c r="S151" s="75">
        <v>149</v>
      </c>
      <c r="V151" s="101" t="s">
        <v>717</v>
      </c>
      <c r="W151" s="77" t="s">
        <v>212</v>
      </c>
      <c r="X151" s="132" t="s">
        <v>754</v>
      </c>
      <c r="Y151" s="88">
        <v>4.8789302493675457</v>
      </c>
      <c r="Z151" s="77">
        <v>0</v>
      </c>
      <c r="AA151" s="28">
        <v>2</v>
      </c>
      <c r="AB151" s="77">
        <v>22</v>
      </c>
      <c r="AC151" s="584">
        <v>27.67</v>
      </c>
      <c r="AD151" s="28">
        <v>30</v>
      </c>
      <c r="AE151" s="28">
        <v>15</v>
      </c>
      <c r="AF151" s="28">
        <v>12</v>
      </c>
      <c r="AG151" s="28">
        <v>42</v>
      </c>
      <c r="AH151" s="28">
        <v>0</v>
      </c>
      <c r="AI151" s="106">
        <v>1.5178894109143475</v>
      </c>
      <c r="AJ151" s="77">
        <v>0</v>
      </c>
      <c r="AK151" s="28">
        <v>0</v>
      </c>
      <c r="AL151" s="28">
        <v>0</v>
      </c>
      <c r="AM151" s="28">
        <v>0</v>
      </c>
      <c r="AN151" s="75">
        <v>149</v>
      </c>
      <c r="AQ151" s="101" t="s">
        <v>717</v>
      </c>
      <c r="AR151" s="77" t="s">
        <v>212</v>
      </c>
      <c r="AS151" s="77" t="s">
        <v>755</v>
      </c>
      <c r="AT151" s="135">
        <v>1.741654571843251</v>
      </c>
      <c r="AU151" s="77">
        <v>0</v>
      </c>
      <c r="AV151" s="28">
        <v>0</v>
      </c>
      <c r="AW151" s="77">
        <v>20</v>
      </c>
      <c r="AX151" s="584">
        <v>20.67</v>
      </c>
      <c r="AY151" s="28">
        <v>13</v>
      </c>
      <c r="AZ151" s="28">
        <v>4</v>
      </c>
      <c r="BA151" s="28">
        <v>8</v>
      </c>
      <c r="BB151" s="28">
        <v>21</v>
      </c>
      <c r="BC151" s="28">
        <v>1</v>
      </c>
      <c r="BD151" s="106">
        <v>1.015965166908563</v>
      </c>
      <c r="BE151" s="77">
        <v>0</v>
      </c>
      <c r="BF151" s="28">
        <v>0</v>
      </c>
      <c r="BG151" s="28">
        <v>0</v>
      </c>
      <c r="BH151" s="28">
        <v>0</v>
      </c>
      <c r="BI151" s="75">
        <v>149</v>
      </c>
    </row>
    <row r="152" spans="1:61" ht="17" thickBot="1">
      <c r="A152" s="102" t="s">
        <v>717</v>
      </c>
      <c r="B152" s="348" t="s">
        <v>215</v>
      </c>
      <c r="C152" s="348" t="s">
        <v>756</v>
      </c>
      <c r="D152" s="534">
        <f>VLOOKUP(Table70[[#This Row],[NAME]],OAK_P[[NAME]:['#]],2,0)</f>
        <v>0.98792535675082338</v>
      </c>
      <c r="E152" s="103">
        <f>VLOOKUP(Table70[[#This Row],[NAME]],OAK_P[[NAME]:['#]],3,0)</f>
        <v>2</v>
      </c>
      <c r="F152" s="25">
        <f>VLOOKUP(Table70[[#This Row],[NAME]],OAK_P[[NAME]:['#]],4,0)</f>
        <v>2</v>
      </c>
      <c r="G152" s="103">
        <f>VLOOKUP(Table70[[#This Row],[NAME]],OAK_P[[NAME]:['#]],5,0)</f>
        <v>25</v>
      </c>
      <c r="H152" s="92">
        <f>VLOOKUP(Table70[[#This Row],[NAME]],OAK_P[[NAME]:['#]],6,0)</f>
        <v>27.33</v>
      </c>
      <c r="I152" s="25">
        <f>VLOOKUP(Table70[[#This Row],[NAME]],OAK_P[[NAME]:['#]],7,0)</f>
        <v>13</v>
      </c>
      <c r="J152" s="25">
        <f>VLOOKUP(Table70[[#This Row],[NAME]],OAK_P[[NAME]:['#]],8,0)</f>
        <v>3</v>
      </c>
      <c r="K152" s="25">
        <f>VLOOKUP(Table70[[#This Row],[NAME]],OAK_P[[NAME]:['#]],9,0)</f>
        <v>5</v>
      </c>
      <c r="L152" s="25">
        <f>VLOOKUP(Table70[[#This Row],[NAME]],OAK_P[[NAME]:['#]],10,0)</f>
        <v>46</v>
      </c>
      <c r="M152" s="25">
        <f>VLOOKUP(Table70[[#This Row],[NAME]],OAK_P[[NAME]:['#]],11,0)</f>
        <v>5</v>
      </c>
      <c r="N152" s="882">
        <f>VLOOKUP(Table70[[#This Row],[NAME]],OAK_P[[NAME]:['#]],12,0)</f>
        <v>0.65861690450054888</v>
      </c>
      <c r="O152" s="103">
        <f>VLOOKUP(Table70[[#This Row],[NAME]],OAK_P[[NAME]:['#]],13,0)</f>
        <v>0</v>
      </c>
      <c r="P152" s="25">
        <f>VLOOKUP(Table70[[#This Row],[NAME]],OAK_P[[NAME]:['#]],14,0)</f>
        <v>0</v>
      </c>
      <c r="Q152" s="25">
        <f>VLOOKUP(Table70[[#This Row],[NAME]],OAK_P[[NAME]:['#]],15,0)</f>
        <v>0</v>
      </c>
      <c r="R152" s="25">
        <f>VLOOKUP(Table70[[#This Row],[NAME]],OAK_P[[NAME]:['#]],16,0)</f>
        <v>0</v>
      </c>
      <c r="S152" s="82">
        <v>150</v>
      </c>
      <c r="V152" s="102" t="s">
        <v>717</v>
      </c>
      <c r="W152" s="103" t="s">
        <v>212</v>
      </c>
      <c r="X152" s="133" t="s">
        <v>755</v>
      </c>
      <c r="Y152" s="91">
        <v>4.2434633519074154</v>
      </c>
      <c r="Z152" s="103">
        <v>0</v>
      </c>
      <c r="AA152" s="25">
        <v>1</v>
      </c>
      <c r="AB152" s="103">
        <v>21</v>
      </c>
      <c r="AC152" s="92">
        <v>23.33</v>
      </c>
      <c r="AD152" s="25">
        <v>19</v>
      </c>
      <c r="AE152" s="25">
        <v>11</v>
      </c>
      <c r="AF152" s="25">
        <v>8</v>
      </c>
      <c r="AG152" s="25">
        <v>33</v>
      </c>
      <c r="AH152" s="25">
        <v>7</v>
      </c>
      <c r="AI152" s="107">
        <v>1.1573081868838406</v>
      </c>
      <c r="AJ152" s="103">
        <v>0</v>
      </c>
      <c r="AK152" s="25">
        <v>0</v>
      </c>
      <c r="AL152" s="25">
        <v>0</v>
      </c>
      <c r="AM152" s="25">
        <v>0</v>
      </c>
      <c r="AN152" s="82">
        <v>150</v>
      </c>
      <c r="AQ152" s="102" t="s">
        <v>717</v>
      </c>
      <c r="AR152" s="103" t="s">
        <v>212</v>
      </c>
      <c r="AS152" s="103" t="s">
        <v>757</v>
      </c>
      <c r="AT152" s="190">
        <v>1.8240778273206322</v>
      </c>
      <c r="AU152" s="103">
        <v>1</v>
      </c>
      <c r="AV152" s="25">
        <v>1</v>
      </c>
      <c r="AW152" s="103">
        <v>23</v>
      </c>
      <c r="AX152" s="92">
        <v>24.67</v>
      </c>
      <c r="AY152" s="25">
        <v>14</v>
      </c>
      <c r="AZ152" s="25">
        <v>5</v>
      </c>
      <c r="BA152" s="25">
        <v>12</v>
      </c>
      <c r="BB152" s="25">
        <v>27</v>
      </c>
      <c r="BC152" s="25">
        <v>8</v>
      </c>
      <c r="BD152" s="107">
        <v>1.0539116335630319</v>
      </c>
      <c r="BE152" s="103">
        <v>0</v>
      </c>
      <c r="BF152" s="25">
        <v>0</v>
      </c>
      <c r="BG152" s="25">
        <v>0</v>
      </c>
      <c r="BH152" s="25">
        <v>0</v>
      </c>
      <c r="BI152" s="82">
        <v>150</v>
      </c>
    </row>
  </sheetData>
  <mergeCells count="3">
    <mergeCell ref="A1:S1"/>
    <mergeCell ref="V1:AN1"/>
    <mergeCell ref="AQ1:B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BI152"/>
  <sheetViews>
    <sheetView zoomScale="110" zoomScaleNormal="11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B59" sqref="B59"/>
    </sheetView>
  </sheetViews>
  <sheetFormatPr baseColWidth="10" defaultRowHeight="16"/>
  <cols>
    <col min="1" max="1" width="6.83203125" customWidth="1"/>
    <col min="2" max="2" width="5.5" customWidth="1"/>
    <col min="3" max="3" width="13.6640625" customWidth="1"/>
    <col min="4" max="4" width="8.1640625" customWidth="1"/>
    <col min="5" max="5" width="5.33203125" customWidth="1"/>
    <col min="6" max="6" width="4.83203125" customWidth="1"/>
    <col min="7" max="7" width="5" customWidth="1"/>
    <col min="8" max="8" width="5.33203125" customWidth="1"/>
    <col min="9" max="9" width="5.6640625" bestFit="1" customWidth="1"/>
    <col min="10" max="10" width="4.83203125" customWidth="1"/>
    <col min="11" max="11" width="6" customWidth="1"/>
    <col min="12" max="12" width="5" customWidth="1"/>
    <col min="13" max="13" width="5.83203125" customWidth="1"/>
    <col min="14" max="14" width="6.6640625" customWidth="1"/>
    <col min="15" max="15" width="6" customWidth="1"/>
    <col min="16" max="16" width="7.1640625" customWidth="1"/>
    <col min="17" max="17" width="6.1640625" customWidth="1"/>
    <col min="18" max="18" width="6" customWidth="1"/>
    <col min="19" max="19" width="4.5" customWidth="1"/>
    <col min="20" max="21" width="2.5" customWidth="1"/>
    <col min="22" max="22" width="6.33203125" customWidth="1"/>
    <col min="23" max="23" width="5.1640625" customWidth="1"/>
    <col min="24" max="24" width="13.6640625" customWidth="1"/>
    <col min="25" max="25" width="7.1640625" customWidth="1"/>
    <col min="26" max="31" width="5.6640625" customWidth="1"/>
    <col min="32" max="32" width="6" customWidth="1"/>
    <col min="33" max="33" width="5.6640625" customWidth="1"/>
    <col min="34" max="34" width="5.83203125" customWidth="1"/>
    <col min="35" max="35" width="6.6640625" customWidth="1"/>
    <col min="36" max="36" width="6" customWidth="1"/>
    <col min="37" max="37" width="7.1640625" customWidth="1"/>
    <col min="38" max="38" width="6.1640625" customWidth="1"/>
    <col min="39" max="39" width="6" customWidth="1"/>
    <col min="40" max="40" width="4.5" customWidth="1"/>
    <col min="41" max="42" width="2.5" customWidth="1"/>
    <col min="43" max="43" width="6.83203125" customWidth="1"/>
    <col min="44" max="44" width="5.5" customWidth="1"/>
    <col min="45" max="45" width="13.6640625" customWidth="1"/>
    <col min="46" max="46" width="8" customWidth="1"/>
    <col min="47" max="47" width="5.6640625" customWidth="1"/>
    <col min="48" max="48" width="5" customWidth="1"/>
    <col min="49" max="49" width="5.1640625" customWidth="1"/>
    <col min="50" max="50" width="5.6640625" customWidth="1"/>
    <col min="51" max="52" width="5.1640625" customWidth="1"/>
    <col min="53" max="53" width="6.33203125" customWidth="1"/>
    <col min="54" max="54" width="5.1640625" customWidth="1"/>
    <col min="55" max="55" width="6.33203125" customWidth="1"/>
    <col min="56" max="56" width="7.1640625" customWidth="1"/>
    <col min="57" max="57" width="6.33203125" customWidth="1"/>
    <col min="58" max="58" width="7.83203125" customWidth="1"/>
    <col min="59" max="59" width="6.6640625" customWidth="1"/>
    <col min="60" max="60" width="6.33203125" customWidth="1"/>
    <col min="61" max="61" width="4.6640625" customWidth="1"/>
    <col min="62" max="62" width="2.5" customWidth="1"/>
  </cols>
  <sheetData>
    <row r="1" spans="1:61" ht="26" thickBot="1">
      <c r="A1" s="1090" t="s">
        <v>1</v>
      </c>
      <c r="B1" s="1091"/>
      <c r="C1" s="1091"/>
      <c r="D1" s="1091"/>
      <c r="E1" s="1091"/>
      <c r="F1" s="1091"/>
      <c r="G1" s="1091"/>
      <c r="H1" s="1091"/>
      <c r="I1" s="1091"/>
      <c r="J1" s="1091"/>
      <c r="K1" s="1091"/>
      <c r="L1" s="1091"/>
      <c r="M1" s="1091"/>
      <c r="N1" s="1091"/>
      <c r="O1" s="1091"/>
      <c r="P1" s="1091"/>
      <c r="Q1" s="1091"/>
      <c r="R1" s="1091"/>
      <c r="S1" s="1092"/>
      <c r="V1" s="1090" t="s">
        <v>3</v>
      </c>
      <c r="W1" s="1091"/>
      <c r="X1" s="1091"/>
      <c r="Y1" s="1091"/>
      <c r="Z1" s="1091"/>
      <c r="AA1" s="1091"/>
      <c r="AB1" s="1091"/>
      <c r="AC1" s="1091"/>
      <c r="AD1" s="1091"/>
      <c r="AE1" s="1091"/>
      <c r="AF1" s="1091"/>
      <c r="AG1" s="1091"/>
      <c r="AH1" s="1091"/>
      <c r="AI1" s="1091"/>
      <c r="AJ1" s="1091"/>
      <c r="AK1" s="1091"/>
      <c r="AL1" s="1091"/>
      <c r="AM1" s="1091"/>
      <c r="AN1" s="1092"/>
      <c r="AQ1" s="1090" t="s">
        <v>5</v>
      </c>
      <c r="AR1" s="1091"/>
      <c r="AS1" s="1091"/>
      <c r="AT1" s="1091"/>
      <c r="AU1" s="1091"/>
      <c r="AV1" s="1091"/>
      <c r="AW1" s="1091"/>
      <c r="AX1" s="1091"/>
      <c r="AY1" s="1091"/>
      <c r="AZ1" s="1091"/>
      <c r="BA1" s="1091"/>
      <c r="BB1" s="1091"/>
      <c r="BC1" s="1091"/>
      <c r="BD1" s="1091"/>
      <c r="BE1" s="1091"/>
      <c r="BF1" s="1091"/>
      <c r="BG1" s="1091"/>
      <c r="BH1" s="1091"/>
      <c r="BI1" s="1092"/>
    </row>
    <row r="2" spans="1:61" s="108" customFormat="1" ht="17" thickBot="1">
      <c r="A2" s="370" t="s">
        <v>143</v>
      </c>
      <c r="B2" s="371" t="s">
        <v>144</v>
      </c>
      <c r="C2" s="371" t="s">
        <v>145</v>
      </c>
      <c r="D2" s="371" t="s">
        <v>196</v>
      </c>
      <c r="E2" s="371" t="s">
        <v>197</v>
      </c>
      <c r="F2" s="371" t="s">
        <v>198</v>
      </c>
      <c r="G2" s="371" t="s">
        <v>149</v>
      </c>
      <c r="H2" s="371" t="s">
        <v>199</v>
      </c>
      <c r="I2" s="371" t="s">
        <v>152</v>
      </c>
      <c r="J2" s="371" t="s">
        <v>151</v>
      </c>
      <c r="K2" s="371" t="s">
        <v>157</v>
      </c>
      <c r="L2" s="371" t="s">
        <v>158</v>
      </c>
      <c r="M2" s="371" t="s">
        <v>200</v>
      </c>
      <c r="N2" s="371" t="s">
        <v>201</v>
      </c>
      <c r="O2" s="371" t="s">
        <v>202</v>
      </c>
      <c r="P2" s="371" t="s">
        <v>203</v>
      </c>
      <c r="Q2" s="371" t="s">
        <v>204</v>
      </c>
      <c r="R2" s="371" t="s">
        <v>205</v>
      </c>
      <c r="S2" s="372" t="s">
        <v>164</v>
      </c>
      <c r="V2" s="370" t="s">
        <v>143</v>
      </c>
      <c r="W2" s="371" t="s">
        <v>144</v>
      </c>
      <c r="X2" s="371" t="s">
        <v>145</v>
      </c>
      <c r="Y2" s="371" t="s">
        <v>196</v>
      </c>
      <c r="Z2" s="371" t="s">
        <v>197</v>
      </c>
      <c r="AA2" s="371" t="s">
        <v>198</v>
      </c>
      <c r="AB2" s="371" t="s">
        <v>149</v>
      </c>
      <c r="AC2" s="371" t="s">
        <v>199</v>
      </c>
      <c r="AD2" s="371" t="s">
        <v>152</v>
      </c>
      <c r="AE2" s="371" t="s">
        <v>151</v>
      </c>
      <c r="AF2" s="371" t="s">
        <v>157</v>
      </c>
      <c r="AG2" s="371" t="s">
        <v>158</v>
      </c>
      <c r="AH2" s="371" t="s">
        <v>200</v>
      </c>
      <c r="AI2" s="371" t="s">
        <v>201</v>
      </c>
      <c r="AJ2" s="371" t="s">
        <v>202</v>
      </c>
      <c r="AK2" s="371" t="s">
        <v>203</v>
      </c>
      <c r="AL2" s="371" t="s">
        <v>204</v>
      </c>
      <c r="AM2" s="371" t="s">
        <v>205</v>
      </c>
      <c r="AN2" s="372" t="s">
        <v>164</v>
      </c>
      <c r="AQ2" s="373" t="s">
        <v>143</v>
      </c>
      <c r="AR2" s="374" t="s">
        <v>144</v>
      </c>
      <c r="AS2" s="374" t="s">
        <v>145</v>
      </c>
      <c r="AT2" s="374" t="s">
        <v>196</v>
      </c>
      <c r="AU2" s="374" t="s">
        <v>197</v>
      </c>
      <c r="AV2" s="374" t="s">
        <v>198</v>
      </c>
      <c r="AW2" s="374" t="s">
        <v>149</v>
      </c>
      <c r="AX2" s="374" t="s">
        <v>199</v>
      </c>
      <c r="AY2" s="374" t="s">
        <v>152</v>
      </c>
      <c r="AZ2" s="374" t="s">
        <v>151</v>
      </c>
      <c r="BA2" s="374" t="s">
        <v>157</v>
      </c>
      <c r="BB2" s="374" t="s">
        <v>158</v>
      </c>
      <c r="BC2" s="374" t="s">
        <v>200</v>
      </c>
      <c r="BD2" s="374" t="s">
        <v>201</v>
      </c>
      <c r="BE2" s="374" t="s">
        <v>202</v>
      </c>
      <c r="BF2" s="374" t="s">
        <v>203</v>
      </c>
      <c r="BG2" s="374" t="s">
        <v>204</v>
      </c>
      <c r="BH2" s="374" t="s">
        <v>205</v>
      </c>
      <c r="BI2" s="375" t="s">
        <v>164</v>
      </c>
    </row>
    <row r="3" spans="1:61">
      <c r="A3" s="587" t="s">
        <v>770</v>
      </c>
      <c r="B3" s="112" t="s">
        <v>206</v>
      </c>
      <c r="C3" s="112" t="s">
        <v>790</v>
      </c>
      <c r="D3" s="105">
        <f>VLOOKUP(Table107[[#This Row],[NAME]],PHI_P[[NAME]:['#]],2,0)</f>
        <v>4.5476077688299386</v>
      </c>
      <c r="E3" s="99">
        <f>VLOOKUP(Table107[[#This Row],[NAME]],PHI_P[[NAME]:['#]],3,0)</f>
        <v>3</v>
      </c>
      <c r="F3" s="68">
        <f>VLOOKUP(Table107[[#This Row],[NAME]],PHI_P[[NAME]:['#]],4,0)</f>
        <v>4</v>
      </c>
      <c r="G3" s="99">
        <f>VLOOKUP(Table107[[#This Row],[NAME]],PHI_P[[NAME]:['#]],5,0)</f>
        <v>10</v>
      </c>
      <c r="H3" s="84">
        <f>VLOOKUP(Table107[[#This Row],[NAME]],PHI_P[[NAME]:['#]],6,0)</f>
        <v>63.33</v>
      </c>
      <c r="I3" s="68">
        <f>VLOOKUP(Table107[[#This Row],[NAME]],PHI_P[[NAME]:['#]],7,0)</f>
        <v>64</v>
      </c>
      <c r="J3" s="68">
        <f>VLOOKUP(Table107[[#This Row],[NAME]],PHI_P[[NAME]:['#]],8,0)</f>
        <v>32</v>
      </c>
      <c r="K3" s="68">
        <f>VLOOKUP(Table107[[#This Row],[NAME]],PHI_P[[NAME]:['#]],9,0)</f>
        <v>23</v>
      </c>
      <c r="L3" s="68">
        <f>VLOOKUP(Table107[[#This Row],[NAME]],PHI_P[[NAME]:['#]],10,0)</f>
        <v>53</v>
      </c>
      <c r="M3" s="68">
        <f>VLOOKUP(Table107[[#This Row],[NAME]],PHI_P[[NAME]:['#]],11,0)</f>
        <v>0</v>
      </c>
      <c r="N3" s="105">
        <f>VLOOKUP(Table107[[#This Row],[NAME]],PHI_P[[NAME]:['#]],12,0)</f>
        <v>1.3737565135007106</v>
      </c>
      <c r="O3" s="99">
        <f>VLOOKUP(Table107[[#This Row],[NAME]],PHI_P[[NAME]:['#]],13,0)</f>
        <v>6</v>
      </c>
      <c r="P3" s="140">
        <f>VLOOKUP(Table107[[#This Row],[NAME]],PHI_P[[NAME]:['#]],14,0)</f>
        <v>4</v>
      </c>
      <c r="Q3" s="68">
        <f>VLOOKUP(Table107[[#This Row],[NAME]],PHI_P[[NAME]:['#]],15,0)</f>
        <v>0</v>
      </c>
      <c r="R3" s="68">
        <f>VLOOKUP(Table107[[#This Row],[NAME]],PHI_P[[NAME]:['#]],16,0)</f>
        <v>0</v>
      </c>
      <c r="S3" s="70">
        <v>1</v>
      </c>
      <c r="V3" s="587" t="s">
        <v>770</v>
      </c>
      <c r="W3" s="589" t="s">
        <v>206</v>
      </c>
      <c r="X3" s="589" t="s">
        <v>790</v>
      </c>
      <c r="Y3" s="134">
        <v>5.7966101694915251</v>
      </c>
      <c r="Z3" s="99">
        <v>2</v>
      </c>
      <c r="AA3" s="68">
        <v>7</v>
      </c>
      <c r="AB3" s="99">
        <v>10</v>
      </c>
      <c r="AC3" s="84">
        <v>59</v>
      </c>
      <c r="AD3" s="68">
        <v>72</v>
      </c>
      <c r="AE3" s="68">
        <v>38</v>
      </c>
      <c r="AF3" s="68">
        <v>23</v>
      </c>
      <c r="AG3" s="68">
        <v>68</v>
      </c>
      <c r="AH3" s="68">
        <v>0</v>
      </c>
      <c r="AI3" s="105">
        <v>1.6101694915254237</v>
      </c>
      <c r="AJ3" s="99">
        <v>3</v>
      </c>
      <c r="AK3" s="140">
        <v>2</v>
      </c>
      <c r="AL3" s="68">
        <v>0</v>
      </c>
      <c r="AM3" s="68">
        <v>0</v>
      </c>
      <c r="AN3" s="70">
        <v>1</v>
      </c>
      <c r="AQ3" s="576" t="s">
        <v>770</v>
      </c>
      <c r="AR3" s="99" t="s">
        <v>206</v>
      </c>
      <c r="AS3" s="99" t="s">
        <v>790</v>
      </c>
      <c r="AT3" s="134">
        <v>1.7307692307692308</v>
      </c>
      <c r="AU3" s="99">
        <v>6</v>
      </c>
      <c r="AV3" s="68">
        <v>4</v>
      </c>
      <c r="AW3" s="99">
        <v>10</v>
      </c>
      <c r="AX3" s="84">
        <v>78</v>
      </c>
      <c r="AY3" s="68">
        <v>49</v>
      </c>
      <c r="AZ3" s="68">
        <v>15</v>
      </c>
      <c r="BA3" s="68">
        <v>16</v>
      </c>
      <c r="BB3" s="68">
        <v>72</v>
      </c>
      <c r="BC3" s="140">
        <v>0</v>
      </c>
      <c r="BD3" s="109">
        <v>0.83333333333333337</v>
      </c>
      <c r="BE3" s="99">
        <v>8</v>
      </c>
      <c r="BF3" s="68">
        <v>8</v>
      </c>
      <c r="BG3" s="100">
        <v>3</v>
      </c>
      <c r="BH3" s="530">
        <v>3</v>
      </c>
      <c r="BI3" s="70">
        <v>1</v>
      </c>
    </row>
    <row r="4" spans="1:61">
      <c r="A4" s="136" t="s">
        <v>770</v>
      </c>
      <c r="B4" s="115" t="s">
        <v>206</v>
      </c>
      <c r="C4" s="115" t="s">
        <v>624</v>
      </c>
      <c r="D4" s="106">
        <f>VLOOKUP(Table107[[#This Row],[NAME]],PHI_P[[NAME]:['#]],2,0)</f>
        <v>2.955223880597015</v>
      </c>
      <c r="E4" s="77">
        <f>VLOOKUP(Table107[[#This Row],[NAME]],PHI_P[[NAME]:['#]],3,0)</f>
        <v>4</v>
      </c>
      <c r="F4" s="28">
        <f>VLOOKUP(Table107[[#This Row],[NAME]],PHI_P[[NAME]:['#]],4,0)</f>
        <v>2</v>
      </c>
      <c r="G4" s="77">
        <f>VLOOKUP(Table107[[#This Row],[NAME]],PHI_P[[NAME]:['#]],5,0)</f>
        <v>10</v>
      </c>
      <c r="H4" s="584">
        <f>VLOOKUP(Table107[[#This Row],[NAME]],PHI_P[[NAME]:['#]],6,0)</f>
        <v>67</v>
      </c>
      <c r="I4" s="28">
        <f>VLOOKUP(Table107[[#This Row],[NAME]],PHI_P[[NAME]:['#]],7,0)</f>
        <v>58</v>
      </c>
      <c r="J4" s="28">
        <f>VLOOKUP(Table107[[#This Row],[NAME]],PHI_P[[NAME]:['#]],8,0)</f>
        <v>22</v>
      </c>
      <c r="K4" s="28">
        <f>VLOOKUP(Table107[[#This Row],[NAME]],PHI_P[[NAME]:['#]],9,0)</f>
        <v>20</v>
      </c>
      <c r="L4" s="28">
        <f>VLOOKUP(Table107[[#This Row],[NAME]],PHI_P[[NAME]:['#]],10,0)</f>
        <v>78</v>
      </c>
      <c r="M4" s="28">
        <f>VLOOKUP(Table107[[#This Row],[NAME]],PHI_P[[NAME]:['#]],11,0)</f>
        <v>0</v>
      </c>
      <c r="N4" s="106">
        <f>VLOOKUP(Table107[[#This Row],[NAME]],PHI_P[[NAME]:['#]],12,0)</f>
        <v>1.164179104477612</v>
      </c>
      <c r="O4" s="77">
        <f>VLOOKUP(Table107[[#This Row],[NAME]],PHI_P[[NAME]:['#]],13,0)</f>
        <v>7</v>
      </c>
      <c r="P4" s="588">
        <f>VLOOKUP(Table107[[#This Row],[NAME]],PHI_P[[NAME]:['#]],14,0)</f>
        <v>4</v>
      </c>
      <c r="Q4" s="28">
        <f>VLOOKUP(Table107[[#This Row],[NAME]],PHI_P[[NAME]:['#]],15,0)</f>
        <v>1</v>
      </c>
      <c r="R4" s="28">
        <f>VLOOKUP(Table107[[#This Row],[NAME]],PHI_P[[NAME]:['#]],16,0)</f>
        <v>1</v>
      </c>
      <c r="S4" s="75">
        <v>2</v>
      </c>
      <c r="V4" s="136" t="s">
        <v>770</v>
      </c>
      <c r="W4" s="137" t="s">
        <v>206</v>
      </c>
      <c r="X4" s="137" t="s">
        <v>624</v>
      </c>
      <c r="Y4" s="135">
        <v>4.05720503653039</v>
      </c>
      <c r="Z4" s="77">
        <v>4</v>
      </c>
      <c r="AA4" s="28">
        <v>3</v>
      </c>
      <c r="AB4" s="77">
        <v>10</v>
      </c>
      <c r="AC4" s="584">
        <v>64.33</v>
      </c>
      <c r="AD4" s="28">
        <v>54</v>
      </c>
      <c r="AE4" s="28">
        <v>29</v>
      </c>
      <c r="AF4" s="28">
        <v>26</v>
      </c>
      <c r="AG4" s="28">
        <v>59</v>
      </c>
      <c r="AH4" s="28">
        <v>0</v>
      </c>
      <c r="AI4" s="106">
        <v>1.2435877506606561</v>
      </c>
      <c r="AJ4" s="77">
        <v>7</v>
      </c>
      <c r="AK4" s="588">
        <v>0</v>
      </c>
      <c r="AL4" s="28">
        <v>0</v>
      </c>
      <c r="AM4" s="28">
        <v>0</v>
      </c>
      <c r="AN4" s="75">
        <v>2</v>
      </c>
      <c r="AQ4" s="365" t="s">
        <v>770</v>
      </c>
      <c r="AR4" s="77" t="s">
        <v>206</v>
      </c>
      <c r="AS4" s="77" t="s">
        <v>624</v>
      </c>
      <c r="AT4" s="135">
        <v>3.7195775294657891</v>
      </c>
      <c r="AU4" s="77">
        <v>4</v>
      </c>
      <c r="AV4" s="28">
        <v>3</v>
      </c>
      <c r="AW4" s="77">
        <v>10</v>
      </c>
      <c r="AX4" s="584">
        <v>65.33</v>
      </c>
      <c r="AY4" s="28">
        <v>56</v>
      </c>
      <c r="AZ4" s="28">
        <v>27</v>
      </c>
      <c r="BA4" s="28">
        <v>22</v>
      </c>
      <c r="BB4" s="28">
        <v>71</v>
      </c>
      <c r="BC4" s="588">
        <v>0</v>
      </c>
      <c r="BD4" s="106">
        <v>1.1939384662482779</v>
      </c>
      <c r="BE4" s="77">
        <v>8</v>
      </c>
      <c r="BF4" s="28">
        <v>2</v>
      </c>
      <c r="BG4" s="28">
        <v>0</v>
      </c>
      <c r="BH4" s="28">
        <v>0</v>
      </c>
      <c r="BI4" s="75">
        <v>2</v>
      </c>
    </row>
    <row r="5" spans="1:61">
      <c r="A5" s="136" t="s">
        <v>770</v>
      </c>
      <c r="B5" s="115" t="s">
        <v>206</v>
      </c>
      <c r="C5" s="115" t="s">
        <v>791</v>
      </c>
      <c r="D5" s="106">
        <f>VLOOKUP(Table107[[#This Row],[NAME]],PHI_P[[NAME]:['#]],2,0)</f>
        <v>2.7522935779816513</v>
      </c>
      <c r="E5" s="77">
        <f>VLOOKUP(Table107[[#This Row],[NAME]],PHI_P[[NAME]:['#]],3,0)</f>
        <v>5</v>
      </c>
      <c r="F5" s="28">
        <f>VLOOKUP(Table107[[#This Row],[NAME]],PHI_P[[NAME]:['#]],4,0)</f>
        <v>3</v>
      </c>
      <c r="G5" s="77">
        <f>VLOOKUP(Table107[[#This Row],[NAME]],PHI_P[[NAME]:['#]],5,0)</f>
        <v>10</v>
      </c>
      <c r="H5" s="584">
        <f>VLOOKUP(Table107[[#This Row],[NAME]],PHI_P[[NAME]:['#]],6,0)</f>
        <v>68.67</v>
      </c>
      <c r="I5" s="28">
        <f>VLOOKUP(Table107[[#This Row],[NAME]],PHI_P[[NAME]:['#]],7,0)</f>
        <v>56</v>
      </c>
      <c r="J5" s="28">
        <f>VLOOKUP(Table107[[#This Row],[NAME]],PHI_P[[NAME]:['#]],8,0)</f>
        <v>21</v>
      </c>
      <c r="K5" s="28">
        <f>VLOOKUP(Table107[[#This Row],[NAME]],PHI_P[[NAME]:['#]],9,0)</f>
        <v>14</v>
      </c>
      <c r="L5" s="28">
        <f>VLOOKUP(Table107[[#This Row],[NAME]],PHI_P[[NAME]:['#]],10,0)</f>
        <v>65</v>
      </c>
      <c r="M5" s="28">
        <f>VLOOKUP(Table107[[#This Row],[NAME]],PHI_P[[NAME]:['#]],11,0)</f>
        <v>0</v>
      </c>
      <c r="N5" s="106">
        <f>VLOOKUP(Table107[[#This Row],[NAME]],PHI_P[[NAME]:['#]],12,0)</f>
        <v>1.019367991845056</v>
      </c>
      <c r="O5" s="77">
        <f>VLOOKUP(Table107[[#This Row],[NAME]],PHI_P[[NAME]:['#]],13,0)</f>
        <v>9</v>
      </c>
      <c r="P5" s="588">
        <f>VLOOKUP(Table107[[#This Row],[NAME]],PHI_P[[NAME]:['#]],14,0)</f>
        <v>5</v>
      </c>
      <c r="Q5" s="28">
        <f>VLOOKUP(Table107[[#This Row],[NAME]],PHI_P[[NAME]:['#]],15,0)</f>
        <v>0</v>
      </c>
      <c r="R5" s="28">
        <f>VLOOKUP(Table107[[#This Row],[NAME]],PHI_P[[NAME]:['#]],16,0)</f>
        <v>0</v>
      </c>
      <c r="S5" s="75">
        <v>3</v>
      </c>
      <c r="V5" s="136" t="s">
        <v>770</v>
      </c>
      <c r="W5" s="137" t="s">
        <v>206</v>
      </c>
      <c r="X5" s="137" t="s">
        <v>791</v>
      </c>
      <c r="Y5" s="135">
        <v>3.3921302578018997</v>
      </c>
      <c r="Z5" s="77">
        <v>4</v>
      </c>
      <c r="AA5" s="28">
        <v>1</v>
      </c>
      <c r="AB5" s="77">
        <v>10</v>
      </c>
      <c r="AC5" s="584">
        <v>66.33</v>
      </c>
      <c r="AD5" s="28">
        <v>65</v>
      </c>
      <c r="AE5" s="28">
        <v>25</v>
      </c>
      <c r="AF5" s="28">
        <v>16</v>
      </c>
      <c r="AG5" s="28">
        <v>69</v>
      </c>
      <c r="AH5" s="28">
        <v>0</v>
      </c>
      <c r="AI5" s="106">
        <v>1.2211668928086838</v>
      </c>
      <c r="AJ5" s="77">
        <v>7</v>
      </c>
      <c r="AK5" s="588">
        <v>4</v>
      </c>
      <c r="AL5" s="28">
        <v>0</v>
      </c>
      <c r="AM5" s="28">
        <v>0</v>
      </c>
      <c r="AN5" s="75">
        <v>3</v>
      </c>
      <c r="AQ5" s="365" t="s">
        <v>770</v>
      </c>
      <c r="AR5" s="77" t="s">
        <v>206</v>
      </c>
      <c r="AS5" s="77" t="s">
        <v>791</v>
      </c>
      <c r="AT5" s="135">
        <v>2.9432674534338119</v>
      </c>
      <c r="AU5" s="77">
        <v>6</v>
      </c>
      <c r="AV5" s="28">
        <v>2</v>
      </c>
      <c r="AW5" s="77">
        <v>10</v>
      </c>
      <c r="AX5" s="584">
        <v>70.33</v>
      </c>
      <c r="AY5" s="28">
        <v>66</v>
      </c>
      <c r="AZ5" s="28">
        <v>23</v>
      </c>
      <c r="BA5" s="28">
        <v>20</v>
      </c>
      <c r="BB5" s="28">
        <v>59</v>
      </c>
      <c r="BC5" s="588">
        <v>0</v>
      </c>
      <c r="BD5" s="106">
        <v>1.2228067680932746</v>
      </c>
      <c r="BE5" s="77">
        <v>6</v>
      </c>
      <c r="BF5" s="28">
        <v>3</v>
      </c>
      <c r="BG5" s="28">
        <v>1</v>
      </c>
      <c r="BH5" s="28">
        <v>1</v>
      </c>
      <c r="BI5" s="75">
        <v>3</v>
      </c>
    </row>
    <row r="6" spans="1:61">
      <c r="A6" s="136" t="s">
        <v>770</v>
      </c>
      <c r="B6" s="115" t="s">
        <v>206</v>
      </c>
      <c r="C6" s="116" t="s">
        <v>792</v>
      </c>
      <c r="D6" s="106">
        <f>VLOOKUP(Table107[[#This Row],[NAME]],PHI_P[[NAME]:['#]],2,0)</f>
        <v>4.8</v>
      </c>
      <c r="E6" s="77">
        <f>VLOOKUP(Table107[[#This Row],[NAME]],PHI_P[[NAME]:['#]],3,0)</f>
        <v>3</v>
      </c>
      <c r="F6" s="28">
        <f>VLOOKUP(Table107[[#This Row],[NAME]],PHI_P[[NAME]:['#]],4,0)</f>
        <v>3</v>
      </c>
      <c r="G6" s="77">
        <f>VLOOKUP(Table107[[#This Row],[NAME]],PHI_P[[NAME]:['#]],5,0)</f>
        <v>10</v>
      </c>
      <c r="H6" s="584">
        <f>VLOOKUP(Table107[[#This Row],[NAME]],PHI_P[[NAME]:['#]],6,0)</f>
        <v>60</v>
      </c>
      <c r="I6" s="28">
        <f>VLOOKUP(Table107[[#This Row],[NAME]],PHI_P[[NAME]:['#]],7,0)</f>
        <v>70</v>
      </c>
      <c r="J6" s="28">
        <f>VLOOKUP(Table107[[#This Row],[NAME]],PHI_P[[NAME]:['#]],8,0)</f>
        <v>32</v>
      </c>
      <c r="K6" s="28">
        <f>VLOOKUP(Table107[[#This Row],[NAME]],PHI_P[[NAME]:['#]],9,0)</f>
        <v>16</v>
      </c>
      <c r="L6" s="28">
        <f>VLOOKUP(Table107[[#This Row],[NAME]],PHI_P[[NAME]:['#]],10,0)</f>
        <v>46</v>
      </c>
      <c r="M6" s="28">
        <f>VLOOKUP(Table107[[#This Row],[NAME]],PHI_P[[NAME]:['#]],11,0)</f>
        <v>0</v>
      </c>
      <c r="N6" s="106">
        <f>VLOOKUP(Table107[[#This Row],[NAME]],PHI_P[[NAME]:['#]],12,0)</f>
        <v>1.4333333333333333</v>
      </c>
      <c r="O6" s="77">
        <f>VLOOKUP(Table107[[#This Row],[NAME]],PHI_P[[NAME]:['#]],13,0)</f>
        <v>4</v>
      </c>
      <c r="P6" s="588">
        <f>VLOOKUP(Table107[[#This Row],[NAME]],PHI_P[[NAME]:['#]],14,0)</f>
        <v>3</v>
      </c>
      <c r="Q6" s="28">
        <f>VLOOKUP(Table107[[#This Row],[NAME]],PHI_P[[NAME]:['#]],15,0)</f>
        <v>2</v>
      </c>
      <c r="R6" s="28">
        <f>VLOOKUP(Table107[[#This Row],[NAME]],PHI_P[[NAME]:['#]],16,0)</f>
        <v>2</v>
      </c>
      <c r="S6" s="75">
        <v>4</v>
      </c>
      <c r="V6" s="136" t="s">
        <v>770</v>
      </c>
      <c r="W6" s="137" t="s">
        <v>206</v>
      </c>
      <c r="X6" s="116" t="s">
        <v>792</v>
      </c>
      <c r="Y6" s="135">
        <v>4.7095761381475665</v>
      </c>
      <c r="Z6" s="77">
        <v>4</v>
      </c>
      <c r="AA6" s="28">
        <v>3</v>
      </c>
      <c r="AB6" s="77">
        <v>10</v>
      </c>
      <c r="AC6" s="584">
        <v>57.33</v>
      </c>
      <c r="AD6" s="28">
        <v>63</v>
      </c>
      <c r="AE6" s="28">
        <v>30</v>
      </c>
      <c r="AF6" s="28">
        <v>22</v>
      </c>
      <c r="AG6" s="28">
        <v>49</v>
      </c>
      <c r="AH6" s="28">
        <v>0</v>
      </c>
      <c r="AI6" s="106">
        <v>1.4826443397871969</v>
      </c>
      <c r="AJ6" s="77">
        <v>4</v>
      </c>
      <c r="AK6" s="588">
        <v>1</v>
      </c>
      <c r="AL6" s="28">
        <v>0</v>
      </c>
      <c r="AM6" s="28">
        <v>0</v>
      </c>
      <c r="AN6" s="75">
        <v>4</v>
      </c>
      <c r="AQ6" s="365" t="s">
        <v>770</v>
      </c>
      <c r="AR6" s="77" t="s">
        <v>365</v>
      </c>
      <c r="AS6" s="77" t="s">
        <v>792</v>
      </c>
      <c r="AT6" s="135">
        <v>5.661290322580645</v>
      </c>
      <c r="AU6" s="77">
        <v>2</v>
      </c>
      <c r="AV6" s="28">
        <v>3</v>
      </c>
      <c r="AW6" s="77">
        <v>10</v>
      </c>
      <c r="AX6" s="584">
        <v>62</v>
      </c>
      <c r="AY6" s="28">
        <v>66</v>
      </c>
      <c r="AZ6" s="28">
        <v>39</v>
      </c>
      <c r="BA6" s="28">
        <v>24</v>
      </c>
      <c r="BB6" s="28">
        <v>56</v>
      </c>
      <c r="BC6" s="588">
        <v>0</v>
      </c>
      <c r="BD6" s="106">
        <v>1.4516129032258065</v>
      </c>
      <c r="BE6" s="77">
        <v>5</v>
      </c>
      <c r="BF6" s="28">
        <v>2</v>
      </c>
      <c r="BG6" s="28">
        <v>1</v>
      </c>
      <c r="BH6" s="28">
        <v>1</v>
      </c>
      <c r="BI6" s="75">
        <v>4</v>
      </c>
    </row>
    <row r="7" spans="1:61">
      <c r="A7" s="136" t="s">
        <v>770</v>
      </c>
      <c r="B7" s="115" t="s">
        <v>212</v>
      </c>
      <c r="C7" s="116" t="s">
        <v>793</v>
      </c>
      <c r="D7" s="106">
        <f>VLOOKUP(Table107[[#This Row],[NAME]],PHI_P[[NAME]:['#]],2,0)</f>
        <v>3.5415641908509596</v>
      </c>
      <c r="E7" s="77">
        <f>VLOOKUP(Table107[[#This Row],[NAME]],PHI_P[[NAME]:['#]],3,0)</f>
        <v>2</v>
      </c>
      <c r="F7" s="28">
        <f>VLOOKUP(Table107[[#This Row],[NAME]],PHI_P[[NAME]:['#]],4,0)</f>
        <v>0</v>
      </c>
      <c r="G7" s="77">
        <f>VLOOKUP(Table107[[#This Row],[NAME]],PHI_P[[NAME]:['#]],5,0)</f>
        <v>9</v>
      </c>
      <c r="H7" s="584">
        <f>VLOOKUP(Table107[[#This Row],[NAME]],PHI_P[[NAME]:['#]],6,0)</f>
        <v>20.329999999999998</v>
      </c>
      <c r="I7" s="28">
        <f>VLOOKUP(Table107[[#This Row],[NAME]],PHI_P[[NAME]:['#]],7,0)</f>
        <v>21</v>
      </c>
      <c r="J7" s="28">
        <f>VLOOKUP(Table107[[#This Row],[NAME]],PHI_P[[NAME]:['#]],8,0)</f>
        <v>8</v>
      </c>
      <c r="K7" s="28">
        <f>VLOOKUP(Table107[[#This Row],[NAME]],PHI_P[[NAME]:['#]],9,0)</f>
        <v>6</v>
      </c>
      <c r="L7" s="28">
        <f>VLOOKUP(Table107[[#This Row],[NAME]],PHI_P[[NAME]:['#]],10,0)</f>
        <v>20</v>
      </c>
      <c r="M7" s="28">
        <f>VLOOKUP(Table107[[#This Row],[NAME]],PHI_P[[NAME]:['#]],11,0)</f>
        <v>0</v>
      </c>
      <c r="N7" s="106">
        <f>VLOOKUP(Table107[[#This Row],[NAME]],PHI_P[[NAME]:['#]],12,0)</f>
        <v>1.3280865715691097</v>
      </c>
      <c r="O7" s="77">
        <f>VLOOKUP(Table107[[#This Row],[NAME]],PHI_P[[NAME]:['#]],13,0)</f>
        <v>0</v>
      </c>
      <c r="P7" s="588">
        <f>VLOOKUP(Table107[[#This Row],[NAME]],PHI_P[[NAME]:['#]],14,0)</f>
        <v>0</v>
      </c>
      <c r="Q7" s="28">
        <f>VLOOKUP(Table107[[#This Row],[NAME]],PHI_P[[NAME]:['#]],15,0)</f>
        <v>0</v>
      </c>
      <c r="R7" s="28">
        <f>VLOOKUP(Table107[[#This Row],[NAME]],PHI_P[[NAME]:['#]],16,0)</f>
        <v>0</v>
      </c>
      <c r="S7" s="75">
        <v>5</v>
      </c>
      <c r="V7" s="136" t="s">
        <v>770</v>
      </c>
      <c r="W7" s="137" t="s">
        <v>212</v>
      </c>
      <c r="X7" s="132" t="s">
        <v>793</v>
      </c>
      <c r="Y7" s="135">
        <v>3.1906190346332148</v>
      </c>
      <c r="Z7" s="77">
        <v>2</v>
      </c>
      <c r="AA7" s="28">
        <v>1</v>
      </c>
      <c r="AB7" s="77">
        <v>15</v>
      </c>
      <c r="AC7" s="584">
        <v>36.67</v>
      </c>
      <c r="AD7" s="28">
        <v>27</v>
      </c>
      <c r="AE7" s="28">
        <v>13</v>
      </c>
      <c r="AF7" s="28">
        <v>16</v>
      </c>
      <c r="AG7" s="28">
        <v>39</v>
      </c>
      <c r="AH7" s="28">
        <v>0</v>
      </c>
      <c r="AI7" s="106">
        <v>1.1726206708481046</v>
      </c>
      <c r="AJ7" s="77">
        <v>0</v>
      </c>
      <c r="AK7" s="588">
        <v>0</v>
      </c>
      <c r="AL7" s="28">
        <v>0</v>
      </c>
      <c r="AM7" s="28">
        <v>0</v>
      </c>
      <c r="AN7" s="75">
        <v>5</v>
      </c>
      <c r="AQ7" s="365" t="s">
        <v>770</v>
      </c>
      <c r="AR7" s="77" t="s">
        <v>212</v>
      </c>
      <c r="AS7" s="77" t="s">
        <v>793</v>
      </c>
      <c r="AT7" s="135">
        <v>1.6363636363636365</v>
      </c>
      <c r="AU7" s="77">
        <v>0</v>
      </c>
      <c r="AV7" s="28">
        <v>0</v>
      </c>
      <c r="AW7" s="77">
        <v>6</v>
      </c>
      <c r="AX7" s="584">
        <v>11</v>
      </c>
      <c r="AY7" s="28">
        <v>8</v>
      </c>
      <c r="AZ7" s="28">
        <v>2</v>
      </c>
      <c r="BA7" s="28">
        <v>2</v>
      </c>
      <c r="BB7" s="28">
        <v>8</v>
      </c>
      <c r="BC7" s="588">
        <v>0</v>
      </c>
      <c r="BD7" s="106">
        <v>0.90909090909090906</v>
      </c>
      <c r="BE7" s="77">
        <v>0</v>
      </c>
      <c r="BF7" s="28">
        <v>0</v>
      </c>
      <c r="BG7" s="28">
        <v>0</v>
      </c>
      <c r="BH7" s="28">
        <v>0</v>
      </c>
      <c r="BI7" s="75">
        <v>5</v>
      </c>
    </row>
    <row r="8" spans="1:61">
      <c r="A8" s="136" t="s">
        <v>770</v>
      </c>
      <c r="B8" s="115" t="s">
        <v>212</v>
      </c>
      <c r="C8" s="116" t="s">
        <v>797</v>
      </c>
      <c r="D8" s="106">
        <f>VLOOKUP(Table107[[#This Row],[NAME]],PHI_P[[NAME]:['#]],2,0)</f>
        <v>4.4090630740967551</v>
      </c>
      <c r="E8" s="77">
        <f>VLOOKUP(Table107[[#This Row],[NAME]],PHI_P[[NAME]:['#]],3,0)</f>
        <v>1</v>
      </c>
      <c r="F8" s="28">
        <f>VLOOKUP(Table107[[#This Row],[NAME]],PHI_P[[NAME]:['#]],4,0)</f>
        <v>0</v>
      </c>
      <c r="G8" s="77">
        <f>VLOOKUP(Table107[[#This Row],[NAME]],PHI_P[[NAME]:['#]],5,0)</f>
        <v>12</v>
      </c>
      <c r="H8" s="584">
        <f>VLOOKUP(Table107[[#This Row],[NAME]],PHI_P[[NAME]:['#]],6,0)</f>
        <v>16.329999999999998</v>
      </c>
      <c r="I8" s="28">
        <f>VLOOKUP(Table107[[#This Row],[NAME]],PHI_P[[NAME]:['#]],7,0)</f>
        <v>17</v>
      </c>
      <c r="J8" s="28">
        <f>VLOOKUP(Table107[[#This Row],[NAME]],PHI_P[[NAME]:['#]],8,0)</f>
        <v>8</v>
      </c>
      <c r="K8" s="28">
        <f>VLOOKUP(Table107[[#This Row],[NAME]],PHI_P[[NAME]:['#]],9,0)</f>
        <v>5</v>
      </c>
      <c r="L8" s="28">
        <f>VLOOKUP(Table107[[#This Row],[NAME]],PHI_P[[NAME]:['#]],10,0)</f>
        <v>19</v>
      </c>
      <c r="M8" s="28">
        <f>VLOOKUP(Table107[[#This Row],[NAME]],PHI_P[[NAME]:['#]],11,0)</f>
        <v>1</v>
      </c>
      <c r="N8" s="106">
        <f>VLOOKUP(Table107[[#This Row],[NAME]],PHI_P[[NAME]:['#]],12,0)</f>
        <v>1.3472137170851195</v>
      </c>
      <c r="O8" s="77">
        <f>VLOOKUP(Table107[[#This Row],[NAME]],PHI_P[[NAME]:['#]],13,0)</f>
        <v>0</v>
      </c>
      <c r="P8" s="588">
        <f>VLOOKUP(Table107[[#This Row],[NAME]],PHI_P[[NAME]:['#]],14,0)</f>
        <v>0</v>
      </c>
      <c r="Q8" s="28">
        <f>VLOOKUP(Table107[[#This Row],[NAME]],PHI_P[[NAME]:['#]],15,0)</f>
        <v>0</v>
      </c>
      <c r="R8" s="28">
        <f>VLOOKUP(Table107[[#This Row],[NAME]],PHI_P[[NAME]:['#]],16,0)</f>
        <v>0</v>
      </c>
      <c r="S8" s="75">
        <v>6</v>
      </c>
      <c r="V8" s="136" t="s">
        <v>770</v>
      </c>
      <c r="W8" s="137" t="s">
        <v>212</v>
      </c>
      <c r="X8" s="132" t="s">
        <v>797</v>
      </c>
      <c r="Y8" s="135">
        <v>4.7426023510336437</v>
      </c>
      <c r="Z8" s="77">
        <v>2</v>
      </c>
      <c r="AA8" s="28">
        <v>2</v>
      </c>
      <c r="AB8" s="77">
        <v>22</v>
      </c>
      <c r="AC8" s="584">
        <v>24.67</v>
      </c>
      <c r="AD8" s="28">
        <v>30</v>
      </c>
      <c r="AE8" s="28">
        <v>13</v>
      </c>
      <c r="AF8" s="28">
        <v>6</v>
      </c>
      <c r="AG8" s="28">
        <v>28</v>
      </c>
      <c r="AH8" s="28">
        <v>0</v>
      </c>
      <c r="AI8" s="106">
        <v>1.4592622618565059</v>
      </c>
      <c r="AJ8" s="77">
        <v>0</v>
      </c>
      <c r="AK8" s="588">
        <v>0</v>
      </c>
      <c r="AL8" s="28">
        <v>0</v>
      </c>
      <c r="AM8" s="28">
        <v>0</v>
      </c>
      <c r="AN8" s="75">
        <v>6</v>
      </c>
      <c r="AQ8" s="365" t="s">
        <v>770</v>
      </c>
      <c r="AR8" s="77" t="s">
        <v>212</v>
      </c>
      <c r="AS8" s="77" t="s">
        <v>797</v>
      </c>
      <c r="AT8" s="135">
        <v>3.4460753031269942</v>
      </c>
      <c r="AU8" s="77">
        <v>0</v>
      </c>
      <c r="AV8" s="28">
        <v>2</v>
      </c>
      <c r="AW8" s="77">
        <v>15</v>
      </c>
      <c r="AX8" s="584">
        <v>15.67</v>
      </c>
      <c r="AY8" s="28">
        <v>14</v>
      </c>
      <c r="AZ8" s="28">
        <v>6</v>
      </c>
      <c r="BA8" s="28">
        <v>8</v>
      </c>
      <c r="BB8" s="28">
        <v>14</v>
      </c>
      <c r="BC8" s="588">
        <v>1</v>
      </c>
      <c r="BD8" s="106">
        <v>1.4039566049776644</v>
      </c>
      <c r="BE8" s="77">
        <v>0</v>
      </c>
      <c r="BF8" s="28">
        <v>0</v>
      </c>
      <c r="BG8" s="28">
        <v>0</v>
      </c>
      <c r="BH8" s="28">
        <v>0</v>
      </c>
      <c r="BI8" s="75">
        <v>6</v>
      </c>
    </row>
    <row r="9" spans="1:61">
      <c r="A9" s="136" t="s">
        <v>770</v>
      </c>
      <c r="B9" s="115" t="s">
        <v>212</v>
      </c>
      <c r="C9" s="116" t="s">
        <v>798</v>
      </c>
      <c r="D9" s="106">
        <f>VLOOKUP(Table107[[#This Row],[NAME]],PHI_P[[NAME]:['#]],2,0)</f>
        <v>4.5947670708359922</v>
      </c>
      <c r="E9" s="77">
        <f>VLOOKUP(Table107[[#This Row],[NAME]],PHI_P[[NAME]:['#]],3,0)</f>
        <v>1</v>
      </c>
      <c r="F9" s="28">
        <f>VLOOKUP(Table107[[#This Row],[NAME]],PHI_P[[NAME]:['#]],4,0)</f>
        <v>1</v>
      </c>
      <c r="G9" s="77">
        <f>VLOOKUP(Table107[[#This Row],[NAME]],PHI_P[[NAME]:['#]],5,0)</f>
        <v>12</v>
      </c>
      <c r="H9" s="584">
        <f>VLOOKUP(Table107[[#This Row],[NAME]],PHI_P[[NAME]:['#]],6,0)</f>
        <v>15.67</v>
      </c>
      <c r="I9" s="28">
        <f>VLOOKUP(Table107[[#This Row],[NAME]],PHI_P[[NAME]:['#]],7,0)</f>
        <v>18</v>
      </c>
      <c r="J9" s="28">
        <f>VLOOKUP(Table107[[#This Row],[NAME]],PHI_P[[NAME]:['#]],8,0)</f>
        <v>8</v>
      </c>
      <c r="K9" s="28">
        <f>VLOOKUP(Table107[[#This Row],[NAME]],PHI_P[[NAME]:['#]],9,0)</f>
        <v>4</v>
      </c>
      <c r="L9" s="28">
        <f>VLOOKUP(Table107[[#This Row],[NAME]],PHI_P[[NAME]:['#]],10,0)</f>
        <v>18</v>
      </c>
      <c r="M9" s="28">
        <f>VLOOKUP(Table107[[#This Row],[NAME]],PHI_P[[NAME]:['#]],11,0)</f>
        <v>0</v>
      </c>
      <c r="N9" s="106">
        <f>VLOOKUP(Table107[[#This Row],[NAME]],PHI_P[[NAME]:['#]],12,0)</f>
        <v>1.4039566049776644</v>
      </c>
      <c r="O9" s="77">
        <f>VLOOKUP(Table107[[#This Row],[NAME]],PHI_P[[NAME]:['#]],13,0)</f>
        <v>0</v>
      </c>
      <c r="P9" s="588">
        <f>VLOOKUP(Table107[[#This Row],[NAME]],PHI_P[[NAME]:['#]],14,0)</f>
        <v>0</v>
      </c>
      <c r="Q9" s="28">
        <f>VLOOKUP(Table107[[#This Row],[NAME]],PHI_P[[NAME]:['#]],15,0)</f>
        <v>0</v>
      </c>
      <c r="R9" s="28">
        <f>VLOOKUP(Table107[[#This Row],[NAME]],PHI_P[[NAME]:['#]],16,0)</f>
        <v>0</v>
      </c>
      <c r="S9" s="75">
        <v>7</v>
      </c>
      <c r="V9" s="136" t="s">
        <v>770</v>
      </c>
      <c r="W9" s="137" t="s">
        <v>212</v>
      </c>
      <c r="X9" s="132" t="s">
        <v>798</v>
      </c>
      <c r="Y9" s="135">
        <v>3</v>
      </c>
      <c r="Z9" s="77">
        <v>0</v>
      </c>
      <c r="AA9" s="28">
        <v>2</v>
      </c>
      <c r="AB9" s="77">
        <v>16</v>
      </c>
      <c r="AC9" s="584">
        <v>21</v>
      </c>
      <c r="AD9" s="28">
        <v>15</v>
      </c>
      <c r="AE9" s="28">
        <v>7</v>
      </c>
      <c r="AF9" s="28">
        <v>1</v>
      </c>
      <c r="AG9" s="28">
        <v>21</v>
      </c>
      <c r="AH9" s="28">
        <v>1</v>
      </c>
      <c r="AI9" s="106">
        <v>0.76190476190476186</v>
      </c>
      <c r="AJ9" s="77">
        <v>0</v>
      </c>
      <c r="AK9" s="588">
        <v>0</v>
      </c>
      <c r="AL9" s="28">
        <v>0</v>
      </c>
      <c r="AM9" s="28">
        <v>0</v>
      </c>
      <c r="AN9" s="75">
        <v>7</v>
      </c>
      <c r="AQ9" s="365" t="s">
        <v>770</v>
      </c>
      <c r="AR9" s="77" t="s">
        <v>212</v>
      </c>
      <c r="AS9" s="77" t="s">
        <v>798</v>
      </c>
      <c r="AT9" s="135">
        <v>5.5842812823164429</v>
      </c>
      <c r="AU9" s="77">
        <v>0</v>
      </c>
      <c r="AV9" s="28">
        <v>1</v>
      </c>
      <c r="AW9" s="77">
        <v>10</v>
      </c>
      <c r="AX9" s="584">
        <v>9.67</v>
      </c>
      <c r="AY9" s="28">
        <v>15</v>
      </c>
      <c r="AZ9" s="28">
        <v>6</v>
      </c>
      <c r="BA9" s="28">
        <v>5</v>
      </c>
      <c r="BB9" s="28">
        <v>6</v>
      </c>
      <c r="BC9" s="588">
        <v>0</v>
      </c>
      <c r="BD9" s="106">
        <v>2.0682523267838677</v>
      </c>
      <c r="BE9" s="77">
        <v>0</v>
      </c>
      <c r="BF9" s="28">
        <v>0</v>
      </c>
      <c r="BG9" s="28">
        <v>0</v>
      </c>
      <c r="BH9" s="28">
        <v>0</v>
      </c>
      <c r="BI9" s="75">
        <v>7</v>
      </c>
    </row>
    <row r="10" spans="1:61">
      <c r="A10" s="136" t="s">
        <v>770</v>
      </c>
      <c r="B10" s="115" t="s">
        <v>212</v>
      </c>
      <c r="C10" s="116" t="s">
        <v>795</v>
      </c>
      <c r="D10" s="106">
        <f>VLOOKUP(Table107[[#This Row],[NAME]],PHI_P[[NAME]:['#]],2,0)</f>
        <v>9</v>
      </c>
      <c r="E10" s="77">
        <f>VLOOKUP(Table107[[#This Row],[NAME]],PHI_P[[NAME]:['#]],3,0)</f>
        <v>0</v>
      </c>
      <c r="F10" s="28">
        <f>VLOOKUP(Table107[[#This Row],[NAME]],PHI_P[[NAME]:['#]],4,0)</f>
        <v>0</v>
      </c>
      <c r="G10" s="77">
        <f>VLOOKUP(Table107[[#This Row],[NAME]],PHI_P[[NAME]:['#]],5,0)</f>
        <v>3</v>
      </c>
      <c r="H10" s="584">
        <f>VLOOKUP(Table107[[#This Row],[NAME]],PHI_P[[NAME]:['#]],6,0)</f>
        <v>5</v>
      </c>
      <c r="I10" s="28">
        <f>VLOOKUP(Table107[[#This Row],[NAME]],PHI_P[[NAME]:['#]],7,0)</f>
        <v>7</v>
      </c>
      <c r="J10" s="28">
        <f>VLOOKUP(Table107[[#This Row],[NAME]],PHI_P[[NAME]:['#]],8,0)</f>
        <v>5</v>
      </c>
      <c r="K10" s="28">
        <f>VLOOKUP(Table107[[#This Row],[NAME]],PHI_P[[NAME]:['#]],9,0)</f>
        <v>3</v>
      </c>
      <c r="L10" s="28">
        <f>VLOOKUP(Table107[[#This Row],[NAME]],PHI_P[[NAME]:['#]],10,0)</f>
        <v>6</v>
      </c>
      <c r="M10" s="28">
        <f>VLOOKUP(Table107[[#This Row],[NAME]],PHI_P[[NAME]:['#]],11,0)</f>
        <v>0</v>
      </c>
      <c r="N10" s="106">
        <f>VLOOKUP(Table107[[#This Row],[NAME]],PHI_P[[NAME]:['#]],12,0)</f>
        <v>2</v>
      </c>
      <c r="O10" s="77">
        <f>VLOOKUP(Table107[[#This Row],[NAME]],PHI_P[[NAME]:['#]],13,0)</f>
        <v>0</v>
      </c>
      <c r="P10" s="588">
        <f>VLOOKUP(Table107[[#This Row],[NAME]],PHI_P[[NAME]:['#]],14,0)</f>
        <v>0</v>
      </c>
      <c r="Q10" s="28">
        <f>VLOOKUP(Table107[[#This Row],[NAME]],PHI_P[[NAME]:['#]],15,0)</f>
        <v>0</v>
      </c>
      <c r="R10" s="28">
        <f>VLOOKUP(Table107[[#This Row],[NAME]],PHI_P[[NAME]:['#]],16,0)</f>
        <v>0</v>
      </c>
      <c r="S10" s="75">
        <v>8</v>
      </c>
      <c r="V10" s="136" t="s">
        <v>770</v>
      </c>
      <c r="W10" s="137" t="s">
        <v>215</v>
      </c>
      <c r="X10" s="132" t="s">
        <v>795</v>
      </c>
      <c r="Y10" s="135">
        <v>3.0763387770603874</v>
      </c>
      <c r="Z10" s="77">
        <v>2</v>
      </c>
      <c r="AA10" s="28">
        <v>1</v>
      </c>
      <c r="AB10" s="77">
        <v>21</v>
      </c>
      <c r="AC10" s="584">
        <v>26.33</v>
      </c>
      <c r="AD10" s="28">
        <v>21</v>
      </c>
      <c r="AE10" s="28">
        <v>9</v>
      </c>
      <c r="AF10" s="28">
        <v>14</v>
      </c>
      <c r="AG10" s="28">
        <v>27</v>
      </c>
      <c r="AH10" s="28">
        <v>8</v>
      </c>
      <c r="AI10" s="106">
        <v>1.329282187618686</v>
      </c>
      <c r="AJ10" s="77">
        <v>0</v>
      </c>
      <c r="AK10" s="588">
        <v>0</v>
      </c>
      <c r="AL10" s="28">
        <v>0</v>
      </c>
      <c r="AM10" s="28">
        <v>0</v>
      </c>
      <c r="AN10" s="75">
        <v>8</v>
      </c>
      <c r="AQ10" s="365" t="s">
        <v>770</v>
      </c>
      <c r="AR10" s="77" t="s">
        <v>215</v>
      </c>
      <c r="AS10" s="77" t="s">
        <v>796</v>
      </c>
      <c r="AT10" s="135">
        <v>0</v>
      </c>
      <c r="AU10" s="77">
        <v>0</v>
      </c>
      <c r="AV10" s="28">
        <v>0</v>
      </c>
      <c r="AW10" s="77">
        <v>3</v>
      </c>
      <c r="AX10" s="584">
        <v>2.67</v>
      </c>
      <c r="AY10" s="28">
        <v>1</v>
      </c>
      <c r="AZ10" s="28">
        <v>0</v>
      </c>
      <c r="BA10" s="28">
        <v>1</v>
      </c>
      <c r="BB10" s="28">
        <v>3</v>
      </c>
      <c r="BC10" s="588">
        <v>0</v>
      </c>
      <c r="BD10" s="106">
        <v>0.74906367041198507</v>
      </c>
      <c r="BE10" s="77">
        <v>0</v>
      </c>
      <c r="BF10" s="28">
        <v>0</v>
      </c>
      <c r="BG10" s="28">
        <v>0</v>
      </c>
      <c r="BH10" s="28">
        <v>0</v>
      </c>
      <c r="BI10" s="75">
        <v>8</v>
      </c>
    </row>
    <row r="11" spans="1:61">
      <c r="A11" s="136" t="s">
        <v>770</v>
      </c>
      <c r="B11" s="115" t="s">
        <v>212</v>
      </c>
      <c r="C11" s="116" t="s">
        <v>794</v>
      </c>
      <c r="D11" s="106">
        <f>VLOOKUP(Table107[[#This Row],[NAME]],PHI_P[[NAME]:['#]],2,0)</f>
        <v>4.6956521739130439</v>
      </c>
      <c r="E11" s="77">
        <f>VLOOKUP(Table107[[#This Row],[NAME]],PHI_P[[NAME]:['#]],3,0)</f>
        <v>4</v>
      </c>
      <c r="F11" s="28">
        <f>VLOOKUP(Table107[[#This Row],[NAME]],PHI_P[[NAME]:['#]],4,0)</f>
        <v>1</v>
      </c>
      <c r="G11" s="77">
        <f>VLOOKUP(Table107[[#This Row],[NAME]],PHI_P[[NAME]:['#]],5,0)</f>
        <v>19</v>
      </c>
      <c r="H11" s="584">
        <f>VLOOKUP(Table107[[#This Row],[NAME]],PHI_P[[NAME]:['#]],6,0)</f>
        <v>23</v>
      </c>
      <c r="I11" s="28">
        <f>VLOOKUP(Table107[[#This Row],[NAME]],PHI_P[[NAME]:['#]],7,0)</f>
        <v>23</v>
      </c>
      <c r="J11" s="28">
        <f>VLOOKUP(Table107[[#This Row],[NAME]],PHI_P[[NAME]:['#]],8,0)</f>
        <v>12</v>
      </c>
      <c r="K11" s="28">
        <f>VLOOKUP(Table107[[#This Row],[NAME]],PHI_P[[NAME]:['#]],9,0)</f>
        <v>8</v>
      </c>
      <c r="L11" s="28">
        <f>VLOOKUP(Table107[[#This Row],[NAME]],PHI_P[[NAME]:['#]],10,0)</f>
        <v>31</v>
      </c>
      <c r="M11" s="28">
        <f>VLOOKUP(Table107[[#This Row],[NAME]],PHI_P[[NAME]:['#]],11,0)</f>
        <v>1</v>
      </c>
      <c r="N11" s="106">
        <f>VLOOKUP(Table107[[#This Row],[NAME]],PHI_P[[NAME]:['#]],12,0)</f>
        <v>1.3478260869565217</v>
      </c>
      <c r="O11" s="77">
        <f>VLOOKUP(Table107[[#This Row],[NAME]],PHI_P[[NAME]:['#]],13,0)</f>
        <v>0</v>
      </c>
      <c r="P11" s="588">
        <f>VLOOKUP(Table107[[#This Row],[NAME]],PHI_P[[NAME]:['#]],14,0)</f>
        <v>0</v>
      </c>
      <c r="Q11" s="28">
        <f>VLOOKUP(Table107[[#This Row],[NAME]],PHI_P[[NAME]:['#]],15,0)</f>
        <v>0</v>
      </c>
      <c r="R11" s="28">
        <f>VLOOKUP(Table107[[#This Row],[NAME]],PHI_P[[NAME]:['#]],16,0)</f>
        <v>0</v>
      </c>
      <c r="S11" s="75">
        <v>9</v>
      </c>
      <c r="V11" s="136" t="s">
        <v>770</v>
      </c>
      <c r="W11" s="137" t="s">
        <v>215</v>
      </c>
      <c r="X11" s="77" t="s">
        <v>794</v>
      </c>
      <c r="Y11" s="135">
        <v>0</v>
      </c>
      <c r="Z11" s="77">
        <v>0</v>
      </c>
      <c r="AA11" s="28">
        <v>0</v>
      </c>
      <c r="AB11" s="77">
        <v>0</v>
      </c>
      <c r="AC11" s="584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106">
        <v>0</v>
      </c>
      <c r="AJ11" s="77">
        <v>0</v>
      </c>
      <c r="AK11" s="588">
        <v>0</v>
      </c>
      <c r="AL11" s="28">
        <v>0</v>
      </c>
      <c r="AM11" s="28">
        <v>0</v>
      </c>
      <c r="AN11" s="75">
        <v>9</v>
      </c>
      <c r="AQ11" s="365" t="s">
        <v>770</v>
      </c>
      <c r="AR11" s="77" t="s">
        <v>212</v>
      </c>
      <c r="AS11" s="77" t="s">
        <v>799</v>
      </c>
      <c r="AT11" s="135">
        <v>2.015226153157188</v>
      </c>
      <c r="AU11" s="77">
        <v>2</v>
      </c>
      <c r="AV11" s="28">
        <v>1</v>
      </c>
      <c r="AW11" s="77">
        <v>21</v>
      </c>
      <c r="AX11" s="584">
        <v>22.33</v>
      </c>
      <c r="AY11" s="28">
        <v>22</v>
      </c>
      <c r="AZ11" s="28">
        <v>5</v>
      </c>
      <c r="BA11" s="28">
        <v>12</v>
      </c>
      <c r="BB11" s="28">
        <v>33</v>
      </c>
      <c r="BC11" s="588">
        <v>1</v>
      </c>
      <c r="BD11" s="106">
        <v>1.5226153157187641</v>
      </c>
      <c r="BE11" s="77">
        <v>0</v>
      </c>
      <c r="BF11" s="28">
        <v>0</v>
      </c>
      <c r="BG11" s="28">
        <v>0</v>
      </c>
      <c r="BH11" s="28">
        <v>0</v>
      </c>
      <c r="BI11" s="75">
        <v>9</v>
      </c>
    </row>
    <row r="12" spans="1:61">
      <c r="A12" s="136" t="s">
        <v>770</v>
      </c>
      <c r="B12" s="115" t="s">
        <v>212</v>
      </c>
      <c r="C12" s="116" t="s">
        <v>796</v>
      </c>
      <c r="D12" s="106">
        <f>VLOOKUP(Table107[[#This Row],[NAME]],PHI_P[[NAME]:['#]],2,0)</f>
        <v>10.948905109489051</v>
      </c>
      <c r="E12" s="77">
        <f>VLOOKUP(Table107[[#This Row],[NAME]],PHI_P[[NAME]:['#]],3,0)</f>
        <v>0</v>
      </c>
      <c r="F12" s="28">
        <f>VLOOKUP(Table107[[#This Row],[NAME]],PHI_P[[NAME]:['#]],4,0)</f>
        <v>3</v>
      </c>
      <c r="G12" s="77">
        <f>VLOOKUP(Table107[[#This Row],[NAME]],PHI_P[[NAME]:['#]],5,0)</f>
        <v>13</v>
      </c>
      <c r="H12" s="584">
        <f>VLOOKUP(Table107[[#This Row],[NAME]],PHI_P[[NAME]:['#]],6,0)</f>
        <v>12.33</v>
      </c>
      <c r="I12" s="28">
        <f>VLOOKUP(Table107[[#This Row],[NAME]],PHI_P[[NAME]:['#]],7,0)</f>
        <v>19</v>
      </c>
      <c r="J12" s="28">
        <f>VLOOKUP(Table107[[#This Row],[NAME]],PHI_P[[NAME]:['#]],8,0)</f>
        <v>15</v>
      </c>
      <c r="K12" s="28">
        <f>VLOOKUP(Table107[[#This Row],[NAME]],PHI_P[[NAME]:['#]],9,0)</f>
        <v>7</v>
      </c>
      <c r="L12" s="28">
        <f>VLOOKUP(Table107[[#This Row],[NAME]],PHI_P[[NAME]:['#]],10,0)</f>
        <v>12</v>
      </c>
      <c r="M12" s="28">
        <f>VLOOKUP(Table107[[#This Row],[NAME]],PHI_P[[NAME]:['#]],11,0)</f>
        <v>5</v>
      </c>
      <c r="N12" s="106">
        <f>VLOOKUP(Table107[[#This Row],[NAME]],PHI_P[[NAME]:['#]],12,0)</f>
        <v>2.1086780210867802</v>
      </c>
      <c r="O12" s="77">
        <f>VLOOKUP(Table107[[#This Row],[NAME]],PHI_P[[NAME]:['#]],13,0)</f>
        <v>0</v>
      </c>
      <c r="P12" s="588">
        <f>VLOOKUP(Table107[[#This Row],[NAME]],PHI_P[[NAME]:['#]],14,0)</f>
        <v>0</v>
      </c>
      <c r="Q12" s="28">
        <f>VLOOKUP(Table107[[#This Row],[NAME]],PHI_P[[NAME]:['#]],15,0)</f>
        <v>0</v>
      </c>
      <c r="R12" s="28">
        <f>VLOOKUP(Table107[[#This Row],[NAME]],PHI_P[[NAME]:['#]],16,0)</f>
        <v>0</v>
      </c>
      <c r="S12" s="75">
        <v>10</v>
      </c>
      <c r="V12" s="136" t="s">
        <v>770</v>
      </c>
      <c r="W12" s="137" t="s">
        <v>212</v>
      </c>
      <c r="X12" s="132" t="s">
        <v>796</v>
      </c>
      <c r="Y12" s="135">
        <v>3.8571428571428572</v>
      </c>
      <c r="Z12" s="77">
        <v>0</v>
      </c>
      <c r="AA12" s="28">
        <v>0</v>
      </c>
      <c r="AB12" s="77">
        <v>4</v>
      </c>
      <c r="AC12" s="584">
        <v>7</v>
      </c>
      <c r="AD12" s="28">
        <v>7</v>
      </c>
      <c r="AE12" s="28">
        <v>3</v>
      </c>
      <c r="AF12" s="28">
        <v>3</v>
      </c>
      <c r="AG12" s="28">
        <v>4</v>
      </c>
      <c r="AH12" s="28">
        <v>0</v>
      </c>
      <c r="AI12" s="106">
        <v>1.4285714285714286</v>
      </c>
      <c r="AJ12" s="77">
        <v>0</v>
      </c>
      <c r="AK12" s="588">
        <v>0</v>
      </c>
      <c r="AL12" s="28">
        <v>0</v>
      </c>
      <c r="AM12" s="28">
        <v>0</v>
      </c>
      <c r="AN12" s="75">
        <v>10</v>
      </c>
      <c r="AQ12" s="365" t="s">
        <v>770</v>
      </c>
      <c r="AR12" s="352" t="s">
        <v>212</v>
      </c>
      <c r="AS12" s="352" t="s">
        <v>800</v>
      </c>
      <c r="AT12" s="525">
        <v>1.3333333333333333</v>
      </c>
      <c r="AU12" s="77">
        <v>3</v>
      </c>
      <c r="AV12" s="28">
        <v>1</v>
      </c>
      <c r="AW12" s="77">
        <v>22</v>
      </c>
      <c r="AX12" s="584">
        <v>27</v>
      </c>
      <c r="AY12" s="28">
        <v>17</v>
      </c>
      <c r="AZ12" s="28">
        <v>4</v>
      </c>
      <c r="BA12" s="28">
        <v>8</v>
      </c>
      <c r="BB12" s="28">
        <v>27</v>
      </c>
      <c r="BC12" s="588">
        <v>9</v>
      </c>
      <c r="BD12" s="106">
        <v>0.92592592592592593</v>
      </c>
      <c r="BE12" s="77">
        <v>0</v>
      </c>
      <c r="BF12" s="28">
        <v>0</v>
      </c>
      <c r="BG12" s="28">
        <v>0</v>
      </c>
      <c r="BH12" s="28">
        <v>0</v>
      </c>
      <c r="BI12" s="75">
        <v>10</v>
      </c>
    </row>
    <row r="13" spans="1:61">
      <c r="A13" s="101" t="s">
        <v>804</v>
      </c>
      <c r="B13" s="71" t="s">
        <v>206</v>
      </c>
      <c r="C13" s="71" t="s">
        <v>820</v>
      </c>
      <c r="D13" s="89">
        <f>VLOOKUP(Table107[[#This Row],[NAME]],NYM_P[[NAME]:['#]],2,0)</f>
        <v>2.1408748513281353</v>
      </c>
      <c r="E13" s="77">
        <f>VLOOKUP(Table107[[#This Row],[NAME]],NYM_P[[NAME]:['#]],3,0)</f>
        <v>5</v>
      </c>
      <c r="F13" s="28">
        <f>VLOOKUP(Table107[[#This Row],[NAME]],NYM_P[[NAME]:['#]],4,0)</f>
        <v>4</v>
      </c>
      <c r="G13" s="77">
        <f>VLOOKUP(Table107[[#This Row],[NAME]],NYM_P[[NAME]:['#]],5,0)</f>
        <v>10</v>
      </c>
      <c r="H13" s="582">
        <f>VLOOKUP(Table107[[#This Row],[NAME]],NYM_P[[NAME]:['#]],6,0)</f>
        <v>75.67</v>
      </c>
      <c r="I13" s="28">
        <f>VLOOKUP(Table107[[#This Row],[NAME]],NYM_P[[NAME]:['#]],7,0)</f>
        <v>48</v>
      </c>
      <c r="J13" s="28">
        <f>VLOOKUP(Table107[[#This Row],[NAME]],NYM_P[[NAME]:['#]],8,0)</f>
        <v>18</v>
      </c>
      <c r="K13" s="28">
        <f>VLOOKUP(Table107[[#This Row],[NAME]],NYM_P[[NAME]:['#]],9,0)</f>
        <v>13</v>
      </c>
      <c r="L13" s="28">
        <f>VLOOKUP(Table107[[#This Row],[NAME]],NYM_P[[NAME]:['#]],10,0)</f>
        <v>105</v>
      </c>
      <c r="M13" s="28">
        <f>VLOOKUP(Table107[[#This Row],[NAME]],NYM_P[[NAME]:['#]],11,0)</f>
        <v>0</v>
      </c>
      <c r="N13" s="583">
        <f>VLOOKUP(Table107[[#This Row],[NAME]],NYM_P[[NAME]:['#]],12,0)</f>
        <v>0.80613188846306327</v>
      </c>
      <c r="O13" s="77">
        <f>VLOOKUP(Table107[[#This Row],[NAME]],NYM_P[[NAME]:['#]],13,0)</f>
        <v>8</v>
      </c>
      <c r="P13" s="28">
        <f>VLOOKUP(Table107[[#This Row],[NAME]],NYM_P[[NAME]:['#]],14,0)</f>
        <v>6</v>
      </c>
      <c r="Q13" s="28">
        <f>VLOOKUP(Table107[[#This Row],[NAME]],NYM_P[[NAME]:['#]],15,0)</f>
        <v>2</v>
      </c>
      <c r="R13" s="28">
        <f>VLOOKUP(Table107[[#This Row],[NAME]],NYM_P[[NAME]:['#]],16,0)</f>
        <v>2</v>
      </c>
      <c r="S13" s="75">
        <v>11</v>
      </c>
      <c r="V13" s="101" t="s">
        <v>804</v>
      </c>
      <c r="W13" s="77" t="s">
        <v>206</v>
      </c>
      <c r="X13" s="77" t="s">
        <v>820</v>
      </c>
      <c r="Y13" s="88">
        <v>1.5129962498383551</v>
      </c>
      <c r="Z13" s="77">
        <v>5</v>
      </c>
      <c r="AA13" s="28">
        <v>2</v>
      </c>
      <c r="AB13" s="77">
        <v>10</v>
      </c>
      <c r="AC13" s="582">
        <v>77.33</v>
      </c>
      <c r="AD13" s="28">
        <v>47</v>
      </c>
      <c r="AE13" s="28">
        <v>13</v>
      </c>
      <c r="AF13" s="28">
        <v>15</v>
      </c>
      <c r="AG13" s="28">
        <v>89</v>
      </c>
      <c r="AH13" s="28">
        <v>0</v>
      </c>
      <c r="AI13" s="592">
        <v>0.80175869649553866</v>
      </c>
      <c r="AJ13" s="77">
        <v>9</v>
      </c>
      <c r="AK13" s="28">
        <v>7</v>
      </c>
      <c r="AL13" s="586">
        <v>4</v>
      </c>
      <c r="AM13" s="28">
        <v>2</v>
      </c>
      <c r="AN13" s="75">
        <v>11</v>
      </c>
      <c r="AQ13" s="101" t="s">
        <v>804</v>
      </c>
      <c r="AR13" s="77" t="s">
        <v>206</v>
      </c>
      <c r="AS13" s="77" t="s">
        <v>820</v>
      </c>
      <c r="AT13" s="135">
        <v>3.0712356035831081</v>
      </c>
      <c r="AU13" s="77">
        <v>2</v>
      </c>
      <c r="AV13" s="28">
        <v>5</v>
      </c>
      <c r="AW13" s="77">
        <v>10</v>
      </c>
      <c r="AX13" s="584">
        <v>70.33</v>
      </c>
      <c r="AY13" s="28">
        <v>53</v>
      </c>
      <c r="AZ13" s="28">
        <v>24</v>
      </c>
      <c r="BA13" s="28">
        <v>20</v>
      </c>
      <c r="BB13" s="76">
        <v>102</v>
      </c>
      <c r="BC13" s="28">
        <v>0</v>
      </c>
      <c r="BD13" s="106">
        <v>1.0379638845442911</v>
      </c>
      <c r="BE13" s="77">
        <v>8</v>
      </c>
      <c r="BF13" s="28">
        <v>6</v>
      </c>
      <c r="BG13" s="28">
        <v>1</v>
      </c>
      <c r="BH13" s="28">
        <v>1</v>
      </c>
      <c r="BI13" s="75">
        <v>11</v>
      </c>
    </row>
    <row r="14" spans="1:61">
      <c r="A14" s="101" t="s">
        <v>804</v>
      </c>
      <c r="B14" s="71" t="s">
        <v>206</v>
      </c>
      <c r="C14" s="116" t="s">
        <v>821</v>
      </c>
      <c r="D14" s="89">
        <f>VLOOKUP(Table107[[#This Row],[NAME]],NYM_P[[NAME]:['#]],2,0)</f>
        <v>3.2511386838385423</v>
      </c>
      <c r="E14" s="77">
        <f>VLOOKUP(Table107[[#This Row],[NAME]],NYM_P[[NAME]:['#]],3,0)</f>
        <v>4</v>
      </c>
      <c r="F14" s="28">
        <f>VLOOKUP(Table107[[#This Row],[NAME]],NYM_P[[NAME]:['#]],4,0)</f>
        <v>2</v>
      </c>
      <c r="G14" s="77">
        <f>VLOOKUP(Table107[[#This Row],[NAME]],NYM_P[[NAME]:['#]],5,0)</f>
        <v>10</v>
      </c>
      <c r="H14" s="584">
        <f>VLOOKUP(Table107[[#This Row],[NAME]],NYM_P[[NAME]:['#]],6,0)</f>
        <v>63.67</v>
      </c>
      <c r="I14" s="28">
        <f>VLOOKUP(Table107[[#This Row],[NAME]],NYM_P[[NAME]:['#]],7,0)</f>
        <v>72</v>
      </c>
      <c r="J14" s="28">
        <f>VLOOKUP(Table107[[#This Row],[NAME]],NYM_P[[NAME]:['#]],8,0)</f>
        <v>23</v>
      </c>
      <c r="K14" s="28">
        <f>VLOOKUP(Table107[[#This Row],[NAME]],NYM_P[[NAME]:['#]],9,0)</f>
        <v>14</v>
      </c>
      <c r="L14" s="28">
        <f>VLOOKUP(Table107[[#This Row],[NAME]],NYM_P[[NAME]:['#]],10,0)</f>
        <v>72</v>
      </c>
      <c r="M14" s="28">
        <f>VLOOKUP(Table107[[#This Row],[NAME]],NYM_P[[NAME]:['#]],11,0)</f>
        <v>0</v>
      </c>
      <c r="N14" s="106">
        <f>VLOOKUP(Table107[[#This Row],[NAME]],NYM_P[[NAME]:['#]],12,0)</f>
        <v>1.3507146222710853</v>
      </c>
      <c r="O14" s="77">
        <f>VLOOKUP(Table107[[#This Row],[NAME]],NYM_P[[NAME]:['#]],13,0)</f>
        <v>6</v>
      </c>
      <c r="P14" s="28">
        <f>VLOOKUP(Table107[[#This Row],[NAME]],NYM_P[[NAME]:['#]],14,0)</f>
        <v>5</v>
      </c>
      <c r="Q14" s="28">
        <f>VLOOKUP(Table107[[#This Row],[NAME]],NYM_P[[NAME]:['#]],15,0)</f>
        <v>0</v>
      </c>
      <c r="R14" s="28">
        <f>VLOOKUP(Table107[[#This Row],[NAME]],NYM_P[[NAME]:['#]],16,0)</f>
        <v>0</v>
      </c>
      <c r="S14" s="75">
        <v>12</v>
      </c>
      <c r="V14" s="101" t="s">
        <v>804</v>
      </c>
      <c r="W14" s="77" t="s">
        <v>206</v>
      </c>
      <c r="X14" s="77" t="s">
        <v>822</v>
      </c>
      <c r="Y14" s="88">
        <v>5.2408681842244569</v>
      </c>
      <c r="Z14" s="77">
        <v>3</v>
      </c>
      <c r="AA14" s="28">
        <v>5</v>
      </c>
      <c r="AB14" s="77">
        <v>10</v>
      </c>
      <c r="AC14" s="584">
        <v>56.67</v>
      </c>
      <c r="AD14" s="28">
        <v>61</v>
      </c>
      <c r="AE14" s="28">
        <v>33</v>
      </c>
      <c r="AF14" s="28">
        <v>14</v>
      </c>
      <c r="AG14" s="28">
        <v>54</v>
      </c>
      <c r="AH14" s="28">
        <v>0</v>
      </c>
      <c r="AI14" s="106">
        <v>1.3234515616728428</v>
      </c>
      <c r="AJ14" s="77">
        <v>7</v>
      </c>
      <c r="AK14" s="28">
        <v>3</v>
      </c>
      <c r="AL14" s="28">
        <v>0</v>
      </c>
      <c r="AM14" s="28">
        <v>0</v>
      </c>
      <c r="AN14" s="75">
        <v>12</v>
      </c>
      <c r="AQ14" s="101" t="s">
        <v>804</v>
      </c>
      <c r="AR14" s="77" t="s">
        <v>206</v>
      </c>
      <c r="AS14" s="77" t="s">
        <v>822</v>
      </c>
      <c r="AT14" s="135">
        <v>2.6007981285262143</v>
      </c>
      <c r="AU14" s="77">
        <v>5</v>
      </c>
      <c r="AV14" s="28">
        <v>3</v>
      </c>
      <c r="AW14" s="77">
        <v>10</v>
      </c>
      <c r="AX14" s="584">
        <v>72.67</v>
      </c>
      <c r="AY14" s="28">
        <v>50</v>
      </c>
      <c r="AZ14" s="28">
        <v>21</v>
      </c>
      <c r="BA14" s="28">
        <v>12</v>
      </c>
      <c r="BB14" s="28">
        <v>78</v>
      </c>
      <c r="BC14" s="28">
        <v>0</v>
      </c>
      <c r="BD14" s="106">
        <v>0.85317187284986928</v>
      </c>
      <c r="BE14" s="77">
        <v>8</v>
      </c>
      <c r="BF14" s="28">
        <v>5</v>
      </c>
      <c r="BG14" s="28">
        <v>2</v>
      </c>
      <c r="BH14" s="28">
        <v>2</v>
      </c>
      <c r="BI14" s="75">
        <v>12</v>
      </c>
    </row>
    <row r="15" spans="1:61">
      <c r="A15" s="101" t="s">
        <v>804</v>
      </c>
      <c r="B15" s="71" t="s">
        <v>206</v>
      </c>
      <c r="C15" s="71" t="s">
        <v>822</v>
      </c>
      <c r="D15" s="89">
        <f>VLOOKUP(Table107[[#This Row],[NAME]],NYM_P[[NAME]:['#]],2,0)</f>
        <v>3.7142857142857144</v>
      </c>
      <c r="E15" s="77">
        <f>VLOOKUP(Table107[[#This Row],[NAME]],NYM_P[[NAME]:['#]],3,0)</f>
        <v>5</v>
      </c>
      <c r="F15" s="28">
        <f>VLOOKUP(Table107[[#This Row],[NAME]],NYM_P[[NAME]:['#]],4,0)</f>
        <v>2</v>
      </c>
      <c r="G15" s="77">
        <f>VLOOKUP(Table107[[#This Row],[NAME]],NYM_P[[NAME]:['#]],5,0)</f>
        <v>10</v>
      </c>
      <c r="H15" s="584">
        <f>VLOOKUP(Table107[[#This Row],[NAME]],NYM_P[[NAME]:['#]],6,0)</f>
        <v>63</v>
      </c>
      <c r="I15" s="28">
        <f>VLOOKUP(Table107[[#This Row],[NAME]],NYM_P[[NAME]:['#]],7,0)</f>
        <v>59</v>
      </c>
      <c r="J15" s="28">
        <f>VLOOKUP(Table107[[#This Row],[NAME]],NYM_P[[NAME]:['#]],8,0)</f>
        <v>26</v>
      </c>
      <c r="K15" s="28">
        <f>VLOOKUP(Table107[[#This Row],[NAME]],NYM_P[[NAME]:['#]],9,0)</f>
        <v>12</v>
      </c>
      <c r="L15" s="28">
        <f>VLOOKUP(Table107[[#This Row],[NAME]],NYM_P[[NAME]:['#]],10,0)</f>
        <v>67</v>
      </c>
      <c r="M15" s="28">
        <f>VLOOKUP(Table107[[#This Row],[NAME]],NYM_P[[NAME]:['#]],11,0)</f>
        <v>0</v>
      </c>
      <c r="N15" s="106">
        <f>VLOOKUP(Table107[[#This Row],[NAME]],NYM_P[[NAME]:['#]],12,0)</f>
        <v>1.126984126984127</v>
      </c>
      <c r="O15" s="77">
        <f>VLOOKUP(Table107[[#This Row],[NAME]],NYM_P[[NAME]:['#]],13,0)</f>
        <v>4</v>
      </c>
      <c r="P15" s="28">
        <f>VLOOKUP(Table107[[#This Row],[NAME]],NYM_P[[NAME]:['#]],14,0)</f>
        <v>3</v>
      </c>
      <c r="Q15" s="28">
        <f>VLOOKUP(Table107[[#This Row],[NAME]],NYM_P[[NAME]:['#]],15,0)</f>
        <v>0</v>
      </c>
      <c r="R15" s="28">
        <f>VLOOKUP(Table107[[#This Row],[NAME]],NYM_P[[NAME]:['#]],16,0)</f>
        <v>0</v>
      </c>
      <c r="S15" s="75">
        <v>13</v>
      </c>
      <c r="V15" s="101" t="s">
        <v>804</v>
      </c>
      <c r="W15" s="77" t="s">
        <v>365</v>
      </c>
      <c r="X15" s="132" t="s">
        <v>823</v>
      </c>
      <c r="Y15" s="88">
        <v>3.7707390648567118</v>
      </c>
      <c r="Z15" s="77">
        <v>6</v>
      </c>
      <c r="AA15" s="28">
        <v>3</v>
      </c>
      <c r="AB15" s="77">
        <v>10</v>
      </c>
      <c r="AC15" s="584">
        <v>59.67</v>
      </c>
      <c r="AD15" s="28">
        <v>52</v>
      </c>
      <c r="AE15" s="28">
        <v>25</v>
      </c>
      <c r="AF15" s="28">
        <v>20</v>
      </c>
      <c r="AG15" s="28">
        <v>51</v>
      </c>
      <c r="AH15" s="28">
        <v>0</v>
      </c>
      <c r="AI15" s="106">
        <v>1.2066365007541477</v>
      </c>
      <c r="AJ15" s="77">
        <v>5</v>
      </c>
      <c r="AK15" s="28">
        <v>4</v>
      </c>
      <c r="AL15" s="28">
        <v>1</v>
      </c>
      <c r="AM15" s="28">
        <v>1</v>
      </c>
      <c r="AN15" s="75">
        <v>13</v>
      </c>
      <c r="AQ15" s="101" t="s">
        <v>804</v>
      </c>
      <c r="AR15" s="77" t="s">
        <v>206</v>
      </c>
      <c r="AS15" s="77" t="s">
        <v>824</v>
      </c>
      <c r="AT15" s="135">
        <v>6.709090909090909</v>
      </c>
      <c r="AU15" s="77">
        <v>5</v>
      </c>
      <c r="AV15" s="28">
        <v>2</v>
      </c>
      <c r="AW15" s="77">
        <v>10</v>
      </c>
      <c r="AX15" s="584">
        <v>55</v>
      </c>
      <c r="AY15" s="28">
        <v>65</v>
      </c>
      <c r="AZ15" s="28">
        <v>41</v>
      </c>
      <c r="BA15" s="28">
        <v>31</v>
      </c>
      <c r="BB15" s="28">
        <v>41</v>
      </c>
      <c r="BC15" s="28">
        <v>0</v>
      </c>
      <c r="BD15" s="106">
        <v>1.7454545454545454</v>
      </c>
      <c r="BE15" s="77">
        <v>4</v>
      </c>
      <c r="BF15" s="28">
        <v>1</v>
      </c>
      <c r="BG15" s="28">
        <v>0</v>
      </c>
      <c r="BH15" s="28">
        <v>0</v>
      </c>
      <c r="BI15" s="75">
        <v>13</v>
      </c>
    </row>
    <row r="16" spans="1:61">
      <c r="A16" s="101" t="s">
        <v>804</v>
      </c>
      <c r="B16" s="71" t="s">
        <v>206</v>
      </c>
      <c r="C16" s="116" t="s">
        <v>823</v>
      </c>
      <c r="D16" s="89">
        <f>VLOOKUP(Table107[[#This Row],[NAME]],NYM_P[[NAME]:['#]],2,0)</f>
        <v>3.5689655172413794</v>
      </c>
      <c r="E16" s="77">
        <f>VLOOKUP(Table107[[#This Row],[NAME]],NYM_P[[NAME]:['#]],3,0)</f>
        <v>6</v>
      </c>
      <c r="F16" s="28">
        <f>VLOOKUP(Table107[[#This Row],[NAME]],NYM_P[[NAME]:['#]],4,0)</f>
        <v>1</v>
      </c>
      <c r="G16" s="77">
        <f>VLOOKUP(Table107[[#This Row],[NAME]],NYM_P[[NAME]:['#]],5,0)</f>
        <v>10</v>
      </c>
      <c r="H16" s="584">
        <f>VLOOKUP(Table107[[#This Row],[NAME]],NYM_P[[NAME]:['#]],6,0)</f>
        <v>58</v>
      </c>
      <c r="I16" s="28">
        <f>VLOOKUP(Table107[[#This Row],[NAME]],NYM_P[[NAME]:['#]],7,0)</f>
        <v>60</v>
      </c>
      <c r="J16" s="28">
        <f>VLOOKUP(Table107[[#This Row],[NAME]],NYM_P[[NAME]:['#]],8,0)</f>
        <v>23</v>
      </c>
      <c r="K16" s="28">
        <f>VLOOKUP(Table107[[#This Row],[NAME]],NYM_P[[NAME]:['#]],9,0)</f>
        <v>31</v>
      </c>
      <c r="L16" s="28">
        <f>VLOOKUP(Table107[[#This Row],[NAME]],NYM_P[[NAME]:['#]],10,0)</f>
        <v>77</v>
      </c>
      <c r="M16" s="28">
        <f>VLOOKUP(Table107[[#This Row],[NAME]],NYM_P[[NAME]:['#]],11,0)</f>
        <v>0</v>
      </c>
      <c r="N16" s="106">
        <f>VLOOKUP(Table107[[#This Row],[NAME]],NYM_P[[NAME]:['#]],12,0)</f>
        <v>1.5689655172413792</v>
      </c>
      <c r="O16" s="77">
        <f>VLOOKUP(Table107[[#This Row],[NAME]],NYM_P[[NAME]:['#]],13,0)</f>
        <v>5</v>
      </c>
      <c r="P16" s="28">
        <f>VLOOKUP(Table107[[#This Row],[NAME]],NYM_P[[NAME]:['#]],14,0)</f>
        <v>2</v>
      </c>
      <c r="Q16" s="28">
        <f>VLOOKUP(Table107[[#This Row],[NAME]],NYM_P[[NAME]:['#]],15,0)</f>
        <v>0</v>
      </c>
      <c r="R16" s="28">
        <f>VLOOKUP(Table107[[#This Row],[NAME]],NYM_P[[NAME]:['#]],16,0)</f>
        <v>0</v>
      </c>
      <c r="S16" s="75">
        <v>14</v>
      </c>
      <c r="V16" s="101" t="s">
        <v>804</v>
      </c>
      <c r="W16" s="77" t="s">
        <v>206</v>
      </c>
      <c r="X16" s="132" t="s">
        <v>825</v>
      </c>
      <c r="Y16" s="88">
        <v>4.937424995714041</v>
      </c>
      <c r="Z16" s="77">
        <v>4</v>
      </c>
      <c r="AA16" s="28">
        <v>5</v>
      </c>
      <c r="AB16" s="77">
        <v>10</v>
      </c>
      <c r="AC16" s="584">
        <v>58.33</v>
      </c>
      <c r="AD16" s="28">
        <v>51</v>
      </c>
      <c r="AE16" s="28">
        <v>32</v>
      </c>
      <c r="AF16" s="28">
        <v>26</v>
      </c>
      <c r="AG16" s="28">
        <v>42</v>
      </c>
      <c r="AH16" s="28">
        <v>0</v>
      </c>
      <c r="AI16" s="106">
        <v>1.3200754328818789</v>
      </c>
      <c r="AJ16" s="77">
        <v>6</v>
      </c>
      <c r="AK16" s="28">
        <v>2</v>
      </c>
      <c r="AL16" s="28">
        <v>1</v>
      </c>
      <c r="AM16" s="28">
        <v>1</v>
      </c>
      <c r="AN16" s="75">
        <v>14</v>
      </c>
      <c r="AQ16" s="101" t="s">
        <v>804</v>
      </c>
      <c r="AR16" s="77" t="s">
        <v>206</v>
      </c>
      <c r="AS16" s="77" t="s">
        <v>825</v>
      </c>
      <c r="AT16" s="135">
        <v>4.8378706433154148</v>
      </c>
      <c r="AU16" s="77">
        <v>3</v>
      </c>
      <c r="AV16" s="28">
        <v>4</v>
      </c>
      <c r="AW16" s="77">
        <v>10</v>
      </c>
      <c r="AX16" s="584">
        <v>57.67</v>
      </c>
      <c r="AY16" s="28">
        <v>61</v>
      </c>
      <c r="AZ16" s="28">
        <v>31</v>
      </c>
      <c r="BA16" s="28">
        <v>30</v>
      </c>
      <c r="BB16" s="28">
        <v>48</v>
      </c>
      <c r="BC16" s="28">
        <v>0</v>
      </c>
      <c r="BD16" s="106">
        <v>1.5779434714756373</v>
      </c>
      <c r="BE16" s="77">
        <v>5</v>
      </c>
      <c r="BF16" s="28">
        <v>0</v>
      </c>
      <c r="BG16" s="28">
        <v>0</v>
      </c>
      <c r="BH16" s="28">
        <v>0</v>
      </c>
      <c r="BI16" s="75">
        <v>14</v>
      </c>
    </row>
    <row r="17" spans="1:61">
      <c r="A17" s="101" t="s">
        <v>804</v>
      </c>
      <c r="B17" s="71" t="s">
        <v>212</v>
      </c>
      <c r="C17" s="71" t="s">
        <v>743</v>
      </c>
      <c r="D17" s="89">
        <f>VLOOKUP(Table107[[#This Row],[NAME]],NYM_P[[NAME]:['#]],2,0)</f>
        <v>5.5214723926380369</v>
      </c>
      <c r="E17" s="77">
        <f>VLOOKUP(Table107[[#This Row],[NAME]],NYM_P[[NAME]:['#]],3,0)</f>
        <v>2</v>
      </c>
      <c r="F17" s="28">
        <f>VLOOKUP(Table107[[#This Row],[NAME]],NYM_P[[NAME]:['#]],4,0)</f>
        <v>0</v>
      </c>
      <c r="G17" s="77">
        <f>VLOOKUP(Table107[[#This Row],[NAME]],NYM_P[[NAME]:['#]],5,0)</f>
        <v>9</v>
      </c>
      <c r="H17" s="584">
        <f>VLOOKUP(Table107[[#This Row],[NAME]],NYM_P[[NAME]:['#]],6,0)</f>
        <v>14.67</v>
      </c>
      <c r="I17" s="28">
        <f>VLOOKUP(Table107[[#This Row],[NAME]],NYM_P[[NAME]:['#]],7,0)</f>
        <v>16</v>
      </c>
      <c r="J17" s="28">
        <f>VLOOKUP(Table107[[#This Row],[NAME]],NYM_P[[NAME]:['#]],8,0)</f>
        <v>9</v>
      </c>
      <c r="K17" s="28">
        <f>VLOOKUP(Table107[[#This Row],[NAME]],NYM_P[[NAME]:['#]],9,0)</f>
        <v>7</v>
      </c>
      <c r="L17" s="28">
        <f>VLOOKUP(Table107[[#This Row],[NAME]],NYM_P[[NAME]:['#]],10,0)</f>
        <v>11</v>
      </c>
      <c r="M17" s="28">
        <f>VLOOKUP(Table107[[#This Row],[NAME]],NYM_P[[NAME]:['#]],11,0)</f>
        <v>0</v>
      </c>
      <c r="N17" s="106">
        <f>VLOOKUP(Table107[[#This Row],[NAME]],NYM_P[[NAME]:['#]],12,0)</f>
        <v>1.5678254942058623</v>
      </c>
      <c r="O17" s="77">
        <f>VLOOKUP(Table107[[#This Row],[NAME]],NYM_P[[NAME]:['#]],13,0)</f>
        <v>0</v>
      </c>
      <c r="P17" s="28">
        <f>VLOOKUP(Table107[[#This Row],[NAME]],NYM_P[[NAME]:['#]],14,0)</f>
        <v>0</v>
      </c>
      <c r="Q17" s="28">
        <f>VLOOKUP(Table107[[#This Row],[NAME]],NYM_P[[NAME]:['#]],15,0)</f>
        <v>0</v>
      </c>
      <c r="R17" s="28">
        <f>VLOOKUP(Table107[[#This Row],[NAME]],NYM_P[[NAME]:['#]],16,0)</f>
        <v>0</v>
      </c>
      <c r="S17" s="75">
        <v>15</v>
      </c>
      <c r="V17" s="101" t="s">
        <v>804</v>
      </c>
      <c r="W17" s="77" t="s">
        <v>212</v>
      </c>
      <c r="X17" s="77" t="s">
        <v>829</v>
      </c>
      <c r="Y17" s="88">
        <v>3.8571428571428572</v>
      </c>
      <c r="Z17" s="77">
        <v>1</v>
      </c>
      <c r="AA17" s="28">
        <v>0</v>
      </c>
      <c r="AB17" s="77">
        <v>12</v>
      </c>
      <c r="AC17" s="584">
        <v>21</v>
      </c>
      <c r="AD17" s="28">
        <v>21</v>
      </c>
      <c r="AE17" s="28">
        <v>9</v>
      </c>
      <c r="AF17" s="28">
        <v>4</v>
      </c>
      <c r="AG17" s="28">
        <v>18</v>
      </c>
      <c r="AH17" s="28">
        <v>0</v>
      </c>
      <c r="AI17" s="106">
        <v>1.1904761904761905</v>
      </c>
      <c r="AJ17" s="77">
        <v>0</v>
      </c>
      <c r="AK17" s="28">
        <v>0</v>
      </c>
      <c r="AL17" s="28">
        <v>0</v>
      </c>
      <c r="AM17" s="28">
        <v>0</v>
      </c>
      <c r="AN17" s="75">
        <v>15</v>
      </c>
      <c r="AQ17" s="101" t="s">
        <v>804</v>
      </c>
      <c r="AR17" s="77" t="s">
        <v>212</v>
      </c>
      <c r="AS17" s="77" t="s">
        <v>829</v>
      </c>
      <c r="AT17" s="135">
        <v>5.6603773584905657</v>
      </c>
      <c r="AU17" s="77">
        <v>1</v>
      </c>
      <c r="AV17" s="28">
        <v>1</v>
      </c>
      <c r="AW17" s="77">
        <v>18</v>
      </c>
      <c r="AX17" s="584">
        <v>20.67</v>
      </c>
      <c r="AY17" s="28">
        <v>20</v>
      </c>
      <c r="AZ17" s="28">
        <v>13</v>
      </c>
      <c r="BA17" s="28">
        <v>12</v>
      </c>
      <c r="BB17" s="28">
        <v>11</v>
      </c>
      <c r="BC17" s="28">
        <v>1</v>
      </c>
      <c r="BD17" s="106">
        <v>1.5481373971940009</v>
      </c>
      <c r="BE17" s="77">
        <v>0</v>
      </c>
      <c r="BF17" s="28">
        <v>0</v>
      </c>
      <c r="BG17" s="28">
        <v>0</v>
      </c>
      <c r="BH17" s="28">
        <v>0</v>
      </c>
      <c r="BI17" s="75">
        <v>15</v>
      </c>
    </row>
    <row r="18" spans="1:61">
      <c r="A18" s="101" t="s">
        <v>804</v>
      </c>
      <c r="B18" s="71" t="s">
        <v>212</v>
      </c>
      <c r="C18" s="116" t="s">
        <v>827</v>
      </c>
      <c r="D18" s="89">
        <f>VLOOKUP(Table107[[#This Row],[NAME]],NYM_P[[NAME]:['#]],2,0)</f>
        <v>7.8137332280978686</v>
      </c>
      <c r="E18" s="77">
        <f>VLOOKUP(Table107[[#This Row],[NAME]],NYM_P[[NAME]:['#]],3,0)</f>
        <v>0</v>
      </c>
      <c r="F18" s="28">
        <f>VLOOKUP(Table107[[#This Row],[NAME]],NYM_P[[NAME]:['#]],4,0)</f>
        <v>0</v>
      </c>
      <c r="G18" s="77">
        <f>VLOOKUP(Table107[[#This Row],[NAME]],NYM_P[[NAME]:['#]],5,0)</f>
        <v>10</v>
      </c>
      <c r="H18" s="584">
        <f>VLOOKUP(Table107[[#This Row],[NAME]],NYM_P[[NAME]:['#]],6,0)</f>
        <v>12.67</v>
      </c>
      <c r="I18" s="28">
        <f>VLOOKUP(Table107[[#This Row],[NAME]],NYM_P[[NAME]:['#]],7,0)</f>
        <v>20</v>
      </c>
      <c r="J18" s="28">
        <f>VLOOKUP(Table107[[#This Row],[NAME]],NYM_P[[NAME]:['#]],8,0)</f>
        <v>11</v>
      </c>
      <c r="K18" s="28">
        <f>VLOOKUP(Table107[[#This Row],[NAME]],NYM_P[[NAME]:['#]],9,0)</f>
        <v>6</v>
      </c>
      <c r="L18" s="28">
        <f>VLOOKUP(Table107[[#This Row],[NAME]],NYM_P[[NAME]:['#]],10,0)</f>
        <v>14</v>
      </c>
      <c r="M18" s="28">
        <f>VLOOKUP(Table107[[#This Row],[NAME]],NYM_P[[NAME]:['#]],11,0)</f>
        <v>0</v>
      </c>
      <c r="N18" s="106">
        <f>VLOOKUP(Table107[[#This Row],[NAME]],NYM_P[[NAME]:['#]],12,0)</f>
        <v>2.0520915548539858</v>
      </c>
      <c r="O18" s="77">
        <f>VLOOKUP(Table107[[#This Row],[NAME]],NYM_P[[NAME]:['#]],13,0)</f>
        <v>0</v>
      </c>
      <c r="P18" s="28">
        <f>VLOOKUP(Table107[[#This Row],[NAME]],NYM_P[[NAME]:['#]],14,0)</f>
        <v>0</v>
      </c>
      <c r="Q18" s="28">
        <f>VLOOKUP(Table107[[#This Row],[NAME]],NYM_P[[NAME]:['#]],15,0)</f>
        <v>0</v>
      </c>
      <c r="R18" s="28">
        <f>VLOOKUP(Table107[[#This Row],[NAME]],NYM_P[[NAME]:['#]],16,0)</f>
        <v>0</v>
      </c>
      <c r="S18" s="75">
        <v>16</v>
      </c>
      <c r="V18" s="101" t="s">
        <v>804</v>
      </c>
      <c r="W18" s="77" t="s">
        <v>212</v>
      </c>
      <c r="X18" s="132" t="s">
        <v>827</v>
      </c>
      <c r="Y18" s="88">
        <v>5.78468130690948</v>
      </c>
      <c r="Z18" s="77">
        <v>0</v>
      </c>
      <c r="AA18" s="28">
        <v>0</v>
      </c>
      <c r="AB18" s="77">
        <v>9</v>
      </c>
      <c r="AC18" s="584">
        <v>18.670000000000002</v>
      </c>
      <c r="AD18" s="28">
        <v>23</v>
      </c>
      <c r="AE18" s="28">
        <v>12</v>
      </c>
      <c r="AF18" s="28">
        <v>14</v>
      </c>
      <c r="AG18" s="28">
        <v>22</v>
      </c>
      <c r="AH18" s="28">
        <v>0</v>
      </c>
      <c r="AI18" s="106">
        <v>1.9817889662560255</v>
      </c>
      <c r="AJ18" s="77">
        <v>0</v>
      </c>
      <c r="AK18" s="28">
        <v>0</v>
      </c>
      <c r="AL18" s="28">
        <v>0</v>
      </c>
      <c r="AM18" s="28">
        <v>0</v>
      </c>
      <c r="AN18" s="75">
        <v>16</v>
      </c>
      <c r="AQ18" s="101" t="s">
        <v>804</v>
      </c>
      <c r="AR18" s="77" t="s">
        <v>215</v>
      </c>
      <c r="AS18" s="132" t="s">
        <v>827</v>
      </c>
      <c r="AT18" s="135">
        <v>2.25</v>
      </c>
      <c r="AU18" s="77">
        <v>0</v>
      </c>
      <c r="AV18" s="28">
        <v>0</v>
      </c>
      <c r="AW18" s="77">
        <v>4</v>
      </c>
      <c r="AX18" s="584">
        <v>4</v>
      </c>
      <c r="AY18" s="28">
        <v>4</v>
      </c>
      <c r="AZ18" s="28">
        <v>1</v>
      </c>
      <c r="BA18" s="28">
        <v>2</v>
      </c>
      <c r="BB18" s="28">
        <v>2</v>
      </c>
      <c r="BC18" s="28">
        <v>0</v>
      </c>
      <c r="BD18" s="106">
        <v>1.5</v>
      </c>
      <c r="BE18" s="77">
        <v>0</v>
      </c>
      <c r="BF18" s="28">
        <v>0</v>
      </c>
      <c r="BG18" s="28">
        <v>0</v>
      </c>
      <c r="BH18" s="28">
        <v>0</v>
      </c>
      <c r="BI18" s="75">
        <v>16</v>
      </c>
    </row>
    <row r="19" spans="1:61">
      <c r="A19" s="101" t="s">
        <v>804</v>
      </c>
      <c r="B19" s="71" t="s">
        <v>212</v>
      </c>
      <c r="C19" s="116" t="s">
        <v>826</v>
      </c>
      <c r="D19" s="89">
        <f>VLOOKUP(Table107[[#This Row],[NAME]],NYM_P[[NAME]:['#]],2,0)</f>
        <v>3.9717563989408649</v>
      </c>
      <c r="E19" s="77">
        <f>VLOOKUP(Table107[[#This Row],[NAME]],NYM_P[[NAME]:['#]],3,0)</f>
        <v>2</v>
      </c>
      <c r="F19" s="28">
        <f>VLOOKUP(Table107[[#This Row],[NAME]],NYM_P[[NAME]:['#]],4,0)</f>
        <v>0</v>
      </c>
      <c r="G19" s="77">
        <f>VLOOKUP(Table107[[#This Row],[NAME]],NYM_P[[NAME]:['#]],5,0)</f>
        <v>9</v>
      </c>
      <c r="H19" s="584">
        <f>VLOOKUP(Table107[[#This Row],[NAME]],NYM_P[[NAME]:['#]],6,0)</f>
        <v>11.33</v>
      </c>
      <c r="I19" s="28">
        <f>VLOOKUP(Table107[[#This Row],[NAME]],NYM_P[[NAME]:['#]],7,0)</f>
        <v>14</v>
      </c>
      <c r="J19" s="28">
        <f>VLOOKUP(Table107[[#This Row],[NAME]],NYM_P[[NAME]:['#]],8,0)</f>
        <v>5</v>
      </c>
      <c r="K19" s="28">
        <f>VLOOKUP(Table107[[#This Row],[NAME]],NYM_P[[NAME]:['#]],9,0)</f>
        <v>4</v>
      </c>
      <c r="L19" s="28">
        <f>VLOOKUP(Table107[[#This Row],[NAME]],NYM_P[[NAME]:['#]],10,0)</f>
        <v>10</v>
      </c>
      <c r="M19" s="28">
        <f>VLOOKUP(Table107[[#This Row],[NAME]],NYM_P[[NAME]:['#]],11,0)</f>
        <v>0</v>
      </c>
      <c r="N19" s="106">
        <f>VLOOKUP(Table107[[#This Row],[NAME]],NYM_P[[NAME]:['#]],12,0)</f>
        <v>1.588702559576346</v>
      </c>
      <c r="O19" s="77">
        <f>VLOOKUP(Table107[[#This Row],[NAME]],NYM_P[[NAME]:['#]],13,0)</f>
        <v>0</v>
      </c>
      <c r="P19" s="28">
        <f>VLOOKUP(Table107[[#This Row],[NAME]],NYM_P[[NAME]:['#]],14,0)</f>
        <v>0</v>
      </c>
      <c r="Q19" s="28">
        <f>VLOOKUP(Table107[[#This Row],[NAME]],NYM_P[[NAME]:['#]],15,0)</f>
        <v>0</v>
      </c>
      <c r="R19" s="28">
        <f>VLOOKUP(Table107[[#This Row],[NAME]],NYM_P[[NAME]:['#]],16,0)</f>
        <v>0</v>
      </c>
      <c r="S19" s="75">
        <v>17</v>
      </c>
      <c r="V19" s="101" t="s">
        <v>804</v>
      </c>
      <c r="W19" s="77" t="s">
        <v>212</v>
      </c>
      <c r="X19" s="132" t="s">
        <v>826</v>
      </c>
      <c r="Y19" s="88">
        <v>0.67516879219804948</v>
      </c>
      <c r="Z19" s="77">
        <v>0</v>
      </c>
      <c r="AA19" s="28">
        <v>0</v>
      </c>
      <c r="AB19" s="77">
        <v>7</v>
      </c>
      <c r="AC19" s="584">
        <v>13.33</v>
      </c>
      <c r="AD19" s="28">
        <v>9</v>
      </c>
      <c r="AE19" s="28">
        <v>1</v>
      </c>
      <c r="AF19" s="28">
        <v>6</v>
      </c>
      <c r="AG19" s="28">
        <v>3</v>
      </c>
      <c r="AH19" s="28">
        <v>0</v>
      </c>
      <c r="AI19" s="106">
        <v>1.1252813203300824</v>
      </c>
      <c r="AJ19" s="77">
        <v>0</v>
      </c>
      <c r="AK19" s="28">
        <v>0</v>
      </c>
      <c r="AL19" s="28">
        <v>0</v>
      </c>
      <c r="AM19" s="28">
        <v>0</v>
      </c>
      <c r="AN19" s="75">
        <v>17</v>
      </c>
      <c r="AQ19" s="101" t="s">
        <v>804</v>
      </c>
      <c r="AR19" s="77" t="s">
        <v>212</v>
      </c>
      <c r="AS19" s="77" t="s">
        <v>826</v>
      </c>
      <c r="AT19" s="135">
        <v>6.6135946111451327</v>
      </c>
      <c r="AU19" s="77">
        <v>2</v>
      </c>
      <c r="AV19" s="28">
        <v>1</v>
      </c>
      <c r="AW19" s="77">
        <v>11</v>
      </c>
      <c r="AX19" s="584">
        <v>16.329999999999998</v>
      </c>
      <c r="AY19" s="28">
        <v>25</v>
      </c>
      <c r="AZ19" s="28">
        <v>12</v>
      </c>
      <c r="BA19" s="28">
        <v>7</v>
      </c>
      <c r="BB19" s="28">
        <v>15</v>
      </c>
      <c r="BC19" s="28">
        <v>0</v>
      </c>
      <c r="BD19" s="106">
        <v>1.9595835884874466</v>
      </c>
      <c r="BE19" s="77">
        <v>0</v>
      </c>
      <c r="BF19" s="28">
        <v>0</v>
      </c>
      <c r="BG19" s="28">
        <v>0</v>
      </c>
      <c r="BH19" s="28">
        <v>0</v>
      </c>
      <c r="BI19" s="75">
        <v>17</v>
      </c>
    </row>
    <row r="20" spans="1:61">
      <c r="A20" s="101" t="s">
        <v>804</v>
      </c>
      <c r="B20" s="71" t="s">
        <v>212</v>
      </c>
      <c r="C20" s="71" t="s">
        <v>828</v>
      </c>
      <c r="D20" s="89">
        <f>VLOOKUP(Table107[[#This Row],[NAME]],NYM_P[[NAME]:['#]],2,0)</f>
        <v>1.3062409288824381</v>
      </c>
      <c r="E20" s="77">
        <f>VLOOKUP(Table107[[#This Row],[NAME]],NYM_P[[NAME]:['#]],3,0)</f>
        <v>3</v>
      </c>
      <c r="F20" s="28">
        <f>VLOOKUP(Table107[[#This Row],[NAME]],NYM_P[[NAME]:['#]],4,0)</f>
        <v>0</v>
      </c>
      <c r="G20" s="77">
        <f>VLOOKUP(Table107[[#This Row],[NAME]],NYM_P[[NAME]:['#]],5,0)</f>
        <v>16</v>
      </c>
      <c r="H20" s="584">
        <f>VLOOKUP(Table107[[#This Row],[NAME]],NYM_P[[NAME]:['#]],6,0)</f>
        <v>20.67</v>
      </c>
      <c r="I20" s="28">
        <f>VLOOKUP(Table107[[#This Row],[NAME]],NYM_P[[NAME]:['#]],7,0)</f>
        <v>13</v>
      </c>
      <c r="J20" s="28">
        <f>VLOOKUP(Table107[[#This Row],[NAME]],NYM_P[[NAME]:['#]],8,0)</f>
        <v>3</v>
      </c>
      <c r="K20" s="28">
        <f>VLOOKUP(Table107[[#This Row],[NAME]],NYM_P[[NAME]:['#]],9,0)</f>
        <v>5</v>
      </c>
      <c r="L20" s="28">
        <f>VLOOKUP(Table107[[#This Row],[NAME]],NYM_P[[NAME]:['#]],10,0)</f>
        <v>18</v>
      </c>
      <c r="M20" s="28">
        <f>VLOOKUP(Table107[[#This Row],[NAME]],NYM_P[[NAME]:['#]],11,0)</f>
        <v>0</v>
      </c>
      <c r="N20" s="106">
        <f>VLOOKUP(Table107[[#This Row],[NAME]],NYM_P[[NAME]:['#]],12,0)</f>
        <v>0.8708272859216255</v>
      </c>
      <c r="O20" s="77">
        <f>VLOOKUP(Table107[[#This Row],[NAME]],NYM_P[[NAME]:['#]],13,0)</f>
        <v>0</v>
      </c>
      <c r="P20" s="28">
        <f>VLOOKUP(Table107[[#This Row],[NAME]],NYM_P[[NAME]:['#]],14,0)</f>
        <v>0</v>
      </c>
      <c r="Q20" s="28">
        <f>VLOOKUP(Table107[[#This Row],[NAME]],NYM_P[[NAME]:['#]],15,0)</f>
        <v>0</v>
      </c>
      <c r="R20" s="28">
        <f>VLOOKUP(Table107[[#This Row],[NAME]],NYM_P[[NAME]:['#]],16,0)</f>
        <v>0</v>
      </c>
      <c r="S20" s="75">
        <v>18</v>
      </c>
      <c r="V20" s="101" t="s">
        <v>804</v>
      </c>
      <c r="W20" s="77" t="s">
        <v>212</v>
      </c>
      <c r="X20" s="77" t="s">
        <v>828</v>
      </c>
      <c r="Y20" s="88">
        <v>5.7126370455856899</v>
      </c>
      <c r="Z20" s="77">
        <v>1</v>
      </c>
      <c r="AA20" s="28">
        <v>0</v>
      </c>
      <c r="AB20" s="77">
        <v>14</v>
      </c>
      <c r="AC20" s="584">
        <v>17.329999999999998</v>
      </c>
      <c r="AD20" s="28">
        <v>19</v>
      </c>
      <c r="AE20" s="28">
        <v>11</v>
      </c>
      <c r="AF20" s="28">
        <v>5</v>
      </c>
      <c r="AG20" s="28">
        <v>21</v>
      </c>
      <c r="AH20" s="28">
        <v>0</v>
      </c>
      <c r="AI20" s="106">
        <v>1.3848817080207734</v>
      </c>
      <c r="AJ20" s="77">
        <v>0</v>
      </c>
      <c r="AK20" s="28">
        <v>0</v>
      </c>
      <c r="AL20" s="28">
        <v>0</v>
      </c>
      <c r="AM20" s="28">
        <v>0</v>
      </c>
      <c r="AN20" s="75">
        <v>18</v>
      </c>
      <c r="AQ20" s="101" t="s">
        <v>804</v>
      </c>
      <c r="AR20" s="77" t="s">
        <v>212</v>
      </c>
      <c r="AS20" s="77" t="s">
        <v>828</v>
      </c>
      <c r="AT20" s="135">
        <v>6.7516879219804951</v>
      </c>
      <c r="AU20" s="77">
        <v>2</v>
      </c>
      <c r="AV20" s="28">
        <v>0</v>
      </c>
      <c r="AW20" s="77">
        <v>12</v>
      </c>
      <c r="AX20" s="584">
        <v>13.33</v>
      </c>
      <c r="AY20" s="28">
        <v>17</v>
      </c>
      <c r="AZ20" s="28">
        <v>10</v>
      </c>
      <c r="BA20" s="28">
        <v>8</v>
      </c>
      <c r="BB20" s="28">
        <v>9</v>
      </c>
      <c r="BC20" s="28">
        <v>1</v>
      </c>
      <c r="BD20" s="106">
        <v>1.8754688672168043</v>
      </c>
      <c r="BE20" s="77">
        <v>0</v>
      </c>
      <c r="BF20" s="28">
        <v>0</v>
      </c>
      <c r="BG20" s="28">
        <v>0</v>
      </c>
      <c r="BH20" s="28">
        <v>0</v>
      </c>
      <c r="BI20" s="75">
        <v>18</v>
      </c>
    </row>
    <row r="21" spans="1:61">
      <c r="A21" s="101" t="s">
        <v>804</v>
      </c>
      <c r="B21" s="71" t="s">
        <v>212</v>
      </c>
      <c r="C21" s="71" t="s">
        <v>830</v>
      </c>
      <c r="D21" s="89">
        <f>VLOOKUP(Table107[[#This Row],[NAME]],NYM_P[[NAME]:['#]],2,0)</f>
        <v>1.8623900672529747</v>
      </c>
      <c r="E21" s="77">
        <f>VLOOKUP(Table107[[#This Row],[NAME]],NYM_P[[NAME]:['#]],3,0)</f>
        <v>2</v>
      </c>
      <c r="F21" s="28">
        <f>VLOOKUP(Table107[[#This Row],[NAME]],NYM_P[[NAME]:['#]],4,0)</f>
        <v>1</v>
      </c>
      <c r="G21" s="77">
        <f>VLOOKUP(Table107[[#This Row],[NAME]],NYM_P[[NAME]:['#]],5,0)</f>
        <v>19</v>
      </c>
      <c r="H21" s="584">
        <f>VLOOKUP(Table107[[#This Row],[NAME]],NYM_P[[NAME]:['#]],6,0)</f>
        <v>19.329999999999998</v>
      </c>
      <c r="I21" s="28">
        <f>VLOOKUP(Table107[[#This Row],[NAME]],NYM_P[[NAME]:['#]],7,0)</f>
        <v>8</v>
      </c>
      <c r="J21" s="28">
        <f>VLOOKUP(Table107[[#This Row],[NAME]],NYM_P[[NAME]:['#]],8,0)</f>
        <v>4</v>
      </c>
      <c r="K21" s="28">
        <f>VLOOKUP(Table107[[#This Row],[NAME]],NYM_P[[NAME]:['#]],9,0)</f>
        <v>8</v>
      </c>
      <c r="L21" s="28">
        <f>VLOOKUP(Table107[[#This Row],[NAME]],NYM_P[[NAME]:['#]],10,0)</f>
        <v>16</v>
      </c>
      <c r="M21" s="28">
        <f>VLOOKUP(Table107[[#This Row],[NAME]],NYM_P[[NAME]:['#]],11,0)</f>
        <v>0</v>
      </c>
      <c r="N21" s="106">
        <f>VLOOKUP(Table107[[#This Row],[NAME]],NYM_P[[NAME]:['#]],12,0)</f>
        <v>0.82772891877909993</v>
      </c>
      <c r="O21" s="77">
        <f>VLOOKUP(Table107[[#This Row],[NAME]],NYM_P[[NAME]:['#]],13,0)</f>
        <v>0</v>
      </c>
      <c r="P21" s="28">
        <f>VLOOKUP(Table107[[#This Row],[NAME]],NYM_P[[NAME]:['#]],14,0)</f>
        <v>0</v>
      </c>
      <c r="Q21" s="28">
        <f>VLOOKUP(Table107[[#This Row],[NAME]],NYM_P[[NAME]:['#]],15,0)</f>
        <v>0</v>
      </c>
      <c r="R21" s="28">
        <f>VLOOKUP(Table107[[#This Row],[NAME]],NYM_P[[NAME]:['#]],16,0)</f>
        <v>0</v>
      </c>
      <c r="S21" s="75">
        <v>19</v>
      </c>
      <c r="V21" s="101" t="s">
        <v>804</v>
      </c>
      <c r="W21" s="77" t="s">
        <v>212</v>
      </c>
      <c r="X21" s="77" t="s">
        <v>830</v>
      </c>
      <c r="Y21" s="88">
        <v>5.283757338551859</v>
      </c>
      <c r="Z21" s="77">
        <v>2</v>
      </c>
      <c r="AA21" s="28">
        <v>1</v>
      </c>
      <c r="AB21" s="77">
        <v>12</v>
      </c>
      <c r="AC21" s="584">
        <v>15.33</v>
      </c>
      <c r="AD21" s="28">
        <v>18</v>
      </c>
      <c r="AE21" s="28">
        <v>9</v>
      </c>
      <c r="AF21" s="28">
        <v>10</v>
      </c>
      <c r="AG21" s="28">
        <v>10</v>
      </c>
      <c r="AH21" s="28">
        <v>0</v>
      </c>
      <c r="AI21" s="106">
        <v>1.8264840182648401</v>
      </c>
      <c r="AJ21" s="77">
        <v>0</v>
      </c>
      <c r="AK21" s="28">
        <v>0</v>
      </c>
      <c r="AL21" s="28">
        <v>0</v>
      </c>
      <c r="AM21" s="28">
        <v>0</v>
      </c>
      <c r="AN21" s="75">
        <v>19</v>
      </c>
      <c r="AQ21" s="101" t="s">
        <v>804</v>
      </c>
      <c r="AR21" s="77" t="s">
        <v>212</v>
      </c>
      <c r="AS21" s="77" t="s">
        <v>830</v>
      </c>
      <c r="AT21" s="135">
        <v>2.4542267238021034</v>
      </c>
      <c r="AU21" s="77">
        <v>0</v>
      </c>
      <c r="AV21" s="28">
        <v>0</v>
      </c>
      <c r="AW21" s="77">
        <v>25</v>
      </c>
      <c r="AX21" s="584">
        <v>25.67</v>
      </c>
      <c r="AY21" s="28">
        <v>23</v>
      </c>
      <c r="AZ21" s="28">
        <v>7</v>
      </c>
      <c r="BA21" s="28">
        <v>7</v>
      </c>
      <c r="BB21" s="28">
        <v>23</v>
      </c>
      <c r="BC21" s="28">
        <v>0</v>
      </c>
      <c r="BD21" s="106">
        <v>1.168679392286716</v>
      </c>
      <c r="BE21" s="77">
        <v>0</v>
      </c>
      <c r="BF21" s="28">
        <v>0</v>
      </c>
      <c r="BG21" s="28">
        <v>0</v>
      </c>
      <c r="BH21" s="28">
        <v>0</v>
      </c>
      <c r="BI21" s="75">
        <v>19</v>
      </c>
    </row>
    <row r="22" spans="1:61">
      <c r="A22" s="101" t="s">
        <v>804</v>
      </c>
      <c r="B22" s="345" t="s">
        <v>212</v>
      </c>
      <c r="C22" s="345" t="s">
        <v>831</v>
      </c>
      <c r="D22" s="89">
        <f>VLOOKUP(Table107[[#This Row],[NAME]],NYM_P[[NAME]:['#]],2,0)</f>
        <v>2.3622047244094486</v>
      </c>
      <c r="E22" s="77">
        <f>VLOOKUP(Table107[[#This Row],[NAME]],NYM_P[[NAME]:['#]],3,0)</f>
        <v>1</v>
      </c>
      <c r="F22" s="28">
        <f>VLOOKUP(Table107[[#This Row],[NAME]],NYM_P[[NAME]:['#]],4,0)</f>
        <v>0</v>
      </c>
      <c r="G22" s="77">
        <f>VLOOKUP(Table107[[#This Row],[NAME]],NYM_P[[NAME]:['#]],5,0)</f>
        <v>23</v>
      </c>
      <c r="H22" s="584">
        <f>VLOOKUP(Table107[[#This Row],[NAME]],NYM_P[[NAME]:['#]],6,0)</f>
        <v>26.67</v>
      </c>
      <c r="I22" s="28">
        <f>VLOOKUP(Table107[[#This Row],[NAME]],NYM_P[[NAME]:['#]],7,0)</f>
        <v>16</v>
      </c>
      <c r="J22" s="28">
        <f>VLOOKUP(Table107[[#This Row],[NAME]],NYM_P[[NAME]:['#]],8,0)</f>
        <v>7</v>
      </c>
      <c r="K22" s="28">
        <f>VLOOKUP(Table107[[#This Row],[NAME]],NYM_P[[NAME]:['#]],9,0)</f>
        <v>11</v>
      </c>
      <c r="L22" s="28">
        <f>VLOOKUP(Table107[[#This Row],[NAME]],NYM_P[[NAME]:['#]],10,0)</f>
        <v>44</v>
      </c>
      <c r="M22" s="76">
        <f>VLOOKUP(Table107[[#This Row],[NAME]],NYM_P[[NAME]:['#]],11,0)</f>
        <v>12</v>
      </c>
      <c r="N22" s="106">
        <f>VLOOKUP(Table107[[#This Row],[NAME]],NYM_P[[NAME]:['#]],12,0)</f>
        <v>1.0123734533183351</v>
      </c>
      <c r="O22" s="77">
        <f>VLOOKUP(Table107[[#This Row],[NAME]],NYM_P[[NAME]:['#]],13,0)</f>
        <v>0</v>
      </c>
      <c r="P22" s="28">
        <f>VLOOKUP(Table107[[#This Row],[NAME]],NYM_P[[NAME]:['#]],14,0)</f>
        <v>0</v>
      </c>
      <c r="Q22" s="28">
        <f>VLOOKUP(Table107[[#This Row],[NAME]],NYM_P[[NAME]:['#]],15,0)</f>
        <v>0</v>
      </c>
      <c r="R22" s="28">
        <f>VLOOKUP(Table107[[#This Row],[NAME]],NYM_P[[NAME]:['#]],16,0)</f>
        <v>0</v>
      </c>
      <c r="S22" s="75">
        <v>20</v>
      </c>
      <c r="V22" s="101" t="s">
        <v>804</v>
      </c>
      <c r="W22" s="77" t="s">
        <v>212</v>
      </c>
      <c r="X22" s="77" t="s">
        <v>831</v>
      </c>
      <c r="Y22" s="88">
        <v>4.0747028862478771</v>
      </c>
      <c r="Z22" s="77">
        <v>1</v>
      </c>
      <c r="AA22" s="28">
        <v>1</v>
      </c>
      <c r="AB22" s="77">
        <v>18</v>
      </c>
      <c r="AC22" s="584">
        <v>17.670000000000002</v>
      </c>
      <c r="AD22" s="28">
        <v>18</v>
      </c>
      <c r="AE22" s="28">
        <v>8</v>
      </c>
      <c r="AF22" s="28">
        <v>10</v>
      </c>
      <c r="AG22" s="28">
        <v>29</v>
      </c>
      <c r="AH22" s="28">
        <v>5</v>
      </c>
      <c r="AI22" s="106">
        <v>1.5846066779852856</v>
      </c>
      <c r="AJ22" s="77">
        <v>0</v>
      </c>
      <c r="AK22" s="28">
        <v>0</v>
      </c>
      <c r="AL22" s="28">
        <v>0</v>
      </c>
      <c r="AM22" s="28">
        <v>0</v>
      </c>
      <c r="AN22" s="75">
        <v>20</v>
      </c>
      <c r="AQ22" s="101" t="s">
        <v>804</v>
      </c>
      <c r="AR22" s="77" t="s">
        <v>212</v>
      </c>
      <c r="AS22" s="77" t="s">
        <v>831</v>
      </c>
      <c r="AT22" s="135">
        <v>1.7419354838709677</v>
      </c>
      <c r="AU22" s="77">
        <v>2</v>
      </c>
      <c r="AV22" s="28">
        <v>2</v>
      </c>
      <c r="AW22" s="77">
        <v>27</v>
      </c>
      <c r="AX22" s="584">
        <v>31</v>
      </c>
      <c r="AY22" s="28">
        <v>15</v>
      </c>
      <c r="AZ22" s="28">
        <v>6</v>
      </c>
      <c r="BA22" s="28">
        <v>14</v>
      </c>
      <c r="BB22" s="28">
        <v>51</v>
      </c>
      <c r="BC22" s="28">
        <v>11</v>
      </c>
      <c r="BD22" s="106">
        <v>0.93548387096774188</v>
      </c>
      <c r="BE22" s="77">
        <v>0</v>
      </c>
      <c r="BF22" s="28">
        <v>0</v>
      </c>
      <c r="BG22" s="28">
        <v>0</v>
      </c>
      <c r="BH22" s="28">
        <v>0</v>
      </c>
      <c r="BI22" s="75">
        <v>20</v>
      </c>
    </row>
    <row r="23" spans="1:61">
      <c r="A23" s="101" t="s">
        <v>835</v>
      </c>
      <c r="B23" s="345" t="s">
        <v>206</v>
      </c>
      <c r="C23" s="358" t="s">
        <v>853</v>
      </c>
      <c r="D23" s="89">
        <f>VLOOKUP(Table107[[#This Row],[NAME]],ATL_P[[NAME]:['#]],2,0)</f>
        <v>1.7103298493280847</v>
      </c>
      <c r="E23" s="77">
        <f>VLOOKUP(Table107[[#This Row],[NAME]],ATL_P[[NAME]:['#]],3,0)</f>
        <v>5</v>
      </c>
      <c r="F23" s="28">
        <f>VLOOKUP(Table107[[#This Row],[NAME]],ATL_P[[NAME]:['#]],4,0)</f>
        <v>4</v>
      </c>
      <c r="G23" s="77">
        <f>VLOOKUP(Table107[[#This Row],[NAME]],ATL_P[[NAME]:['#]],5,0)</f>
        <v>10</v>
      </c>
      <c r="H23" s="584">
        <f>VLOOKUP(Table107[[#This Row],[NAME]],ATL_P[[NAME]:['#]],6,0)</f>
        <v>73.67</v>
      </c>
      <c r="I23" s="28">
        <f>VLOOKUP(Table107[[#This Row],[NAME]],ATL_P[[NAME]:['#]],7,0)</f>
        <v>46</v>
      </c>
      <c r="J23" s="28">
        <f>VLOOKUP(Table107[[#This Row],[NAME]],ATL_P[[NAME]:['#]],8,0)</f>
        <v>14</v>
      </c>
      <c r="K23" s="28">
        <f>VLOOKUP(Table107[[#This Row],[NAME]],ATL_P[[NAME]:['#]],9,0)</f>
        <v>22</v>
      </c>
      <c r="L23" s="76">
        <f>VLOOKUP(Table107[[#This Row],[NAME]],ATL_P[[NAME]:['#]],10,0)</f>
        <v>112</v>
      </c>
      <c r="M23" s="28">
        <f>VLOOKUP(Table107[[#This Row],[NAME]],ATL_P[[NAME]:['#]],11,0)</f>
        <v>0</v>
      </c>
      <c r="N23" s="106">
        <f>VLOOKUP(Table107[[#This Row],[NAME]],ATL_P[[NAME]:['#]],12,0)</f>
        <v>0.92303515678023618</v>
      </c>
      <c r="O23" s="531">
        <f>VLOOKUP(Table107[[#This Row],[NAME]],ATL_P[[NAME]:['#]],13,0)</f>
        <v>10</v>
      </c>
      <c r="P23" s="28">
        <f>VLOOKUP(Table107[[#This Row],[NAME]],ATL_P[[NAME]:['#]],14,0)</f>
        <v>5</v>
      </c>
      <c r="Q23" s="76">
        <f>VLOOKUP(Table107[[#This Row],[NAME]],ATL_P[[NAME]:['#]],15,0)</f>
        <v>3</v>
      </c>
      <c r="R23" s="586">
        <f>VLOOKUP(Table107[[#This Row],[NAME]],ATL_P[[NAME]:['#]],16,0)</f>
        <v>3</v>
      </c>
      <c r="S23" s="75">
        <v>21</v>
      </c>
      <c r="V23" s="101" t="s">
        <v>835</v>
      </c>
      <c r="W23" s="352" t="s">
        <v>365</v>
      </c>
      <c r="X23" s="524" t="s">
        <v>853</v>
      </c>
      <c r="Y23" s="529">
        <v>1.2557555462536625</v>
      </c>
      <c r="Z23" s="77">
        <v>7</v>
      </c>
      <c r="AA23" s="28">
        <v>0</v>
      </c>
      <c r="AB23" s="77">
        <v>10</v>
      </c>
      <c r="AC23" s="584">
        <v>71.67</v>
      </c>
      <c r="AD23" s="28">
        <v>43</v>
      </c>
      <c r="AE23" s="28">
        <v>10</v>
      </c>
      <c r="AF23" s="28">
        <v>33</v>
      </c>
      <c r="AG23" s="586">
        <v>116</v>
      </c>
      <c r="AH23" s="28">
        <v>0</v>
      </c>
      <c r="AI23" s="106">
        <v>1.0604157946142039</v>
      </c>
      <c r="AJ23" s="531">
        <v>10</v>
      </c>
      <c r="AK23" s="76">
        <v>8</v>
      </c>
      <c r="AL23" s="28">
        <v>1</v>
      </c>
      <c r="AM23" s="28">
        <v>1</v>
      </c>
      <c r="AN23" s="75">
        <v>21</v>
      </c>
      <c r="AQ23" s="101" t="s">
        <v>835</v>
      </c>
      <c r="AR23" s="77" t="s">
        <v>206</v>
      </c>
      <c r="AS23" s="77" t="s">
        <v>854</v>
      </c>
      <c r="AT23" s="135">
        <v>4.1311475409836067</v>
      </c>
      <c r="AU23" s="77">
        <v>3</v>
      </c>
      <c r="AV23" s="28">
        <v>4</v>
      </c>
      <c r="AW23" s="77">
        <v>10</v>
      </c>
      <c r="AX23" s="584">
        <v>61</v>
      </c>
      <c r="AY23" s="28">
        <v>69</v>
      </c>
      <c r="AZ23" s="28">
        <v>28</v>
      </c>
      <c r="BA23" s="28">
        <v>21</v>
      </c>
      <c r="BB23" s="28">
        <v>54</v>
      </c>
      <c r="BC23" s="28">
        <v>0</v>
      </c>
      <c r="BD23" s="106">
        <v>1.4754098360655739</v>
      </c>
      <c r="BE23" s="77">
        <v>5</v>
      </c>
      <c r="BF23" s="28">
        <v>1</v>
      </c>
      <c r="BG23" s="28">
        <v>0</v>
      </c>
      <c r="BH23" s="28">
        <v>0</v>
      </c>
      <c r="BI23" s="75">
        <v>21</v>
      </c>
    </row>
    <row r="24" spans="1:61">
      <c r="A24" s="101" t="s">
        <v>835</v>
      </c>
      <c r="B24" s="71" t="s">
        <v>206</v>
      </c>
      <c r="C24" s="116" t="s">
        <v>855</v>
      </c>
      <c r="D24" s="89">
        <f>VLOOKUP(Table107[[#This Row],[NAME]],ATL_P[[NAME]:['#]],2,0)</f>
        <v>2.6581688170371525</v>
      </c>
      <c r="E24" s="352">
        <f>VLOOKUP(Table107[[#This Row],[NAME]],ATL_P[[NAME]:['#]],3,0)</f>
        <v>7</v>
      </c>
      <c r="F24" s="28">
        <f>VLOOKUP(Table107[[#This Row],[NAME]],ATL_P[[NAME]:['#]],4,0)</f>
        <v>2</v>
      </c>
      <c r="G24" s="77">
        <f>VLOOKUP(Table107[[#This Row],[NAME]],ATL_P[[NAME]:['#]],5,0)</f>
        <v>10</v>
      </c>
      <c r="H24" s="584">
        <f>VLOOKUP(Table107[[#This Row],[NAME]],ATL_P[[NAME]:['#]],6,0)</f>
        <v>64.33</v>
      </c>
      <c r="I24" s="28">
        <f>VLOOKUP(Table107[[#This Row],[NAME]],ATL_P[[NAME]:['#]],7,0)</f>
        <v>71</v>
      </c>
      <c r="J24" s="28">
        <f>VLOOKUP(Table107[[#This Row],[NAME]],ATL_P[[NAME]:['#]],8,0)</f>
        <v>19</v>
      </c>
      <c r="K24" s="28">
        <f>VLOOKUP(Table107[[#This Row],[NAME]],ATL_P[[NAME]:['#]],9,0)</f>
        <v>17</v>
      </c>
      <c r="L24" s="28">
        <f>VLOOKUP(Table107[[#This Row],[NAME]],ATL_P[[NAME]:['#]],10,0)</f>
        <v>59</v>
      </c>
      <c r="M24" s="28">
        <f>VLOOKUP(Table107[[#This Row],[NAME]],ATL_P[[NAME]:['#]],11,0)</f>
        <v>0</v>
      </c>
      <c r="N24" s="106">
        <f>VLOOKUP(Table107[[#This Row],[NAME]],ATL_P[[NAME]:['#]],12,0)</f>
        <v>1.3679465257267216</v>
      </c>
      <c r="O24" s="77">
        <f>VLOOKUP(Table107[[#This Row],[NAME]],ATL_P[[NAME]:['#]],13,0)</f>
        <v>7</v>
      </c>
      <c r="P24" s="28">
        <f>VLOOKUP(Table107[[#This Row],[NAME]],ATL_P[[NAME]:['#]],14,0)</f>
        <v>3</v>
      </c>
      <c r="Q24" s="28">
        <f>VLOOKUP(Table107[[#This Row],[NAME]],ATL_P[[NAME]:['#]],15,0)</f>
        <v>1</v>
      </c>
      <c r="R24" s="28">
        <f>VLOOKUP(Table107[[#This Row],[NAME]],ATL_P[[NAME]:['#]],16,0)</f>
        <v>1</v>
      </c>
      <c r="S24" s="75">
        <v>22</v>
      </c>
      <c r="V24" s="101" t="s">
        <v>835</v>
      </c>
      <c r="W24" s="77" t="s">
        <v>206</v>
      </c>
      <c r="X24" s="132" t="s">
        <v>855</v>
      </c>
      <c r="Y24" s="88">
        <v>3.3400340188650071</v>
      </c>
      <c r="Z24" s="77">
        <v>4</v>
      </c>
      <c r="AA24" s="28">
        <v>4</v>
      </c>
      <c r="AB24" s="77">
        <v>10</v>
      </c>
      <c r="AC24" s="584">
        <v>64.67</v>
      </c>
      <c r="AD24" s="28">
        <v>62</v>
      </c>
      <c r="AE24" s="28">
        <v>24</v>
      </c>
      <c r="AF24" s="28">
        <v>16</v>
      </c>
      <c r="AG24" s="28">
        <v>60</v>
      </c>
      <c r="AH24" s="28">
        <v>0</v>
      </c>
      <c r="AI24" s="106">
        <v>1.2061233957012525</v>
      </c>
      <c r="AJ24" s="77">
        <v>7</v>
      </c>
      <c r="AK24" s="28">
        <v>5</v>
      </c>
      <c r="AL24" s="28">
        <v>1</v>
      </c>
      <c r="AM24" s="28">
        <v>1</v>
      </c>
      <c r="AN24" s="75">
        <v>22</v>
      </c>
      <c r="AQ24" s="101" t="s">
        <v>835</v>
      </c>
      <c r="AR24" s="77" t="s">
        <v>206</v>
      </c>
      <c r="AS24" s="77" t="s">
        <v>855</v>
      </c>
      <c r="AT24" s="135">
        <v>4.6500000000000004</v>
      </c>
      <c r="AU24" s="77">
        <v>4</v>
      </c>
      <c r="AV24" s="28">
        <v>4</v>
      </c>
      <c r="AW24" s="77">
        <v>10</v>
      </c>
      <c r="AX24" s="584">
        <v>60</v>
      </c>
      <c r="AY24" s="28">
        <v>69</v>
      </c>
      <c r="AZ24" s="28">
        <v>31</v>
      </c>
      <c r="BA24" s="28">
        <v>28</v>
      </c>
      <c r="BB24" s="28">
        <v>64</v>
      </c>
      <c r="BC24" s="28">
        <v>0</v>
      </c>
      <c r="BD24" s="106">
        <v>1.6166666666666667</v>
      </c>
      <c r="BE24" s="77">
        <v>6</v>
      </c>
      <c r="BF24" s="28">
        <v>2</v>
      </c>
      <c r="BG24" s="28">
        <v>1</v>
      </c>
      <c r="BH24" s="28">
        <v>1</v>
      </c>
      <c r="BI24" s="75">
        <v>22</v>
      </c>
    </row>
    <row r="25" spans="1:61">
      <c r="A25" s="101" t="s">
        <v>835</v>
      </c>
      <c r="B25" s="71" t="s">
        <v>206</v>
      </c>
      <c r="C25" s="116" t="s">
        <v>854</v>
      </c>
      <c r="D25" s="89">
        <f>VLOOKUP(Table107[[#This Row],[NAME]],ATL_P[[NAME]:['#]],2,0)</f>
        <v>3.6484514350575643</v>
      </c>
      <c r="E25" s="77">
        <f>VLOOKUP(Table107[[#This Row],[NAME]],ATL_P[[NAME]:['#]],3,0)</f>
        <v>5</v>
      </c>
      <c r="F25" s="28">
        <f>VLOOKUP(Table107[[#This Row],[NAME]],ATL_P[[NAME]:['#]],4,0)</f>
        <v>2</v>
      </c>
      <c r="G25" s="77">
        <f>VLOOKUP(Table107[[#This Row],[NAME]],ATL_P[[NAME]:['#]],5,0)</f>
        <v>10</v>
      </c>
      <c r="H25" s="584">
        <f>VLOOKUP(Table107[[#This Row],[NAME]],ATL_P[[NAME]:['#]],6,0)</f>
        <v>61.67</v>
      </c>
      <c r="I25" s="28">
        <f>VLOOKUP(Table107[[#This Row],[NAME]],ATL_P[[NAME]:['#]],7,0)</f>
        <v>66</v>
      </c>
      <c r="J25" s="28">
        <f>VLOOKUP(Table107[[#This Row],[NAME]],ATL_P[[NAME]:['#]],8,0)</f>
        <v>25</v>
      </c>
      <c r="K25" s="28">
        <f>VLOOKUP(Table107[[#This Row],[NAME]],ATL_P[[NAME]:['#]],9,0)</f>
        <v>22</v>
      </c>
      <c r="L25" s="28">
        <f>VLOOKUP(Table107[[#This Row],[NAME]],ATL_P[[NAME]:['#]],10,0)</f>
        <v>58</v>
      </c>
      <c r="M25" s="28">
        <f>VLOOKUP(Table107[[#This Row],[NAME]],ATL_P[[NAME]:['#]],11,0)</f>
        <v>0</v>
      </c>
      <c r="N25" s="106">
        <f>VLOOKUP(Table107[[#This Row],[NAME]],ATL_P[[NAME]:['#]],12,0)</f>
        <v>1.4269498946002919</v>
      </c>
      <c r="O25" s="77">
        <f>VLOOKUP(Table107[[#This Row],[NAME]],ATL_P[[NAME]:['#]],13,0)</f>
        <v>6</v>
      </c>
      <c r="P25" s="28">
        <f>VLOOKUP(Table107[[#This Row],[NAME]],ATL_P[[NAME]:['#]],14,0)</f>
        <v>3</v>
      </c>
      <c r="Q25" s="28">
        <f>VLOOKUP(Table107[[#This Row],[NAME]],ATL_P[[NAME]:['#]],15,0)</f>
        <v>0</v>
      </c>
      <c r="R25" s="28">
        <f>VLOOKUP(Table107[[#This Row],[NAME]],ATL_P[[NAME]:['#]],16,0)</f>
        <v>0</v>
      </c>
      <c r="S25" s="75">
        <v>23</v>
      </c>
      <c r="V25" s="101" t="s">
        <v>835</v>
      </c>
      <c r="W25" s="77" t="s">
        <v>206</v>
      </c>
      <c r="X25" s="132" t="s">
        <v>854</v>
      </c>
      <c r="Y25" s="88">
        <v>3.8786673296867233</v>
      </c>
      <c r="Z25" s="77">
        <v>5</v>
      </c>
      <c r="AA25" s="28">
        <v>2</v>
      </c>
      <c r="AB25" s="77">
        <v>10</v>
      </c>
      <c r="AC25" s="584">
        <v>60.33</v>
      </c>
      <c r="AD25" s="28">
        <v>57</v>
      </c>
      <c r="AE25" s="28">
        <v>26</v>
      </c>
      <c r="AF25" s="28">
        <v>36</v>
      </c>
      <c r="AG25" s="28">
        <v>62</v>
      </c>
      <c r="AH25" s="28">
        <v>0</v>
      </c>
      <c r="AI25" s="106">
        <v>1.5415216310293387</v>
      </c>
      <c r="AJ25" s="77">
        <v>5</v>
      </c>
      <c r="AK25" s="28">
        <v>2</v>
      </c>
      <c r="AL25" s="28">
        <v>0</v>
      </c>
      <c r="AM25" s="28">
        <v>0</v>
      </c>
      <c r="AN25" s="75">
        <v>23</v>
      </c>
      <c r="AQ25" s="101" t="s">
        <v>835</v>
      </c>
      <c r="AR25" s="77" t="s">
        <v>206</v>
      </c>
      <c r="AS25" s="77" t="s">
        <v>856</v>
      </c>
      <c r="AT25" s="135">
        <v>4.3819695303910793</v>
      </c>
      <c r="AU25" s="77">
        <v>3</v>
      </c>
      <c r="AV25" s="28">
        <v>4</v>
      </c>
      <c r="AW25" s="77">
        <v>10</v>
      </c>
      <c r="AX25" s="584">
        <v>63.67</v>
      </c>
      <c r="AY25" s="28">
        <v>47</v>
      </c>
      <c r="AZ25" s="28">
        <v>31</v>
      </c>
      <c r="BA25" s="28">
        <v>30</v>
      </c>
      <c r="BB25" s="28">
        <v>72</v>
      </c>
      <c r="BC25" s="28">
        <v>0</v>
      </c>
      <c r="BD25" s="106">
        <v>1.2093607664520183</v>
      </c>
      <c r="BE25" s="77">
        <v>6</v>
      </c>
      <c r="BF25" s="28">
        <v>3</v>
      </c>
      <c r="BG25" s="28">
        <v>2</v>
      </c>
      <c r="BH25" s="28">
        <v>2</v>
      </c>
      <c r="BI25" s="75">
        <v>23</v>
      </c>
    </row>
    <row r="26" spans="1:61">
      <c r="A26" s="101" t="s">
        <v>835</v>
      </c>
      <c r="B26" s="71" t="s">
        <v>206</v>
      </c>
      <c r="C26" s="116" t="s">
        <v>857</v>
      </c>
      <c r="D26" s="89">
        <f>VLOOKUP(Table107[[#This Row],[NAME]],ATL_P[[NAME]:['#]],2,0)</f>
        <v>5.0820539968237162</v>
      </c>
      <c r="E26" s="77">
        <f>VLOOKUP(Table107[[#This Row],[NAME]],ATL_P[[NAME]:['#]],3,0)</f>
        <v>1</v>
      </c>
      <c r="F26" s="28">
        <f>VLOOKUP(Table107[[#This Row],[NAME]],ATL_P[[NAME]:['#]],4,0)</f>
        <v>2</v>
      </c>
      <c r="G26" s="77">
        <f>VLOOKUP(Table107[[#This Row],[NAME]],ATL_P[[NAME]:['#]],5,0)</f>
        <v>10</v>
      </c>
      <c r="H26" s="584">
        <f>VLOOKUP(Table107[[#This Row],[NAME]],ATL_P[[NAME]:['#]],6,0)</f>
        <v>56.67</v>
      </c>
      <c r="I26" s="28">
        <f>VLOOKUP(Table107[[#This Row],[NAME]],ATL_P[[NAME]:['#]],7,0)</f>
        <v>59</v>
      </c>
      <c r="J26" s="28">
        <f>VLOOKUP(Table107[[#This Row],[NAME]],ATL_P[[NAME]:['#]],8,0)</f>
        <v>32</v>
      </c>
      <c r="K26" s="28">
        <f>VLOOKUP(Table107[[#This Row],[NAME]],ATL_P[[NAME]:['#]],9,0)</f>
        <v>31</v>
      </c>
      <c r="L26" s="28">
        <f>VLOOKUP(Table107[[#This Row],[NAME]],ATL_P[[NAME]:['#]],10,0)</f>
        <v>46</v>
      </c>
      <c r="M26" s="28">
        <f>VLOOKUP(Table107[[#This Row],[NAME]],ATL_P[[NAME]:['#]],11,0)</f>
        <v>0</v>
      </c>
      <c r="N26" s="106">
        <f>VLOOKUP(Table107[[#This Row],[NAME]],ATL_P[[NAME]:['#]],12,0)</f>
        <v>1.5881418740074114</v>
      </c>
      <c r="O26" s="77">
        <f>VLOOKUP(Table107[[#This Row],[NAME]],ATL_P[[NAME]:['#]],13,0)</f>
        <v>3</v>
      </c>
      <c r="P26" s="28">
        <f>VLOOKUP(Table107[[#This Row],[NAME]],ATL_P[[NAME]:['#]],14,0)</f>
        <v>2</v>
      </c>
      <c r="Q26" s="28">
        <f>VLOOKUP(Table107[[#This Row],[NAME]],ATL_P[[NAME]:['#]],15,0)</f>
        <v>0</v>
      </c>
      <c r="R26" s="28">
        <f>VLOOKUP(Table107[[#This Row],[NAME]],ATL_P[[NAME]:['#]],16,0)</f>
        <v>0</v>
      </c>
      <c r="S26" s="75">
        <v>24</v>
      </c>
      <c r="V26" s="101" t="s">
        <v>835</v>
      </c>
      <c r="W26" s="77" t="s">
        <v>206</v>
      </c>
      <c r="X26" s="132" t="s">
        <v>857</v>
      </c>
      <c r="Y26" s="88">
        <v>4.3599776411403015</v>
      </c>
      <c r="Z26" s="77">
        <v>6</v>
      </c>
      <c r="AA26" s="28">
        <v>2</v>
      </c>
      <c r="AB26" s="77">
        <v>10</v>
      </c>
      <c r="AC26" s="584">
        <v>53.67</v>
      </c>
      <c r="AD26" s="28">
        <v>64</v>
      </c>
      <c r="AE26" s="28">
        <v>26</v>
      </c>
      <c r="AF26" s="28">
        <v>20</v>
      </c>
      <c r="AG26" s="28">
        <v>41</v>
      </c>
      <c r="AH26" s="28">
        <v>0</v>
      </c>
      <c r="AI26" s="106">
        <v>1.5651201788708775</v>
      </c>
      <c r="AJ26" s="77">
        <v>4</v>
      </c>
      <c r="AK26" s="28">
        <v>1</v>
      </c>
      <c r="AL26" s="28">
        <v>0</v>
      </c>
      <c r="AM26" s="28">
        <v>0</v>
      </c>
      <c r="AN26" s="75">
        <v>24</v>
      </c>
      <c r="AQ26" s="101" t="s">
        <v>835</v>
      </c>
      <c r="AR26" s="77" t="s">
        <v>206</v>
      </c>
      <c r="AS26" s="77" t="s">
        <v>858</v>
      </c>
      <c r="AT26" s="135">
        <v>5.2105263157894735</v>
      </c>
      <c r="AU26" s="77">
        <v>2</v>
      </c>
      <c r="AV26" s="28">
        <v>4</v>
      </c>
      <c r="AW26" s="77">
        <v>10</v>
      </c>
      <c r="AX26" s="584">
        <v>57</v>
      </c>
      <c r="AY26" s="28">
        <v>67</v>
      </c>
      <c r="AZ26" s="28">
        <v>33</v>
      </c>
      <c r="BA26" s="28">
        <v>25</v>
      </c>
      <c r="BB26" s="28">
        <v>38</v>
      </c>
      <c r="BC26" s="28">
        <v>0</v>
      </c>
      <c r="BD26" s="106">
        <v>1.6140350877192982</v>
      </c>
      <c r="BE26" s="77">
        <v>5</v>
      </c>
      <c r="BF26" s="28">
        <v>0</v>
      </c>
      <c r="BG26" s="28">
        <v>0</v>
      </c>
      <c r="BH26" s="28">
        <v>0</v>
      </c>
      <c r="BI26" s="75">
        <v>24</v>
      </c>
    </row>
    <row r="27" spans="1:61">
      <c r="A27" s="101" t="s">
        <v>835</v>
      </c>
      <c r="B27" s="71" t="s">
        <v>215</v>
      </c>
      <c r="C27" s="116" t="s">
        <v>860</v>
      </c>
      <c r="D27" s="89">
        <f>VLOOKUP(Table107[[#This Row],[NAME]],ATL_P[[NAME]:['#]],2,0)</f>
        <v>12.709620476610768</v>
      </c>
      <c r="E27" s="77">
        <f>VLOOKUP(Table107[[#This Row],[NAME]],ATL_P[[NAME]:['#]],3,0)</f>
        <v>0</v>
      </c>
      <c r="F27" s="28">
        <f>VLOOKUP(Table107[[#This Row],[NAME]],ATL_P[[NAME]:['#]],4,0)</f>
        <v>0</v>
      </c>
      <c r="G27" s="77">
        <f>VLOOKUP(Table107[[#This Row],[NAME]],ATL_P[[NAME]:['#]],5,0)</f>
        <v>6</v>
      </c>
      <c r="H27" s="584">
        <f>VLOOKUP(Table107[[#This Row],[NAME]],ATL_P[[NAME]:['#]],6,0)</f>
        <v>11.33</v>
      </c>
      <c r="I27" s="28">
        <f>VLOOKUP(Table107[[#This Row],[NAME]],ATL_P[[NAME]:['#]],7,0)</f>
        <v>19</v>
      </c>
      <c r="J27" s="28">
        <f>VLOOKUP(Table107[[#This Row],[NAME]],ATL_P[[NAME]:['#]],8,0)</f>
        <v>16</v>
      </c>
      <c r="K27" s="28">
        <f>VLOOKUP(Table107[[#This Row],[NAME]],ATL_P[[NAME]:['#]],9,0)</f>
        <v>8</v>
      </c>
      <c r="L27" s="28">
        <f>VLOOKUP(Table107[[#This Row],[NAME]],ATL_P[[NAME]:['#]],10,0)</f>
        <v>7</v>
      </c>
      <c r="M27" s="28">
        <f>VLOOKUP(Table107[[#This Row],[NAME]],ATL_P[[NAME]:['#]],11,0)</f>
        <v>0</v>
      </c>
      <c r="N27" s="106">
        <f>VLOOKUP(Table107[[#This Row],[NAME]],ATL_P[[NAME]:['#]],12,0)</f>
        <v>2.3830538393645191</v>
      </c>
      <c r="O27" s="77">
        <f>VLOOKUP(Table107[[#This Row],[NAME]],ATL_P[[NAME]:['#]],13,0)</f>
        <v>0</v>
      </c>
      <c r="P27" s="28">
        <f>VLOOKUP(Table107[[#This Row],[NAME]],ATL_P[[NAME]:['#]],14,0)</f>
        <v>0</v>
      </c>
      <c r="Q27" s="28">
        <f>VLOOKUP(Table107[[#This Row],[NAME]],ATL_P[[NAME]:['#]],15,0)</f>
        <v>0</v>
      </c>
      <c r="R27" s="28">
        <f>VLOOKUP(Table107[[#This Row],[NAME]],ATL_P[[NAME]:['#]],16,0)</f>
        <v>0</v>
      </c>
      <c r="S27" s="75">
        <v>25</v>
      </c>
      <c r="V27" s="101" t="s">
        <v>835</v>
      </c>
      <c r="W27" s="77" t="s">
        <v>212</v>
      </c>
      <c r="X27" s="132" t="s">
        <v>858</v>
      </c>
      <c r="Y27" s="88">
        <v>2.3483365949119372</v>
      </c>
      <c r="Z27" s="77">
        <v>1</v>
      </c>
      <c r="AA27" s="28">
        <v>1</v>
      </c>
      <c r="AB27" s="77">
        <v>8</v>
      </c>
      <c r="AC27" s="584">
        <v>15.33</v>
      </c>
      <c r="AD27" s="28">
        <v>11</v>
      </c>
      <c r="AE27" s="28">
        <v>4</v>
      </c>
      <c r="AF27" s="28">
        <v>11</v>
      </c>
      <c r="AG27" s="28">
        <v>8</v>
      </c>
      <c r="AH27" s="28">
        <v>0</v>
      </c>
      <c r="AI27" s="106">
        <v>1.4350945857795172</v>
      </c>
      <c r="AJ27" s="77">
        <v>0</v>
      </c>
      <c r="AK27" s="28">
        <v>0</v>
      </c>
      <c r="AL27" s="28">
        <v>0</v>
      </c>
      <c r="AM27" s="28">
        <v>0</v>
      </c>
      <c r="AN27" s="75">
        <v>25</v>
      </c>
      <c r="AQ27" s="101" t="s">
        <v>835</v>
      </c>
      <c r="AR27" s="77" t="s">
        <v>215</v>
      </c>
      <c r="AS27" s="77" t="s">
        <v>857</v>
      </c>
      <c r="AT27" s="135">
        <v>5</v>
      </c>
      <c r="AU27" s="77">
        <v>0</v>
      </c>
      <c r="AV27" s="28">
        <v>0</v>
      </c>
      <c r="AW27" s="77">
        <v>8</v>
      </c>
      <c r="AX27" s="584">
        <v>18</v>
      </c>
      <c r="AY27" s="28">
        <v>18</v>
      </c>
      <c r="AZ27" s="28">
        <v>10</v>
      </c>
      <c r="BA27" s="28">
        <v>10</v>
      </c>
      <c r="BB27" s="28">
        <v>12</v>
      </c>
      <c r="BC27" s="28">
        <v>0</v>
      </c>
      <c r="BD27" s="106">
        <v>1.5555555555555556</v>
      </c>
      <c r="BE27" s="77">
        <v>0</v>
      </c>
      <c r="BF27" s="28">
        <v>0</v>
      </c>
      <c r="BG27" s="28">
        <v>0</v>
      </c>
      <c r="BH27" s="28">
        <v>0</v>
      </c>
      <c r="BI27" s="75">
        <v>25</v>
      </c>
    </row>
    <row r="28" spans="1:61">
      <c r="A28" s="101" t="s">
        <v>835</v>
      </c>
      <c r="B28" s="71" t="s">
        <v>212</v>
      </c>
      <c r="C28" s="116" t="s">
        <v>859</v>
      </c>
      <c r="D28" s="89">
        <f>VLOOKUP(Table107[[#This Row],[NAME]],ATL_P[[NAME]:['#]],2,0)</f>
        <v>7.2421360643745425</v>
      </c>
      <c r="E28" s="77">
        <f>VLOOKUP(Table107[[#This Row],[NAME]],ATL_P[[NAME]:['#]],3,0)</f>
        <v>0</v>
      </c>
      <c r="F28" s="28">
        <f>VLOOKUP(Table107[[#This Row],[NAME]],ATL_P[[NAME]:['#]],4,0)</f>
        <v>2</v>
      </c>
      <c r="G28" s="77">
        <f>VLOOKUP(Table107[[#This Row],[NAME]],ATL_P[[NAME]:['#]],5,0)</f>
        <v>9</v>
      </c>
      <c r="H28" s="584">
        <f>VLOOKUP(Table107[[#This Row],[NAME]],ATL_P[[NAME]:['#]],6,0)</f>
        <v>13.67</v>
      </c>
      <c r="I28" s="28">
        <f>VLOOKUP(Table107[[#This Row],[NAME]],ATL_P[[NAME]:['#]],7,0)</f>
        <v>16</v>
      </c>
      <c r="J28" s="28">
        <f>VLOOKUP(Table107[[#This Row],[NAME]],ATL_P[[NAME]:['#]],8,0)</f>
        <v>11</v>
      </c>
      <c r="K28" s="28">
        <f>VLOOKUP(Table107[[#This Row],[NAME]],ATL_P[[NAME]:['#]],9,0)</f>
        <v>9</v>
      </c>
      <c r="L28" s="28">
        <f>VLOOKUP(Table107[[#This Row],[NAME]],ATL_P[[NAME]:['#]],10,0)</f>
        <v>12</v>
      </c>
      <c r="M28" s="28">
        <f>VLOOKUP(Table107[[#This Row],[NAME]],ATL_P[[NAME]:['#]],11,0)</f>
        <v>0</v>
      </c>
      <c r="N28" s="106">
        <f>VLOOKUP(Table107[[#This Row],[NAME]],ATL_P[[NAME]:['#]],12,0)</f>
        <v>1.8288222384784198</v>
      </c>
      <c r="O28" s="77">
        <f>VLOOKUP(Table107[[#This Row],[NAME]],ATL_P[[NAME]:['#]],13,0)</f>
        <v>0</v>
      </c>
      <c r="P28" s="28">
        <f>VLOOKUP(Table107[[#This Row],[NAME]],ATL_P[[NAME]:['#]],14,0)</f>
        <v>0</v>
      </c>
      <c r="Q28" s="28">
        <f>VLOOKUP(Table107[[#This Row],[NAME]],ATL_P[[NAME]:['#]],15,0)</f>
        <v>0</v>
      </c>
      <c r="R28" s="28">
        <f>VLOOKUP(Table107[[#This Row],[NAME]],ATL_P[[NAME]:['#]],16,0)</f>
        <v>0</v>
      </c>
      <c r="S28" s="75">
        <v>26</v>
      </c>
      <c r="V28" s="101" t="s">
        <v>835</v>
      </c>
      <c r="W28" s="77" t="s">
        <v>212</v>
      </c>
      <c r="X28" s="132" t="s">
        <v>859</v>
      </c>
      <c r="Y28" s="88">
        <v>7.9151577858251434</v>
      </c>
      <c r="Z28" s="77">
        <v>0</v>
      </c>
      <c r="AA28" s="28">
        <v>1</v>
      </c>
      <c r="AB28" s="77">
        <v>11</v>
      </c>
      <c r="AC28" s="584">
        <v>19.329999999999998</v>
      </c>
      <c r="AD28" s="28">
        <v>24</v>
      </c>
      <c r="AE28" s="28">
        <v>17</v>
      </c>
      <c r="AF28" s="28">
        <v>14</v>
      </c>
      <c r="AG28" s="28">
        <v>20</v>
      </c>
      <c r="AH28" s="28">
        <v>0</v>
      </c>
      <c r="AI28" s="106">
        <v>1.9658561821003624</v>
      </c>
      <c r="AJ28" s="77">
        <v>0</v>
      </c>
      <c r="AK28" s="28">
        <v>0</v>
      </c>
      <c r="AL28" s="28">
        <v>0</v>
      </c>
      <c r="AM28" s="28">
        <v>0</v>
      </c>
      <c r="AN28" s="75">
        <v>26</v>
      </c>
      <c r="AQ28" s="101" t="s">
        <v>835</v>
      </c>
      <c r="AR28" s="77" t="s">
        <v>215</v>
      </c>
      <c r="AS28" s="77" t="s">
        <v>859</v>
      </c>
      <c r="AT28" s="135">
        <v>4.8</v>
      </c>
      <c r="AU28" s="77">
        <v>0</v>
      </c>
      <c r="AV28" s="28">
        <v>0</v>
      </c>
      <c r="AW28" s="77">
        <v>8</v>
      </c>
      <c r="AX28" s="584">
        <v>15</v>
      </c>
      <c r="AY28" s="28">
        <v>14</v>
      </c>
      <c r="AZ28" s="28">
        <v>8</v>
      </c>
      <c r="BA28" s="28">
        <v>7</v>
      </c>
      <c r="BB28" s="28">
        <v>15</v>
      </c>
      <c r="BC28" s="28">
        <v>0</v>
      </c>
      <c r="BD28" s="106">
        <v>1.4</v>
      </c>
      <c r="BE28" s="77">
        <v>0</v>
      </c>
      <c r="BF28" s="28">
        <v>0</v>
      </c>
      <c r="BG28" s="28">
        <v>0</v>
      </c>
      <c r="BH28" s="28">
        <v>0</v>
      </c>
      <c r="BI28" s="75">
        <v>26</v>
      </c>
    </row>
    <row r="29" spans="1:61">
      <c r="A29" s="101" t="s">
        <v>835</v>
      </c>
      <c r="B29" s="71" t="s">
        <v>212</v>
      </c>
      <c r="C29" s="116" t="s">
        <v>861</v>
      </c>
      <c r="D29" s="89">
        <f>VLOOKUP(Table107[[#This Row],[NAME]],ATL_P[[NAME]:['#]],2,0)</f>
        <v>2.5466893039049232</v>
      </c>
      <c r="E29" s="77">
        <f>VLOOKUP(Table107[[#This Row],[NAME]],ATL_P[[NAME]:['#]],3,0)</f>
        <v>1</v>
      </c>
      <c r="F29" s="28">
        <f>VLOOKUP(Table107[[#This Row],[NAME]],ATL_P[[NAME]:['#]],4,0)</f>
        <v>0</v>
      </c>
      <c r="G29" s="77">
        <f>VLOOKUP(Table107[[#This Row],[NAME]],ATL_P[[NAME]:['#]],5,0)</f>
        <v>13</v>
      </c>
      <c r="H29" s="584">
        <f>VLOOKUP(Table107[[#This Row],[NAME]],ATL_P[[NAME]:['#]],6,0)</f>
        <v>17.670000000000002</v>
      </c>
      <c r="I29" s="28">
        <f>VLOOKUP(Table107[[#This Row],[NAME]],ATL_P[[NAME]:['#]],7,0)</f>
        <v>14</v>
      </c>
      <c r="J29" s="28">
        <f>VLOOKUP(Table107[[#This Row],[NAME]],ATL_P[[NAME]:['#]],8,0)</f>
        <v>5</v>
      </c>
      <c r="K29" s="28">
        <f>VLOOKUP(Table107[[#This Row],[NAME]],ATL_P[[NAME]:['#]],9,0)</f>
        <v>7</v>
      </c>
      <c r="L29" s="28">
        <f>VLOOKUP(Table107[[#This Row],[NAME]],ATL_P[[NAME]:['#]],10,0)</f>
        <v>18</v>
      </c>
      <c r="M29" s="28">
        <f>VLOOKUP(Table107[[#This Row],[NAME]],ATL_P[[NAME]:['#]],11,0)</f>
        <v>0</v>
      </c>
      <c r="N29" s="106">
        <f>VLOOKUP(Table107[[#This Row],[NAME]],ATL_P[[NAME]:['#]],12,0)</f>
        <v>1.1884550084889642</v>
      </c>
      <c r="O29" s="77">
        <f>VLOOKUP(Table107[[#This Row],[NAME]],ATL_P[[NAME]:['#]],13,0)</f>
        <v>0</v>
      </c>
      <c r="P29" s="28">
        <f>VLOOKUP(Table107[[#This Row],[NAME]],ATL_P[[NAME]:['#]],14,0)</f>
        <v>0</v>
      </c>
      <c r="Q29" s="28">
        <f>VLOOKUP(Table107[[#This Row],[NAME]],ATL_P[[NAME]:['#]],15,0)</f>
        <v>0</v>
      </c>
      <c r="R29" s="28">
        <f>VLOOKUP(Table107[[#This Row],[NAME]],ATL_P[[NAME]:['#]],16,0)</f>
        <v>0</v>
      </c>
      <c r="S29" s="75">
        <v>27</v>
      </c>
      <c r="V29" s="101" t="s">
        <v>835</v>
      </c>
      <c r="W29" s="77" t="s">
        <v>212</v>
      </c>
      <c r="X29" s="132" t="s">
        <v>861</v>
      </c>
      <c r="Y29" s="88">
        <v>4.7426023510336437</v>
      </c>
      <c r="Z29" s="77">
        <v>2</v>
      </c>
      <c r="AA29" s="28">
        <v>3</v>
      </c>
      <c r="AB29" s="77">
        <v>19</v>
      </c>
      <c r="AC29" s="584">
        <v>24.67</v>
      </c>
      <c r="AD29" s="28">
        <v>25</v>
      </c>
      <c r="AE29" s="28">
        <v>13</v>
      </c>
      <c r="AF29" s="28">
        <v>20</v>
      </c>
      <c r="AG29" s="28">
        <v>31</v>
      </c>
      <c r="AH29" s="28">
        <v>0</v>
      </c>
      <c r="AI29" s="106">
        <v>1.8240778273206322</v>
      </c>
      <c r="AJ29" s="77">
        <v>0</v>
      </c>
      <c r="AK29" s="28">
        <v>0</v>
      </c>
      <c r="AL29" s="28">
        <v>0</v>
      </c>
      <c r="AM29" s="28">
        <v>0</v>
      </c>
      <c r="AN29" s="75">
        <v>27</v>
      </c>
      <c r="AQ29" s="101" t="s">
        <v>835</v>
      </c>
      <c r="AR29" s="77" t="s">
        <v>212</v>
      </c>
      <c r="AS29" s="77" t="s">
        <v>861</v>
      </c>
      <c r="AT29" s="135">
        <v>1.588702559576346</v>
      </c>
      <c r="AU29" s="77">
        <v>0</v>
      </c>
      <c r="AV29" s="28">
        <v>0</v>
      </c>
      <c r="AW29" s="77">
        <v>9</v>
      </c>
      <c r="AX29" s="584">
        <v>11.33</v>
      </c>
      <c r="AY29" s="28">
        <v>3</v>
      </c>
      <c r="AZ29" s="28">
        <v>2</v>
      </c>
      <c r="BA29" s="28">
        <v>3</v>
      </c>
      <c r="BB29" s="28">
        <v>11</v>
      </c>
      <c r="BC29" s="28">
        <v>0</v>
      </c>
      <c r="BD29" s="106">
        <v>0.52956751985878203</v>
      </c>
      <c r="BE29" s="77">
        <v>0</v>
      </c>
      <c r="BF29" s="28">
        <v>0</v>
      </c>
      <c r="BG29" s="28">
        <v>0</v>
      </c>
      <c r="BH29" s="28">
        <v>0</v>
      </c>
      <c r="BI29" s="75">
        <v>27</v>
      </c>
    </row>
    <row r="30" spans="1:61">
      <c r="A30" s="101" t="s">
        <v>835</v>
      </c>
      <c r="B30" s="71" t="s">
        <v>215</v>
      </c>
      <c r="C30" s="116" t="s">
        <v>862</v>
      </c>
      <c r="D30" s="89">
        <f>VLOOKUP(Table107[[#This Row],[NAME]],ATL_P[[NAME]:['#]],2,0)</f>
        <v>3.086155165023575</v>
      </c>
      <c r="E30" s="77">
        <f>VLOOKUP(Table107[[#This Row],[NAME]],ATL_P[[NAME]:['#]],3,0)</f>
        <v>2</v>
      </c>
      <c r="F30" s="28">
        <f>VLOOKUP(Table107[[#This Row],[NAME]],ATL_P[[NAME]:['#]],4,0)</f>
        <v>2</v>
      </c>
      <c r="G30" s="77">
        <f>VLOOKUP(Table107[[#This Row],[NAME]],ATL_P[[NAME]:['#]],5,0)</f>
        <v>21</v>
      </c>
      <c r="H30" s="584">
        <f>VLOOKUP(Table107[[#This Row],[NAME]],ATL_P[[NAME]:['#]],6,0)</f>
        <v>23.33</v>
      </c>
      <c r="I30" s="28">
        <f>VLOOKUP(Table107[[#This Row],[NAME]],ATL_P[[NAME]:['#]],7,0)</f>
        <v>16</v>
      </c>
      <c r="J30" s="28">
        <f>VLOOKUP(Table107[[#This Row],[NAME]],ATL_P[[NAME]:['#]],8,0)</f>
        <v>8</v>
      </c>
      <c r="K30" s="28">
        <f>VLOOKUP(Table107[[#This Row],[NAME]],ATL_P[[NAME]:['#]],9,0)</f>
        <v>7</v>
      </c>
      <c r="L30" s="28">
        <f>VLOOKUP(Table107[[#This Row],[NAME]],ATL_P[[NAME]:['#]],10,0)</f>
        <v>22</v>
      </c>
      <c r="M30" s="28">
        <f>VLOOKUP(Table107[[#This Row],[NAME]],ATL_P[[NAME]:['#]],11,0)</f>
        <v>1</v>
      </c>
      <c r="N30" s="106">
        <f>VLOOKUP(Table107[[#This Row],[NAME]],ATL_P[[NAME]:['#]],12,0)</f>
        <v>0.98585512216030868</v>
      </c>
      <c r="O30" s="77">
        <f>VLOOKUP(Table107[[#This Row],[NAME]],ATL_P[[NAME]:['#]],13,0)</f>
        <v>0</v>
      </c>
      <c r="P30" s="28">
        <f>VLOOKUP(Table107[[#This Row],[NAME]],ATL_P[[NAME]:['#]],14,0)</f>
        <v>0</v>
      </c>
      <c r="Q30" s="28">
        <f>VLOOKUP(Table107[[#This Row],[NAME]],ATL_P[[NAME]:['#]],15,0)</f>
        <v>0</v>
      </c>
      <c r="R30" s="28">
        <f>VLOOKUP(Table107[[#This Row],[NAME]],ATL_P[[NAME]:['#]],16,0)</f>
        <v>0</v>
      </c>
      <c r="S30" s="75">
        <v>28</v>
      </c>
      <c r="V30" s="101" t="s">
        <v>835</v>
      </c>
      <c r="W30" s="77" t="s">
        <v>212</v>
      </c>
      <c r="X30" s="132" t="s">
        <v>856</v>
      </c>
      <c r="Y30" s="88">
        <v>12</v>
      </c>
      <c r="Z30" s="77">
        <v>0</v>
      </c>
      <c r="AA30" s="28">
        <v>0</v>
      </c>
      <c r="AB30" s="77">
        <v>4</v>
      </c>
      <c r="AC30" s="584">
        <v>6</v>
      </c>
      <c r="AD30" s="28">
        <v>9</v>
      </c>
      <c r="AE30" s="28">
        <v>8</v>
      </c>
      <c r="AF30" s="28">
        <v>3</v>
      </c>
      <c r="AG30" s="28">
        <v>2</v>
      </c>
      <c r="AH30" s="28">
        <v>0</v>
      </c>
      <c r="AI30" s="106">
        <v>2</v>
      </c>
      <c r="AJ30" s="77">
        <v>0</v>
      </c>
      <c r="AK30" s="28">
        <v>0</v>
      </c>
      <c r="AL30" s="28">
        <v>0</v>
      </c>
      <c r="AM30" s="28">
        <v>0</v>
      </c>
      <c r="AN30" s="75">
        <v>28</v>
      </c>
      <c r="AQ30" s="101" t="s">
        <v>835</v>
      </c>
      <c r="AR30" s="77" t="s">
        <v>212</v>
      </c>
      <c r="AS30" s="77" t="s">
        <v>864</v>
      </c>
      <c r="AT30" s="135">
        <v>5.3991693585602212</v>
      </c>
      <c r="AU30" s="77">
        <v>2</v>
      </c>
      <c r="AV30" s="28">
        <v>2</v>
      </c>
      <c r="AW30" s="77">
        <v>22</v>
      </c>
      <c r="AX30" s="584">
        <v>21.67</v>
      </c>
      <c r="AY30" s="28">
        <v>30</v>
      </c>
      <c r="AZ30" s="28">
        <v>13</v>
      </c>
      <c r="BA30" s="28">
        <v>10</v>
      </c>
      <c r="BB30" s="28">
        <v>29</v>
      </c>
      <c r="BC30" s="28">
        <v>0</v>
      </c>
      <c r="BD30" s="106">
        <v>1.8458698661744346</v>
      </c>
      <c r="BE30" s="77">
        <v>0</v>
      </c>
      <c r="BF30" s="28">
        <v>0</v>
      </c>
      <c r="BG30" s="28">
        <v>0</v>
      </c>
      <c r="BH30" s="28">
        <v>0</v>
      </c>
      <c r="BI30" s="75">
        <v>28</v>
      </c>
    </row>
    <row r="31" spans="1:61">
      <c r="A31" s="101" t="s">
        <v>835</v>
      </c>
      <c r="B31" s="71" t="s">
        <v>212</v>
      </c>
      <c r="C31" s="116" t="s">
        <v>863</v>
      </c>
      <c r="D31" s="89">
        <f>VLOOKUP(Table107[[#This Row],[NAME]],ATL_P[[NAME]:['#]],2,0)</f>
        <v>2.5466893039049232</v>
      </c>
      <c r="E31" s="77">
        <f>VLOOKUP(Table107[[#This Row],[NAME]],ATL_P[[NAME]:['#]],3,0)</f>
        <v>0</v>
      </c>
      <c r="F31" s="28">
        <f>VLOOKUP(Table107[[#This Row],[NAME]],ATL_P[[NAME]:['#]],4,0)</f>
        <v>0</v>
      </c>
      <c r="G31" s="77">
        <f>VLOOKUP(Table107[[#This Row],[NAME]],ATL_P[[NAME]:['#]],5,0)</f>
        <v>18</v>
      </c>
      <c r="H31" s="584">
        <f>VLOOKUP(Table107[[#This Row],[NAME]],ATL_P[[NAME]:['#]],6,0)</f>
        <v>17.670000000000002</v>
      </c>
      <c r="I31" s="28">
        <f>VLOOKUP(Table107[[#This Row],[NAME]],ATL_P[[NAME]:['#]],7,0)</f>
        <v>17</v>
      </c>
      <c r="J31" s="28">
        <f>VLOOKUP(Table107[[#This Row],[NAME]],ATL_P[[NAME]:['#]],8,0)</f>
        <v>5</v>
      </c>
      <c r="K31" s="28">
        <f>VLOOKUP(Table107[[#This Row],[NAME]],ATL_P[[NAME]:['#]],9,0)</f>
        <v>5</v>
      </c>
      <c r="L31" s="28">
        <f>VLOOKUP(Table107[[#This Row],[NAME]],ATL_P[[NAME]:['#]],10,0)</f>
        <v>16</v>
      </c>
      <c r="M31" s="28">
        <f>VLOOKUP(Table107[[#This Row],[NAME]],ATL_P[[NAME]:['#]],11,0)</f>
        <v>0</v>
      </c>
      <c r="N31" s="106">
        <f>VLOOKUP(Table107[[#This Row],[NAME]],ATL_P[[NAME]:['#]],12,0)</f>
        <v>1.245048104131296</v>
      </c>
      <c r="O31" s="77">
        <f>VLOOKUP(Table107[[#This Row],[NAME]],ATL_P[[NAME]:['#]],13,0)</f>
        <v>0</v>
      </c>
      <c r="P31" s="28">
        <f>VLOOKUP(Table107[[#This Row],[NAME]],ATL_P[[NAME]:['#]],14,0)</f>
        <v>0</v>
      </c>
      <c r="Q31" s="28">
        <f>VLOOKUP(Table107[[#This Row],[NAME]],ATL_P[[NAME]:['#]],15,0)</f>
        <v>0</v>
      </c>
      <c r="R31" s="28">
        <f>VLOOKUP(Table107[[#This Row],[NAME]],ATL_P[[NAME]:['#]],16,0)</f>
        <v>0</v>
      </c>
      <c r="S31" s="75">
        <v>29</v>
      </c>
      <c r="V31" s="101" t="s">
        <v>835</v>
      </c>
      <c r="W31" s="77" t="s">
        <v>212</v>
      </c>
      <c r="X31" s="132" t="s">
        <v>863</v>
      </c>
      <c r="Y31" s="88">
        <v>4.6956521739130439</v>
      </c>
      <c r="Z31" s="77">
        <v>0</v>
      </c>
      <c r="AA31" s="28">
        <v>2</v>
      </c>
      <c r="AB31" s="77">
        <v>26</v>
      </c>
      <c r="AC31" s="584">
        <v>23</v>
      </c>
      <c r="AD31" s="28">
        <v>26</v>
      </c>
      <c r="AE31" s="28">
        <v>12</v>
      </c>
      <c r="AF31" s="28">
        <v>7</v>
      </c>
      <c r="AG31" s="28">
        <v>30</v>
      </c>
      <c r="AH31" s="28">
        <v>1</v>
      </c>
      <c r="AI31" s="106">
        <v>1.4347826086956521</v>
      </c>
      <c r="AJ31" s="77">
        <v>0</v>
      </c>
      <c r="AK31" s="28">
        <v>0</v>
      </c>
      <c r="AL31" s="28">
        <v>0</v>
      </c>
      <c r="AM31" s="28">
        <v>0</v>
      </c>
      <c r="AN31" s="75">
        <v>29</v>
      </c>
      <c r="AQ31" s="101" t="s">
        <v>835</v>
      </c>
      <c r="AR31" s="77" t="s">
        <v>212</v>
      </c>
      <c r="AS31" s="77" t="s">
        <v>863</v>
      </c>
      <c r="AT31" s="135">
        <v>4.5578496299181923</v>
      </c>
      <c r="AU31" s="77">
        <v>3</v>
      </c>
      <c r="AV31" s="28">
        <v>0</v>
      </c>
      <c r="AW31" s="77">
        <v>23</v>
      </c>
      <c r="AX31" s="584">
        <v>25.67</v>
      </c>
      <c r="AY31" s="28">
        <v>30</v>
      </c>
      <c r="AZ31" s="28">
        <v>13</v>
      </c>
      <c r="BA31" s="28">
        <v>9</v>
      </c>
      <c r="BB31" s="28">
        <v>35</v>
      </c>
      <c r="BC31" s="28">
        <v>0</v>
      </c>
      <c r="BD31" s="106">
        <v>1.5192832099727307</v>
      </c>
      <c r="BE31" s="77">
        <v>0</v>
      </c>
      <c r="BF31" s="28">
        <v>0</v>
      </c>
      <c r="BG31" s="28">
        <v>0</v>
      </c>
      <c r="BH31" s="28">
        <v>0</v>
      </c>
      <c r="BI31" s="75">
        <v>29</v>
      </c>
    </row>
    <row r="32" spans="1:61">
      <c r="A32" s="101" t="s">
        <v>835</v>
      </c>
      <c r="B32" s="71" t="s">
        <v>212</v>
      </c>
      <c r="C32" s="116" t="s">
        <v>865</v>
      </c>
      <c r="D32" s="89">
        <f>VLOOKUP(Table107[[#This Row],[NAME]],ATL_P[[NAME]:['#]],2,0)</f>
        <v>2.9535864978902957</v>
      </c>
      <c r="E32" s="77">
        <f>VLOOKUP(Table107[[#This Row],[NAME]],ATL_P[[NAME]:['#]],3,0)</f>
        <v>3</v>
      </c>
      <c r="F32" s="28">
        <f>VLOOKUP(Table107[[#This Row],[NAME]],ATL_P[[NAME]:['#]],4,0)</f>
        <v>2</v>
      </c>
      <c r="G32" s="77">
        <f>VLOOKUP(Table107[[#This Row],[NAME]],ATL_P[[NAME]:['#]],5,0)</f>
        <v>20</v>
      </c>
      <c r="H32" s="584">
        <f>VLOOKUP(Table107[[#This Row],[NAME]],ATL_P[[NAME]:['#]],6,0)</f>
        <v>21.33</v>
      </c>
      <c r="I32" s="28">
        <f>VLOOKUP(Table107[[#This Row],[NAME]],ATL_P[[NAME]:['#]],7,0)</f>
        <v>17</v>
      </c>
      <c r="J32" s="28">
        <f>VLOOKUP(Table107[[#This Row],[NAME]],ATL_P[[NAME]:['#]],8,0)</f>
        <v>7</v>
      </c>
      <c r="K32" s="28">
        <f>VLOOKUP(Table107[[#This Row],[NAME]],ATL_P[[NAME]:['#]],9,0)</f>
        <v>18</v>
      </c>
      <c r="L32" s="28">
        <f>VLOOKUP(Table107[[#This Row],[NAME]],ATL_P[[NAME]:['#]],10,0)</f>
        <v>29</v>
      </c>
      <c r="M32" s="28">
        <f>VLOOKUP(Table107[[#This Row],[NAME]],ATL_P[[NAME]:['#]],11,0)</f>
        <v>7</v>
      </c>
      <c r="N32" s="106">
        <f>VLOOKUP(Table107[[#This Row],[NAME]],ATL_P[[NAME]:['#]],12,0)</f>
        <v>1.6408813877168309</v>
      </c>
      <c r="O32" s="77">
        <f>VLOOKUP(Table107[[#This Row],[NAME]],ATL_P[[NAME]:['#]],13,0)</f>
        <v>0</v>
      </c>
      <c r="P32" s="28">
        <f>VLOOKUP(Table107[[#This Row],[NAME]],ATL_P[[NAME]:['#]],14,0)</f>
        <v>0</v>
      </c>
      <c r="Q32" s="28">
        <f>VLOOKUP(Table107[[#This Row],[NAME]],ATL_P[[NAME]:['#]],15,0)</f>
        <v>0</v>
      </c>
      <c r="R32" s="28">
        <f>VLOOKUP(Table107[[#This Row],[NAME]],ATL_P[[NAME]:['#]],16,0)</f>
        <v>0</v>
      </c>
      <c r="S32" s="75">
        <v>30</v>
      </c>
      <c r="V32" s="101" t="s">
        <v>835</v>
      </c>
      <c r="W32" s="77" t="s">
        <v>212</v>
      </c>
      <c r="X32" s="132" t="s">
        <v>865</v>
      </c>
      <c r="Y32" s="88">
        <v>2.3927079377136349</v>
      </c>
      <c r="Z32" s="77">
        <v>0</v>
      </c>
      <c r="AA32" s="28">
        <v>0</v>
      </c>
      <c r="AB32" s="77">
        <v>22</v>
      </c>
      <c r="AC32" s="584">
        <v>26.33</v>
      </c>
      <c r="AD32" s="28">
        <v>15</v>
      </c>
      <c r="AE32" s="28">
        <v>7</v>
      </c>
      <c r="AF32" s="28">
        <v>11</v>
      </c>
      <c r="AG32" s="28">
        <v>45</v>
      </c>
      <c r="AH32" s="28">
        <v>10</v>
      </c>
      <c r="AI32" s="106">
        <v>0.98746676794530963</v>
      </c>
      <c r="AJ32" s="77">
        <v>0</v>
      </c>
      <c r="AK32" s="28">
        <v>0</v>
      </c>
      <c r="AL32" s="28">
        <v>0</v>
      </c>
      <c r="AM32" s="28">
        <v>0</v>
      </c>
      <c r="AN32" s="75">
        <v>30</v>
      </c>
      <c r="AQ32" s="101" t="s">
        <v>835</v>
      </c>
      <c r="AR32" s="77" t="s">
        <v>212</v>
      </c>
      <c r="AS32" s="77" t="s">
        <v>865</v>
      </c>
      <c r="AT32" s="135">
        <v>1.6263100831225152</v>
      </c>
      <c r="AU32" s="77">
        <v>4</v>
      </c>
      <c r="AV32" s="28">
        <v>1</v>
      </c>
      <c r="AW32" s="77">
        <v>23</v>
      </c>
      <c r="AX32" s="584">
        <v>27.67</v>
      </c>
      <c r="AY32" s="28">
        <v>15</v>
      </c>
      <c r="AZ32" s="28">
        <v>5</v>
      </c>
      <c r="BA32" s="28">
        <v>11</v>
      </c>
      <c r="BB32" s="28">
        <v>46</v>
      </c>
      <c r="BC32" s="28">
        <v>6</v>
      </c>
      <c r="BD32" s="106">
        <v>0.93964582580411993</v>
      </c>
      <c r="BE32" s="77">
        <v>0</v>
      </c>
      <c r="BF32" s="28">
        <v>0</v>
      </c>
      <c r="BG32" s="28">
        <v>0</v>
      </c>
      <c r="BH32" s="28">
        <v>0</v>
      </c>
      <c r="BI32" s="75">
        <v>30</v>
      </c>
    </row>
    <row r="33" spans="1:61">
      <c r="A33" s="101" t="s">
        <v>869</v>
      </c>
      <c r="B33" s="71" t="s">
        <v>206</v>
      </c>
      <c r="C33" s="71" t="s">
        <v>889</v>
      </c>
      <c r="D33" s="89">
        <f>VLOOKUP(Table107[[#This Row],[NAME]],WSH_P[[NAME]:[SH]],2,0)</f>
        <v>3.8573396601867445</v>
      </c>
      <c r="E33" s="77">
        <f>VLOOKUP(Table107[[#This Row],[NAME]],WSH_P[[NAME]:[SH]],3,0)</f>
        <v>0</v>
      </c>
      <c r="F33" s="28">
        <f>VLOOKUP(Table107[[#This Row],[NAME]],WSH_P[[NAME]:[SH]],4,0)</f>
        <v>6</v>
      </c>
      <c r="G33" s="77">
        <f>VLOOKUP(Table107[[#This Row],[NAME]],WSH_P[[NAME]:[SH]],5,0)</f>
        <v>10</v>
      </c>
      <c r="H33" s="584">
        <f>VLOOKUP(Table107[[#This Row],[NAME]],WSH_P[[NAME]:[SH]],6,0)</f>
        <v>65.33</v>
      </c>
      <c r="I33" s="28">
        <f>VLOOKUP(Table107[[#This Row],[NAME]],WSH_P[[NAME]:[SH]],7,0)</f>
        <v>59</v>
      </c>
      <c r="J33" s="28">
        <f>VLOOKUP(Table107[[#This Row],[NAME]],WSH_P[[NAME]:[SH]],8,0)</f>
        <v>28</v>
      </c>
      <c r="K33" s="28">
        <f>VLOOKUP(Table107[[#This Row],[NAME]],WSH_P[[NAME]:[SH]],9,0)</f>
        <v>24</v>
      </c>
      <c r="L33" s="28">
        <f>VLOOKUP(Table107[[#This Row],[NAME]],WSH_P[[NAME]:[SH]],10,0)</f>
        <v>62</v>
      </c>
      <c r="M33" s="28">
        <f>VLOOKUP(Table107[[#This Row],[NAME]],WSH_P[[NAME]:[SH]],11,0)</f>
        <v>0</v>
      </c>
      <c r="N33" s="106">
        <f>VLOOKUP(Table107[[#This Row],[NAME]],WSH_P[[NAME]:[SH]],12,0)</f>
        <v>1.2704729833154753</v>
      </c>
      <c r="O33" s="77">
        <f>VLOOKUP(Table107[[#This Row],[NAME]],WSH_P[[NAME]:[SH]],13,0)</f>
        <v>6</v>
      </c>
      <c r="P33" s="28">
        <f>VLOOKUP(Table107[[#This Row],[NAME]],WSH_P[[NAME]:[SH]],14,0)</f>
        <v>3</v>
      </c>
      <c r="Q33" s="28">
        <f>VLOOKUP(Table107[[#This Row],[NAME]],WSH_P[[NAME]:[SH]],15,0)</f>
        <v>1</v>
      </c>
      <c r="R33" s="28">
        <f>VLOOKUP(Table107[[#This Row],[NAME]],WSH_P[[NAME]:[SH]],16,0)</f>
        <v>0</v>
      </c>
      <c r="S33" s="75">
        <v>31</v>
      </c>
      <c r="V33" s="101" t="s">
        <v>869</v>
      </c>
      <c r="W33" s="77" t="s">
        <v>206</v>
      </c>
      <c r="X33" s="77" t="s">
        <v>821</v>
      </c>
      <c r="Y33" s="88">
        <v>2.0864584753852449</v>
      </c>
      <c r="Z33" s="77">
        <v>4</v>
      </c>
      <c r="AA33" s="28">
        <v>4</v>
      </c>
      <c r="AB33" s="77">
        <v>10</v>
      </c>
      <c r="AC33" s="584">
        <v>73.33</v>
      </c>
      <c r="AD33" s="28">
        <v>48</v>
      </c>
      <c r="AE33" s="28">
        <v>17</v>
      </c>
      <c r="AF33" s="28">
        <v>19</v>
      </c>
      <c r="AG33" s="28">
        <v>86</v>
      </c>
      <c r="AH33" s="28">
        <v>0</v>
      </c>
      <c r="AI33" s="106">
        <v>0.91367789444974779</v>
      </c>
      <c r="AJ33" s="77">
        <v>8</v>
      </c>
      <c r="AK33" s="76">
        <v>8</v>
      </c>
      <c r="AL33" s="28">
        <v>1</v>
      </c>
      <c r="AM33" s="28">
        <v>1</v>
      </c>
      <c r="AN33" s="75">
        <v>31</v>
      </c>
      <c r="AQ33" s="101" t="s">
        <v>869</v>
      </c>
      <c r="AR33" s="352" t="s">
        <v>206</v>
      </c>
      <c r="AS33" s="352" t="s">
        <v>821</v>
      </c>
      <c r="AT33" s="135">
        <v>1.6085790884718498</v>
      </c>
      <c r="AU33" s="531">
        <v>8</v>
      </c>
      <c r="AV33" s="28">
        <v>1</v>
      </c>
      <c r="AW33" s="77">
        <v>10</v>
      </c>
      <c r="AX33" s="582">
        <v>78.33</v>
      </c>
      <c r="AY33" s="28">
        <v>45</v>
      </c>
      <c r="AZ33" s="28">
        <v>14</v>
      </c>
      <c r="BA33" s="28">
        <v>24</v>
      </c>
      <c r="BB33" s="28">
        <v>95</v>
      </c>
      <c r="BC33" s="28">
        <v>0</v>
      </c>
      <c r="BD33" s="106">
        <v>0.88088854844887021</v>
      </c>
      <c r="BE33" s="531">
        <v>10</v>
      </c>
      <c r="BF33" s="593">
        <v>9</v>
      </c>
      <c r="BG33" s="76">
        <v>3</v>
      </c>
      <c r="BH33" s="28">
        <v>2</v>
      </c>
      <c r="BI33" s="75">
        <v>31</v>
      </c>
    </row>
    <row r="34" spans="1:61">
      <c r="A34" s="101" t="s">
        <v>869</v>
      </c>
      <c r="B34" s="71" t="s">
        <v>206</v>
      </c>
      <c r="C34" s="116" t="s">
        <v>890</v>
      </c>
      <c r="D34" s="89">
        <f>VLOOKUP(Table107[[#This Row],[NAME]],WSH_P[[NAME]:[SH]],2,0)</f>
        <v>4.2631578947368425</v>
      </c>
      <c r="E34" s="77">
        <f>VLOOKUP(Table107[[#This Row],[NAME]],WSH_P[[NAME]:[SH]],3,0)</f>
        <v>1</v>
      </c>
      <c r="F34" s="28">
        <f>VLOOKUP(Table107[[#This Row],[NAME]],WSH_P[[NAME]:[SH]],4,0)</f>
        <v>5</v>
      </c>
      <c r="G34" s="77">
        <f>VLOOKUP(Table107[[#This Row],[NAME]],WSH_P[[NAME]:[SH]],5,0)</f>
        <v>10</v>
      </c>
      <c r="H34" s="584">
        <f>VLOOKUP(Table107[[#This Row],[NAME]],WSH_P[[NAME]:[SH]],6,0)</f>
        <v>57</v>
      </c>
      <c r="I34" s="28">
        <f>VLOOKUP(Table107[[#This Row],[NAME]],WSH_P[[NAME]:[SH]],7,0)</f>
        <v>59</v>
      </c>
      <c r="J34" s="28">
        <f>VLOOKUP(Table107[[#This Row],[NAME]],WSH_P[[NAME]:[SH]],8,0)</f>
        <v>27</v>
      </c>
      <c r="K34" s="76">
        <f>VLOOKUP(Table107[[#This Row],[NAME]],WSH_P[[NAME]:[SH]],9,0)</f>
        <v>37</v>
      </c>
      <c r="L34" s="28">
        <f>VLOOKUP(Table107[[#This Row],[NAME]],WSH_P[[NAME]:[SH]],10,0)</f>
        <v>49</v>
      </c>
      <c r="M34" s="28">
        <f>VLOOKUP(Table107[[#This Row],[NAME]],WSH_P[[NAME]:[SH]],11,0)</f>
        <v>0</v>
      </c>
      <c r="N34" s="106">
        <f>VLOOKUP(Table107[[#This Row],[NAME]],WSH_P[[NAME]:[SH]],12,0)</f>
        <v>1.6842105263157894</v>
      </c>
      <c r="O34" s="77">
        <f>VLOOKUP(Table107[[#This Row],[NAME]],WSH_P[[NAME]:[SH]],13,0)</f>
        <v>6</v>
      </c>
      <c r="P34" s="28">
        <f>VLOOKUP(Table107[[#This Row],[NAME]],WSH_P[[NAME]:[SH]],14,0)</f>
        <v>2</v>
      </c>
      <c r="Q34" s="28">
        <f>VLOOKUP(Table107[[#This Row],[NAME]],WSH_P[[NAME]:[SH]],15,0)</f>
        <v>0</v>
      </c>
      <c r="R34" s="28">
        <f>VLOOKUP(Table107[[#This Row],[NAME]],WSH_P[[NAME]:[SH]],16,0)</f>
        <v>0</v>
      </c>
      <c r="S34" s="75">
        <v>32</v>
      </c>
      <c r="V34" s="101" t="s">
        <v>869</v>
      </c>
      <c r="W34" s="77" t="s">
        <v>206</v>
      </c>
      <c r="X34" s="77" t="s">
        <v>889</v>
      </c>
      <c r="Y34" s="88">
        <v>3.4411764705882355</v>
      </c>
      <c r="Z34" s="77">
        <v>4</v>
      </c>
      <c r="AA34" s="28">
        <v>5</v>
      </c>
      <c r="AB34" s="77">
        <v>10</v>
      </c>
      <c r="AC34" s="584">
        <v>68</v>
      </c>
      <c r="AD34" s="28">
        <v>55</v>
      </c>
      <c r="AE34" s="28">
        <v>26</v>
      </c>
      <c r="AF34" s="28">
        <v>19</v>
      </c>
      <c r="AG34" s="28">
        <v>77</v>
      </c>
      <c r="AH34" s="28">
        <v>0</v>
      </c>
      <c r="AI34" s="106">
        <v>1.088235294117647</v>
      </c>
      <c r="AJ34" s="77">
        <v>7</v>
      </c>
      <c r="AK34" s="28">
        <v>5</v>
      </c>
      <c r="AL34" s="28">
        <v>1</v>
      </c>
      <c r="AM34" s="28">
        <v>1</v>
      </c>
      <c r="AN34" s="75">
        <v>32</v>
      </c>
      <c r="AQ34" s="101" t="s">
        <v>869</v>
      </c>
      <c r="AR34" s="77" t="s">
        <v>206</v>
      </c>
      <c r="AS34" s="77" t="s">
        <v>889</v>
      </c>
      <c r="AT34" s="525">
        <v>1.5194805194805194</v>
      </c>
      <c r="AU34" s="77">
        <v>5</v>
      </c>
      <c r="AV34" s="28">
        <v>2</v>
      </c>
      <c r="AW34" s="77">
        <v>10</v>
      </c>
      <c r="AX34" s="584">
        <v>77</v>
      </c>
      <c r="AY34" s="28">
        <v>60</v>
      </c>
      <c r="AZ34" s="28">
        <v>13</v>
      </c>
      <c r="BA34" s="28">
        <v>20</v>
      </c>
      <c r="BB34" s="28">
        <v>92</v>
      </c>
      <c r="BC34" s="28">
        <v>0</v>
      </c>
      <c r="BD34" s="106">
        <v>1.0389610389610389</v>
      </c>
      <c r="BE34" s="77">
        <v>9</v>
      </c>
      <c r="BF34" s="588">
        <v>7</v>
      </c>
      <c r="BG34" s="76">
        <v>3</v>
      </c>
      <c r="BH34" s="28">
        <v>2</v>
      </c>
      <c r="BI34" s="75">
        <v>32</v>
      </c>
    </row>
    <row r="35" spans="1:61">
      <c r="A35" s="101" t="s">
        <v>869</v>
      </c>
      <c r="B35" s="71" t="s">
        <v>206</v>
      </c>
      <c r="C35" s="116" t="s">
        <v>891</v>
      </c>
      <c r="D35" s="89">
        <f>VLOOKUP(Table107[[#This Row],[NAME]],WSH_P[[NAME]:[SH]],2,0)</f>
        <v>4.6245648930880163</v>
      </c>
      <c r="E35" s="77">
        <f>VLOOKUP(Table107[[#This Row],[NAME]],WSH_P[[NAME]:[SH]],3,0)</f>
        <v>5</v>
      </c>
      <c r="F35" s="28">
        <f>VLOOKUP(Table107[[#This Row],[NAME]],WSH_P[[NAME]:[SH]],4,0)</f>
        <v>3</v>
      </c>
      <c r="G35" s="77">
        <f>VLOOKUP(Table107[[#This Row],[NAME]],WSH_P[[NAME]:[SH]],5,0)</f>
        <v>10</v>
      </c>
      <c r="H35" s="584">
        <f>VLOOKUP(Table107[[#This Row],[NAME]],WSH_P[[NAME]:[SH]],6,0)</f>
        <v>60.33</v>
      </c>
      <c r="I35" s="28">
        <f>VLOOKUP(Table107[[#This Row],[NAME]],WSH_P[[NAME]:[SH]],7,0)</f>
        <v>74</v>
      </c>
      <c r="J35" s="28">
        <f>VLOOKUP(Table107[[#This Row],[NAME]],WSH_P[[NAME]:[SH]],8,0)</f>
        <v>31</v>
      </c>
      <c r="K35" s="28">
        <f>VLOOKUP(Table107[[#This Row],[NAME]],WSH_P[[NAME]:[SH]],9,0)</f>
        <v>24</v>
      </c>
      <c r="L35" s="28">
        <f>VLOOKUP(Table107[[#This Row],[NAME]],WSH_P[[NAME]:[SH]],10,0)</f>
        <v>67</v>
      </c>
      <c r="M35" s="28">
        <f>VLOOKUP(Table107[[#This Row],[NAME]],WSH_P[[NAME]:[SH]],11,0)</f>
        <v>0</v>
      </c>
      <c r="N35" s="106">
        <f>VLOOKUP(Table107[[#This Row],[NAME]],WSH_P[[NAME]:[SH]],12,0)</f>
        <v>1.6243991380739269</v>
      </c>
      <c r="O35" s="77">
        <f>VLOOKUP(Table107[[#This Row],[NAME]],WSH_P[[NAME]:[SH]],13,0)</f>
        <v>6</v>
      </c>
      <c r="P35" s="28">
        <f>VLOOKUP(Table107[[#This Row],[NAME]],WSH_P[[NAME]:[SH]],14,0)</f>
        <v>2</v>
      </c>
      <c r="Q35" s="28">
        <f>VLOOKUP(Table107[[#This Row],[NAME]],WSH_P[[NAME]:[SH]],15,0)</f>
        <v>0</v>
      </c>
      <c r="R35" s="28">
        <f>VLOOKUP(Table107[[#This Row],[NAME]],WSH_P[[NAME]:[SH]],16,0)</f>
        <v>0</v>
      </c>
      <c r="S35" s="75">
        <v>33</v>
      </c>
      <c r="V35" s="101" t="s">
        <v>869</v>
      </c>
      <c r="W35" s="77" t="s">
        <v>206</v>
      </c>
      <c r="X35" s="132" t="s">
        <v>890</v>
      </c>
      <c r="Y35" s="88">
        <v>3.856930937860557</v>
      </c>
      <c r="Z35" s="77">
        <v>2</v>
      </c>
      <c r="AA35" s="28">
        <v>4</v>
      </c>
      <c r="AB35" s="77">
        <v>10</v>
      </c>
      <c r="AC35" s="584">
        <v>60.67</v>
      </c>
      <c r="AD35" s="28">
        <v>52</v>
      </c>
      <c r="AE35" s="28">
        <v>26</v>
      </c>
      <c r="AF35" s="28">
        <v>26</v>
      </c>
      <c r="AG35" s="28">
        <v>65</v>
      </c>
      <c r="AH35" s="28">
        <v>0</v>
      </c>
      <c r="AI35" s="106">
        <v>1.285643645953519</v>
      </c>
      <c r="AJ35" s="77">
        <v>6</v>
      </c>
      <c r="AK35" s="28">
        <v>3</v>
      </c>
      <c r="AL35" s="28">
        <v>0</v>
      </c>
      <c r="AM35" s="28">
        <v>0</v>
      </c>
      <c r="AN35" s="75">
        <v>33</v>
      </c>
      <c r="AQ35" s="101" t="s">
        <v>869</v>
      </c>
      <c r="AR35" s="77" t="s">
        <v>206</v>
      </c>
      <c r="AS35" s="77" t="s">
        <v>890</v>
      </c>
      <c r="AT35" s="135">
        <v>5.9016393442622954</v>
      </c>
      <c r="AU35" s="77">
        <v>0</v>
      </c>
      <c r="AV35" s="28">
        <v>5</v>
      </c>
      <c r="AW35" s="77">
        <v>10</v>
      </c>
      <c r="AX35" s="584">
        <v>61</v>
      </c>
      <c r="AY35" s="28">
        <v>65</v>
      </c>
      <c r="AZ35" s="28">
        <v>40</v>
      </c>
      <c r="BA35" s="28">
        <v>26</v>
      </c>
      <c r="BB35" s="28">
        <v>57</v>
      </c>
      <c r="BC35" s="28">
        <v>0</v>
      </c>
      <c r="BD35" s="106">
        <v>1.4918032786885247</v>
      </c>
      <c r="BE35" s="77">
        <v>4</v>
      </c>
      <c r="BF35" s="588">
        <v>2</v>
      </c>
      <c r="BG35" s="28">
        <v>0</v>
      </c>
      <c r="BH35" s="28">
        <v>0</v>
      </c>
      <c r="BI35" s="75">
        <v>33</v>
      </c>
    </row>
    <row r="36" spans="1:61">
      <c r="A36" s="101" t="s">
        <v>869</v>
      </c>
      <c r="B36" s="71" t="s">
        <v>206</v>
      </c>
      <c r="C36" s="116" t="s">
        <v>892</v>
      </c>
      <c r="D36" s="89">
        <f>VLOOKUP(Table107[[#This Row],[NAME]],WSH_P[[NAME]:[SH]],2,0)</f>
        <v>5.3704624564893093</v>
      </c>
      <c r="E36" s="77">
        <f>VLOOKUP(Table107[[#This Row],[NAME]],WSH_P[[NAME]:[SH]],3,0)</f>
        <v>2</v>
      </c>
      <c r="F36" s="28">
        <f>VLOOKUP(Table107[[#This Row],[NAME]],WSH_P[[NAME]:[SH]],4,0)</f>
        <v>5</v>
      </c>
      <c r="G36" s="77">
        <f>VLOOKUP(Table107[[#This Row],[NAME]],WSH_P[[NAME]:[SH]],5,0)</f>
        <v>10</v>
      </c>
      <c r="H36" s="584">
        <f>VLOOKUP(Table107[[#This Row],[NAME]],WSH_P[[NAME]:[SH]],6,0)</f>
        <v>60.33</v>
      </c>
      <c r="I36" s="28">
        <f>VLOOKUP(Table107[[#This Row],[NAME]],WSH_P[[NAME]:[SH]],7,0)</f>
        <v>67</v>
      </c>
      <c r="J36" s="28">
        <f>VLOOKUP(Table107[[#This Row],[NAME]],WSH_P[[NAME]:[SH]],8,0)</f>
        <v>36</v>
      </c>
      <c r="K36" s="28">
        <f>VLOOKUP(Table107[[#This Row],[NAME]],WSH_P[[NAME]:[SH]],9,0)</f>
        <v>13</v>
      </c>
      <c r="L36" s="28">
        <f>VLOOKUP(Table107[[#This Row],[NAME]],WSH_P[[NAME]:[SH]],10,0)</f>
        <v>44</v>
      </c>
      <c r="M36" s="28">
        <f>VLOOKUP(Table107[[#This Row],[NAME]],WSH_P[[NAME]:[SH]],11,0)</f>
        <v>0</v>
      </c>
      <c r="N36" s="106">
        <f>VLOOKUP(Table107[[#This Row],[NAME]],WSH_P[[NAME]:[SH]],12,0)</f>
        <v>1.3260401127134096</v>
      </c>
      <c r="O36" s="77">
        <f>VLOOKUP(Table107[[#This Row],[NAME]],WSH_P[[NAME]:[SH]],13,0)</f>
        <v>5</v>
      </c>
      <c r="P36" s="28">
        <f>VLOOKUP(Table107[[#This Row],[NAME]],WSH_P[[NAME]:[SH]],14,0)</f>
        <v>3</v>
      </c>
      <c r="Q36" s="28">
        <f>VLOOKUP(Table107[[#This Row],[NAME]],WSH_P[[NAME]:[SH]],15,0)</f>
        <v>0</v>
      </c>
      <c r="R36" s="28">
        <f>VLOOKUP(Table107[[#This Row],[NAME]],WSH_P[[NAME]:[SH]],16,0)</f>
        <v>0</v>
      </c>
      <c r="S36" s="75">
        <v>34</v>
      </c>
      <c r="V36" s="101" t="s">
        <v>869</v>
      </c>
      <c r="W36" s="77" t="s">
        <v>206</v>
      </c>
      <c r="X36" s="132" t="s">
        <v>892</v>
      </c>
      <c r="Y36" s="88">
        <v>4.1770263550472402</v>
      </c>
      <c r="Z36" s="77">
        <v>3</v>
      </c>
      <c r="AA36" s="28">
        <v>4</v>
      </c>
      <c r="AB36" s="77">
        <v>10</v>
      </c>
      <c r="AC36" s="584">
        <v>60.33</v>
      </c>
      <c r="AD36" s="28">
        <v>69</v>
      </c>
      <c r="AE36" s="28">
        <v>28</v>
      </c>
      <c r="AF36" s="28">
        <v>11</v>
      </c>
      <c r="AG36" s="28">
        <v>50</v>
      </c>
      <c r="AH36" s="28">
        <v>0</v>
      </c>
      <c r="AI36" s="106">
        <v>1.3260401127134096</v>
      </c>
      <c r="AJ36" s="77">
        <v>4</v>
      </c>
      <c r="AK36" s="28">
        <v>2</v>
      </c>
      <c r="AL36" s="28">
        <v>0</v>
      </c>
      <c r="AM36" s="28">
        <v>0</v>
      </c>
      <c r="AN36" s="75">
        <v>34</v>
      </c>
      <c r="AQ36" s="101" t="s">
        <v>869</v>
      </c>
      <c r="AR36" s="77" t="s">
        <v>206</v>
      </c>
      <c r="AS36" s="77" t="s">
        <v>892</v>
      </c>
      <c r="AT36" s="135">
        <v>4.4769159023783613</v>
      </c>
      <c r="AU36" s="77">
        <v>5</v>
      </c>
      <c r="AV36" s="28">
        <v>3</v>
      </c>
      <c r="AW36" s="77">
        <v>10</v>
      </c>
      <c r="AX36" s="584">
        <v>64.33</v>
      </c>
      <c r="AY36" s="28">
        <v>76</v>
      </c>
      <c r="AZ36" s="28">
        <v>32</v>
      </c>
      <c r="BA36" s="28">
        <v>17</v>
      </c>
      <c r="BB36" s="28">
        <v>51</v>
      </c>
      <c r="BC36" s="28">
        <v>0</v>
      </c>
      <c r="BD36" s="106">
        <v>1.4456707601430125</v>
      </c>
      <c r="BE36" s="77">
        <v>6</v>
      </c>
      <c r="BF36" s="588">
        <v>2</v>
      </c>
      <c r="BG36" s="28">
        <v>0</v>
      </c>
      <c r="BH36" s="28">
        <v>0</v>
      </c>
      <c r="BI36" s="75">
        <v>34</v>
      </c>
    </row>
    <row r="37" spans="1:61">
      <c r="A37" s="101" t="s">
        <v>869</v>
      </c>
      <c r="B37" s="71" t="s">
        <v>215</v>
      </c>
      <c r="C37" s="116" t="s">
        <v>895</v>
      </c>
      <c r="D37" s="89">
        <f>VLOOKUP(Table107[[#This Row],[NAME]],WSH_P[[NAME]:[SH]],2,0)</f>
        <v>5.2249637155297526</v>
      </c>
      <c r="E37" s="77">
        <f>VLOOKUP(Table107[[#This Row],[NAME]],WSH_P[[NAME]:[SH]],3,0)</f>
        <v>1</v>
      </c>
      <c r="F37" s="28">
        <f>VLOOKUP(Table107[[#This Row],[NAME]],WSH_P[[NAME]:[SH]],4,0)</f>
        <v>0</v>
      </c>
      <c r="G37" s="77">
        <f>VLOOKUP(Table107[[#This Row],[NAME]],WSH_P[[NAME]:[SH]],5,0)</f>
        <v>9</v>
      </c>
      <c r="H37" s="584">
        <f>VLOOKUP(Table107[[#This Row],[NAME]],WSH_P[[NAME]:[SH]],6,0)</f>
        <v>20.67</v>
      </c>
      <c r="I37" s="28">
        <f>VLOOKUP(Table107[[#This Row],[NAME]],WSH_P[[NAME]:[SH]],7,0)</f>
        <v>21</v>
      </c>
      <c r="J37" s="28">
        <f>VLOOKUP(Table107[[#This Row],[NAME]],WSH_P[[NAME]:[SH]],8,0)</f>
        <v>12</v>
      </c>
      <c r="K37" s="28">
        <f>VLOOKUP(Table107[[#This Row],[NAME]],WSH_P[[NAME]:[SH]],9,0)</f>
        <v>6</v>
      </c>
      <c r="L37" s="28">
        <f>VLOOKUP(Table107[[#This Row],[NAME]],WSH_P[[NAME]:[SH]],10,0)</f>
        <v>22</v>
      </c>
      <c r="M37" s="28">
        <f>VLOOKUP(Table107[[#This Row],[NAME]],WSH_P[[NAME]:[SH]],11,0)</f>
        <v>0</v>
      </c>
      <c r="N37" s="106">
        <f>VLOOKUP(Table107[[#This Row],[NAME]],WSH_P[[NAME]:[SH]],12,0)</f>
        <v>1.3062409288824381</v>
      </c>
      <c r="O37" s="77">
        <f>VLOOKUP(Table107[[#This Row],[NAME]],WSH_P[[NAME]:[SH]],13,0)</f>
        <v>0</v>
      </c>
      <c r="P37" s="28">
        <f>VLOOKUP(Table107[[#This Row],[NAME]],WSH_P[[NAME]:[SH]],14,0)</f>
        <v>0</v>
      </c>
      <c r="Q37" s="28">
        <f>VLOOKUP(Table107[[#This Row],[NAME]],WSH_P[[NAME]:[SH]],15,0)</f>
        <v>0</v>
      </c>
      <c r="R37" s="28">
        <f>VLOOKUP(Table107[[#This Row],[NAME]],WSH_P[[NAME]:[SH]],16,0)</f>
        <v>0</v>
      </c>
      <c r="S37" s="75">
        <v>35</v>
      </c>
      <c r="V37" s="101" t="s">
        <v>869</v>
      </c>
      <c r="W37" s="77" t="s">
        <v>215</v>
      </c>
      <c r="X37" s="132" t="s">
        <v>891</v>
      </c>
      <c r="Y37" s="88">
        <v>5.6571428571428575</v>
      </c>
      <c r="Z37" s="77">
        <v>2</v>
      </c>
      <c r="AA37" s="28">
        <v>2</v>
      </c>
      <c r="AB37" s="77">
        <v>18</v>
      </c>
      <c r="AC37" s="584">
        <v>35</v>
      </c>
      <c r="AD37" s="28">
        <v>32</v>
      </c>
      <c r="AE37" s="28">
        <v>22</v>
      </c>
      <c r="AF37" s="28">
        <v>12</v>
      </c>
      <c r="AG37" s="28">
        <v>33</v>
      </c>
      <c r="AH37" s="28">
        <v>0</v>
      </c>
      <c r="AI37" s="106">
        <v>1.2571428571428571</v>
      </c>
      <c r="AJ37" s="77">
        <v>0</v>
      </c>
      <c r="AK37" s="28">
        <v>0</v>
      </c>
      <c r="AL37" s="28">
        <v>0</v>
      </c>
      <c r="AM37" s="28">
        <v>0</v>
      </c>
      <c r="AN37" s="75">
        <v>35</v>
      </c>
      <c r="AQ37" s="101" t="s">
        <v>869</v>
      </c>
      <c r="AR37" s="77" t="s">
        <v>212</v>
      </c>
      <c r="AS37" s="77" t="s">
        <v>897</v>
      </c>
      <c r="AT37" s="135">
        <v>25.5</v>
      </c>
      <c r="AU37" s="77">
        <v>0</v>
      </c>
      <c r="AV37" s="28">
        <v>2</v>
      </c>
      <c r="AW37" s="77">
        <v>7</v>
      </c>
      <c r="AX37" s="584">
        <v>6</v>
      </c>
      <c r="AY37" s="28">
        <v>20</v>
      </c>
      <c r="AZ37" s="28">
        <v>17</v>
      </c>
      <c r="BA37" s="28">
        <v>3</v>
      </c>
      <c r="BB37" s="28">
        <v>5</v>
      </c>
      <c r="BC37" s="28">
        <v>0</v>
      </c>
      <c r="BD37" s="106">
        <v>3.8333333333333335</v>
      </c>
      <c r="BE37" s="77">
        <v>0</v>
      </c>
      <c r="BF37" s="588">
        <v>0</v>
      </c>
      <c r="BG37" s="28">
        <v>0</v>
      </c>
      <c r="BH37" s="28">
        <v>0</v>
      </c>
      <c r="BI37" s="75">
        <v>35</v>
      </c>
    </row>
    <row r="38" spans="1:61">
      <c r="A38" s="101" t="s">
        <v>869</v>
      </c>
      <c r="B38" s="71" t="s">
        <v>212</v>
      </c>
      <c r="C38" s="116" t="s">
        <v>893</v>
      </c>
      <c r="D38" s="89">
        <f>VLOOKUP(Table107[[#This Row],[NAME]],WSH_P[[NAME]:[SH]],2,0)</f>
        <v>3.6</v>
      </c>
      <c r="E38" s="77">
        <f>VLOOKUP(Table107[[#This Row],[NAME]],WSH_P[[NAME]:[SH]],3,0)</f>
        <v>0</v>
      </c>
      <c r="F38" s="28">
        <f>VLOOKUP(Table107[[#This Row],[NAME]],WSH_P[[NAME]:[SH]],4,0)</f>
        <v>0</v>
      </c>
      <c r="G38" s="77">
        <f>VLOOKUP(Table107[[#This Row],[NAME]],WSH_P[[NAME]:[SH]],5,0)</f>
        <v>4</v>
      </c>
      <c r="H38" s="584">
        <f>VLOOKUP(Table107[[#This Row],[NAME]],WSH_P[[NAME]:[SH]],6,0)</f>
        <v>10</v>
      </c>
      <c r="I38" s="28">
        <f>VLOOKUP(Table107[[#This Row],[NAME]],WSH_P[[NAME]:[SH]],7,0)</f>
        <v>10</v>
      </c>
      <c r="J38" s="28">
        <f>VLOOKUP(Table107[[#This Row],[NAME]],WSH_P[[NAME]:[SH]],8,0)</f>
        <v>4</v>
      </c>
      <c r="K38" s="28">
        <f>VLOOKUP(Table107[[#This Row],[NAME]],WSH_P[[NAME]:[SH]],9,0)</f>
        <v>7</v>
      </c>
      <c r="L38" s="28">
        <f>VLOOKUP(Table107[[#This Row],[NAME]],WSH_P[[NAME]:[SH]],10,0)</f>
        <v>9</v>
      </c>
      <c r="M38" s="28">
        <f>VLOOKUP(Table107[[#This Row],[NAME]],WSH_P[[NAME]:[SH]],11,0)</f>
        <v>0</v>
      </c>
      <c r="N38" s="106">
        <f>VLOOKUP(Table107[[#This Row],[NAME]],WSH_P[[NAME]:[SH]],12,0)</f>
        <v>1.7</v>
      </c>
      <c r="O38" s="77">
        <f>VLOOKUP(Table107[[#This Row],[NAME]],WSH_P[[NAME]:[SH]],13,0)</f>
        <v>0</v>
      </c>
      <c r="P38" s="28">
        <f>VLOOKUP(Table107[[#This Row],[NAME]],WSH_P[[NAME]:[SH]],14,0)</f>
        <v>0</v>
      </c>
      <c r="Q38" s="28">
        <f>VLOOKUP(Table107[[#This Row],[NAME]],WSH_P[[NAME]:[SH]],15,0)</f>
        <v>0</v>
      </c>
      <c r="R38" s="28">
        <f>VLOOKUP(Table107[[#This Row],[NAME]],WSH_P[[NAME]:[SH]],16,0)</f>
        <v>0</v>
      </c>
      <c r="S38" s="75">
        <v>36</v>
      </c>
      <c r="V38" s="101" t="s">
        <v>869</v>
      </c>
      <c r="W38" s="77" t="s">
        <v>212</v>
      </c>
      <c r="X38" s="132" t="s">
        <v>893</v>
      </c>
      <c r="Y38" s="88">
        <v>0</v>
      </c>
      <c r="Z38" s="77">
        <v>0</v>
      </c>
      <c r="AA38" s="28">
        <v>0</v>
      </c>
      <c r="AB38" s="77">
        <v>0</v>
      </c>
      <c r="AC38" s="584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106">
        <v>0</v>
      </c>
      <c r="AJ38" s="77">
        <v>0</v>
      </c>
      <c r="AK38" s="28">
        <v>0</v>
      </c>
      <c r="AL38" s="28">
        <v>0</v>
      </c>
      <c r="AM38" s="28">
        <v>0</v>
      </c>
      <c r="AN38" s="75">
        <v>36</v>
      </c>
      <c r="AQ38" s="101" t="s">
        <v>869</v>
      </c>
      <c r="AR38" s="77" t="s">
        <v>215</v>
      </c>
      <c r="AS38" s="77" t="s">
        <v>893</v>
      </c>
      <c r="AT38" s="135">
        <v>6.4285714285714288</v>
      </c>
      <c r="AU38" s="77">
        <v>0</v>
      </c>
      <c r="AV38" s="28">
        <v>0</v>
      </c>
      <c r="AW38" s="77">
        <v>3</v>
      </c>
      <c r="AX38" s="584">
        <v>7</v>
      </c>
      <c r="AY38" s="28">
        <v>11</v>
      </c>
      <c r="AZ38" s="28">
        <v>5</v>
      </c>
      <c r="BA38" s="28">
        <v>5</v>
      </c>
      <c r="BB38" s="28">
        <v>5</v>
      </c>
      <c r="BC38" s="28">
        <v>0</v>
      </c>
      <c r="BD38" s="106">
        <v>2.2857142857142856</v>
      </c>
      <c r="BE38" s="77">
        <v>0</v>
      </c>
      <c r="BF38" s="588">
        <v>0</v>
      </c>
      <c r="BG38" s="28">
        <v>0</v>
      </c>
      <c r="BH38" s="28">
        <v>0</v>
      </c>
      <c r="BI38" s="75">
        <v>36</v>
      </c>
    </row>
    <row r="39" spans="1:61">
      <c r="A39" s="101" t="s">
        <v>869</v>
      </c>
      <c r="B39" s="71" t="s">
        <v>215</v>
      </c>
      <c r="C39" s="71" t="s">
        <v>896</v>
      </c>
      <c r="D39" s="89">
        <f>VLOOKUP(Table107[[#This Row],[NAME]],WSH_P[[NAME]:[SH]],2,0)</f>
        <v>5.9044048734770387</v>
      </c>
      <c r="E39" s="77">
        <f>VLOOKUP(Table107[[#This Row],[NAME]],WSH_P[[NAME]:[SH]],3,0)</f>
        <v>1</v>
      </c>
      <c r="F39" s="28">
        <f>VLOOKUP(Table107[[#This Row],[NAME]],WSH_P[[NAME]:[SH]],4,0)</f>
        <v>1</v>
      </c>
      <c r="G39" s="77">
        <f>VLOOKUP(Table107[[#This Row],[NAME]],WSH_P[[NAME]:[SH]],5,0)</f>
        <v>5</v>
      </c>
      <c r="H39" s="584">
        <f>VLOOKUP(Table107[[#This Row],[NAME]],WSH_P[[NAME]:[SH]],6,0)</f>
        <v>10.67</v>
      </c>
      <c r="I39" s="28">
        <f>VLOOKUP(Table107[[#This Row],[NAME]],WSH_P[[NAME]:[SH]],7,0)</f>
        <v>15</v>
      </c>
      <c r="J39" s="28">
        <f>VLOOKUP(Table107[[#This Row],[NAME]],WSH_P[[NAME]:[SH]],8,0)</f>
        <v>7</v>
      </c>
      <c r="K39" s="28">
        <f>VLOOKUP(Table107[[#This Row],[NAME]],WSH_P[[NAME]:[SH]],9,0)</f>
        <v>3</v>
      </c>
      <c r="L39" s="28">
        <f>VLOOKUP(Table107[[#This Row],[NAME]],WSH_P[[NAME]:[SH]],10,0)</f>
        <v>8</v>
      </c>
      <c r="M39" s="28">
        <f>VLOOKUP(Table107[[#This Row],[NAME]],WSH_P[[NAME]:[SH]],11,0)</f>
        <v>0</v>
      </c>
      <c r="N39" s="106">
        <f>VLOOKUP(Table107[[#This Row],[NAME]],WSH_P[[NAME]:[SH]],12,0)</f>
        <v>1.6869728209934396</v>
      </c>
      <c r="O39" s="77">
        <f>VLOOKUP(Table107[[#This Row],[NAME]],WSH_P[[NAME]:[SH]],13,0)</f>
        <v>0</v>
      </c>
      <c r="P39" s="28">
        <f>VLOOKUP(Table107[[#This Row],[NAME]],WSH_P[[NAME]:[SH]],14,0)</f>
        <v>0</v>
      </c>
      <c r="Q39" s="28">
        <f>VLOOKUP(Table107[[#This Row],[NAME]],WSH_P[[NAME]:[SH]],15,0)</f>
        <v>0</v>
      </c>
      <c r="R39" s="28">
        <f>VLOOKUP(Table107[[#This Row],[NAME]],WSH_P[[NAME]:[SH]],16,0)</f>
        <v>0</v>
      </c>
      <c r="S39" s="75">
        <v>37</v>
      </c>
      <c r="V39" s="101" t="s">
        <v>869</v>
      </c>
      <c r="W39" s="77" t="s">
        <v>212</v>
      </c>
      <c r="X39" s="132" t="s">
        <v>894</v>
      </c>
      <c r="Y39" s="88">
        <v>3.6</v>
      </c>
      <c r="Z39" s="77">
        <v>0</v>
      </c>
      <c r="AA39" s="28">
        <v>0</v>
      </c>
      <c r="AB39" s="77">
        <v>3</v>
      </c>
      <c r="AC39" s="584">
        <v>5</v>
      </c>
      <c r="AD39" s="28">
        <v>3</v>
      </c>
      <c r="AE39" s="28">
        <v>2</v>
      </c>
      <c r="AF39" s="28">
        <v>3</v>
      </c>
      <c r="AG39" s="28">
        <v>4</v>
      </c>
      <c r="AH39" s="28">
        <v>0</v>
      </c>
      <c r="AI39" s="106">
        <v>1.2</v>
      </c>
      <c r="AJ39" s="77">
        <v>0</v>
      </c>
      <c r="AK39" s="28">
        <v>0</v>
      </c>
      <c r="AL39" s="28">
        <v>0</v>
      </c>
      <c r="AM39" s="28">
        <v>0</v>
      </c>
      <c r="AN39" s="75">
        <v>37</v>
      </c>
      <c r="AQ39" s="101" t="s">
        <v>869</v>
      </c>
      <c r="AR39" s="77" t="s">
        <v>212</v>
      </c>
      <c r="AS39" s="77" t="s">
        <v>894</v>
      </c>
      <c r="AT39" s="135">
        <v>2.8213166144200628</v>
      </c>
      <c r="AU39" s="77">
        <v>0</v>
      </c>
      <c r="AV39" s="28">
        <v>1</v>
      </c>
      <c r="AW39" s="77">
        <v>12</v>
      </c>
      <c r="AX39" s="584">
        <v>22.33</v>
      </c>
      <c r="AY39" s="28">
        <v>19</v>
      </c>
      <c r="AZ39" s="28">
        <v>7</v>
      </c>
      <c r="BA39" s="28">
        <v>9</v>
      </c>
      <c r="BB39" s="28">
        <v>24</v>
      </c>
      <c r="BC39" s="28">
        <v>0</v>
      </c>
      <c r="BD39" s="106">
        <v>1.2539184952978057</v>
      </c>
      <c r="BE39" s="77">
        <v>0</v>
      </c>
      <c r="BF39" s="588">
        <v>0</v>
      </c>
      <c r="BG39" s="28">
        <v>0</v>
      </c>
      <c r="BH39" s="28">
        <v>0</v>
      </c>
      <c r="BI39" s="75">
        <v>37</v>
      </c>
    </row>
    <row r="40" spans="1:61">
      <c r="A40" s="101" t="s">
        <v>869</v>
      </c>
      <c r="B40" s="71" t="s">
        <v>212</v>
      </c>
      <c r="C40" s="116" t="s">
        <v>898</v>
      </c>
      <c r="D40" s="89">
        <f>VLOOKUP(Table107[[#This Row],[NAME]],WSH_P[[NAME]:[SH]],2,0)</f>
        <v>2.9593094944512948</v>
      </c>
      <c r="E40" s="77">
        <f>VLOOKUP(Table107[[#This Row],[NAME]],WSH_P[[NAME]:[SH]],3,0)</f>
        <v>1</v>
      </c>
      <c r="F40" s="28">
        <f>VLOOKUP(Table107[[#This Row],[NAME]],WSH_P[[NAME]:[SH]],4,0)</f>
        <v>1</v>
      </c>
      <c r="G40" s="77">
        <f>VLOOKUP(Table107[[#This Row],[NAME]],WSH_P[[NAME]:[SH]],5,0)</f>
        <v>20</v>
      </c>
      <c r="H40" s="584">
        <f>VLOOKUP(Table107[[#This Row],[NAME]],WSH_P[[NAME]:[SH]],6,0)</f>
        <v>24.33</v>
      </c>
      <c r="I40" s="28">
        <f>VLOOKUP(Table107[[#This Row],[NAME]],WSH_P[[NAME]:[SH]],7,0)</f>
        <v>24</v>
      </c>
      <c r="J40" s="28">
        <f>VLOOKUP(Table107[[#This Row],[NAME]],WSH_P[[NAME]:[SH]],8,0)</f>
        <v>8</v>
      </c>
      <c r="K40" s="28">
        <f>VLOOKUP(Table107[[#This Row],[NAME]],WSH_P[[NAME]:[SH]],9,0)</f>
        <v>9</v>
      </c>
      <c r="L40" s="28">
        <f>VLOOKUP(Table107[[#This Row],[NAME]],WSH_P[[NAME]:[SH]],10,0)</f>
        <v>18</v>
      </c>
      <c r="M40" s="28">
        <f>VLOOKUP(Table107[[#This Row],[NAME]],WSH_P[[NAME]:[SH]],11,0)</f>
        <v>0</v>
      </c>
      <c r="N40" s="106">
        <f>VLOOKUP(Table107[[#This Row],[NAME]],WSH_P[[NAME]:[SH]],12,0)</f>
        <v>1.3563501849568436</v>
      </c>
      <c r="O40" s="77">
        <f>VLOOKUP(Table107[[#This Row],[NAME]],WSH_P[[NAME]:[SH]],13,0)</f>
        <v>0</v>
      </c>
      <c r="P40" s="28">
        <f>VLOOKUP(Table107[[#This Row],[NAME]],WSH_P[[NAME]:[SH]],14,0)</f>
        <v>0</v>
      </c>
      <c r="Q40" s="28">
        <f>VLOOKUP(Table107[[#This Row],[NAME]],WSH_P[[NAME]:[SH]],15,0)</f>
        <v>0</v>
      </c>
      <c r="R40" s="28">
        <f>VLOOKUP(Table107[[#This Row],[NAME]],WSH_P[[NAME]:[SH]],16,0)</f>
        <v>0</v>
      </c>
      <c r="S40" s="75">
        <v>38</v>
      </c>
      <c r="V40" s="101" t="s">
        <v>869</v>
      </c>
      <c r="W40" s="77" t="s">
        <v>212</v>
      </c>
      <c r="X40" s="132" t="s">
        <v>898</v>
      </c>
      <c r="Y40" s="88">
        <v>6.6</v>
      </c>
      <c r="Z40" s="77">
        <v>0</v>
      </c>
      <c r="AA40" s="28">
        <v>0</v>
      </c>
      <c r="AB40" s="77">
        <v>13</v>
      </c>
      <c r="AC40" s="584">
        <v>15</v>
      </c>
      <c r="AD40" s="28">
        <v>18</v>
      </c>
      <c r="AE40" s="28">
        <v>11</v>
      </c>
      <c r="AF40" s="28">
        <v>5</v>
      </c>
      <c r="AG40" s="28">
        <v>7</v>
      </c>
      <c r="AH40" s="28">
        <v>0</v>
      </c>
      <c r="AI40" s="106">
        <v>1.5333333333333334</v>
      </c>
      <c r="AJ40" s="77">
        <v>0</v>
      </c>
      <c r="AK40" s="28">
        <v>0</v>
      </c>
      <c r="AL40" s="28">
        <v>0</v>
      </c>
      <c r="AM40" s="28">
        <v>0</v>
      </c>
      <c r="AN40" s="75">
        <v>38</v>
      </c>
      <c r="AQ40" s="101" t="s">
        <v>869</v>
      </c>
      <c r="AR40" s="77" t="s">
        <v>212</v>
      </c>
      <c r="AS40" s="77" t="s">
        <v>898</v>
      </c>
      <c r="AT40" s="135">
        <v>7.0714285714285712</v>
      </c>
      <c r="AU40" s="77">
        <v>1</v>
      </c>
      <c r="AV40" s="28">
        <v>1</v>
      </c>
      <c r="AW40" s="77">
        <v>14</v>
      </c>
      <c r="AX40" s="584">
        <v>14</v>
      </c>
      <c r="AY40" s="28">
        <v>21</v>
      </c>
      <c r="AZ40" s="28">
        <v>11</v>
      </c>
      <c r="BA40" s="28">
        <v>8</v>
      </c>
      <c r="BB40" s="28">
        <v>12</v>
      </c>
      <c r="BC40" s="28">
        <v>0</v>
      </c>
      <c r="BD40" s="106">
        <v>2.0714285714285716</v>
      </c>
      <c r="BE40" s="77">
        <v>0</v>
      </c>
      <c r="BF40" s="588">
        <v>0</v>
      </c>
      <c r="BG40" s="28">
        <v>0</v>
      </c>
      <c r="BH40" s="28">
        <v>0</v>
      </c>
      <c r="BI40" s="75">
        <v>38</v>
      </c>
    </row>
    <row r="41" spans="1:61">
      <c r="A41" s="101" t="s">
        <v>869</v>
      </c>
      <c r="B41" s="71" t="s">
        <v>212</v>
      </c>
      <c r="C41" s="116" t="s">
        <v>900</v>
      </c>
      <c r="D41" s="89">
        <f>VLOOKUP(Table107[[#This Row],[NAME]],WSH_P[[NAME]:[SH]],2,0)</f>
        <v>1.8240778273206322</v>
      </c>
      <c r="E41" s="77">
        <f>VLOOKUP(Table107[[#This Row],[NAME]],WSH_P[[NAME]:[SH]],3,0)</f>
        <v>2</v>
      </c>
      <c r="F41" s="28">
        <f>VLOOKUP(Table107[[#This Row],[NAME]],WSH_P[[NAME]:[SH]],4,0)</f>
        <v>2</v>
      </c>
      <c r="G41" s="352">
        <f>VLOOKUP(Table107[[#This Row],[NAME]],WSH_P[[NAME]:[SH]],5,0)</f>
        <v>24</v>
      </c>
      <c r="H41" s="584">
        <f>VLOOKUP(Table107[[#This Row],[NAME]],WSH_P[[NAME]:[SH]],6,0)</f>
        <v>24.67</v>
      </c>
      <c r="I41" s="28">
        <f>VLOOKUP(Table107[[#This Row],[NAME]],WSH_P[[NAME]:[SH]],7,0)</f>
        <v>16</v>
      </c>
      <c r="J41" s="28">
        <f>VLOOKUP(Table107[[#This Row],[NAME]],WSH_P[[NAME]:[SH]],8,0)</f>
        <v>5</v>
      </c>
      <c r="K41" s="28">
        <f>VLOOKUP(Table107[[#This Row],[NAME]],WSH_P[[NAME]:[SH]],9,0)</f>
        <v>8</v>
      </c>
      <c r="L41" s="28">
        <f>VLOOKUP(Table107[[#This Row],[NAME]],WSH_P[[NAME]:[SH]],10,0)</f>
        <v>31</v>
      </c>
      <c r="M41" s="28">
        <f>VLOOKUP(Table107[[#This Row],[NAME]],WSH_P[[NAME]:[SH]],11,0)</f>
        <v>1</v>
      </c>
      <c r="N41" s="106">
        <f>VLOOKUP(Table107[[#This Row],[NAME]],WSH_P[[NAME]:[SH]],12,0)</f>
        <v>0.97284150790433721</v>
      </c>
      <c r="O41" s="77">
        <f>VLOOKUP(Table107[[#This Row],[NAME]],WSH_P[[NAME]:[SH]],13,0)</f>
        <v>0</v>
      </c>
      <c r="P41" s="28">
        <f>VLOOKUP(Table107[[#This Row],[NAME]],WSH_P[[NAME]:[SH]],14,0)</f>
        <v>0</v>
      </c>
      <c r="Q41" s="28">
        <f>VLOOKUP(Table107[[#This Row],[NAME]],WSH_P[[NAME]:[SH]],15,0)</f>
        <v>0</v>
      </c>
      <c r="R41" s="28">
        <f>VLOOKUP(Table107[[#This Row],[NAME]],WSH_P[[NAME]:[SH]],16,0)</f>
        <v>0</v>
      </c>
      <c r="S41" s="75">
        <v>39</v>
      </c>
      <c r="V41" s="101" t="s">
        <v>869</v>
      </c>
      <c r="W41" s="77" t="s">
        <v>212</v>
      </c>
      <c r="X41" s="132" t="s">
        <v>900</v>
      </c>
      <c r="Y41" s="88">
        <v>5.78468130690948</v>
      </c>
      <c r="Z41" s="77">
        <v>1</v>
      </c>
      <c r="AA41" s="28">
        <v>3</v>
      </c>
      <c r="AB41" s="77">
        <v>16</v>
      </c>
      <c r="AC41" s="584">
        <v>18.670000000000002</v>
      </c>
      <c r="AD41" s="28">
        <v>23</v>
      </c>
      <c r="AE41" s="28">
        <v>12</v>
      </c>
      <c r="AF41" s="28">
        <v>4</v>
      </c>
      <c r="AG41" s="28">
        <v>17</v>
      </c>
      <c r="AH41" s="28">
        <v>1</v>
      </c>
      <c r="AI41" s="106">
        <v>1.44617032672737</v>
      </c>
      <c r="AJ41" s="77">
        <v>0</v>
      </c>
      <c r="AK41" s="28">
        <v>0</v>
      </c>
      <c r="AL41" s="28">
        <v>0</v>
      </c>
      <c r="AM41" s="28">
        <v>0</v>
      </c>
      <c r="AN41" s="75">
        <v>39</v>
      </c>
      <c r="AQ41" s="101" t="s">
        <v>869</v>
      </c>
      <c r="AR41" s="77" t="s">
        <v>215</v>
      </c>
      <c r="AS41" s="116" t="s">
        <v>900</v>
      </c>
      <c r="AT41" s="135">
        <v>10.199999999999999</v>
      </c>
      <c r="AU41" s="77">
        <v>1</v>
      </c>
      <c r="AV41" s="28">
        <v>4</v>
      </c>
      <c r="AW41" s="77">
        <v>14</v>
      </c>
      <c r="AX41" s="584">
        <v>15</v>
      </c>
      <c r="AY41" s="28">
        <v>20</v>
      </c>
      <c r="AZ41" s="28">
        <v>17</v>
      </c>
      <c r="BA41" s="28">
        <v>7</v>
      </c>
      <c r="BB41" s="28">
        <v>15</v>
      </c>
      <c r="BC41" s="28">
        <v>0</v>
      </c>
      <c r="BD41" s="106">
        <v>1.8</v>
      </c>
      <c r="BE41" s="77">
        <v>0</v>
      </c>
      <c r="BF41" s="588">
        <v>0</v>
      </c>
      <c r="BG41" s="28">
        <v>0</v>
      </c>
      <c r="BH41" s="28">
        <v>0</v>
      </c>
      <c r="BI41" s="75">
        <v>39</v>
      </c>
    </row>
    <row r="42" spans="1:61">
      <c r="A42" s="101" t="s">
        <v>869</v>
      </c>
      <c r="B42" s="71" t="s">
        <v>212</v>
      </c>
      <c r="C42" s="71" t="s">
        <v>899</v>
      </c>
      <c r="D42" s="89">
        <f>VLOOKUP(Table107[[#This Row],[NAME]],WSH_P[[NAME]:[SH]],2,0)</f>
        <v>7.59493670886076</v>
      </c>
      <c r="E42" s="77">
        <f>VLOOKUP(Table107[[#This Row],[NAME]],WSH_P[[NAME]:[SH]],3,0)</f>
        <v>0</v>
      </c>
      <c r="F42" s="28">
        <f>VLOOKUP(Table107[[#This Row],[NAME]],WSH_P[[NAME]:[SH]],4,0)</f>
        <v>4</v>
      </c>
      <c r="G42" s="77">
        <f>VLOOKUP(Table107[[#This Row],[NAME]],WSH_P[[NAME]:[SH]],5,0)</f>
        <v>20</v>
      </c>
      <c r="H42" s="584">
        <f>VLOOKUP(Table107[[#This Row],[NAME]],WSH_P[[NAME]:[SH]],6,0)</f>
        <v>21.33</v>
      </c>
      <c r="I42" s="28">
        <f>VLOOKUP(Table107[[#This Row],[NAME]],WSH_P[[NAME]:[SH]],7,0)</f>
        <v>30</v>
      </c>
      <c r="J42" s="28">
        <f>VLOOKUP(Table107[[#This Row],[NAME]],WSH_P[[NAME]:[SH]],8,0)</f>
        <v>18</v>
      </c>
      <c r="K42" s="28">
        <f>VLOOKUP(Table107[[#This Row],[NAME]],WSH_P[[NAME]:[SH]],9,0)</f>
        <v>14</v>
      </c>
      <c r="L42" s="28">
        <f>VLOOKUP(Table107[[#This Row],[NAME]],WSH_P[[NAME]:[SH]],10,0)</f>
        <v>18</v>
      </c>
      <c r="M42" s="28">
        <f>VLOOKUP(Table107[[#This Row],[NAME]],WSH_P[[NAME]:[SH]],11,0)</f>
        <v>6</v>
      </c>
      <c r="N42" s="106">
        <f>VLOOKUP(Table107[[#This Row],[NAME]],WSH_P[[NAME]:[SH]],12,0)</f>
        <v>2.0628223159868733</v>
      </c>
      <c r="O42" s="77">
        <f>VLOOKUP(Table107[[#This Row],[NAME]],WSH_P[[NAME]:[SH]],13,0)</f>
        <v>0</v>
      </c>
      <c r="P42" s="28">
        <f>VLOOKUP(Table107[[#This Row],[NAME]],WSH_P[[NAME]:[SH]],14,0)</f>
        <v>0</v>
      </c>
      <c r="Q42" s="28">
        <f>VLOOKUP(Table107[[#This Row],[NAME]],WSH_P[[NAME]:[SH]],15,0)</f>
        <v>0</v>
      </c>
      <c r="R42" s="28">
        <f>VLOOKUP(Table107[[#This Row],[NAME]],WSH_P[[NAME]:[SH]],16,0)</f>
        <v>0</v>
      </c>
      <c r="S42" s="75">
        <v>40</v>
      </c>
      <c r="V42" s="101" t="s">
        <v>869</v>
      </c>
      <c r="W42" s="77" t="s">
        <v>212</v>
      </c>
      <c r="X42" s="77" t="s">
        <v>899</v>
      </c>
      <c r="Y42" s="88">
        <v>1.9758507135016468</v>
      </c>
      <c r="Z42" s="77">
        <v>2</v>
      </c>
      <c r="AA42" s="28">
        <v>0</v>
      </c>
      <c r="AB42" s="77">
        <v>22</v>
      </c>
      <c r="AC42" s="584">
        <v>27.33</v>
      </c>
      <c r="AD42" s="28">
        <v>28</v>
      </c>
      <c r="AE42" s="28">
        <v>6</v>
      </c>
      <c r="AF42" s="28">
        <v>6</v>
      </c>
      <c r="AG42" s="28">
        <v>25</v>
      </c>
      <c r="AH42" s="28">
        <v>8</v>
      </c>
      <c r="AI42" s="106">
        <v>1.2440541529454812</v>
      </c>
      <c r="AJ42" s="77">
        <v>0</v>
      </c>
      <c r="AK42" s="28">
        <v>0</v>
      </c>
      <c r="AL42" s="28">
        <v>0</v>
      </c>
      <c r="AM42" s="28">
        <v>0</v>
      </c>
      <c r="AN42" s="75">
        <v>40</v>
      </c>
      <c r="AQ42" s="101" t="s">
        <v>869</v>
      </c>
      <c r="AR42" s="77" t="s">
        <v>212</v>
      </c>
      <c r="AS42" s="77" t="s">
        <v>899</v>
      </c>
      <c r="AT42" s="135">
        <v>1.875</v>
      </c>
      <c r="AU42" s="77">
        <v>0</v>
      </c>
      <c r="AV42" s="28">
        <v>1</v>
      </c>
      <c r="AW42" s="77">
        <v>22</v>
      </c>
      <c r="AX42" s="584">
        <v>24</v>
      </c>
      <c r="AY42" s="28">
        <v>13</v>
      </c>
      <c r="AZ42" s="28">
        <v>5</v>
      </c>
      <c r="BA42" s="28">
        <v>9</v>
      </c>
      <c r="BB42" s="28">
        <v>20</v>
      </c>
      <c r="BC42" s="28">
        <v>9</v>
      </c>
      <c r="BD42" s="106">
        <v>0.91666666666666663</v>
      </c>
      <c r="BE42" s="77">
        <v>0</v>
      </c>
      <c r="BF42" s="588">
        <v>0</v>
      </c>
      <c r="BG42" s="28">
        <v>0</v>
      </c>
      <c r="BH42" s="28">
        <v>0</v>
      </c>
      <c r="BI42" s="75">
        <v>40</v>
      </c>
    </row>
    <row r="43" spans="1:61">
      <c r="A43" s="101" t="s">
        <v>903</v>
      </c>
      <c r="B43" s="71" t="s">
        <v>206</v>
      </c>
      <c r="C43" s="71" t="s">
        <v>923</v>
      </c>
      <c r="D43" s="89">
        <f>VLOOKUP(Table107[[#This Row],[NAME]],MIA_P[[NAME]:['#]],2,0)</f>
        <v>2.0864584753852449</v>
      </c>
      <c r="E43" s="77">
        <f>VLOOKUP(Table107[[#This Row],[NAME]],MIA_P[[NAME]:['#]],3,0)</f>
        <v>3</v>
      </c>
      <c r="F43" s="28">
        <f>VLOOKUP(Table107[[#This Row],[NAME]],MIA_P[[NAME]:['#]],4,0)</f>
        <v>6</v>
      </c>
      <c r="G43" s="77">
        <f>VLOOKUP(Table107[[#This Row],[NAME]],MIA_P[[NAME]:['#]],5,0)</f>
        <v>10</v>
      </c>
      <c r="H43" s="584">
        <f>VLOOKUP(Table107[[#This Row],[NAME]],MIA_P[[NAME]:['#]],6,0)</f>
        <v>73.33</v>
      </c>
      <c r="I43" s="28">
        <f>VLOOKUP(Table107[[#This Row],[NAME]],MIA_P[[NAME]:['#]],7,0)</f>
        <v>51</v>
      </c>
      <c r="J43" s="28">
        <f>VLOOKUP(Table107[[#This Row],[NAME]],MIA_P[[NAME]:['#]],8,0)</f>
        <v>17</v>
      </c>
      <c r="K43" s="28">
        <f>VLOOKUP(Table107[[#This Row],[NAME]],MIA_P[[NAME]:['#]],9,0)</f>
        <v>17</v>
      </c>
      <c r="L43" s="28">
        <f>VLOOKUP(Table107[[#This Row],[NAME]],MIA_P[[NAME]:['#]],10,0)</f>
        <v>89</v>
      </c>
      <c r="M43" s="28">
        <f>VLOOKUP(Table107[[#This Row],[NAME]],MIA_P[[NAME]:['#]],11,0)</f>
        <v>0</v>
      </c>
      <c r="N43" s="106">
        <f>VLOOKUP(Table107[[#This Row],[NAME]],MIA_P[[NAME]:['#]],12,0)</f>
        <v>0.9273148779489977</v>
      </c>
      <c r="O43" s="77">
        <f>VLOOKUP(Table107[[#This Row],[NAME]],MIA_P[[NAME]:['#]],13,0)</f>
        <v>9</v>
      </c>
      <c r="P43" s="76">
        <f>VLOOKUP(Table107[[#This Row],[NAME]],MIA_P[[NAME]:['#]],14,0)</f>
        <v>7</v>
      </c>
      <c r="Q43" s="28">
        <f>VLOOKUP(Table107[[#This Row],[NAME]],MIA_P[[NAME]:['#]],15,0)</f>
        <v>1</v>
      </c>
      <c r="R43" s="28">
        <f>VLOOKUP(Table107[[#This Row],[NAME]],MIA_P[[NAME]:['#]],16,0)</f>
        <v>0</v>
      </c>
      <c r="S43" s="75">
        <v>41</v>
      </c>
      <c r="V43" s="101" t="s">
        <v>903</v>
      </c>
      <c r="W43" s="77" t="s">
        <v>206</v>
      </c>
      <c r="X43" s="77" t="s">
        <v>923</v>
      </c>
      <c r="Y43" s="88">
        <v>2.310810810810811</v>
      </c>
      <c r="Z43" s="77">
        <v>5</v>
      </c>
      <c r="AA43" s="28">
        <v>3</v>
      </c>
      <c r="AB43" s="77">
        <v>10</v>
      </c>
      <c r="AC43" s="584">
        <v>74</v>
      </c>
      <c r="AD43" s="28">
        <v>53</v>
      </c>
      <c r="AE43" s="28">
        <v>19</v>
      </c>
      <c r="AF43" s="28">
        <v>24</v>
      </c>
      <c r="AG43" s="28">
        <v>91</v>
      </c>
      <c r="AH43" s="28">
        <v>0</v>
      </c>
      <c r="AI43" s="106">
        <v>1.0405405405405406</v>
      </c>
      <c r="AJ43" s="77">
        <v>8</v>
      </c>
      <c r="AK43" s="28">
        <v>6</v>
      </c>
      <c r="AL43" s="28">
        <v>3</v>
      </c>
      <c r="AM43" s="28">
        <v>2</v>
      </c>
      <c r="AN43" s="75">
        <v>41</v>
      </c>
      <c r="AQ43" s="101" t="s">
        <v>903</v>
      </c>
      <c r="AR43" s="77" t="s">
        <v>206</v>
      </c>
      <c r="AS43" s="77" t="s">
        <v>923</v>
      </c>
      <c r="AT43" s="135">
        <v>2.297970126388357</v>
      </c>
      <c r="AU43" s="77">
        <v>6</v>
      </c>
      <c r="AV43" s="28">
        <v>1</v>
      </c>
      <c r="AW43" s="77">
        <v>10</v>
      </c>
      <c r="AX43" s="582">
        <v>78.33</v>
      </c>
      <c r="AY43" s="28">
        <v>60</v>
      </c>
      <c r="AZ43" s="28">
        <v>20</v>
      </c>
      <c r="BA43" s="28">
        <v>22</v>
      </c>
      <c r="BB43" s="28">
        <v>80</v>
      </c>
      <c r="BC43" s="28">
        <v>0</v>
      </c>
      <c r="BD43" s="106">
        <v>1.0468530575769182</v>
      </c>
      <c r="BE43" s="77">
        <v>9</v>
      </c>
      <c r="BF43" s="28">
        <v>7</v>
      </c>
      <c r="BG43" s="28">
        <v>1</v>
      </c>
      <c r="BH43" s="28">
        <v>1</v>
      </c>
      <c r="BI43" s="75">
        <v>41</v>
      </c>
    </row>
    <row r="44" spans="1:61">
      <c r="A44" s="101" t="s">
        <v>903</v>
      </c>
      <c r="B44" s="71" t="s">
        <v>206</v>
      </c>
      <c r="C44" s="71" t="s">
        <v>924</v>
      </c>
      <c r="D44" s="89">
        <f>VLOOKUP(Table107[[#This Row],[NAME]],MIA_P[[NAME]:['#]],2,0)</f>
        <v>4.2485153037916854</v>
      </c>
      <c r="E44" s="77">
        <f>VLOOKUP(Table107[[#This Row],[NAME]],MIA_P[[NAME]:['#]],3,0)</f>
        <v>2</v>
      </c>
      <c r="F44" s="28">
        <f>VLOOKUP(Table107[[#This Row],[NAME]],MIA_P[[NAME]:['#]],4,0)</f>
        <v>5</v>
      </c>
      <c r="G44" s="77">
        <f>VLOOKUP(Table107[[#This Row],[NAME]],MIA_P[[NAME]:['#]],5,0)</f>
        <v>10</v>
      </c>
      <c r="H44" s="584">
        <f>VLOOKUP(Table107[[#This Row],[NAME]],MIA_P[[NAME]:['#]],6,0)</f>
        <v>65.67</v>
      </c>
      <c r="I44" s="28">
        <f>VLOOKUP(Table107[[#This Row],[NAME]],MIA_P[[NAME]:['#]],7,0)</f>
        <v>60</v>
      </c>
      <c r="J44" s="28">
        <f>VLOOKUP(Table107[[#This Row],[NAME]],MIA_P[[NAME]:['#]],8,0)</f>
        <v>31</v>
      </c>
      <c r="K44" s="28">
        <f>VLOOKUP(Table107[[#This Row],[NAME]],MIA_P[[NAME]:['#]],9,0)</f>
        <v>29</v>
      </c>
      <c r="L44" s="28">
        <f>VLOOKUP(Table107[[#This Row],[NAME]],MIA_P[[NAME]:['#]],10,0)</f>
        <v>55</v>
      </c>
      <c r="M44" s="28">
        <f>VLOOKUP(Table107[[#This Row],[NAME]],MIA_P[[NAME]:['#]],11,0)</f>
        <v>0</v>
      </c>
      <c r="N44" s="106">
        <f>VLOOKUP(Table107[[#This Row],[NAME]],MIA_P[[NAME]:['#]],12,0)</f>
        <v>1.355261154256129</v>
      </c>
      <c r="O44" s="77">
        <f>VLOOKUP(Table107[[#This Row],[NAME]],MIA_P[[NAME]:['#]],13,0)</f>
        <v>8</v>
      </c>
      <c r="P44" s="28">
        <f>VLOOKUP(Table107[[#This Row],[NAME]],MIA_P[[NAME]:['#]],14,0)</f>
        <v>4</v>
      </c>
      <c r="Q44" s="28">
        <f>VLOOKUP(Table107[[#This Row],[NAME]],MIA_P[[NAME]:['#]],15,0)</f>
        <v>1</v>
      </c>
      <c r="R44" s="28">
        <f>VLOOKUP(Table107[[#This Row],[NAME]],MIA_P[[NAME]:['#]],16,0)</f>
        <v>1</v>
      </c>
      <c r="S44" s="75">
        <v>42</v>
      </c>
      <c r="V44" s="101" t="s">
        <v>903</v>
      </c>
      <c r="W44" s="77" t="s">
        <v>206</v>
      </c>
      <c r="X44" s="77" t="s">
        <v>924</v>
      </c>
      <c r="Y44" s="88">
        <v>3.1763268630378714</v>
      </c>
      <c r="Z44" s="77">
        <v>3</v>
      </c>
      <c r="AA44" s="28">
        <v>4</v>
      </c>
      <c r="AB44" s="77">
        <v>10</v>
      </c>
      <c r="AC44" s="584">
        <v>73.67</v>
      </c>
      <c r="AD44" s="28">
        <v>66</v>
      </c>
      <c r="AE44" s="28">
        <v>26</v>
      </c>
      <c r="AF44" s="28">
        <v>17</v>
      </c>
      <c r="AG44" s="28">
        <v>79</v>
      </c>
      <c r="AH44" s="28">
        <v>0</v>
      </c>
      <c r="AI44" s="106">
        <v>1.1266458531288177</v>
      </c>
      <c r="AJ44" s="77">
        <v>7</v>
      </c>
      <c r="AK44" s="28">
        <v>5</v>
      </c>
      <c r="AL44" s="28">
        <v>2</v>
      </c>
      <c r="AM44" s="28">
        <v>1</v>
      </c>
      <c r="AN44" s="75">
        <v>42</v>
      </c>
      <c r="AQ44" s="101" t="s">
        <v>903</v>
      </c>
      <c r="AR44" s="77" t="s">
        <v>206</v>
      </c>
      <c r="AS44" s="77" t="s">
        <v>924</v>
      </c>
      <c r="AT44" s="135">
        <v>3.8205745012027732</v>
      </c>
      <c r="AU44" s="77">
        <v>2</v>
      </c>
      <c r="AV44" s="28">
        <v>4</v>
      </c>
      <c r="AW44" s="77">
        <v>10</v>
      </c>
      <c r="AX44" s="584">
        <v>70.67</v>
      </c>
      <c r="AY44" s="28">
        <v>66</v>
      </c>
      <c r="AZ44" s="28">
        <v>30</v>
      </c>
      <c r="BA44" s="28">
        <v>37</v>
      </c>
      <c r="BB44" s="28">
        <v>64</v>
      </c>
      <c r="BC44" s="28">
        <v>0</v>
      </c>
      <c r="BD44" s="106">
        <v>1.4574784208292062</v>
      </c>
      <c r="BE44" s="77">
        <v>6</v>
      </c>
      <c r="BF44" s="28">
        <v>6</v>
      </c>
      <c r="BG44" s="28">
        <v>0</v>
      </c>
      <c r="BH44" s="28">
        <v>0</v>
      </c>
      <c r="BI44" s="75">
        <v>42</v>
      </c>
    </row>
    <row r="45" spans="1:61">
      <c r="A45" s="101" t="s">
        <v>903</v>
      </c>
      <c r="B45" s="71" t="s">
        <v>206</v>
      </c>
      <c r="C45" s="116" t="s">
        <v>925</v>
      </c>
      <c r="D45" s="89">
        <f>VLOOKUP(Table107[[#This Row],[NAME]],MIA_P[[NAME]:['#]],2,0)</f>
        <v>4.1873896999839566</v>
      </c>
      <c r="E45" s="77">
        <f>VLOOKUP(Table107[[#This Row],[NAME]],MIA_P[[NAME]:['#]],3,0)</f>
        <v>4</v>
      </c>
      <c r="F45" s="28">
        <f>VLOOKUP(Table107[[#This Row],[NAME]],MIA_P[[NAME]:['#]],4,0)</f>
        <v>3</v>
      </c>
      <c r="G45" s="77">
        <f>VLOOKUP(Table107[[#This Row],[NAME]],MIA_P[[NAME]:['#]],5,0)</f>
        <v>10</v>
      </c>
      <c r="H45" s="584">
        <f>VLOOKUP(Table107[[#This Row],[NAME]],MIA_P[[NAME]:['#]],6,0)</f>
        <v>62.33</v>
      </c>
      <c r="I45" s="28">
        <f>VLOOKUP(Table107[[#This Row],[NAME]],MIA_P[[NAME]:['#]],7,0)</f>
        <v>56</v>
      </c>
      <c r="J45" s="28">
        <f>VLOOKUP(Table107[[#This Row],[NAME]],MIA_P[[NAME]:['#]],8,0)</f>
        <v>29</v>
      </c>
      <c r="K45" s="28">
        <f>VLOOKUP(Table107[[#This Row],[NAME]],MIA_P[[NAME]:['#]],9,0)</f>
        <v>16</v>
      </c>
      <c r="L45" s="28">
        <f>VLOOKUP(Table107[[#This Row],[NAME]],MIA_P[[NAME]:['#]],10,0)</f>
        <v>50</v>
      </c>
      <c r="M45" s="28">
        <f>VLOOKUP(Table107[[#This Row],[NAME]],MIA_P[[NAME]:['#]],11,0)</f>
        <v>0</v>
      </c>
      <c r="N45" s="106">
        <f>VLOOKUP(Table107[[#This Row],[NAME]],MIA_P[[NAME]:['#]],12,0)</f>
        <v>1.1551419862024708</v>
      </c>
      <c r="O45" s="77">
        <f>VLOOKUP(Table107[[#This Row],[NAME]],MIA_P[[NAME]:['#]],13,0)</f>
        <v>6</v>
      </c>
      <c r="P45" s="28">
        <f>VLOOKUP(Table107[[#This Row],[NAME]],MIA_P[[NAME]:['#]],14,0)</f>
        <v>3</v>
      </c>
      <c r="Q45" s="28">
        <f>VLOOKUP(Table107[[#This Row],[NAME]],MIA_P[[NAME]:['#]],15,0)</f>
        <v>1</v>
      </c>
      <c r="R45" s="28">
        <f>VLOOKUP(Table107[[#This Row],[NAME]],MIA_P[[NAME]:['#]],16,0)</f>
        <v>0</v>
      </c>
      <c r="S45" s="75">
        <v>43</v>
      </c>
      <c r="V45" s="101" t="s">
        <v>903</v>
      </c>
      <c r="W45" s="77" t="s">
        <v>206</v>
      </c>
      <c r="X45" s="132" t="s">
        <v>926</v>
      </c>
      <c r="Y45" s="88">
        <v>4.5508174616551491</v>
      </c>
      <c r="Z45" s="77">
        <v>4</v>
      </c>
      <c r="AA45" s="28">
        <v>5</v>
      </c>
      <c r="AB45" s="77">
        <v>10</v>
      </c>
      <c r="AC45" s="584">
        <v>59.33</v>
      </c>
      <c r="AD45" s="28">
        <v>59</v>
      </c>
      <c r="AE45" s="28">
        <v>30</v>
      </c>
      <c r="AF45" s="28">
        <v>25</v>
      </c>
      <c r="AG45" s="28">
        <v>57</v>
      </c>
      <c r="AH45" s="28">
        <v>0</v>
      </c>
      <c r="AI45" s="106">
        <v>1.4158098769593799</v>
      </c>
      <c r="AJ45" s="77">
        <v>4</v>
      </c>
      <c r="AK45" s="28">
        <v>2</v>
      </c>
      <c r="AL45" s="28">
        <v>0</v>
      </c>
      <c r="AM45" s="28">
        <v>0</v>
      </c>
      <c r="AN45" s="75">
        <v>43</v>
      </c>
      <c r="AQ45" s="101" t="s">
        <v>903</v>
      </c>
      <c r="AR45" s="77" t="s">
        <v>206</v>
      </c>
      <c r="AS45" s="77" t="s">
        <v>926</v>
      </c>
      <c r="AT45" s="135">
        <v>3.876429526214169</v>
      </c>
      <c r="AU45" s="77">
        <v>3</v>
      </c>
      <c r="AV45" s="28">
        <v>6</v>
      </c>
      <c r="AW45" s="77">
        <v>10</v>
      </c>
      <c r="AX45" s="584">
        <v>67.33</v>
      </c>
      <c r="AY45" s="28">
        <v>65</v>
      </c>
      <c r="AZ45" s="28">
        <v>29</v>
      </c>
      <c r="BA45" s="28">
        <v>33</v>
      </c>
      <c r="BB45" s="28">
        <v>78</v>
      </c>
      <c r="BC45" s="28">
        <v>0</v>
      </c>
      <c r="BD45" s="106">
        <v>1.4555175998811822</v>
      </c>
      <c r="BE45" s="77">
        <v>7</v>
      </c>
      <c r="BF45" s="28">
        <v>3</v>
      </c>
      <c r="BG45" s="28">
        <v>1</v>
      </c>
      <c r="BH45" s="28">
        <v>1</v>
      </c>
      <c r="BI45" s="75">
        <v>43</v>
      </c>
    </row>
    <row r="46" spans="1:61">
      <c r="A46" s="101" t="s">
        <v>903</v>
      </c>
      <c r="B46" s="71" t="s">
        <v>206</v>
      </c>
      <c r="C46" s="116" t="s">
        <v>927</v>
      </c>
      <c r="D46" s="89">
        <f>VLOOKUP(Table107[[#This Row],[NAME]],MIA_P[[NAME]:['#]],2,0)</f>
        <v>3.1766404620567945</v>
      </c>
      <c r="E46" s="77">
        <f>VLOOKUP(Table107[[#This Row],[NAME]],MIA_P[[NAME]:['#]],3,0)</f>
        <v>3</v>
      </c>
      <c r="F46" s="28">
        <f>VLOOKUP(Table107[[#This Row],[NAME]],MIA_P[[NAME]:['#]],4,0)</f>
        <v>2</v>
      </c>
      <c r="G46" s="77">
        <f>VLOOKUP(Table107[[#This Row],[NAME]],MIA_P[[NAME]:['#]],5,0)</f>
        <v>10</v>
      </c>
      <c r="H46" s="584">
        <f>VLOOKUP(Table107[[#This Row],[NAME]],MIA_P[[NAME]:['#]],6,0)</f>
        <v>62.33</v>
      </c>
      <c r="I46" s="28">
        <f>VLOOKUP(Table107[[#This Row],[NAME]],MIA_P[[NAME]:['#]],7,0)</f>
        <v>56</v>
      </c>
      <c r="J46" s="28">
        <f>VLOOKUP(Table107[[#This Row],[NAME]],MIA_P[[NAME]:['#]],8,0)</f>
        <v>22</v>
      </c>
      <c r="K46" s="28">
        <f>VLOOKUP(Table107[[#This Row],[NAME]],MIA_P[[NAME]:['#]],9,0)</f>
        <v>26</v>
      </c>
      <c r="L46" s="28">
        <f>VLOOKUP(Table107[[#This Row],[NAME]],MIA_P[[NAME]:['#]],10,0)</f>
        <v>79</v>
      </c>
      <c r="M46" s="28">
        <f>VLOOKUP(Table107[[#This Row],[NAME]],MIA_P[[NAME]:['#]],11,0)</f>
        <v>0</v>
      </c>
      <c r="N46" s="106">
        <f>VLOOKUP(Table107[[#This Row],[NAME]],MIA_P[[NAME]:['#]],12,0)</f>
        <v>1.3155783731750361</v>
      </c>
      <c r="O46" s="77">
        <f>VLOOKUP(Table107[[#This Row],[NAME]],MIA_P[[NAME]:['#]],13,0)</f>
        <v>6</v>
      </c>
      <c r="P46" s="28">
        <f>VLOOKUP(Table107[[#This Row],[NAME]],MIA_P[[NAME]:['#]],14,0)</f>
        <v>4</v>
      </c>
      <c r="Q46" s="28">
        <f>VLOOKUP(Table107[[#This Row],[NAME]],MIA_P[[NAME]:['#]],15,0)</f>
        <v>1</v>
      </c>
      <c r="R46" s="28">
        <f>VLOOKUP(Table107[[#This Row],[NAME]],MIA_P[[NAME]:['#]],16,0)</f>
        <v>1</v>
      </c>
      <c r="S46" s="75">
        <v>44</v>
      </c>
      <c r="V46" s="101" t="s">
        <v>903</v>
      </c>
      <c r="W46" s="77" t="s">
        <v>206</v>
      </c>
      <c r="X46" s="132" t="s">
        <v>927</v>
      </c>
      <c r="Y46" s="88">
        <v>8.4738340267133783</v>
      </c>
      <c r="Z46" s="77">
        <v>3</v>
      </c>
      <c r="AA46" s="28">
        <v>6</v>
      </c>
      <c r="AB46" s="77">
        <v>10</v>
      </c>
      <c r="AC46" s="584">
        <v>45.67</v>
      </c>
      <c r="AD46" s="28">
        <v>61</v>
      </c>
      <c r="AE46" s="28">
        <v>43</v>
      </c>
      <c r="AF46" s="28">
        <v>27</v>
      </c>
      <c r="AG46" s="28">
        <v>49</v>
      </c>
      <c r="AH46" s="28">
        <v>0</v>
      </c>
      <c r="AI46" s="106">
        <v>1.9268666520691919</v>
      </c>
      <c r="AJ46" s="77">
        <v>3</v>
      </c>
      <c r="AK46" s="28">
        <v>1</v>
      </c>
      <c r="AL46" s="28">
        <v>1</v>
      </c>
      <c r="AM46" s="28">
        <v>1</v>
      </c>
      <c r="AN46" s="75">
        <v>44</v>
      </c>
      <c r="AQ46" s="101" t="s">
        <v>903</v>
      </c>
      <c r="AR46" s="77" t="s">
        <v>206</v>
      </c>
      <c r="AS46" s="77" t="s">
        <v>449</v>
      </c>
      <c r="AT46" s="135">
        <v>5.806451612903226</v>
      </c>
      <c r="AU46" s="77">
        <v>2</v>
      </c>
      <c r="AV46" s="76">
        <v>7</v>
      </c>
      <c r="AW46" s="77">
        <v>10</v>
      </c>
      <c r="AX46" s="584">
        <v>62</v>
      </c>
      <c r="AY46" s="28">
        <v>78</v>
      </c>
      <c r="AZ46" s="28">
        <v>40</v>
      </c>
      <c r="BA46" s="28">
        <v>19</v>
      </c>
      <c r="BB46" s="28">
        <v>67</v>
      </c>
      <c r="BC46" s="28">
        <v>0</v>
      </c>
      <c r="BD46" s="106">
        <v>1.564516129032258</v>
      </c>
      <c r="BE46" s="77">
        <v>2</v>
      </c>
      <c r="BF46" s="28">
        <v>0</v>
      </c>
      <c r="BG46" s="28">
        <v>0</v>
      </c>
      <c r="BH46" s="28">
        <v>0</v>
      </c>
      <c r="BI46" s="75">
        <v>44</v>
      </c>
    </row>
    <row r="47" spans="1:61">
      <c r="A47" s="101" t="s">
        <v>903</v>
      </c>
      <c r="B47" s="71" t="s">
        <v>212</v>
      </c>
      <c r="C47" s="116" t="s">
        <v>928</v>
      </c>
      <c r="D47" s="89">
        <f>VLOOKUP(Table107[[#This Row],[NAME]],MIA_P[[NAME]:['#]],2,0)</f>
        <v>4.7087547959539586</v>
      </c>
      <c r="E47" s="77">
        <f>VLOOKUP(Table107[[#This Row],[NAME]],MIA_P[[NAME]:['#]],3,0)</f>
        <v>1</v>
      </c>
      <c r="F47" s="28">
        <f>VLOOKUP(Table107[[#This Row],[NAME]],MIA_P[[NAME]:['#]],4,0)</f>
        <v>3</v>
      </c>
      <c r="G47" s="77">
        <f>VLOOKUP(Table107[[#This Row],[NAME]],MIA_P[[NAME]:['#]],5,0)</f>
        <v>15</v>
      </c>
      <c r="H47" s="584">
        <f>VLOOKUP(Table107[[#This Row],[NAME]],MIA_P[[NAME]:['#]],6,0)</f>
        <v>28.67</v>
      </c>
      <c r="I47" s="28">
        <f>VLOOKUP(Table107[[#This Row],[NAME]],MIA_P[[NAME]:['#]],7,0)</f>
        <v>28</v>
      </c>
      <c r="J47" s="28">
        <f>VLOOKUP(Table107[[#This Row],[NAME]],MIA_P[[NAME]:['#]],8,0)</f>
        <v>15</v>
      </c>
      <c r="K47" s="28">
        <f>VLOOKUP(Table107[[#This Row],[NAME]],MIA_P[[NAME]:['#]],9,0)</f>
        <v>17</v>
      </c>
      <c r="L47" s="28">
        <f>VLOOKUP(Table107[[#This Row],[NAME]],MIA_P[[NAME]:['#]],10,0)</f>
        <v>31</v>
      </c>
      <c r="M47" s="28">
        <f>VLOOKUP(Table107[[#This Row],[NAME]],MIA_P[[NAME]:['#]],11,0)</f>
        <v>2</v>
      </c>
      <c r="N47" s="106">
        <f>VLOOKUP(Table107[[#This Row],[NAME]],MIA_P[[NAME]:['#]],12,0)</f>
        <v>1.5695849319846529</v>
      </c>
      <c r="O47" s="77">
        <f>VLOOKUP(Table107[[#This Row],[NAME]],MIA_P[[NAME]:['#]],13,0)</f>
        <v>0</v>
      </c>
      <c r="P47" s="28">
        <f>VLOOKUP(Table107[[#This Row],[NAME]],MIA_P[[NAME]:['#]],14,0)</f>
        <v>0</v>
      </c>
      <c r="Q47" s="28">
        <f>VLOOKUP(Table107[[#This Row],[NAME]],MIA_P[[NAME]:['#]],15,0)</f>
        <v>0</v>
      </c>
      <c r="R47" s="28">
        <f>VLOOKUP(Table107[[#This Row],[NAME]],MIA_P[[NAME]:['#]],16,0)</f>
        <v>0</v>
      </c>
      <c r="S47" s="75">
        <v>45</v>
      </c>
      <c r="V47" s="101" t="s">
        <v>903</v>
      </c>
      <c r="W47" s="77" t="s">
        <v>212</v>
      </c>
      <c r="X47" s="132" t="s">
        <v>928</v>
      </c>
      <c r="Y47" s="88">
        <v>3.96</v>
      </c>
      <c r="Z47" s="77">
        <v>0</v>
      </c>
      <c r="AA47" s="28">
        <v>0</v>
      </c>
      <c r="AB47" s="77">
        <v>9</v>
      </c>
      <c r="AC47" s="584">
        <v>25</v>
      </c>
      <c r="AD47" s="28">
        <v>25</v>
      </c>
      <c r="AE47" s="28">
        <v>11</v>
      </c>
      <c r="AF47" s="28">
        <v>10</v>
      </c>
      <c r="AG47" s="28">
        <v>20</v>
      </c>
      <c r="AH47" s="28">
        <v>1</v>
      </c>
      <c r="AI47" s="106">
        <v>1.4</v>
      </c>
      <c r="AJ47" s="77">
        <v>0</v>
      </c>
      <c r="AK47" s="28">
        <v>0</v>
      </c>
      <c r="AL47" s="28">
        <v>0</v>
      </c>
      <c r="AM47" s="28">
        <v>0</v>
      </c>
      <c r="AN47" s="75">
        <v>45</v>
      </c>
      <c r="AQ47" s="101" t="s">
        <v>903</v>
      </c>
      <c r="AR47" s="77" t="s">
        <v>215</v>
      </c>
      <c r="AS47" s="116" t="s">
        <v>928</v>
      </c>
      <c r="AT47" s="135">
        <v>15</v>
      </c>
      <c r="AU47" s="77">
        <v>0</v>
      </c>
      <c r="AV47" s="28">
        <v>0</v>
      </c>
      <c r="AW47" s="77">
        <v>3</v>
      </c>
      <c r="AX47" s="584">
        <v>3</v>
      </c>
      <c r="AY47" s="28">
        <v>6</v>
      </c>
      <c r="AZ47" s="28">
        <v>5</v>
      </c>
      <c r="BA47" s="28">
        <v>1</v>
      </c>
      <c r="BB47" s="28">
        <v>1</v>
      </c>
      <c r="BC47" s="28">
        <v>0</v>
      </c>
      <c r="BD47" s="106">
        <v>2.3333333333333335</v>
      </c>
      <c r="BE47" s="77">
        <v>0</v>
      </c>
      <c r="BF47" s="28">
        <v>0</v>
      </c>
      <c r="BG47" s="28">
        <v>0</v>
      </c>
      <c r="BH47" s="28">
        <v>0</v>
      </c>
      <c r="BI47" s="75">
        <v>45</v>
      </c>
    </row>
    <row r="48" spans="1:61">
      <c r="A48" s="101" t="s">
        <v>903</v>
      </c>
      <c r="B48" s="71" t="s">
        <v>215</v>
      </c>
      <c r="C48" s="116" t="s">
        <v>932</v>
      </c>
      <c r="D48" s="89">
        <f>VLOOKUP(Table107[[#This Row],[NAME]],MIA_P[[NAME]:['#]],2,0)</f>
        <v>4.9113233287858113</v>
      </c>
      <c r="E48" s="77">
        <f>VLOOKUP(Table107[[#This Row],[NAME]],MIA_P[[NAME]:['#]],3,0)</f>
        <v>0</v>
      </c>
      <c r="F48" s="28">
        <f>VLOOKUP(Table107[[#This Row],[NAME]],MIA_P[[NAME]:['#]],4,0)</f>
        <v>0</v>
      </c>
      <c r="G48" s="77">
        <f>VLOOKUP(Table107[[#This Row],[NAME]],MIA_P[[NAME]:['#]],5,0)</f>
        <v>3</v>
      </c>
      <c r="H48" s="584">
        <f>VLOOKUP(Table107[[#This Row],[NAME]],MIA_P[[NAME]:['#]],6,0)</f>
        <v>7.33</v>
      </c>
      <c r="I48" s="28">
        <f>VLOOKUP(Table107[[#This Row],[NAME]],MIA_P[[NAME]:['#]],7,0)</f>
        <v>5</v>
      </c>
      <c r="J48" s="28">
        <f>VLOOKUP(Table107[[#This Row],[NAME]],MIA_P[[NAME]:['#]],8,0)</f>
        <v>4</v>
      </c>
      <c r="K48" s="28">
        <f>VLOOKUP(Table107[[#This Row],[NAME]],MIA_P[[NAME]:['#]],9,0)</f>
        <v>3</v>
      </c>
      <c r="L48" s="28">
        <f>VLOOKUP(Table107[[#This Row],[NAME]],MIA_P[[NAME]:['#]],10,0)</f>
        <v>5</v>
      </c>
      <c r="M48" s="28">
        <f>VLOOKUP(Table107[[#This Row],[NAME]],MIA_P[[NAME]:['#]],11,0)</f>
        <v>0</v>
      </c>
      <c r="N48" s="106">
        <f>VLOOKUP(Table107[[#This Row],[NAME]],MIA_P[[NAME]:['#]],12,0)</f>
        <v>1.0914051841746248</v>
      </c>
      <c r="O48" s="77">
        <f>VLOOKUP(Table107[[#This Row],[NAME]],MIA_P[[NAME]:['#]],13,0)</f>
        <v>0</v>
      </c>
      <c r="P48" s="28">
        <f>VLOOKUP(Table107[[#This Row],[NAME]],MIA_P[[NAME]:['#]],14,0)</f>
        <v>0</v>
      </c>
      <c r="Q48" s="28">
        <f>VLOOKUP(Table107[[#This Row],[NAME]],MIA_P[[NAME]:['#]],15,0)</f>
        <v>0</v>
      </c>
      <c r="R48" s="28">
        <f>VLOOKUP(Table107[[#This Row],[NAME]],MIA_P[[NAME]:['#]],16,0)</f>
        <v>0</v>
      </c>
      <c r="S48" s="75">
        <v>46</v>
      </c>
      <c r="V48" s="101" t="s">
        <v>903</v>
      </c>
      <c r="W48" s="77" t="s">
        <v>212</v>
      </c>
      <c r="X48" s="77" t="s">
        <v>931</v>
      </c>
      <c r="Y48" s="88">
        <v>0</v>
      </c>
      <c r="Z48" s="77">
        <v>0</v>
      </c>
      <c r="AA48" s="28">
        <v>0</v>
      </c>
      <c r="AB48" s="77">
        <v>0</v>
      </c>
      <c r="AC48" s="584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106">
        <v>0</v>
      </c>
      <c r="AJ48" s="77">
        <v>0</v>
      </c>
      <c r="AK48" s="28">
        <v>0</v>
      </c>
      <c r="AL48" s="28">
        <v>0</v>
      </c>
      <c r="AM48" s="28">
        <v>0</v>
      </c>
      <c r="AN48" s="75">
        <v>46</v>
      </c>
      <c r="AQ48" s="101" t="s">
        <v>903</v>
      </c>
      <c r="AR48" s="77" t="s">
        <v>215</v>
      </c>
      <c r="AS48" s="77" t="s">
        <v>931</v>
      </c>
      <c r="AT48" s="135">
        <v>5.25</v>
      </c>
      <c r="AU48" s="77">
        <v>0</v>
      </c>
      <c r="AV48" s="28">
        <v>0</v>
      </c>
      <c r="AW48" s="77">
        <v>8</v>
      </c>
      <c r="AX48" s="584">
        <v>12</v>
      </c>
      <c r="AY48" s="28">
        <v>11</v>
      </c>
      <c r="AZ48" s="28">
        <v>7</v>
      </c>
      <c r="BA48" s="28">
        <v>8</v>
      </c>
      <c r="BB48" s="28">
        <v>9</v>
      </c>
      <c r="BC48" s="28">
        <v>0</v>
      </c>
      <c r="BD48" s="106">
        <v>1.5833333333333333</v>
      </c>
      <c r="BE48" s="77">
        <v>0</v>
      </c>
      <c r="BF48" s="28">
        <v>0</v>
      </c>
      <c r="BG48" s="28">
        <v>0</v>
      </c>
      <c r="BH48" s="28">
        <v>0</v>
      </c>
      <c r="BI48" s="75">
        <v>46</v>
      </c>
    </row>
    <row r="49" spans="1:61">
      <c r="A49" s="101" t="s">
        <v>903</v>
      </c>
      <c r="B49" s="71" t="s">
        <v>212</v>
      </c>
      <c r="C49" s="116" t="s">
        <v>931</v>
      </c>
      <c r="D49" s="89">
        <f>VLOOKUP(Table107[[#This Row],[NAME]],MIA_P[[NAME]:['#]],2,0)</f>
        <v>2.7006751687921979</v>
      </c>
      <c r="E49" s="77">
        <f>VLOOKUP(Table107[[#This Row],[NAME]],MIA_P[[NAME]:['#]],3,0)</f>
        <v>0</v>
      </c>
      <c r="F49" s="28">
        <f>VLOOKUP(Table107[[#This Row],[NAME]],MIA_P[[NAME]:['#]],4,0)</f>
        <v>0</v>
      </c>
      <c r="G49" s="77">
        <f>VLOOKUP(Table107[[#This Row],[NAME]],MIA_P[[NAME]:['#]],5,0)</f>
        <v>7</v>
      </c>
      <c r="H49" s="584">
        <f>VLOOKUP(Table107[[#This Row],[NAME]],MIA_P[[NAME]:['#]],6,0)</f>
        <v>13.33</v>
      </c>
      <c r="I49" s="28">
        <f>VLOOKUP(Table107[[#This Row],[NAME]],MIA_P[[NAME]:['#]],7,0)</f>
        <v>8</v>
      </c>
      <c r="J49" s="28">
        <f>VLOOKUP(Table107[[#This Row],[NAME]],MIA_P[[NAME]:['#]],8,0)</f>
        <v>4</v>
      </c>
      <c r="K49" s="28">
        <f>VLOOKUP(Table107[[#This Row],[NAME]],MIA_P[[NAME]:['#]],9,0)</f>
        <v>5</v>
      </c>
      <c r="L49" s="28">
        <f>VLOOKUP(Table107[[#This Row],[NAME]],MIA_P[[NAME]:['#]],10,0)</f>
        <v>13</v>
      </c>
      <c r="M49" s="28">
        <f>VLOOKUP(Table107[[#This Row],[NAME]],MIA_P[[NAME]:['#]],11,0)</f>
        <v>1</v>
      </c>
      <c r="N49" s="106">
        <f>VLOOKUP(Table107[[#This Row],[NAME]],MIA_P[[NAME]:['#]],12,0)</f>
        <v>0.97524381095273815</v>
      </c>
      <c r="O49" s="77">
        <f>VLOOKUP(Table107[[#This Row],[NAME]],MIA_P[[NAME]:['#]],13,0)</f>
        <v>0</v>
      </c>
      <c r="P49" s="28">
        <f>VLOOKUP(Table107[[#This Row],[NAME]],MIA_P[[NAME]:['#]],14,0)</f>
        <v>0</v>
      </c>
      <c r="Q49" s="28">
        <f>VLOOKUP(Table107[[#This Row],[NAME]],MIA_P[[NAME]:['#]],15,0)</f>
        <v>0</v>
      </c>
      <c r="R49" s="28">
        <f>VLOOKUP(Table107[[#This Row],[NAME]],MIA_P[[NAME]:['#]],16,0)</f>
        <v>0</v>
      </c>
      <c r="S49" s="75">
        <v>47</v>
      </c>
      <c r="V49" s="101" t="s">
        <v>903</v>
      </c>
      <c r="W49" s="77" t="s">
        <v>212</v>
      </c>
      <c r="X49" s="132" t="s">
        <v>933</v>
      </c>
      <c r="Y49" s="88">
        <v>7.3649754500818334</v>
      </c>
      <c r="Z49" s="77">
        <v>0</v>
      </c>
      <c r="AA49" s="28">
        <v>0</v>
      </c>
      <c r="AB49" s="77">
        <v>10</v>
      </c>
      <c r="AC49" s="584">
        <v>18.329999999999998</v>
      </c>
      <c r="AD49" s="28">
        <v>27</v>
      </c>
      <c r="AE49" s="28">
        <v>15</v>
      </c>
      <c r="AF49" s="28">
        <v>7</v>
      </c>
      <c r="AG49" s="28">
        <v>16</v>
      </c>
      <c r="AH49" s="28">
        <v>0</v>
      </c>
      <c r="AI49" s="106">
        <v>1.8548827059465358</v>
      </c>
      <c r="AJ49" s="77">
        <v>0</v>
      </c>
      <c r="AK49" s="28">
        <v>0</v>
      </c>
      <c r="AL49" s="28">
        <v>0</v>
      </c>
      <c r="AM49" s="28">
        <v>0</v>
      </c>
      <c r="AN49" s="75">
        <v>47</v>
      </c>
      <c r="AQ49" s="101" t="s">
        <v>903</v>
      </c>
      <c r="AR49" s="77" t="s">
        <v>212</v>
      </c>
      <c r="AS49" s="77" t="s">
        <v>927</v>
      </c>
      <c r="AT49" s="135">
        <v>6.7478912839737584</v>
      </c>
      <c r="AU49" s="77">
        <v>3</v>
      </c>
      <c r="AV49" s="28">
        <v>0</v>
      </c>
      <c r="AW49" s="77">
        <v>7</v>
      </c>
      <c r="AX49" s="584">
        <v>10.67</v>
      </c>
      <c r="AY49" s="28">
        <v>11</v>
      </c>
      <c r="AZ49" s="28">
        <v>8</v>
      </c>
      <c r="BA49" s="28">
        <v>4</v>
      </c>
      <c r="BB49" s="28">
        <v>12</v>
      </c>
      <c r="BC49" s="28">
        <v>0</v>
      </c>
      <c r="BD49" s="106">
        <v>1.4058106841611997</v>
      </c>
      <c r="BE49" s="77">
        <v>0</v>
      </c>
      <c r="BF49" s="28">
        <v>0</v>
      </c>
      <c r="BG49" s="28">
        <v>0</v>
      </c>
      <c r="BH49" s="28">
        <v>0</v>
      </c>
      <c r="BI49" s="75">
        <v>47</v>
      </c>
    </row>
    <row r="50" spans="1:61">
      <c r="A50" s="101" t="s">
        <v>903</v>
      </c>
      <c r="B50" s="71" t="s">
        <v>212</v>
      </c>
      <c r="C50" s="116" t="s">
        <v>2173</v>
      </c>
      <c r="D50" s="89">
        <f>VLOOKUP(Table107[[#This Row],[NAME]],MIA_P[[NAME]:['#]],2,0)</f>
        <v>6.3548102383053839</v>
      </c>
      <c r="E50" s="77">
        <f>VLOOKUP(Table107[[#This Row],[NAME]],MIA_P[[NAME]:['#]],3,0)</f>
        <v>0</v>
      </c>
      <c r="F50" s="28">
        <f>VLOOKUP(Table107[[#This Row],[NAME]],MIA_P[[NAME]:['#]],4,0)</f>
        <v>2</v>
      </c>
      <c r="G50" s="77">
        <f>VLOOKUP(Table107[[#This Row],[NAME]],MIA_P[[NAME]:['#]],5,0)</f>
        <v>10</v>
      </c>
      <c r="H50" s="584">
        <f>VLOOKUP(Table107[[#This Row],[NAME]],MIA_P[[NAME]:['#]],6,0)</f>
        <v>11.33</v>
      </c>
      <c r="I50" s="28">
        <f>VLOOKUP(Table107[[#This Row],[NAME]],MIA_P[[NAME]:['#]],7,0)</f>
        <v>20</v>
      </c>
      <c r="J50" s="28">
        <f>VLOOKUP(Table107[[#This Row],[NAME]],MIA_P[[NAME]:['#]],8,0)</f>
        <v>8</v>
      </c>
      <c r="K50" s="28">
        <f>VLOOKUP(Table107[[#This Row],[NAME]],MIA_P[[NAME]:['#]],9,0)</f>
        <v>2</v>
      </c>
      <c r="L50" s="28">
        <f>VLOOKUP(Table107[[#This Row],[NAME]],MIA_P[[NAME]:['#]],10,0)</f>
        <v>10</v>
      </c>
      <c r="M50" s="28">
        <f>VLOOKUP(Table107[[#This Row],[NAME]],MIA_P[[NAME]:['#]],11,0)</f>
        <v>0</v>
      </c>
      <c r="N50" s="106">
        <f>VLOOKUP(Table107[[#This Row],[NAME]],MIA_P[[NAME]:['#]],12,0)</f>
        <v>1.941747572815534</v>
      </c>
      <c r="O50" s="77">
        <f>VLOOKUP(Table107[[#This Row],[NAME]],MIA_P[[NAME]:['#]],13,0)</f>
        <v>0</v>
      </c>
      <c r="P50" s="28">
        <f>VLOOKUP(Table107[[#This Row],[NAME]],MIA_P[[NAME]:['#]],14,0)</f>
        <v>0</v>
      </c>
      <c r="Q50" s="28">
        <f>VLOOKUP(Table107[[#This Row],[NAME]],MIA_P[[NAME]:['#]],15,0)</f>
        <v>0</v>
      </c>
      <c r="R50" s="28">
        <f>VLOOKUP(Table107[[#This Row],[NAME]],MIA_P[[NAME]:['#]],16,0)</f>
        <v>0</v>
      </c>
      <c r="S50" s="75">
        <v>48</v>
      </c>
      <c r="V50" s="101" t="s">
        <v>903</v>
      </c>
      <c r="W50" s="77" t="s">
        <v>212</v>
      </c>
      <c r="X50" s="132" t="s">
        <v>2173</v>
      </c>
      <c r="Y50" s="88">
        <v>7.9435127978817297</v>
      </c>
      <c r="Z50" s="77">
        <v>0</v>
      </c>
      <c r="AA50" s="28">
        <v>3</v>
      </c>
      <c r="AB50" s="77">
        <v>12</v>
      </c>
      <c r="AC50" s="584">
        <v>11.33</v>
      </c>
      <c r="AD50" s="28">
        <v>16</v>
      </c>
      <c r="AE50" s="28">
        <v>10</v>
      </c>
      <c r="AF50" s="28">
        <v>12</v>
      </c>
      <c r="AG50" s="28">
        <v>17</v>
      </c>
      <c r="AH50" s="28">
        <v>0</v>
      </c>
      <c r="AI50" s="106">
        <v>2.4713150926743159</v>
      </c>
      <c r="AJ50" s="77">
        <v>0</v>
      </c>
      <c r="AK50" s="28">
        <v>0</v>
      </c>
      <c r="AL50" s="28">
        <v>0</v>
      </c>
      <c r="AM50" s="28">
        <v>0</v>
      </c>
      <c r="AN50" s="75">
        <v>48</v>
      </c>
      <c r="AQ50" s="101" t="s">
        <v>903</v>
      </c>
      <c r="AR50" s="77" t="s">
        <v>212</v>
      </c>
      <c r="AS50" s="132" t="s">
        <v>2173</v>
      </c>
      <c r="AT50" s="135">
        <v>2.1897810218978102</v>
      </c>
      <c r="AU50" s="77">
        <v>0</v>
      </c>
      <c r="AV50" s="28">
        <v>0</v>
      </c>
      <c r="AW50" s="77">
        <v>6</v>
      </c>
      <c r="AX50" s="584">
        <v>12.33</v>
      </c>
      <c r="AY50" s="28">
        <v>12</v>
      </c>
      <c r="AZ50" s="28">
        <v>3</v>
      </c>
      <c r="BA50" s="28">
        <v>4</v>
      </c>
      <c r="BB50" s="28">
        <v>13</v>
      </c>
      <c r="BC50" s="28">
        <v>0</v>
      </c>
      <c r="BD50" s="106">
        <v>1.29764801297648</v>
      </c>
      <c r="BE50" s="77">
        <v>0</v>
      </c>
      <c r="BF50" s="28">
        <v>0</v>
      </c>
      <c r="BG50" s="28">
        <v>0</v>
      </c>
      <c r="BH50" s="28">
        <v>0</v>
      </c>
      <c r="BI50" s="75">
        <v>48</v>
      </c>
    </row>
    <row r="51" spans="1:61">
      <c r="A51" s="101" t="s">
        <v>903</v>
      </c>
      <c r="B51" s="71" t="s">
        <v>212</v>
      </c>
      <c r="C51" s="116" t="s">
        <v>929</v>
      </c>
      <c r="D51" s="89">
        <f>VLOOKUP(Table107[[#This Row],[NAME]],MIA_P[[NAME]:['#]],2,0)</f>
        <v>4.7647058823529411</v>
      </c>
      <c r="E51" s="77">
        <f>VLOOKUP(Table107[[#This Row],[NAME]],MIA_P[[NAME]:['#]],3,0)</f>
        <v>1</v>
      </c>
      <c r="F51" s="28">
        <f>VLOOKUP(Table107[[#This Row],[NAME]],MIA_P[[NAME]:['#]],4,0)</f>
        <v>0</v>
      </c>
      <c r="G51" s="77">
        <f>VLOOKUP(Table107[[#This Row],[NAME]],MIA_P[[NAME]:['#]],5,0)</f>
        <v>11</v>
      </c>
      <c r="H51" s="584">
        <f>VLOOKUP(Table107[[#This Row],[NAME]],MIA_P[[NAME]:['#]],6,0)</f>
        <v>17</v>
      </c>
      <c r="I51" s="28">
        <f>VLOOKUP(Table107[[#This Row],[NAME]],MIA_P[[NAME]:['#]],7,0)</f>
        <v>12</v>
      </c>
      <c r="J51" s="28">
        <f>VLOOKUP(Table107[[#This Row],[NAME]],MIA_P[[NAME]:['#]],8,0)</f>
        <v>9</v>
      </c>
      <c r="K51" s="28">
        <f>VLOOKUP(Table107[[#This Row],[NAME]],MIA_P[[NAME]:['#]],9,0)</f>
        <v>10</v>
      </c>
      <c r="L51" s="28">
        <f>VLOOKUP(Table107[[#This Row],[NAME]],MIA_P[[NAME]:['#]],10,0)</f>
        <v>15</v>
      </c>
      <c r="M51" s="28">
        <f>VLOOKUP(Table107[[#This Row],[NAME]],MIA_P[[NAME]:['#]],11,0)</f>
        <v>0</v>
      </c>
      <c r="N51" s="106">
        <f>VLOOKUP(Table107[[#This Row],[NAME]],MIA_P[[NAME]:['#]],12,0)</f>
        <v>1.2941176470588236</v>
      </c>
      <c r="O51" s="77">
        <f>VLOOKUP(Table107[[#This Row],[NAME]],MIA_P[[NAME]:['#]],13,0)</f>
        <v>0</v>
      </c>
      <c r="P51" s="28">
        <f>VLOOKUP(Table107[[#This Row],[NAME]],MIA_P[[NAME]:['#]],14,0)</f>
        <v>0</v>
      </c>
      <c r="Q51" s="28">
        <f>VLOOKUP(Table107[[#This Row],[NAME]],MIA_P[[NAME]:['#]],15,0)</f>
        <v>0</v>
      </c>
      <c r="R51" s="28">
        <f>VLOOKUP(Table107[[#This Row],[NAME]],MIA_P[[NAME]:['#]],16,0)</f>
        <v>0</v>
      </c>
      <c r="S51" s="75">
        <v>49</v>
      </c>
      <c r="V51" s="101" t="s">
        <v>903</v>
      </c>
      <c r="W51" s="77" t="s">
        <v>212</v>
      </c>
      <c r="X51" s="116" t="s">
        <v>929</v>
      </c>
      <c r="Y51" s="88">
        <v>3.6991368680641186</v>
      </c>
      <c r="Z51" s="77">
        <v>1</v>
      </c>
      <c r="AA51" s="28">
        <v>1</v>
      </c>
      <c r="AB51" s="77">
        <v>10</v>
      </c>
      <c r="AC51" s="584">
        <v>24.33</v>
      </c>
      <c r="AD51" s="28">
        <v>22</v>
      </c>
      <c r="AE51" s="28">
        <v>10</v>
      </c>
      <c r="AF51" s="28">
        <v>9</v>
      </c>
      <c r="AG51" s="28">
        <v>34</v>
      </c>
      <c r="AH51" s="28">
        <v>0</v>
      </c>
      <c r="AI51" s="106">
        <v>1.2741471434443075</v>
      </c>
      <c r="AJ51" s="77">
        <v>0</v>
      </c>
      <c r="AK51" s="28">
        <v>0</v>
      </c>
      <c r="AL51" s="28">
        <v>0</v>
      </c>
      <c r="AM51" s="28">
        <v>0</v>
      </c>
      <c r="AN51" s="75">
        <v>49</v>
      </c>
      <c r="AQ51" s="101" t="s">
        <v>903</v>
      </c>
      <c r="AR51" s="77" t="s">
        <v>215</v>
      </c>
      <c r="AS51" s="132" t="s">
        <v>929</v>
      </c>
      <c r="AT51" s="135">
        <v>7</v>
      </c>
      <c r="AU51" s="77">
        <v>1</v>
      </c>
      <c r="AV51" s="28">
        <v>4</v>
      </c>
      <c r="AW51" s="77">
        <v>16</v>
      </c>
      <c r="AX51" s="584">
        <v>18</v>
      </c>
      <c r="AY51" s="28">
        <v>28</v>
      </c>
      <c r="AZ51" s="28">
        <v>14</v>
      </c>
      <c r="BA51" s="28">
        <v>6</v>
      </c>
      <c r="BB51" s="28">
        <v>17</v>
      </c>
      <c r="BC51" s="28">
        <v>3</v>
      </c>
      <c r="BD51" s="106">
        <v>1.8888888888888888</v>
      </c>
      <c r="BE51" s="77">
        <v>0</v>
      </c>
      <c r="BF51" s="28">
        <v>0</v>
      </c>
      <c r="BG51" s="28">
        <v>0</v>
      </c>
      <c r="BH51" s="28">
        <v>0</v>
      </c>
      <c r="BI51" s="75">
        <v>49</v>
      </c>
    </row>
    <row r="52" spans="1:61">
      <c r="A52" s="101" t="s">
        <v>903</v>
      </c>
      <c r="B52" s="71" t="s">
        <v>215</v>
      </c>
      <c r="C52" s="116" t="s">
        <v>934</v>
      </c>
      <c r="D52" s="89">
        <f>VLOOKUP(Table107[[#This Row],[NAME]],MIA_P[[NAME]:['#]],2,0)</f>
        <v>8.7378640776699026</v>
      </c>
      <c r="E52" s="77">
        <f>VLOOKUP(Table107[[#This Row],[NAME]],MIA_P[[NAME]:['#]],3,0)</f>
        <v>3</v>
      </c>
      <c r="F52" s="28">
        <f>VLOOKUP(Table107[[#This Row],[NAME]],MIA_P[[NAME]:['#]],4,0)</f>
        <v>2</v>
      </c>
      <c r="G52" s="77">
        <f>VLOOKUP(Table107[[#This Row],[NAME]],MIA_P[[NAME]:['#]],5,0)</f>
        <v>13</v>
      </c>
      <c r="H52" s="584">
        <f>VLOOKUP(Table107[[#This Row],[NAME]],MIA_P[[NAME]:['#]],6,0)</f>
        <v>11.33</v>
      </c>
      <c r="I52" s="28">
        <f>VLOOKUP(Table107[[#This Row],[NAME]],MIA_P[[NAME]:['#]],7,0)</f>
        <v>14</v>
      </c>
      <c r="J52" s="28">
        <f>VLOOKUP(Table107[[#This Row],[NAME]],MIA_P[[NAME]:['#]],8,0)</f>
        <v>11</v>
      </c>
      <c r="K52" s="28">
        <f>VLOOKUP(Table107[[#This Row],[NAME]],MIA_P[[NAME]:['#]],9,0)</f>
        <v>11</v>
      </c>
      <c r="L52" s="28">
        <f>VLOOKUP(Table107[[#This Row],[NAME]],MIA_P[[NAME]:['#]],10,0)</f>
        <v>11</v>
      </c>
      <c r="M52" s="28">
        <f>VLOOKUP(Table107[[#This Row],[NAME]],MIA_P[[NAME]:['#]],11,0)</f>
        <v>2</v>
      </c>
      <c r="N52" s="106">
        <f>VLOOKUP(Table107[[#This Row],[NAME]],MIA_P[[NAME]:['#]],12,0)</f>
        <v>2.206531332744925</v>
      </c>
      <c r="O52" s="77">
        <f>VLOOKUP(Table107[[#This Row],[NAME]],MIA_P[[NAME]:['#]],13,0)</f>
        <v>0</v>
      </c>
      <c r="P52" s="28">
        <f>VLOOKUP(Table107[[#This Row],[NAME]],MIA_P[[NAME]:['#]],14,0)</f>
        <v>0</v>
      </c>
      <c r="Q52" s="28">
        <f>VLOOKUP(Table107[[#This Row],[NAME]],MIA_P[[NAME]:['#]],15,0)</f>
        <v>0</v>
      </c>
      <c r="R52" s="28">
        <f>VLOOKUP(Table107[[#This Row],[NAME]],MIA_P[[NAME]:['#]],16,0)</f>
        <v>0</v>
      </c>
      <c r="S52" s="75">
        <v>50</v>
      </c>
      <c r="V52" s="101" t="s">
        <v>903</v>
      </c>
      <c r="W52" s="77" t="s">
        <v>212</v>
      </c>
      <c r="X52" s="132" t="s">
        <v>935</v>
      </c>
      <c r="Y52" s="88">
        <v>2.5</v>
      </c>
      <c r="Z52" s="77">
        <v>1</v>
      </c>
      <c r="AA52" s="28">
        <v>1</v>
      </c>
      <c r="AB52" s="77">
        <v>15</v>
      </c>
      <c r="AC52" s="584">
        <v>18</v>
      </c>
      <c r="AD52" s="28">
        <v>14</v>
      </c>
      <c r="AE52" s="28">
        <v>5</v>
      </c>
      <c r="AF52" s="28">
        <v>7</v>
      </c>
      <c r="AG52" s="28">
        <v>11</v>
      </c>
      <c r="AH52" s="28">
        <v>6</v>
      </c>
      <c r="AI52" s="106">
        <v>1.1666666666666667</v>
      </c>
      <c r="AJ52" s="77">
        <v>0</v>
      </c>
      <c r="AK52" s="28">
        <v>0</v>
      </c>
      <c r="AL52" s="28">
        <v>0</v>
      </c>
      <c r="AM52" s="28">
        <v>0</v>
      </c>
      <c r="AN52" s="75">
        <v>50</v>
      </c>
      <c r="AQ52" s="101" t="s">
        <v>903</v>
      </c>
      <c r="AR52" s="77" t="s">
        <v>212</v>
      </c>
      <c r="AS52" s="77" t="s">
        <v>936</v>
      </c>
      <c r="AT52" s="135">
        <v>3.4945287680903636</v>
      </c>
      <c r="AU52" s="77">
        <v>0</v>
      </c>
      <c r="AV52" s="28">
        <v>1</v>
      </c>
      <c r="AW52" s="77">
        <v>25</v>
      </c>
      <c r="AX52" s="584">
        <v>28.33</v>
      </c>
      <c r="AY52" s="28">
        <v>23</v>
      </c>
      <c r="AZ52" s="28">
        <v>11</v>
      </c>
      <c r="BA52" s="28">
        <v>10</v>
      </c>
      <c r="BB52" s="28">
        <v>35</v>
      </c>
      <c r="BC52" s="28">
        <v>5</v>
      </c>
      <c r="BD52" s="106">
        <v>1.164842922696788</v>
      </c>
      <c r="BE52" s="77">
        <v>0</v>
      </c>
      <c r="BF52" s="28">
        <v>0</v>
      </c>
      <c r="BG52" s="28">
        <v>0</v>
      </c>
      <c r="BH52" s="28">
        <v>0</v>
      </c>
      <c r="BI52" s="75">
        <v>50</v>
      </c>
    </row>
    <row r="53" spans="1:61">
      <c r="A53" s="101" t="s">
        <v>952</v>
      </c>
      <c r="B53" s="71" t="s">
        <v>206</v>
      </c>
      <c r="C53" s="71" t="s">
        <v>972</v>
      </c>
      <c r="D53" s="89">
        <f>VLOOKUP(Table107[[#This Row],[NAME]],STL_P[[NAME]:['#]],2,0)</f>
        <v>2.2391336162739646</v>
      </c>
      <c r="E53" s="77">
        <f>VLOOKUP(Table107[[#This Row],[NAME]],STL_P[[NAME]:['#]],3,0)</f>
        <v>5</v>
      </c>
      <c r="F53" s="28">
        <f>VLOOKUP(Table107[[#This Row],[NAME]],STL_P[[NAME]:['#]],4,0)</f>
        <v>2</v>
      </c>
      <c r="G53" s="77">
        <f>VLOOKUP(Table107[[#This Row],[NAME]],STL_P[[NAME]:['#]],5,0)</f>
        <v>10</v>
      </c>
      <c r="H53" s="584">
        <f>VLOOKUP(Table107[[#This Row],[NAME]],STL_P[[NAME]:['#]],6,0)</f>
        <v>68.33</v>
      </c>
      <c r="I53" s="28">
        <f>VLOOKUP(Table107[[#This Row],[NAME]],STL_P[[NAME]:['#]],7,0)</f>
        <v>66</v>
      </c>
      <c r="J53" s="28">
        <f>VLOOKUP(Table107[[#This Row],[NAME]],STL_P[[NAME]:['#]],8,0)</f>
        <v>17</v>
      </c>
      <c r="K53" s="28">
        <f>VLOOKUP(Table107[[#This Row],[NAME]],STL_P[[NAME]:['#]],9,0)</f>
        <v>17</v>
      </c>
      <c r="L53" s="28">
        <f>VLOOKUP(Table107[[#This Row],[NAME]],STL_P[[NAME]:['#]],10,0)</f>
        <v>49</v>
      </c>
      <c r="M53" s="28">
        <f>VLOOKUP(Table107[[#This Row],[NAME]],STL_P[[NAME]:['#]],11,0)</f>
        <v>0</v>
      </c>
      <c r="N53" s="106">
        <f>VLOOKUP(Table107[[#This Row],[NAME]],STL_P[[NAME]:['#]],12,0)</f>
        <v>1.2146933996780331</v>
      </c>
      <c r="O53" s="77">
        <f>VLOOKUP(Table107[[#This Row],[NAME]],STL_P[[NAME]:['#]],13,0)</f>
        <v>9</v>
      </c>
      <c r="P53" s="28">
        <f>VLOOKUP(Table107[[#This Row],[NAME]],STL_P[[NAME]:['#]],14,0)</f>
        <v>6</v>
      </c>
      <c r="Q53" s="28">
        <f>VLOOKUP(Table107[[#This Row],[NAME]],STL_P[[NAME]:['#]],15,0)</f>
        <v>2</v>
      </c>
      <c r="R53" s="28">
        <f>VLOOKUP(Table107[[#This Row],[NAME]],STL_P[[NAME]:['#]],16,0)</f>
        <v>2</v>
      </c>
      <c r="S53" s="75">
        <v>51</v>
      </c>
      <c r="V53" s="101" t="s">
        <v>952</v>
      </c>
      <c r="W53" s="77" t="s">
        <v>206</v>
      </c>
      <c r="X53" s="77" t="s">
        <v>973</v>
      </c>
      <c r="Y53" s="88">
        <v>5.062212374296915</v>
      </c>
      <c r="Z53" s="77">
        <v>3</v>
      </c>
      <c r="AA53" s="28">
        <v>6</v>
      </c>
      <c r="AB53" s="77">
        <v>10</v>
      </c>
      <c r="AC53" s="584">
        <v>58.67</v>
      </c>
      <c r="AD53" s="28">
        <v>63</v>
      </c>
      <c r="AE53" s="28">
        <v>33</v>
      </c>
      <c r="AF53" s="28">
        <v>28</v>
      </c>
      <c r="AG53" s="28">
        <v>67</v>
      </c>
      <c r="AH53" s="28">
        <v>0</v>
      </c>
      <c r="AI53" s="106">
        <v>1.5510482358956876</v>
      </c>
      <c r="AJ53" s="77">
        <v>5</v>
      </c>
      <c r="AK53" s="28">
        <v>1</v>
      </c>
      <c r="AL53" s="28">
        <v>0</v>
      </c>
      <c r="AM53" s="28">
        <v>0</v>
      </c>
      <c r="AN53" s="75">
        <v>51</v>
      </c>
      <c r="AQ53" s="101" t="s">
        <v>952</v>
      </c>
      <c r="AR53" s="77" t="s">
        <v>206</v>
      </c>
      <c r="AS53" s="77" t="s">
        <v>973</v>
      </c>
      <c r="AT53" s="135">
        <v>4.3250327653997376</v>
      </c>
      <c r="AU53" s="77">
        <v>2</v>
      </c>
      <c r="AV53" s="28">
        <v>6</v>
      </c>
      <c r="AW53" s="77">
        <v>10</v>
      </c>
      <c r="AX53" s="584">
        <v>68.67</v>
      </c>
      <c r="AY53" s="28">
        <v>54</v>
      </c>
      <c r="AZ53" s="28">
        <v>33</v>
      </c>
      <c r="BA53" s="28">
        <v>28</v>
      </c>
      <c r="BB53" s="28">
        <v>67</v>
      </c>
      <c r="BC53" s="28">
        <v>0</v>
      </c>
      <c r="BD53" s="106">
        <v>1.1941167904470658</v>
      </c>
      <c r="BE53" s="77">
        <v>6</v>
      </c>
      <c r="BF53" s="28">
        <v>4</v>
      </c>
      <c r="BG53" s="28">
        <v>0</v>
      </c>
      <c r="BH53" s="28">
        <v>0</v>
      </c>
      <c r="BI53" s="75">
        <v>51</v>
      </c>
    </row>
    <row r="54" spans="1:61">
      <c r="A54" s="101" t="s">
        <v>952</v>
      </c>
      <c r="B54" s="71" t="s">
        <v>206</v>
      </c>
      <c r="C54" s="71" t="s">
        <v>973</v>
      </c>
      <c r="D54" s="89">
        <f>VLOOKUP(Table107[[#This Row],[NAME]],STL_P[[NAME]:['#]],2,0)</f>
        <v>3.0144167758846656</v>
      </c>
      <c r="E54" s="77">
        <f>VLOOKUP(Table107[[#This Row],[NAME]],STL_P[[NAME]:['#]],3,0)</f>
        <v>4</v>
      </c>
      <c r="F54" s="28">
        <f>VLOOKUP(Table107[[#This Row],[NAME]],STL_P[[NAME]:['#]],4,0)</f>
        <v>4</v>
      </c>
      <c r="G54" s="77">
        <f>VLOOKUP(Table107[[#This Row],[NAME]],STL_P[[NAME]:['#]],5,0)</f>
        <v>10</v>
      </c>
      <c r="H54" s="584">
        <f>VLOOKUP(Table107[[#This Row],[NAME]],STL_P[[NAME]:['#]],6,0)</f>
        <v>68.67</v>
      </c>
      <c r="I54" s="28">
        <f>VLOOKUP(Table107[[#This Row],[NAME]],STL_P[[NAME]:['#]],7,0)</f>
        <v>52</v>
      </c>
      <c r="J54" s="28">
        <f>VLOOKUP(Table107[[#This Row],[NAME]],STL_P[[NAME]:['#]],8,0)</f>
        <v>23</v>
      </c>
      <c r="K54" s="28">
        <f>VLOOKUP(Table107[[#This Row],[NAME]],STL_P[[NAME]:['#]],9,0)</f>
        <v>18</v>
      </c>
      <c r="L54" s="28">
        <f>VLOOKUP(Table107[[#This Row],[NAME]],STL_P[[NAME]:['#]],10,0)</f>
        <v>77</v>
      </c>
      <c r="M54" s="28">
        <f>VLOOKUP(Table107[[#This Row],[NAME]],STL_P[[NAME]:['#]],11,0)</f>
        <v>0</v>
      </c>
      <c r="N54" s="106">
        <f>VLOOKUP(Table107[[#This Row],[NAME]],STL_P[[NAME]:['#]],12,0)</f>
        <v>1.019367991845056</v>
      </c>
      <c r="O54" s="77">
        <f>VLOOKUP(Table107[[#This Row],[NAME]],STL_P[[NAME]:['#]],13,0)</f>
        <v>9</v>
      </c>
      <c r="P54" s="28">
        <f>VLOOKUP(Table107[[#This Row],[NAME]],STL_P[[NAME]:['#]],14,0)</f>
        <v>3</v>
      </c>
      <c r="Q54" s="28">
        <f>VLOOKUP(Table107[[#This Row],[NAME]],STL_P[[NAME]:['#]],15,0)</f>
        <v>1</v>
      </c>
      <c r="R54" s="28">
        <f>VLOOKUP(Table107[[#This Row],[NAME]],STL_P[[NAME]:['#]],16,0)</f>
        <v>1</v>
      </c>
      <c r="S54" s="75">
        <v>52</v>
      </c>
      <c r="V54" s="101" t="s">
        <v>952</v>
      </c>
      <c r="W54" s="77" t="s">
        <v>206</v>
      </c>
      <c r="X54" s="77" t="s">
        <v>972</v>
      </c>
      <c r="Y54" s="88">
        <v>4.6288359334819136</v>
      </c>
      <c r="Z54" s="77">
        <v>3</v>
      </c>
      <c r="AA54" s="28">
        <v>4</v>
      </c>
      <c r="AB54" s="77">
        <v>10</v>
      </c>
      <c r="AC54" s="584">
        <v>58.33</v>
      </c>
      <c r="AD54" s="28">
        <v>61</v>
      </c>
      <c r="AE54" s="28">
        <v>30</v>
      </c>
      <c r="AF54" s="28">
        <v>20</v>
      </c>
      <c r="AG54" s="28">
        <v>53</v>
      </c>
      <c r="AH54" s="28">
        <v>0</v>
      </c>
      <c r="AI54" s="106">
        <v>1.388650780044574</v>
      </c>
      <c r="AJ54" s="77">
        <v>6</v>
      </c>
      <c r="AK54" s="28">
        <v>1</v>
      </c>
      <c r="AL54" s="28">
        <v>0</v>
      </c>
      <c r="AM54" s="28">
        <v>0</v>
      </c>
      <c r="AN54" s="75">
        <v>52</v>
      </c>
      <c r="AQ54" s="101" t="s">
        <v>952</v>
      </c>
      <c r="AR54" s="77" t="s">
        <v>206</v>
      </c>
      <c r="AS54" s="77" t="s">
        <v>972</v>
      </c>
      <c r="AT54" s="135">
        <v>5.4275552806556364</v>
      </c>
      <c r="AU54" s="77">
        <v>4</v>
      </c>
      <c r="AV54" s="28">
        <v>3</v>
      </c>
      <c r="AW54" s="77">
        <v>10</v>
      </c>
      <c r="AX54" s="584">
        <v>64.67</v>
      </c>
      <c r="AY54" s="28">
        <v>71</v>
      </c>
      <c r="AZ54" s="28">
        <v>39</v>
      </c>
      <c r="BA54" s="28">
        <v>23</v>
      </c>
      <c r="BB54" s="28">
        <v>55</v>
      </c>
      <c r="BC54" s="28">
        <v>0</v>
      </c>
      <c r="BD54" s="106">
        <v>1.4535333230245864</v>
      </c>
      <c r="BE54" s="77">
        <v>6</v>
      </c>
      <c r="BF54" s="28">
        <v>2</v>
      </c>
      <c r="BG54" s="28">
        <v>2</v>
      </c>
      <c r="BH54" s="28">
        <v>1</v>
      </c>
      <c r="BI54" s="75">
        <v>52</v>
      </c>
    </row>
    <row r="55" spans="1:61">
      <c r="A55" s="101" t="s">
        <v>952</v>
      </c>
      <c r="B55" s="71" t="s">
        <v>206</v>
      </c>
      <c r="C55" s="116" t="s">
        <v>976</v>
      </c>
      <c r="D55" s="89">
        <f>VLOOKUP(Table107[[#This Row],[NAME]],STL_P[[NAME]:['#]],2,0)</f>
        <v>5.19202241635075</v>
      </c>
      <c r="E55" s="77">
        <f>VLOOKUP(Table107[[#This Row],[NAME]],STL_P[[NAME]:['#]],3,0)</f>
        <v>3</v>
      </c>
      <c r="F55" s="28">
        <f>VLOOKUP(Table107[[#This Row],[NAME]],STL_P[[NAME]:['#]],4,0)</f>
        <v>3</v>
      </c>
      <c r="G55" s="77">
        <f>VLOOKUP(Table107[[#This Row],[NAME]],STL_P[[NAME]:['#]],5,0)</f>
        <v>10</v>
      </c>
      <c r="H55" s="584">
        <f>VLOOKUP(Table107[[#This Row],[NAME]],STL_P[[NAME]:['#]],6,0)</f>
        <v>60.67</v>
      </c>
      <c r="I55" s="28">
        <f>VLOOKUP(Table107[[#This Row],[NAME]],STL_P[[NAME]:['#]],7,0)</f>
        <v>56</v>
      </c>
      <c r="J55" s="28">
        <f>VLOOKUP(Table107[[#This Row],[NAME]],STL_P[[NAME]:['#]],8,0)</f>
        <v>35</v>
      </c>
      <c r="K55" s="28">
        <f>VLOOKUP(Table107[[#This Row],[NAME]],STL_P[[NAME]:['#]],9,0)</f>
        <v>17</v>
      </c>
      <c r="L55" s="28">
        <f>VLOOKUP(Table107[[#This Row],[NAME]],STL_P[[NAME]:['#]],10,0)</f>
        <v>47</v>
      </c>
      <c r="M55" s="28">
        <f>VLOOKUP(Table107[[#This Row],[NAME]],STL_P[[NAME]:['#]],11,0)</f>
        <v>0</v>
      </c>
      <c r="N55" s="106">
        <f>VLOOKUP(Table107[[#This Row],[NAME]],STL_P[[NAME]:['#]],12,0)</f>
        <v>1.2032305917257293</v>
      </c>
      <c r="O55" s="77">
        <f>VLOOKUP(Table107[[#This Row],[NAME]],STL_P[[NAME]:['#]],13,0)</f>
        <v>4</v>
      </c>
      <c r="P55" s="28">
        <f>VLOOKUP(Table107[[#This Row],[NAME]],STL_P[[NAME]:['#]],14,0)</f>
        <v>1</v>
      </c>
      <c r="Q55" s="28">
        <f>VLOOKUP(Table107[[#This Row],[NAME]],STL_P[[NAME]:['#]],15,0)</f>
        <v>1</v>
      </c>
      <c r="R55" s="28">
        <f>VLOOKUP(Table107[[#This Row],[NAME]],STL_P[[NAME]:['#]],16,0)</f>
        <v>1</v>
      </c>
      <c r="S55" s="75">
        <v>53</v>
      </c>
      <c r="V55" s="101" t="s">
        <v>952</v>
      </c>
      <c r="W55" s="77" t="s">
        <v>206</v>
      </c>
      <c r="X55" s="132" t="s">
        <v>210</v>
      </c>
      <c r="Y55" s="88">
        <v>4.430769230769231</v>
      </c>
      <c r="Z55" s="77">
        <v>3</v>
      </c>
      <c r="AA55" s="28">
        <v>4</v>
      </c>
      <c r="AB55" s="77">
        <v>10</v>
      </c>
      <c r="AC55" s="584">
        <v>65</v>
      </c>
      <c r="AD55" s="28">
        <v>67</v>
      </c>
      <c r="AE55" s="28">
        <v>32</v>
      </c>
      <c r="AF55" s="28">
        <v>17</v>
      </c>
      <c r="AG55" s="28">
        <v>56</v>
      </c>
      <c r="AH55" s="28">
        <v>0</v>
      </c>
      <c r="AI55" s="106">
        <v>1.2923076923076924</v>
      </c>
      <c r="AJ55" s="77">
        <v>3</v>
      </c>
      <c r="AK55" s="28">
        <v>1</v>
      </c>
      <c r="AL55" s="28">
        <v>0</v>
      </c>
      <c r="AM55" s="28">
        <v>0</v>
      </c>
      <c r="AN55" s="75">
        <v>53</v>
      </c>
      <c r="AQ55" s="101" t="s">
        <v>952</v>
      </c>
      <c r="AR55" s="77" t="s">
        <v>206</v>
      </c>
      <c r="AS55" s="77" t="s">
        <v>974</v>
      </c>
      <c r="AT55" s="135">
        <v>5.4621120166464365</v>
      </c>
      <c r="AU55" s="77">
        <v>4</v>
      </c>
      <c r="AV55" s="28">
        <v>2</v>
      </c>
      <c r="AW55" s="77">
        <v>10</v>
      </c>
      <c r="AX55" s="584">
        <v>57.67</v>
      </c>
      <c r="AY55" s="28">
        <v>70</v>
      </c>
      <c r="AZ55" s="28">
        <v>35</v>
      </c>
      <c r="BA55" s="28">
        <v>14</v>
      </c>
      <c r="BB55" s="28">
        <v>34</v>
      </c>
      <c r="BC55" s="28">
        <v>0</v>
      </c>
      <c r="BD55" s="106">
        <v>1.4565632044390497</v>
      </c>
      <c r="BE55" s="77">
        <v>4</v>
      </c>
      <c r="BF55" s="28">
        <v>1</v>
      </c>
      <c r="BG55" s="28">
        <v>0</v>
      </c>
      <c r="BH55" s="28">
        <v>0</v>
      </c>
      <c r="BI55" s="75">
        <v>53</v>
      </c>
    </row>
    <row r="56" spans="1:61">
      <c r="A56" s="101" t="s">
        <v>952</v>
      </c>
      <c r="B56" s="71" t="s">
        <v>206</v>
      </c>
      <c r="C56" s="116" t="s">
        <v>974</v>
      </c>
      <c r="D56" s="89">
        <f>VLOOKUP(Table107[[#This Row],[NAME]],STL_P[[NAME]:['#]],2,0)</f>
        <v>5.3704624564893093</v>
      </c>
      <c r="E56" s="77">
        <f>VLOOKUP(Table107[[#This Row],[NAME]],STL_P[[NAME]:['#]],3,0)</f>
        <v>2</v>
      </c>
      <c r="F56" s="28">
        <f>VLOOKUP(Table107[[#This Row],[NAME]],STL_P[[NAME]:['#]],4,0)</f>
        <v>7</v>
      </c>
      <c r="G56" s="77">
        <f>VLOOKUP(Table107[[#This Row],[NAME]],STL_P[[NAME]:['#]],5,0)</f>
        <v>10</v>
      </c>
      <c r="H56" s="584">
        <f>VLOOKUP(Table107[[#This Row],[NAME]],STL_P[[NAME]:['#]],6,0)</f>
        <v>60.33</v>
      </c>
      <c r="I56" s="28">
        <f>VLOOKUP(Table107[[#This Row],[NAME]],STL_P[[NAME]:['#]],7,0)</f>
        <v>60</v>
      </c>
      <c r="J56" s="28">
        <f>VLOOKUP(Table107[[#This Row],[NAME]],STL_P[[NAME]:['#]],8,0)</f>
        <v>36</v>
      </c>
      <c r="K56" s="28">
        <f>VLOOKUP(Table107[[#This Row],[NAME]],STL_P[[NAME]:['#]],9,0)</f>
        <v>23</v>
      </c>
      <c r="L56" s="28">
        <f>VLOOKUP(Table107[[#This Row],[NAME]],STL_P[[NAME]:['#]],10,0)</f>
        <v>44</v>
      </c>
      <c r="M56" s="28">
        <f>VLOOKUP(Table107[[#This Row],[NAME]],STL_P[[NAME]:['#]],11,0)</f>
        <v>0</v>
      </c>
      <c r="N56" s="106">
        <f>VLOOKUP(Table107[[#This Row],[NAME]],STL_P[[NAME]:['#]],12,0)</f>
        <v>1.3757666169401626</v>
      </c>
      <c r="O56" s="77">
        <f>VLOOKUP(Table107[[#This Row],[NAME]],STL_P[[NAME]:['#]],13,0)</f>
        <v>4</v>
      </c>
      <c r="P56" s="28">
        <f>VLOOKUP(Table107[[#This Row],[NAME]],STL_P[[NAME]:['#]],14,0)</f>
        <v>1</v>
      </c>
      <c r="Q56" s="28">
        <f>VLOOKUP(Table107[[#This Row],[NAME]],STL_P[[NAME]:['#]],15,0)</f>
        <v>0</v>
      </c>
      <c r="R56" s="28">
        <f>VLOOKUP(Table107[[#This Row],[NAME]],STL_P[[NAME]:['#]],16,0)</f>
        <v>0</v>
      </c>
      <c r="S56" s="75">
        <v>54</v>
      </c>
      <c r="V56" s="101" t="s">
        <v>952</v>
      </c>
      <c r="W56" s="77" t="s">
        <v>206</v>
      </c>
      <c r="X56" s="132" t="s">
        <v>974</v>
      </c>
      <c r="Y56" s="88">
        <v>3.09375</v>
      </c>
      <c r="Z56" s="77">
        <v>5</v>
      </c>
      <c r="AA56" s="28">
        <v>4</v>
      </c>
      <c r="AB56" s="77">
        <v>10</v>
      </c>
      <c r="AC56" s="584">
        <v>64</v>
      </c>
      <c r="AD56" s="28">
        <v>61</v>
      </c>
      <c r="AE56" s="28">
        <v>22</v>
      </c>
      <c r="AF56" s="28">
        <v>20</v>
      </c>
      <c r="AG56" s="28">
        <v>46</v>
      </c>
      <c r="AH56" s="28">
        <v>0</v>
      </c>
      <c r="AI56" s="106">
        <v>1.265625</v>
      </c>
      <c r="AJ56" s="77">
        <v>5</v>
      </c>
      <c r="AK56" s="28">
        <v>2</v>
      </c>
      <c r="AL56" s="28">
        <v>0</v>
      </c>
      <c r="AM56" s="28">
        <v>0</v>
      </c>
      <c r="AN56" s="75">
        <v>54</v>
      </c>
      <c r="AQ56" s="101" t="s">
        <v>952</v>
      </c>
      <c r="AR56" s="77" t="s">
        <v>206</v>
      </c>
      <c r="AS56" s="77" t="s">
        <v>975</v>
      </c>
      <c r="AT56" s="135">
        <v>2.8032786885245899</v>
      </c>
      <c r="AU56" s="77">
        <v>4</v>
      </c>
      <c r="AV56" s="28">
        <v>0</v>
      </c>
      <c r="AW56" s="77">
        <v>10</v>
      </c>
      <c r="AX56" s="584">
        <v>61</v>
      </c>
      <c r="AY56" s="28">
        <v>56</v>
      </c>
      <c r="AZ56" s="28">
        <v>19</v>
      </c>
      <c r="BA56" s="28">
        <v>23</v>
      </c>
      <c r="BB56" s="28">
        <v>43</v>
      </c>
      <c r="BC56" s="28">
        <v>0</v>
      </c>
      <c r="BD56" s="106">
        <v>1.2950819672131149</v>
      </c>
      <c r="BE56" s="77">
        <v>7</v>
      </c>
      <c r="BF56" s="28">
        <v>3</v>
      </c>
      <c r="BG56" s="28">
        <v>0</v>
      </c>
      <c r="BH56" s="28">
        <v>0</v>
      </c>
      <c r="BI56" s="75">
        <v>54</v>
      </c>
    </row>
    <row r="57" spans="1:61">
      <c r="A57" s="101" t="s">
        <v>952</v>
      </c>
      <c r="B57" s="71" t="s">
        <v>212</v>
      </c>
      <c r="C57" s="116" t="s">
        <v>977</v>
      </c>
      <c r="D57" s="89">
        <f>VLOOKUP(Table107[[#This Row],[NAME]],STL_P[[NAME]:['#]],2,0)</f>
        <v>7.1033938437253354</v>
      </c>
      <c r="E57" s="77">
        <f>VLOOKUP(Table107[[#This Row],[NAME]],STL_P[[NAME]:['#]],3,0)</f>
        <v>0</v>
      </c>
      <c r="F57" s="28">
        <f>VLOOKUP(Table107[[#This Row],[NAME]],STL_P[[NAME]:['#]],4,0)</f>
        <v>1</v>
      </c>
      <c r="G57" s="77">
        <f>VLOOKUP(Table107[[#This Row],[NAME]],STL_P[[NAME]:['#]],5,0)</f>
        <v>6</v>
      </c>
      <c r="H57" s="584">
        <f>VLOOKUP(Table107[[#This Row],[NAME]],STL_P[[NAME]:['#]],6,0)</f>
        <v>12.67</v>
      </c>
      <c r="I57" s="28">
        <f>VLOOKUP(Table107[[#This Row],[NAME]],STL_P[[NAME]:['#]],7,0)</f>
        <v>16</v>
      </c>
      <c r="J57" s="28">
        <f>VLOOKUP(Table107[[#This Row],[NAME]],STL_P[[NAME]:['#]],8,0)</f>
        <v>10</v>
      </c>
      <c r="K57" s="28">
        <f>VLOOKUP(Table107[[#This Row],[NAME]],STL_P[[NAME]:['#]],9,0)</f>
        <v>6</v>
      </c>
      <c r="L57" s="28">
        <f>VLOOKUP(Table107[[#This Row],[NAME]],STL_P[[NAME]:['#]],10,0)</f>
        <v>3</v>
      </c>
      <c r="M57" s="28">
        <f>VLOOKUP(Table107[[#This Row],[NAME]],STL_P[[NAME]:['#]],11,0)</f>
        <v>0</v>
      </c>
      <c r="N57" s="106">
        <f>VLOOKUP(Table107[[#This Row],[NAME]],STL_P[[NAME]:['#]],12,0)</f>
        <v>1.7363851617995265</v>
      </c>
      <c r="O57" s="77">
        <f>VLOOKUP(Table107[[#This Row],[NAME]],STL_P[[NAME]:['#]],13,0)</f>
        <v>0</v>
      </c>
      <c r="P57" s="28">
        <f>VLOOKUP(Table107[[#This Row],[NAME]],STL_P[[NAME]:['#]],14,0)</f>
        <v>0</v>
      </c>
      <c r="Q57" s="28">
        <f>VLOOKUP(Table107[[#This Row],[NAME]],STL_P[[NAME]:['#]],15,0)</f>
        <v>0</v>
      </c>
      <c r="R57" s="28">
        <f>VLOOKUP(Table107[[#This Row],[NAME]],STL_P[[NAME]:['#]],16,0)</f>
        <v>0</v>
      </c>
      <c r="S57" s="75">
        <v>55</v>
      </c>
      <c r="V57" s="101" t="s">
        <v>952</v>
      </c>
      <c r="W57" s="77" t="s">
        <v>215</v>
      </c>
      <c r="X57" s="132" t="s">
        <v>982</v>
      </c>
      <c r="Y57" s="88">
        <v>6.3178047223994893</v>
      </c>
      <c r="Z57" s="77">
        <v>1</v>
      </c>
      <c r="AA57" s="28">
        <v>0</v>
      </c>
      <c r="AB57" s="77">
        <v>14</v>
      </c>
      <c r="AC57" s="584">
        <v>15.67</v>
      </c>
      <c r="AD57" s="28">
        <v>17</v>
      </c>
      <c r="AE57" s="28">
        <v>11</v>
      </c>
      <c r="AF57" s="28">
        <v>7</v>
      </c>
      <c r="AG57" s="28">
        <v>15</v>
      </c>
      <c r="AH57" s="28">
        <v>0</v>
      </c>
      <c r="AI57" s="106">
        <v>1.5315890236119976</v>
      </c>
      <c r="AJ57" s="77">
        <v>0</v>
      </c>
      <c r="AK57" s="28">
        <v>0</v>
      </c>
      <c r="AL57" s="28">
        <v>0</v>
      </c>
      <c r="AM57" s="28">
        <v>0</v>
      </c>
      <c r="AN57" s="75">
        <v>55</v>
      </c>
      <c r="AQ57" s="101" t="s">
        <v>952</v>
      </c>
      <c r="AR57" s="77" t="s">
        <v>212</v>
      </c>
      <c r="AS57" s="77" t="s">
        <v>977</v>
      </c>
      <c r="AT57" s="135">
        <v>3</v>
      </c>
      <c r="AU57" s="77">
        <v>3</v>
      </c>
      <c r="AV57" s="28">
        <v>0</v>
      </c>
      <c r="AW57" s="77">
        <v>15</v>
      </c>
      <c r="AX57" s="584">
        <v>27</v>
      </c>
      <c r="AY57" s="28">
        <v>18</v>
      </c>
      <c r="AZ57" s="28">
        <v>9</v>
      </c>
      <c r="BA57" s="28">
        <v>21</v>
      </c>
      <c r="BB57" s="28">
        <v>19</v>
      </c>
      <c r="BC57" s="28">
        <v>0</v>
      </c>
      <c r="BD57" s="106">
        <v>1.4444444444444444</v>
      </c>
      <c r="BE57" s="77">
        <v>0</v>
      </c>
      <c r="BF57" s="28">
        <v>0</v>
      </c>
      <c r="BG57" s="28">
        <v>0</v>
      </c>
      <c r="BH57" s="28">
        <v>0</v>
      </c>
      <c r="BI57" s="75">
        <v>55</v>
      </c>
    </row>
    <row r="58" spans="1:61">
      <c r="A58" s="101" t="s">
        <v>952</v>
      </c>
      <c r="B58" s="71" t="s">
        <v>215</v>
      </c>
      <c r="C58" s="116" t="s">
        <v>979</v>
      </c>
      <c r="D58" s="89">
        <f>VLOOKUP(Table107[[#This Row],[NAME]],STL_P[[NAME]:['#]],2,0)</f>
        <v>4.2174320524835993</v>
      </c>
      <c r="E58" s="77">
        <f>VLOOKUP(Table107[[#This Row],[NAME]],STL_P[[NAME]:['#]],3,0)</f>
        <v>0</v>
      </c>
      <c r="F58" s="28">
        <f>VLOOKUP(Table107[[#This Row],[NAME]],STL_P[[NAME]:['#]],4,0)</f>
        <v>0</v>
      </c>
      <c r="G58" s="77">
        <f>VLOOKUP(Table107[[#This Row],[NAME]],STL_P[[NAME]:['#]],5,0)</f>
        <v>6</v>
      </c>
      <c r="H58" s="584">
        <f>VLOOKUP(Table107[[#This Row],[NAME]],STL_P[[NAME]:['#]],6,0)</f>
        <v>10.67</v>
      </c>
      <c r="I58" s="28">
        <f>VLOOKUP(Table107[[#This Row],[NAME]],STL_P[[NAME]:['#]],7,0)</f>
        <v>12</v>
      </c>
      <c r="J58" s="28">
        <f>VLOOKUP(Table107[[#This Row],[NAME]],STL_P[[NAME]:['#]],8,0)</f>
        <v>5</v>
      </c>
      <c r="K58" s="28">
        <f>VLOOKUP(Table107[[#This Row],[NAME]],STL_P[[NAME]:['#]],9,0)</f>
        <v>4</v>
      </c>
      <c r="L58" s="28">
        <f>VLOOKUP(Table107[[#This Row],[NAME]],STL_P[[NAME]:['#]],10,0)</f>
        <v>7</v>
      </c>
      <c r="M58" s="28">
        <f>VLOOKUP(Table107[[#This Row],[NAME]],STL_P[[NAME]:['#]],11,0)</f>
        <v>0</v>
      </c>
      <c r="N58" s="106">
        <f>VLOOKUP(Table107[[#This Row],[NAME]],STL_P[[NAME]:['#]],12,0)</f>
        <v>1.499531396438613</v>
      </c>
      <c r="O58" s="77">
        <f>VLOOKUP(Table107[[#This Row],[NAME]],STL_P[[NAME]:['#]],13,0)</f>
        <v>0</v>
      </c>
      <c r="P58" s="28">
        <f>VLOOKUP(Table107[[#This Row],[NAME]],STL_P[[NAME]:['#]],14,0)</f>
        <v>0</v>
      </c>
      <c r="Q58" s="28">
        <f>VLOOKUP(Table107[[#This Row],[NAME]],STL_P[[NAME]:['#]],15,0)</f>
        <v>0</v>
      </c>
      <c r="R58" s="28">
        <f>VLOOKUP(Table107[[#This Row],[NAME]],STL_P[[NAME]:['#]],16,0)</f>
        <v>0</v>
      </c>
      <c r="S58" s="75">
        <v>56</v>
      </c>
      <c r="V58" s="101" t="s">
        <v>952</v>
      </c>
      <c r="W58" s="77" t="s">
        <v>215</v>
      </c>
      <c r="X58" s="132" t="s">
        <v>980</v>
      </c>
      <c r="Y58" s="88">
        <v>4.9090909090909092</v>
      </c>
      <c r="Z58" s="77">
        <v>1</v>
      </c>
      <c r="AA58" s="28">
        <v>0</v>
      </c>
      <c r="AB58" s="77">
        <v>7</v>
      </c>
      <c r="AC58" s="584">
        <v>11</v>
      </c>
      <c r="AD58" s="28">
        <v>11</v>
      </c>
      <c r="AE58" s="28">
        <v>6</v>
      </c>
      <c r="AF58" s="28">
        <v>3</v>
      </c>
      <c r="AG58" s="28">
        <v>5</v>
      </c>
      <c r="AH58" s="28">
        <v>0</v>
      </c>
      <c r="AI58" s="106">
        <v>1.2727272727272727</v>
      </c>
      <c r="AJ58" s="77">
        <v>0</v>
      </c>
      <c r="AK58" s="28">
        <v>0</v>
      </c>
      <c r="AL58" s="28">
        <v>0</v>
      </c>
      <c r="AM58" s="28">
        <v>0</v>
      </c>
      <c r="AN58" s="75">
        <v>56</v>
      </c>
      <c r="AQ58" s="101" t="s">
        <v>952</v>
      </c>
      <c r="AR58" s="77" t="s">
        <v>215</v>
      </c>
      <c r="AS58" s="77" t="s">
        <v>981</v>
      </c>
      <c r="AT58" s="135">
        <v>1.125</v>
      </c>
      <c r="AU58" s="77">
        <v>0</v>
      </c>
      <c r="AV58" s="28">
        <v>0</v>
      </c>
      <c r="AW58" s="77">
        <v>4</v>
      </c>
      <c r="AX58" s="584">
        <v>8</v>
      </c>
      <c r="AY58" s="28">
        <v>2</v>
      </c>
      <c r="AZ58" s="28">
        <v>1</v>
      </c>
      <c r="BA58" s="28">
        <v>3</v>
      </c>
      <c r="BB58" s="28">
        <v>10</v>
      </c>
      <c r="BC58" s="28">
        <v>0</v>
      </c>
      <c r="BD58" s="106">
        <v>0.625</v>
      </c>
      <c r="BE58" s="77">
        <v>0</v>
      </c>
      <c r="BF58" s="28">
        <v>0</v>
      </c>
      <c r="BG58" s="28">
        <v>0</v>
      </c>
      <c r="BH58" s="28">
        <v>0</v>
      </c>
      <c r="BI58" s="75">
        <v>56</v>
      </c>
    </row>
    <row r="59" spans="1:61">
      <c r="A59" s="101" t="s">
        <v>952</v>
      </c>
      <c r="B59" s="71" t="s">
        <v>212</v>
      </c>
      <c r="C59" s="116" t="s">
        <v>978</v>
      </c>
      <c r="D59" s="89">
        <f>VLOOKUP(Table107[[#This Row],[NAME]],STL_P[[NAME]:['#]],2,0)</f>
        <v>6.1349693251533743</v>
      </c>
      <c r="E59" s="77">
        <f>VLOOKUP(Table107[[#This Row],[NAME]],STL_P[[NAME]:['#]],3,0)</f>
        <v>1</v>
      </c>
      <c r="F59" s="28">
        <f>VLOOKUP(Table107[[#This Row],[NAME]],STL_P[[NAME]:['#]],4,0)</f>
        <v>0</v>
      </c>
      <c r="G59" s="77">
        <f>VLOOKUP(Table107[[#This Row],[NAME]],STL_P[[NAME]:['#]],5,0)</f>
        <v>12</v>
      </c>
      <c r="H59" s="584">
        <f>VLOOKUP(Table107[[#This Row],[NAME]],STL_P[[NAME]:['#]],6,0)</f>
        <v>14.67</v>
      </c>
      <c r="I59" s="28">
        <f>VLOOKUP(Table107[[#This Row],[NAME]],STL_P[[NAME]:['#]],7,0)</f>
        <v>13</v>
      </c>
      <c r="J59" s="28">
        <f>VLOOKUP(Table107[[#This Row],[NAME]],STL_P[[NAME]:['#]],8,0)</f>
        <v>10</v>
      </c>
      <c r="K59" s="28">
        <f>VLOOKUP(Table107[[#This Row],[NAME]],STL_P[[NAME]:['#]],9,0)</f>
        <v>10</v>
      </c>
      <c r="L59" s="28">
        <f>VLOOKUP(Table107[[#This Row],[NAME]],STL_P[[NAME]:['#]],10,0)</f>
        <v>6</v>
      </c>
      <c r="M59" s="28">
        <f>VLOOKUP(Table107[[#This Row],[NAME]],STL_P[[NAME]:['#]],11,0)</f>
        <v>1</v>
      </c>
      <c r="N59" s="106">
        <f>VLOOKUP(Table107[[#This Row],[NAME]],STL_P[[NAME]:['#]],12,0)</f>
        <v>1.5678254942058623</v>
      </c>
      <c r="O59" s="77">
        <f>VLOOKUP(Table107[[#This Row],[NAME]],STL_P[[NAME]:['#]],13,0)</f>
        <v>0</v>
      </c>
      <c r="P59" s="28">
        <f>VLOOKUP(Table107[[#This Row],[NAME]],STL_P[[NAME]:['#]],14,0)</f>
        <v>0</v>
      </c>
      <c r="Q59" s="28">
        <f>VLOOKUP(Table107[[#This Row],[NAME]],STL_P[[NAME]:['#]],15,0)</f>
        <v>0</v>
      </c>
      <c r="R59" s="28">
        <f>VLOOKUP(Table107[[#This Row],[NAME]],STL_P[[NAME]:['#]],16,0)</f>
        <v>0</v>
      </c>
      <c r="S59" s="75">
        <v>57</v>
      </c>
      <c r="V59" s="101" t="s">
        <v>952</v>
      </c>
      <c r="W59" s="77" t="s">
        <v>212</v>
      </c>
      <c r="X59" s="132" t="s">
        <v>978</v>
      </c>
      <c r="Y59" s="88">
        <v>0</v>
      </c>
      <c r="Z59" s="77">
        <v>0</v>
      </c>
      <c r="AA59" s="28">
        <v>0</v>
      </c>
      <c r="AB59" s="77">
        <v>3</v>
      </c>
      <c r="AC59" s="584">
        <v>6</v>
      </c>
      <c r="AD59" s="28">
        <v>5</v>
      </c>
      <c r="AE59" s="28">
        <v>0</v>
      </c>
      <c r="AF59" s="28">
        <v>2</v>
      </c>
      <c r="AG59" s="28">
        <v>3</v>
      </c>
      <c r="AH59" s="28">
        <v>0</v>
      </c>
      <c r="AI59" s="106">
        <v>1.1666666666666667</v>
      </c>
      <c r="AJ59" s="77">
        <v>0</v>
      </c>
      <c r="AK59" s="28">
        <v>0</v>
      </c>
      <c r="AL59" s="28">
        <v>0</v>
      </c>
      <c r="AM59" s="28">
        <v>0</v>
      </c>
      <c r="AN59" s="75">
        <v>57</v>
      </c>
      <c r="AQ59" s="101" t="s">
        <v>952</v>
      </c>
      <c r="AR59" s="77" t="s">
        <v>212</v>
      </c>
      <c r="AS59" s="77" t="s">
        <v>978</v>
      </c>
      <c r="AT59" s="135">
        <v>12.099276111685626</v>
      </c>
      <c r="AU59" s="77">
        <v>1</v>
      </c>
      <c r="AV59" s="28">
        <v>1</v>
      </c>
      <c r="AW59" s="77">
        <v>7</v>
      </c>
      <c r="AX59" s="584">
        <v>9.67</v>
      </c>
      <c r="AY59" s="28">
        <v>26</v>
      </c>
      <c r="AZ59" s="28">
        <v>13</v>
      </c>
      <c r="BA59" s="28">
        <v>4</v>
      </c>
      <c r="BB59" s="28">
        <v>10</v>
      </c>
      <c r="BC59" s="28">
        <v>0</v>
      </c>
      <c r="BD59" s="106">
        <v>3.1023784901758016</v>
      </c>
      <c r="BE59" s="77">
        <v>0</v>
      </c>
      <c r="BF59" s="28">
        <v>0</v>
      </c>
      <c r="BG59" s="28">
        <v>0</v>
      </c>
      <c r="BH59" s="28">
        <v>0</v>
      </c>
      <c r="BI59" s="75">
        <v>57</v>
      </c>
    </row>
    <row r="60" spans="1:61">
      <c r="A60" s="101" t="s">
        <v>952</v>
      </c>
      <c r="B60" s="71" t="s">
        <v>212</v>
      </c>
      <c r="C60" s="116" t="s">
        <v>980</v>
      </c>
      <c r="D60" s="89">
        <f>VLOOKUP(Table107[[#This Row],[NAME]],STL_P[[NAME]:['#]],2,0)</f>
        <v>7.2</v>
      </c>
      <c r="E60" s="77">
        <f>VLOOKUP(Table107[[#This Row],[NAME]],STL_P[[NAME]:['#]],3,0)</f>
        <v>0</v>
      </c>
      <c r="F60" s="28">
        <f>VLOOKUP(Table107[[#This Row],[NAME]],STL_P[[NAME]:['#]],4,0)</f>
        <v>2</v>
      </c>
      <c r="G60" s="77">
        <f>VLOOKUP(Table107[[#This Row],[NAME]],STL_P[[NAME]:['#]],5,0)</f>
        <v>10</v>
      </c>
      <c r="H60" s="584">
        <f>VLOOKUP(Table107[[#This Row],[NAME]],STL_P[[NAME]:['#]],6,0)</f>
        <v>15</v>
      </c>
      <c r="I60" s="28">
        <f>VLOOKUP(Table107[[#This Row],[NAME]],STL_P[[NAME]:['#]],7,0)</f>
        <v>23</v>
      </c>
      <c r="J60" s="28">
        <f>VLOOKUP(Table107[[#This Row],[NAME]],STL_P[[NAME]:['#]],8,0)</f>
        <v>12</v>
      </c>
      <c r="K60" s="28">
        <f>VLOOKUP(Table107[[#This Row],[NAME]],STL_P[[NAME]:['#]],9,0)</f>
        <v>7</v>
      </c>
      <c r="L60" s="28">
        <f>VLOOKUP(Table107[[#This Row],[NAME]],STL_P[[NAME]:['#]],10,0)</f>
        <v>15</v>
      </c>
      <c r="M60" s="28">
        <f>VLOOKUP(Table107[[#This Row],[NAME]],STL_P[[NAME]:['#]],11,0)</f>
        <v>1</v>
      </c>
      <c r="N60" s="106">
        <f>VLOOKUP(Table107[[#This Row],[NAME]],STL_P[[NAME]:['#]],12,0)</f>
        <v>2</v>
      </c>
      <c r="O60" s="77">
        <f>VLOOKUP(Table107[[#This Row],[NAME]],STL_P[[NAME]:['#]],13,0)</f>
        <v>0</v>
      </c>
      <c r="P60" s="28">
        <f>VLOOKUP(Table107[[#This Row],[NAME]],STL_P[[NAME]:['#]],14,0)</f>
        <v>0</v>
      </c>
      <c r="Q60" s="28">
        <f>VLOOKUP(Table107[[#This Row],[NAME]],STL_P[[NAME]:['#]],15,0)</f>
        <v>0</v>
      </c>
      <c r="R60" s="28">
        <f>VLOOKUP(Table107[[#This Row],[NAME]],STL_P[[NAME]:['#]],16,0)</f>
        <v>0</v>
      </c>
      <c r="S60" s="75">
        <v>58</v>
      </c>
      <c r="V60" s="101" t="s">
        <v>952</v>
      </c>
      <c r="W60" s="77" t="s">
        <v>212</v>
      </c>
      <c r="X60" s="132" t="s">
        <v>984</v>
      </c>
      <c r="Y60" s="88">
        <v>3.560830860534125</v>
      </c>
      <c r="Z60" s="77">
        <v>2</v>
      </c>
      <c r="AA60" s="28">
        <v>1</v>
      </c>
      <c r="AB60" s="77">
        <v>25</v>
      </c>
      <c r="AC60" s="584">
        <v>30.33</v>
      </c>
      <c r="AD60" s="28">
        <v>18</v>
      </c>
      <c r="AE60" s="28">
        <v>12</v>
      </c>
      <c r="AF60" s="28">
        <v>9</v>
      </c>
      <c r="AG60" s="28">
        <v>32</v>
      </c>
      <c r="AH60" s="28">
        <v>2</v>
      </c>
      <c r="AI60" s="106">
        <v>0.89020771513353125</v>
      </c>
      <c r="AJ60" s="77">
        <v>0</v>
      </c>
      <c r="AK60" s="28">
        <v>0</v>
      </c>
      <c r="AL60" s="28">
        <v>0</v>
      </c>
      <c r="AM60" s="28">
        <v>0</v>
      </c>
      <c r="AN60" s="75">
        <v>58</v>
      </c>
      <c r="AQ60" s="101" t="s">
        <v>952</v>
      </c>
      <c r="AR60" s="77" t="s">
        <v>212</v>
      </c>
      <c r="AS60" s="77" t="s">
        <v>985</v>
      </c>
      <c r="AT60" s="135">
        <v>8.792742498255409</v>
      </c>
      <c r="AU60" s="77">
        <v>0</v>
      </c>
      <c r="AV60" s="28">
        <v>4</v>
      </c>
      <c r="AW60" s="77">
        <v>18</v>
      </c>
      <c r="AX60" s="584">
        <v>14.33</v>
      </c>
      <c r="AY60" s="28">
        <v>17</v>
      </c>
      <c r="AZ60" s="28">
        <v>14</v>
      </c>
      <c r="BA60" s="28">
        <v>12</v>
      </c>
      <c r="BB60" s="28">
        <v>19</v>
      </c>
      <c r="BC60" s="28">
        <v>0</v>
      </c>
      <c r="BD60" s="106">
        <v>2.0237264480111654</v>
      </c>
      <c r="BE60" s="77">
        <v>0</v>
      </c>
      <c r="BF60" s="28">
        <v>0</v>
      </c>
      <c r="BG60" s="28">
        <v>0</v>
      </c>
      <c r="BH60" s="28">
        <v>0</v>
      </c>
      <c r="BI60" s="75">
        <v>58</v>
      </c>
    </row>
    <row r="61" spans="1:61">
      <c r="A61" s="101" t="s">
        <v>952</v>
      </c>
      <c r="B61" s="71" t="s">
        <v>212</v>
      </c>
      <c r="C61" s="116" t="s">
        <v>983</v>
      </c>
      <c r="D61" s="89">
        <f>VLOOKUP(Table107[[#This Row],[NAME]],STL_P[[NAME]:['#]],2,0)</f>
        <v>2.8636363636363638</v>
      </c>
      <c r="E61" s="77">
        <f>VLOOKUP(Table107[[#This Row],[NAME]],STL_P[[NAME]:['#]],3,0)</f>
        <v>0</v>
      </c>
      <c r="F61" s="28">
        <f>VLOOKUP(Table107[[#This Row],[NAME]],STL_P[[NAME]:['#]],4,0)</f>
        <v>1</v>
      </c>
      <c r="G61" s="77">
        <f>VLOOKUP(Table107[[#This Row],[NAME]],STL_P[[NAME]:['#]],5,0)</f>
        <v>19</v>
      </c>
      <c r="H61" s="584">
        <f>VLOOKUP(Table107[[#This Row],[NAME]],STL_P[[NAME]:['#]],6,0)</f>
        <v>22</v>
      </c>
      <c r="I61" s="28">
        <f>VLOOKUP(Table107[[#This Row],[NAME]],STL_P[[NAME]:['#]],7,0)</f>
        <v>20</v>
      </c>
      <c r="J61" s="28">
        <f>VLOOKUP(Table107[[#This Row],[NAME]],STL_P[[NAME]:['#]],8,0)</f>
        <v>7</v>
      </c>
      <c r="K61" s="28">
        <f>VLOOKUP(Table107[[#This Row],[NAME]],STL_P[[NAME]:['#]],9,0)</f>
        <v>12</v>
      </c>
      <c r="L61" s="28">
        <f>VLOOKUP(Table107[[#This Row],[NAME]],STL_P[[NAME]:['#]],10,0)</f>
        <v>32</v>
      </c>
      <c r="M61" s="28">
        <f>VLOOKUP(Table107[[#This Row],[NAME]],STL_P[[NAME]:['#]],11,0)</f>
        <v>0</v>
      </c>
      <c r="N61" s="106">
        <f>VLOOKUP(Table107[[#This Row],[NAME]],STL_P[[NAME]:['#]],12,0)</f>
        <v>1.4545454545454546</v>
      </c>
      <c r="O61" s="77">
        <f>VLOOKUP(Table107[[#This Row],[NAME]],STL_P[[NAME]:['#]],13,0)</f>
        <v>0</v>
      </c>
      <c r="P61" s="28">
        <f>VLOOKUP(Table107[[#This Row],[NAME]],STL_P[[NAME]:['#]],14,0)</f>
        <v>0</v>
      </c>
      <c r="Q61" s="28">
        <f>VLOOKUP(Table107[[#This Row],[NAME]],STL_P[[NAME]:['#]],15,0)</f>
        <v>0</v>
      </c>
      <c r="R61" s="28">
        <f>VLOOKUP(Table107[[#This Row],[NAME]],STL_P[[NAME]:['#]],16,0)</f>
        <v>0</v>
      </c>
      <c r="S61" s="75">
        <v>59</v>
      </c>
      <c r="V61" s="101" t="s">
        <v>952</v>
      </c>
      <c r="W61" s="77" t="s">
        <v>212</v>
      </c>
      <c r="X61" s="132" t="s">
        <v>983</v>
      </c>
      <c r="Y61" s="88">
        <v>7.7899596076168498</v>
      </c>
      <c r="Z61" s="77">
        <v>0</v>
      </c>
      <c r="AA61" s="28">
        <v>1</v>
      </c>
      <c r="AB61" s="77">
        <v>19</v>
      </c>
      <c r="AC61" s="584">
        <v>17.329999999999998</v>
      </c>
      <c r="AD61" s="28">
        <v>18</v>
      </c>
      <c r="AE61" s="28">
        <v>15</v>
      </c>
      <c r="AF61" s="28">
        <v>16</v>
      </c>
      <c r="AG61" s="28">
        <v>21</v>
      </c>
      <c r="AH61" s="28">
        <v>1</v>
      </c>
      <c r="AI61" s="106">
        <v>1.9619157530294289</v>
      </c>
      <c r="AJ61" s="77">
        <v>0</v>
      </c>
      <c r="AK61" s="28">
        <v>0</v>
      </c>
      <c r="AL61" s="28">
        <v>0</v>
      </c>
      <c r="AM61" s="28">
        <v>0</v>
      </c>
      <c r="AN61" s="75">
        <v>59</v>
      </c>
      <c r="AQ61" s="101" t="s">
        <v>952</v>
      </c>
      <c r="AR61" s="77" t="s">
        <v>212</v>
      </c>
      <c r="AS61" s="77" t="s">
        <v>983</v>
      </c>
      <c r="AT61" s="135">
        <v>2.9185245237130117</v>
      </c>
      <c r="AU61" s="77">
        <v>3</v>
      </c>
      <c r="AV61" s="28">
        <v>1</v>
      </c>
      <c r="AW61" s="77">
        <v>23</v>
      </c>
      <c r="AX61" s="584">
        <v>24.67</v>
      </c>
      <c r="AY61" s="28">
        <v>16</v>
      </c>
      <c r="AZ61" s="28">
        <v>8</v>
      </c>
      <c r="BA61" s="28">
        <v>14</v>
      </c>
      <c r="BB61" s="28">
        <v>31</v>
      </c>
      <c r="BC61" s="28">
        <v>1</v>
      </c>
      <c r="BD61" s="106">
        <v>1.2160518848804214</v>
      </c>
      <c r="BE61" s="77">
        <v>0</v>
      </c>
      <c r="BF61" s="28">
        <v>0</v>
      </c>
      <c r="BG61" s="28">
        <v>0</v>
      </c>
      <c r="BH61" s="28">
        <v>0</v>
      </c>
      <c r="BI61" s="75">
        <v>59</v>
      </c>
    </row>
    <row r="62" spans="1:61">
      <c r="A62" s="101" t="s">
        <v>952</v>
      </c>
      <c r="B62" s="71" t="s">
        <v>212</v>
      </c>
      <c r="C62" s="116" t="s">
        <v>986</v>
      </c>
      <c r="D62" s="89">
        <f>VLOOKUP(Table107[[#This Row],[NAME]],STL_P[[NAME]:['#]],2,0)</f>
        <v>3.0763387770603874</v>
      </c>
      <c r="E62" s="77">
        <f>VLOOKUP(Table107[[#This Row],[NAME]],STL_P[[NAME]:['#]],3,0)</f>
        <v>4</v>
      </c>
      <c r="F62" s="28">
        <f>VLOOKUP(Table107[[#This Row],[NAME]],STL_P[[NAME]:['#]],4,0)</f>
        <v>1</v>
      </c>
      <c r="G62" s="77">
        <f>VLOOKUP(Table107[[#This Row],[NAME]],STL_P[[NAME]:['#]],5,0)</f>
        <v>23</v>
      </c>
      <c r="H62" s="584">
        <f>VLOOKUP(Table107[[#This Row],[NAME]],STL_P[[NAME]:['#]],6,0)</f>
        <v>26.33</v>
      </c>
      <c r="I62" s="28">
        <f>VLOOKUP(Table107[[#This Row],[NAME]],STL_P[[NAME]:['#]],7,0)</f>
        <v>18</v>
      </c>
      <c r="J62" s="28">
        <f>VLOOKUP(Table107[[#This Row],[NAME]],STL_P[[NAME]:['#]],8,0)</f>
        <v>9</v>
      </c>
      <c r="K62" s="28">
        <f>VLOOKUP(Table107[[#This Row],[NAME]],STL_P[[NAME]:['#]],9,0)</f>
        <v>9</v>
      </c>
      <c r="L62" s="28">
        <f>VLOOKUP(Table107[[#This Row],[NAME]],STL_P[[NAME]:['#]],10,0)</f>
        <v>33</v>
      </c>
      <c r="M62" s="28">
        <f>VLOOKUP(Table107[[#This Row],[NAME]],STL_P[[NAME]:['#]],11,0)</f>
        <v>5</v>
      </c>
      <c r="N62" s="106">
        <f>VLOOKUP(Table107[[#This Row],[NAME]],STL_P[[NAME]:['#]],12,0)</f>
        <v>1.0254462590201292</v>
      </c>
      <c r="O62" s="77">
        <f>VLOOKUP(Table107[[#This Row],[NAME]],STL_P[[NAME]:['#]],13,0)</f>
        <v>0</v>
      </c>
      <c r="P62" s="28">
        <f>VLOOKUP(Table107[[#This Row],[NAME]],STL_P[[NAME]:['#]],14,0)</f>
        <v>0</v>
      </c>
      <c r="Q62" s="28">
        <f>VLOOKUP(Table107[[#This Row],[NAME]],STL_P[[NAME]:['#]],15,0)</f>
        <v>0</v>
      </c>
      <c r="R62" s="28">
        <f>VLOOKUP(Table107[[#This Row],[NAME]],STL_P[[NAME]:['#]],16,0)</f>
        <v>0</v>
      </c>
      <c r="S62" s="75">
        <v>60</v>
      </c>
      <c r="V62" s="101" t="s">
        <v>952</v>
      </c>
      <c r="W62" s="77" t="s">
        <v>215</v>
      </c>
      <c r="X62" s="132" t="s">
        <v>986</v>
      </c>
      <c r="Y62" s="88">
        <v>1.5517241379310345</v>
      </c>
      <c r="Z62" s="77">
        <v>2</v>
      </c>
      <c r="AA62" s="28">
        <v>0</v>
      </c>
      <c r="AB62" s="352">
        <v>27</v>
      </c>
      <c r="AC62" s="584">
        <v>29</v>
      </c>
      <c r="AD62" s="28">
        <v>14</v>
      </c>
      <c r="AE62" s="28">
        <v>5</v>
      </c>
      <c r="AF62" s="28">
        <v>6</v>
      </c>
      <c r="AG62" s="28">
        <v>35</v>
      </c>
      <c r="AH62" s="76">
        <v>11</v>
      </c>
      <c r="AI62" s="583">
        <v>0.68965517241379315</v>
      </c>
      <c r="AJ62" s="77">
        <v>0</v>
      </c>
      <c r="AK62" s="28">
        <v>0</v>
      </c>
      <c r="AL62" s="28">
        <v>0</v>
      </c>
      <c r="AM62" s="28">
        <v>0</v>
      </c>
      <c r="AN62" s="75">
        <v>60</v>
      </c>
      <c r="AQ62" s="101" t="s">
        <v>952</v>
      </c>
      <c r="AR62" s="77" t="s">
        <v>212</v>
      </c>
      <c r="AS62" s="77" t="s">
        <v>984</v>
      </c>
      <c r="AT62" s="135">
        <v>1.7765495459928939</v>
      </c>
      <c r="AU62" s="77">
        <v>1</v>
      </c>
      <c r="AV62" s="28">
        <v>1</v>
      </c>
      <c r="AW62" s="77">
        <v>22</v>
      </c>
      <c r="AX62" s="584">
        <v>25.33</v>
      </c>
      <c r="AY62" s="28">
        <v>22</v>
      </c>
      <c r="AZ62" s="28">
        <v>5</v>
      </c>
      <c r="BA62" s="28">
        <v>8</v>
      </c>
      <c r="BB62" s="28">
        <v>31</v>
      </c>
      <c r="BC62" s="28">
        <v>9</v>
      </c>
      <c r="BD62" s="106">
        <v>1.1843663639952626</v>
      </c>
      <c r="BE62" s="77">
        <v>0</v>
      </c>
      <c r="BF62" s="28">
        <v>0</v>
      </c>
      <c r="BG62" s="28">
        <v>0</v>
      </c>
      <c r="BH62" s="28">
        <v>0</v>
      </c>
      <c r="BI62" s="75">
        <v>60</v>
      </c>
    </row>
    <row r="63" spans="1:61">
      <c r="A63" s="101" t="s">
        <v>990</v>
      </c>
      <c r="B63" s="71" t="s">
        <v>206</v>
      </c>
      <c r="C63" s="116" t="s">
        <v>824</v>
      </c>
      <c r="D63" s="89">
        <f>VLOOKUP(Table107[[#This Row],[NAME]],CHC_P[[NAME]:['#]],2,0)</f>
        <v>6.882352941176471</v>
      </c>
      <c r="E63" s="77">
        <f>VLOOKUP(Table107[[#This Row],[NAME]],CHC_P[[NAME]:['#]],3,0)</f>
        <v>1</v>
      </c>
      <c r="F63" s="28">
        <f>VLOOKUP(Table107[[#This Row],[NAME]],CHC_P[[NAME]:['#]],4,0)</f>
        <v>6</v>
      </c>
      <c r="G63" s="77">
        <f>VLOOKUP(Table107[[#This Row],[NAME]],CHC_P[[NAME]:['#]],5,0)</f>
        <v>10</v>
      </c>
      <c r="H63" s="584">
        <f>VLOOKUP(Table107[[#This Row],[NAME]],CHC_P[[NAME]:['#]],6,0)</f>
        <v>51</v>
      </c>
      <c r="I63" s="28">
        <f>VLOOKUP(Table107[[#This Row],[NAME]],CHC_P[[NAME]:['#]],7,0)</f>
        <v>59</v>
      </c>
      <c r="J63" s="28">
        <f>VLOOKUP(Table107[[#This Row],[NAME]],CHC_P[[NAME]:['#]],8,0)</f>
        <v>39</v>
      </c>
      <c r="K63" s="28">
        <f>VLOOKUP(Table107[[#This Row],[NAME]],CHC_P[[NAME]:['#]],9,0)</f>
        <v>21</v>
      </c>
      <c r="L63" s="28">
        <f>VLOOKUP(Table107[[#This Row],[NAME]],CHC_P[[NAME]:['#]],10,0)</f>
        <v>44</v>
      </c>
      <c r="M63" s="28">
        <f>VLOOKUP(Table107[[#This Row],[NAME]],CHC_P[[NAME]:['#]],11,0)</f>
        <v>0</v>
      </c>
      <c r="N63" s="106">
        <f>VLOOKUP(Table107[[#This Row],[NAME]],CHC_P[[NAME]:['#]],12,0)</f>
        <v>1.5686274509803921</v>
      </c>
      <c r="O63" s="77">
        <f>VLOOKUP(Table107[[#This Row],[NAME]],CHC_P[[NAME]:['#]],13,0)</f>
        <v>4</v>
      </c>
      <c r="P63" s="28">
        <f>VLOOKUP(Table107[[#This Row],[NAME]],CHC_P[[NAME]:['#]],14,0)</f>
        <v>2</v>
      </c>
      <c r="Q63" s="28">
        <f>VLOOKUP(Table107[[#This Row],[NAME]],CHC_P[[NAME]:['#]],15,0)</f>
        <v>0</v>
      </c>
      <c r="R63" s="28">
        <f>VLOOKUP(Table107[[#This Row],[NAME]],CHC_P[[NAME]:['#]],16,0)</f>
        <v>0</v>
      </c>
      <c r="S63" s="75">
        <v>61</v>
      </c>
      <c r="V63" s="101" t="s">
        <v>990</v>
      </c>
      <c r="W63" s="77" t="s">
        <v>206</v>
      </c>
      <c r="X63" s="77" t="s">
        <v>1008</v>
      </c>
      <c r="Y63" s="88">
        <v>2.4797183529771929</v>
      </c>
      <c r="Z63" s="77">
        <v>6</v>
      </c>
      <c r="AA63" s="28">
        <v>3</v>
      </c>
      <c r="AB63" s="77">
        <v>10</v>
      </c>
      <c r="AC63" s="584">
        <v>65.33</v>
      </c>
      <c r="AD63" s="28">
        <v>67</v>
      </c>
      <c r="AE63" s="28">
        <v>18</v>
      </c>
      <c r="AF63" s="28">
        <v>17</v>
      </c>
      <c r="AG63" s="28">
        <v>49</v>
      </c>
      <c r="AH63" s="28">
        <v>0</v>
      </c>
      <c r="AI63" s="106">
        <v>1.2857798867289147</v>
      </c>
      <c r="AJ63" s="77">
        <v>8</v>
      </c>
      <c r="AK63" s="28">
        <v>3</v>
      </c>
      <c r="AL63" s="28">
        <v>1</v>
      </c>
      <c r="AM63" s="28">
        <v>1</v>
      </c>
      <c r="AN63" s="75">
        <v>61</v>
      </c>
      <c r="AQ63" s="101" t="s">
        <v>990</v>
      </c>
      <c r="AR63" s="77" t="s">
        <v>206</v>
      </c>
      <c r="AS63" s="77" t="s">
        <v>1008</v>
      </c>
      <c r="AT63" s="135">
        <v>6.4147190452511191</v>
      </c>
      <c r="AU63" s="77">
        <v>1</v>
      </c>
      <c r="AV63" s="76">
        <v>7</v>
      </c>
      <c r="AW63" s="77">
        <v>10</v>
      </c>
      <c r="AX63" s="584">
        <v>60.33</v>
      </c>
      <c r="AY63" s="76">
        <v>70</v>
      </c>
      <c r="AZ63" s="28">
        <v>43</v>
      </c>
      <c r="BA63" s="28">
        <v>23</v>
      </c>
      <c r="BB63" s="28">
        <v>47</v>
      </c>
      <c r="BC63" s="28">
        <v>0</v>
      </c>
      <c r="BD63" s="106">
        <v>1.5415216310293387</v>
      </c>
      <c r="BE63" s="77">
        <v>5</v>
      </c>
      <c r="BF63" s="28">
        <v>2</v>
      </c>
      <c r="BG63" s="28">
        <v>1</v>
      </c>
      <c r="BH63" s="28">
        <v>1</v>
      </c>
      <c r="BI63" s="75">
        <v>61</v>
      </c>
    </row>
    <row r="64" spans="1:61">
      <c r="A64" s="101" t="s">
        <v>990</v>
      </c>
      <c r="B64" s="71" t="s">
        <v>206</v>
      </c>
      <c r="C64" s="116" t="s">
        <v>1009</v>
      </c>
      <c r="D64" s="89">
        <f>VLOOKUP(Table107[[#This Row],[NAME]],CHC_P[[NAME]:['#]],2,0)</f>
        <v>5.4298642533936654</v>
      </c>
      <c r="E64" s="77">
        <f>VLOOKUP(Table107[[#This Row],[NAME]],CHC_P[[NAME]:['#]],3,0)</f>
        <v>4</v>
      </c>
      <c r="F64" s="28">
        <f>VLOOKUP(Table107[[#This Row],[NAME]],CHC_P[[NAME]:['#]],4,0)</f>
        <v>3</v>
      </c>
      <c r="G64" s="77">
        <f>VLOOKUP(Table107[[#This Row],[NAME]],CHC_P[[NAME]:['#]],5,0)</f>
        <v>10</v>
      </c>
      <c r="H64" s="584">
        <f>VLOOKUP(Table107[[#This Row],[NAME]],CHC_P[[NAME]:['#]],6,0)</f>
        <v>59.67</v>
      </c>
      <c r="I64" s="28">
        <f>VLOOKUP(Table107[[#This Row],[NAME]],CHC_P[[NAME]:['#]],7,0)</f>
        <v>68</v>
      </c>
      <c r="J64" s="28">
        <f>VLOOKUP(Table107[[#This Row],[NAME]],CHC_P[[NAME]:['#]],8,0)</f>
        <v>36</v>
      </c>
      <c r="K64" s="28">
        <f>VLOOKUP(Table107[[#This Row],[NAME]],CHC_P[[NAME]:['#]],9,0)</f>
        <v>29</v>
      </c>
      <c r="L64" s="28">
        <f>VLOOKUP(Table107[[#This Row],[NAME]],CHC_P[[NAME]:['#]],10,0)</f>
        <v>55</v>
      </c>
      <c r="M64" s="28">
        <f>VLOOKUP(Table107[[#This Row],[NAME]],CHC_P[[NAME]:['#]],11,0)</f>
        <v>0</v>
      </c>
      <c r="N64" s="106">
        <f>VLOOKUP(Table107[[#This Row],[NAME]],CHC_P[[NAME]:['#]],12,0)</f>
        <v>1.6256075079604491</v>
      </c>
      <c r="O64" s="77">
        <f>VLOOKUP(Table107[[#This Row],[NAME]],CHC_P[[NAME]:['#]],13,0)</f>
        <v>4</v>
      </c>
      <c r="P64" s="28">
        <f>VLOOKUP(Table107[[#This Row],[NAME]],CHC_P[[NAME]:['#]],14,0)</f>
        <v>2</v>
      </c>
      <c r="Q64" s="28">
        <f>VLOOKUP(Table107[[#This Row],[NAME]],CHC_P[[NAME]:['#]],15,0)</f>
        <v>2</v>
      </c>
      <c r="R64" s="28">
        <f>VLOOKUP(Table107[[#This Row],[NAME]],CHC_P[[NAME]:['#]],16,0)</f>
        <v>2</v>
      </c>
      <c r="S64" s="75">
        <v>62</v>
      </c>
      <c r="V64" s="101" t="s">
        <v>990</v>
      </c>
      <c r="W64" s="77" t="s">
        <v>206</v>
      </c>
      <c r="X64" s="132" t="s">
        <v>1009</v>
      </c>
      <c r="Y64" s="88">
        <v>3.3030157970320726</v>
      </c>
      <c r="Z64" s="77">
        <v>5</v>
      </c>
      <c r="AA64" s="28">
        <v>1</v>
      </c>
      <c r="AB64" s="77">
        <v>10</v>
      </c>
      <c r="AC64" s="584">
        <v>62.67</v>
      </c>
      <c r="AD64" s="28">
        <v>54</v>
      </c>
      <c r="AE64" s="28">
        <v>23</v>
      </c>
      <c r="AF64" s="28">
        <v>26</v>
      </c>
      <c r="AG64" s="28">
        <v>45</v>
      </c>
      <c r="AH64" s="28">
        <v>0</v>
      </c>
      <c r="AI64" s="106">
        <v>1.276527844263603</v>
      </c>
      <c r="AJ64" s="77">
        <v>6</v>
      </c>
      <c r="AK64" s="28">
        <v>2</v>
      </c>
      <c r="AL64" s="28">
        <v>1</v>
      </c>
      <c r="AM64" s="28">
        <v>1</v>
      </c>
      <c r="AN64" s="75">
        <v>62</v>
      </c>
      <c r="AQ64" s="101" t="s">
        <v>990</v>
      </c>
      <c r="AR64" s="77" t="s">
        <v>206</v>
      </c>
      <c r="AS64" s="77" t="s">
        <v>1009</v>
      </c>
      <c r="AT64" s="135">
        <v>5.3684210526315788</v>
      </c>
      <c r="AU64" s="77">
        <v>3</v>
      </c>
      <c r="AV64" s="28">
        <v>3</v>
      </c>
      <c r="AW64" s="77">
        <v>10</v>
      </c>
      <c r="AX64" s="584">
        <v>57</v>
      </c>
      <c r="AY64" s="28">
        <v>62</v>
      </c>
      <c r="AZ64" s="28">
        <v>34</v>
      </c>
      <c r="BA64" s="28">
        <v>16</v>
      </c>
      <c r="BB64" s="28">
        <v>49</v>
      </c>
      <c r="BC64" s="28">
        <v>0</v>
      </c>
      <c r="BD64" s="106">
        <v>1.368421052631579</v>
      </c>
      <c r="BE64" s="77">
        <v>4</v>
      </c>
      <c r="BF64" s="28">
        <v>3</v>
      </c>
      <c r="BG64" s="28">
        <v>1</v>
      </c>
      <c r="BH64" s="28">
        <v>1</v>
      </c>
      <c r="BI64" s="75">
        <v>62</v>
      </c>
    </row>
    <row r="65" spans="1:61">
      <c r="A65" s="101" t="s">
        <v>990</v>
      </c>
      <c r="B65" s="71" t="s">
        <v>206</v>
      </c>
      <c r="C65" s="116" t="s">
        <v>1011</v>
      </c>
      <c r="D65" s="89">
        <f>VLOOKUP(Table107[[#This Row],[NAME]],CHC_P[[NAME]:['#]],2,0)</f>
        <v>4.645161290322581</v>
      </c>
      <c r="E65" s="77">
        <f>VLOOKUP(Table107[[#This Row],[NAME]],CHC_P[[NAME]:['#]],3,0)</f>
        <v>2</v>
      </c>
      <c r="F65" s="28">
        <f>VLOOKUP(Table107[[#This Row],[NAME]],CHC_P[[NAME]:['#]],4,0)</f>
        <v>5</v>
      </c>
      <c r="G65" s="77">
        <f>VLOOKUP(Table107[[#This Row],[NAME]],CHC_P[[NAME]:['#]],5,0)</f>
        <v>10</v>
      </c>
      <c r="H65" s="584">
        <f>VLOOKUP(Table107[[#This Row],[NAME]],CHC_P[[NAME]:['#]],6,0)</f>
        <v>62</v>
      </c>
      <c r="I65" s="28">
        <f>VLOOKUP(Table107[[#This Row],[NAME]],CHC_P[[NAME]:['#]],7,0)</f>
        <v>58</v>
      </c>
      <c r="J65" s="28">
        <f>VLOOKUP(Table107[[#This Row],[NAME]],CHC_P[[NAME]:['#]],8,0)</f>
        <v>32</v>
      </c>
      <c r="K65" s="28">
        <f>VLOOKUP(Table107[[#This Row],[NAME]],CHC_P[[NAME]:['#]],9,0)</f>
        <v>22</v>
      </c>
      <c r="L65" s="28">
        <f>VLOOKUP(Table107[[#This Row],[NAME]],CHC_P[[NAME]:['#]],10,0)</f>
        <v>56</v>
      </c>
      <c r="M65" s="28">
        <f>VLOOKUP(Table107[[#This Row],[NAME]],CHC_P[[NAME]:['#]],11,0)</f>
        <v>0</v>
      </c>
      <c r="N65" s="106">
        <f>VLOOKUP(Table107[[#This Row],[NAME]],CHC_P[[NAME]:['#]],12,0)</f>
        <v>1.2903225806451613</v>
      </c>
      <c r="O65" s="77">
        <f>VLOOKUP(Table107[[#This Row],[NAME]],CHC_P[[NAME]:['#]],13,0)</f>
        <v>6</v>
      </c>
      <c r="P65" s="28">
        <f>VLOOKUP(Table107[[#This Row],[NAME]],CHC_P[[NAME]:['#]],14,0)</f>
        <v>4</v>
      </c>
      <c r="Q65" s="28">
        <f>VLOOKUP(Table107[[#This Row],[NAME]],CHC_P[[NAME]:['#]],15,0)</f>
        <v>0</v>
      </c>
      <c r="R65" s="28">
        <f>VLOOKUP(Table107[[#This Row],[NAME]],CHC_P[[NAME]:['#]],16,0)</f>
        <v>0</v>
      </c>
      <c r="S65" s="75">
        <v>63</v>
      </c>
      <c r="V65" s="101" t="s">
        <v>990</v>
      </c>
      <c r="W65" s="77" t="s">
        <v>206</v>
      </c>
      <c r="X65" s="132" t="s">
        <v>824</v>
      </c>
      <c r="Y65" s="88">
        <v>3.7195775294657891</v>
      </c>
      <c r="Z65" s="77">
        <v>3</v>
      </c>
      <c r="AA65" s="28">
        <v>4</v>
      </c>
      <c r="AB65" s="77">
        <v>10</v>
      </c>
      <c r="AC65" s="584">
        <v>65.33</v>
      </c>
      <c r="AD65" s="28">
        <v>54</v>
      </c>
      <c r="AE65" s="28">
        <v>27</v>
      </c>
      <c r="AF65" s="28">
        <v>21</v>
      </c>
      <c r="AG65" s="28">
        <v>50</v>
      </c>
      <c r="AH65" s="28">
        <v>0</v>
      </c>
      <c r="AI65" s="106">
        <v>1.1480177560079596</v>
      </c>
      <c r="AJ65" s="77">
        <v>6</v>
      </c>
      <c r="AK65" s="28">
        <v>3</v>
      </c>
      <c r="AL65" s="28">
        <v>0</v>
      </c>
      <c r="AM65" s="28">
        <v>0</v>
      </c>
      <c r="AN65" s="75">
        <v>63</v>
      </c>
      <c r="AQ65" s="101" t="s">
        <v>990</v>
      </c>
      <c r="AR65" s="77" t="s">
        <v>206</v>
      </c>
      <c r="AS65" s="77" t="s">
        <v>1011</v>
      </c>
      <c r="AT65" s="135">
        <v>5.2679714651545639</v>
      </c>
      <c r="AU65" s="77">
        <v>2</v>
      </c>
      <c r="AV65" s="28">
        <v>3</v>
      </c>
      <c r="AW65" s="77">
        <v>10</v>
      </c>
      <c r="AX65" s="584">
        <v>54.67</v>
      </c>
      <c r="AY65" s="28">
        <v>75</v>
      </c>
      <c r="AZ65" s="28">
        <v>32</v>
      </c>
      <c r="BA65" s="28">
        <v>29</v>
      </c>
      <c r="BB65" s="28">
        <v>44</v>
      </c>
      <c r="BC65" s="28">
        <v>0</v>
      </c>
      <c r="BD65" s="106">
        <v>1.9023230290835924</v>
      </c>
      <c r="BE65" s="77">
        <v>5</v>
      </c>
      <c r="BF65" s="28">
        <v>3</v>
      </c>
      <c r="BG65" s="28">
        <v>0</v>
      </c>
      <c r="BH65" s="28">
        <v>0</v>
      </c>
      <c r="BI65" s="75">
        <v>63</v>
      </c>
    </row>
    <row r="66" spans="1:61">
      <c r="A66" s="101" t="s">
        <v>990</v>
      </c>
      <c r="B66" s="345" t="s">
        <v>365</v>
      </c>
      <c r="C66" s="345" t="s">
        <v>1012</v>
      </c>
      <c r="D66" s="89">
        <f>VLOOKUP(Table107[[#This Row],[NAME]],CHC_P[[NAME]:['#]],2,0)</f>
        <v>2.8208955223880596</v>
      </c>
      <c r="E66" s="77">
        <f>VLOOKUP(Table107[[#This Row],[NAME]],CHC_P[[NAME]:['#]],3,0)</f>
        <v>6</v>
      </c>
      <c r="F66" s="28">
        <f>VLOOKUP(Table107[[#This Row],[NAME]],CHC_P[[NAME]:['#]],4,0)</f>
        <v>1</v>
      </c>
      <c r="G66" s="77">
        <f>VLOOKUP(Table107[[#This Row],[NAME]],CHC_P[[NAME]:['#]],5,0)</f>
        <v>10</v>
      </c>
      <c r="H66" s="584">
        <f>VLOOKUP(Table107[[#This Row],[NAME]],CHC_P[[NAME]:['#]],6,0)</f>
        <v>67</v>
      </c>
      <c r="I66" s="28">
        <f>VLOOKUP(Table107[[#This Row],[NAME]],CHC_P[[NAME]:['#]],7,0)</f>
        <v>49</v>
      </c>
      <c r="J66" s="28">
        <f>VLOOKUP(Table107[[#This Row],[NAME]],CHC_P[[NAME]:['#]],8,0)</f>
        <v>21</v>
      </c>
      <c r="K66" s="28">
        <f>VLOOKUP(Table107[[#This Row],[NAME]],CHC_P[[NAME]:['#]],9,0)</f>
        <v>14</v>
      </c>
      <c r="L66" s="28">
        <f>VLOOKUP(Table107[[#This Row],[NAME]],CHC_P[[NAME]:['#]],10,0)</f>
        <v>63</v>
      </c>
      <c r="M66" s="28">
        <f>VLOOKUP(Table107[[#This Row],[NAME]],CHC_P[[NAME]:['#]],11,0)</f>
        <v>0</v>
      </c>
      <c r="N66" s="106">
        <f>VLOOKUP(Table107[[#This Row],[NAME]],CHC_P[[NAME]:['#]],12,0)</f>
        <v>0.94029850746268662</v>
      </c>
      <c r="O66" s="77">
        <f>VLOOKUP(Table107[[#This Row],[NAME]],CHC_P[[NAME]:['#]],13,0)</f>
        <v>8</v>
      </c>
      <c r="P66" s="28">
        <f>VLOOKUP(Table107[[#This Row],[NAME]],CHC_P[[NAME]:['#]],14,0)</f>
        <v>6</v>
      </c>
      <c r="Q66" s="28">
        <f>VLOOKUP(Table107[[#This Row],[NAME]],CHC_P[[NAME]:['#]],15,0)</f>
        <v>0</v>
      </c>
      <c r="R66" s="28">
        <f>VLOOKUP(Table107[[#This Row],[NAME]],CHC_P[[NAME]:['#]],16,0)</f>
        <v>0</v>
      </c>
      <c r="S66" s="75">
        <v>64</v>
      </c>
      <c r="V66" s="101" t="s">
        <v>990</v>
      </c>
      <c r="W66" s="77" t="s">
        <v>206</v>
      </c>
      <c r="X66" s="132" t="s">
        <v>1011</v>
      </c>
      <c r="Y66" s="88">
        <v>3.5528185693983896</v>
      </c>
      <c r="Z66" s="77">
        <v>4</v>
      </c>
      <c r="AA66" s="28">
        <v>1</v>
      </c>
      <c r="AB66" s="77">
        <v>10</v>
      </c>
      <c r="AC66" s="584">
        <v>63.33</v>
      </c>
      <c r="AD66" s="28">
        <v>70</v>
      </c>
      <c r="AE66" s="28">
        <v>25</v>
      </c>
      <c r="AF66" s="28">
        <v>20</v>
      </c>
      <c r="AG66" s="28">
        <v>55</v>
      </c>
      <c r="AH66" s="28">
        <v>0</v>
      </c>
      <c r="AI66" s="106">
        <v>1.4211274277593557</v>
      </c>
      <c r="AJ66" s="77">
        <v>7</v>
      </c>
      <c r="AK66" s="28">
        <v>5</v>
      </c>
      <c r="AL66" s="28">
        <v>0</v>
      </c>
      <c r="AM66" s="28">
        <v>0</v>
      </c>
      <c r="AN66" s="75">
        <v>64</v>
      </c>
      <c r="AQ66" s="101" t="s">
        <v>990</v>
      </c>
      <c r="AR66" s="77" t="s">
        <v>206</v>
      </c>
      <c r="AS66" s="77" t="s">
        <v>1010</v>
      </c>
      <c r="AT66" s="135">
        <v>3.3582089552238807</v>
      </c>
      <c r="AU66" s="77">
        <v>5</v>
      </c>
      <c r="AV66" s="28">
        <v>3</v>
      </c>
      <c r="AW66" s="77">
        <v>10</v>
      </c>
      <c r="AX66" s="584">
        <v>67</v>
      </c>
      <c r="AY66" s="28">
        <v>61</v>
      </c>
      <c r="AZ66" s="28">
        <v>25</v>
      </c>
      <c r="BA66" s="28">
        <v>14</v>
      </c>
      <c r="BB66" s="28">
        <v>59</v>
      </c>
      <c r="BC66" s="28">
        <v>0</v>
      </c>
      <c r="BD66" s="106">
        <v>1.1194029850746268</v>
      </c>
      <c r="BE66" s="77">
        <v>6</v>
      </c>
      <c r="BF66" s="28">
        <v>4</v>
      </c>
      <c r="BG66" s="28">
        <v>1</v>
      </c>
      <c r="BH66" s="28">
        <v>1</v>
      </c>
      <c r="BI66" s="75">
        <v>64</v>
      </c>
    </row>
    <row r="67" spans="1:61">
      <c r="A67" s="101" t="s">
        <v>990</v>
      </c>
      <c r="B67" s="71" t="s">
        <v>212</v>
      </c>
      <c r="C67" s="71" t="s">
        <v>1008</v>
      </c>
      <c r="D67" s="89">
        <f>VLOOKUP(Table107[[#This Row],[NAME]],CHC_P[[NAME]:['#]],2,0)</f>
        <v>4.8789302493675457</v>
      </c>
      <c r="E67" s="77">
        <f>VLOOKUP(Table107[[#This Row],[NAME]],CHC_P[[NAME]:['#]],3,0)</f>
        <v>0</v>
      </c>
      <c r="F67" s="28">
        <f>VLOOKUP(Table107[[#This Row],[NAME]],CHC_P[[NAME]:['#]],4,0)</f>
        <v>1</v>
      </c>
      <c r="G67" s="77">
        <f>VLOOKUP(Table107[[#This Row],[NAME]],CHC_P[[NAME]:['#]],5,0)</f>
        <v>11</v>
      </c>
      <c r="H67" s="584">
        <f>VLOOKUP(Table107[[#This Row],[NAME]],CHC_P[[NAME]:['#]],6,0)</f>
        <v>27.67</v>
      </c>
      <c r="I67" s="28">
        <f>VLOOKUP(Table107[[#This Row],[NAME]],CHC_P[[NAME]:['#]],7,0)</f>
        <v>35</v>
      </c>
      <c r="J67" s="28">
        <f>VLOOKUP(Table107[[#This Row],[NAME]],CHC_P[[NAME]:['#]],8,0)</f>
        <v>15</v>
      </c>
      <c r="K67" s="28">
        <f>VLOOKUP(Table107[[#This Row],[NAME]],CHC_P[[NAME]:['#]],9,0)</f>
        <v>6</v>
      </c>
      <c r="L67" s="28">
        <f>VLOOKUP(Table107[[#This Row],[NAME]],CHC_P[[NAME]:['#]],10,0)</f>
        <v>20</v>
      </c>
      <c r="M67" s="28">
        <f>VLOOKUP(Table107[[#This Row],[NAME]],CHC_P[[NAME]:['#]],11,0)</f>
        <v>0</v>
      </c>
      <c r="N67" s="106">
        <f>VLOOKUP(Table107[[#This Row],[NAME]],CHC_P[[NAME]:['#]],12,0)</f>
        <v>1.4817491868449584</v>
      </c>
      <c r="O67" s="77">
        <f>VLOOKUP(Table107[[#This Row],[NAME]],CHC_P[[NAME]:['#]],13,0)</f>
        <v>0</v>
      </c>
      <c r="P67" s="28">
        <f>VLOOKUP(Table107[[#This Row],[NAME]],CHC_P[[NAME]:['#]],14,0)</f>
        <v>0</v>
      </c>
      <c r="Q67" s="28">
        <f>VLOOKUP(Table107[[#This Row],[NAME]],CHC_P[[NAME]:['#]],15,0)</f>
        <v>0</v>
      </c>
      <c r="R67" s="28">
        <f>VLOOKUP(Table107[[#This Row],[NAME]],CHC_P[[NAME]:['#]],16,0)</f>
        <v>0</v>
      </c>
      <c r="S67" s="75">
        <v>65</v>
      </c>
      <c r="V67" s="101" t="s">
        <v>990</v>
      </c>
      <c r="W67" s="77" t="s">
        <v>212</v>
      </c>
      <c r="X67" s="132" t="s">
        <v>1013</v>
      </c>
      <c r="Y67" s="88">
        <v>7.109004739336493</v>
      </c>
      <c r="Z67" s="77">
        <v>0</v>
      </c>
      <c r="AA67" s="28">
        <v>1</v>
      </c>
      <c r="AB67" s="77">
        <v>3</v>
      </c>
      <c r="AC67" s="584">
        <v>6.33</v>
      </c>
      <c r="AD67" s="28">
        <v>7</v>
      </c>
      <c r="AE67" s="28">
        <v>5</v>
      </c>
      <c r="AF67" s="28">
        <v>5</v>
      </c>
      <c r="AG67" s="28">
        <v>4</v>
      </c>
      <c r="AH67" s="28">
        <v>0</v>
      </c>
      <c r="AI67" s="106">
        <v>1.8957345971563981</v>
      </c>
      <c r="AJ67" s="77">
        <v>0</v>
      </c>
      <c r="AK67" s="28">
        <v>0</v>
      </c>
      <c r="AL67" s="28">
        <v>0</v>
      </c>
      <c r="AM67" s="28">
        <v>0</v>
      </c>
      <c r="AN67" s="75">
        <v>65</v>
      </c>
      <c r="AQ67" s="101" t="s">
        <v>990</v>
      </c>
      <c r="AR67" s="77" t="s">
        <v>215</v>
      </c>
      <c r="AS67" s="77" t="s">
        <v>1014</v>
      </c>
      <c r="AT67" s="135">
        <v>3.742203742203742</v>
      </c>
      <c r="AU67" s="77">
        <v>1</v>
      </c>
      <c r="AV67" s="28">
        <v>1</v>
      </c>
      <c r="AW67" s="77">
        <v>16</v>
      </c>
      <c r="AX67" s="584">
        <v>33.67</v>
      </c>
      <c r="AY67" s="28">
        <v>31</v>
      </c>
      <c r="AZ67" s="28">
        <v>14</v>
      </c>
      <c r="BA67" s="28">
        <v>10</v>
      </c>
      <c r="BB67" s="28">
        <v>31</v>
      </c>
      <c r="BC67" s="28">
        <v>0</v>
      </c>
      <c r="BD67" s="106">
        <v>1.2177012177012176</v>
      </c>
      <c r="BE67" s="77">
        <v>0</v>
      </c>
      <c r="BF67" s="28">
        <v>0</v>
      </c>
      <c r="BG67" s="28">
        <v>0</v>
      </c>
      <c r="BH67" s="28">
        <v>0</v>
      </c>
      <c r="BI67" s="75">
        <v>65</v>
      </c>
    </row>
    <row r="68" spans="1:61">
      <c r="A68" s="101" t="s">
        <v>990</v>
      </c>
      <c r="B68" s="71" t="s">
        <v>215</v>
      </c>
      <c r="C68" s="71" t="s">
        <v>1016</v>
      </c>
      <c r="D68" s="89">
        <f>VLOOKUP(Table107[[#This Row],[NAME]],CHC_P[[NAME]:['#]],2,0)</f>
        <v>0</v>
      </c>
      <c r="E68" s="77">
        <f>VLOOKUP(Table107[[#This Row],[NAME]],CHC_P[[NAME]:['#]],3,0)</f>
        <v>0</v>
      </c>
      <c r="F68" s="28">
        <f>VLOOKUP(Table107[[#This Row],[NAME]],CHC_P[[NAME]:['#]],4,0)</f>
        <v>0</v>
      </c>
      <c r="G68" s="77">
        <f>VLOOKUP(Table107[[#This Row],[NAME]],CHC_P[[NAME]:['#]],5,0)</f>
        <v>0</v>
      </c>
      <c r="H68" s="584">
        <f>VLOOKUP(Table107[[#This Row],[NAME]],CHC_P[[NAME]:['#]],6,0)</f>
        <v>0</v>
      </c>
      <c r="I68" s="28">
        <f>VLOOKUP(Table107[[#This Row],[NAME]],CHC_P[[NAME]:['#]],7,0)</f>
        <v>0</v>
      </c>
      <c r="J68" s="28">
        <f>VLOOKUP(Table107[[#This Row],[NAME]],CHC_P[[NAME]:['#]],8,0)</f>
        <v>0</v>
      </c>
      <c r="K68" s="28">
        <f>VLOOKUP(Table107[[#This Row],[NAME]],CHC_P[[NAME]:['#]],9,0)</f>
        <v>0</v>
      </c>
      <c r="L68" s="28">
        <f>VLOOKUP(Table107[[#This Row],[NAME]],CHC_P[[NAME]:['#]],10,0)</f>
        <v>0</v>
      </c>
      <c r="M68" s="28">
        <f>VLOOKUP(Table107[[#This Row],[NAME]],CHC_P[[NAME]:['#]],11,0)</f>
        <v>0</v>
      </c>
      <c r="N68" s="106">
        <f>VLOOKUP(Table107[[#This Row],[NAME]],CHC_P[[NAME]:['#]],12,0)</f>
        <v>0</v>
      </c>
      <c r="O68" s="77">
        <f>VLOOKUP(Table107[[#This Row],[NAME]],CHC_P[[NAME]:['#]],13,0)</f>
        <v>0</v>
      </c>
      <c r="P68" s="28">
        <f>VLOOKUP(Table107[[#This Row],[NAME]],CHC_P[[NAME]:['#]],14,0)</f>
        <v>0</v>
      </c>
      <c r="Q68" s="28">
        <f>VLOOKUP(Table107[[#This Row],[NAME]],CHC_P[[NAME]:['#]],15,0)</f>
        <v>0</v>
      </c>
      <c r="R68" s="28">
        <f>VLOOKUP(Table107[[#This Row],[NAME]],CHC_P[[NAME]:['#]],16,0)</f>
        <v>0</v>
      </c>
      <c r="S68" s="75">
        <v>66</v>
      </c>
      <c r="V68" s="101" t="s">
        <v>990</v>
      </c>
      <c r="W68" s="77" t="s">
        <v>215</v>
      </c>
      <c r="X68" s="132" t="s">
        <v>1015</v>
      </c>
      <c r="Y68" s="88">
        <v>3</v>
      </c>
      <c r="Z68" s="77">
        <v>0</v>
      </c>
      <c r="AA68" s="28">
        <v>0</v>
      </c>
      <c r="AB68" s="77">
        <v>2</v>
      </c>
      <c r="AC68" s="584">
        <v>3</v>
      </c>
      <c r="AD68" s="28">
        <v>3</v>
      </c>
      <c r="AE68" s="28">
        <v>1</v>
      </c>
      <c r="AF68" s="28">
        <v>0</v>
      </c>
      <c r="AG68" s="28">
        <v>2</v>
      </c>
      <c r="AH68" s="28">
        <v>0</v>
      </c>
      <c r="AI68" s="106">
        <v>1</v>
      </c>
      <c r="AJ68" s="77">
        <v>0</v>
      </c>
      <c r="AK68" s="28">
        <v>0</v>
      </c>
      <c r="AL68" s="28">
        <v>0</v>
      </c>
      <c r="AM68" s="28">
        <v>0</v>
      </c>
      <c r="AN68" s="75">
        <v>66</v>
      </c>
      <c r="AQ68" s="101" t="s">
        <v>990</v>
      </c>
      <c r="AR68" s="77" t="s">
        <v>215</v>
      </c>
      <c r="AS68" s="71" t="s">
        <v>1018</v>
      </c>
      <c r="AT68" s="135">
        <v>15</v>
      </c>
      <c r="AU68" s="77">
        <v>0</v>
      </c>
      <c r="AV68" s="28">
        <v>0</v>
      </c>
      <c r="AW68" s="77">
        <v>5</v>
      </c>
      <c r="AX68" s="584">
        <v>6</v>
      </c>
      <c r="AY68" s="28">
        <v>13</v>
      </c>
      <c r="AZ68" s="28">
        <v>10</v>
      </c>
      <c r="BA68" s="28">
        <v>1</v>
      </c>
      <c r="BB68" s="28">
        <v>6</v>
      </c>
      <c r="BC68" s="28">
        <v>1</v>
      </c>
      <c r="BD68" s="106">
        <v>2.3333333333333335</v>
      </c>
      <c r="BE68" s="77">
        <v>0</v>
      </c>
      <c r="BF68" s="28">
        <v>0</v>
      </c>
      <c r="BG68" s="28">
        <v>0</v>
      </c>
      <c r="BH68" s="28">
        <v>0</v>
      </c>
      <c r="BI68" s="75">
        <v>66</v>
      </c>
    </row>
    <row r="69" spans="1:61">
      <c r="A69" s="101" t="s">
        <v>990</v>
      </c>
      <c r="B69" s="71" t="s">
        <v>212</v>
      </c>
      <c r="C69" s="116" t="s">
        <v>1013</v>
      </c>
      <c r="D69" s="89">
        <f>VLOOKUP(Table107[[#This Row],[NAME]],CHC_P[[NAME]:['#]],2,0)</f>
        <v>8.8286208886324307</v>
      </c>
      <c r="E69" s="77">
        <f>VLOOKUP(Table107[[#This Row],[NAME]],CHC_P[[NAME]:['#]],3,0)</f>
        <v>0</v>
      </c>
      <c r="F69" s="28">
        <f>VLOOKUP(Table107[[#This Row],[NAME]],CHC_P[[NAME]:['#]],4,0)</f>
        <v>0</v>
      </c>
      <c r="G69" s="77">
        <f>VLOOKUP(Table107[[#This Row],[NAME]],CHC_P[[NAME]:['#]],5,0)</f>
        <v>8</v>
      </c>
      <c r="H69" s="584">
        <f>VLOOKUP(Table107[[#This Row],[NAME]],CHC_P[[NAME]:['#]],6,0)</f>
        <v>17.329999999999998</v>
      </c>
      <c r="I69" s="28">
        <f>VLOOKUP(Table107[[#This Row],[NAME]],CHC_P[[NAME]:['#]],7,0)</f>
        <v>23</v>
      </c>
      <c r="J69" s="28">
        <f>VLOOKUP(Table107[[#This Row],[NAME]],CHC_P[[NAME]:['#]],8,0)</f>
        <v>17</v>
      </c>
      <c r="K69" s="28">
        <f>VLOOKUP(Table107[[#This Row],[NAME]],CHC_P[[NAME]:['#]],9,0)</f>
        <v>4</v>
      </c>
      <c r="L69" s="28">
        <f>VLOOKUP(Table107[[#This Row],[NAME]],CHC_P[[NAME]:['#]],10,0)</f>
        <v>17</v>
      </c>
      <c r="M69" s="28">
        <f>VLOOKUP(Table107[[#This Row],[NAME]],CHC_P[[NAME]:['#]],11,0)</f>
        <v>0</v>
      </c>
      <c r="N69" s="106">
        <f>VLOOKUP(Table107[[#This Row],[NAME]],CHC_P[[NAME]:['#]],12,0)</f>
        <v>1.55799192152337</v>
      </c>
      <c r="O69" s="77">
        <f>VLOOKUP(Table107[[#This Row],[NAME]],CHC_P[[NAME]:['#]],13,0)</f>
        <v>0</v>
      </c>
      <c r="P69" s="28">
        <f>VLOOKUP(Table107[[#This Row],[NAME]],CHC_P[[NAME]:['#]],14,0)</f>
        <v>0</v>
      </c>
      <c r="Q69" s="28">
        <f>VLOOKUP(Table107[[#This Row],[NAME]],CHC_P[[NAME]:['#]],15,0)</f>
        <v>0</v>
      </c>
      <c r="R69" s="28">
        <f>VLOOKUP(Table107[[#This Row],[NAME]],CHC_P[[NAME]:['#]],16,0)</f>
        <v>0</v>
      </c>
      <c r="S69" s="75">
        <v>67</v>
      </c>
      <c r="V69" s="101" t="s">
        <v>990</v>
      </c>
      <c r="W69" s="77" t="s">
        <v>212</v>
      </c>
      <c r="X69" s="132" t="s">
        <v>1018</v>
      </c>
      <c r="Y69" s="88">
        <v>6.531204644412191</v>
      </c>
      <c r="Z69" s="77">
        <v>3</v>
      </c>
      <c r="AA69" s="28">
        <v>3</v>
      </c>
      <c r="AB69" s="77">
        <v>13</v>
      </c>
      <c r="AC69" s="584">
        <v>20.67</v>
      </c>
      <c r="AD69" s="28">
        <v>25</v>
      </c>
      <c r="AE69" s="28">
        <v>15</v>
      </c>
      <c r="AF69" s="28">
        <v>8</v>
      </c>
      <c r="AG69" s="28">
        <v>21</v>
      </c>
      <c r="AH69" s="28">
        <v>0</v>
      </c>
      <c r="AI69" s="106">
        <v>1.5965166908563133</v>
      </c>
      <c r="AJ69" s="77">
        <v>0</v>
      </c>
      <c r="AK69" s="28">
        <v>0</v>
      </c>
      <c r="AL69" s="28">
        <v>0</v>
      </c>
      <c r="AM69" s="28">
        <v>0</v>
      </c>
      <c r="AN69" s="75">
        <v>67</v>
      </c>
      <c r="AQ69" s="101" t="s">
        <v>990</v>
      </c>
      <c r="AR69" s="77" t="s">
        <v>215</v>
      </c>
      <c r="AS69" s="77" t="s">
        <v>1013</v>
      </c>
      <c r="AT69" s="135">
        <v>2.2973835354179961</v>
      </c>
      <c r="AU69" s="77">
        <v>0</v>
      </c>
      <c r="AV69" s="28">
        <v>0</v>
      </c>
      <c r="AW69" s="77">
        <v>7</v>
      </c>
      <c r="AX69" s="584">
        <v>15.67</v>
      </c>
      <c r="AY69" s="28">
        <v>15</v>
      </c>
      <c r="AZ69" s="28">
        <v>4</v>
      </c>
      <c r="BA69" s="28">
        <v>8</v>
      </c>
      <c r="BB69" s="28">
        <v>16</v>
      </c>
      <c r="BC69" s="28">
        <v>0</v>
      </c>
      <c r="BD69" s="106">
        <v>1.467772814294831</v>
      </c>
      <c r="BE69" s="77">
        <v>0</v>
      </c>
      <c r="BF69" s="28">
        <v>0</v>
      </c>
      <c r="BG69" s="28">
        <v>0</v>
      </c>
      <c r="BH69" s="28">
        <v>0</v>
      </c>
      <c r="BI69" s="75">
        <v>67</v>
      </c>
    </row>
    <row r="70" spans="1:61">
      <c r="A70" s="101" t="s">
        <v>990</v>
      </c>
      <c r="B70" s="71" t="s">
        <v>215</v>
      </c>
      <c r="C70" s="116" t="s">
        <v>1019</v>
      </c>
      <c r="D70" s="89">
        <f>VLOOKUP(Table107[[#This Row],[NAME]],CHC_P[[NAME]:['#]],2,0)</f>
        <v>3.375</v>
      </c>
      <c r="E70" s="77">
        <f>VLOOKUP(Table107[[#This Row],[NAME]],CHC_P[[NAME]:['#]],3,0)</f>
        <v>1</v>
      </c>
      <c r="F70" s="28">
        <f>VLOOKUP(Table107[[#This Row],[NAME]],CHC_P[[NAME]:['#]],4,0)</f>
        <v>0</v>
      </c>
      <c r="G70" s="77">
        <f>VLOOKUP(Table107[[#This Row],[NAME]],CHC_P[[NAME]:['#]],5,0)</f>
        <v>13</v>
      </c>
      <c r="H70" s="584">
        <f>VLOOKUP(Table107[[#This Row],[NAME]],CHC_P[[NAME]:['#]],6,0)</f>
        <v>16</v>
      </c>
      <c r="I70" s="28">
        <f>VLOOKUP(Table107[[#This Row],[NAME]],CHC_P[[NAME]:['#]],7,0)</f>
        <v>18</v>
      </c>
      <c r="J70" s="28">
        <f>VLOOKUP(Table107[[#This Row],[NAME]],CHC_P[[NAME]:['#]],8,0)</f>
        <v>6</v>
      </c>
      <c r="K70" s="28">
        <f>VLOOKUP(Table107[[#This Row],[NAME]],CHC_P[[NAME]:['#]],9,0)</f>
        <v>4</v>
      </c>
      <c r="L70" s="28">
        <f>VLOOKUP(Table107[[#This Row],[NAME]],CHC_P[[NAME]:['#]],10,0)</f>
        <v>20</v>
      </c>
      <c r="M70" s="28">
        <f>VLOOKUP(Table107[[#This Row],[NAME]],CHC_P[[NAME]:['#]],11,0)</f>
        <v>0</v>
      </c>
      <c r="N70" s="106">
        <f>VLOOKUP(Table107[[#This Row],[NAME]],CHC_P[[NAME]:['#]],12,0)</f>
        <v>1.375</v>
      </c>
      <c r="O70" s="77">
        <f>VLOOKUP(Table107[[#This Row],[NAME]],CHC_P[[NAME]:['#]],13,0)</f>
        <v>0</v>
      </c>
      <c r="P70" s="28">
        <f>VLOOKUP(Table107[[#This Row],[NAME]],CHC_P[[NAME]:['#]],14,0)</f>
        <v>0</v>
      </c>
      <c r="Q70" s="28">
        <f>VLOOKUP(Table107[[#This Row],[NAME]],CHC_P[[NAME]:['#]],15,0)</f>
        <v>0</v>
      </c>
      <c r="R70" s="28">
        <f>VLOOKUP(Table107[[#This Row],[NAME]],CHC_P[[NAME]:['#]],16,0)</f>
        <v>0</v>
      </c>
      <c r="S70" s="75">
        <v>68</v>
      </c>
      <c r="V70" s="101" t="s">
        <v>990</v>
      </c>
      <c r="W70" s="77" t="s">
        <v>212</v>
      </c>
      <c r="X70" s="132" t="s">
        <v>1014</v>
      </c>
      <c r="Y70" s="88">
        <v>2.5893958076448831</v>
      </c>
      <c r="Z70" s="77">
        <v>1</v>
      </c>
      <c r="AA70" s="28">
        <v>1</v>
      </c>
      <c r="AB70" s="77">
        <v>18</v>
      </c>
      <c r="AC70" s="584">
        <v>24.33</v>
      </c>
      <c r="AD70" s="28">
        <v>22</v>
      </c>
      <c r="AE70" s="28">
        <v>7</v>
      </c>
      <c r="AF70" s="28">
        <v>6</v>
      </c>
      <c r="AG70" s="28">
        <v>27</v>
      </c>
      <c r="AH70" s="28">
        <v>0</v>
      </c>
      <c r="AI70" s="106">
        <v>1.1508425811755036</v>
      </c>
      <c r="AJ70" s="77">
        <v>0</v>
      </c>
      <c r="AK70" s="28">
        <v>0</v>
      </c>
      <c r="AL70" s="28">
        <v>0</v>
      </c>
      <c r="AM70" s="28">
        <v>0</v>
      </c>
      <c r="AN70" s="75">
        <v>68</v>
      </c>
      <c r="AQ70" s="101" t="s">
        <v>990</v>
      </c>
      <c r="AR70" s="77" t="s">
        <v>212</v>
      </c>
      <c r="AS70" s="77" t="s">
        <v>1021</v>
      </c>
      <c r="AT70" s="135">
        <v>3.8579301898346605</v>
      </c>
      <c r="AU70" s="77">
        <v>2</v>
      </c>
      <c r="AV70" s="28">
        <v>3</v>
      </c>
      <c r="AW70" s="77">
        <v>16</v>
      </c>
      <c r="AX70" s="584">
        <v>16.329999999999998</v>
      </c>
      <c r="AY70" s="28">
        <v>16</v>
      </c>
      <c r="AZ70" s="28">
        <v>7</v>
      </c>
      <c r="BA70" s="28">
        <v>3</v>
      </c>
      <c r="BB70" s="28">
        <v>16</v>
      </c>
      <c r="BC70" s="28">
        <v>3</v>
      </c>
      <c r="BD70" s="106">
        <v>1.1635027556644215</v>
      </c>
      <c r="BE70" s="77">
        <v>0</v>
      </c>
      <c r="BF70" s="28">
        <v>0</v>
      </c>
      <c r="BG70" s="28">
        <v>0</v>
      </c>
      <c r="BH70" s="28">
        <v>0</v>
      </c>
      <c r="BI70" s="75">
        <v>68</v>
      </c>
    </row>
    <row r="71" spans="1:61">
      <c r="A71" s="101" t="s">
        <v>990</v>
      </c>
      <c r="B71" s="71" t="s">
        <v>212</v>
      </c>
      <c r="C71" s="116" t="s">
        <v>1017</v>
      </c>
      <c r="D71" s="89">
        <f>VLOOKUP(Table107[[#This Row],[NAME]],CHC_P[[NAME]:['#]],2,0)</f>
        <v>2.219482120838471</v>
      </c>
      <c r="E71" s="77">
        <f>VLOOKUP(Table107[[#This Row],[NAME]],CHC_P[[NAME]:['#]],3,0)</f>
        <v>3</v>
      </c>
      <c r="F71" s="28">
        <f>VLOOKUP(Table107[[#This Row],[NAME]],CHC_P[[NAME]:['#]],4,0)</f>
        <v>5</v>
      </c>
      <c r="G71" s="77">
        <f>VLOOKUP(Table107[[#This Row],[NAME]],CHC_P[[NAME]:['#]],5,0)</f>
        <v>15</v>
      </c>
      <c r="H71" s="584">
        <f>VLOOKUP(Table107[[#This Row],[NAME]],CHC_P[[NAME]:['#]],6,0)</f>
        <v>24.33</v>
      </c>
      <c r="I71" s="28">
        <f>VLOOKUP(Table107[[#This Row],[NAME]],CHC_P[[NAME]:['#]],7,0)</f>
        <v>21</v>
      </c>
      <c r="J71" s="28">
        <f>VLOOKUP(Table107[[#This Row],[NAME]],CHC_P[[NAME]:['#]],8,0)</f>
        <v>6</v>
      </c>
      <c r="K71" s="28">
        <f>VLOOKUP(Table107[[#This Row],[NAME]],CHC_P[[NAME]:['#]],9,0)</f>
        <v>6</v>
      </c>
      <c r="L71" s="28">
        <f>VLOOKUP(Table107[[#This Row],[NAME]],CHC_P[[NAME]:['#]],10,0)</f>
        <v>18</v>
      </c>
      <c r="M71" s="28">
        <f>VLOOKUP(Table107[[#This Row],[NAME]],CHC_P[[NAME]:['#]],11,0)</f>
        <v>0</v>
      </c>
      <c r="N71" s="106">
        <f>VLOOKUP(Table107[[#This Row],[NAME]],CHC_P[[NAME]:['#]],12,0)</f>
        <v>1.1097410604192355</v>
      </c>
      <c r="O71" s="77">
        <f>VLOOKUP(Table107[[#This Row],[NAME]],CHC_P[[NAME]:['#]],13,0)</f>
        <v>0</v>
      </c>
      <c r="P71" s="28">
        <f>VLOOKUP(Table107[[#This Row],[NAME]],CHC_P[[NAME]:['#]],14,0)</f>
        <v>0</v>
      </c>
      <c r="Q71" s="28">
        <f>VLOOKUP(Table107[[#This Row],[NAME]],CHC_P[[NAME]:['#]],15,0)</f>
        <v>0</v>
      </c>
      <c r="R71" s="28">
        <f>VLOOKUP(Table107[[#This Row],[NAME]],CHC_P[[NAME]:['#]],16,0)</f>
        <v>0</v>
      </c>
      <c r="S71" s="75">
        <v>69</v>
      </c>
      <c r="V71" s="101" t="s">
        <v>990</v>
      </c>
      <c r="W71" s="77" t="s">
        <v>212</v>
      </c>
      <c r="X71" s="132" t="s">
        <v>1017</v>
      </c>
      <c r="Y71" s="88">
        <v>2.5054129291679557</v>
      </c>
      <c r="Z71" s="77">
        <v>2</v>
      </c>
      <c r="AA71" s="28">
        <v>1</v>
      </c>
      <c r="AB71" s="77">
        <v>17</v>
      </c>
      <c r="AC71" s="584">
        <v>32.33</v>
      </c>
      <c r="AD71" s="28">
        <v>27</v>
      </c>
      <c r="AE71" s="28">
        <v>9</v>
      </c>
      <c r="AF71" s="28">
        <v>11</v>
      </c>
      <c r="AG71" s="28">
        <v>26</v>
      </c>
      <c r="AH71" s="28">
        <v>0</v>
      </c>
      <c r="AI71" s="106">
        <v>1.1753789050417569</v>
      </c>
      <c r="AJ71" s="77">
        <v>0</v>
      </c>
      <c r="AK71" s="28">
        <v>0</v>
      </c>
      <c r="AL71" s="28">
        <v>0</v>
      </c>
      <c r="AM71" s="28">
        <v>0</v>
      </c>
      <c r="AN71" s="75">
        <v>69</v>
      </c>
      <c r="AQ71" s="101" t="s">
        <v>990</v>
      </c>
      <c r="AR71" s="77" t="s">
        <v>212</v>
      </c>
      <c r="AS71" s="77" t="s">
        <v>1017</v>
      </c>
      <c r="AT71" s="135">
        <v>2.4057024057024057</v>
      </c>
      <c r="AU71" s="77">
        <v>2</v>
      </c>
      <c r="AV71" s="28">
        <v>2</v>
      </c>
      <c r="AW71" s="77">
        <v>17</v>
      </c>
      <c r="AX71" s="584">
        <v>33.67</v>
      </c>
      <c r="AY71" s="28">
        <v>29</v>
      </c>
      <c r="AZ71" s="28">
        <v>9</v>
      </c>
      <c r="BA71" s="28">
        <v>8</v>
      </c>
      <c r="BB71" s="28">
        <v>23</v>
      </c>
      <c r="BC71" s="28">
        <v>3</v>
      </c>
      <c r="BD71" s="106">
        <v>1.0989010989010988</v>
      </c>
      <c r="BE71" s="77">
        <v>0</v>
      </c>
      <c r="BF71" s="28">
        <v>0</v>
      </c>
      <c r="BG71" s="28">
        <v>0</v>
      </c>
      <c r="BH71" s="28">
        <v>0</v>
      </c>
      <c r="BI71" s="75">
        <v>69</v>
      </c>
    </row>
    <row r="72" spans="1:61">
      <c r="A72" s="101" t="s">
        <v>990</v>
      </c>
      <c r="B72" s="71" t="s">
        <v>212</v>
      </c>
      <c r="C72" s="116" t="s">
        <v>1020</v>
      </c>
      <c r="D72" s="89">
        <f>VLOOKUP(Table107[[#This Row],[NAME]],CHC_P[[NAME]:['#]],2,0)</f>
        <v>2.88</v>
      </c>
      <c r="E72" s="77">
        <f>VLOOKUP(Table107[[#This Row],[NAME]],CHC_P[[NAME]:['#]],3,0)</f>
        <v>1</v>
      </c>
      <c r="F72" s="28">
        <f>VLOOKUP(Table107[[#This Row],[NAME]],CHC_P[[NAME]:['#]],4,0)</f>
        <v>1</v>
      </c>
      <c r="G72" s="77">
        <f>VLOOKUP(Table107[[#This Row],[NAME]],CHC_P[[NAME]:['#]],5,0)</f>
        <v>21</v>
      </c>
      <c r="H72" s="584">
        <f>VLOOKUP(Table107[[#This Row],[NAME]],CHC_P[[NAME]:['#]],6,0)</f>
        <v>25</v>
      </c>
      <c r="I72" s="28">
        <f>VLOOKUP(Table107[[#This Row],[NAME]],CHC_P[[NAME]:['#]],7,0)</f>
        <v>21</v>
      </c>
      <c r="J72" s="28">
        <f>VLOOKUP(Table107[[#This Row],[NAME]],CHC_P[[NAME]:['#]],8,0)</f>
        <v>8</v>
      </c>
      <c r="K72" s="28">
        <f>VLOOKUP(Table107[[#This Row],[NAME]],CHC_P[[NAME]:['#]],9,0)</f>
        <v>3</v>
      </c>
      <c r="L72" s="28">
        <f>VLOOKUP(Table107[[#This Row],[NAME]],CHC_P[[NAME]:['#]],10,0)</f>
        <v>17</v>
      </c>
      <c r="M72" s="28">
        <f>VLOOKUP(Table107[[#This Row],[NAME]],CHC_P[[NAME]:['#]],11,0)</f>
        <v>10</v>
      </c>
      <c r="N72" s="106">
        <f>VLOOKUP(Table107[[#This Row],[NAME]],CHC_P[[NAME]:['#]],12,0)</f>
        <v>0.96</v>
      </c>
      <c r="O72" s="77">
        <f>VLOOKUP(Table107[[#This Row],[NAME]],CHC_P[[NAME]:['#]],13,0)</f>
        <v>0</v>
      </c>
      <c r="P72" s="28">
        <f>VLOOKUP(Table107[[#This Row],[NAME]],CHC_P[[NAME]:['#]],14,0)</f>
        <v>0</v>
      </c>
      <c r="Q72" s="28">
        <f>VLOOKUP(Table107[[#This Row],[NAME]],CHC_P[[NAME]:['#]],15,0)</f>
        <v>0</v>
      </c>
      <c r="R72" s="28">
        <f>VLOOKUP(Table107[[#This Row],[NAME]],CHC_P[[NAME]:['#]],16,0)</f>
        <v>0</v>
      </c>
      <c r="S72" s="75">
        <v>70</v>
      </c>
      <c r="V72" s="101" t="s">
        <v>990</v>
      </c>
      <c r="W72" s="77" t="s">
        <v>212</v>
      </c>
      <c r="X72" s="132" t="s">
        <v>1020</v>
      </c>
      <c r="Y72" s="88">
        <v>1.8240778273206322</v>
      </c>
      <c r="Z72" s="77">
        <v>1</v>
      </c>
      <c r="AA72" s="28">
        <v>0</v>
      </c>
      <c r="AB72" s="77">
        <v>22</v>
      </c>
      <c r="AC72" s="584">
        <v>24.67</v>
      </c>
      <c r="AD72" s="28">
        <v>20</v>
      </c>
      <c r="AE72" s="28">
        <v>5</v>
      </c>
      <c r="AF72" s="28">
        <v>7</v>
      </c>
      <c r="AG72" s="28">
        <v>21</v>
      </c>
      <c r="AH72" s="28">
        <v>8</v>
      </c>
      <c r="AI72" s="106">
        <v>1.0944466963923793</v>
      </c>
      <c r="AJ72" s="77">
        <v>0</v>
      </c>
      <c r="AK72" s="28">
        <v>0</v>
      </c>
      <c r="AL72" s="28">
        <v>0</v>
      </c>
      <c r="AM72" s="28">
        <v>0</v>
      </c>
      <c r="AN72" s="75">
        <v>70</v>
      </c>
      <c r="AQ72" s="101" t="s">
        <v>990</v>
      </c>
      <c r="AR72" s="77" t="s">
        <v>212</v>
      </c>
      <c r="AS72" s="77" t="s">
        <v>1020</v>
      </c>
      <c r="AT72" s="135">
        <v>6.2319676860934798</v>
      </c>
      <c r="AU72" s="77">
        <v>1</v>
      </c>
      <c r="AV72" s="28">
        <v>1</v>
      </c>
      <c r="AW72" s="77">
        <v>17</v>
      </c>
      <c r="AX72" s="584">
        <v>17.329999999999998</v>
      </c>
      <c r="AY72" s="28">
        <v>20</v>
      </c>
      <c r="AZ72" s="28">
        <v>12</v>
      </c>
      <c r="BA72" s="28">
        <v>4</v>
      </c>
      <c r="BB72" s="28">
        <v>19</v>
      </c>
      <c r="BC72" s="28">
        <v>1</v>
      </c>
      <c r="BD72" s="106">
        <v>1.3848817080207734</v>
      </c>
      <c r="BE72" s="77">
        <v>0</v>
      </c>
      <c r="BF72" s="28">
        <v>0</v>
      </c>
      <c r="BG72" s="28">
        <v>0</v>
      </c>
      <c r="BH72" s="28">
        <v>0</v>
      </c>
      <c r="BI72" s="75">
        <v>70</v>
      </c>
    </row>
    <row r="73" spans="1:61">
      <c r="A73" s="101" t="s">
        <v>1025</v>
      </c>
      <c r="B73" s="71" t="s">
        <v>206</v>
      </c>
      <c r="C73" s="71" t="s">
        <v>1045</v>
      </c>
      <c r="D73" s="89">
        <f>VLOOKUP(Table107[[#This Row],[NAME]],CIN_P[[NAME]:['#]],2,0)</f>
        <v>3.2765399737876799</v>
      </c>
      <c r="E73" s="77">
        <f>VLOOKUP(Table107[[#This Row],[NAME]],CIN_P[[NAME]:['#]],3,0)</f>
        <v>3</v>
      </c>
      <c r="F73" s="28">
        <f>VLOOKUP(Table107[[#This Row],[NAME]],CIN_P[[NAME]:['#]],4,0)</f>
        <v>4</v>
      </c>
      <c r="G73" s="77">
        <f>VLOOKUP(Table107[[#This Row],[NAME]],CIN_P[[NAME]:['#]],5,0)</f>
        <v>10</v>
      </c>
      <c r="H73" s="584">
        <f>VLOOKUP(Table107[[#This Row],[NAME]],CIN_P[[NAME]:['#]],6,0)</f>
        <v>68.67</v>
      </c>
      <c r="I73" s="28">
        <f>VLOOKUP(Table107[[#This Row],[NAME]],CIN_P[[NAME]:['#]],7,0)</f>
        <v>57</v>
      </c>
      <c r="J73" s="28">
        <f>VLOOKUP(Table107[[#This Row],[NAME]],CIN_P[[NAME]:['#]],8,0)</f>
        <v>25</v>
      </c>
      <c r="K73" s="28">
        <f>VLOOKUP(Table107[[#This Row],[NAME]],CIN_P[[NAME]:['#]],9,0)</f>
        <v>25</v>
      </c>
      <c r="L73" s="28">
        <f>VLOOKUP(Table107[[#This Row],[NAME]],CIN_P[[NAME]:['#]],10,0)</f>
        <v>73</v>
      </c>
      <c r="M73" s="28">
        <f>VLOOKUP(Table107[[#This Row],[NAME]],CIN_P[[NAME]:['#]],11,0)</f>
        <v>0</v>
      </c>
      <c r="N73" s="106">
        <f>VLOOKUP(Table107[[#This Row],[NAME]],CIN_P[[NAME]:['#]],12,0)</f>
        <v>1.1941167904470658</v>
      </c>
      <c r="O73" s="77">
        <f>VLOOKUP(Table107[[#This Row],[NAME]],CIN_P[[NAME]:['#]],13,0)</f>
        <v>7</v>
      </c>
      <c r="P73" s="28">
        <f>VLOOKUP(Table107[[#This Row],[NAME]],CIN_P[[NAME]:['#]],14,0)</f>
        <v>4</v>
      </c>
      <c r="Q73" s="28">
        <f>VLOOKUP(Table107[[#This Row],[NAME]],CIN_P[[NAME]:['#]],15,0)</f>
        <v>2</v>
      </c>
      <c r="R73" s="28">
        <f>VLOOKUP(Table107[[#This Row],[NAME]],CIN_P[[NAME]:['#]],16,0)</f>
        <v>1</v>
      </c>
      <c r="S73" s="75">
        <v>71</v>
      </c>
      <c r="V73" s="101" t="s">
        <v>1025</v>
      </c>
      <c r="W73" s="77" t="s">
        <v>206</v>
      </c>
      <c r="X73" s="77" t="s">
        <v>1045</v>
      </c>
      <c r="Y73" s="88">
        <v>2.25</v>
      </c>
      <c r="Z73" s="77">
        <v>7</v>
      </c>
      <c r="AA73" s="28">
        <v>2</v>
      </c>
      <c r="AB73" s="77">
        <v>10</v>
      </c>
      <c r="AC73" s="584">
        <v>76</v>
      </c>
      <c r="AD73" s="28">
        <v>51</v>
      </c>
      <c r="AE73" s="28">
        <v>19</v>
      </c>
      <c r="AF73" s="28">
        <v>29</v>
      </c>
      <c r="AG73" s="28">
        <v>86</v>
      </c>
      <c r="AH73" s="28">
        <v>0</v>
      </c>
      <c r="AI73" s="106">
        <v>1.0526315789473684</v>
      </c>
      <c r="AJ73" s="77">
        <v>8</v>
      </c>
      <c r="AK73" s="28">
        <v>6</v>
      </c>
      <c r="AL73" s="586">
        <v>4</v>
      </c>
      <c r="AM73" s="586">
        <v>3</v>
      </c>
      <c r="AN73" s="75">
        <v>71</v>
      </c>
      <c r="AQ73" s="101" t="s">
        <v>1025</v>
      </c>
      <c r="AR73" s="77" t="s">
        <v>206</v>
      </c>
      <c r="AS73" s="77" t="s">
        <v>1045</v>
      </c>
      <c r="AT73" s="135">
        <v>3.989951233929363</v>
      </c>
      <c r="AU73" s="77">
        <v>5</v>
      </c>
      <c r="AV73" s="28">
        <v>3</v>
      </c>
      <c r="AW73" s="77">
        <v>10</v>
      </c>
      <c r="AX73" s="584">
        <v>67.67</v>
      </c>
      <c r="AY73" s="28">
        <v>60</v>
      </c>
      <c r="AZ73" s="28">
        <v>30</v>
      </c>
      <c r="BA73" s="586">
        <v>39</v>
      </c>
      <c r="BB73" s="28">
        <v>74</v>
      </c>
      <c r="BC73" s="28">
        <v>0</v>
      </c>
      <c r="BD73" s="106">
        <v>1.462982119107433</v>
      </c>
      <c r="BE73" s="77">
        <v>6</v>
      </c>
      <c r="BF73" s="28">
        <v>3</v>
      </c>
      <c r="BG73" s="28">
        <v>2</v>
      </c>
      <c r="BH73" s="28">
        <v>2</v>
      </c>
      <c r="BI73" s="75">
        <v>71</v>
      </c>
    </row>
    <row r="74" spans="1:61">
      <c r="A74" s="101" t="s">
        <v>1025</v>
      </c>
      <c r="B74" s="71" t="s">
        <v>206</v>
      </c>
      <c r="C74" s="116" t="s">
        <v>1046</v>
      </c>
      <c r="D74" s="89">
        <f>VLOOKUP(Table107[[#This Row],[NAME]],CIN_P[[NAME]:['#]],2,0)</f>
        <v>4.826546003016591</v>
      </c>
      <c r="E74" s="77">
        <f>VLOOKUP(Table107[[#This Row],[NAME]],CIN_P[[NAME]:['#]],3,0)</f>
        <v>3</v>
      </c>
      <c r="F74" s="28">
        <f>VLOOKUP(Table107[[#This Row],[NAME]],CIN_P[[NAME]:['#]],4,0)</f>
        <v>5</v>
      </c>
      <c r="G74" s="77">
        <f>VLOOKUP(Table107[[#This Row],[NAME]],CIN_P[[NAME]:['#]],5,0)</f>
        <v>10</v>
      </c>
      <c r="H74" s="584">
        <f>VLOOKUP(Table107[[#This Row],[NAME]],CIN_P[[NAME]:['#]],6,0)</f>
        <v>59.67</v>
      </c>
      <c r="I74" s="28">
        <f>VLOOKUP(Table107[[#This Row],[NAME]],CIN_P[[NAME]:['#]],7,0)</f>
        <v>63</v>
      </c>
      <c r="J74" s="28">
        <f>VLOOKUP(Table107[[#This Row],[NAME]],CIN_P[[NAME]:['#]],8,0)</f>
        <v>32</v>
      </c>
      <c r="K74" s="28">
        <f>VLOOKUP(Table107[[#This Row],[NAME]],CIN_P[[NAME]:['#]],9,0)</f>
        <v>29</v>
      </c>
      <c r="L74" s="28">
        <f>VLOOKUP(Table107[[#This Row],[NAME]],CIN_P[[NAME]:['#]],10,0)</f>
        <v>69</v>
      </c>
      <c r="M74" s="28">
        <f>VLOOKUP(Table107[[#This Row],[NAME]],CIN_P[[NAME]:['#]],11,0)</f>
        <v>0</v>
      </c>
      <c r="N74" s="106">
        <f>VLOOKUP(Table107[[#This Row],[NAME]],CIN_P[[NAME]:['#]],12,0)</f>
        <v>1.5418133065191888</v>
      </c>
      <c r="O74" s="77">
        <f>VLOOKUP(Table107[[#This Row],[NAME]],CIN_P[[NAME]:['#]],13,0)</f>
        <v>5</v>
      </c>
      <c r="P74" s="28">
        <f>VLOOKUP(Table107[[#This Row],[NAME]],CIN_P[[NAME]:['#]],14,0)</f>
        <v>2</v>
      </c>
      <c r="Q74" s="28">
        <f>VLOOKUP(Table107[[#This Row],[NAME]],CIN_P[[NAME]:['#]],15,0)</f>
        <v>0</v>
      </c>
      <c r="R74" s="28">
        <f>VLOOKUP(Table107[[#This Row],[NAME]],CIN_P[[NAME]:['#]],16,0)</f>
        <v>0</v>
      </c>
      <c r="S74" s="75">
        <v>72</v>
      </c>
      <c r="V74" s="101" t="s">
        <v>1025</v>
      </c>
      <c r="W74" s="77" t="s">
        <v>206</v>
      </c>
      <c r="X74" s="132" t="s">
        <v>1046</v>
      </c>
      <c r="Y74" s="88">
        <v>4.8953354211307074</v>
      </c>
      <c r="Z74" s="77">
        <v>3</v>
      </c>
      <c r="AA74" s="28">
        <v>4</v>
      </c>
      <c r="AB74" s="77">
        <v>10</v>
      </c>
      <c r="AC74" s="584">
        <v>60.67</v>
      </c>
      <c r="AD74" s="28">
        <v>57</v>
      </c>
      <c r="AE74" s="28">
        <v>33</v>
      </c>
      <c r="AF74" s="28">
        <v>34</v>
      </c>
      <c r="AG74" s="28">
        <v>79</v>
      </c>
      <c r="AH74" s="28">
        <v>0</v>
      </c>
      <c r="AI74" s="106">
        <v>1.4999175869457722</v>
      </c>
      <c r="AJ74" s="77">
        <v>6</v>
      </c>
      <c r="AK74" s="28">
        <v>2</v>
      </c>
      <c r="AL74" s="28">
        <v>0</v>
      </c>
      <c r="AM74" s="28">
        <v>0</v>
      </c>
      <c r="AN74" s="75">
        <v>72</v>
      </c>
      <c r="AQ74" s="101" t="s">
        <v>1025</v>
      </c>
      <c r="AR74" s="77" t="s">
        <v>206</v>
      </c>
      <c r="AS74" s="77" t="s">
        <v>448</v>
      </c>
      <c r="AT74" s="135">
        <v>4.0862656072644725</v>
      </c>
      <c r="AU74" s="77">
        <v>4</v>
      </c>
      <c r="AV74" s="28">
        <v>3</v>
      </c>
      <c r="AW74" s="77">
        <v>10</v>
      </c>
      <c r="AX74" s="584">
        <v>61.67</v>
      </c>
      <c r="AY74" s="28">
        <v>51</v>
      </c>
      <c r="AZ74" s="28">
        <v>28</v>
      </c>
      <c r="BA74" s="28">
        <v>18</v>
      </c>
      <c r="BB74" s="28">
        <v>60</v>
      </c>
      <c r="BC74" s="28">
        <v>0</v>
      </c>
      <c r="BD74" s="106">
        <v>1.1188584400843198</v>
      </c>
      <c r="BE74" s="77">
        <v>8</v>
      </c>
      <c r="BF74" s="28">
        <v>4</v>
      </c>
      <c r="BG74" s="28">
        <v>1</v>
      </c>
      <c r="BH74" s="28">
        <v>1</v>
      </c>
      <c r="BI74" s="75">
        <v>72</v>
      </c>
    </row>
    <row r="75" spans="1:61">
      <c r="A75" s="101" t="s">
        <v>1025</v>
      </c>
      <c r="B75" s="71" t="s">
        <v>206</v>
      </c>
      <c r="C75" s="116" t="s">
        <v>1047</v>
      </c>
      <c r="D75" s="89">
        <f>VLOOKUP(Table107[[#This Row],[NAME]],CIN_P[[NAME]:['#]],2,0)</f>
        <v>4.1536179330806</v>
      </c>
      <c r="E75" s="77">
        <f>VLOOKUP(Table107[[#This Row],[NAME]],CIN_P[[NAME]:['#]],3,0)</f>
        <v>3</v>
      </c>
      <c r="F75" s="28">
        <f>VLOOKUP(Table107[[#This Row],[NAME]],CIN_P[[NAME]:['#]],4,0)</f>
        <v>5</v>
      </c>
      <c r="G75" s="77">
        <f>VLOOKUP(Table107[[#This Row],[NAME]],CIN_P[[NAME]:['#]],5,0)</f>
        <v>10</v>
      </c>
      <c r="H75" s="584">
        <f>VLOOKUP(Table107[[#This Row],[NAME]],CIN_P[[NAME]:['#]],6,0)</f>
        <v>60.67</v>
      </c>
      <c r="I75" s="28">
        <f>VLOOKUP(Table107[[#This Row],[NAME]],CIN_P[[NAME]:['#]],7,0)</f>
        <v>61</v>
      </c>
      <c r="J75" s="28">
        <f>VLOOKUP(Table107[[#This Row],[NAME]],CIN_P[[NAME]:['#]],8,0)</f>
        <v>28</v>
      </c>
      <c r="K75" s="28">
        <f>VLOOKUP(Table107[[#This Row],[NAME]],CIN_P[[NAME]:['#]],9,0)</f>
        <v>16</v>
      </c>
      <c r="L75" s="28">
        <f>VLOOKUP(Table107[[#This Row],[NAME]],CIN_P[[NAME]:['#]],10,0)</f>
        <v>48</v>
      </c>
      <c r="M75" s="28">
        <f>VLOOKUP(Table107[[#This Row],[NAME]],CIN_P[[NAME]:['#]],11,0)</f>
        <v>0</v>
      </c>
      <c r="N75" s="106">
        <f>VLOOKUP(Table107[[#This Row],[NAME]],CIN_P[[NAME]:['#]],12,0)</f>
        <v>1.269161035107961</v>
      </c>
      <c r="O75" s="77">
        <f>VLOOKUP(Table107[[#This Row],[NAME]],CIN_P[[NAME]:['#]],13,0)</f>
        <v>7</v>
      </c>
      <c r="P75" s="28">
        <f>VLOOKUP(Table107[[#This Row],[NAME]],CIN_P[[NAME]:['#]],14,0)</f>
        <v>4</v>
      </c>
      <c r="Q75" s="28">
        <f>VLOOKUP(Table107[[#This Row],[NAME]],CIN_P[[NAME]:['#]],15,0)</f>
        <v>0</v>
      </c>
      <c r="R75" s="28">
        <f>VLOOKUP(Table107[[#This Row],[NAME]],CIN_P[[NAME]:['#]],16,0)</f>
        <v>0</v>
      </c>
      <c r="S75" s="75">
        <v>73</v>
      </c>
      <c r="V75" s="101" t="s">
        <v>1025</v>
      </c>
      <c r="W75" s="77" t="s">
        <v>365</v>
      </c>
      <c r="X75" s="132" t="s">
        <v>1048</v>
      </c>
      <c r="Y75" s="88">
        <v>5.9816777438476736</v>
      </c>
      <c r="Z75" s="77">
        <v>2</v>
      </c>
      <c r="AA75" s="28">
        <v>5</v>
      </c>
      <c r="AB75" s="77">
        <v>10</v>
      </c>
      <c r="AC75" s="584">
        <v>55.67</v>
      </c>
      <c r="AD75" s="28">
        <v>57</v>
      </c>
      <c r="AE75" s="28">
        <v>37</v>
      </c>
      <c r="AF75" s="28">
        <v>33</v>
      </c>
      <c r="AG75" s="28">
        <v>72</v>
      </c>
      <c r="AH75" s="28">
        <v>0</v>
      </c>
      <c r="AI75" s="106">
        <v>1.6166696604993713</v>
      </c>
      <c r="AJ75" s="77">
        <v>4</v>
      </c>
      <c r="AK75" s="28">
        <v>2</v>
      </c>
      <c r="AL75" s="28">
        <v>0</v>
      </c>
      <c r="AM75" s="28">
        <v>0</v>
      </c>
      <c r="AN75" s="75">
        <v>73</v>
      </c>
      <c r="AQ75" s="101" t="s">
        <v>1025</v>
      </c>
      <c r="AR75" s="77" t="s">
        <v>206</v>
      </c>
      <c r="AS75" s="77" t="s">
        <v>1049</v>
      </c>
      <c r="AT75" s="135">
        <v>4.2</v>
      </c>
      <c r="AU75" s="77">
        <v>1</v>
      </c>
      <c r="AV75" s="28">
        <v>6</v>
      </c>
      <c r="AW75" s="77">
        <v>10</v>
      </c>
      <c r="AX75" s="584">
        <v>60</v>
      </c>
      <c r="AY75" s="28">
        <v>54</v>
      </c>
      <c r="AZ75" s="28">
        <v>28</v>
      </c>
      <c r="BA75" s="28">
        <v>30</v>
      </c>
      <c r="BB75" s="28">
        <v>61</v>
      </c>
      <c r="BC75" s="28">
        <v>0</v>
      </c>
      <c r="BD75" s="106">
        <v>1.4</v>
      </c>
      <c r="BE75" s="77">
        <v>6</v>
      </c>
      <c r="BF75" s="28">
        <v>3</v>
      </c>
      <c r="BG75" s="28">
        <v>0</v>
      </c>
      <c r="BH75" s="28">
        <v>0</v>
      </c>
      <c r="BI75" s="75">
        <v>73</v>
      </c>
    </row>
    <row r="76" spans="1:61">
      <c r="A76" s="101" t="s">
        <v>1025</v>
      </c>
      <c r="B76" s="71" t="s">
        <v>206</v>
      </c>
      <c r="C76" s="116" t="s">
        <v>1048</v>
      </c>
      <c r="D76" s="89">
        <f>VLOOKUP(Table107[[#This Row],[NAME]],CIN_P[[NAME]:['#]],2,0)</f>
        <v>7.0514045480603862</v>
      </c>
      <c r="E76" s="77">
        <f>VLOOKUP(Table107[[#This Row],[NAME]],CIN_P[[NAME]:['#]],3,0)</f>
        <v>3</v>
      </c>
      <c r="F76" s="28">
        <f>VLOOKUP(Table107[[#This Row],[NAME]],CIN_P[[NAME]:['#]],4,0)</f>
        <v>6</v>
      </c>
      <c r="G76" s="77">
        <f>VLOOKUP(Table107[[#This Row],[NAME]],CIN_P[[NAME]:['#]],5,0)</f>
        <v>10</v>
      </c>
      <c r="H76" s="584">
        <f>VLOOKUP(Table107[[#This Row],[NAME]],CIN_P[[NAME]:['#]],6,0)</f>
        <v>52.33</v>
      </c>
      <c r="I76" s="28">
        <f>VLOOKUP(Table107[[#This Row],[NAME]],CIN_P[[NAME]:['#]],7,0)</f>
        <v>65</v>
      </c>
      <c r="J76" s="28">
        <f>VLOOKUP(Table107[[#This Row],[NAME]],CIN_P[[NAME]:['#]],8,0)</f>
        <v>41</v>
      </c>
      <c r="K76" s="28">
        <f>VLOOKUP(Table107[[#This Row],[NAME]],CIN_P[[NAME]:['#]],9,0)</f>
        <v>33</v>
      </c>
      <c r="L76" s="28">
        <f>VLOOKUP(Table107[[#This Row],[NAME]],CIN_P[[NAME]:['#]],10,0)</f>
        <v>64</v>
      </c>
      <c r="M76" s="28">
        <f>VLOOKUP(Table107[[#This Row],[NAME]],CIN_P[[NAME]:['#]],11,0)</f>
        <v>0</v>
      </c>
      <c r="N76" s="106">
        <f>VLOOKUP(Table107[[#This Row],[NAME]],CIN_P[[NAME]:['#]],12,0)</f>
        <v>1.8727307471813492</v>
      </c>
      <c r="O76" s="77">
        <f>VLOOKUP(Table107[[#This Row],[NAME]],CIN_P[[NAME]:['#]],13,0)</f>
        <v>2</v>
      </c>
      <c r="P76" s="28">
        <f>VLOOKUP(Table107[[#This Row],[NAME]],CIN_P[[NAME]:['#]],14,0)</f>
        <v>0</v>
      </c>
      <c r="Q76" s="28">
        <f>VLOOKUP(Table107[[#This Row],[NAME]],CIN_P[[NAME]:['#]],15,0)</f>
        <v>0</v>
      </c>
      <c r="R76" s="28">
        <f>VLOOKUP(Table107[[#This Row],[NAME]],CIN_P[[NAME]:['#]],16,0)</f>
        <v>0</v>
      </c>
      <c r="S76" s="75">
        <v>74</v>
      </c>
      <c r="V76" s="101" t="s">
        <v>1025</v>
      </c>
      <c r="W76" s="77" t="s">
        <v>206</v>
      </c>
      <c r="X76" s="132" t="s">
        <v>1049</v>
      </c>
      <c r="Y76" s="88">
        <v>5.8761249338274215</v>
      </c>
      <c r="Z76" s="77">
        <v>4</v>
      </c>
      <c r="AA76" s="28">
        <v>5</v>
      </c>
      <c r="AB76" s="77">
        <v>10</v>
      </c>
      <c r="AC76" s="584">
        <v>56.67</v>
      </c>
      <c r="AD76" s="28">
        <v>68</v>
      </c>
      <c r="AE76" s="28">
        <v>37</v>
      </c>
      <c r="AF76" s="28">
        <v>23</v>
      </c>
      <c r="AG76" s="28">
        <v>55</v>
      </c>
      <c r="AH76" s="28">
        <v>0</v>
      </c>
      <c r="AI76" s="106">
        <v>1.605787894829716</v>
      </c>
      <c r="AJ76" s="77">
        <v>4</v>
      </c>
      <c r="AK76" s="28">
        <v>1</v>
      </c>
      <c r="AL76" s="28">
        <v>0</v>
      </c>
      <c r="AM76" s="28">
        <v>0</v>
      </c>
      <c r="AN76" s="75">
        <v>74</v>
      </c>
      <c r="AQ76" s="101" t="s">
        <v>1025</v>
      </c>
      <c r="AR76" s="77" t="s">
        <v>206</v>
      </c>
      <c r="AS76" s="77" t="s">
        <v>1050</v>
      </c>
      <c r="AT76" s="135">
        <v>3.8165541071148108</v>
      </c>
      <c r="AU76" s="77">
        <v>3</v>
      </c>
      <c r="AV76" s="28">
        <v>1</v>
      </c>
      <c r="AW76" s="77">
        <v>10</v>
      </c>
      <c r="AX76" s="584">
        <v>63.67</v>
      </c>
      <c r="AY76" s="28">
        <v>59</v>
      </c>
      <c r="AZ76" s="28">
        <v>27</v>
      </c>
      <c r="BA76" s="28">
        <v>21</v>
      </c>
      <c r="BB76" s="28">
        <v>59</v>
      </c>
      <c r="BC76" s="28">
        <v>0</v>
      </c>
      <c r="BD76" s="106">
        <v>1.2564787183917072</v>
      </c>
      <c r="BE76" s="77">
        <v>8</v>
      </c>
      <c r="BF76" s="28">
        <v>2</v>
      </c>
      <c r="BG76" s="28">
        <v>0</v>
      </c>
      <c r="BH76" s="28">
        <v>0</v>
      </c>
      <c r="BI76" s="75">
        <v>74</v>
      </c>
    </row>
    <row r="77" spans="1:61">
      <c r="A77" s="101" t="s">
        <v>1025</v>
      </c>
      <c r="B77" s="71" t="s">
        <v>215</v>
      </c>
      <c r="C77" s="116" t="s">
        <v>1051</v>
      </c>
      <c r="D77" s="89">
        <f>VLOOKUP(Table107[[#This Row],[NAME]],CIN_P[[NAME]:['#]],2,0)</f>
        <v>5.329648637978682</v>
      </c>
      <c r="E77" s="77">
        <f>VLOOKUP(Table107[[#This Row],[NAME]],CIN_P[[NAME]:['#]],3,0)</f>
        <v>1</v>
      </c>
      <c r="F77" s="28">
        <f>VLOOKUP(Table107[[#This Row],[NAME]],CIN_P[[NAME]:['#]],4,0)</f>
        <v>2</v>
      </c>
      <c r="G77" s="77">
        <f>VLOOKUP(Table107[[#This Row],[NAME]],CIN_P[[NAME]:['#]],5,0)</f>
        <v>13</v>
      </c>
      <c r="H77" s="584">
        <f>VLOOKUP(Table107[[#This Row],[NAME]],CIN_P[[NAME]:['#]],6,0)</f>
        <v>25.33</v>
      </c>
      <c r="I77" s="28">
        <f>VLOOKUP(Table107[[#This Row],[NAME]],CIN_P[[NAME]:['#]],7,0)</f>
        <v>33</v>
      </c>
      <c r="J77" s="28">
        <f>VLOOKUP(Table107[[#This Row],[NAME]],CIN_P[[NAME]:['#]],8,0)</f>
        <v>15</v>
      </c>
      <c r="K77" s="28">
        <f>VLOOKUP(Table107[[#This Row],[NAME]],CIN_P[[NAME]:['#]],9,0)</f>
        <v>10</v>
      </c>
      <c r="L77" s="28">
        <f>VLOOKUP(Table107[[#This Row],[NAME]],CIN_P[[NAME]:['#]],10,0)</f>
        <v>22</v>
      </c>
      <c r="M77" s="28">
        <f>VLOOKUP(Table107[[#This Row],[NAME]],CIN_P[[NAME]:['#]],11,0)</f>
        <v>0</v>
      </c>
      <c r="N77" s="106">
        <f>VLOOKUP(Table107[[#This Row],[NAME]],CIN_P[[NAME]:['#]],12,0)</f>
        <v>1.6975917883932097</v>
      </c>
      <c r="O77" s="77">
        <f>VLOOKUP(Table107[[#This Row],[NAME]],CIN_P[[NAME]:['#]],13,0)</f>
        <v>0</v>
      </c>
      <c r="P77" s="28">
        <f>VLOOKUP(Table107[[#This Row],[NAME]],CIN_P[[NAME]:['#]],14,0)</f>
        <v>0</v>
      </c>
      <c r="Q77" s="28">
        <f>VLOOKUP(Table107[[#This Row],[NAME]],CIN_P[[NAME]:['#]],15,0)</f>
        <v>0</v>
      </c>
      <c r="R77" s="28">
        <f>VLOOKUP(Table107[[#This Row],[NAME]],CIN_P[[NAME]:['#]],16,0)</f>
        <v>0</v>
      </c>
      <c r="S77" s="75">
        <v>75</v>
      </c>
      <c r="V77" s="101" t="s">
        <v>1025</v>
      </c>
      <c r="W77" s="77" t="s">
        <v>212</v>
      </c>
      <c r="X77" s="132" t="s">
        <v>1050</v>
      </c>
      <c r="Y77" s="88">
        <v>6.5837600585223113</v>
      </c>
      <c r="Z77" s="77">
        <v>0</v>
      </c>
      <c r="AA77" s="28">
        <v>0</v>
      </c>
      <c r="AB77" s="77">
        <v>8</v>
      </c>
      <c r="AC77" s="584">
        <v>13.67</v>
      </c>
      <c r="AD77" s="28">
        <v>20</v>
      </c>
      <c r="AE77" s="28">
        <v>10</v>
      </c>
      <c r="AF77" s="28">
        <v>3</v>
      </c>
      <c r="AG77" s="28">
        <v>6</v>
      </c>
      <c r="AH77" s="28">
        <v>0</v>
      </c>
      <c r="AI77" s="106">
        <v>1.6825164594001463</v>
      </c>
      <c r="AJ77" s="77">
        <v>0</v>
      </c>
      <c r="AK77" s="28">
        <v>0</v>
      </c>
      <c r="AL77" s="28">
        <v>0</v>
      </c>
      <c r="AM77" s="28">
        <v>0</v>
      </c>
      <c r="AN77" s="75">
        <v>75</v>
      </c>
      <c r="AQ77" s="101" t="s">
        <v>1025</v>
      </c>
      <c r="AR77" s="77" t="s">
        <v>215</v>
      </c>
      <c r="AS77" s="77" t="s">
        <v>1046</v>
      </c>
      <c r="AT77" s="135">
        <v>2.8421052631578947</v>
      </c>
      <c r="AU77" s="77">
        <v>0</v>
      </c>
      <c r="AV77" s="28">
        <v>0</v>
      </c>
      <c r="AW77" s="77">
        <v>10</v>
      </c>
      <c r="AX77" s="584">
        <v>19</v>
      </c>
      <c r="AY77" s="28">
        <v>21</v>
      </c>
      <c r="AZ77" s="28">
        <v>6</v>
      </c>
      <c r="BA77" s="28">
        <v>5</v>
      </c>
      <c r="BB77" s="28">
        <v>12</v>
      </c>
      <c r="BC77" s="28">
        <v>0</v>
      </c>
      <c r="BD77" s="106">
        <v>1.368421052631579</v>
      </c>
      <c r="BE77" s="77">
        <v>0</v>
      </c>
      <c r="BF77" s="28">
        <v>0</v>
      </c>
      <c r="BG77" s="28">
        <v>0</v>
      </c>
      <c r="BH77" s="28">
        <v>0</v>
      </c>
      <c r="BI77" s="75">
        <v>75</v>
      </c>
    </row>
    <row r="78" spans="1:61">
      <c r="A78" s="101" t="s">
        <v>1025</v>
      </c>
      <c r="B78" s="71" t="s">
        <v>212</v>
      </c>
      <c r="C78" s="116" t="s">
        <v>1053</v>
      </c>
      <c r="D78" s="89">
        <f>VLOOKUP(Table107[[#This Row],[NAME]],CIN_P[[NAME]:['#]],2,0)</f>
        <v>6.0987415295256531</v>
      </c>
      <c r="E78" s="77">
        <f>VLOOKUP(Table107[[#This Row],[NAME]],CIN_P[[NAME]:['#]],3,0)</f>
        <v>0</v>
      </c>
      <c r="F78" s="28">
        <f>VLOOKUP(Table107[[#This Row],[NAME]],CIN_P[[NAME]:['#]],4,0)</f>
        <v>0</v>
      </c>
      <c r="G78" s="77">
        <f>VLOOKUP(Table107[[#This Row],[NAME]],CIN_P[[NAME]:['#]],5,0)</f>
        <v>7</v>
      </c>
      <c r="H78" s="584">
        <f>VLOOKUP(Table107[[#This Row],[NAME]],CIN_P[[NAME]:['#]],6,0)</f>
        <v>10.33</v>
      </c>
      <c r="I78" s="28">
        <f>VLOOKUP(Table107[[#This Row],[NAME]],CIN_P[[NAME]:['#]],7,0)</f>
        <v>13</v>
      </c>
      <c r="J78" s="28">
        <f>VLOOKUP(Table107[[#This Row],[NAME]],CIN_P[[NAME]:['#]],8,0)</f>
        <v>7</v>
      </c>
      <c r="K78" s="28">
        <f>VLOOKUP(Table107[[#This Row],[NAME]],CIN_P[[NAME]:['#]],9,0)</f>
        <v>2</v>
      </c>
      <c r="L78" s="28">
        <f>VLOOKUP(Table107[[#This Row],[NAME]],CIN_P[[NAME]:['#]],10,0)</f>
        <v>11</v>
      </c>
      <c r="M78" s="28">
        <f>VLOOKUP(Table107[[#This Row],[NAME]],CIN_P[[NAME]:['#]],11,0)</f>
        <v>0</v>
      </c>
      <c r="N78" s="106">
        <f>VLOOKUP(Table107[[#This Row],[NAME]],CIN_P[[NAME]:['#]],12,0)</f>
        <v>1.452081316553727</v>
      </c>
      <c r="O78" s="77">
        <f>VLOOKUP(Table107[[#This Row],[NAME]],CIN_P[[NAME]:['#]],13,0)</f>
        <v>0</v>
      </c>
      <c r="P78" s="28">
        <f>VLOOKUP(Table107[[#This Row],[NAME]],CIN_P[[NAME]:['#]],14,0)</f>
        <v>0</v>
      </c>
      <c r="Q78" s="28">
        <f>VLOOKUP(Table107[[#This Row],[NAME]],CIN_P[[NAME]:['#]],15,0)</f>
        <v>0</v>
      </c>
      <c r="R78" s="28">
        <f>VLOOKUP(Table107[[#This Row],[NAME]],CIN_P[[NAME]:['#]],16,0)</f>
        <v>0</v>
      </c>
      <c r="S78" s="75">
        <v>76</v>
      </c>
      <c r="V78" s="101" t="s">
        <v>1025</v>
      </c>
      <c r="W78" s="77" t="s">
        <v>215</v>
      </c>
      <c r="X78" s="132" t="s">
        <v>1053</v>
      </c>
      <c r="Y78" s="88">
        <v>8.7124878993223618</v>
      </c>
      <c r="Z78" s="77">
        <v>0</v>
      </c>
      <c r="AA78" s="28">
        <v>0</v>
      </c>
      <c r="AB78" s="77">
        <v>6</v>
      </c>
      <c r="AC78" s="584">
        <v>10.33</v>
      </c>
      <c r="AD78" s="28">
        <v>17</v>
      </c>
      <c r="AE78" s="28">
        <v>10</v>
      </c>
      <c r="AF78" s="28">
        <v>4</v>
      </c>
      <c r="AG78" s="28">
        <v>6</v>
      </c>
      <c r="AH78" s="28">
        <v>1</v>
      </c>
      <c r="AI78" s="106">
        <v>2.0329138431752178</v>
      </c>
      <c r="AJ78" s="77">
        <v>0</v>
      </c>
      <c r="AK78" s="28">
        <v>0</v>
      </c>
      <c r="AL78" s="28">
        <v>0</v>
      </c>
      <c r="AM78" s="28">
        <v>0</v>
      </c>
      <c r="AN78" s="75">
        <v>76</v>
      </c>
      <c r="AQ78" s="101" t="s">
        <v>1025</v>
      </c>
      <c r="AR78" s="77" t="s">
        <v>215</v>
      </c>
      <c r="AS78" s="77" t="s">
        <v>1052</v>
      </c>
      <c r="AT78" s="135">
        <v>12.698412698412698</v>
      </c>
      <c r="AU78" s="77">
        <v>0</v>
      </c>
      <c r="AV78" s="28">
        <v>0</v>
      </c>
      <c r="AW78" s="77">
        <v>5</v>
      </c>
      <c r="AX78" s="584">
        <v>5.67</v>
      </c>
      <c r="AY78" s="28">
        <v>8</v>
      </c>
      <c r="AZ78" s="28">
        <v>8</v>
      </c>
      <c r="BA78" s="28">
        <v>5</v>
      </c>
      <c r="BB78" s="28">
        <v>4</v>
      </c>
      <c r="BC78" s="28">
        <v>0</v>
      </c>
      <c r="BD78" s="106">
        <v>2.2927689594356262</v>
      </c>
      <c r="BE78" s="77">
        <v>0</v>
      </c>
      <c r="BF78" s="28">
        <v>0</v>
      </c>
      <c r="BG78" s="28">
        <v>0</v>
      </c>
      <c r="BH78" s="28">
        <v>0</v>
      </c>
      <c r="BI78" s="75">
        <v>76</v>
      </c>
    </row>
    <row r="79" spans="1:61">
      <c r="A79" s="101" t="s">
        <v>1025</v>
      </c>
      <c r="B79" s="71" t="s">
        <v>215</v>
      </c>
      <c r="C79" s="71" t="s">
        <v>1054</v>
      </c>
      <c r="D79" s="89">
        <f>VLOOKUP(Table107[[#This Row],[NAME]],CIN_P[[NAME]:['#]],2,0)</f>
        <v>6</v>
      </c>
      <c r="E79" s="77">
        <f>VLOOKUP(Table107[[#This Row],[NAME]],CIN_P[[NAME]:['#]],3,0)</f>
        <v>0</v>
      </c>
      <c r="F79" s="28">
        <f>VLOOKUP(Table107[[#This Row],[NAME]],CIN_P[[NAME]:['#]],4,0)</f>
        <v>0</v>
      </c>
      <c r="G79" s="77">
        <f>VLOOKUP(Table107[[#This Row],[NAME]],CIN_P[[NAME]:['#]],5,0)</f>
        <v>5</v>
      </c>
      <c r="H79" s="584">
        <f>VLOOKUP(Table107[[#This Row],[NAME]],CIN_P[[NAME]:['#]],6,0)</f>
        <v>9</v>
      </c>
      <c r="I79" s="28">
        <f>VLOOKUP(Table107[[#This Row],[NAME]],CIN_P[[NAME]:['#]],7,0)</f>
        <v>11</v>
      </c>
      <c r="J79" s="28">
        <f>VLOOKUP(Table107[[#This Row],[NAME]],CIN_P[[NAME]:['#]],8,0)</f>
        <v>6</v>
      </c>
      <c r="K79" s="28">
        <f>VLOOKUP(Table107[[#This Row],[NAME]],CIN_P[[NAME]:['#]],9,0)</f>
        <v>1</v>
      </c>
      <c r="L79" s="28">
        <f>VLOOKUP(Table107[[#This Row],[NAME]],CIN_P[[NAME]:['#]],10,0)</f>
        <v>7</v>
      </c>
      <c r="M79" s="28">
        <f>VLOOKUP(Table107[[#This Row],[NAME]],CIN_P[[NAME]:['#]],11,0)</f>
        <v>0</v>
      </c>
      <c r="N79" s="106">
        <f>VLOOKUP(Table107[[#This Row],[NAME]],CIN_P[[NAME]:['#]],12,0)</f>
        <v>1.3333333333333333</v>
      </c>
      <c r="O79" s="77">
        <f>VLOOKUP(Table107[[#This Row],[NAME]],CIN_P[[NAME]:['#]],13,0)</f>
        <v>0</v>
      </c>
      <c r="P79" s="28">
        <f>VLOOKUP(Table107[[#This Row],[NAME]],CIN_P[[NAME]:['#]],14,0)</f>
        <v>0</v>
      </c>
      <c r="Q79" s="28">
        <f>VLOOKUP(Table107[[#This Row],[NAME]],CIN_P[[NAME]:['#]],15,0)</f>
        <v>0</v>
      </c>
      <c r="R79" s="28">
        <f>VLOOKUP(Table107[[#This Row],[NAME]],CIN_P[[NAME]:['#]],16,0)</f>
        <v>0</v>
      </c>
      <c r="S79" s="75">
        <v>77</v>
      </c>
      <c r="V79" s="101" t="s">
        <v>1025</v>
      </c>
      <c r="W79" s="77" t="s">
        <v>212</v>
      </c>
      <c r="X79" s="132" t="s">
        <v>1052</v>
      </c>
      <c r="Y79" s="88">
        <v>9</v>
      </c>
      <c r="Z79" s="77">
        <v>0</v>
      </c>
      <c r="AA79" s="28">
        <v>0</v>
      </c>
      <c r="AB79" s="77">
        <v>5</v>
      </c>
      <c r="AC79" s="584">
        <v>9</v>
      </c>
      <c r="AD79" s="28">
        <v>17</v>
      </c>
      <c r="AE79" s="28">
        <v>9</v>
      </c>
      <c r="AF79" s="28">
        <v>7</v>
      </c>
      <c r="AG79" s="28">
        <v>7</v>
      </c>
      <c r="AH79" s="28">
        <v>0</v>
      </c>
      <c r="AI79" s="106">
        <v>2.6666666666666665</v>
      </c>
      <c r="AJ79" s="77">
        <v>0</v>
      </c>
      <c r="AK79" s="28">
        <v>0</v>
      </c>
      <c r="AL79" s="28">
        <v>0</v>
      </c>
      <c r="AM79" s="28">
        <v>0</v>
      </c>
      <c r="AN79" s="75">
        <v>77</v>
      </c>
      <c r="AQ79" s="101" t="s">
        <v>1025</v>
      </c>
      <c r="AR79" s="77" t="s">
        <v>212</v>
      </c>
      <c r="AS79" s="77" t="s">
        <v>1057</v>
      </c>
      <c r="AT79" s="135">
        <v>5.3231939163498092</v>
      </c>
      <c r="AU79" s="77">
        <v>4</v>
      </c>
      <c r="AV79" s="28">
        <v>4</v>
      </c>
      <c r="AW79" s="77">
        <v>25</v>
      </c>
      <c r="AX79" s="584">
        <v>23.67</v>
      </c>
      <c r="AY79" s="28">
        <v>24</v>
      </c>
      <c r="AZ79" s="28">
        <v>14</v>
      </c>
      <c r="BA79" s="28">
        <v>14</v>
      </c>
      <c r="BB79" s="28">
        <v>36</v>
      </c>
      <c r="BC79" s="28">
        <v>1</v>
      </c>
      <c r="BD79" s="106">
        <v>1.605407689057879</v>
      </c>
      <c r="BE79" s="77">
        <v>0</v>
      </c>
      <c r="BF79" s="28">
        <v>0</v>
      </c>
      <c r="BG79" s="28">
        <v>0</v>
      </c>
      <c r="BH79" s="28">
        <v>0</v>
      </c>
      <c r="BI79" s="75">
        <v>77</v>
      </c>
    </row>
    <row r="80" spans="1:61">
      <c r="A80" s="101" t="s">
        <v>1025</v>
      </c>
      <c r="B80" s="71" t="s">
        <v>212</v>
      </c>
      <c r="C80" s="71" t="s">
        <v>1055</v>
      </c>
      <c r="D80" s="89">
        <f>VLOOKUP(Table107[[#This Row],[NAME]],CIN_P[[NAME]:['#]],2,0)</f>
        <v>3.2727272727272729</v>
      </c>
      <c r="E80" s="77">
        <f>VLOOKUP(Table107[[#This Row],[NAME]],CIN_P[[NAME]:['#]],3,0)</f>
        <v>0</v>
      </c>
      <c r="F80" s="28">
        <f>VLOOKUP(Table107[[#This Row],[NAME]],CIN_P[[NAME]:['#]],4,0)</f>
        <v>1</v>
      </c>
      <c r="G80" s="77">
        <f>VLOOKUP(Table107[[#This Row],[NAME]],CIN_P[[NAME]:['#]],5,0)</f>
        <v>19</v>
      </c>
      <c r="H80" s="584">
        <f>VLOOKUP(Table107[[#This Row],[NAME]],CIN_P[[NAME]:['#]],6,0)</f>
        <v>22</v>
      </c>
      <c r="I80" s="28">
        <f>VLOOKUP(Table107[[#This Row],[NAME]],CIN_P[[NAME]:['#]],7,0)</f>
        <v>21</v>
      </c>
      <c r="J80" s="28">
        <f>VLOOKUP(Table107[[#This Row],[NAME]],CIN_P[[NAME]:['#]],8,0)</f>
        <v>8</v>
      </c>
      <c r="K80" s="28">
        <f>VLOOKUP(Table107[[#This Row],[NAME]],CIN_P[[NAME]:['#]],9,0)</f>
        <v>7</v>
      </c>
      <c r="L80" s="28">
        <f>VLOOKUP(Table107[[#This Row],[NAME]],CIN_P[[NAME]:['#]],10,0)</f>
        <v>17</v>
      </c>
      <c r="M80" s="28">
        <f>VLOOKUP(Table107[[#This Row],[NAME]],CIN_P[[NAME]:['#]],11,0)</f>
        <v>0</v>
      </c>
      <c r="N80" s="106">
        <f>VLOOKUP(Table107[[#This Row],[NAME]],CIN_P[[NAME]:['#]],12,0)</f>
        <v>1.2727272727272727</v>
      </c>
      <c r="O80" s="77">
        <f>VLOOKUP(Table107[[#This Row],[NAME]],CIN_P[[NAME]:['#]],13,0)</f>
        <v>0</v>
      </c>
      <c r="P80" s="28">
        <f>VLOOKUP(Table107[[#This Row],[NAME]],CIN_P[[NAME]:['#]],14,0)</f>
        <v>0</v>
      </c>
      <c r="Q80" s="28">
        <f>VLOOKUP(Table107[[#This Row],[NAME]],CIN_P[[NAME]:['#]],15,0)</f>
        <v>0</v>
      </c>
      <c r="R80" s="28">
        <f>VLOOKUP(Table107[[#This Row],[NAME]],CIN_P[[NAME]:['#]],16,0)</f>
        <v>0</v>
      </c>
      <c r="S80" s="75">
        <v>78</v>
      </c>
      <c r="V80" s="101" t="s">
        <v>1025</v>
      </c>
      <c r="W80" s="77" t="s">
        <v>212</v>
      </c>
      <c r="X80" s="77" t="s">
        <v>1057</v>
      </c>
      <c r="Y80" s="88">
        <v>6.2018646128901498</v>
      </c>
      <c r="Z80" s="77">
        <v>2</v>
      </c>
      <c r="AA80" s="28">
        <v>2</v>
      </c>
      <c r="AB80" s="77">
        <v>23</v>
      </c>
      <c r="AC80" s="584">
        <v>24.67</v>
      </c>
      <c r="AD80" s="28">
        <v>28</v>
      </c>
      <c r="AE80" s="28">
        <v>17</v>
      </c>
      <c r="AF80" s="28">
        <v>9</v>
      </c>
      <c r="AG80" s="28">
        <v>39</v>
      </c>
      <c r="AH80" s="28">
        <v>0</v>
      </c>
      <c r="AI80" s="106">
        <v>1.4997973246858531</v>
      </c>
      <c r="AJ80" s="77">
        <v>0</v>
      </c>
      <c r="AK80" s="28">
        <v>0</v>
      </c>
      <c r="AL80" s="28">
        <v>0</v>
      </c>
      <c r="AM80" s="28">
        <v>0</v>
      </c>
      <c r="AN80" s="75">
        <v>78</v>
      </c>
      <c r="AQ80" s="101" t="s">
        <v>1025</v>
      </c>
      <c r="AR80" s="77" t="s">
        <v>212</v>
      </c>
      <c r="AS80" s="77" t="s">
        <v>1055</v>
      </c>
      <c r="AT80" s="135">
        <v>3.7228541882109618</v>
      </c>
      <c r="AU80" s="77">
        <v>0</v>
      </c>
      <c r="AV80" s="28">
        <v>1</v>
      </c>
      <c r="AW80" s="77">
        <v>10</v>
      </c>
      <c r="AX80" s="584">
        <v>9.67</v>
      </c>
      <c r="AY80" s="28">
        <v>9</v>
      </c>
      <c r="AZ80" s="28">
        <v>4</v>
      </c>
      <c r="BA80" s="28">
        <v>5</v>
      </c>
      <c r="BB80" s="28">
        <v>14</v>
      </c>
      <c r="BC80" s="28">
        <v>0</v>
      </c>
      <c r="BD80" s="106">
        <v>1.4477766287487073</v>
      </c>
      <c r="BE80" s="77">
        <v>0</v>
      </c>
      <c r="BF80" s="28">
        <v>0</v>
      </c>
      <c r="BG80" s="28">
        <v>0</v>
      </c>
      <c r="BH80" s="28">
        <v>0</v>
      </c>
      <c r="BI80" s="75">
        <v>78</v>
      </c>
    </row>
    <row r="81" spans="1:61">
      <c r="A81" s="101" t="s">
        <v>1025</v>
      </c>
      <c r="B81" s="71" t="s">
        <v>212</v>
      </c>
      <c r="C81" s="116" t="s">
        <v>1056</v>
      </c>
      <c r="D81" s="89">
        <f>VLOOKUP(Table107[[#This Row],[NAME]],CIN_P[[NAME]:['#]],2,0)</f>
        <v>2.5893958076448831</v>
      </c>
      <c r="E81" s="77">
        <f>VLOOKUP(Table107[[#This Row],[NAME]],CIN_P[[NAME]:['#]],3,0)</f>
        <v>1</v>
      </c>
      <c r="F81" s="28">
        <f>VLOOKUP(Table107[[#This Row],[NAME]],CIN_P[[NAME]:['#]],4,0)</f>
        <v>2</v>
      </c>
      <c r="G81" s="352">
        <f>VLOOKUP(Table107[[#This Row],[NAME]],CIN_P[[NAME]:['#]],5,0)</f>
        <v>24</v>
      </c>
      <c r="H81" s="584">
        <f>VLOOKUP(Table107[[#This Row],[NAME]],CIN_P[[NAME]:['#]],6,0)</f>
        <v>24.33</v>
      </c>
      <c r="I81" s="28">
        <f>VLOOKUP(Table107[[#This Row],[NAME]],CIN_P[[NAME]:['#]],7,0)</f>
        <v>20</v>
      </c>
      <c r="J81" s="28">
        <f>VLOOKUP(Table107[[#This Row],[NAME]],CIN_P[[NAME]:['#]],8,0)</f>
        <v>7</v>
      </c>
      <c r="K81" s="28">
        <f>VLOOKUP(Table107[[#This Row],[NAME]],CIN_P[[NAME]:['#]],9,0)</f>
        <v>17</v>
      </c>
      <c r="L81" s="28">
        <f>VLOOKUP(Table107[[#This Row],[NAME]],CIN_P[[NAME]:['#]],10,0)</f>
        <v>28</v>
      </c>
      <c r="M81" s="28">
        <f>VLOOKUP(Table107[[#This Row],[NAME]],CIN_P[[NAME]:['#]],11,0)</f>
        <v>0</v>
      </c>
      <c r="N81" s="106">
        <f>VLOOKUP(Table107[[#This Row],[NAME]],CIN_P[[NAME]:['#]],12,0)</f>
        <v>1.5207562679819155</v>
      </c>
      <c r="O81" s="77">
        <f>VLOOKUP(Table107[[#This Row],[NAME]],CIN_P[[NAME]:['#]],13,0)</f>
        <v>0</v>
      </c>
      <c r="P81" s="28">
        <f>VLOOKUP(Table107[[#This Row],[NAME]],CIN_P[[NAME]:['#]],14,0)</f>
        <v>0</v>
      </c>
      <c r="Q81" s="28">
        <f>VLOOKUP(Table107[[#This Row],[NAME]],CIN_P[[NAME]:['#]],15,0)</f>
        <v>0</v>
      </c>
      <c r="R81" s="28">
        <f>VLOOKUP(Table107[[#This Row],[NAME]],CIN_P[[NAME]:['#]],16,0)</f>
        <v>0</v>
      </c>
      <c r="S81" s="75">
        <v>79</v>
      </c>
      <c r="V81" s="101" t="s">
        <v>1025</v>
      </c>
      <c r="W81" s="77" t="s">
        <v>212</v>
      </c>
      <c r="X81" s="132" t="s">
        <v>1056</v>
      </c>
      <c r="Y81" s="88">
        <v>4.5</v>
      </c>
      <c r="Z81" s="77">
        <v>1</v>
      </c>
      <c r="AA81" s="28">
        <v>0</v>
      </c>
      <c r="AB81" s="77">
        <v>23</v>
      </c>
      <c r="AC81" s="584">
        <v>26</v>
      </c>
      <c r="AD81" s="28">
        <v>20</v>
      </c>
      <c r="AE81" s="28">
        <v>13</v>
      </c>
      <c r="AF81" s="28">
        <v>15</v>
      </c>
      <c r="AG81" s="28">
        <v>40</v>
      </c>
      <c r="AH81" s="28">
        <v>0</v>
      </c>
      <c r="AI81" s="106">
        <v>1.3461538461538463</v>
      </c>
      <c r="AJ81" s="77">
        <v>0</v>
      </c>
      <c r="AK81" s="28">
        <v>0</v>
      </c>
      <c r="AL81" s="28">
        <v>0</v>
      </c>
      <c r="AM81" s="28">
        <v>0</v>
      </c>
      <c r="AN81" s="75">
        <v>79</v>
      </c>
      <c r="AQ81" s="101" t="s">
        <v>1025</v>
      </c>
      <c r="AR81" s="77" t="s">
        <v>212</v>
      </c>
      <c r="AS81" s="77" t="s">
        <v>1056</v>
      </c>
      <c r="AT81" s="135">
        <v>1.4598540145985401</v>
      </c>
      <c r="AU81" s="77">
        <v>0</v>
      </c>
      <c r="AV81" s="28">
        <v>0</v>
      </c>
      <c r="AW81" s="77">
        <v>12</v>
      </c>
      <c r="AX81" s="584">
        <v>12.33</v>
      </c>
      <c r="AY81" s="28">
        <v>12</v>
      </c>
      <c r="AZ81" s="28">
        <v>2</v>
      </c>
      <c r="BA81" s="28">
        <v>1</v>
      </c>
      <c r="BB81" s="28">
        <v>5</v>
      </c>
      <c r="BC81" s="28">
        <v>0</v>
      </c>
      <c r="BD81" s="106">
        <v>1.0543390105433901</v>
      </c>
      <c r="BE81" s="77">
        <v>0</v>
      </c>
      <c r="BF81" s="28">
        <v>0</v>
      </c>
      <c r="BG81" s="28">
        <v>0</v>
      </c>
      <c r="BH81" s="28">
        <v>0</v>
      </c>
      <c r="BI81" s="75">
        <v>79</v>
      </c>
    </row>
    <row r="82" spans="1:61">
      <c r="A82" s="101" t="s">
        <v>1025</v>
      </c>
      <c r="B82" s="71" t="s">
        <v>212</v>
      </c>
      <c r="C82" s="71" t="s">
        <v>1058</v>
      </c>
      <c r="D82" s="89">
        <f>VLOOKUP(Table107[[#This Row],[NAME]],CIN_P[[NAME]:['#]],2,0)</f>
        <v>1.9850022055580061</v>
      </c>
      <c r="E82" s="77">
        <f>VLOOKUP(Table107[[#This Row],[NAME]],CIN_P[[NAME]:['#]],3,0)</f>
        <v>0</v>
      </c>
      <c r="F82" s="28">
        <f>VLOOKUP(Table107[[#This Row],[NAME]],CIN_P[[NAME]:['#]],4,0)</f>
        <v>1</v>
      </c>
      <c r="G82" s="352">
        <f>VLOOKUP(Table107[[#This Row],[NAME]],CIN_P[[NAME]:['#]],5,0)</f>
        <v>24</v>
      </c>
      <c r="H82" s="584">
        <f>VLOOKUP(Table107[[#This Row],[NAME]],CIN_P[[NAME]:['#]],6,0)</f>
        <v>22.67</v>
      </c>
      <c r="I82" s="28">
        <f>VLOOKUP(Table107[[#This Row],[NAME]],CIN_P[[NAME]:['#]],7,0)</f>
        <v>21</v>
      </c>
      <c r="J82" s="28">
        <f>VLOOKUP(Table107[[#This Row],[NAME]],CIN_P[[NAME]:['#]],8,0)</f>
        <v>5</v>
      </c>
      <c r="K82" s="28">
        <f>VLOOKUP(Table107[[#This Row],[NAME]],CIN_P[[NAME]:['#]],9,0)</f>
        <v>7</v>
      </c>
      <c r="L82" s="28">
        <f>VLOOKUP(Table107[[#This Row],[NAME]],CIN_P[[NAME]:['#]],10,0)</f>
        <v>21</v>
      </c>
      <c r="M82" s="28">
        <f>VLOOKUP(Table107[[#This Row],[NAME]],CIN_P[[NAME]:['#]],11,0)</f>
        <v>8</v>
      </c>
      <c r="N82" s="106">
        <f>VLOOKUP(Table107[[#This Row],[NAME]],CIN_P[[NAME]:['#]],12,0)</f>
        <v>1.2351124834583149</v>
      </c>
      <c r="O82" s="77">
        <f>VLOOKUP(Table107[[#This Row],[NAME]],CIN_P[[NAME]:['#]],13,0)</f>
        <v>0</v>
      </c>
      <c r="P82" s="28">
        <f>VLOOKUP(Table107[[#This Row],[NAME]],CIN_P[[NAME]:['#]],14,0)</f>
        <v>0</v>
      </c>
      <c r="Q82" s="28">
        <f>VLOOKUP(Table107[[#This Row],[NAME]],CIN_P[[NAME]:['#]],15,0)</f>
        <v>0</v>
      </c>
      <c r="R82" s="28">
        <f>VLOOKUP(Table107[[#This Row],[NAME]],CIN_P[[NAME]:['#]],16,0)</f>
        <v>0</v>
      </c>
      <c r="S82" s="75">
        <v>80</v>
      </c>
      <c r="V82" s="101" t="s">
        <v>1025</v>
      </c>
      <c r="W82" s="352" t="s">
        <v>212</v>
      </c>
      <c r="X82" s="352" t="s">
        <v>1058</v>
      </c>
      <c r="Y82" s="529">
        <v>0.33745781777277839</v>
      </c>
      <c r="Z82" s="77">
        <v>3</v>
      </c>
      <c r="AA82" s="28">
        <v>0</v>
      </c>
      <c r="AB82" s="77">
        <v>24</v>
      </c>
      <c r="AC82" s="584">
        <v>26.67</v>
      </c>
      <c r="AD82" s="28">
        <v>15</v>
      </c>
      <c r="AE82" s="28">
        <v>1</v>
      </c>
      <c r="AF82" s="28">
        <v>7</v>
      </c>
      <c r="AG82" s="28">
        <v>27</v>
      </c>
      <c r="AH82" s="28">
        <v>11</v>
      </c>
      <c r="AI82" s="106">
        <v>0.82489688788901383</v>
      </c>
      <c r="AJ82" s="77">
        <v>0</v>
      </c>
      <c r="AK82" s="28">
        <v>0</v>
      </c>
      <c r="AL82" s="28">
        <v>0</v>
      </c>
      <c r="AM82" s="28">
        <v>0</v>
      </c>
      <c r="AN82" s="75">
        <v>80</v>
      </c>
      <c r="AQ82" s="101" t="s">
        <v>1025</v>
      </c>
      <c r="AR82" s="77" t="s">
        <v>212</v>
      </c>
      <c r="AS82" s="77" t="s">
        <v>1058</v>
      </c>
      <c r="AT82" s="135">
        <v>2.88</v>
      </c>
      <c r="AU82" s="77">
        <v>3</v>
      </c>
      <c r="AV82" s="28">
        <v>2</v>
      </c>
      <c r="AW82" s="77">
        <v>21</v>
      </c>
      <c r="AX82" s="584">
        <v>25</v>
      </c>
      <c r="AY82" s="28">
        <v>23</v>
      </c>
      <c r="AZ82" s="28">
        <v>8</v>
      </c>
      <c r="BA82" s="28">
        <v>10</v>
      </c>
      <c r="BB82" s="28">
        <v>25</v>
      </c>
      <c r="BC82" s="28">
        <v>8</v>
      </c>
      <c r="BD82" s="106">
        <v>1.32</v>
      </c>
      <c r="BE82" s="77">
        <v>0</v>
      </c>
      <c r="BF82" s="28">
        <v>0</v>
      </c>
      <c r="BG82" s="28">
        <v>0</v>
      </c>
      <c r="BH82" s="28">
        <v>0</v>
      </c>
      <c r="BI82" s="75">
        <v>80</v>
      </c>
    </row>
    <row r="83" spans="1:61">
      <c r="A83" s="136" t="s">
        <v>1062</v>
      </c>
      <c r="B83" s="115" t="s">
        <v>206</v>
      </c>
      <c r="C83" s="115" t="s">
        <v>1082</v>
      </c>
      <c r="D83" s="89">
        <f>VLOOKUP(Table107[[#This Row],[NAME]],MIL_P[[NAME]:['#]],2,0)</f>
        <v>2.9076923076923076</v>
      </c>
      <c r="E83" s="77">
        <f>VLOOKUP(Table107[[#This Row],[NAME]],MIL_P[[NAME]:['#]],3,0)</f>
        <v>4</v>
      </c>
      <c r="F83" s="28">
        <f>VLOOKUP(Table107[[#This Row],[NAME]],MIL_P[[NAME]:['#]],4,0)</f>
        <v>4</v>
      </c>
      <c r="G83" s="77">
        <f>VLOOKUP(Table107[[#This Row],[NAME]],MIL_P[[NAME]:['#]],5,0)</f>
        <v>10</v>
      </c>
      <c r="H83" s="584">
        <f>VLOOKUP(Table107[[#This Row],[NAME]],MIL_P[[NAME]:['#]],6,0)</f>
        <v>65</v>
      </c>
      <c r="I83" s="28">
        <f>VLOOKUP(Table107[[#This Row],[NAME]],MIL_P[[NAME]:['#]],7,0)</f>
        <v>59</v>
      </c>
      <c r="J83" s="28">
        <f>VLOOKUP(Table107[[#This Row],[NAME]],MIL_P[[NAME]:['#]],8,0)</f>
        <v>21</v>
      </c>
      <c r="K83" s="28">
        <f>VLOOKUP(Table107[[#This Row],[NAME]],MIL_P[[NAME]:['#]],9,0)</f>
        <v>25</v>
      </c>
      <c r="L83" s="28">
        <f>VLOOKUP(Table107[[#This Row],[NAME]],MIL_P[[NAME]:['#]],10,0)</f>
        <v>83</v>
      </c>
      <c r="M83" s="28">
        <f>VLOOKUP(Table107[[#This Row],[NAME]],MIL_P[[NAME]:['#]],11,0)</f>
        <v>0</v>
      </c>
      <c r="N83" s="106">
        <f>VLOOKUP(Table107[[#This Row],[NAME]],MIL_P[[NAME]:['#]],12,0)</f>
        <v>1.2923076923076924</v>
      </c>
      <c r="O83" s="77">
        <f>VLOOKUP(Table107[[#This Row],[NAME]],MIL_P[[NAME]:['#]],13,0)</f>
        <v>6</v>
      </c>
      <c r="P83" s="28">
        <f>VLOOKUP(Table107[[#This Row],[NAME]],MIL_P[[NAME]:['#]],14,0)</f>
        <v>6</v>
      </c>
      <c r="Q83" s="28">
        <f>VLOOKUP(Table107[[#This Row],[NAME]],MIL_P[[NAME]:['#]],15,0)</f>
        <v>0</v>
      </c>
      <c r="R83" s="28">
        <f>VLOOKUP(Table107[[#This Row],[NAME]],MIL_P[[NAME]:['#]],16,0)</f>
        <v>0</v>
      </c>
      <c r="S83" s="75">
        <v>81</v>
      </c>
      <c r="V83" s="136" t="s">
        <v>1062</v>
      </c>
      <c r="W83" s="137" t="s">
        <v>206</v>
      </c>
      <c r="X83" s="137" t="s">
        <v>1082</v>
      </c>
      <c r="Y83" s="88">
        <v>2.8636363636363638</v>
      </c>
      <c r="Z83" s="77">
        <v>5</v>
      </c>
      <c r="AA83" s="28">
        <v>4</v>
      </c>
      <c r="AB83" s="77">
        <v>10</v>
      </c>
      <c r="AC83" s="584">
        <v>66</v>
      </c>
      <c r="AD83" s="28">
        <v>66</v>
      </c>
      <c r="AE83" s="28">
        <v>21</v>
      </c>
      <c r="AF83" s="28">
        <v>25</v>
      </c>
      <c r="AG83" s="28">
        <v>77</v>
      </c>
      <c r="AH83" s="28">
        <v>0</v>
      </c>
      <c r="AI83" s="106">
        <v>1.3787878787878789</v>
      </c>
      <c r="AJ83" s="77">
        <v>7</v>
      </c>
      <c r="AK83" s="28">
        <v>4</v>
      </c>
      <c r="AL83" s="28">
        <v>1</v>
      </c>
      <c r="AM83" s="28">
        <v>1</v>
      </c>
      <c r="AN83" s="75">
        <v>81</v>
      </c>
      <c r="AQ83" s="101" t="s">
        <v>1062</v>
      </c>
      <c r="AR83" s="77" t="s">
        <v>206</v>
      </c>
      <c r="AS83" s="77" t="s">
        <v>1082</v>
      </c>
      <c r="AT83" s="135">
        <v>4.0992618187529448</v>
      </c>
      <c r="AU83" s="77">
        <v>5</v>
      </c>
      <c r="AV83" s="28">
        <v>5</v>
      </c>
      <c r="AW83" s="77">
        <v>10</v>
      </c>
      <c r="AX83" s="584">
        <v>63.67</v>
      </c>
      <c r="AY83" s="28">
        <v>62</v>
      </c>
      <c r="AZ83" s="28">
        <v>29</v>
      </c>
      <c r="BA83" s="28">
        <v>36</v>
      </c>
      <c r="BB83" s="28">
        <v>88</v>
      </c>
      <c r="BC83" s="28">
        <v>0</v>
      </c>
      <c r="BD83" s="106">
        <v>1.5391864300298412</v>
      </c>
      <c r="BE83" s="77">
        <v>5</v>
      </c>
      <c r="BF83" s="28">
        <v>3</v>
      </c>
      <c r="BG83" s="28">
        <v>0</v>
      </c>
      <c r="BH83" s="28">
        <v>0</v>
      </c>
      <c r="BI83" s="75">
        <v>81</v>
      </c>
    </row>
    <row r="84" spans="1:61">
      <c r="A84" s="136" t="s">
        <v>1062</v>
      </c>
      <c r="B84" s="115" t="s">
        <v>206</v>
      </c>
      <c r="C84" s="115" t="s">
        <v>1083</v>
      </c>
      <c r="D84" s="89">
        <f>VLOOKUP(Table107[[#This Row],[NAME]],MIL_P[[NAME]:['#]],2,0)</f>
        <v>2.0248987550622468</v>
      </c>
      <c r="E84" s="77">
        <f>VLOOKUP(Table107[[#This Row],[NAME]],MIL_P[[NAME]:['#]],3,0)</f>
        <v>5</v>
      </c>
      <c r="F84" s="28">
        <f>VLOOKUP(Table107[[#This Row],[NAME]],MIL_P[[NAME]:['#]],4,0)</f>
        <v>3</v>
      </c>
      <c r="G84" s="77">
        <f>VLOOKUP(Table107[[#This Row],[NAME]],MIL_P[[NAME]:['#]],5,0)</f>
        <v>10</v>
      </c>
      <c r="H84" s="584">
        <f>VLOOKUP(Table107[[#This Row],[NAME]],MIL_P[[NAME]:['#]],6,0)</f>
        <v>66.67</v>
      </c>
      <c r="I84" s="28">
        <f>VLOOKUP(Table107[[#This Row],[NAME]],MIL_P[[NAME]:['#]],7,0)</f>
        <v>55</v>
      </c>
      <c r="J84" s="28">
        <f>VLOOKUP(Table107[[#This Row],[NAME]],MIL_P[[NAME]:['#]],8,0)</f>
        <v>15</v>
      </c>
      <c r="K84" s="28">
        <f>VLOOKUP(Table107[[#This Row],[NAME]],MIL_P[[NAME]:['#]],9,0)</f>
        <v>26</v>
      </c>
      <c r="L84" s="28">
        <f>VLOOKUP(Table107[[#This Row],[NAME]],MIL_P[[NAME]:['#]],10,0)</f>
        <v>78</v>
      </c>
      <c r="M84" s="28">
        <f>VLOOKUP(Table107[[#This Row],[NAME]],MIL_P[[NAME]:['#]],11,0)</f>
        <v>0</v>
      </c>
      <c r="N84" s="106">
        <f>VLOOKUP(Table107[[#This Row],[NAME]],MIL_P[[NAME]:['#]],12,0)</f>
        <v>1.2149392530373482</v>
      </c>
      <c r="O84" s="77">
        <f>VLOOKUP(Table107[[#This Row],[NAME]],MIL_P[[NAME]:['#]],13,0)</f>
        <v>8</v>
      </c>
      <c r="P84" s="28">
        <f>VLOOKUP(Table107[[#This Row],[NAME]],MIL_P[[NAME]:['#]],14,0)</f>
        <v>6</v>
      </c>
      <c r="Q84" s="28">
        <f>VLOOKUP(Table107[[#This Row],[NAME]],MIL_P[[NAME]:['#]],15,0)</f>
        <v>1</v>
      </c>
      <c r="R84" s="28">
        <f>VLOOKUP(Table107[[#This Row],[NAME]],MIL_P[[NAME]:['#]],16,0)</f>
        <v>1</v>
      </c>
      <c r="S84" s="75">
        <v>82</v>
      </c>
      <c r="V84" s="136" t="s">
        <v>1062</v>
      </c>
      <c r="W84" s="137" t="s">
        <v>206</v>
      </c>
      <c r="X84" s="137" t="s">
        <v>1083</v>
      </c>
      <c r="Y84" s="88">
        <v>3</v>
      </c>
      <c r="Z84" s="77">
        <v>6</v>
      </c>
      <c r="AA84" s="28">
        <v>2</v>
      </c>
      <c r="AB84" s="77">
        <v>10</v>
      </c>
      <c r="AC84" s="584">
        <v>69</v>
      </c>
      <c r="AD84" s="28">
        <v>53</v>
      </c>
      <c r="AE84" s="28">
        <v>23</v>
      </c>
      <c r="AF84" s="28">
        <v>19</v>
      </c>
      <c r="AG84" s="28">
        <v>80</v>
      </c>
      <c r="AH84" s="28">
        <v>0</v>
      </c>
      <c r="AI84" s="106">
        <v>1.0434782608695652</v>
      </c>
      <c r="AJ84" s="77">
        <v>8</v>
      </c>
      <c r="AK84" s="28">
        <v>4</v>
      </c>
      <c r="AL84" s="28">
        <v>2</v>
      </c>
      <c r="AM84" s="28">
        <v>1</v>
      </c>
      <c r="AN84" s="75">
        <v>82</v>
      </c>
      <c r="AQ84" s="101" t="s">
        <v>1062</v>
      </c>
      <c r="AR84" s="77" t="s">
        <v>206</v>
      </c>
      <c r="AS84" s="77" t="s">
        <v>1083</v>
      </c>
      <c r="AT84" s="135">
        <v>3.9348710990502038</v>
      </c>
      <c r="AU84" s="77">
        <v>5</v>
      </c>
      <c r="AV84" s="28">
        <v>3</v>
      </c>
      <c r="AW84" s="77">
        <v>10</v>
      </c>
      <c r="AX84" s="584">
        <v>66.33</v>
      </c>
      <c r="AY84" s="28">
        <v>59</v>
      </c>
      <c r="AZ84" s="28">
        <v>29</v>
      </c>
      <c r="BA84" s="28">
        <v>16</v>
      </c>
      <c r="BB84" s="28">
        <v>65</v>
      </c>
      <c r="BC84" s="28">
        <v>0</v>
      </c>
      <c r="BD84" s="106">
        <v>1.1307100859339665</v>
      </c>
      <c r="BE84" s="77">
        <v>7</v>
      </c>
      <c r="BF84" s="28">
        <v>4</v>
      </c>
      <c r="BG84" s="28">
        <v>0</v>
      </c>
      <c r="BH84" s="28">
        <v>0</v>
      </c>
      <c r="BI84" s="75">
        <v>82</v>
      </c>
    </row>
    <row r="85" spans="1:61">
      <c r="A85" s="136" t="s">
        <v>1062</v>
      </c>
      <c r="B85" s="115" t="s">
        <v>206</v>
      </c>
      <c r="C85" s="115" t="s">
        <v>1084</v>
      </c>
      <c r="D85" s="89">
        <f>VLOOKUP(Table107[[#This Row],[NAME]],MIL_P[[NAME]:['#]],2,0)</f>
        <v>6.1810952467016085</v>
      </c>
      <c r="E85" s="77">
        <f>VLOOKUP(Table107[[#This Row],[NAME]],MIL_P[[NAME]:['#]],3,0)</f>
        <v>4</v>
      </c>
      <c r="F85" s="28">
        <f>VLOOKUP(Table107[[#This Row],[NAME]],MIL_P[[NAME]:['#]],4,0)</f>
        <v>4</v>
      </c>
      <c r="G85" s="77">
        <f>VLOOKUP(Table107[[#This Row],[NAME]],MIL_P[[NAME]:['#]],5,0)</f>
        <v>10</v>
      </c>
      <c r="H85" s="584">
        <f>VLOOKUP(Table107[[#This Row],[NAME]],MIL_P[[NAME]:['#]],6,0)</f>
        <v>55.33</v>
      </c>
      <c r="I85" s="28">
        <f>VLOOKUP(Table107[[#This Row],[NAME]],MIL_P[[NAME]:['#]],7,0)</f>
        <v>69</v>
      </c>
      <c r="J85" s="28">
        <f>VLOOKUP(Table107[[#This Row],[NAME]],MIL_P[[NAME]:['#]],8,0)</f>
        <v>38</v>
      </c>
      <c r="K85" s="28">
        <f>VLOOKUP(Table107[[#This Row],[NAME]],MIL_P[[NAME]:['#]],9,0)</f>
        <v>19</v>
      </c>
      <c r="L85" s="28">
        <f>VLOOKUP(Table107[[#This Row],[NAME]],MIL_P[[NAME]:['#]],10,0)</f>
        <v>73</v>
      </c>
      <c r="M85" s="28">
        <f>VLOOKUP(Table107[[#This Row],[NAME]],MIL_P[[NAME]:['#]],11,0)</f>
        <v>0</v>
      </c>
      <c r="N85" s="106">
        <f>VLOOKUP(Table107[[#This Row],[NAME]],MIL_P[[NAME]:['#]],12,0)</f>
        <v>1.5904572564612327</v>
      </c>
      <c r="O85" s="77">
        <f>VLOOKUP(Table107[[#This Row],[NAME]],MIL_P[[NAME]:['#]],13,0)</f>
        <v>3</v>
      </c>
      <c r="P85" s="28">
        <f>VLOOKUP(Table107[[#This Row],[NAME]],MIL_P[[NAME]:['#]],14,0)</f>
        <v>0</v>
      </c>
      <c r="Q85" s="28">
        <f>VLOOKUP(Table107[[#This Row],[NAME]],MIL_P[[NAME]:['#]],15,0)</f>
        <v>0</v>
      </c>
      <c r="R85" s="28">
        <f>VLOOKUP(Table107[[#This Row],[NAME]],MIL_P[[NAME]:['#]],16,0)</f>
        <v>0</v>
      </c>
      <c r="S85" s="75">
        <v>83</v>
      </c>
      <c r="V85" s="136" t="s">
        <v>1062</v>
      </c>
      <c r="W85" s="137" t="s">
        <v>206</v>
      </c>
      <c r="X85" s="137" t="s">
        <v>1084</v>
      </c>
      <c r="Y85" s="88">
        <v>5.4915254237288131</v>
      </c>
      <c r="Z85" s="77">
        <v>0</v>
      </c>
      <c r="AA85" s="28">
        <v>6</v>
      </c>
      <c r="AB85" s="77">
        <v>10</v>
      </c>
      <c r="AC85" s="584">
        <v>59</v>
      </c>
      <c r="AD85" s="28">
        <v>62</v>
      </c>
      <c r="AE85" s="28">
        <v>36</v>
      </c>
      <c r="AF85" s="28">
        <v>33</v>
      </c>
      <c r="AG85" s="28">
        <v>83</v>
      </c>
      <c r="AH85" s="28">
        <v>0</v>
      </c>
      <c r="AI85" s="106">
        <v>1.6101694915254237</v>
      </c>
      <c r="AJ85" s="77">
        <v>5</v>
      </c>
      <c r="AK85" s="28">
        <v>3</v>
      </c>
      <c r="AL85" s="28">
        <v>0</v>
      </c>
      <c r="AM85" s="28">
        <v>0</v>
      </c>
      <c r="AN85" s="75">
        <v>83</v>
      </c>
      <c r="AQ85" s="101" t="s">
        <v>1062</v>
      </c>
      <c r="AR85" s="77" t="s">
        <v>206</v>
      </c>
      <c r="AS85" s="77" t="s">
        <v>1084</v>
      </c>
      <c r="AT85" s="135">
        <v>3.6374941706824191</v>
      </c>
      <c r="AU85" s="77">
        <v>4</v>
      </c>
      <c r="AV85" s="28">
        <v>3</v>
      </c>
      <c r="AW85" s="77">
        <v>10</v>
      </c>
      <c r="AX85" s="584">
        <v>64.33</v>
      </c>
      <c r="AY85" s="28">
        <v>55</v>
      </c>
      <c r="AZ85" s="28">
        <v>26</v>
      </c>
      <c r="BA85" s="28">
        <v>25</v>
      </c>
      <c r="BB85" s="28">
        <v>89</v>
      </c>
      <c r="BC85" s="28">
        <v>0</v>
      </c>
      <c r="BD85" s="106">
        <v>1.2435877506606561</v>
      </c>
      <c r="BE85" s="77">
        <v>6</v>
      </c>
      <c r="BF85" s="28">
        <v>2</v>
      </c>
      <c r="BG85" s="28">
        <v>1</v>
      </c>
      <c r="BH85" s="28">
        <v>0</v>
      </c>
      <c r="BI85" s="75">
        <v>83</v>
      </c>
    </row>
    <row r="86" spans="1:61">
      <c r="A86" s="136" t="s">
        <v>1062</v>
      </c>
      <c r="B86" s="115" t="s">
        <v>365</v>
      </c>
      <c r="C86" s="71" t="s">
        <v>1085</v>
      </c>
      <c r="D86" s="89">
        <f>VLOOKUP(Table107[[#This Row],[NAME]],MIL_P[[NAME]:['#]],2,0)</f>
        <v>4.1803754596477649</v>
      </c>
      <c r="E86" s="77">
        <f>VLOOKUP(Table107[[#This Row],[NAME]],MIL_P[[NAME]:['#]],3,0)</f>
        <v>2</v>
      </c>
      <c r="F86" s="28">
        <f>VLOOKUP(Table107[[#This Row],[NAME]],MIL_P[[NAME]:['#]],4,0)</f>
        <v>3</v>
      </c>
      <c r="G86" s="77">
        <f>VLOOKUP(Table107[[#This Row],[NAME]],MIL_P[[NAME]:['#]],5,0)</f>
        <v>10</v>
      </c>
      <c r="H86" s="584">
        <f>VLOOKUP(Table107[[#This Row],[NAME]],MIL_P[[NAME]:['#]],6,0)</f>
        <v>51.67</v>
      </c>
      <c r="I86" s="28">
        <f>VLOOKUP(Table107[[#This Row],[NAME]],MIL_P[[NAME]:['#]],7,0)</f>
        <v>54</v>
      </c>
      <c r="J86" s="28">
        <f>VLOOKUP(Table107[[#This Row],[NAME]],MIL_P[[NAME]:['#]],8,0)</f>
        <v>24</v>
      </c>
      <c r="K86" s="28">
        <f>VLOOKUP(Table107[[#This Row],[NAME]],MIL_P[[NAME]:['#]],9,0)</f>
        <v>29</v>
      </c>
      <c r="L86" s="28">
        <f>VLOOKUP(Table107[[#This Row],[NAME]],MIL_P[[NAME]:['#]],10,0)</f>
        <v>44</v>
      </c>
      <c r="M86" s="28">
        <f>VLOOKUP(Table107[[#This Row],[NAME]],MIL_P[[NAME]:['#]],11,0)</f>
        <v>0</v>
      </c>
      <c r="N86" s="106">
        <f>VLOOKUP(Table107[[#This Row],[NAME]],MIL_P[[NAME]:['#]],12,0)</f>
        <v>1.6063479775498355</v>
      </c>
      <c r="O86" s="77">
        <f>VLOOKUP(Table107[[#This Row],[NAME]],MIL_P[[NAME]:['#]],13,0)</f>
        <v>2</v>
      </c>
      <c r="P86" s="28">
        <f>VLOOKUP(Table107[[#This Row],[NAME]],MIL_P[[NAME]:['#]],14,0)</f>
        <v>1</v>
      </c>
      <c r="Q86" s="28">
        <f>VLOOKUP(Table107[[#This Row],[NAME]],MIL_P[[NAME]:['#]],15,0)</f>
        <v>0</v>
      </c>
      <c r="R86" s="28">
        <f>VLOOKUP(Table107[[#This Row],[NAME]],MIL_P[[NAME]:['#]],16,0)</f>
        <v>0</v>
      </c>
      <c r="S86" s="75">
        <v>84</v>
      </c>
      <c r="V86" s="136" t="s">
        <v>1062</v>
      </c>
      <c r="W86" s="137" t="s">
        <v>206</v>
      </c>
      <c r="X86" s="132" t="s">
        <v>1086</v>
      </c>
      <c r="Y86" s="88">
        <v>6.0576923076923075</v>
      </c>
      <c r="Z86" s="77">
        <v>3</v>
      </c>
      <c r="AA86" s="28">
        <v>3</v>
      </c>
      <c r="AB86" s="77">
        <v>10</v>
      </c>
      <c r="AC86" s="584">
        <v>52</v>
      </c>
      <c r="AD86" s="28">
        <v>64</v>
      </c>
      <c r="AE86" s="28">
        <v>35</v>
      </c>
      <c r="AF86" s="28">
        <v>26</v>
      </c>
      <c r="AG86" s="28">
        <v>41</v>
      </c>
      <c r="AH86" s="28">
        <v>0</v>
      </c>
      <c r="AI86" s="106">
        <v>1.7307692307692308</v>
      </c>
      <c r="AJ86" s="77">
        <v>2</v>
      </c>
      <c r="AK86" s="28">
        <v>0</v>
      </c>
      <c r="AL86" s="28">
        <v>0</v>
      </c>
      <c r="AM86" s="28">
        <v>0</v>
      </c>
      <c r="AN86" s="75">
        <v>84</v>
      </c>
      <c r="AQ86" s="101" t="s">
        <v>1062</v>
      </c>
      <c r="AR86" s="77" t="s">
        <v>206</v>
      </c>
      <c r="AS86" s="77" t="s">
        <v>1087</v>
      </c>
      <c r="AT86" s="135">
        <v>6.0545454545454547</v>
      </c>
      <c r="AU86" s="77">
        <v>2</v>
      </c>
      <c r="AV86" s="28">
        <v>5</v>
      </c>
      <c r="AW86" s="77">
        <v>10</v>
      </c>
      <c r="AX86" s="584">
        <v>55</v>
      </c>
      <c r="AY86" s="28">
        <v>70</v>
      </c>
      <c r="AZ86" s="28">
        <v>37</v>
      </c>
      <c r="BA86" s="28">
        <v>28</v>
      </c>
      <c r="BB86" s="28">
        <v>44</v>
      </c>
      <c r="BC86" s="28">
        <v>0</v>
      </c>
      <c r="BD86" s="106">
        <v>1.7818181818181817</v>
      </c>
      <c r="BE86" s="77">
        <v>3</v>
      </c>
      <c r="BF86" s="28">
        <v>1</v>
      </c>
      <c r="BG86" s="28">
        <v>0</v>
      </c>
      <c r="BH86" s="28">
        <v>0</v>
      </c>
      <c r="BI86" s="75">
        <v>84</v>
      </c>
    </row>
    <row r="87" spans="1:61">
      <c r="A87" s="136" t="s">
        <v>1062</v>
      </c>
      <c r="B87" s="115" t="s">
        <v>212</v>
      </c>
      <c r="C87" s="116" t="s">
        <v>1088</v>
      </c>
      <c r="D87" s="89">
        <f>VLOOKUP(Table107[[#This Row],[NAME]],MIL_P[[NAME]:['#]],2,0)</f>
        <v>3</v>
      </c>
      <c r="E87" s="77">
        <f>VLOOKUP(Table107[[#This Row],[NAME]],MIL_P[[NAME]:['#]],3,0)</f>
        <v>0</v>
      </c>
      <c r="F87" s="28">
        <f>VLOOKUP(Table107[[#This Row],[NAME]],MIL_P[[NAME]:['#]],4,0)</f>
        <v>0</v>
      </c>
      <c r="G87" s="77">
        <f>VLOOKUP(Table107[[#This Row],[NAME]],MIL_P[[NAME]:['#]],5,0)</f>
        <v>5</v>
      </c>
      <c r="H87" s="584">
        <f>VLOOKUP(Table107[[#This Row],[NAME]],MIL_P[[NAME]:['#]],6,0)</f>
        <v>12</v>
      </c>
      <c r="I87" s="28">
        <f>VLOOKUP(Table107[[#This Row],[NAME]],MIL_P[[NAME]:['#]],7,0)</f>
        <v>9</v>
      </c>
      <c r="J87" s="28">
        <f>VLOOKUP(Table107[[#This Row],[NAME]],MIL_P[[NAME]:['#]],8,0)</f>
        <v>4</v>
      </c>
      <c r="K87" s="28">
        <f>VLOOKUP(Table107[[#This Row],[NAME]],MIL_P[[NAME]:['#]],9,0)</f>
        <v>3</v>
      </c>
      <c r="L87" s="28">
        <f>VLOOKUP(Table107[[#This Row],[NAME]],MIL_P[[NAME]:['#]],10,0)</f>
        <v>8</v>
      </c>
      <c r="M87" s="28">
        <f>VLOOKUP(Table107[[#This Row],[NAME]],MIL_P[[NAME]:['#]],11,0)</f>
        <v>0</v>
      </c>
      <c r="N87" s="106">
        <f>VLOOKUP(Table107[[#This Row],[NAME]],MIL_P[[NAME]:['#]],12,0)</f>
        <v>1</v>
      </c>
      <c r="O87" s="77">
        <f>VLOOKUP(Table107[[#This Row],[NAME]],MIL_P[[NAME]:['#]],13,0)</f>
        <v>0</v>
      </c>
      <c r="P87" s="28">
        <f>VLOOKUP(Table107[[#This Row],[NAME]],MIL_P[[NAME]:['#]],14,0)</f>
        <v>0</v>
      </c>
      <c r="Q87" s="28">
        <f>VLOOKUP(Table107[[#This Row],[NAME]],MIL_P[[NAME]:['#]],15,0)</f>
        <v>0</v>
      </c>
      <c r="R87" s="28">
        <f>VLOOKUP(Table107[[#This Row],[NAME]],MIL_P[[NAME]:['#]],16,0)</f>
        <v>0</v>
      </c>
      <c r="S87" s="75">
        <v>85</v>
      </c>
      <c r="V87" s="136" t="s">
        <v>1062</v>
      </c>
      <c r="W87" s="137" t="s">
        <v>212</v>
      </c>
      <c r="X87" s="132" t="s">
        <v>1088</v>
      </c>
      <c r="Y87" s="88">
        <v>3.2727272727272729</v>
      </c>
      <c r="Z87" s="77">
        <v>0</v>
      </c>
      <c r="AA87" s="28">
        <v>0</v>
      </c>
      <c r="AB87" s="77">
        <v>6</v>
      </c>
      <c r="AC87" s="584">
        <v>11</v>
      </c>
      <c r="AD87" s="28">
        <v>10</v>
      </c>
      <c r="AE87" s="28">
        <v>4</v>
      </c>
      <c r="AF87" s="28">
        <v>3</v>
      </c>
      <c r="AG87" s="28">
        <v>9</v>
      </c>
      <c r="AH87" s="28">
        <v>0</v>
      </c>
      <c r="AI87" s="106">
        <v>1.1818181818181819</v>
      </c>
      <c r="AJ87" s="77">
        <v>0</v>
      </c>
      <c r="AK87" s="28">
        <v>0</v>
      </c>
      <c r="AL87" s="28">
        <v>0</v>
      </c>
      <c r="AM87" s="28">
        <v>0</v>
      </c>
      <c r="AN87" s="75">
        <v>85</v>
      </c>
      <c r="AQ87" s="101" t="s">
        <v>1062</v>
      </c>
      <c r="AR87" s="77" t="s">
        <v>212</v>
      </c>
      <c r="AS87" s="77" t="s">
        <v>1088</v>
      </c>
      <c r="AT87" s="135">
        <v>5.5113288426209435</v>
      </c>
      <c r="AU87" s="77">
        <v>0</v>
      </c>
      <c r="AV87" s="28">
        <v>0</v>
      </c>
      <c r="AW87" s="77">
        <v>10</v>
      </c>
      <c r="AX87" s="584">
        <v>16.329999999999998</v>
      </c>
      <c r="AY87" s="28">
        <v>21</v>
      </c>
      <c r="AZ87" s="28">
        <v>10</v>
      </c>
      <c r="BA87" s="28">
        <v>5</v>
      </c>
      <c r="BB87" s="28">
        <v>12</v>
      </c>
      <c r="BC87" s="28">
        <v>0</v>
      </c>
      <c r="BD87" s="106">
        <v>1.5921616656460504</v>
      </c>
      <c r="BE87" s="77">
        <v>0</v>
      </c>
      <c r="BF87" s="28">
        <v>0</v>
      </c>
      <c r="BG87" s="28">
        <v>0</v>
      </c>
      <c r="BH87" s="28">
        <v>0</v>
      </c>
      <c r="BI87" s="75">
        <v>85</v>
      </c>
    </row>
    <row r="88" spans="1:61">
      <c r="A88" s="136" t="s">
        <v>1062</v>
      </c>
      <c r="B88" s="115" t="s">
        <v>212</v>
      </c>
      <c r="C88" s="116" t="s">
        <v>1087</v>
      </c>
      <c r="D88" s="89">
        <f>VLOOKUP(Table107[[#This Row],[NAME]],MIL_P[[NAME]:['#]],2,0)</f>
        <v>0</v>
      </c>
      <c r="E88" s="77">
        <f>VLOOKUP(Table107[[#This Row],[NAME]],MIL_P[[NAME]:['#]],3,0)</f>
        <v>0</v>
      </c>
      <c r="F88" s="28">
        <f>VLOOKUP(Table107[[#This Row],[NAME]],MIL_P[[NAME]:['#]],4,0)</f>
        <v>0</v>
      </c>
      <c r="G88" s="77">
        <f>VLOOKUP(Table107[[#This Row],[NAME]],MIL_P[[NAME]:['#]],5,0)</f>
        <v>6</v>
      </c>
      <c r="H88" s="584">
        <f>VLOOKUP(Table107[[#This Row],[NAME]],MIL_P[[NAME]:['#]],6,0)</f>
        <v>13.67</v>
      </c>
      <c r="I88" s="28">
        <f>VLOOKUP(Table107[[#This Row],[NAME]],MIL_P[[NAME]:['#]],7,0)</f>
        <v>7</v>
      </c>
      <c r="J88" s="28">
        <f>VLOOKUP(Table107[[#This Row],[NAME]],MIL_P[[NAME]:['#]],8,0)</f>
        <v>0</v>
      </c>
      <c r="K88" s="28">
        <f>VLOOKUP(Table107[[#This Row],[NAME]],MIL_P[[NAME]:['#]],9,0)</f>
        <v>4</v>
      </c>
      <c r="L88" s="28">
        <f>VLOOKUP(Table107[[#This Row],[NAME]],MIL_P[[NAME]:['#]],10,0)</f>
        <v>17</v>
      </c>
      <c r="M88" s="28">
        <f>VLOOKUP(Table107[[#This Row],[NAME]],MIL_P[[NAME]:['#]],11,0)</f>
        <v>0</v>
      </c>
      <c r="N88" s="106">
        <f>VLOOKUP(Table107[[#This Row],[NAME]],MIL_P[[NAME]:['#]],12,0)</f>
        <v>0.8046817849305048</v>
      </c>
      <c r="O88" s="77">
        <f>VLOOKUP(Table107[[#This Row],[NAME]],MIL_P[[NAME]:['#]],13,0)</f>
        <v>0</v>
      </c>
      <c r="P88" s="28">
        <f>VLOOKUP(Table107[[#This Row],[NAME]],MIL_P[[NAME]:['#]],14,0)</f>
        <v>0</v>
      </c>
      <c r="Q88" s="28">
        <f>VLOOKUP(Table107[[#This Row],[NAME]],MIL_P[[NAME]:['#]],15,0)</f>
        <v>0</v>
      </c>
      <c r="R88" s="28">
        <f>VLOOKUP(Table107[[#This Row],[NAME]],MIL_P[[NAME]:['#]],16,0)</f>
        <v>0</v>
      </c>
      <c r="S88" s="75">
        <v>86</v>
      </c>
      <c r="V88" s="136" t="s">
        <v>1062</v>
      </c>
      <c r="W88" s="137" t="s">
        <v>212</v>
      </c>
      <c r="X88" s="132" t="s">
        <v>1087</v>
      </c>
      <c r="Y88" s="88">
        <v>5.625</v>
      </c>
      <c r="Z88" s="77">
        <v>0</v>
      </c>
      <c r="AA88" s="28">
        <v>0</v>
      </c>
      <c r="AB88" s="77">
        <v>4</v>
      </c>
      <c r="AC88" s="584">
        <v>8</v>
      </c>
      <c r="AD88" s="28">
        <v>8</v>
      </c>
      <c r="AE88" s="28">
        <v>5</v>
      </c>
      <c r="AF88" s="28">
        <v>6</v>
      </c>
      <c r="AG88" s="28">
        <v>7</v>
      </c>
      <c r="AH88" s="28">
        <v>0</v>
      </c>
      <c r="AI88" s="106">
        <v>1.75</v>
      </c>
      <c r="AJ88" s="77">
        <v>0</v>
      </c>
      <c r="AK88" s="28">
        <v>0</v>
      </c>
      <c r="AL88" s="28">
        <v>0</v>
      </c>
      <c r="AM88" s="28">
        <v>0</v>
      </c>
      <c r="AN88" s="75">
        <v>86</v>
      </c>
      <c r="AQ88" s="101" t="s">
        <v>1062</v>
      </c>
      <c r="AR88" s="77" t="s">
        <v>212</v>
      </c>
      <c r="AS88" s="77" t="s">
        <v>1086</v>
      </c>
      <c r="AT88" s="135">
        <v>6.5149948293691828</v>
      </c>
      <c r="AU88" s="77">
        <v>0</v>
      </c>
      <c r="AV88" s="28">
        <v>0</v>
      </c>
      <c r="AW88" s="77">
        <v>7</v>
      </c>
      <c r="AX88" s="584">
        <v>9.67</v>
      </c>
      <c r="AY88" s="28">
        <v>12</v>
      </c>
      <c r="AZ88" s="28">
        <v>7</v>
      </c>
      <c r="BA88" s="28">
        <v>4</v>
      </c>
      <c r="BB88" s="28">
        <v>11</v>
      </c>
      <c r="BC88" s="28">
        <v>0</v>
      </c>
      <c r="BD88" s="106">
        <v>1.6546018614270941</v>
      </c>
      <c r="BE88" s="77">
        <v>0</v>
      </c>
      <c r="BF88" s="28">
        <v>0</v>
      </c>
      <c r="BG88" s="28">
        <v>0</v>
      </c>
      <c r="BH88" s="28">
        <v>0</v>
      </c>
      <c r="BI88" s="75">
        <v>86</v>
      </c>
    </row>
    <row r="89" spans="1:61">
      <c r="A89" s="136" t="s">
        <v>1062</v>
      </c>
      <c r="B89" s="115" t="s">
        <v>212</v>
      </c>
      <c r="C89" s="116" t="s">
        <v>1089</v>
      </c>
      <c r="D89" s="89">
        <f>VLOOKUP(Table107[[#This Row],[NAME]],MIL_P[[NAME]:['#]],2,0)</f>
        <v>6.7510548523206753</v>
      </c>
      <c r="E89" s="77">
        <f>VLOOKUP(Table107[[#This Row],[NAME]],MIL_P[[NAME]:['#]],3,0)</f>
        <v>0</v>
      </c>
      <c r="F89" s="28">
        <f>VLOOKUP(Table107[[#This Row],[NAME]],MIL_P[[NAME]:['#]],4,0)</f>
        <v>1</v>
      </c>
      <c r="G89" s="77">
        <f>VLOOKUP(Table107[[#This Row],[NAME]],MIL_P[[NAME]:['#]],5,0)</f>
        <v>16</v>
      </c>
      <c r="H89" s="584">
        <f>VLOOKUP(Table107[[#This Row],[NAME]],MIL_P[[NAME]:['#]],6,0)</f>
        <v>21.33</v>
      </c>
      <c r="I89" s="28">
        <f>VLOOKUP(Table107[[#This Row],[NAME]],MIL_P[[NAME]:['#]],7,0)</f>
        <v>28</v>
      </c>
      <c r="J89" s="28">
        <f>VLOOKUP(Table107[[#This Row],[NAME]],MIL_P[[NAME]:['#]],8,0)</f>
        <v>16</v>
      </c>
      <c r="K89" s="28">
        <f>VLOOKUP(Table107[[#This Row],[NAME]],MIL_P[[NAME]:['#]],9,0)</f>
        <v>16</v>
      </c>
      <c r="L89" s="28">
        <f>VLOOKUP(Table107[[#This Row],[NAME]],MIL_P[[NAME]:['#]],10,0)</f>
        <v>27</v>
      </c>
      <c r="M89" s="28">
        <f>VLOOKUP(Table107[[#This Row],[NAME]],MIL_P[[NAME]:['#]],11,0)</f>
        <v>0</v>
      </c>
      <c r="N89" s="106">
        <f>VLOOKUP(Table107[[#This Row],[NAME]],MIL_P[[NAME]:['#]],12,0)</f>
        <v>2.0628223159868733</v>
      </c>
      <c r="O89" s="77">
        <f>VLOOKUP(Table107[[#This Row],[NAME]],MIL_P[[NAME]:['#]],13,0)</f>
        <v>0</v>
      </c>
      <c r="P89" s="28">
        <f>VLOOKUP(Table107[[#This Row],[NAME]],MIL_P[[NAME]:['#]],14,0)</f>
        <v>0</v>
      </c>
      <c r="Q89" s="28">
        <f>VLOOKUP(Table107[[#This Row],[NAME]],MIL_P[[NAME]:['#]],15,0)</f>
        <v>0</v>
      </c>
      <c r="R89" s="28">
        <f>VLOOKUP(Table107[[#This Row],[NAME]],MIL_P[[NAME]:['#]],16,0)</f>
        <v>0</v>
      </c>
      <c r="S89" s="75">
        <v>87</v>
      </c>
      <c r="V89" s="136" t="s">
        <v>1062</v>
      </c>
      <c r="W89" s="137" t="s">
        <v>212</v>
      </c>
      <c r="X89" s="132" t="s">
        <v>1089</v>
      </c>
      <c r="Y89" s="88">
        <v>4.2637189103829458</v>
      </c>
      <c r="Z89" s="77">
        <v>1</v>
      </c>
      <c r="AA89" s="28">
        <v>2</v>
      </c>
      <c r="AB89" s="77">
        <v>18</v>
      </c>
      <c r="AC89" s="584">
        <v>25.33</v>
      </c>
      <c r="AD89" s="28">
        <v>26</v>
      </c>
      <c r="AE89" s="28">
        <v>12</v>
      </c>
      <c r="AF89" s="28">
        <v>14</v>
      </c>
      <c r="AG89" s="28">
        <v>25</v>
      </c>
      <c r="AH89" s="28">
        <v>0</v>
      </c>
      <c r="AI89" s="106">
        <v>1.5791551519936835</v>
      </c>
      <c r="AJ89" s="77">
        <v>0</v>
      </c>
      <c r="AK89" s="28">
        <v>0</v>
      </c>
      <c r="AL89" s="28">
        <v>0</v>
      </c>
      <c r="AM89" s="28">
        <v>0</v>
      </c>
      <c r="AN89" s="75">
        <v>87</v>
      </c>
      <c r="AQ89" s="101" t="s">
        <v>1062</v>
      </c>
      <c r="AR89" s="77" t="s">
        <v>215</v>
      </c>
      <c r="AS89" s="77" t="s">
        <v>1089</v>
      </c>
      <c r="AT89" s="135">
        <v>8.6816720257234721</v>
      </c>
      <c r="AU89" s="77">
        <v>1</v>
      </c>
      <c r="AV89" s="28">
        <v>1</v>
      </c>
      <c r="AW89" s="77">
        <v>8</v>
      </c>
      <c r="AX89" s="584">
        <v>9.33</v>
      </c>
      <c r="AY89" s="28">
        <v>14</v>
      </c>
      <c r="AZ89" s="28">
        <v>9</v>
      </c>
      <c r="BA89" s="28">
        <v>5</v>
      </c>
      <c r="BB89" s="28">
        <v>6</v>
      </c>
      <c r="BC89" s="28">
        <v>0</v>
      </c>
      <c r="BD89" s="106">
        <v>2.0364415862808145</v>
      </c>
      <c r="BE89" s="77">
        <v>0</v>
      </c>
      <c r="BF89" s="28">
        <v>0</v>
      </c>
      <c r="BG89" s="28">
        <v>0</v>
      </c>
      <c r="BH89" s="28">
        <v>0</v>
      </c>
      <c r="BI89" s="75">
        <v>87</v>
      </c>
    </row>
    <row r="90" spans="1:61">
      <c r="A90" s="136" t="s">
        <v>1062</v>
      </c>
      <c r="B90" s="115" t="s">
        <v>212</v>
      </c>
      <c r="C90" s="115" t="s">
        <v>362</v>
      </c>
      <c r="D90" s="89">
        <f>VLOOKUP(Table107[[#This Row],[NAME]],MIL_P[[NAME]:['#]],2,0)</f>
        <v>1.2</v>
      </c>
      <c r="E90" s="77">
        <f>VLOOKUP(Table107[[#This Row],[NAME]],MIL_P[[NAME]:['#]],3,0)</f>
        <v>1</v>
      </c>
      <c r="F90" s="28">
        <f>VLOOKUP(Table107[[#This Row],[NAME]],MIL_P[[NAME]:['#]],4,0)</f>
        <v>0</v>
      </c>
      <c r="G90" s="77">
        <f>VLOOKUP(Table107[[#This Row],[NAME]],MIL_P[[NAME]:['#]],5,0)</f>
        <v>12</v>
      </c>
      <c r="H90" s="584">
        <f>VLOOKUP(Table107[[#This Row],[NAME]],MIL_P[[NAME]:['#]],6,0)</f>
        <v>15</v>
      </c>
      <c r="I90" s="28">
        <f>VLOOKUP(Table107[[#This Row],[NAME]],MIL_P[[NAME]:['#]],7,0)</f>
        <v>10</v>
      </c>
      <c r="J90" s="28">
        <f>VLOOKUP(Table107[[#This Row],[NAME]],MIL_P[[NAME]:['#]],8,0)</f>
        <v>2</v>
      </c>
      <c r="K90" s="28">
        <f>VLOOKUP(Table107[[#This Row],[NAME]],MIL_P[[NAME]:['#]],9,0)</f>
        <v>5</v>
      </c>
      <c r="L90" s="28">
        <f>VLOOKUP(Table107[[#This Row],[NAME]],MIL_P[[NAME]:['#]],10,0)</f>
        <v>21</v>
      </c>
      <c r="M90" s="28">
        <f>VLOOKUP(Table107[[#This Row],[NAME]],MIL_P[[NAME]:['#]],11,0)</f>
        <v>0</v>
      </c>
      <c r="N90" s="106">
        <f>VLOOKUP(Table107[[#This Row],[NAME]],MIL_P[[NAME]:['#]],12,0)</f>
        <v>1</v>
      </c>
      <c r="O90" s="77">
        <f>VLOOKUP(Table107[[#This Row],[NAME]],MIL_P[[NAME]:['#]],13,0)</f>
        <v>0</v>
      </c>
      <c r="P90" s="28">
        <f>VLOOKUP(Table107[[#This Row],[NAME]],MIL_P[[NAME]:['#]],14,0)</f>
        <v>0</v>
      </c>
      <c r="Q90" s="28">
        <f>VLOOKUP(Table107[[#This Row],[NAME]],MIL_P[[NAME]:['#]],15,0)</f>
        <v>0</v>
      </c>
      <c r="R90" s="28">
        <f>VLOOKUP(Table107[[#This Row],[NAME]],MIL_P[[NAME]:['#]],16,0)</f>
        <v>0</v>
      </c>
      <c r="S90" s="75">
        <v>88</v>
      </c>
      <c r="V90" s="136" t="s">
        <v>1062</v>
      </c>
      <c r="W90" s="137" t="s">
        <v>212</v>
      </c>
      <c r="X90" s="137" t="s">
        <v>1090</v>
      </c>
      <c r="Y90" s="88">
        <v>8.6816720257234721</v>
      </c>
      <c r="Z90" s="77">
        <v>2</v>
      </c>
      <c r="AA90" s="28">
        <v>0</v>
      </c>
      <c r="AB90" s="77">
        <v>8</v>
      </c>
      <c r="AC90" s="584">
        <v>9.33</v>
      </c>
      <c r="AD90" s="28">
        <v>8</v>
      </c>
      <c r="AE90" s="28">
        <v>9</v>
      </c>
      <c r="AF90" s="28">
        <v>5</v>
      </c>
      <c r="AG90" s="28">
        <v>13</v>
      </c>
      <c r="AH90" s="28">
        <v>0</v>
      </c>
      <c r="AI90" s="106">
        <v>1.3933547695605573</v>
      </c>
      <c r="AJ90" s="77">
        <v>0</v>
      </c>
      <c r="AK90" s="28">
        <v>0</v>
      </c>
      <c r="AL90" s="28">
        <v>0</v>
      </c>
      <c r="AM90" s="28">
        <v>0</v>
      </c>
      <c r="AN90" s="75">
        <v>88</v>
      </c>
      <c r="AQ90" s="101" t="s">
        <v>1062</v>
      </c>
      <c r="AR90" s="77" t="s">
        <v>212</v>
      </c>
      <c r="AS90" s="77" t="s">
        <v>1090</v>
      </c>
      <c r="AT90" s="135">
        <v>7.5</v>
      </c>
      <c r="AU90" s="77">
        <v>2</v>
      </c>
      <c r="AV90" s="28">
        <v>0</v>
      </c>
      <c r="AW90" s="77">
        <v>18</v>
      </c>
      <c r="AX90" s="584">
        <v>18</v>
      </c>
      <c r="AY90" s="28">
        <v>25</v>
      </c>
      <c r="AZ90" s="28">
        <v>15</v>
      </c>
      <c r="BA90" s="28">
        <v>13</v>
      </c>
      <c r="BB90" s="28">
        <v>21</v>
      </c>
      <c r="BC90" s="28">
        <v>0</v>
      </c>
      <c r="BD90" s="106">
        <v>2.1111111111111112</v>
      </c>
      <c r="BE90" s="77">
        <v>0</v>
      </c>
      <c r="BF90" s="28">
        <v>0</v>
      </c>
      <c r="BG90" s="28">
        <v>0</v>
      </c>
      <c r="BH90" s="28">
        <v>0</v>
      </c>
      <c r="BI90" s="75">
        <v>88</v>
      </c>
    </row>
    <row r="91" spans="1:61">
      <c r="A91" s="136" t="s">
        <v>1062</v>
      </c>
      <c r="B91" s="115" t="s">
        <v>212</v>
      </c>
      <c r="C91" s="115" t="s">
        <v>1091</v>
      </c>
      <c r="D91" s="89">
        <f>VLOOKUP(Table107[[#This Row],[NAME]],MIL_P[[NAME]:['#]],2,0)</f>
        <v>1.6071428571428572</v>
      </c>
      <c r="E91" s="77">
        <f>VLOOKUP(Table107[[#This Row],[NAME]],MIL_P[[NAME]:['#]],3,0)</f>
        <v>2</v>
      </c>
      <c r="F91" s="28">
        <f>VLOOKUP(Table107[[#This Row],[NAME]],MIL_P[[NAME]:['#]],4,0)</f>
        <v>2</v>
      </c>
      <c r="G91" s="352">
        <f>VLOOKUP(Table107[[#This Row],[NAME]],MIL_P[[NAME]:['#]],5,0)</f>
        <v>24</v>
      </c>
      <c r="H91" s="584">
        <f>VLOOKUP(Table107[[#This Row],[NAME]],MIL_P[[NAME]:['#]],6,0)</f>
        <v>28</v>
      </c>
      <c r="I91" s="28">
        <f>VLOOKUP(Table107[[#This Row],[NAME]],MIL_P[[NAME]:['#]],7,0)</f>
        <v>12</v>
      </c>
      <c r="J91" s="28">
        <f>VLOOKUP(Table107[[#This Row],[NAME]],MIL_P[[NAME]:['#]],8,0)</f>
        <v>5</v>
      </c>
      <c r="K91" s="28">
        <f>VLOOKUP(Table107[[#This Row],[NAME]],MIL_P[[NAME]:['#]],9,0)</f>
        <v>16</v>
      </c>
      <c r="L91" s="28">
        <f>VLOOKUP(Table107[[#This Row],[NAME]],MIL_P[[NAME]:['#]],10,0)</f>
        <v>49</v>
      </c>
      <c r="M91" s="28">
        <f>VLOOKUP(Table107[[#This Row],[NAME]],MIL_P[[NAME]:['#]],11,0)</f>
        <v>2</v>
      </c>
      <c r="N91" s="106">
        <f>VLOOKUP(Table107[[#This Row],[NAME]],MIL_P[[NAME]:['#]],12,0)</f>
        <v>1</v>
      </c>
      <c r="O91" s="77">
        <f>VLOOKUP(Table107[[#This Row],[NAME]],MIL_P[[NAME]:['#]],13,0)</f>
        <v>0</v>
      </c>
      <c r="P91" s="28">
        <f>VLOOKUP(Table107[[#This Row],[NAME]],MIL_P[[NAME]:['#]],14,0)</f>
        <v>0</v>
      </c>
      <c r="Q91" s="28">
        <f>VLOOKUP(Table107[[#This Row],[NAME]],MIL_P[[NAME]:['#]],15,0)</f>
        <v>0</v>
      </c>
      <c r="R91" s="28">
        <f>VLOOKUP(Table107[[#This Row],[NAME]],MIL_P[[NAME]:['#]],16,0)</f>
        <v>0</v>
      </c>
      <c r="S91" s="75">
        <v>89</v>
      </c>
      <c r="V91" s="136" t="s">
        <v>1062</v>
      </c>
      <c r="W91" s="137" t="s">
        <v>212</v>
      </c>
      <c r="X91" s="137" t="s">
        <v>1091</v>
      </c>
      <c r="Y91" s="88">
        <v>2.3475709162047602</v>
      </c>
      <c r="Z91" s="77">
        <v>0</v>
      </c>
      <c r="AA91" s="28">
        <v>2</v>
      </c>
      <c r="AB91" s="77">
        <v>24</v>
      </c>
      <c r="AC91" s="584">
        <v>30.67</v>
      </c>
      <c r="AD91" s="28">
        <v>26</v>
      </c>
      <c r="AE91" s="28">
        <v>8</v>
      </c>
      <c r="AF91" s="28">
        <v>15</v>
      </c>
      <c r="AG91" s="28">
        <v>52</v>
      </c>
      <c r="AH91" s="28">
        <v>0</v>
      </c>
      <c r="AI91" s="106">
        <v>1.336811216172155</v>
      </c>
      <c r="AJ91" s="77">
        <v>0</v>
      </c>
      <c r="AK91" s="28">
        <v>0</v>
      </c>
      <c r="AL91" s="28">
        <v>0</v>
      </c>
      <c r="AM91" s="28">
        <v>0</v>
      </c>
      <c r="AN91" s="75">
        <v>89</v>
      </c>
      <c r="AQ91" s="101" t="s">
        <v>1062</v>
      </c>
      <c r="AR91" s="77" t="s">
        <v>212</v>
      </c>
      <c r="AS91" s="77" t="s">
        <v>1091</v>
      </c>
      <c r="AT91" s="135">
        <v>3.103448275862069</v>
      </c>
      <c r="AU91" s="77">
        <v>2</v>
      </c>
      <c r="AV91" s="28">
        <v>1</v>
      </c>
      <c r="AW91" s="77">
        <v>27</v>
      </c>
      <c r="AX91" s="584">
        <v>29</v>
      </c>
      <c r="AY91" s="28">
        <v>22</v>
      </c>
      <c r="AZ91" s="28">
        <v>10</v>
      </c>
      <c r="BA91" s="28">
        <v>11</v>
      </c>
      <c r="BB91" s="586">
        <v>52</v>
      </c>
      <c r="BC91" s="28">
        <v>0</v>
      </c>
      <c r="BD91" s="106">
        <v>1.1379310344827587</v>
      </c>
      <c r="BE91" s="77">
        <v>0</v>
      </c>
      <c r="BF91" s="28">
        <v>0</v>
      </c>
      <c r="BG91" s="28">
        <v>0</v>
      </c>
      <c r="BH91" s="28">
        <v>0</v>
      </c>
      <c r="BI91" s="75">
        <v>89</v>
      </c>
    </row>
    <row r="92" spans="1:61">
      <c r="A92" s="136" t="s">
        <v>1062</v>
      </c>
      <c r="B92" s="115" t="s">
        <v>212</v>
      </c>
      <c r="C92" s="115" t="s">
        <v>1092</v>
      </c>
      <c r="D92" s="89">
        <f>VLOOKUP(Table107[[#This Row],[NAME]],MIL_P[[NAME]:['#]],2,0)</f>
        <v>2.1036229061160885</v>
      </c>
      <c r="E92" s="77">
        <f>VLOOKUP(Table107[[#This Row],[NAME]],MIL_P[[NAME]:['#]],3,0)</f>
        <v>1</v>
      </c>
      <c r="F92" s="28">
        <f>VLOOKUP(Table107[[#This Row],[NAME]],MIL_P[[NAME]:['#]],4,0)</f>
        <v>4</v>
      </c>
      <c r="G92" s="352">
        <f>VLOOKUP(Table107[[#This Row],[NAME]],MIL_P[[NAME]:['#]],5,0)</f>
        <v>24</v>
      </c>
      <c r="H92" s="584">
        <f>VLOOKUP(Table107[[#This Row],[NAME]],MIL_P[[NAME]:['#]],6,0)</f>
        <v>25.67</v>
      </c>
      <c r="I92" s="28">
        <f>VLOOKUP(Table107[[#This Row],[NAME]],MIL_P[[NAME]:['#]],7,0)</f>
        <v>9</v>
      </c>
      <c r="J92" s="28">
        <f>VLOOKUP(Table107[[#This Row],[NAME]],MIL_P[[NAME]:['#]],8,0)</f>
        <v>6</v>
      </c>
      <c r="K92" s="28">
        <f>VLOOKUP(Table107[[#This Row],[NAME]],MIL_P[[NAME]:['#]],9,0)</f>
        <v>12</v>
      </c>
      <c r="L92" s="28">
        <f>VLOOKUP(Table107[[#This Row],[NAME]],MIL_P[[NAME]:['#]],10,0)</f>
        <v>38</v>
      </c>
      <c r="M92" s="28">
        <f>VLOOKUP(Table107[[#This Row],[NAME]],MIL_P[[NAME]:['#]],11,0)</f>
        <v>5</v>
      </c>
      <c r="N92" s="583">
        <f>VLOOKUP(Table107[[#This Row],[NAME]],MIL_P[[NAME]:['#]],12,0)</f>
        <v>0.81807557460070113</v>
      </c>
      <c r="O92" s="77">
        <f>VLOOKUP(Table107[[#This Row],[NAME]],MIL_P[[NAME]:['#]],13,0)</f>
        <v>0</v>
      </c>
      <c r="P92" s="28">
        <f>VLOOKUP(Table107[[#This Row],[NAME]],MIL_P[[NAME]:['#]],14,0)</f>
        <v>0</v>
      </c>
      <c r="Q92" s="28">
        <f>VLOOKUP(Table107[[#This Row],[NAME]],MIL_P[[NAME]:['#]],15,0)</f>
        <v>0</v>
      </c>
      <c r="R92" s="28">
        <f>VLOOKUP(Table107[[#This Row],[NAME]],MIL_P[[NAME]:['#]],16,0)</f>
        <v>0</v>
      </c>
      <c r="S92" s="75">
        <v>90</v>
      </c>
      <c r="V92" s="136" t="s">
        <v>1062</v>
      </c>
      <c r="W92" s="137" t="s">
        <v>212</v>
      </c>
      <c r="X92" s="137" t="s">
        <v>1092</v>
      </c>
      <c r="Y92" s="88">
        <v>3.5060381768601476</v>
      </c>
      <c r="Z92" s="77">
        <v>1</v>
      </c>
      <c r="AA92" s="28">
        <v>3</v>
      </c>
      <c r="AB92" s="77">
        <v>22</v>
      </c>
      <c r="AC92" s="584">
        <v>25.67</v>
      </c>
      <c r="AD92" s="28">
        <v>16</v>
      </c>
      <c r="AE92" s="28">
        <v>10</v>
      </c>
      <c r="AF92" s="28">
        <v>14</v>
      </c>
      <c r="AG92" s="28">
        <v>40</v>
      </c>
      <c r="AH92" s="28">
        <v>6</v>
      </c>
      <c r="AI92" s="106">
        <v>1.168679392286716</v>
      </c>
      <c r="AJ92" s="77">
        <v>0</v>
      </c>
      <c r="AK92" s="28">
        <v>0</v>
      </c>
      <c r="AL92" s="28">
        <v>0</v>
      </c>
      <c r="AM92" s="28">
        <v>0</v>
      </c>
      <c r="AN92" s="75">
        <v>90</v>
      </c>
      <c r="AQ92" s="101" t="s">
        <v>1062</v>
      </c>
      <c r="AR92" s="77" t="s">
        <v>212</v>
      </c>
      <c r="AS92" s="77" t="s">
        <v>1092</v>
      </c>
      <c r="AT92" s="135">
        <v>2.7345233573870114</v>
      </c>
      <c r="AU92" s="77">
        <v>1</v>
      </c>
      <c r="AV92" s="28">
        <v>0</v>
      </c>
      <c r="AW92" s="77">
        <v>24</v>
      </c>
      <c r="AX92" s="584">
        <v>26.33</v>
      </c>
      <c r="AY92" s="28">
        <v>19</v>
      </c>
      <c r="AZ92" s="28">
        <v>8</v>
      </c>
      <c r="BA92" s="28">
        <v>13</v>
      </c>
      <c r="BB92" s="28">
        <v>37</v>
      </c>
      <c r="BC92" s="28">
        <v>13</v>
      </c>
      <c r="BD92" s="106">
        <v>1.2153437143942272</v>
      </c>
      <c r="BE92" s="77">
        <v>0</v>
      </c>
      <c r="BF92" s="28">
        <v>0</v>
      </c>
      <c r="BG92" s="28">
        <v>0</v>
      </c>
      <c r="BH92" s="28">
        <v>0</v>
      </c>
      <c r="BI92" s="75">
        <v>90</v>
      </c>
    </row>
    <row r="93" spans="1:61">
      <c r="A93" s="101" t="s">
        <v>1096</v>
      </c>
      <c r="B93" s="71" t="s">
        <v>365</v>
      </c>
      <c r="C93" s="116" t="s">
        <v>1113</v>
      </c>
      <c r="D93" s="89">
        <f>VLOOKUP(Table107[[#This Row],[NAME]],PIT_P[[NAME]:['#]],2,0)</f>
        <v>3.0857142857142859</v>
      </c>
      <c r="E93" s="77">
        <f>VLOOKUP(Table107[[#This Row],[NAME]],PIT_P[[NAME]:['#]],3,0)</f>
        <v>4</v>
      </c>
      <c r="F93" s="28">
        <f>VLOOKUP(Table107[[#This Row],[NAME]],PIT_P[[NAME]:['#]],4,0)</f>
        <v>4</v>
      </c>
      <c r="G93" s="77">
        <f>VLOOKUP(Table107[[#This Row],[NAME]],PIT_P[[NAME]:['#]],5,0)</f>
        <v>10</v>
      </c>
      <c r="H93" s="584">
        <f>VLOOKUP(Table107[[#This Row],[NAME]],PIT_P[[NAME]:['#]],6,0)</f>
        <v>70</v>
      </c>
      <c r="I93" s="28">
        <f>VLOOKUP(Table107[[#This Row],[NAME]],PIT_P[[NAME]:['#]],7,0)</f>
        <v>63</v>
      </c>
      <c r="J93" s="28">
        <f>VLOOKUP(Table107[[#This Row],[NAME]],PIT_P[[NAME]:['#]],8,0)</f>
        <v>24</v>
      </c>
      <c r="K93" s="28">
        <f>VLOOKUP(Table107[[#This Row],[NAME]],PIT_P[[NAME]:['#]],9,0)</f>
        <v>28</v>
      </c>
      <c r="L93" s="28">
        <f>VLOOKUP(Table107[[#This Row],[NAME]],PIT_P[[NAME]:['#]],10,0)</f>
        <v>78</v>
      </c>
      <c r="M93" s="28">
        <f>VLOOKUP(Table107[[#This Row],[NAME]],PIT_P[[NAME]:['#]],11,0)</f>
        <v>0</v>
      </c>
      <c r="N93" s="106">
        <f>VLOOKUP(Table107[[#This Row],[NAME]],PIT_P[[NAME]:['#]],12,0)</f>
        <v>1.3</v>
      </c>
      <c r="O93" s="77">
        <f>VLOOKUP(Table107[[#This Row],[NAME]],PIT_P[[NAME]:['#]],13,0)</f>
        <v>8</v>
      </c>
      <c r="P93" s="28">
        <f>VLOOKUP(Table107[[#This Row],[NAME]],PIT_P[[NAME]:['#]],14,0)</f>
        <v>6</v>
      </c>
      <c r="Q93" s="28">
        <f>VLOOKUP(Table107[[#This Row],[NAME]],PIT_P[[NAME]:['#]],15,0)</f>
        <v>1</v>
      </c>
      <c r="R93" s="28">
        <f>VLOOKUP(Table107[[#This Row],[NAME]],PIT_P[[NAME]:['#]],16,0)</f>
        <v>1</v>
      </c>
      <c r="S93" s="75">
        <v>91</v>
      </c>
      <c r="V93" s="101" t="s">
        <v>1096</v>
      </c>
      <c r="W93" s="77" t="s">
        <v>206</v>
      </c>
      <c r="X93" s="132" t="s">
        <v>1114</v>
      </c>
      <c r="Y93" s="88">
        <v>5.3092870385976738</v>
      </c>
      <c r="Z93" s="77">
        <v>0</v>
      </c>
      <c r="AA93" s="76">
        <v>8</v>
      </c>
      <c r="AB93" s="77">
        <v>10</v>
      </c>
      <c r="AC93" s="584">
        <v>59.33</v>
      </c>
      <c r="AD93" s="28">
        <v>58</v>
      </c>
      <c r="AE93" s="28">
        <v>35</v>
      </c>
      <c r="AF93" s="28">
        <v>28</v>
      </c>
      <c r="AG93" s="28">
        <v>53</v>
      </c>
      <c r="AH93" s="28">
        <v>0</v>
      </c>
      <c r="AI93" s="106">
        <v>1.4495196359346032</v>
      </c>
      <c r="AJ93" s="77">
        <v>6</v>
      </c>
      <c r="AK93" s="28">
        <v>1</v>
      </c>
      <c r="AL93" s="28">
        <v>0</v>
      </c>
      <c r="AM93" s="28">
        <v>0</v>
      </c>
      <c r="AN93" s="75">
        <v>91</v>
      </c>
      <c r="AQ93" s="101" t="s">
        <v>1096</v>
      </c>
      <c r="AR93" s="77" t="s">
        <v>206</v>
      </c>
      <c r="AS93" s="77" t="s">
        <v>1114</v>
      </c>
      <c r="AT93" s="135">
        <v>5.4562412560236284</v>
      </c>
      <c r="AU93" s="77">
        <v>2</v>
      </c>
      <c r="AV93" s="28">
        <v>5</v>
      </c>
      <c r="AW93" s="77">
        <v>10</v>
      </c>
      <c r="AX93" s="584">
        <v>64.33</v>
      </c>
      <c r="AY93" s="28">
        <v>60</v>
      </c>
      <c r="AZ93" s="28">
        <v>39</v>
      </c>
      <c r="BA93" s="28">
        <v>22</v>
      </c>
      <c r="BB93" s="28">
        <v>51</v>
      </c>
      <c r="BC93" s="28">
        <v>0</v>
      </c>
      <c r="BD93" s="106">
        <v>1.2746774444271725</v>
      </c>
      <c r="BE93" s="77">
        <v>5</v>
      </c>
      <c r="BF93" s="28">
        <v>3</v>
      </c>
      <c r="BG93" s="28">
        <v>0</v>
      </c>
      <c r="BH93" s="28">
        <v>0</v>
      </c>
      <c r="BI93" s="75">
        <v>91</v>
      </c>
    </row>
    <row r="94" spans="1:61">
      <c r="A94" s="101" t="s">
        <v>1096</v>
      </c>
      <c r="B94" s="71" t="s">
        <v>206</v>
      </c>
      <c r="C94" s="116" t="s">
        <v>1115</v>
      </c>
      <c r="D94" s="89">
        <f>VLOOKUP(Table107[[#This Row],[NAME]],PIT_P[[NAME]:['#]],2,0)</f>
        <v>3.6</v>
      </c>
      <c r="E94" s="77">
        <f>VLOOKUP(Table107[[#This Row],[NAME]],PIT_P[[NAME]:['#]],3,0)</f>
        <v>3</v>
      </c>
      <c r="F94" s="28">
        <f>VLOOKUP(Table107[[#This Row],[NAME]],PIT_P[[NAME]:['#]],4,0)</f>
        <v>3</v>
      </c>
      <c r="G94" s="77">
        <f>VLOOKUP(Table107[[#This Row],[NAME]],PIT_P[[NAME]:['#]],5,0)</f>
        <v>10</v>
      </c>
      <c r="H94" s="584">
        <f>VLOOKUP(Table107[[#This Row],[NAME]],PIT_P[[NAME]:['#]],6,0)</f>
        <v>65</v>
      </c>
      <c r="I94" s="28">
        <f>VLOOKUP(Table107[[#This Row],[NAME]],PIT_P[[NAME]:['#]],7,0)</f>
        <v>55</v>
      </c>
      <c r="J94" s="28">
        <f>VLOOKUP(Table107[[#This Row],[NAME]],PIT_P[[NAME]:['#]],8,0)</f>
        <v>26</v>
      </c>
      <c r="K94" s="28">
        <f>VLOOKUP(Table107[[#This Row],[NAME]],PIT_P[[NAME]:['#]],9,0)</f>
        <v>25</v>
      </c>
      <c r="L94" s="28">
        <f>VLOOKUP(Table107[[#This Row],[NAME]],PIT_P[[NAME]:['#]],10,0)</f>
        <v>62</v>
      </c>
      <c r="M94" s="28">
        <f>VLOOKUP(Table107[[#This Row],[NAME]],PIT_P[[NAME]:['#]],11,0)</f>
        <v>0</v>
      </c>
      <c r="N94" s="106">
        <f>VLOOKUP(Table107[[#This Row],[NAME]],PIT_P[[NAME]:['#]],12,0)</f>
        <v>1.2307692307692308</v>
      </c>
      <c r="O94" s="77">
        <f>VLOOKUP(Table107[[#This Row],[NAME]],PIT_P[[NAME]:['#]],13,0)</f>
        <v>7</v>
      </c>
      <c r="P94" s="28">
        <f>VLOOKUP(Table107[[#This Row],[NAME]],PIT_P[[NAME]:['#]],14,0)</f>
        <v>3</v>
      </c>
      <c r="Q94" s="28">
        <f>VLOOKUP(Table107[[#This Row],[NAME]],PIT_P[[NAME]:['#]],15,0)</f>
        <v>0</v>
      </c>
      <c r="R94" s="28">
        <f>VLOOKUP(Table107[[#This Row],[NAME]],PIT_P[[NAME]:['#]],16,0)</f>
        <v>0</v>
      </c>
      <c r="S94" s="75">
        <v>92</v>
      </c>
      <c r="V94" s="101" t="s">
        <v>1096</v>
      </c>
      <c r="W94" s="77" t="s">
        <v>206</v>
      </c>
      <c r="X94" s="132" t="s">
        <v>1115</v>
      </c>
      <c r="Y94" s="88">
        <v>5.1206896551724137</v>
      </c>
      <c r="Z94" s="77">
        <v>1</v>
      </c>
      <c r="AA94" s="28">
        <v>6</v>
      </c>
      <c r="AB94" s="77">
        <v>10</v>
      </c>
      <c r="AC94" s="584">
        <v>58</v>
      </c>
      <c r="AD94" s="28">
        <v>57</v>
      </c>
      <c r="AE94" s="28">
        <v>33</v>
      </c>
      <c r="AF94" s="28">
        <v>31</v>
      </c>
      <c r="AG94" s="28">
        <v>62</v>
      </c>
      <c r="AH94" s="28">
        <v>0</v>
      </c>
      <c r="AI94" s="106">
        <v>1.5172413793103448</v>
      </c>
      <c r="AJ94" s="77">
        <v>5</v>
      </c>
      <c r="AK94" s="28">
        <v>1</v>
      </c>
      <c r="AL94" s="28">
        <v>0</v>
      </c>
      <c r="AM94" s="28">
        <v>0</v>
      </c>
      <c r="AN94" s="75">
        <v>92</v>
      </c>
      <c r="AQ94" s="101" t="s">
        <v>1096</v>
      </c>
      <c r="AR94" s="77" t="s">
        <v>206</v>
      </c>
      <c r="AS94" s="77" t="s">
        <v>1115</v>
      </c>
      <c r="AT94" s="135">
        <v>2.3034267026873314</v>
      </c>
      <c r="AU94" s="77">
        <v>3</v>
      </c>
      <c r="AV94" s="28">
        <v>2</v>
      </c>
      <c r="AW94" s="77">
        <v>10</v>
      </c>
      <c r="AX94" s="584">
        <v>70.33</v>
      </c>
      <c r="AY94" s="28">
        <v>62</v>
      </c>
      <c r="AZ94" s="28">
        <v>18</v>
      </c>
      <c r="BA94" s="28">
        <v>31</v>
      </c>
      <c r="BB94" s="28">
        <v>68</v>
      </c>
      <c r="BC94" s="28">
        <v>0</v>
      </c>
      <c r="BD94" s="106">
        <v>1.3223375515427271</v>
      </c>
      <c r="BE94" s="77">
        <v>8</v>
      </c>
      <c r="BF94" s="28">
        <v>4</v>
      </c>
      <c r="BG94" s="28">
        <v>1</v>
      </c>
      <c r="BH94" s="28">
        <v>1</v>
      </c>
      <c r="BI94" s="75">
        <v>92</v>
      </c>
    </row>
    <row r="95" spans="1:61">
      <c r="A95" s="101" t="s">
        <v>1096</v>
      </c>
      <c r="B95" s="71" t="s">
        <v>206</v>
      </c>
      <c r="C95" s="116" t="s">
        <v>1116</v>
      </c>
      <c r="D95" s="89">
        <f>VLOOKUP(Table107[[#This Row],[NAME]],PIT_P[[NAME]:['#]],2,0)</f>
        <v>7.0588235294117645</v>
      </c>
      <c r="E95" s="77">
        <f>VLOOKUP(Table107[[#This Row],[NAME]],PIT_P[[NAME]:['#]],3,0)</f>
        <v>1</v>
      </c>
      <c r="F95" s="28">
        <f>VLOOKUP(Table107[[#This Row],[NAME]],PIT_P[[NAME]:['#]],4,0)</f>
        <v>7</v>
      </c>
      <c r="G95" s="77">
        <f>VLOOKUP(Table107[[#This Row],[NAME]],PIT_P[[NAME]:['#]],5,0)</f>
        <v>10</v>
      </c>
      <c r="H95" s="584">
        <f>VLOOKUP(Table107[[#This Row],[NAME]],PIT_P[[NAME]:['#]],6,0)</f>
        <v>51</v>
      </c>
      <c r="I95" s="28">
        <f>VLOOKUP(Table107[[#This Row],[NAME]],PIT_P[[NAME]:['#]],7,0)</f>
        <v>67</v>
      </c>
      <c r="J95" s="28">
        <f>VLOOKUP(Table107[[#This Row],[NAME]],PIT_P[[NAME]:['#]],8,0)</f>
        <v>40</v>
      </c>
      <c r="K95" s="28">
        <f>VLOOKUP(Table107[[#This Row],[NAME]],PIT_P[[NAME]:['#]],9,0)</f>
        <v>27</v>
      </c>
      <c r="L95" s="28">
        <f>VLOOKUP(Table107[[#This Row],[NAME]],PIT_P[[NAME]:['#]],10,0)</f>
        <v>49</v>
      </c>
      <c r="M95" s="28">
        <f>VLOOKUP(Table107[[#This Row],[NAME]],PIT_P[[NAME]:['#]],11,0)</f>
        <v>0</v>
      </c>
      <c r="N95" s="106">
        <f>VLOOKUP(Table107[[#This Row],[NAME]],PIT_P[[NAME]:['#]],12,0)</f>
        <v>1.8431372549019607</v>
      </c>
      <c r="O95" s="77">
        <f>VLOOKUP(Table107[[#This Row],[NAME]],PIT_P[[NAME]:['#]],13,0)</f>
        <v>2</v>
      </c>
      <c r="P95" s="28">
        <f>VLOOKUP(Table107[[#This Row],[NAME]],PIT_P[[NAME]:['#]],14,0)</f>
        <v>2</v>
      </c>
      <c r="Q95" s="28">
        <f>VLOOKUP(Table107[[#This Row],[NAME]],PIT_P[[NAME]:['#]],15,0)</f>
        <v>0</v>
      </c>
      <c r="R95" s="28">
        <f>VLOOKUP(Table107[[#This Row],[NAME]],PIT_P[[NAME]:['#]],16,0)</f>
        <v>0</v>
      </c>
      <c r="S95" s="75">
        <v>93</v>
      </c>
      <c r="V95" s="101" t="s">
        <v>1096</v>
      </c>
      <c r="W95" s="77" t="s">
        <v>206</v>
      </c>
      <c r="X95" s="132" t="s">
        <v>1117</v>
      </c>
      <c r="Y95" s="88">
        <v>3.239838008099595</v>
      </c>
      <c r="Z95" s="77">
        <v>3</v>
      </c>
      <c r="AA95" s="28">
        <v>0</v>
      </c>
      <c r="AB95" s="77">
        <v>10</v>
      </c>
      <c r="AC95" s="584">
        <v>66.67</v>
      </c>
      <c r="AD95" s="28">
        <v>53</v>
      </c>
      <c r="AE95" s="28">
        <v>24</v>
      </c>
      <c r="AF95" s="76">
        <v>38</v>
      </c>
      <c r="AG95" s="28">
        <v>64</v>
      </c>
      <c r="AH95" s="28">
        <v>0</v>
      </c>
      <c r="AI95" s="106">
        <v>1.3649317534123293</v>
      </c>
      <c r="AJ95" s="77">
        <v>5</v>
      </c>
      <c r="AK95" s="28">
        <v>5</v>
      </c>
      <c r="AL95" s="28">
        <v>1</v>
      </c>
      <c r="AM95" s="28">
        <v>1</v>
      </c>
      <c r="AN95" s="75">
        <v>93</v>
      </c>
      <c r="AQ95" s="101" t="s">
        <v>1096</v>
      </c>
      <c r="AR95" s="77" t="s">
        <v>206</v>
      </c>
      <c r="AS95" s="77" t="s">
        <v>1117</v>
      </c>
      <c r="AT95" s="135">
        <v>5.7231371270177727</v>
      </c>
      <c r="AU95" s="77">
        <v>4</v>
      </c>
      <c r="AV95" s="28">
        <v>5</v>
      </c>
      <c r="AW95" s="77">
        <v>10</v>
      </c>
      <c r="AX95" s="584">
        <v>61.33</v>
      </c>
      <c r="AY95" s="28">
        <v>63</v>
      </c>
      <c r="AZ95" s="28">
        <v>39</v>
      </c>
      <c r="BA95" s="28">
        <v>23</v>
      </c>
      <c r="BB95" s="28">
        <v>55</v>
      </c>
      <c r="BC95" s="28">
        <v>0</v>
      </c>
      <c r="BD95" s="106">
        <v>1.4022501222892549</v>
      </c>
      <c r="BE95" s="77">
        <v>5</v>
      </c>
      <c r="BF95" s="28">
        <v>4</v>
      </c>
      <c r="BG95" s="28">
        <v>0</v>
      </c>
      <c r="BH95" s="28">
        <v>0</v>
      </c>
      <c r="BI95" s="75">
        <v>93</v>
      </c>
    </row>
    <row r="96" spans="1:61">
      <c r="A96" s="101" t="s">
        <v>1096</v>
      </c>
      <c r="B96" s="71" t="s">
        <v>365</v>
      </c>
      <c r="C96" s="116" t="s">
        <v>319</v>
      </c>
      <c r="D96" s="89">
        <f>VLOOKUP(Table107[[#This Row],[NAME]],PIT_P[[NAME]:['#]],2,0)</f>
        <v>3.9661016949152543</v>
      </c>
      <c r="E96" s="77">
        <f>VLOOKUP(Table107[[#This Row],[NAME]],PIT_P[[NAME]:['#]],3,0)</f>
        <v>5</v>
      </c>
      <c r="F96" s="28">
        <f>VLOOKUP(Table107[[#This Row],[NAME]],PIT_P[[NAME]:['#]],4,0)</f>
        <v>3</v>
      </c>
      <c r="G96" s="77">
        <f>VLOOKUP(Table107[[#This Row],[NAME]],PIT_P[[NAME]:['#]],5,0)</f>
        <v>10</v>
      </c>
      <c r="H96" s="584">
        <f>VLOOKUP(Table107[[#This Row],[NAME]],PIT_P[[NAME]:['#]],6,0)</f>
        <v>59</v>
      </c>
      <c r="I96" s="28">
        <f>VLOOKUP(Table107[[#This Row],[NAME]],PIT_P[[NAME]:['#]],7,0)</f>
        <v>53</v>
      </c>
      <c r="J96" s="28">
        <f>VLOOKUP(Table107[[#This Row],[NAME]],PIT_P[[NAME]:['#]],8,0)</f>
        <v>26</v>
      </c>
      <c r="K96" s="28">
        <f>VLOOKUP(Table107[[#This Row],[NAME]],PIT_P[[NAME]:['#]],9,0)</f>
        <v>21</v>
      </c>
      <c r="L96" s="28">
        <f>VLOOKUP(Table107[[#This Row],[NAME]],PIT_P[[NAME]:['#]],10,0)</f>
        <v>54</v>
      </c>
      <c r="M96" s="28">
        <f>VLOOKUP(Table107[[#This Row],[NAME]],PIT_P[[NAME]:['#]],11,0)</f>
        <v>0</v>
      </c>
      <c r="N96" s="106">
        <f>VLOOKUP(Table107[[#This Row],[NAME]],PIT_P[[NAME]:['#]],12,0)</f>
        <v>1.2542372881355932</v>
      </c>
      <c r="O96" s="77">
        <f>VLOOKUP(Table107[[#This Row],[NAME]],PIT_P[[NAME]:['#]],13,0)</f>
        <v>6</v>
      </c>
      <c r="P96" s="28">
        <f>VLOOKUP(Table107[[#This Row],[NAME]],PIT_P[[NAME]:['#]],14,0)</f>
        <v>2</v>
      </c>
      <c r="Q96" s="28">
        <f>VLOOKUP(Table107[[#This Row],[NAME]],PIT_P[[NAME]:['#]],15,0)</f>
        <v>0</v>
      </c>
      <c r="R96" s="28">
        <f>VLOOKUP(Table107[[#This Row],[NAME]],PIT_P[[NAME]:['#]],16,0)</f>
        <v>0</v>
      </c>
      <c r="S96" s="75">
        <v>94</v>
      </c>
      <c r="V96" s="101" t="s">
        <v>1096</v>
      </c>
      <c r="W96" s="77" t="s">
        <v>206</v>
      </c>
      <c r="X96" s="132" t="s">
        <v>1116</v>
      </c>
      <c r="Y96" s="88">
        <v>7.0666398228306821</v>
      </c>
      <c r="Z96" s="77">
        <v>3</v>
      </c>
      <c r="AA96" s="28">
        <v>6</v>
      </c>
      <c r="AB96" s="77">
        <v>10</v>
      </c>
      <c r="AC96" s="584">
        <v>49.67</v>
      </c>
      <c r="AD96" s="28">
        <v>70</v>
      </c>
      <c r="AE96" s="28">
        <v>39</v>
      </c>
      <c r="AF96" s="28">
        <v>18</v>
      </c>
      <c r="AG96" s="28">
        <v>41</v>
      </c>
      <c r="AH96" s="28">
        <v>0</v>
      </c>
      <c r="AI96" s="106">
        <v>1.7716931749547009</v>
      </c>
      <c r="AJ96" s="77">
        <v>0</v>
      </c>
      <c r="AK96" s="28">
        <v>0</v>
      </c>
      <c r="AL96" s="28">
        <v>0</v>
      </c>
      <c r="AM96" s="28">
        <v>0</v>
      </c>
      <c r="AN96" s="75">
        <v>94</v>
      </c>
      <c r="AQ96" s="101" t="s">
        <v>1096</v>
      </c>
      <c r="AR96" s="77" t="s">
        <v>206</v>
      </c>
      <c r="AS96" s="77" t="s">
        <v>1116</v>
      </c>
      <c r="AT96" s="135">
        <v>7.0975484313389341</v>
      </c>
      <c r="AU96" s="77">
        <v>3</v>
      </c>
      <c r="AV96" s="28">
        <v>4</v>
      </c>
      <c r="AW96" s="77">
        <v>10</v>
      </c>
      <c r="AX96" s="584">
        <v>58.33</v>
      </c>
      <c r="AY96" s="76">
        <v>70</v>
      </c>
      <c r="AZ96" s="76">
        <v>46</v>
      </c>
      <c r="BA96" s="28">
        <v>35</v>
      </c>
      <c r="BB96" s="28">
        <v>70</v>
      </c>
      <c r="BC96" s="28">
        <v>0</v>
      </c>
      <c r="BD96" s="106">
        <v>1.8001028630207441</v>
      </c>
      <c r="BE96" s="77">
        <v>3</v>
      </c>
      <c r="BF96" s="28">
        <v>2</v>
      </c>
      <c r="BG96" s="28">
        <v>1</v>
      </c>
      <c r="BH96" s="28">
        <v>0</v>
      </c>
      <c r="BI96" s="75">
        <v>94</v>
      </c>
    </row>
    <row r="97" spans="1:61">
      <c r="A97" s="101" t="s">
        <v>1096</v>
      </c>
      <c r="B97" s="71" t="s">
        <v>212</v>
      </c>
      <c r="C97" s="116" t="s">
        <v>1120</v>
      </c>
      <c r="D97" s="89">
        <f>VLOOKUP(Table107[[#This Row],[NAME]],PIT_P[[NAME]:['#]],2,0)</f>
        <v>2.6470588235294117</v>
      </c>
      <c r="E97" s="77">
        <f>VLOOKUP(Table107[[#This Row],[NAME]],PIT_P[[NAME]:['#]],3,0)</f>
        <v>0</v>
      </c>
      <c r="F97" s="28">
        <f>VLOOKUP(Table107[[#This Row],[NAME]],PIT_P[[NAME]:['#]],4,0)</f>
        <v>0</v>
      </c>
      <c r="G97" s="77">
        <f>VLOOKUP(Table107[[#This Row],[NAME]],PIT_P[[NAME]:['#]],5,0)</f>
        <v>8</v>
      </c>
      <c r="H97" s="584">
        <f>VLOOKUP(Table107[[#This Row],[NAME]],PIT_P[[NAME]:['#]],6,0)</f>
        <v>17</v>
      </c>
      <c r="I97" s="28">
        <f>VLOOKUP(Table107[[#This Row],[NAME]],PIT_P[[NAME]:['#]],7,0)</f>
        <v>18</v>
      </c>
      <c r="J97" s="28">
        <f>VLOOKUP(Table107[[#This Row],[NAME]],PIT_P[[NAME]:['#]],8,0)</f>
        <v>5</v>
      </c>
      <c r="K97" s="28">
        <f>VLOOKUP(Table107[[#This Row],[NAME]],PIT_P[[NAME]:['#]],9,0)</f>
        <v>8</v>
      </c>
      <c r="L97" s="28">
        <f>VLOOKUP(Table107[[#This Row],[NAME]],PIT_P[[NAME]:['#]],10,0)</f>
        <v>12</v>
      </c>
      <c r="M97" s="28">
        <f>VLOOKUP(Table107[[#This Row],[NAME]],PIT_P[[NAME]:['#]],11,0)</f>
        <v>0</v>
      </c>
      <c r="N97" s="106">
        <f>VLOOKUP(Table107[[#This Row],[NAME]],PIT_P[[NAME]:['#]],12,0)</f>
        <v>1.5294117647058822</v>
      </c>
      <c r="O97" s="77">
        <f>VLOOKUP(Table107[[#This Row],[NAME]],PIT_P[[NAME]:['#]],13,0)</f>
        <v>0</v>
      </c>
      <c r="P97" s="28">
        <f>VLOOKUP(Table107[[#This Row],[NAME]],PIT_P[[NAME]:['#]],14,0)</f>
        <v>0</v>
      </c>
      <c r="Q97" s="28">
        <f>VLOOKUP(Table107[[#This Row],[NAME]],PIT_P[[NAME]:['#]],15,0)</f>
        <v>0</v>
      </c>
      <c r="R97" s="28">
        <f>VLOOKUP(Table107[[#This Row],[NAME]],PIT_P[[NAME]:['#]],16,0)</f>
        <v>0</v>
      </c>
      <c r="S97" s="75">
        <v>95</v>
      </c>
      <c r="V97" s="101" t="s">
        <v>1096</v>
      </c>
      <c r="W97" s="77" t="s">
        <v>215</v>
      </c>
      <c r="X97" s="132" t="s">
        <v>1120</v>
      </c>
      <c r="Y97" s="88">
        <v>3.9890896692806002</v>
      </c>
      <c r="Z97" s="77">
        <v>0</v>
      </c>
      <c r="AA97" s="28">
        <v>1</v>
      </c>
      <c r="AB97" s="77">
        <v>12</v>
      </c>
      <c r="AC97" s="584">
        <v>29.33</v>
      </c>
      <c r="AD97" s="28">
        <v>30</v>
      </c>
      <c r="AE97" s="28">
        <v>13</v>
      </c>
      <c r="AF97" s="28">
        <v>9</v>
      </c>
      <c r="AG97" s="28">
        <v>24</v>
      </c>
      <c r="AH97" s="28">
        <v>0</v>
      </c>
      <c r="AI97" s="106">
        <v>1.3296965564268668</v>
      </c>
      <c r="AJ97" s="77">
        <v>0</v>
      </c>
      <c r="AK97" s="28">
        <v>0</v>
      </c>
      <c r="AL97" s="28">
        <v>0</v>
      </c>
      <c r="AM97" s="28">
        <v>0</v>
      </c>
      <c r="AN97" s="75">
        <v>95</v>
      </c>
      <c r="AQ97" s="101" t="s">
        <v>1096</v>
      </c>
      <c r="AR97" s="77" t="s">
        <v>212</v>
      </c>
      <c r="AS97" s="77" t="s">
        <v>1119</v>
      </c>
      <c r="AT97" s="135">
        <v>0</v>
      </c>
      <c r="AU97" s="77">
        <v>0</v>
      </c>
      <c r="AV97" s="28">
        <v>0</v>
      </c>
      <c r="AW97" s="77">
        <v>0</v>
      </c>
      <c r="AX97" s="584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106">
        <v>0</v>
      </c>
      <c r="BE97" s="77">
        <v>0</v>
      </c>
      <c r="BF97" s="28">
        <v>0</v>
      </c>
      <c r="BG97" s="28">
        <v>0</v>
      </c>
      <c r="BH97" s="28">
        <v>0</v>
      </c>
      <c r="BI97" s="75">
        <v>95</v>
      </c>
    </row>
    <row r="98" spans="1:61">
      <c r="A98" s="101" t="s">
        <v>1096</v>
      </c>
      <c r="B98" s="71" t="s">
        <v>212</v>
      </c>
      <c r="C98" s="116" t="s">
        <v>1117</v>
      </c>
      <c r="D98" s="89">
        <f>VLOOKUP(Table107[[#This Row],[NAME]],PIT_P[[NAME]:['#]],2,0)</f>
        <v>3.1760035288928097</v>
      </c>
      <c r="E98" s="77">
        <f>VLOOKUP(Table107[[#This Row],[NAME]],PIT_P[[NAME]:['#]],3,0)</f>
        <v>2</v>
      </c>
      <c r="F98" s="28">
        <f>VLOOKUP(Table107[[#This Row],[NAME]],PIT_P[[NAME]:['#]],4,0)</f>
        <v>1</v>
      </c>
      <c r="G98" s="77">
        <f>VLOOKUP(Table107[[#This Row],[NAME]],PIT_P[[NAME]:['#]],5,0)</f>
        <v>11</v>
      </c>
      <c r="H98" s="584">
        <f>VLOOKUP(Table107[[#This Row],[NAME]],PIT_P[[NAME]:['#]],6,0)</f>
        <v>22.67</v>
      </c>
      <c r="I98" s="28">
        <f>VLOOKUP(Table107[[#This Row],[NAME]],PIT_P[[NAME]:['#]],7,0)</f>
        <v>19</v>
      </c>
      <c r="J98" s="28">
        <f>VLOOKUP(Table107[[#This Row],[NAME]],PIT_P[[NAME]:['#]],8,0)</f>
        <v>8</v>
      </c>
      <c r="K98" s="28">
        <f>VLOOKUP(Table107[[#This Row],[NAME]],PIT_P[[NAME]:['#]],9,0)</f>
        <v>11</v>
      </c>
      <c r="L98" s="28">
        <f>VLOOKUP(Table107[[#This Row],[NAME]],PIT_P[[NAME]:['#]],10,0)</f>
        <v>20</v>
      </c>
      <c r="M98" s="28">
        <f>VLOOKUP(Table107[[#This Row],[NAME]],PIT_P[[NAME]:['#]],11,0)</f>
        <v>0</v>
      </c>
      <c r="N98" s="106">
        <f>VLOOKUP(Table107[[#This Row],[NAME]],PIT_P[[NAME]:['#]],12,0)</f>
        <v>1.3233348037053374</v>
      </c>
      <c r="O98" s="77">
        <f>VLOOKUP(Table107[[#This Row],[NAME]],PIT_P[[NAME]:['#]],13,0)</f>
        <v>0</v>
      </c>
      <c r="P98" s="28">
        <f>VLOOKUP(Table107[[#This Row],[NAME]],PIT_P[[NAME]:['#]],14,0)</f>
        <v>0</v>
      </c>
      <c r="Q98" s="28">
        <f>VLOOKUP(Table107[[#This Row],[NAME]],PIT_P[[NAME]:['#]],15,0)</f>
        <v>0</v>
      </c>
      <c r="R98" s="28">
        <f>VLOOKUP(Table107[[#This Row],[NAME]],PIT_P[[NAME]:['#]],16,0)</f>
        <v>0</v>
      </c>
      <c r="S98" s="75">
        <v>96</v>
      </c>
      <c r="V98" s="101" t="s">
        <v>1096</v>
      </c>
      <c r="W98" s="77" t="s">
        <v>212</v>
      </c>
      <c r="X98" s="132" t="s">
        <v>1121</v>
      </c>
      <c r="Y98" s="88">
        <v>9</v>
      </c>
      <c r="Z98" s="77">
        <v>1</v>
      </c>
      <c r="AA98" s="28">
        <v>0</v>
      </c>
      <c r="AB98" s="77">
        <v>4</v>
      </c>
      <c r="AC98" s="584">
        <v>6</v>
      </c>
      <c r="AD98" s="28">
        <v>7</v>
      </c>
      <c r="AE98" s="28">
        <v>6</v>
      </c>
      <c r="AF98" s="28">
        <v>4</v>
      </c>
      <c r="AG98" s="28">
        <v>5</v>
      </c>
      <c r="AH98" s="28">
        <v>0</v>
      </c>
      <c r="AI98" s="106">
        <v>1.8333333333333333</v>
      </c>
      <c r="AJ98" s="77">
        <v>0</v>
      </c>
      <c r="AK98" s="28">
        <v>0</v>
      </c>
      <c r="AL98" s="28">
        <v>0</v>
      </c>
      <c r="AM98" s="28">
        <v>0</v>
      </c>
      <c r="AN98" s="75">
        <v>96</v>
      </c>
      <c r="AQ98" s="101" t="s">
        <v>1096</v>
      </c>
      <c r="AR98" s="77" t="s">
        <v>212</v>
      </c>
      <c r="AS98" s="77" t="s">
        <v>1121</v>
      </c>
      <c r="AT98" s="135">
        <v>5.2165018752130923</v>
      </c>
      <c r="AU98" s="77">
        <v>0</v>
      </c>
      <c r="AV98" s="28">
        <v>5</v>
      </c>
      <c r="AW98" s="77">
        <v>15</v>
      </c>
      <c r="AX98" s="584">
        <v>29.33</v>
      </c>
      <c r="AY98" s="28">
        <v>30</v>
      </c>
      <c r="AZ98" s="28">
        <v>17</v>
      </c>
      <c r="BA98" s="28">
        <v>13</v>
      </c>
      <c r="BB98" s="28">
        <v>26</v>
      </c>
      <c r="BC98" s="28">
        <v>0</v>
      </c>
      <c r="BD98" s="106">
        <v>1.4660756904193659</v>
      </c>
      <c r="BE98" s="77">
        <v>0</v>
      </c>
      <c r="BF98" s="28">
        <v>0</v>
      </c>
      <c r="BG98" s="28">
        <v>0</v>
      </c>
      <c r="BH98" s="28">
        <v>0</v>
      </c>
      <c r="BI98" s="75">
        <v>96</v>
      </c>
    </row>
    <row r="99" spans="1:61">
      <c r="A99" s="101" t="s">
        <v>1096</v>
      </c>
      <c r="B99" s="71" t="s">
        <v>212</v>
      </c>
      <c r="C99" s="116" t="s">
        <v>1118</v>
      </c>
      <c r="D99" s="89">
        <f>VLOOKUP(Table107[[#This Row],[NAME]],PIT_P[[NAME]:['#]],2,0)</f>
        <v>3.9130434782608696</v>
      </c>
      <c r="E99" s="77">
        <f>VLOOKUP(Table107[[#This Row],[NAME]],PIT_P[[NAME]:['#]],3,0)</f>
        <v>1</v>
      </c>
      <c r="F99" s="28">
        <f>VLOOKUP(Table107[[#This Row],[NAME]],PIT_P[[NAME]:['#]],4,0)</f>
        <v>0</v>
      </c>
      <c r="G99" s="77">
        <f>VLOOKUP(Table107[[#This Row],[NAME]],PIT_P[[NAME]:['#]],5,0)</f>
        <v>15</v>
      </c>
      <c r="H99" s="584">
        <f>VLOOKUP(Table107[[#This Row],[NAME]],PIT_P[[NAME]:['#]],6,0)</f>
        <v>23</v>
      </c>
      <c r="I99" s="28">
        <f>VLOOKUP(Table107[[#This Row],[NAME]],PIT_P[[NAME]:['#]],7,0)</f>
        <v>22</v>
      </c>
      <c r="J99" s="28">
        <f>VLOOKUP(Table107[[#This Row],[NAME]],PIT_P[[NAME]:['#]],8,0)</f>
        <v>10</v>
      </c>
      <c r="K99" s="28">
        <f>VLOOKUP(Table107[[#This Row],[NAME]],PIT_P[[NAME]:['#]],9,0)</f>
        <v>12</v>
      </c>
      <c r="L99" s="28">
        <f>VLOOKUP(Table107[[#This Row],[NAME]],PIT_P[[NAME]:['#]],10,0)</f>
        <v>26</v>
      </c>
      <c r="M99" s="28">
        <f>VLOOKUP(Table107[[#This Row],[NAME]],PIT_P[[NAME]:['#]],11,0)</f>
        <v>0</v>
      </c>
      <c r="N99" s="106">
        <f>VLOOKUP(Table107[[#This Row],[NAME]],PIT_P[[NAME]:['#]],12,0)</f>
        <v>1.4782608695652173</v>
      </c>
      <c r="O99" s="77">
        <f>VLOOKUP(Table107[[#This Row],[NAME]],PIT_P[[NAME]:['#]],13,0)</f>
        <v>0</v>
      </c>
      <c r="P99" s="28">
        <f>VLOOKUP(Table107[[#This Row],[NAME]],PIT_P[[NAME]:['#]],14,0)</f>
        <v>0</v>
      </c>
      <c r="Q99" s="28">
        <f>VLOOKUP(Table107[[#This Row],[NAME]],PIT_P[[NAME]:['#]],15,0)</f>
        <v>0</v>
      </c>
      <c r="R99" s="28">
        <f>VLOOKUP(Table107[[#This Row],[NAME]],PIT_P[[NAME]:['#]],16,0)</f>
        <v>0</v>
      </c>
      <c r="S99" s="75">
        <v>97</v>
      </c>
      <c r="V99" s="101" t="s">
        <v>1096</v>
      </c>
      <c r="W99" s="77" t="s">
        <v>215</v>
      </c>
      <c r="X99" s="132" t="s">
        <v>1118</v>
      </c>
      <c r="Y99" s="88">
        <v>6</v>
      </c>
      <c r="Z99" s="77">
        <v>1</v>
      </c>
      <c r="AA99" s="28">
        <v>3</v>
      </c>
      <c r="AB99" s="77">
        <v>15</v>
      </c>
      <c r="AC99" s="584">
        <v>33</v>
      </c>
      <c r="AD99" s="28">
        <v>35</v>
      </c>
      <c r="AE99" s="28">
        <v>22</v>
      </c>
      <c r="AF99" s="28">
        <v>17</v>
      </c>
      <c r="AG99" s="28">
        <v>29</v>
      </c>
      <c r="AH99" s="28">
        <v>0</v>
      </c>
      <c r="AI99" s="106">
        <v>1.5757575757575757</v>
      </c>
      <c r="AJ99" s="77">
        <v>0</v>
      </c>
      <c r="AK99" s="28">
        <v>0</v>
      </c>
      <c r="AL99" s="28">
        <v>0</v>
      </c>
      <c r="AM99" s="28">
        <v>0</v>
      </c>
      <c r="AN99" s="75">
        <v>97</v>
      </c>
      <c r="AQ99" s="101" t="s">
        <v>1096</v>
      </c>
      <c r="AR99" s="77" t="s">
        <v>212</v>
      </c>
      <c r="AS99" s="77" t="s">
        <v>1123</v>
      </c>
      <c r="AT99" s="135">
        <v>6.940874035989717</v>
      </c>
      <c r="AU99" s="77">
        <v>1</v>
      </c>
      <c r="AV99" s="28">
        <v>0</v>
      </c>
      <c r="AW99" s="77">
        <v>12</v>
      </c>
      <c r="AX99" s="584">
        <v>11.67</v>
      </c>
      <c r="AY99" s="28">
        <v>12</v>
      </c>
      <c r="AZ99" s="28">
        <v>9</v>
      </c>
      <c r="BA99" s="28">
        <v>9</v>
      </c>
      <c r="BB99" s="28">
        <v>15</v>
      </c>
      <c r="BC99" s="28">
        <v>0</v>
      </c>
      <c r="BD99" s="106">
        <v>1.7994858611825193</v>
      </c>
      <c r="BE99" s="77">
        <v>0</v>
      </c>
      <c r="BF99" s="28">
        <v>0</v>
      </c>
      <c r="BG99" s="28">
        <v>0</v>
      </c>
      <c r="BH99" s="28">
        <v>0</v>
      </c>
      <c r="BI99" s="75">
        <v>97</v>
      </c>
    </row>
    <row r="100" spans="1:61">
      <c r="A100" s="101" t="s">
        <v>1096</v>
      </c>
      <c r="B100" s="71" t="s">
        <v>215</v>
      </c>
      <c r="C100" s="116" t="s">
        <v>1124</v>
      </c>
      <c r="D100" s="89">
        <f>VLOOKUP(Table107[[#This Row],[NAME]],PIT_P[[NAME]:['#]],2,0)</f>
        <v>6.3178047223994893</v>
      </c>
      <c r="E100" s="77">
        <f>VLOOKUP(Table107[[#This Row],[NAME]],PIT_P[[NAME]:['#]],3,0)</f>
        <v>0</v>
      </c>
      <c r="F100" s="28">
        <f>VLOOKUP(Table107[[#This Row],[NAME]],PIT_P[[NAME]:['#]],4,0)</f>
        <v>1</v>
      </c>
      <c r="G100" s="77">
        <f>VLOOKUP(Table107[[#This Row],[NAME]],PIT_P[[NAME]:['#]],5,0)</f>
        <v>8</v>
      </c>
      <c r="H100" s="584">
        <f>VLOOKUP(Table107[[#This Row],[NAME]],PIT_P[[NAME]:['#]],6,0)</f>
        <v>15.67</v>
      </c>
      <c r="I100" s="28">
        <f>VLOOKUP(Table107[[#This Row],[NAME]],PIT_P[[NAME]:['#]],7,0)</f>
        <v>17</v>
      </c>
      <c r="J100" s="28">
        <f>VLOOKUP(Table107[[#This Row],[NAME]],PIT_P[[NAME]:['#]],8,0)</f>
        <v>11</v>
      </c>
      <c r="K100" s="28">
        <f>VLOOKUP(Table107[[#This Row],[NAME]],PIT_P[[NAME]:['#]],9,0)</f>
        <v>11</v>
      </c>
      <c r="L100" s="28">
        <f>VLOOKUP(Table107[[#This Row],[NAME]],PIT_P[[NAME]:['#]],10,0)</f>
        <v>15</v>
      </c>
      <c r="M100" s="28">
        <f>VLOOKUP(Table107[[#This Row],[NAME]],PIT_P[[NAME]:['#]],11,0)</f>
        <v>0</v>
      </c>
      <c r="N100" s="106">
        <f>VLOOKUP(Table107[[#This Row],[NAME]],PIT_P[[NAME]:['#]],12,0)</f>
        <v>1.7868538608806637</v>
      </c>
      <c r="O100" s="77">
        <f>VLOOKUP(Table107[[#This Row],[NAME]],PIT_P[[NAME]:['#]],13,0)</f>
        <v>0</v>
      </c>
      <c r="P100" s="28">
        <f>VLOOKUP(Table107[[#This Row],[NAME]],PIT_P[[NAME]:['#]],14,0)</f>
        <v>0</v>
      </c>
      <c r="Q100" s="28">
        <f>VLOOKUP(Table107[[#This Row],[NAME]],PIT_P[[NAME]:['#]],15,0)</f>
        <v>0</v>
      </c>
      <c r="R100" s="28">
        <f>VLOOKUP(Table107[[#This Row],[NAME]],PIT_P[[NAME]:['#]],16,0)</f>
        <v>0</v>
      </c>
      <c r="S100" s="75">
        <v>98</v>
      </c>
      <c r="V100" s="101" t="s">
        <v>1096</v>
      </c>
      <c r="W100" s="77" t="s">
        <v>212</v>
      </c>
      <c r="X100" s="132" t="s">
        <v>1122</v>
      </c>
      <c r="Y100" s="88">
        <v>3.4460753031269942</v>
      </c>
      <c r="Z100" s="77">
        <v>1</v>
      </c>
      <c r="AA100" s="28">
        <v>0</v>
      </c>
      <c r="AB100" s="77">
        <v>12</v>
      </c>
      <c r="AC100" s="584">
        <v>15.67</v>
      </c>
      <c r="AD100" s="28">
        <v>12</v>
      </c>
      <c r="AE100" s="28">
        <v>6</v>
      </c>
      <c r="AF100" s="28">
        <v>3</v>
      </c>
      <c r="AG100" s="28">
        <v>15</v>
      </c>
      <c r="AH100" s="28">
        <v>0</v>
      </c>
      <c r="AI100" s="106">
        <v>0.95724313975749842</v>
      </c>
      <c r="AJ100" s="77">
        <v>0</v>
      </c>
      <c r="AK100" s="28">
        <v>0</v>
      </c>
      <c r="AL100" s="28">
        <v>0</v>
      </c>
      <c r="AM100" s="28">
        <v>0</v>
      </c>
      <c r="AN100" s="75">
        <v>98</v>
      </c>
      <c r="AQ100" s="101" t="s">
        <v>1096</v>
      </c>
      <c r="AR100" s="77" t="s">
        <v>212</v>
      </c>
      <c r="AS100" s="77" t="s">
        <v>1122</v>
      </c>
      <c r="AT100" s="135">
        <v>7.5584883023395317</v>
      </c>
      <c r="AU100" s="77">
        <v>0</v>
      </c>
      <c r="AV100" s="28">
        <v>1</v>
      </c>
      <c r="AW100" s="77">
        <v>16</v>
      </c>
      <c r="AX100" s="584">
        <v>16.670000000000002</v>
      </c>
      <c r="AY100" s="28">
        <v>25</v>
      </c>
      <c r="AZ100" s="28">
        <v>14</v>
      </c>
      <c r="BA100" s="28">
        <v>7</v>
      </c>
      <c r="BB100" s="28">
        <v>13</v>
      </c>
      <c r="BC100" s="28">
        <v>0</v>
      </c>
      <c r="BD100" s="106">
        <v>1.9196160767846429</v>
      </c>
      <c r="BE100" s="77">
        <v>0</v>
      </c>
      <c r="BF100" s="28">
        <v>0</v>
      </c>
      <c r="BG100" s="28">
        <v>0</v>
      </c>
      <c r="BH100" s="28">
        <v>0</v>
      </c>
      <c r="BI100" s="75">
        <v>98</v>
      </c>
    </row>
    <row r="101" spans="1:61">
      <c r="A101" s="101" t="s">
        <v>1096</v>
      </c>
      <c r="B101" s="71" t="s">
        <v>215</v>
      </c>
      <c r="C101" s="116" t="s">
        <v>1125</v>
      </c>
      <c r="D101" s="89">
        <f>VLOOKUP(Table107[[#This Row],[NAME]],PIT_P[[NAME]:['#]],2,0)</f>
        <v>2.8717294192724951</v>
      </c>
      <c r="E101" s="77">
        <f>VLOOKUP(Table107[[#This Row],[NAME]],PIT_P[[NAME]:['#]],3,0)</f>
        <v>1</v>
      </c>
      <c r="F101" s="28">
        <f>VLOOKUP(Table107[[#This Row],[NAME]],PIT_P[[NAME]:['#]],4,0)</f>
        <v>0</v>
      </c>
      <c r="G101" s="77">
        <f>VLOOKUP(Table107[[#This Row],[NAME]],PIT_P[[NAME]:['#]],5,0)</f>
        <v>11</v>
      </c>
      <c r="H101" s="584">
        <f>VLOOKUP(Table107[[#This Row],[NAME]],PIT_P[[NAME]:['#]],6,0)</f>
        <v>15.67</v>
      </c>
      <c r="I101" s="28">
        <f>VLOOKUP(Table107[[#This Row],[NAME]],PIT_P[[NAME]:['#]],7,0)</f>
        <v>14</v>
      </c>
      <c r="J101" s="28">
        <f>VLOOKUP(Table107[[#This Row],[NAME]],PIT_P[[NAME]:['#]],8,0)</f>
        <v>5</v>
      </c>
      <c r="K101" s="28">
        <f>VLOOKUP(Table107[[#This Row],[NAME]],PIT_P[[NAME]:['#]],9,0)</f>
        <v>5</v>
      </c>
      <c r="L101" s="28">
        <f>VLOOKUP(Table107[[#This Row],[NAME]],PIT_P[[NAME]:['#]],10,0)</f>
        <v>14</v>
      </c>
      <c r="M101" s="28">
        <f>VLOOKUP(Table107[[#This Row],[NAME]],PIT_P[[NAME]:['#]],11,0)</f>
        <v>0</v>
      </c>
      <c r="N101" s="106">
        <f>VLOOKUP(Table107[[#This Row],[NAME]],PIT_P[[NAME]:['#]],12,0)</f>
        <v>1.2125079770261646</v>
      </c>
      <c r="O101" s="77">
        <f>VLOOKUP(Table107[[#This Row],[NAME]],PIT_P[[NAME]:['#]],13,0)</f>
        <v>0</v>
      </c>
      <c r="P101" s="28">
        <f>VLOOKUP(Table107[[#This Row],[NAME]],PIT_P[[NAME]:['#]],14,0)</f>
        <v>0</v>
      </c>
      <c r="Q101" s="28">
        <f>VLOOKUP(Table107[[#This Row],[NAME]],PIT_P[[NAME]:['#]],15,0)</f>
        <v>0</v>
      </c>
      <c r="R101" s="28">
        <f>VLOOKUP(Table107[[#This Row],[NAME]],PIT_P[[NAME]:['#]],16,0)</f>
        <v>0</v>
      </c>
      <c r="S101" s="75">
        <v>99</v>
      </c>
      <c r="V101" s="101" t="s">
        <v>1096</v>
      </c>
      <c r="W101" s="77" t="s">
        <v>212</v>
      </c>
      <c r="X101" s="132" t="s">
        <v>1119</v>
      </c>
      <c r="Y101" s="88">
        <v>5.9253840526700801</v>
      </c>
      <c r="Z101" s="77">
        <v>1</v>
      </c>
      <c r="AA101" s="28">
        <v>2</v>
      </c>
      <c r="AB101" s="77">
        <v>15</v>
      </c>
      <c r="AC101" s="584">
        <v>13.67</v>
      </c>
      <c r="AD101" s="28">
        <v>19</v>
      </c>
      <c r="AE101" s="28">
        <v>9</v>
      </c>
      <c r="AF101" s="28">
        <v>4</v>
      </c>
      <c r="AG101" s="28">
        <v>8</v>
      </c>
      <c r="AH101" s="28">
        <v>0</v>
      </c>
      <c r="AI101" s="106">
        <v>1.6825164594001463</v>
      </c>
      <c r="AJ101" s="77">
        <v>0</v>
      </c>
      <c r="AK101" s="28">
        <v>0</v>
      </c>
      <c r="AL101" s="28">
        <v>0</v>
      </c>
      <c r="AM101" s="28">
        <v>0</v>
      </c>
      <c r="AN101" s="75">
        <v>99</v>
      </c>
      <c r="AQ101" s="101" t="s">
        <v>1096</v>
      </c>
      <c r="AR101" s="77" t="s">
        <v>212</v>
      </c>
      <c r="AS101" s="77" t="s">
        <v>1126</v>
      </c>
      <c r="AT101" s="135">
        <v>5.25</v>
      </c>
      <c r="AU101" s="77">
        <v>0</v>
      </c>
      <c r="AV101" s="28">
        <v>3</v>
      </c>
      <c r="AW101" s="77">
        <v>23</v>
      </c>
      <c r="AX101" s="584">
        <v>24</v>
      </c>
      <c r="AY101" s="28">
        <v>25</v>
      </c>
      <c r="AZ101" s="28">
        <v>14</v>
      </c>
      <c r="BA101" s="28">
        <v>7</v>
      </c>
      <c r="BB101" s="28">
        <v>30</v>
      </c>
      <c r="BC101" s="28">
        <v>1</v>
      </c>
      <c r="BD101" s="106">
        <v>1.3333333333333333</v>
      </c>
      <c r="BE101" s="77">
        <v>0</v>
      </c>
      <c r="BF101" s="28">
        <v>0</v>
      </c>
      <c r="BG101" s="28">
        <v>0</v>
      </c>
      <c r="BH101" s="28">
        <v>0</v>
      </c>
      <c r="BI101" s="75">
        <v>99</v>
      </c>
    </row>
    <row r="102" spans="1:61">
      <c r="A102" s="101" t="s">
        <v>1096</v>
      </c>
      <c r="B102" s="71" t="s">
        <v>212</v>
      </c>
      <c r="C102" s="116" t="s">
        <v>1126</v>
      </c>
      <c r="D102" s="89">
        <f>VLOOKUP(Table107[[#This Row],[NAME]],PIT_P[[NAME]:['#]],2,0)</f>
        <v>2.2813688212927756</v>
      </c>
      <c r="E102" s="77">
        <f>VLOOKUP(Table107[[#This Row],[NAME]],PIT_P[[NAME]:['#]],3,0)</f>
        <v>1</v>
      </c>
      <c r="F102" s="28">
        <f>VLOOKUP(Table107[[#This Row],[NAME]],PIT_P[[NAME]:['#]],4,0)</f>
        <v>3</v>
      </c>
      <c r="G102" s="77">
        <f>VLOOKUP(Table107[[#This Row],[NAME]],PIT_P[[NAME]:['#]],5,0)</f>
        <v>22</v>
      </c>
      <c r="H102" s="584">
        <f>VLOOKUP(Table107[[#This Row],[NAME]],PIT_P[[NAME]:['#]],6,0)</f>
        <v>23.67</v>
      </c>
      <c r="I102" s="28">
        <f>VLOOKUP(Table107[[#This Row],[NAME]],PIT_P[[NAME]:['#]],7,0)</f>
        <v>22</v>
      </c>
      <c r="J102" s="28">
        <f>VLOOKUP(Table107[[#This Row],[NAME]],PIT_P[[NAME]:['#]],8,0)</f>
        <v>6</v>
      </c>
      <c r="K102" s="28">
        <f>VLOOKUP(Table107[[#This Row],[NAME]],PIT_P[[NAME]:['#]],9,0)</f>
        <v>5</v>
      </c>
      <c r="L102" s="28">
        <f>VLOOKUP(Table107[[#This Row],[NAME]],PIT_P[[NAME]:['#]],10,0)</f>
        <v>36</v>
      </c>
      <c r="M102" s="28">
        <f>VLOOKUP(Table107[[#This Row],[NAME]],PIT_P[[NAME]:['#]],11,0)</f>
        <v>6</v>
      </c>
      <c r="N102" s="106">
        <f>VLOOKUP(Table107[[#This Row],[NAME]],PIT_P[[NAME]:['#]],12,0)</f>
        <v>1.1406844106463878</v>
      </c>
      <c r="O102" s="77">
        <f>VLOOKUP(Table107[[#This Row],[NAME]],PIT_P[[NAME]:['#]],13,0)</f>
        <v>0</v>
      </c>
      <c r="P102" s="28">
        <f>VLOOKUP(Table107[[#This Row],[NAME]],PIT_P[[NAME]:['#]],14,0)</f>
        <v>0</v>
      </c>
      <c r="Q102" s="28">
        <f>VLOOKUP(Table107[[#This Row],[NAME]],PIT_P[[NAME]:['#]],15,0)</f>
        <v>0</v>
      </c>
      <c r="R102" s="28">
        <f>VLOOKUP(Table107[[#This Row],[NAME]],PIT_P[[NAME]:['#]],16,0)</f>
        <v>0</v>
      </c>
      <c r="S102" s="75">
        <v>100</v>
      </c>
      <c r="V102" s="101" t="s">
        <v>1096</v>
      </c>
      <c r="W102" s="77" t="s">
        <v>212</v>
      </c>
      <c r="X102" s="132" t="s">
        <v>1126</v>
      </c>
      <c r="Y102" s="88">
        <v>6</v>
      </c>
      <c r="Z102" s="77">
        <v>1</v>
      </c>
      <c r="AA102" s="28">
        <v>2</v>
      </c>
      <c r="AB102" s="77">
        <v>21</v>
      </c>
      <c r="AC102" s="584">
        <v>24</v>
      </c>
      <c r="AD102" s="28">
        <v>22</v>
      </c>
      <c r="AE102" s="28">
        <v>16</v>
      </c>
      <c r="AF102" s="28">
        <v>12</v>
      </c>
      <c r="AG102" s="28">
        <v>41</v>
      </c>
      <c r="AH102" s="28">
        <v>5</v>
      </c>
      <c r="AI102" s="106">
        <v>1.4166666666666667</v>
      </c>
      <c r="AJ102" s="77">
        <v>0</v>
      </c>
      <c r="AK102" s="28">
        <v>0</v>
      </c>
      <c r="AL102" s="28">
        <v>0</v>
      </c>
      <c r="AM102" s="28">
        <v>0</v>
      </c>
      <c r="AN102" s="75">
        <v>100</v>
      </c>
      <c r="AQ102" s="101" t="s">
        <v>1096</v>
      </c>
      <c r="AR102" s="77" t="s">
        <v>212</v>
      </c>
      <c r="AS102" s="77" t="s">
        <v>1127</v>
      </c>
      <c r="AT102" s="135">
        <v>3.75</v>
      </c>
      <c r="AU102" s="77">
        <v>1</v>
      </c>
      <c r="AV102" s="28">
        <v>1</v>
      </c>
      <c r="AW102" s="77">
        <v>22</v>
      </c>
      <c r="AX102" s="584">
        <v>24</v>
      </c>
      <c r="AY102" s="28">
        <v>24</v>
      </c>
      <c r="AZ102" s="28">
        <v>10</v>
      </c>
      <c r="BA102" s="28">
        <v>5</v>
      </c>
      <c r="BB102" s="28">
        <v>21</v>
      </c>
      <c r="BC102" s="28">
        <v>7</v>
      </c>
      <c r="BD102" s="106">
        <v>1.2083333333333333</v>
      </c>
      <c r="BE102" s="77">
        <v>0</v>
      </c>
      <c r="BF102" s="28">
        <v>0</v>
      </c>
      <c r="BG102" s="28">
        <v>0</v>
      </c>
      <c r="BH102" s="28">
        <v>0</v>
      </c>
      <c r="BI102" s="75">
        <v>100</v>
      </c>
    </row>
    <row r="103" spans="1:61">
      <c r="A103" s="136" t="s">
        <v>1139</v>
      </c>
      <c r="B103" s="115" t="s">
        <v>206</v>
      </c>
      <c r="C103" s="116" t="s">
        <v>559</v>
      </c>
      <c r="D103" s="89">
        <f>VLOOKUP(Table107[[#This Row],[NAME]],SFG_P[[NAME]:['#]],2,0)</f>
        <v>3.7826086956521738</v>
      </c>
      <c r="E103" s="139">
        <f>VLOOKUP(Table107[[#This Row],[NAME]],SFG_P[[NAME]:['#]],3,0)</f>
        <v>5</v>
      </c>
      <c r="F103" s="28">
        <f>VLOOKUP(Table107[[#This Row],[NAME]],SFG_P[[NAME]:['#]],4,0)</f>
        <v>3</v>
      </c>
      <c r="G103" s="77">
        <f>VLOOKUP(Table107[[#This Row],[NAME]],SFG_P[[NAME]:['#]],5,0)</f>
        <v>10</v>
      </c>
      <c r="H103" s="584">
        <f>VLOOKUP(Table107[[#This Row],[NAME]],SFG_P[[NAME]:['#]],6,0)</f>
        <v>69</v>
      </c>
      <c r="I103" s="28">
        <f>VLOOKUP(Table107[[#This Row],[NAME]],SFG_P[[NAME]:['#]],7,0)</f>
        <v>60</v>
      </c>
      <c r="J103" s="28">
        <f>VLOOKUP(Table107[[#This Row],[NAME]],SFG_P[[NAME]:['#]],8,0)</f>
        <v>29</v>
      </c>
      <c r="K103" s="28">
        <f>VLOOKUP(Table107[[#This Row],[NAME]],SFG_P[[NAME]:['#]],9,0)</f>
        <v>26</v>
      </c>
      <c r="L103" s="28">
        <f>VLOOKUP(Table107[[#This Row],[NAME]],SFG_P[[NAME]:['#]],10,0)</f>
        <v>82</v>
      </c>
      <c r="M103" s="28">
        <f>VLOOKUP(Table107[[#This Row],[NAME]],SFG_P[[NAME]:['#]],11,0)</f>
        <v>0</v>
      </c>
      <c r="N103" s="106">
        <f>VLOOKUP(Table107[[#This Row],[NAME]],SFG_P[[NAME]:['#]],12,0)</f>
        <v>1.2463768115942029</v>
      </c>
      <c r="O103" s="77">
        <f>VLOOKUP(Table107[[#This Row],[NAME]],SFG_P[[NAME]:['#]],13,0)</f>
        <v>7</v>
      </c>
      <c r="P103" s="28">
        <f>VLOOKUP(Table107[[#This Row],[NAME]],SFG_P[[NAME]:['#]],14,0)</f>
        <v>5</v>
      </c>
      <c r="Q103" s="28">
        <f>VLOOKUP(Table107[[#This Row],[NAME]],SFG_P[[NAME]:['#]],15,0)</f>
        <v>1</v>
      </c>
      <c r="R103" s="28">
        <f>VLOOKUP(Table107[[#This Row],[NAME]],SFG_P[[NAME]:['#]],16,0)</f>
        <v>1</v>
      </c>
      <c r="S103" s="75">
        <v>101</v>
      </c>
      <c r="V103" s="988" t="s">
        <v>1139</v>
      </c>
      <c r="W103" s="137" t="s">
        <v>206</v>
      </c>
      <c r="X103" s="132" t="s">
        <v>559</v>
      </c>
      <c r="Y103" s="88">
        <v>2.4664647338814367</v>
      </c>
      <c r="Z103" s="139">
        <v>2</v>
      </c>
      <c r="AA103" s="28">
        <v>4</v>
      </c>
      <c r="AB103" s="77">
        <v>10</v>
      </c>
      <c r="AC103" s="584">
        <v>69.33</v>
      </c>
      <c r="AD103" s="28">
        <v>53</v>
      </c>
      <c r="AE103" s="28">
        <v>19</v>
      </c>
      <c r="AF103" s="28">
        <v>25</v>
      </c>
      <c r="AG103" s="28">
        <v>91</v>
      </c>
      <c r="AH103" s="28">
        <v>0</v>
      </c>
      <c r="AI103" s="106">
        <v>1.1250540891389009</v>
      </c>
      <c r="AJ103" s="77">
        <v>8</v>
      </c>
      <c r="AK103" s="28">
        <v>6</v>
      </c>
      <c r="AL103" s="28">
        <v>1</v>
      </c>
      <c r="AM103" s="28">
        <v>1</v>
      </c>
      <c r="AN103" s="75">
        <v>101</v>
      </c>
      <c r="AQ103" s="101" t="s">
        <v>1139</v>
      </c>
      <c r="AR103" s="77" t="s">
        <v>206</v>
      </c>
      <c r="AS103" s="77" t="s">
        <v>1158</v>
      </c>
      <c r="AT103" s="135">
        <v>2.8228555843447429</v>
      </c>
      <c r="AU103" s="77">
        <v>5</v>
      </c>
      <c r="AV103" s="28">
        <v>4</v>
      </c>
      <c r="AW103" s="77">
        <v>10</v>
      </c>
      <c r="AX103" s="584">
        <v>73.33</v>
      </c>
      <c r="AY103" s="28">
        <v>58</v>
      </c>
      <c r="AZ103" s="28">
        <v>23</v>
      </c>
      <c r="BA103" s="28">
        <v>20</v>
      </c>
      <c r="BB103" s="28">
        <v>75</v>
      </c>
      <c r="BC103" s="28">
        <v>0</v>
      </c>
      <c r="BD103" s="106">
        <v>1.0636847129414975</v>
      </c>
      <c r="BE103" s="77">
        <v>8</v>
      </c>
      <c r="BF103" s="28">
        <v>6</v>
      </c>
      <c r="BG103" s="28">
        <v>2</v>
      </c>
      <c r="BH103" s="28">
        <v>2</v>
      </c>
      <c r="BI103" s="75">
        <v>101</v>
      </c>
    </row>
    <row r="104" spans="1:61">
      <c r="A104" s="136" t="s">
        <v>1139</v>
      </c>
      <c r="B104" s="115" t="s">
        <v>206</v>
      </c>
      <c r="C104" s="115" t="s">
        <v>1158</v>
      </c>
      <c r="D104" s="89">
        <f>VLOOKUP(Table107[[#This Row],[NAME]],SFG_P[[NAME]:['#]],2,0)</f>
        <v>3.4411764705882355</v>
      </c>
      <c r="E104" s="139">
        <f>VLOOKUP(Table107[[#This Row],[NAME]],SFG_P[[NAME]:['#]],3,0)</f>
        <v>4</v>
      </c>
      <c r="F104" s="28">
        <f>VLOOKUP(Table107[[#This Row],[NAME]],SFG_P[[NAME]:['#]],4,0)</f>
        <v>3</v>
      </c>
      <c r="G104" s="77">
        <f>VLOOKUP(Table107[[#This Row],[NAME]],SFG_P[[NAME]:['#]],5,0)</f>
        <v>10</v>
      </c>
      <c r="H104" s="584">
        <f>VLOOKUP(Table107[[#This Row],[NAME]],SFG_P[[NAME]:['#]],6,0)</f>
        <v>68</v>
      </c>
      <c r="I104" s="28">
        <f>VLOOKUP(Table107[[#This Row],[NAME]],SFG_P[[NAME]:['#]],7,0)</f>
        <v>59</v>
      </c>
      <c r="J104" s="28">
        <f>VLOOKUP(Table107[[#This Row],[NAME]],SFG_P[[NAME]:['#]],8,0)</f>
        <v>26</v>
      </c>
      <c r="K104" s="28">
        <f>VLOOKUP(Table107[[#This Row],[NAME]],SFG_P[[NAME]:['#]],9,0)</f>
        <v>18</v>
      </c>
      <c r="L104" s="28">
        <f>VLOOKUP(Table107[[#This Row],[NAME]],SFG_P[[NAME]:['#]],10,0)</f>
        <v>68</v>
      </c>
      <c r="M104" s="28">
        <f>VLOOKUP(Table107[[#This Row],[NAME]],SFG_P[[NAME]:['#]],11,0)</f>
        <v>0</v>
      </c>
      <c r="N104" s="106">
        <f>VLOOKUP(Table107[[#This Row],[NAME]],SFG_P[[NAME]:['#]],12,0)</f>
        <v>1.1323529411764706</v>
      </c>
      <c r="O104" s="77">
        <f>VLOOKUP(Table107[[#This Row],[NAME]],SFG_P[[NAME]:['#]],13,0)</f>
        <v>6</v>
      </c>
      <c r="P104" s="28">
        <f>VLOOKUP(Table107[[#This Row],[NAME]],SFG_P[[NAME]:['#]],14,0)</f>
        <v>5</v>
      </c>
      <c r="Q104" s="28">
        <f>VLOOKUP(Table107[[#This Row],[NAME]],SFG_P[[NAME]:['#]],15,0)</f>
        <v>1</v>
      </c>
      <c r="R104" s="28">
        <f>VLOOKUP(Table107[[#This Row],[NAME]],SFG_P[[NAME]:['#]],16,0)</f>
        <v>1</v>
      </c>
      <c r="S104" s="75">
        <v>102</v>
      </c>
      <c r="V104" s="988" t="s">
        <v>1139</v>
      </c>
      <c r="W104" s="137" t="s">
        <v>206</v>
      </c>
      <c r="X104" s="137" t="s">
        <v>1158</v>
      </c>
      <c r="Y104" s="88">
        <v>3.1363636363636362</v>
      </c>
      <c r="Z104" s="139">
        <v>5</v>
      </c>
      <c r="AA104" s="28">
        <v>3</v>
      </c>
      <c r="AB104" s="77">
        <v>10</v>
      </c>
      <c r="AC104" s="584">
        <v>66</v>
      </c>
      <c r="AD104" s="28">
        <v>62</v>
      </c>
      <c r="AE104" s="28">
        <v>23</v>
      </c>
      <c r="AF104" s="28">
        <v>20</v>
      </c>
      <c r="AG104" s="28">
        <v>57</v>
      </c>
      <c r="AH104" s="28">
        <v>0</v>
      </c>
      <c r="AI104" s="106">
        <v>1.2424242424242424</v>
      </c>
      <c r="AJ104" s="77">
        <v>8</v>
      </c>
      <c r="AK104" s="28">
        <v>4</v>
      </c>
      <c r="AL104" s="28">
        <v>1</v>
      </c>
      <c r="AM104" s="28">
        <v>1</v>
      </c>
      <c r="AN104" s="75">
        <v>102</v>
      </c>
      <c r="AQ104" s="101" t="s">
        <v>1139</v>
      </c>
      <c r="AR104" s="77" t="s">
        <v>206</v>
      </c>
      <c r="AS104" s="77" t="s">
        <v>286</v>
      </c>
      <c r="AT104" s="135">
        <v>4.430769230769231</v>
      </c>
      <c r="AU104" s="77">
        <v>5</v>
      </c>
      <c r="AV104" s="28">
        <v>4</v>
      </c>
      <c r="AW104" s="77">
        <v>10</v>
      </c>
      <c r="AX104" s="584">
        <v>65</v>
      </c>
      <c r="AY104" s="28">
        <v>61</v>
      </c>
      <c r="AZ104" s="28">
        <v>32</v>
      </c>
      <c r="BA104" s="28">
        <v>22</v>
      </c>
      <c r="BB104" s="28">
        <v>79</v>
      </c>
      <c r="BC104" s="28">
        <v>0</v>
      </c>
      <c r="BD104" s="106">
        <v>1.2769230769230768</v>
      </c>
      <c r="BE104" s="77">
        <v>7</v>
      </c>
      <c r="BF104" s="28">
        <v>4</v>
      </c>
      <c r="BG104" s="28">
        <v>0</v>
      </c>
      <c r="BH104" s="28">
        <v>0</v>
      </c>
      <c r="BI104" s="75">
        <v>102</v>
      </c>
    </row>
    <row r="105" spans="1:61">
      <c r="A105" s="136" t="s">
        <v>1139</v>
      </c>
      <c r="B105" s="115" t="s">
        <v>206</v>
      </c>
      <c r="C105" s="116" t="s">
        <v>1159</v>
      </c>
      <c r="D105" s="89">
        <f>VLOOKUP(Table107[[#This Row],[NAME]],SFG_P[[NAME]:['#]],2,0)</f>
        <v>3.4262220191868433</v>
      </c>
      <c r="E105" s="139">
        <f>VLOOKUP(Table107[[#This Row],[NAME]],SFG_P[[NAME]:['#]],3,0)</f>
        <v>3</v>
      </c>
      <c r="F105" s="28">
        <f>VLOOKUP(Table107[[#This Row],[NAME]],SFG_P[[NAME]:['#]],4,0)</f>
        <v>3</v>
      </c>
      <c r="G105" s="77">
        <f>VLOOKUP(Table107[[#This Row],[NAME]],SFG_P[[NAME]:['#]],5,0)</f>
        <v>10</v>
      </c>
      <c r="H105" s="584">
        <f>VLOOKUP(Table107[[#This Row],[NAME]],SFG_P[[NAME]:['#]],6,0)</f>
        <v>65.67</v>
      </c>
      <c r="I105" s="28">
        <f>VLOOKUP(Table107[[#This Row],[NAME]],SFG_P[[NAME]:['#]],7,0)</f>
        <v>63</v>
      </c>
      <c r="J105" s="28">
        <f>VLOOKUP(Table107[[#This Row],[NAME]],SFG_P[[NAME]:['#]],8,0)</f>
        <v>25</v>
      </c>
      <c r="K105" s="28">
        <f>VLOOKUP(Table107[[#This Row],[NAME]],SFG_P[[NAME]:['#]],9,0)</f>
        <v>27</v>
      </c>
      <c r="L105" s="28">
        <f>VLOOKUP(Table107[[#This Row],[NAME]],SFG_P[[NAME]:['#]],10,0)</f>
        <v>62</v>
      </c>
      <c r="M105" s="28">
        <f>VLOOKUP(Table107[[#This Row],[NAME]],SFG_P[[NAME]:['#]],11,0)</f>
        <v>0</v>
      </c>
      <c r="N105" s="106">
        <f>VLOOKUP(Table107[[#This Row],[NAME]],SFG_P[[NAME]:['#]],12,0)</f>
        <v>1.3704888076747372</v>
      </c>
      <c r="O105" s="77">
        <f>VLOOKUP(Table107[[#This Row],[NAME]],SFG_P[[NAME]:['#]],13,0)</f>
        <v>7</v>
      </c>
      <c r="P105" s="28">
        <f>VLOOKUP(Table107[[#This Row],[NAME]],SFG_P[[NAME]:['#]],14,0)</f>
        <v>5</v>
      </c>
      <c r="Q105" s="28">
        <f>VLOOKUP(Table107[[#This Row],[NAME]],SFG_P[[NAME]:['#]],15,0)</f>
        <v>0</v>
      </c>
      <c r="R105" s="28">
        <f>VLOOKUP(Table107[[#This Row],[NAME]],SFG_P[[NAME]:['#]],16,0)</f>
        <v>0</v>
      </c>
      <c r="S105" s="75">
        <v>103</v>
      </c>
      <c r="V105" s="988" t="s">
        <v>1139</v>
      </c>
      <c r="W105" s="137" t="s">
        <v>206</v>
      </c>
      <c r="X105" s="132" t="s">
        <v>1159</v>
      </c>
      <c r="Y105" s="88">
        <v>3.4654259586074123</v>
      </c>
      <c r="Z105" s="591">
        <v>8</v>
      </c>
      <c r="AA105" s="28">
        <v>0</v>
      </c>
      <c r="AB105" s="77">
        <v>10</v>
      </c>
      <c r="AC105" s="584">
        <v>62.33</v>
      </c>
      <c r="AD105" s="28">
        <v>59</v>
      </c>
      <c r="AE105" s="28">
        <v>24</v>
      </c>
      <c r="AF105" s="28">
        <v>24</v>
      </c>
      <c r="AG105" s="28">
        <v>64</v>
      </c>
      <c r="AH105" s="28">
        <v>0</v>
      </c>
      <c r="AI105" s="106">
        <v>1.3316220118722926</v>
      </c>
      <c r="AJ105" s="77">
        <v>6</v>
      </c>
      <c r="AK105" s="28">
        <v>5</v>
      </c>
      <c r="AL105" s="28">
        <v>1</v>
      </c>
      <c r="AM105" s="28">
        <v>1</v>
      </c>
      <c r="AN105" s="75">
        <v>103</v>
      </c>
      <c r="AQ105" s="101" t="s">
        <v>1139</v>
      </c>
      <c r="AR105" s="77" t="s">
        <v>206</v>
      </c>
      <c r="AS105" s="77" t="s">
        <v>1159</v>
      </c>
      <c r="AT105" s="135">
        <v>2.8833551769331587</v>
      </c>
      <c r="AU105" s="77">
        <v>6</v>
      </c>
      <c r="AV105" s="28">
        <v>3</v>
      </c>
      <c r="AW105" s="77">
        <v>10</v>
      </c>
      <c r="AX105" s="584">
        <v>68.67</v>
      </c>
      <c r="AY105" s="28">
        <v>54</v>
      </c>
      <c r="AZ105" s="28">
        <v>22</v>
      </c>
      <c r="BA105" s="28">
        <v>25</v>
      </c>
      <c r="BB105" s="28">
        <v>63</v>
      </c>
      <c r="BC105" s="28">
        <v>0</v>
      </c>
      <c r="BD105" s="106">
        <v>1.1504295907965632</v>
      </c>
      <c r="BE105" s="77">
        <v>8</v>
      </c>
      <c r="BF105" s="28">
        <v>6</v>
      </c>
      <c r="BG105" s="28">
        <v>1</v>
      </c>
      <c r="BH105" s="28">
        <v>1</v>
      </c>
      <c r="BI105" s="75">
        <v>103</v>
      </c>
    </row>
    <row r="106" spans="1:61">
      <c r="A106" s="136" t="s">
        <v>1139</v>
      </c>
      <c r="B106" s="115" t="s">
        <v>206</v>
      </c>
      <c r="C106" s="116" t="s">
        <v>1160</v>
      </c>
      <c r="D106" s="89">
        <f>VLOOKUP(Table107[[#This Row],[NAME]],SFG_P[[NAME]:['#]],2,0)</f>
        <v>5.5384615384615383</v>
      </c>
      <c r="E106" s="139">
        <f>VLOOKUP(Table107[[#This Row],[NAME]],SFG_P[[NAME]:['#]],3,0)</f>
        <v>4</v>
      </c>
      <c r="F106" s="28">
        <f>VLOOKUP(Table107[[#This Row],[NAME]],SFG_P[[NAME]:['#]],4,0)</f>
        <v>4</v>
      </c>
      <c r="G106" s="77">
        <f>VLOOKUP(Table107[[#This Row],[NAME]],SFG_P[[NAME]:['#]],5,0)</f>
        <v>10</v>
      </c>
      <c r="H106" s="584">
        <f>VLOOKUP(Table107[[#This Row],[NAME]],SFG_P[[NAME]:['#]],6,0)</f>
        <v>52</v>
      </c>
      <c r="I106" s="28">
        <f>VLOOKUP(Table107[[#This Row],[NAME]],SFG_P[[NAME]:['#]],7,0)</f>
        <v>64</v>
      </c>
      <c r="J106" s="28">
        <f>VLOOKUP(Table107[[#This Row],[NAME]],SFG_P[[NAME]:['#]],8,0)</f>
        <v>32</v>
      </c>
      <c r="K106" s="28">
        <f>VLOOKUP(Table107[[#This Row],[NAME]],SFG_P[[NAME]:['#]],9,0)</f>
        <v>23</v>
      </c>
      <c r="L106" s="28">
        <f>VLOOKUP(Table107[[#This Row],[NAME]],SFG_P[[NAME]:['#]],10,0)</f>
        <v>34</v>
      </c>
      <c r="M106" s="28">
        <f>VLOOKUP(Table107[[#This Row],[NAME]],SFG_P[[NAME]:['#]],11,0)</f>
        <v>0</v>
      </c>
      <c r="N106" s="106">
        <f>VLOOKUP(Table107[[#This Row],[NAME]],SFG_P[[NAME]:['#]],12,0)</f>
        <v>1.6730769230769231</v>
      </c>
      <c r="O106" s="77">
        <f>VLOOKUP(Table107[[#This Row],[NAME]],SFG_P[[NAME]:['#]],13,0)</f>
        <v>4</v>
      </c>
      <c r="P106" s="28">
        <f>VLOOKUP(Table107[[#This Row],[NAME]],SFG_P[[NAME]:['#]],14,0)</f>
        <v>1</v>
      </c>
      <c r="Q106" s="28">
        <f>VLOOKUP(Table107[[#This Row],[NAME]],SFG_P[[NAME]:['#]],15,0)</f>
        <v>0</v>
      </c>
      <c r="R106" s="28">
        <f>VLOOKUP(Table107[[#This Row],[NAME]],SFG_P[[NAME]:['#]],16,0)</f>
        <v>0</v>
      </c>
      <c r="S106" s="75">
        <v>104</v>
      </c>
      <c r="V106" s="988" t="s">
        <v>1139</v>
      </c>
      <c r="W106" s="137" t="s">
        <v>206</v>
      </c>
      <c r="X106" s="132" t="s">
        <v>1047</v>
      </c>
      <c r="Y106" s="88">
        <v>3.0294160690765404</v>
      </c>
      <c r="Z106" s="139">
        <v>6</v>
      </c>
      <c r="AA106" s="28">
        <v>1</v>
      </c>
      <c r="AB106" s="77">
        <v>10</v>
      </c>
      <c r="AC106" s="584">
        <v>68.33</v>
      </c>
      <c r="AD106" s="28">
        <v>44</v>
      </c>
      <c r="AE106" s="28">
        <v>23</v>
      </c>
      <c r="AF106" s="28">
        <v>18</v>
      </c>
      <c r="AG106" s="28">
        <v>44</v>
      </c>
      <c r="AH106" s="28">
        <v>0</v>
      </c>
      <c r="AI106" s="106">
        <v>0.90736133469925362</v>
      </c>
      <c r="AJ106" s="77">
        <v>4</v>
      </c>
      <c r="AK106" s="28">
        <v>3</v>
      </c>
      <c r="AL106" s="28">
        <v>2</v>
      </c>
      <c r="AM106" s="28">
        <v>2</v>
      </c>
      <c r="AN106" s="75">
        <v>104</v>
      </c>
      <c r="AQ106" s="101" t="s">
        <v>1139</v>
      </c>
      <c r="AR106" s="77" t="s">
        <v>206</v>
      </c>
      <c r="AS106" s="77" t="s">
        <v>1047</v>
      </c>
      <c r="AT106" s="135">
        <v>5.2581714827096162</v>
      </c>
      <c r="AU106" s="77">
        <v>5</v>
      </c>
      <c r="AV106" s="28">
        <v>2</v>
      </c>
      <c r="AW106" s="77">
        <v>10</v>
      </c>
      <c r="AX106" s="584">
        <v>63.33</v>
      </c>
      <c r="AY106" s="28">
        <v>71</v>
      </c>
      <c r="AZ106" s="28">
        <v>37</v>
      </c>
      <c r="BA106" s="28">
        <v>21</v>
      </c>
      <c r="BB106" s="28">
        <v>58</v>
      </c>
      <c r="BC106" s="28">
        <v>0</v>
      </c>
      <c r="BD106" s="106">
        <v>1.4527080372651193</v>
      </c>
      <c r="BE106" s="77">
        <v>5</v>
      </c>
      <c r="BF106" s="28">
        <v>2</v>
      </c>
      <c r="BG106" s="28">
        <v>1</v>
      </c>
      <c r="BH106" s="28">
        <v>1</v>
      </c>
      <c r="BI106" s="75">
        <v>104</v>
      </c>
    </row>
    <row r="107" spans="1:61">
      <c r="A107" s="136" t="s">
        <v>1139</v>
      </c>
      <c r="B107" s="115" t="s">
        <v>212</v>
      </c>
      <c r="C107" s="116" t="s">
        <v>1161</v>
      </c>
      <c r="D107" s="89">
        <f>VLOOKUP(Table107[[#This Row],[NAME]],SFG_P[[NAME]:['#]],2,0)</f>
        <v>5.8235294117647056</v>
      </c>
      <c r="E107" s="139">
        <f>VLOOKUP(Table107[[#This Row],[NAME]],SFG_P[[NAME]:['#]],3,0)</f>
        <v>0</v>
      </c>
      <c r="F107" s="28">
        <f>VLOOKUP(Table107[[#This Row],[NAME]],SFG_P[[NAME]:['#]],4,0)</f>
        <v>0</v>
      </c>
      <c r="G107" s="77">
        <f>VLOOKUP(Table107[[#This Row],[NAME]],SFG_P[[NAME]:['#]],5,0)</f>
        <v>9</v>
      </c>
      <c r="H107" s="584">
        <f>VLOOKUP(Table107[[#This Row],[NAME]],SFG_P[[NAME]:['#]],6,0)</f>
        <v>17</v>
      </c>
      <c r="I107" s="28">
        <f>VLOOKUP(Table107[[#This Row],[NAME]],SFG_P[[NAME]:['#]],7,0)</f>
        <v>24</v>
      </c>
      <c r="J107" s="28">
        <f>VLOOKUP(Table107[[#This Row],[NAME]],SFG_P[[NAME]:['#]],8,0)</f>
        <v>11</v>
      </c>
      <c r="K107" s="28">
        <f>VLOOKUP(Table107[[#This Row],[NAME]],SFG_P[[NAME]:['#]],9,0)</f>
        <v>9</v>
      </c>
      <c r="L107" s="28">
        <f>VLOOKUP(Table107[[#This Row],[NAME]],SFG_P[[NAME]:['#]],10,0)</f>
        <v>14</v>
      </c>
      <c r="M107" s="28">
        <f>VLOOKUP(Table107[[#This Row],[NAME]],SFG_P[[NAME]:['#]],11,0)</f>
        <v>0</v>
      </c>
      <c r="N107" s="106">
        <f>VLOOKUP(Table107[[#This Row],[NAME]],SFG_P[[NAME]:['#]],12,0)</f>
        <v>1.9411764705882353</v>
      </c>
      <c r="O107" s="77">
        <f>VLOOKUP(Table107[[#This Row],[NAME]],SFG_P[[NAME]:['#]],13,0)</f>
        <v>0</v>
      </c>
      <c r="P107" s="28">
        <f>VLOOKUP(Table107[[#This Row],[NAME]],SFG_P[[NAME]:['#]],14,0)</f>
        <v>0</v>
      </c>
      <c r="Q107" s="28">
        <f>VLOOKUP(Table107[[#This Row],[NAME]],SFG_P[[NAME]:['#]],15,0)</f>
        <v>0</v>
      </c>
      <c r="R107" s="28">
        <f>VLOOKUP(Table107[[#This Row],[NAME]],SFG_P[[NAME]:['#]],16,0)</f>
        <v>0</v>
      </c>
      <c r="S107" s="75">
        <v>105</v>
      </c>
      <c r="V107" s="988" t="s">
        <v>1139</v>
      </c>
      <c r="W107" s="137" t="s">
        <v>212</v>
      </c>
      <c r="X107" s="132" t="s">
        <v>1160</v>
      </c>
      <c r="Y107" s="88">
        <v>1.8</v>
      </c>
      <c r="Z107" s="139">
        <v>0</v>
      </c>
      <c r="AA107" s="28">
        <v>1</v>
      </c>
      <c r="AB107" s="77">
        <v>9</v>
      </c>
      <c r="AC107" s="584">
        <v>15</v>
      </c>
      <c r="AD107" s="28">
        <v>14</v>
      </c>
      <c r="AE107" s="28">
        <v>3</v>
      </c>
      <c r="AF107" s="28">
        <v>4</v>
      </c>
      <c r="AG107" s="28">
        <v>13</v>
      </c>
      <c r="AH107" s="28">
        <v>0</v>
      </c>
      <c r="AI107" s="106">
        <v>1.2</v>
      </c>
      <c r="AJ107" s="77">
        <v>0</v>
      </c>
      <c r="AK107" s="28">
        <v>0</v>
      </c>
      <c r="AL107" s="28">
        <v>0</v>
      </c>
      <c r="AM107" s="28">
        <v>0</v>
      </c>
      <c r="AN107" s="75">
        <v>105</v>
      </c>
      <c r="AQ107" s="101" t="s">
        <v>1139</v>
      </c>
      <c r="AR107" s="77" t="s">
        <v>212</v>
      </c>
      <c r="AS107" s="77" t="s">
        <v>1160</v>
      </c>
      <c r="AT107" s="135">
        <v>3.1141868512110729</v>
      </c>
      <c r="AU107" s="77">
        <v>1</v>
      </c>
      <c r="AV107" s="28">
        <v>0</v>
      </c>
      <c r="AW107" s="77">
        <v>6</v>
      </c>
      <c r="AX107" s="584">
        <v>8.67</v>
      </c>
      <c r="AY107" s="28">
        <v>9</v>
      </c>
      <c r="AZ107" s="28">
        <v>3</v>
      </c>
      <c r="BA107" s="28">
        <v>2</v>
      </c>
      <c r="BB107" s="28">
        <v>6</v>
      </c>
      <c r="BC107" s="28">
        <v>1</v>
      </c>
      <c r="BD107" s="106">
        <v>1.2687427912341407</v>
      </c>
      <c r="BE107" s="77">
        <v>0</v>
      </c>
      <c r="BF107" s="28">
        <v>0</v>
      </c>
      <c r="BG107" s="28">
        <v>0</v>
      </c>
      <c r="BH107" s="28">
        <v>0</v>
      </c>
      <c r="BI107" s="75">
        <v>105</v>
      </c>
    </row>
    <row r="108" spans="1:61">
      <c r="A108" s="136" t="s">
        <v>1139</v>
      </c>
      <c r="B108" s="115" t="s">
        <v>215</v>
      </c>
      <c r="C108" s="116" t="s">
        <v>1164</v>
      </c>
      <c r="D108" s="89">
        <f>VLOOKUP(Table107[[#This Row],[NAME]],SFG_P[[NAME]:['#]],2,0)</f>
        <v>6.75</v>
      </c>
      <c r="E108" s="139">
        <f>VLOOKUP(Table107[[#This Row],[NAME]],SFG_P[[NAME]:['#]],3,0)</f>
        <v>0</v>
      </c>
      <c r="F108" s="28">
        <f>VLOOKUP(Table107[[#This Row],[NAME]],SFG_P[[NAME]:['#]],4,0)</f>
        <v>0</v>
      </c>
      <c r="G108" s="77">
        <f>VLOOKUP(Table107[[#This Row],[NAME]],SFG_P[[NAME]:['#]],5,0)</f>
        <v>7</v>
      </c>
      <c r="H108" s="584">
        <f>VLOOKUP(Table107[[#This Row],[NAME]],SFG_P[[NAME]:['#]],6,0)</f>
        <v>8</v>
      </c>
      <c r="I108" s="28">
        <f>VLOOKUP(Table107[[#This Row],[NAME]],SFG_P[[NAME]:['#]],7,0)</f>
        <v>11</v>
      </c>
      <c r="J108" s="28">
        <f>VLOOKUP(Table107[[#This Row],[NAME]],SFG_P[[NAME]:['#]],8,0)</f>
        <v>6</v>
      </c>
      <c r="K108" s="28">
        <f>VLOOKUP(Table107[[#This Row],[NAME]],SFG_P[[NAME]:['#]],9,0)</f>
        <v>3</v>
      </c>
      <c r="L108" s="28">
        <f>VLOOKUP(Table107[[#This Row],[NAME]],SFG_P[[NAME]:['#]],10,0)</f>
        <v>5</v>
      </c>
      <c r="M108" s="28">
        <f>VLOOKUP(Table107[[#This Row],[NAME]],SFG_P[[NAME]:['#]],11,0)</f>
        <v>0</v>
      </c>
      <c r="N108" s="106">
        <f>VLOOKUP(Table107[[#This Row],[NAME]],SFG_P[[NAME]:['#]],12,0)</f>
        <v>1.75</v>
      </c>
      <c r="O108" s="77">
        <f>VLOOKUP(Table107[[#This Row],[NAME]],SFG_P[[NAME]:['#]],13,0)</f>
        <v>0</v>
      </c>
      <c r="P108" s="28">
        <f>VLOOKUP(Table107[[#This Row],[NAME]],SFG_P[[NAME]:['#]],14,0)</f>
        <v>0</v>
      </c>
      <c r="Q108" s="28">
        <f>VLOOKUP(Table107[[#This Row],[NAME]],SFG_P[[NAME]:['#]],15,0)</f>
        <v>0</v>
      </c>
      <c r="R108" s="28">
        <f>VLOOKUP(Table107[[#This Row],[NAME]],SFG_P[[NAME]:['#]],16,0)</f>
        <v>0</v>
      </c>
      <c r="S108" s="75">
        <v>106</v>
      </c>
      <c r="V108" s="988" t="s">
        <v>1139</v>
      </c>
      <c r="W108" s="137" t="s">
        <v>215</v>
      </c>
      <c r="X108" s="132" t="s">
        <v>1161</v>
      </c>
      <c r="Y108" s="88">
        <v>2.5122121423586878</v>
      </c>
      <c r="Z108" s="139">
        <v>1</v>
      </c>
      <c r="AA108" s="28">
        <v>0</v>
      </c>
      <c r="AB108" s="77">
        <v>8</v>
      </c>
      <c r="AC108" s="584">
        <v>14.33</v>
      </c>
      <c r="AD108" s="28">
        <v>10</v>
      </c>
      <c r="AE108" s="28">
        <v>4</v>
      </c>
      <c r="AF108" s="28">
        <v>7</v>
      </c>
      <c r="AG108" s="28">
        <v>15</v>
      </c>
      <c r="AH108" s="28">
        <v>0</v>
      </c>
      <c r="AI108" s="106">
        <v>1.1863224005582693</v>
      </c>
      <c r="AJ108" s="77">
        <v>0</v>
      </c>
      <c r="AK108" s="28">
        <v>0</v>
      </c>
      <c r="AL108" s="28">
        <v>0</v>
      </c>
      <c r="AM108" s="28">
        <v>0</v>
      </c>
      <c r="AN108" s="75">
        <v>106</v>
      </c>
      <c r="AQ108" s="101" t="s">
        <v>1139</v>
      </c>
      <c r="AR108" s="77" t="s">
        <v>212</v>
      </c>
      <c r="AS108" s="77" t="s">
        <v>1166</v>
      </c>
      <c r="AT108" s="135">
        <v>6.940874035989717</v>
      </c>
      <c r="AU108" s="77">
        <v>0</v>
      </c>
      <c r="AV108" s="28">
        <v>0</v>
      </c>
      <c r="AW108" s="77">
        <v>11</v>
      </c>
      <c r="AX108" s="584">
        <v>11.67</v>
      </c>
      <c r="AY108" s="28">
        <v>14</v>
      </c>
      <c r="AZ108" s="28">
        <v>9</v>
      </c>
      <c r="BA108" s="28">
        <v>3</v>
      </c>
      <c r="BB108" s="28">
        <v>8</v>
      </c>
      <c r="BC108" s="28">
        <v>0</v>
      </c>
      <c r="BD108" s="106">
        <v>1.4567266495287061</v>
      </c>
      <c r="BE108" s="77">
        <v>0</v>
      </c>
      <c r="BF108" s="28">
        <v>0</v>
      </c>
      <c r="BG108" s="28">
        <v>0</v>
      </c>
      <c r="BH108" s="28">
        <v>0</v>
      </c>
      <c r="BI108" s="75">
        <v>106</v>
      </c>
    </row>
    <row r="109" spans="1:61">
      <c r="A109" s="136" t="s">
        <v>1139</v>
      </c>
      <c r="B109" s="115" t="s">
        <v>212</v>
      </c>
      <c r="C109" s="116" t="s">
        <v>1162</v>
      </c>
      <c r="D109" s="89">
        <f>VLOOKUP(Table107[[#This Row],[NAME]],SFG_P[[NAME]:['#]],2,0)</f>
        <v>5.4009819967266779</v>
      </c>
      <c r="E109" s="139">
        <f>VLOOKUP(Table107[[#This Row],[NAME]],SFG_P[[NAME]:['#]],3,0)</f>
        <v>1</v>
      </c>
      <c r="F109" s="28">
        <f>VLOOKUP(Table107[[#This Row],[NAME]],SFG_P[[NAME]:['#]],4,0)</f>
        <v>2</v>
      </c>
      <c r="G109" s="77">
        <f>VLOOKUP(Table107[[#This Row],[NAME]],SFG_P[[NAME]:['#]],5,0)</f>
        <v>14</v>
      </c>
      <c r="H109" s="584">
        <f>VLOOKUP(Table107[[#This Row],[NAME]],SFG_P[[NAME]:['#]],6,0)</f>
        <v>18.329999999999998</v>
      </c>
      <c r="I109" s="28">
        <f>VLOOKUP(Table107[[#This Row],[NAME]],SFG_P[[NAME]:['#]],7,0)</f>
        <v>23</v>
      </c>
      <c r="J109" s="28">
        <f>VLOOKUP(Table107[[#This Row],[NAME]],SFG_P[[NAME]:['#]],8,0)</f>
        <v>11</v>
      </c>
      <c r="K109" s="28">
        <f>VLOOKUP(Table107[[#This Row],[NAME]],SFG_P[[NAME]:['#]],9,0)</f>
        <v>3</v>
      </c>
      <c r="L109" s="28">
        <f>VLOOKUP(Table107[[#This Row],[NAME]],SFG_P[[NAME]:['#]],10,0)</f>
        <v>15</v>
      </c>
      <c r="M109" s="28">
        <f>VLOOKUP(Table107[[#This Row],[NAME]],SFG_P[[NAME]:['#]],11,0)</f>
        <v>1</v>
      </c>
      <c r="N109" s="106">
        <f>VLOOKUP(Table107[[#This Row],[NAME]],SFG_P[[NAME]:['#]],12,0)</f>
        <v>1.4184397163120568</v>
      </c>
      <c r="O109" s="77">
        <f>VLOOKUP(Table107[[#This Row],[NAME]],SFG_P[[NAME]:['#]],13,0)</f>
        <v>0</v>
      </c>
      <c r="P109" s="28">
        <f>VLOOKUP(Table107[[#This Row],[NAME]],SFG_P[[NAME]:['#]],14,0)</f>
        <v>0</v>
      </c>
      <c r="Q109" s="28">
        <f>VLOOKUP(Table107[[#This Row],[NAME]],SFG_P[[NAME]:['#]],15,0)</f>
        <v>0</v>
      </c>
      <c r="R109" s="28">
        <f>VLOOKUP(Table107[[#This Row],[NAME]],SFG_P[[NAME]:['#]],16,0)</f>
        <v>0</v>
      </c>
      <c r="S109" s="75">
        <v>107</v>
      </c>
      <c r="V109" s="988" t="s">
        <v>1139</v>
      </c>
      <c r="W109" s="137" t="s">
        <v>212</v>
      </c>
      <c r="X109" s="132" t="s">
        <v>459</v>
      </c>
      <c r="Y109" s="88">
        <v>7.7142857142857144</v>
      </c>
      <c r="Z109" s="139">
        <v>1</v>
      </c>
      <c r="AA109" s="28">
        <v>3</v>
      </c>
      <c r="AB109" s="77">
        <v>13</v>
      </c>
      <c r="AC109" s="584">
        <v>14</v>
      </c>
      <c r="AD109" s="28">
        <v>22</v>
      </c>
      <c r="AE109" s="28">
        <v>12</v>
      </c>
      <c r="AF109" s="28">
        <v>5</v>
      </c>
      <c r="AG109" s="28">
        <v>15</v>
      </c>
      <c r="AH109" s="28">
        <v>0</v>
      </c>
      <c r="AI109" s="106">
        <v>1.9285714285714286</v>
      </c>
      <c r="AJ109" s="77">
        <v>0</v>
      </c>
      <c r="AK109" s="28">
        <v>0</v>
      </c>
      <c r="AL109" s="28">
        <v>0</v>
      </c>
      <c r="AM109" s="28">
        <v>0</v>
      </c>
      <c r="AN109" s="75">
        <v>107</v>
      </c>
      <c r="AQ109" s="101" t="s">
        <v>1139</v>
      </c>
      <c r="AR109" s="77" t="s">
        <v>212</v>
      </c>
      <c r="AS109" s="77" t="s">
        <v>1162</v>
      </c>
      <c r="AT109" s="135">
        <v>0.65837600585223122</v>
      </c>
      <c r="AU109" s="77">
        <v>0</v>
      </c>
      <c r="AV109" s="28">
        <v>0</v>
      </c>
      <c r="AW109" s="77">
        <v>13</v>
      </c>
      <c r="AX109" s="584">
        <v>13.67</v>
      </c>
      <c r="AY109" s="28">
        <v>6</v>
      </c>
      <c r="AZ109" s="28">
        <v>1</v>
      </c>
      <c r="BA109" s="28">
        <v>3</v>
      </c>
      <c r="BB109" s="28">
        <v>10</v>
      </c>
      <c r="BC109" s="28">
        <v>0</v>
      </c>
      <c r="BD109" s="106">
        <v>0.65837600585223122</v>
      </c>
      <c r="BE109" s="77">
        <v>0</v>
      </c>
      <c r="BF109" s="28">
        <v>0</v>
      </c>
      <c r="BG109" s="28">
        <v>0</v>
      </c>
      <c r="BH109" s="28">
        <v>0</v>
      </c>
      <c r="BI109" s="75">
        <v>107</v>
      </c>
    </row>
    <row r="110" spans="1:61">
      <c r="A110" s="136" t="s">
        <v>1139</v>
      </c>
      <c r="B110" s="115" t="s">
        <v>212</v>
      </c>
      <c r="C110" s="116" t="s">
        <v>1163</v>
      </c>
      <c r="D110" s="89">
        <f>VLOOKUP(Table107[[#This Row],[NAME]],SFG_P[[NAME]:['#]],2,0)</f>
        <v>3.8579301898346605</v>
      </c>
      <c r="E110" s="139">
        <f>VLOOKUP(Table107[[#This Row],[NAME]],SFG_P[[NAME]:['#]],3,0)</f>
        <v>2</v>
      </c>
      <c r="F110" s="28">
        <f>VLOOKUP(Table107[[#This Row],[NAME]],SFG_P[[NAME]:['#]],4,0)</f>
        <v>1</v>
      </c>
      <c r="G110" s="77">
        <f>VLOOKUP(Table107[[#This Row],[NAME]],SFG_P[[NAME]:['#]],5,0)</f>
        <v>14</v>
      </c>
      <c r="H110" s="584">
        <f>VLOOKUP(Table107[[#This Row],[NAME]],SFG_P[[NAME]:['#]],6,0)</f>
        <v>16.329999999999998</v>
      </c>
      <c r="I110" s="28">
        <f>VLOOKUP(Table107[[#This Row],[NAME]],SFG_P[[NAME]:['#]],7,0)</f>
        <v>16</v>
      </c>
      <c r="J110" s="28">
        <f>VLOOKUP(Table107[[#This Row],[NAME]],SFG_P[[NAME]:['#]],8,0)</f>
        <v>7</v>
      </c>
      <c r="K110" s="28">
        <f>VLOOKUP(Table107[[#This Row],[NAME]],SFG_P[[NAME]:['#]],9,0)</f>
        <v>6</v>
      </c>
      <c r="L110" s="28">
        <f>VLOOKUP(Table107[[#This Row],[NAME]],SFG_P[[NAME]:['#]],10,0)</f>
        <v>15</v>
      </c>
      <c r="M110" s="28">
        <f>VLOOKUP(Table107[[#This Row],[NAME]],SFG_P[[NAME]:['#]],11,0)</f>
        <v>0</v>
      </c>
      <c r="N110" s="106">
        <f>VLOOKUP(Table107[[#This Row],[NAME]],SFG_P[[NAME]:['#]],12,0)</f>
        <v>1.3472137170851195</v>
      </c>
      <c r="O110" s="77">
        <f>VLOOKUP(Table107[[#This Row],[NAME]],SFG_P[[NAME]:['#]],13,0)</f>
        <v>0</v>
      </c>
      <c r="P110" s="28">
        <f>VLOOKUP(Table107[[#This Row],[NAME]],SFG_P[[NAME]:['#]],14,0)</f>
        <v>0</v>
      </c>
      <c r="Q110" s="28">
        <f>VLOOKUP(Table107[[#This Row],[NAME]],SFG_P[[NAME]:['#]],15,0)</f>
        <v>0</v>
      </c>
      <c r="R110" s="28">
        <f>VLOOKUP(Table107[[#This Row],[NAME]],SFG_P[[NAME]:['#]],16,0)</f>
        <v>0</v>
      </c>
      <c r="S110" s="75">
        <v>108</v>
      </c>
      <c r="V110" s="988" t="s">
        <v>1139</v>
      </c>
      <c r="W110" s="137" t="s">
        <v>212</v>
      </c>
      <c r="X110" s="132" t="s">
        <v>1163</v>
      </c>
      <c r="Y110" s="88">
        <v>5.4</v>
      </c>
      <c r="Z110" s="139">
        <v>0</v>
      </c>
      <c r="AA110" s="28">
        <v>2</v>
      </c>
      <c r="AB110" s="77">
        <v>16</v>
      </c>
      <c r="AC110" s="584">
        <v>15</v>
      </c>
      <c r="AD110" s="28">
        <v>17</v>
      </c>
      <c r="AE110" s="28">
        <v>9</v>
      </c>
      <c r="AF110" s="28">
        <v>6</v>
      </c>
      <c r="AG110" s="28">
        <v>12</v>
      </c>
      <c r="AH110" s="28">
        <v>0</v>
      </c>
      <c r="AI110" s="106">
        <v>1.5333333333333334</v>
      </c>
      <c r="AJ110" s="77">
        <v>0</v>
      </c>
      <c r="AK110" s="28">
        <v>0</v>
      </c>
      <c r="AL110" s="28">
        <v>0</v>
      </c>
      <c r="AM110" s="28">
        <v>0</v>
      </c>
      <c r="AN110" s="75">
        <v>108</v>
      </c>
      <c r="AQ110" s="101" t="s">
        <v>1139</v>
      </c>
      <c r="AR110" s="77" t="s">
        <v>212</v>
      </c>
      <c r="AS110" s="77" t="s">
        <v>1163</v>
      </c>
      <c r="AT110" s="135">
        <v>1.7230376515634971</v>
      </c>
      <c r="AU110" s="77">
        <v>1</v>
      </c>
      <c r="AV110" s="28">
        <v>0</v>
      </c>
      <c r="AW110" s="77">
        <v>18</v>
      </c>
      <c r="AX110" s="584">
        <v>15.67</v>
      </c>
      <c r="AY110" s="28">
        <v>12</v>
      </c>
      <c r="AZ110" s="28">
        <v>3</v>
      </c>
      <c r="BA110" s="28">
        <v>4</v>
      </c>
      <c r="BB110" s="28">
        <v>7</v>
      </c>
      <c r="BC110" s="28">
        <v>1</v>
      </c>
      <c r="BD110" s="106">
        <v>1.0210593490746649</v>
      </c>
      <c r="BE110" s="77">
        <v>0</v>
      </c>
      <c r="BF110" s="28">
        <v>0</v>
      </c>
      <c r="BG110" s="28">
        <v>0</v>
      </c>
      <c r="BH110" s="28">
        <v>0</v>
      </c>
      <c r="BI110" s="75">
        <v>108</v>
      </c>
    </row>
    <row r="111" spans="1:61">
      <c r="A111" s="136" t="s">
        <v>1139</v>
      </c>
      <c r="B111" s="115" t="s">
        <v>212</v>
      </c>
      <c r="C111" s="116" t="s">
        <v>1165</v>
      </c>
      <c r="D111" s="89">
        <f>VLOOKUP(Table107[[#This Row],[NAME]],SFG_P[[NAME]:['#]],2,0)</f>
        <v>2.4102838778789502</v>
      </c>
      <c r="E111" s="139">
        <f>VLOOKUP(Table107[[#This Row],[NAME]],SFG_P[[NAME]:['#]],3,0)</f>
        <v>0</v>
      </c>
      <c r="F111" s="28">
        <f>VLOOKUP(Table107[[#This Row],[NAME]],SFG_P[[NAME]:['#]],4,0)</f>
        <v>0</v>
      </c>
      <c r="G111" s="77">
        <f>VLOOKUP(Table107[[#This Row],[NAME]],SFG_P[[NAME]:['#]],5,0)</f>
        <v>18</v>
      </c>
      <c r="H111" s="584">
        <f>VLOOKUP(Table107[[#This Row],[NAME]],SFG_P[[NAME]:['#]],6,0)</f>
        <v>18.670000000000002</v>
      </c>
      <c r="I111" s="28">
        <f>VLOOKUP(Table107[[#This Row],[NAME]],SFG_P[[NAME]:['#]],7,0)</f>
        <v>16</v>
      </c>
      <c r="J111" s="28">
        <f>VLOOKUP(Table107[[#This Row],[NAME]],SFG_P[[NAME]:['#]],8,0)</f>
        <v>5</v>
      </c>
      <c r="K111" s="28">
        <f>VLOOKUP(Table107[[#This Row],[NAME]],SFG_P[[NAME]:['#]],9,0)</f>
        <v>12</v>
      </c>
      <c r="L111" s="28">
        <f>VLOOKUP(Table107[[#This Row],[NAME]],SFG_P[[NAME]:['#]],10,0)</f>
        <v>15</v>
      </c>
      <c r="M111" s="28">
        <f>VLOOKUP(Table107[[#This Row],[NAME]],SFG_P[[NAME]:['#]],11,0)</f>
        <v>1</v>
      </c>
      <c r="N111" s="106">
        <f>VLOOKUP(Table107[[#This Row],[NAME]],SFG_P[[NAME]:['#]],12,0)</f>
        <v>1.4997321906802354</v>
      </c>
      <c r="O111" s="77">
        <f>VLOOKUP(Table107[[#This Row],[NAME]],SFG_P[[NAME]:['#]],13,0)</f>
        <v>0</v>
      </c>
      <c r="P111" s="28">
        <f>VLOOKUP(Table107[[#This Row],[NAME]],SFG_P[[NAME]:['#]],14,0)</f>
        <v>0</v>
      </c>
      <c r="Q111" s="28">
        <f>VLOOKUP(Table107[[#This Row],[NAME]],SFG_P[[NAME]:['#]],15,0)</f>
        <v>0</v>
      </c>
      <c r="R111" s="28">
        <f>VLOOKUP(Table107[[#This Row],[NAME]],SFG_P[[NAME]:['#]],16,0)</f>
        <v>0</v>
      </c>
      <c r="S111" s="75">
        <v>109</v>
      </c>
      <c r="V111" s="988" t="s">
        <v>1139</v>
      </c>
      <c r="W111" s="137" t="s">
        <v>212</v>
      </c>
      <c r="X111" s="132" t="s">
        <v>1165</v>
      </c>
      <c r="Y111" s="88">
        <v>2.2045315370483776</v>
      </c>
      <c r="Z111" s="139">
        <v>2</v>
      </c>
      <c r="AA111" s="28">
        <v>0</v>
      </c>
      <c r="AB111" s="77">
        <v>16</v>
      </c>
      <c r="AC111" s="584">
        <v>16.329999999999998</v>
      </c>
      <c r="AD111" s="28">
        <v>10</v>
      </c>
      <c r="AE111" s="28">
        <v>4</v>
      </c>
      <c r="AF111" s="28">
        <v>7</v>
      </c>
      <c r="AG111" s="28">
        <v>12</v>
      </c>
      <c r="AH111" s="28">
        <v>0</v>
      </c>
      <c r="AI111" s="106">
        <v>1.041028781383956</v>
      </c>
      <c r="AJ111" s="77">
        <v>0</v>
      </c>
      <c r="AK111" s="28">
        <v>0</v>
      </c>
      <c r="AL111" s="28">
        <v>0</v>
      </c>
      <c r="AM111" s="28">
        <v>0</v>
      </c>
      <c r="AN111" s="75">
        <v>109</v>
      </c>
      <c r="AQ111" s="101" t="s">
        <v>1139</v>
      </c>
      <c r="AR111" s="77" t="s">
        <v>212</v>
      </c>
      <c r="AS111" s="77" t="s">
        <v>1165</v>
      </c>
      <c r="AT111" s="135">
        <v>0.69230769230769229</v>
      </c>
      <c r="AU111" s="77">
        <v>0</v>
      </c>
      <c r="AV111" s="28">
        <v>0</v>
      </c>
      <c r="AW111" s="77">
        <v>12</v>
      </c>
      <c r="AX111" s="584">
        <v>13</v>
      </c>
      <c r="AY111" s="28">
        <v>6</v>
      </c>
      <c r="AZ111" s="28">
        <v>1</v>
      </c>
      <c r="BA111" s="28">
        <v>7</v>
      </c>
      <c r="BB111" s="28">
        <v>12</v>
      </c>
      <c r="BC111" s="28">
        <v>1</v>
      </c>
      <c r="BD111" s="106">
        <v>1</v>
      </c>
      <c r="BE111" s="77">
        <v>0</v>
      </c>
      <c r="BF111" s="28">
        <v>0</v>
      </c>
      <c r="BG111" s="28">
        <v>0</v>
      </c>
      <c r="BH111" s="28">
        <v>0</v>
      </c>
      <c r="BI111" s="75">
        <v>109</v>
      </c>
    </row>
    <row r="112" spans="1:61">
      <c r="A112" s="136" t="s">
        <v>1139</v>
      </c>
      <c r="B112" s="115" t="s">
        <v>212</v>
      </c>
      <c r="C112" s="115" t="s">
        <v>1167</v>
      </c>
      <c r="D112" s="89">
        <f>VLOOKUP(Table107[[#This Row],[NAME]],SFG_P[[NAME]:['#]],2,0)</f>
        <v>4.1532071988924777</v>
      </c>
      <c r="E112" s="139">
        <f>VLOOKUP(Table107[[#This Row],[NAME]],SFG_P[[NAME]:['#]],3,0)</f>
        <v>2</v>
      </c>
      <c r="F112" s="28">
        <f>VLOOKUP(Table107[[#This Row],[NAME]],SFG_P[[NAME]:['#]],4,0)</f>
        <v>3</v>
      </c>
      <c r="G112" s="77">
        <f>VLOOKUP(Table107[[#This Row],[NAME]],SFG_P[[NAME]:['#]],5,0)</f>
        <v>21</v>
      </c>
      <c r="H112" s="584">
        <f>VLOOKUP(Table107[[#This Row],[NAME]],SFG_P[[NAME]:['#]],6,0)</f>
        <v>21.67</v>
      </c>
      <c r="I112" s="28">
        <f>VLOOKUP(Table107[[#This Row],[NAME]],SFG_P[[NAME]:['#]],7,0)</f>
        <v>22</v>
      </c>
      <c r="J112" s="28">
        <f>VLOOKUP(Table107[[#This Row],[NAME]],SFG_P[[NAME]:['#]],8,0)</f>
        <v>10</v>
      </c>
      <c r="K112" s="28">
        <f>VLOOKUP(Table107[[#This Row],[NAME]],SFG_P[[NAME]:['#]],9,0)</f>
        <v>7</v>
      </c>
      <c r="L112" s="28">
        <f>VLOOKUP(Table107[[#This Row],[NAME]],SFG_P[[NAME]:['#]],10,0)</f>
        <v>35</v>
      </c>
      <c r="M112" s="28">
        <f>VLOOKUP(Table107[[#This Row],[NAME]],SFG_P[[NAME]:['#]],11,0)</f>
        <v>10</v>
      </c>
      <c r="N112" s="106">
        <f>VLOOKUP(Table107[[#This Row],[NAME]],SFG_P[[NAME]:['#]],12,0)</f>
        <v>1.3382556529764651</v>
      </c>
      <c r="O112" s="77">
        <f>VLOOKUP(Table107[[#This Row],[NAME]],SFG_P[[NAME]:['#]],13,0)</f>
        <v>0</v>
      </c>
      <c r="P112" s="28">
        <f>VLOOKUP(Table107[[#This Row],[NAME]],SFG_P[[NAME]:['#]],14,0)</f>
        <v>0</v>
      </c>
      <c r="Q112" s="28">
        <f>VLOOKUP(Table107[[#This Row],[NAME]],SFG_P[[NAME]:['#]],15,0)</f>
        <v>0</v>
      </c>
      <c r="R112" s="28">
        <f>VLOOKUP(Table107[[#This Row],[NAME]],SFG_P[[NAME]:['#]],16,0)</f>
        <v>0</v>
      </c>
      <c r="S112" s="75">
        <v>110</v>
      </c>
      <c r="V112" s="988" t="s">
        <v>1139</v>
      </c>
      <c r="W112" s="137" t="s">
        <v>212</v>
      </c>
      <c r="X112" s="137" t="s">
        <v>1167</v>
      </c>
      <c r="Y112" s="88">
        <v>2.1036229061160885</v>
      </c>
      <c r="Z112" s="139">
        <v>1</v>
      </c>
      <c r="AA112" s="28">
        <v>0</v>
      </c>
      <c r="AB112" s="77">
        <v>24</v>
      </c>
      <c r="AC112" s="584">
        <v>25.67</v>
      </c>
      <c r="AD112" s="28">
        <v>22</v>
      </c>
      <c r="AE112" s="28">
        <v>6</v>
      </c>
      <c r="AF112" s="28">
        <v>7</v>
      </c>
      <c r="AG112" s="28">
        <v>33</v>
      </c>
      <c r="AH112" s="28">
        <v>10</v>
      </c>
      <c r="AI112" s="106">
        <v>1.1297234125438254</v>
      </c>
      <c r="AJ112" s="77">
        <v>0</v>
      </c>
      <c r="AK112" s="28">
        <v>0</v>
      </c>
      <c r="AL112" s="28">
        <v>0</v>
      </c>
      <c r="AM112" s="28">
        <v>0</v>
      </c>
      <c r="AN112" s="75">
        <v>110</v>
      </c>
      <c r="AQ112" s="101" t="s">
        <v>1139</v>
      </c>
      <c r="AR112" s="77" t="s">
        <v>215</v>
      </c>
      <c r="AS112" s="77" t="s">
        <v>1167</v>
      </c>
      <c r="AT112" s="135">
        <v>2.9403029403029404</v>
      </c>
      <c r="AU112" s="77">
        <v>4</v>
      </c>
      <c r="AV112" s="28">
        <v>0</v>
      </c>
      <c r="AW112" s="77">
        <v>24</v>
      </c>
      <c r="AX112" s="584">
        <v>33.67</v>
      </c>
      <c r="AY112" s="28">
        <v>26</v>
      </c>
      <c r="AZ112" s="28">
        <v>11</v>
      </c>
      <c r="BA112" s="28">
        <v>15</v>
      </c>
      <c r="BB112" s="28">
        <v>43</v>
      </c>
      <c r="BC112" s="28">
        <v>10</v>
      </c>
      <c r="BD112" s="106">
        <v>1.2177012177012176</v>
      </c>
      <c r="BE112" s="77">
        <v>0</v>
      </c>
      <c r="BF112" s="28">
        <v>0</v>
      </c>
      <c r="BG112" s="28">
        <v>0</v>
      </c>
      <c r="BH112" s="28">
        <v>0</v>
      </c>
      <c r="BI112" s="75">
        <v>110</v>
      </c>
    </row>
    <row r="113" spans="1:61">
      <c r="A113" s="365" t="s">
        <v>1171</v>
      </c>
      <c r="B113" s="71" t="s">
        <v>206</v>
      </c>
      <c r="C113" s="71" t="s">
        <v>1184</v>
      </c>
      <c r="D113" s="347">
        <f>VLOOKUP(Table107[[#This Row],[NAME]],LAD_P[[NAME]:['#]],2,0)</f>
        <v>1.6027397260273972</v>
      </c>
      <c r="E113" s="77">
        <f>VLOOKUP(Table107[[#This Row],[NAME]],LAD_P[[NAME]:['#]],3,0)</f>
        <v>5</v>
      </c>
      <c r="F113" s="28">
        <f>VLOOKUP(Table107[[#This Row],[NAME]],LAD_P[[NAME]:['#]],4,0)</f>
        <v>1</v>
      </c>
      <c r="G113" s="77">
        <f>VLOOKUP(Table107[[#This Row],[NAME]],LAD_P[[NAME]:['#]],5,0)</f>
        <v>10</v>
      </c>
      <c r="H113" s="584">
        <f>VLOOKUP(Table107[[#This Row],[NAME]],LAD_P[[NAME]:['#]],6,0)</f>
        <v>73</v>
      </c>
      <c r="I113" s="28">
        <f>VLOOKUP(Table107[[#This Row],[NAME]],LAD_P[[NAME]:['#]],7,0)</f>
        <v>61</v>
      </c>
      <c r="J113" s="28">
        <f>VLOOKUP(Table107[[#This Row],[NAME]],LAD_P[[NAME]:['#]],8,0)</f>
        <v>13</v>
      </c>
      <c r="K113" s="28">
        <f>VLOOKUP(Table107[[#This Row],[NAME]],LAD_P[[NAME]:['#]],9,0)</f>
        <v>14</v>
      </c>
      <c r="L113" s="28">
        <f>VLOOKUP(Table107[[#This Row],[NAME]],LAD_P[[NAME]:['#]],10,0)</f>
        <v>80</v>
      </c>
      <c r="M113" s="28">
        <f>VLOOKUP(Table107[[#This Row],[NAME]],LAD_P[[NAME]:['#]],11,0)</f>
        <v>0</v>
      </c>
      <c r="N113" s="106">
        <f>VLOOKUP(Table107[[#This Row],[NAME]],LAD_P[[NAME]:['#]],12,0)</f>
        <v>1.0273972602739727</v>
      </c>
      <c r="O113" s="531">
        <f>VLOOKUP(Table107[[#This Row],[NAME]],LAD_P[[NAME]:['#]],13,0)</f>
        <v>10</v>
      </c>
      <c r="P113" s="76">
        <f>VLOOKUP(Table107[[#This Row],[NAME]],LAD_P[[NAME]:['#]],14,0)</f>
        <v>7</v>
      </c>
      <c r="Q113" s="76">
        <f>VLOOKUP(Table107[[#This Row],[NAME]],LAD_P[[NAME]:['#]],15,0)</f>
        <v>3</v>
      </c>
      <c r="R113" s="28">
        <f>VLOOKUP(Table107[[#This Row],[NAME]],LAD_P[[NAME]:['#]],16,0)</f>
        <v>2</v>
      </c>
      <c r="S113" s="75">
        <v>111</v>
      </c>
      <c r="V113" s="101" t="s">
        <v>1171</v>
      </c>
      <c r="W113" s="77" t="s">
        <v>206</v>
      </c>
      <c r="X113" s="77" t="s">
        <v>1184</v>
      </c>
      <c r="Y113" s="88">
        <v>2.3591087811271296</v>
      </c>
      <c r="Z113" s="77">
        <v>6</v>
      </c>
      <c r="AA113" s="28">
        <v>2</v>
      </c>
      <c r="AB113" s="77">
        <v>10</v>
      </c>
      <c r="AC113" s="584">
        <v>68.67</v>
      </c>
      <c r="AD113" s="28">
        <v>53</v>
      </c>
      <c r="AE113" s="28">
        <v>18</v>
      </c>
      <c r="AF113" s="28">
        <v>12</v>
      </c>
      <c r="AG113" s="28">
        <v>53</v>
      </c>
      <c r="AH113" s="28">
        <v>0</v>
      </c>
      <c r="AI113" s="106">
        <v>0.94655599242755206</v>
      </c>
      <c r="AJ113" s="77">
        <v>8</v>
      </c>
      <c r="AK113" s="28">
        <v>6</v>
      </c>
      <c r="AL113" s="28">
        <v>2</v>
      </c>
      <c r="AM113" s="28">
        <v>2</v>
      </c>
      <c r="AN113" s="75">
        <v>111</v>
      </c>
      <c r="AQ113" s="101" t="s">
        <v>1171</v>
      </c>
      <c r="AR113" s="77" t="s">
        <v>206</v>
      </c>
      <c r="AS113" s="77" t="s">
        <v>1184</v>
      </c>
      <c r="AT113" s="135">
        <v>2.0583882685322212</v>
      </c>
      <c r="AU113" s="77">
        <v>5</v>
      </c>
      <c r="AV113" s="28">
        <v>4</v>
      </c>
      <c r="AW113" s="77">
        <v>10</v>
      </c>
      <c r="AX113" s="584">
        <v>74.33</v>
      </c>
      <c r="AY113" s="28">
        <v>58</v>
      </c>
      <c r="AZ113" s="28">
        <v>17</v>
      </c>
      <c r="BA113" s="28">
        <v>16</v>
      </c>
      <c r="BB113" s="28">
        <v>78</v>
      </c>
      <c r="BC113" s="28">
        <v>0</v>
      </c>
      <c r="BD113" s="106">
        <v>0.99556033902865604</v>
      </c>
      <c r="BE113" s="77">
        <v>9</v>
      </c>
      <c r="BF113" s="28">
        <v>7</v>
      </c>
      <c r="BG113" s="28">
        <v>2</v>
      </c>
      <c r="BH113" s="28">
        <v>1</v>
      </c>
      <c r="BI113" s="75">
        <v>111</v>
      </c>
    </row>
    <row r="114" spans="1:61">
      <c r="A114" s="365" t="s">
        <v>1171</v>
      </c>
      <c r="B114" s="71" t="s">
        <v>206</v>
      </c>
      <c r="C114" s="71" t="s">
        <v>1185</v>
      </c>
      <c r="D114" s="89">
        <f>VLOOKUP(Table107[[#This Row],[NAME]],LAD_P[[NAME]:['#]],2,0)</f>
        <v>3.3062911373029236</v>
      </c>
      <c r="E114" s="77">
        <f>VLOOKUP(Table107[[#This Row],[NAME]],LAD_P[[NAME]:['#]],3,0)</f>
        <v>3</v>
      </c>
      <c r="F114" s="28">
        <f>VLOOKUP(Table107[[#This Row],[NAME]],LAD_P[[NAME]:['#]],4,0)</f>
        <v>4</v>
      </c>
      <c r="G114" s="77">
        <f>VLOOKUP(Table107[[#This Row],[NAME]],LAD_P[[NAME]:['#]],5,0)</f>
        <v>10</v>
      </c>
      <c r="H114" s="584">
        <f>VLOOKUP(Table107[[#This Row],[NAME]],LAD_P[[NAME]:['#]],6,0)</f>
        <v>65.33</v>
      </c>
      <c r="I114" s="28">
        <f>VLOOKUP(Table107[[#This Row],[NAME]],LAD_P[[NAME]:['#]],7,0)</f>
        <v>53</v>
      </c>
      <c r="J114" s="28">
        <f>VLOOKUP(Table107[[#This Row],[NAME]],LAD_P[[NAME]:['#]],8,0)</f>
        <v>24</v>
      </c>
      <c r="K114" s="28">
        <f>VLOOKUP(Table107[[#This Row],[NAME]],LAD_P[[NAME]:['#]],9,0)</f>
        <v>21</v>
      </c>
      <c r="L114" s="28">
        <f>VLOOKUP(Table107[[#This Row],[NAME]],LAD_P[[NAME]:['#]],10,0)</f>
        <v>66</v>
      </c>
      <c r="M114" s="28">
        <f>VLOOKUP(Table107[[#This Row],[NAME]],LAD_P[[NAME]:['#]],11,0)</f>
        <v>0</v>
      </c>
      <c r="N114" s="106">
        <f>VLOOKUP(Table107[[#This Row],[NAME]],LAD_P[[NAME]:['#]],12,0)</f>
        <v>1.1327108525945202</v>
      </c>
      <c r="O114" s="77">
        <f>VLOOKUP(Table107[[#This Row],[NAME]],LAD_P[[NAME]:['#]],13,0)</f>
        <v>5</v>
      </c>
      <c r="P114" s="28">
        <f>VLOOKUP(Table107[[#This Row],[NAME]],LAD_P[[NAME]:['#]],14,0)</f>
        <v>4</v>
      </c>
      <c r="Q114" s="28">
        <f>VLOOKUP(Table107[[#This Row],[NAME]],LAD_P[[NAME]:['#]],15,0)</f>
        <v>1</v>
      </c>
      <c r="R114" s="28">
        <f>VLOOKUP(Table107[[#This Row],[NAME]],LAD_P[[NAME]:['#]],16,0)</f>
        <v>1</v>
      </c>
      <c r="S114" s="75">
        <v>112</v>
      </c>
      <c r="V114" s="101" t="s">
        <v>1171</v>
      </c>
      <c r="W114" s="77" t="s">
        <v>206</v>
      </c>
      <c r="X114" s="77" t="s">
        <v>1185</v>
      </c>
      <c r="Y114" s="88">
        <v>2.2816901408450705</v>
      </c>
      <c r="Z114" s="77">
        <v>6</v>
      </c>
      <c r="AA114" s="28">
        <v>2</v>
      </c>
      <c r="AB114" s="77">
        <v>10</v>
      </c>
      <c r="AC114" s="584">
        <v>71</v>
      </c>
      <c r="AD114" s="28">
        <v>55</v>
      </c>
      <c r="AE114" s="28">
        <v>18</v>
      </c>
      <c r="AF114" s="28">
        <v>26</v>
      </c>
      <c r="AG114" s="28">
        <v>73</v>
      </c>
      <c r="AH114" s="28">
        <v>0</v>
      </c>
      <c r="AI114" s="106">
        <v>1.1408450704225352</v>
      </c>
      <c r="AJ114" s="77">
        <v>9</v>
      </c>
      <c r="AK114" s="28">
        <v>6</v>
      </c>
      <c r="AL114" s="28">
        <v>1</v>
      </c>
      <c r="AM114" s="28">
        <v>1</v>
      </c>
      <c r="AN114" s="75">
        <v>112</v>
      </c>
      <c r="AQ114" s="101" t="s">
        <v>1171</v>
      </c>
      <c r="AR114" s="77" t="s">
        <v>206</v>
      </c>
      <c r="AS114" s="77" t="s">
        <v>1185</v>
      </c>
      <c r="AT114" s="135">
        <v>3.6347901341410647</v>
      </c>
      <c r="AU114" s="77">
        <v>7</v>
      </c>
      <c r="AV114" s="28">
        <v>3</v>
      </c>
      <c r="AW114" s="77">
        <v>10</v>
      </c>
      <c r="AX114" s="584">
        <v>69.33</v>
      </c>
      <c r="AY114" s="28">
        <v>52</v>
      </c>
      <c r="AZ114" s="28">
        <v>28</v>
      </c>
      <c r="BA114" s="28">
        <v>27</v>
      </c>
      <c r="BB114" s="28">
        <v>76</v>
      </c>
      <c r="BC114" s="28">
        <v>0</v>
      </c>
      <c r="BD114" s="106">
        <v>1.1394778595124766</v>
      </c>
      <c r="BE114" s="77">
        <v>7</v>
      </c>
      <c r="BF114" s="28">
        <v>4</v>
      </c>
      <c r="BG114" s="28">
        <v>0</v>
      </c>
      <c r="BH114" s="28">
        <v>0</v>
      </c>
      <c r="BI114" s="75">
        <v>112</v>
      </c>
    </row>
    <row r="115" spans="1:61">
      <c r="A115" s="365" t="s">
        <v>1171</v>
      </c>
      <c r="B115" s="71" t="s">
        <v>365</v>
      </c>
      <c r="C115" s="71" t="s">
        <v>1186</v>
      </c>
      <c r="D115" s="89">
        <f>VLOOKUP(Table107[[#This Row],[NAME]],LAD_P[[NAME]:['#]],2,0)</f>
        <v>2.8930047451400585</v>
      </c>
      <c r="E115" s="77">
        <f>VLOOKUP(Table107[[#This Row],[NAME]],LAD_P[[NAME]:['#]],3,0)</f>
        <v>2</v>
      </c>
      <c r="F115" s="28">
        <f>VLOOKUP(Table107[[#This Row],[NAME]],LAD_P[[NAME]:['#]],4,0)</f>
        <v>2</v>
      </c>
      <c r="G115" s="77">
        <f>VLOOKUP(Table107[[#This Row],[NAME]],LAD_P[[NAME]:['#]],5,0)</f>
        <v>10</v>
      </c>
      <c r="H115" s="584">
        <f>VLOOKUP(Table107[[#This Row],[NAME]],LAD_P[[NAME]:['#]],6,0)</f>
        <v>65.33</v>
      </c>
      <c r="I115" s="28">
        <f>VLOOKUP(Table107[[#This Row],[NAME]],LAD_P[[NAME]:['#]],7,0)</f>
        <v>56</v>
      </c>
      <c r="J115" s="28">
        <f>VLOOKUP(Table107[[#This Row],[NAME]],LAD_P[[NAME]:['#]],8,0)</f>
        <v>21</v>
      </c>
      <c r="K115" s="28">
        <f>VLOOKUP(Table107[[#This Row],[NAME]],LAD_P[[NAME]:['#]],9,0)</f>
        <v>15</v>
      </c>
      <c r="L115" s="28">
        <f>VLOOKUP(Table107[[#This Row],[NAME]],LAD_P[[NAME]:['#]],10,0)</f>
        <v>79</v>
      </c>
      <c r="M115" s="28">
        <f>VLOOKUP(Table107[[#This Row],[NAME]],LAD_P[[NAME]:['#]],11,0)</f>
        <v>0</v>
      </c>
      <c r="N115" s="106">
        <f>VLOOKUP(Table107[[#This Row],[NAME]],LAD_P[[NAME]:['#]],12,0)</f>
        <v>1.0867901423542017</v>
      </c>
      <c r="O115" s="77">
        <f>VLOOKUP(Table107[[#This Row],[NAME]],LAD_P[[NAME]:['#]],13,0)</f>
        <v>7</v>
      </c>
      <c r="P115" s="28">
        <f>VLOOKUP(Table107[[#This Row],[NAME]],LAD_P[[NAME]:['#]],14,0)</f>
        <v>5</v>
      </c>
      <c r="Q115" s="28">
        <f>VLOOKUP(Table107[[#This Row],[NAME]],LAD_P[[NAME]:['#]],15,0)</f>
        <v>0</v>
      </c>
      <c r="R115" s="28">
        <f>VLOOKUP(Table107[[#This Row],[NAME]],LAD_P[[NAME]:['#]],16,0)</f>
        <v>0</v>
      </c>
      <c r="S115" s="75">
        <v>113</v>
      </c>
      <c r="V115" s="101" t="s">
        <v>1171</v>
      </c>
      <c r="W115" s="77" t="s">
        <v>206</v>
      </c>
      <c r="X115" s="77" t="s">
        <v>1187</v>
      </c>
      <c r="Y115" s="88">
        <v>2.6733996732511511</v>
      </c>
      <c r="Z115" s="77">
        <v>4</v>
      </c>
      <c r="AA115" s="28">
        <v>3</v>
      </c>
      <c r="AB115" s="77">
        <v>10</v>
      </c>
      <c r="AC115" s="584">
        <v>67.33</v>
      </c>
      <c r="AD115" s="28">
        <v>43</v>
      </c>
      <c r="AE115" s="28">
        <v>20</v>
      </c>
      <c r="AF115" s="28">
        <v>23</v>
      </c>
      <c r="AG115" s="28">
        <v>69</v>
      </c>
      <c r="AH115" s="28">
        <v>0</v>
      </c>
      <c r="AI115" s="106">
        <v>0.98024654685875545</v>
      </c>
      <c r="AJ115" s="77">
        <v>9</v>
      </c>
      <c r="AK115" s="28">
        <v>7</v>
      </c>
      <c r="AL115" s="28">
        <v>1</v>
      </c>
      <c r="AM115" s="28">
        <v>1</v>
      </c>
      <c r="AN115" s="75">
        <v>113</v>
      </c>
      <c r="AQ115" s="101" t="s">
        <v>1171</v>
      </c>
      <c r="AR115" s="77" t="s">
        <v>206</v>
      </c>
      <c r="AS115" s="77" t="s">
        <v>1187</v>
      </c>
      <c r="AT115" s="135">
        <v>4.9894015979129298</v>
      </c>
      <c r="AU115" s="77">
        <v>3</v>
      </c>
      <c r="AV115" s="28">
        <v>4</v>
      </c>
      <c r="AW115" s="77">
        <v>10</v>
      </c>
      <c r="AX115" s="584">
        <v>61.33</v>
      </c>
      <c r="AY115" s="28">
        <v>60</v>
      </c>
      <c r="AZ115" s="28">
        <v>34</v>
      </c>
      <c r="BA115" s="28">
        <v>25</v>
      </c>
      <c r="BB115" s="28">
        <v>63</v>
      </c>
      <c r="BC115" s="28">
        <v>0</v>
      </c>
      <c r="BD115" s="106">
        <v>1.3859448883091472</v>
      </c>
      <c r="BE115" s="77">
        <v>5</v>
      </c>
      <c r="BF115" s="28">
        <v>4</v>
      </c>
      <c r="BG115" s="28">
        <v>0</v>
      </c>
      <c r="BH115" s="28">
        <v>0</v>
      </c>
      <c r="BI115" s="75">
        <v>113</v>
      </c>
    </row>
    <row r="116" spans="1:61">
      <c r="A116" s="365" t="s">
        <v>1171</v>
      </c>
      <c r="B116" s="71" t="s">
        <v>206</v>
      </c>
      <c r="C116" s="71" t="s">
        <v>1188</v>
      </c>
      <c r="D116" s="89">
        <f>VLOOKUP(Table107[[#This Row],[NAME]],LAD_P[[NAME]:['#]],2,0)</f>
        <v>3.5528185693983896</v>
      </c>
      <c r="E116" s="77">
        <f>VLOOKUP(Table107[[#This Row],[NAME]],LAD_P[[NAME]:['#]],3,0)</f>
        <v>6</v>
      </c>
      <c r="F116" s="28">
        <f>VLOOKUP(Table107[[#This Row],[NAME]],LAD_P[[NAME]:['#]],4,0)</f>
        <v>2</v>
      </c>
      <c r="G116" s="77">
        <f>VLOOKUP(Table107[[#This Row],[NAME]],LAD_P[[NAME]:['#]],5,0)</f>
        <v>10</v>
      </c>
      <c r="H116" s="584">
        <f>VLOOKUP(Table107[[#This Row],[NAME]],LAD_P[[NAME]:['#]],6,0)</f>
        <v>63.33</v>
      </c>
      <c r="I116" s="28">
        <f>VLOOKUP(Table107[[#This Row],[NAME]],LAD_P[[NAME]:['#]],7,0)</f>
        <v>62</v>
      </c>
      <c r="J116" s="28">
        <f>VLOOKUP(Table107[[#This Row],[NAME]],LAD_P[[NAME]:['#]],8,0)</f>
        <v>25</v>
      </c>
      <c r="K116" s="28">
        <f>VLOOKUP(Table107[[#This Row],[NAME]],LAD_P[[NAME]:['#]],9,0)</f>
        <v>17</v>
      </c>
      <c r="L116" s="28">
        <f>VLOOKUP(Table107[[#This Row],[NAME]],LAD_P[[NAME]:['#]],10,0)</f>
        <v>60</v>
      </c>
      <c r="M116" s="28">
        <f>VLOOKUP(Table107[[#This Row],[NAME]],LAD_P[[NAME]:['#]],11,0)</f>
        <v>0</v>
      </c>
      <c r="N116" s="106">
        <f>VLOOKUP(Table107[[#This Row],[NAME]],LAD_P[[NAME]:['#]],12,0)</f>
        <v>1.2474340754776567</v>
      </c>
      <c r="O116" s="77">
        <f>VLOOKUP(Table107[[#This Row],[NAME]],LAD_P[[NAME]:['#]],13,0)</f>
        <v>7</v>
      </c>
      <c r="P116" s="28">
        <f>VLOOKUP(Table107[[#This Row],[NAME]],LAD_P[[NAME]:['#]],14,0)</f>
        <v>3</v>
      </c>
      <c r="Q116" s="28">
        <f>VLOOKUP(Table107[[#This Row],[NAME]],LAD_P[[NAME]:['#]],15,0)</f>
        <v>0</v>
      </c>
      <c r="R116" s="28">
        <f>VLOOKUP(Table107[[#This Row],[NAME]],LAD_P[[NAME]:['#]],16,0)</f>
        <v>0</v>
      </c>
      <c r="S116" s="75">
        <v>114</v>
      </c>
      <c r="V116" s="101" t="s">
        <v>1171</v>
      </c>
      <c r="W116" s="77" t="s">
        <v>206</v>
      </c>
      <c r="X116" s="77" t="s">
        <v>1188</v>
      </c>
      <c r="Y116" s="88">
        <v>4.359375</v>
      </c>
      <c r="Z116" s="77">
        <v>3</v>
      </c>
      <c r="AA116" s="28">
        <v>3</v>
      </c>
      <c r="AB116" s="77">
        <v>10</v>
      </c>
      <c r="AC116" s="584">
        <v>64</v>
      </c>
      <c r="AD116" s="28">
        <v>55</v>
      </c>
      <c r="AE116" s="28">
        <v>31</v>
      </c>
      <c r="AF116" s="28">
        <v>21</v>
      </c>
      <c r="AG116" s="28">
        <v>54</v>
      </c>
      <c r="AH116" s="28">
        <v>0</v>
      </c>
      <c r="AI116" s="106">
        <v>1.1875</v>
      </c>
      <c r="AJ116" s="77">
        <v>6</v>
      </c>
      <c r="AK116" s="28">
        <v>5</v>
      </c>
      <c r="AL116" s="28">
        <v>0</v>
      </c>
      <c r="AM116" s="28">
        <v>0</v>
      </c>
      <c r="AN116" s="75">
        <v>114</v>
      </c>
      <c r="AQ116" s="101" t="s">
        <v>1171</v>
      </c>
      <c r="AR116" s="77" t="s">
        <v>206</v>
      </c>
      <c r="AS116" s="77" t="s">
        <v>1188</v>
      </c>
      <c r="AT116" s="135">
        <v>3.2511386838385423</v>
      </c>
      <c r="AU116" s="77">
        <v>4</v>
      </c>
      <c r="AV116" s="28">
        <v>5</v>
      </c>
      <c r="AW116" s="77">
        <v>10</v>
      </c>
      <c r="AX116" s="584">
        <v>63.67</v>
      </c>
      <c r="AY116" s="28">
        <v>57</v>
      </c>
      <c r="AZ116" s="28">
        <v>23</v>
      </c>
      <c r="BA116" s="28">
        <v>21</v>
      </c>
      <c r="BB116" s="28">
        <v>62</v>
      </c>
      <c r="BC116" s="28">
        <v>0</v>
      </c>
      <c r="BD116" s="106">
        <v>1.2250667504319146</v>
      </c>
      <c r="BE116" s="77">
        <v>7</v>
      </c>
      <c r="BF116" s="28">
        <v>2</v>
      </c>
      <c r="BG116" s="28">
        <v>1</v>
      </c>
      <c r="BH116" s="28">
        <v>1</v>
      </c>
      <c r="BI116" s="75">
        <v>114</v>
      </c>
    </row>
    <row r="117" spans="1:61">
      <c r="A117" s="365" t="s">
        <v>1171</v>
      </c>
      <c r="B117" s="71" t="s">
        <v>215</v>
      </c>
      <c r="C117" s="71" t="s">
        <v>1191</v>
      </c>
      <c r="D117" s="89">
        <f>VLOOKUP(Table107[[#This Row],[NAME]],LAD_P[[NAME]:['#]],2,0)</f>
        <v>6.3</v>
      </c>
      <c r="E117" s="77">
        <f>VLOOKUP(Table107[[#This Row],[NAME]],LAD_P[[NAME]:['#]],3,0)</f>
        <v>1</v>
      </c>
      <c r="F117" s="28">
        <f>VLOOKUP(Table107[[#This Row],[NAME]],LAD_P[[NAME]:['#]],4,0)</f>
        <v>0</v>
      </c>
      <c r="G117" s="77">
        <f>VLOOKUP(Table107[[#This Row],[NAME]],LAD_P[[NAME]:['#]],5,0)</f>
        <v>8</v>
      </c>
      <c r="H117" s="584">
        <f>VLOOKUP(Table107[[#This Row],[NAME]],LAD_P[[NAME]:['#]],6,0)</f>
        <v>10</v>
      </c>
      <c r="I117" s="28">
        <f>VLOOKUP(Table107[[#This Row],[NAME]],LAD_P[[NAME]:['#]],7,0)</f>
        <v>17</v>
      </c>
      <c r="J117" s="28">
        <f>VLOOKUP(Table107[[#This Row],[NAME]],LAD_P[[NAME]:['#]],8,0)</f>
        <v>7</v>
      </c>
      <c r="K117" s="28">
        <f>VLOOKUP(Table107[[#This Row],[NAME]],LAD_P[[NAME]:['#]],9,0)</f>
        <v>2</v>
      </c>
      <c r="L117" s="28">
        <f>VLOOKUP(Table107[[#This Row],[NAME]],LAD_P[[NAME]:['#]],10,0)</f>
        <v>6</v>
      </c>
      <c r="M117" s="28">
        <f>VLOOKUP(Table107[[#This Row],[NAME]],LAD_P[[NAME]:['#]],11,0)</f>
        <v>0</v>
      </c>
      <c r="N117" s="106">
        <f>VLOOKUP(Table107[[#This Row],[NAME]],LAD_P[[NAME]:['#]],12,0)</f>
        <v>1.9</v>
      </c>
      <c r="O117" s="77">
        <f>VLOOKUP(Table107[[#This Row],[NAME]],LAD_P[[NAME]:['#]],13,0)</f>
        <v>0</v>
      </c>
      <c r="P117" s="28">
        <f>VLOOKUP(Table107[[#This Row],[NAME]],LAD_P[[NAME]:['#]],14,0)</f>
        <v>0</v>
      </c>
      <c r="Q117" s="28">
        <f>VLOOKUP(Table107[[#This Row],[NAME]],LAD_P[[NAME]:['#]],15,0)</f>
        <v>0</v>
      </c>
      <c r="R117" s="28">
        <f>VLOOKUP(Table107[[#This Row],[NAME]],LAD_P[[NAME]:['#]],16,0)</f>
        <v>0</v>
      </c>
      <c r="S117" s="75">
        <v>115</v>
      </c>
      <c r="V117" s="101" t="s">
        <v>1171</v>
      </c>
      <c r="W117" s="77" t="s">
        <v>212</v>
      </c>
      <c r="X117" s="77" t="s">
        <v>1190</v>
      </c>
      <c r="Y117" s="88">
        <v>3.4615384615384617</v>
      </c>
      <c r="Z117" s="77">
        <v>1</v>
      </c>
      <c r="AA117" s="28">
        <v>0</v>
      </c>
      <c r="AB117" s="77">
        <v>6</v>
      </c>
      <c r="AC117" s="584">
        <v>13</v>
      </c>
      <c r="AD117" s="28">
        <v>16</v>
      </c>
      <c r="AE117" s="28">
        <v>5</v>
      </c>
      <c r="AF117" s="28">
        <v>2</v>
      </c>
      <c r="AG117" s="28">
        <v>13</v>
      </c>
      <c r="AH117" s="28">
        <v>0</v>
      </c>
      <c r="AI117" s="106">
        <v>1.3846153846153846</v>
      </c>
      <c r="AJ117" s="77">
        <v>0</v>
      </c>
      <c r="AK117" s="28">
        <v>0</v>
      </c>
      <c r="AL117" s="28">
        <v>0</v>
      </c>
      <c r="AM117" s="28">
        <v>0</v>
      </c>
      <c r="AN117" s="75">
        <v>115</v>
      </c>
      <c r="AQ117" s="101" t="s">
        <v>1171</v>
      </c>
      <c r="AR117" s="77" t="s">
        <v>212</v>
      </c>
      <c r="AS117" s="77" t="s">
        <v>1190</v>
      </c>
      <c r="AT117" s="135">
        <v>4.8590281943611275</v>
      </c>
      <c r="AU117" s="77">
        <v>0</v>
      </c>
      <c r="AV117" s="28">
        <v>3</v>
      </c>
      <c r="AW117" s="77">
        <v>13</v>
      </c>
      <c r="AX117" s="584">
        <v>16.670000000000002</v>
      </c>
      <c r="AY117" s="28">
        <v>18</v>
      </c>
      <c r="AZ117" s="28">
        <v>9</v>
      </c>
      <c r="BA117" s="28">
        <v>11</v>
      </c>
      <c r="BB117" s="28">
        <v>15</v>
      </c>
      <c r="BC117" s="28">
        <v>0</v>
      </c>
      <c r="BD117" s="106">
        <v>1.7396520695860826</v>
      </c>
      <c r="BE117" s="77">
        <v>0</v>
      </c>
      <c r="BF117" s="28">
        <v>0</v>
      </c>
      <c r="BG117" s="28">
        <v>0</v>
      </c>
      <c r="BH117" s="28">
        <v>0</v>
      </c>
      <c r="BI117" s="75">
        <v>115</v>
      </c>
    </row>
    <row r="118" spans="1:61">
      <c r="A118" s="365" t="s">
        <v>1171</v>
      </c>
      <c r="B118" s="71" t="s">
        <v>215</v>
      </c>
      <c r="C118" s="71" t="s">
        <v>1189</v>
      </c>
      <c r="D118" s="89">
        <f>VLOOKUP(Table107[[#This Row],[NAME]],LAD_P[[NAME]:['#]],2,0)</f>
        <v>5.2274927395934174</v>
      </c>
      <c r="E118" s="77">
        <f>VLOOKUP(Table107[[#This Row],[NAME]],LAD_P[[NAME]:['#]],3,0)</f>
        <v>0</v>
      </c>
      <c r="F118" s="28">
        <f>VLOOKUP(Table107[[#This Row],[NAME]],LAD_P[[NAME]:['#]],4,0)</f>
        <v>0</v>
      </c>
      <c r="G118" s="77">
        <f>VLOOKUP(Table107[[#This Row],[NAME]],LAD_P[[NAME]:['#]],5,0)</f>
        <v>6</v>
      </c>
      <c r="H118" s="584">
        <f>VLOOKUP(Table107[[#This Row],[NAME]],LAD_P[[NAME]:['#]],6,0)</f>
        <v>10.33</v>
      </c>
      <c r="I118" s="28">
        <f>VLOOKUP(Table107[[#This Row],[NAME]],LAD_P[[NAME]:['#]],7,0)</f>
        <v>8</v>
      </c>
      <c r="J118" s="28">
        <f>VLOOKUP(Table107[[#This Row],[NAME]],LAD_P[[NAME]:['#]],8,0)</f>
        <v>6</v>
      </c>
      <c r="K118" s="28">
        <f>VLOOKUP(Table107[[#This Row],[NAME]],LAD_P[[NAME]:['#]],9,0)</f>
        <v>6</v>
      </c>
      <c r="L118" s="28">
        <f>VLOOKUP(Table107[[#This Row],[NAME]],LAD_P[[NAME]:['#]],10,0)</f>
        <v>8</v>
      </c>
      <c r="M118" s="28">
        <f>VLOOKUP(Table107[[#This Row],[NAME]],LAD_P[[NAME]:['#]],11,0)</f>
        <v>0</v>
      </c>
      <c r="N118" s="106">
        <f>VLOOKUP(Table107[[#This Row],[NAME]],LAD_P[[NAME]:['#]],12,0)</f>
        <v>1.3552758954501452</v>
      </c>
      <c r="O118" s="77">
        <f>VLOOKUP(Table107[[#This Row],[NAME]],LAD_P[[NAME]:['#]],13,0)</f>
        <v>0</v>
      </c>
      <c r="P118" s="28">
        <f>VLOOKUP(Table107[[#This Row],[NAME]],LAD_P[[NAME]:['#]],14,0)</f>
        <v>0</v>
      </c>
      <c r="Q118" s="28">
        <f>VLOOKUP(Table107[[#This Row],[NAME]],LAD_P[[NAME]:['#]],15,0)</f>
        <v>0</v>
      </c>
      <c r="R118" s="28">
        <f>VLOOKUP(Table107[[#This Row],[NAME]],LAD_P[[NAME]:['#]],16,0)</f>
        <v>0</v>
      </c>
      <c r="S118" s="75">
        <v>116</v>
      </c>
      <c r="V118" s="101" t="s">
        <v>1171</v>
      </c>
      <c r="W118" s="77" t="s">
        <v>212</v>
      </c>
      <c r="X118" s="77" t="s">
        <v>1192</v>
      </c>
      <c r="Y118" s="88">
        <v>2.25</v>
      </c>
      <c r="Z118" s="77">
        <v>0</v>
      </c>
      <c r="AA118" s="28">
        <v>0</v>
      </c>
      <c r="AB118" s="77">
        <v>2</v>
      </c>
      <c r="AC118" s="584">
        <v>4</v>
      </c>
      <c r="AD118" s="28">
        <v>2</v>
      </c>
      <c r="AE118" s="28">
        <v>1</v>
      </c>
      <c r="AF118" s="28">
        <v>1</v>
      </c>
      <c r="AG118" s="28">
        <v>1</v>
      </c>
      <c r="AH118" s="28">
        <v>0</v>
      </c>
      <c r="AI118" s="106">
        <v>0.75</v>
      </c>
      <c r="AJ118" s="77">
        <v>0</v>
      </c>
      <c r="AK118" s="28">
        <v>0</v>
      </c>
      <c r="AL118" s="28">
        <v>0</v>
      </c>
      <c r="AM118" s="28">
        <v>0</v>
      </c>
      <c r="AN118" s="75">
        <v>116</v>
      </c>
      <c r="AQ118" s="101" t="s">
        <v>1171</v>
      </c>
      <c r="AR118" s="77" t="s">
        <v>212</v>
      </c>
      <c r="AS118" s="77" t="s">
        <v>1192</v>
      </c>
      <c r="AT118" s="135">
        <v>5</v>
      </c>
      <c r="AU118" s="77">
        <v>1</v>
      </c>
      <c r="AV118" s="28">
        <v>0</v>
      </c>
      <c r="AW118" s="77">
        <v>5</v>
      </c>
      <c r="AX118" s="584">
        <v>9</v>
      </c>
      <c r="AY118" s="28">
        <v>8</v>
      </c>
      <c r="AZ118" s="28">
        <v>5</v>
      </c>
      <c r="BA118" s="28">
        <v>2</v>
      </c>
      <c r="BB118" s="28">
        <v>4</v>
      </c>
      <c r="BC118" s="28">
        <v>0</v>
      </c>
      <c r="BD118" s="106">
        <v>1.1111111111111112</v>
      </c>
      <c r="BE118" s="77">
        <v>0</v>
      </c>
      <c r="BF118" s="28">
        <v>0</v>
      </c>
      <c r="BG118" s="28">
        <v>0</v>
      </c>
      <c r="BH118" s="28">
        <v>0</v>
      </c>
      <c r="BI118" s="75">
        <v>116</v>
      </c>
    </row>
    <row r="119" spans="1:61">
      <c r="A119" s="365" t="s">
        <v>1171</v>
      </c>
      <c r="B119" s="71" t="s">
        <v>212</v>
      </c>
      <c r="C119" s="116" t="s">
        <v>1195</v>
      </c>
      <c r="D119" s="89">
        <f>VLOOKUP(Table107[[#This Row],[NAME]],LAD_P[[NAME]:['#]],2,0)</f>
        <v>5.7857142857142856</v>
      </c>
      <c r="E119" s="77">
        <f>VLOOKUP(Table107[[#This Row],[NAME]],LAD_P[[NAME]:['#]],3,0)</f>
        <v>1</v>
      </c>
      <c r="F119" s="28">
        <f>VLOOKUP(Table107[[#This Row],[NAME]],LAD_P[[NAME]:['#]],4,0)</f>
        <v>3</v>
      </c>
      <c r="G119" s="77">
        <f>VLOOKUP(Table107[[#This Row],[NAME]],LAD_P[[NAME]:['#]],5,0)</f>
        <v>13</v>
      </c>
      <c r="H119" s="584">
        <f>VLOOKUP(Table107[[#This Row],[NAME]],LAD_P[[NAME]:['#]],6,0)</f>
        <v>14</v>
      </c>
      <c r="I119" s="28">
        <f>VLOOKUP(Table107[[#This Row],[NAME]],LAD_P[[NAME]:['#]],7,0)</f>
        <v>18</v>
      </c>
      <c r="J119" s="28">
        <f>VLOOKUP(Table107[[#This Row],[NAME]],LAD_P[[NAME]:['#]],8,0)</f>
        <v>9</v>
      </c>
      <c r="K119" s="28">
        <f>VLOOKUP(Table107[[#This Row],[NAME]],LAD_P[[NAME]:['#]],9,0)</f>
        <v>8</v>
      </c>
      <c r="L119" s="28">
        <f>VLOOKUP(Table107[[#This Row],[NAME]],LAD_P[[NAME]:['#]],10,0)</f>
        <v>13</v>
      </c>
      <c r="M119" s="28">
        <f>VLOOKUP(Table107[[#This Row],[NAME]],LAD_P[[NAME]:['#]],11,0)</f>
        <v>0</v>
      </c>
      <c r="N119" s="106">
        <f>VLOOKUP(Table107[[#This Row],[NAME]],LAD_P[[NAME]:['#]],12,0)</f>
        <v>1.8571428571428572</v>
      </c>
      <c r="O119" s="77">
        <f>VLOOKUP(Table107[[#This Row],[NAME]],LAD_P[[NAME]:['#]],13,0)</f>
        <v>0</v>
      </c>
      <c r="P119" s="28">
        <f>VLOOKUP(Table107[[#This Row],[NAME]],LAD_P[[NAME]:['#]],14,0)</f>
        <v>0</v>
      </c>
      <c r="Q119" s="28">
        <f>VLOOKUP(Table107[[#This Row],[NAME]],LAD_P[[NAME]:['#]],15,0)</f>
        <v>0</v>
      </c>
      <c r="R119" s="28">
        <f>VLOOKUP(Table107[[#This Row],[NAME]],LAD_P[[NAME]:['#]],16,0)</f>
        <v>0</v>
      </c>
      <c r="S119" s="75">
        <v>117</v>
      </c>
      <c r="V119" s="101" t="s">
        <v>1171</v>
      </c>
      <c r="W119" s="77" t="s">
        <v>212</v>
      </c>
      <c r="X119" s="132" t="s">
        <v>1195</v>
      </c>
      <c r="Y119" s="88">
        <v>8.7591240875912408</v>
      </c>
      <c r="Z119" s="77">
        <v>2</v>
      </c>
      <c r="AA119" s="28">
        <v>1</v>
      </c>
      <c r="AB119" s="77">
        <v>12</v>
      </c>
      <c r="AC119" s="584">
        <v>12.33</v>
      </c>
      <c r="AD119" s="28">
        <v>18</v>
      </c>
      <c r="AE119" s="28">
        <v>12</v>
      </c>
      <c r="AF119" s="28">
        <v>1</v>
      </c>
      <c r="AG119" s="28">
        <v>11</v>
      </c>
      <c r="AH119" s="28">
        <v>0</v>
      </c>
      <c r="AI119" s="106">
        <v>1.5409570154095702</v>
      </c>
      <c r="AJ119" s="77">
        <v>0</v>
      </c>
      <c r="AK119" s="28">
        <v>0</v>
      </c>
      <c r="AL119" s="28">
        <v>0</v>
      </c>
      <c r="AM119" s="28">
        <v>0</v>
      </c>
      <c r="AN119" s="75">
        <v>117</v>
      </c>
      <c r="AQ119" s="101" t="s">
        <v>1171</v>
      </c>
      <c r="AR119" s="77" t="s">
        <v>212</v>
      </c>
      <c r="AS119" s="77" t="s">
        <v>1195</v>
      </c>
      <c r="AT119" s="135">
        <v>3.79746835443038</v>
      </c>
      <c r="AU119" s="77">
        <v>1</v>
      </c>
      <c r="AV119" s="28">
        <v>0</v>
      </c>
      <c r="AW119" s="77">
        <v>23</v>
      </c>
      <c r="AX119" s="584">
        <v>21.33</v>
      </c>
      <c r="AY119" s="28">
        <v>19</v>
      </c>
      <c r="AZ119" s="28">
        <v>9</v>
      </c>
      <c r="BA119" s="28">
        <v>7</v>
      </c>
      <c r="BB119" s="28">
        <v>18</v>
      </c>
      <c r="BC119" s="28">
        <v>1</v>
      </c>
      <c r="BD119" s="106">
        <v>1.2189404594467887</v>
      </c>
      <c r="BE119" s="77">
        <v>0</v>
      </c>
      <c r="BF119" s="28">
        <v>0</v>
      </c>
      <c r="BG119" s="28">
        <v>0</v>
      </c>
      <c r="BH119" s="28">
        <v>0</v>
      </c>
      <c r="BI119" s="75">
        <v>117</v>
      </c>
    </row>
    <row r="120" spans="1:61">
      <c r="A120" s="365" t="s">
        <v>1171</v>
      </c>
      <c r="B120" s="71" t="s">
        <v>212</v>
      </c>
      <c r="C120" s="71" t="s">
        <v>1193</v>
      </c>
      <c r="D120" s="89">
        <f>VLOOKUP(Table107[[#This Row],[NAME]],LAD_P[[NAME]:['#]],2,0)</f>
        <v>3.5653650254668925</v>
      </c>
      <c r="E120" s="77">
        <f>VLOOKUP(Table107[[#This Row],[NAME]],LAD_P[[NAME]:['#]],3,0)</f>
        <v>2</v>
      </c>
      <c r="F120" s="28">
        <f>VLOOKUP(Table107[[#This Row],[NAME]],LAD_P[[NAME]:['#]],4,0)</f>
        <v>0</v>
      </c>
      <c r="G120" s="77">
        <f>VLOOKUP(Table107[[#This Row],[NAME]],LAD_P[[NAME]:['#]],5,0)</f>
        <v>16</v>
      </c>
      <c r="H120" s="584">
        <f>VLOOKUP(Table107[[#This Row],[NAME]],LAD_P[[NAME]:['#]],6,0)</f>
        <v>17.670000000000002</v>
      </c>
      <c r="I120" s="28">
        <f>VLOOKUP(Table107[[#This Row],[NAME]],LAD_P[[NAME]:['#]],7,0)</f>
        <v>16</v>
      </c>
      <c r="J120" s="28">
        <f>VLOOKUP(Table107[[#This Row],[NAME]],LAD_P[[NAME]:['#]],8,0)</f>
        <v>7</v>
      </c>
      <c r="K120" s="28">
        <f>VLOOKUP(Table107[[#This Row],[NAME]],LAD_P[[NAME]:['#]],9,0)</f>
        <v>3</v>
      </c>
      <c r="L120" s="28">
        <f>VLOOKUP(Table107[[#This Row],[NAME]],LAD_P[[NAME]:['#]],10,0)</f>
        <v>22</v>
      </c>
      <c r="M120" s="28">
        <f>VLOOKUP(Table107[[#This Row],[NAME]],LAD_P[[NAME]:['#]],11,0)</f>
        <v>0</v>
      </c>
      <c r="N120" s="106">
        <f>VLOOKUP(Table107[[#This Row],[NAME]],LAD_P[[NAME]:['#]],12,0)</f>
        <v>1.075268817204301</v>
      </c>
      <c r="O120" s="77">
        <f>VLOOKUP(Table107[[#This Row],[NAME]],LAD_P[[NAME]:['#]],13,0)</f>
        <v>0</v>
      </c>
      <c r="P120" s="28">
        <f>VLOOKUP(Table107[[#This Row],[NAME]],LAD_P[[NAME]:['#]],14,0)</f>
        <v>0</v>
      </c>
      <c r="Q120" s="28">
        <f>VLOOKUP(Table107[[#This Row],[NAME]],LAD_P[[NAME]:['#]],15,0)</f>
        <v>0</v>
      </c>
      <c r="R120" s="28">
        <f>VLOOKUP(Table107[[#This Row],[NAME]],LAD_P[[NAME]:['#]],16,0)</f>
        <v>0</v>
      </c>
      <c r="S120" s="75">
        <v>118</v>
      </c>
      <c r="V120" s="101" t="s">
        <v>1171</v>
      </c>
      <c r="W120" s="77" t="s">
        <v>212</v>
      </c>
      <c r="X120" s="77" t="s">
        <v>1193</v>
      </c>
      <c r="Y120" s="88">
        <v>7.2</v>
      </c>
      <c r="Z120" s="77">
        <v>0</v>
      </c>
      <c r="AA120" s="28">
        <v>1</v>
      </c>
      <c r="AB120" s="77">
        <v>10</v>
      </c>
      <c r="AC120" s="584">
        <v>10</v>
      </c>
      <c r="AD120" s="28">
        <v>8</v>
      </c>
      <c r="AE120" s="28">
        <v>8</v>
      </c>
      <c r="AF120" s="28">
        <v>7</v>
      </c>
      <c r="AG120" s="28">
        <v>12</v>
      </c>
      <c r="AH120" s="28">
        <v>0</v>
      </c>
      <c r="AI120" s="106">
        <v>1.5</v>
      </c>
      <c r="AJ120" s="77">
        <v>0</v>
      </c>
      <c r="AK120" s="28">
        <v>0</v>
      </c>
      <c r="AL120" s="28">
        <v>0</v>
      </c>
      <c r="AM120" s="28">
        <v>0</v>
      </c>
      <c r="AN120" s="75">
        <v>118</v>
      </c>
      <c r="AQ120" s="101" t="s">
        <v>1171</v>
      </c>
      <c r="AR120" s="77" t="s">
        <v>215</v>
      </c>
      <c r="AS120" s="77" t="s">
        <v>1193</v>
      </c>
      <c r="AT120" s="135">
        <v>3.3707865168539328</v>
      </c>
      <c r="AU120" s="77">
        <v>0</v>
      </c>
      <c r="AV120" s="28">
        <v>0</v>
      </c>
      <c r="AW120" s="77">
        <v>3</v>
      </c>
      <c r="AX120" s="584">
        <v>2.67</v>
      </c>
      <c r="AY120" s="28">
        <v>2</v>
      </c>
      <c r="AZ120" s="28">
        <v>1</v>
      </c>
      <c r="BA120" s="28">
        <v>2</v>
      </c>
      <c r="BB120" s="28">
        <v>2</v>
      </c>
      <c r="BC120" s="28">
        <v>0</v>
      </c>
      <c r="BD120" s="106">
        <v>1.4981273408239701</v>
      </c>
      <c r="BE120" s="77">
        <v>0</v>
      </c>
      <c r="BF120" s="28">
        <v>0</v>
      </c>
      <c r="BG120" s="28">
        <v>0</v>
      </c>
      <c r="BH120" s="28">
        <v>0</v>
      </c>
      <c r="BI120" s="75">
        <v>118</v>
      </c>
    </row>
    <row r="121" spans="1:61">
      <c r="A121" s="365" t="s">
        <v>1171</v>
      </c>
      <c r="B121" s="71" t="s">
        <v>212</v>
      </c>
      <c r="C121" s="71" t="s">
        <v>1194</v>
      </c>
      <c r="D121" s="89">
        <f>VLOOKUP(Table107[[#This Row],[NAME]],LAD_P[[NAME]:['#]],2,0)</f>
        <v>3.6</v>
      </c>
      <c r="E121" s="77">
        <f>VLOOKUP(Table107[[#This Row],[NAME]],LAD_P[[NAME]:['#]],3,0)</f>
        <v>4</v>
      </c>
      <c r="F121" s="28">
        <f>VLOOKUP(Table107[[#This Row],[NAME]],LAD_P[[NAME]:['#]],4,0)</f>
        <v>2</v>
      </c>
      <c r="G121" s="77">
        <f>VLOOKUP(Table107[[#This Row],[NAME]],LAD_P[[NAME]:['#]],5,0)</f>
        <v>19</v>
      </c>
      <c r="H121" s="584">
        <f>VLOOKUP(Table107[[#This Row],[NAME]],LAD_P[[NAME]:['#]],6,0)</f>
        <v>20</v>
      </c>
      <c r="I121" s="28">
        <f>VLOOKUP(Table107[[#This Row],[NAME]],LAD_P[[NAME]:['#]],7,0)</f>
        <v>16</v>
      </c>
      <c r="J121" s="28">
        <f>VLOOKUP(Table107[[#This Row],[NAME]],LAD_P[[NAME]:['#]],8,0)</f>
        <v>8</v>
      </c>
      <c r="K121" s="28">
        <f>VLOOKUP(Table107[[#This Row],[NAME]],LAD_P[[NAME]:['#]],9,0)</f>
        <v>4</v>
      </c>
      <c r="L121" s="28">
        <f>VLOOKUP(Table107[[#This Row],[NAME]],LAD_P[[NAME]:['#]],10,0)</f>
        <v>14</v>
      </c>
      <c r="M121" s="28">
        <f>VLOOKUP(Table107[[#This Row],[NAME]],LAD_P[[NAME]:['#]],11,0)</f>
        <v>0</v>
      </c>
      <c r="N121" s="106">
        <f>VLOOKUP(Table107[[#This Row],[NAME]],LAD_P[[NAME]:['#]],12,0)</f>
        <v>1</v>
      </c>
      <c r="O121" s="77">
        <f>VLOOKUP(Table107[[#This Row],[NAME]],LAD_P[[NAME]:['#]],13,0)</f>
        <v>0</v>
      </c>
      <c r="P121" s="28">
        <f>VLOOKUP(Table107[[#This Row],[NAME]],LAD_P[[NAME]:['#]],14,0)</f>
        <v>0</v>
      </c>
      <c r="Q121" s="28">
        <f>VLOOKUP(Table107[[#This Row],[NAME]],LAD_P[[NAME]:['#]],15,0)</f>
        <v>0</v>
      </c>
      <c r="R121" s="28">
        <f>VLOOKUP(Table107[[#This Row],[NAME]],LAD_P[[NAME]:['#]],16,0)</f>
        <v>0</v>
      </c>
      <c r="S121" s="75">
        <v>119</v>
      </c>
      <c r="V121" s="101" t="s">
        <v>1171</v>
      </c>
      <c r="W121" s="77" t="s">
        <v>212</v>
      </c>
      <c r="X121" s="77" t="s">
        <v>1194</v>
      </c>
      <c r="Y121" s="88">
        <v>3.483309143686502</v>
      </c>
      <c r="Z121" s="77">
        <v>1</v>
      </c>
      <c r="AA121" s="28">
        <v>2</v>
      </c>
      <c r="AB121" s="77">
        <v>19</v>
      </c>
      <c r="AC121" s="584">
        <v>20.67</v>
      </c>
      <c r="AD121" s="28">
        <v>24</v>
      </c>
      <c r="AE121" s="28">
        <v>8</v>
      </c>
      <c r="AF121" s="28">
        <v>6</v>
      </c>
      <c r="AG121" s="28">
        <v>11</v>
      </c>
      <c r="AH121" s="28">
        <v>0</v>
      </c>
      <c r="AI121" s="106">
        <v>1.4513788098693758</v>
      </c>
      <c r="AJ121" s="77">
        <v>0</v>
      </c>
      <c r="AK121" s="28">
        <v>0</v>
      </c>
      <c r="AL121" s="28">
        <v>0</v>
      </c>
      <c r="AM121" s="28">
        <v>0</v>
      </c>
      <c r="AN121" s="75">
        <v>119</v>
      </c>
      <c r="AQ121" s="101" t="s">
        <v>1171</v>
      </c>
      <c r="AR121" s="77" t="s">
        <v>212</v>
      </c>
      <c r="AS121" s="77" t="s">
        <v>1194</v>
      </c>
      <c r="AT121" s="135">
        <v>6.4579256360078281</v>
      </c>
      <c r="AU121" s="77">
        <v>0</v>
      </c>
      <c r="AV121" s="28">
        <v>0</v>
      </c>
      <c r="AW121" s="77">
        <v>14</v>
      </c>
      <c r="AX121" s="584">
        <v>15.33</v>
      </c>
      <c r="AY121" s="28">
        <v>14</v>
      </c>
      <c r="AZ121" s="28">
        <v>11</v>
      </c>
      <c r="BA121" s="28">
        <v>10</v>
      </c>
      <c r="BB121" s="28">
        <v>15</v>
      </c>
      <c r="BC121" s="28">
        <v>1</v>
      </c>
      <c r="BD121" s="106">
        <v>1.5655577299412915</v>
      </c>
      <c r="BE121" s="77">
        <v>0</v>
      </c>
      <c r="BF121" s="28">
        <v>0</v>
      </c>
      <c r="BG121" s="28">
        <v>0</v>
      </c>
      <c r="BH121" s="28">
        <v>0</v>
      </c>
      <c r="BI121" s="75">
        <v>119</v>
      </c>
    </row>
    <row r="122" spans="1:61">
      <c r="A122" s="365" t="s">
        <v>1171</v>
      </c>
      <c r="B122" s="71" t="s">
        <v>212</v>
      </c>
      <c r="C122" s="71" t="s">
        <v>1196</v>
      </c>
      <c r="D122" s="89">
        <f>VLOOKUP(Table107[[#This Row],[NAME]],LAD_P[[NAME]:['#]],2,0)</f>
        <v>2.3333333333333335</v>
      </c>
      <c r="E122" s="77">
        <f>VLOOKUP(Table107[[#This Row],[NAME]],LAD_P[[NAME]:['#]],3,0)</f>
        <v>1</v>
      </c>
      <c r="F122" s="28">
        <f>VLOOKUP(Table107[[#This Row],[NAME]],LAD_P[[NAME]:['#]],4,0)</f>
        <v>1</v>
      </c>
      <c r="G122" s="352">
        <f>VLOOKUP(Table107[[#This Row],[NAME]],LAD_P[[NAME]:['#]],5,0)</f>
        <v>24</v>
      </c>
      <c r="H122" s="584">
        <f>VLOOKUP(Table107[[#This Row],[NAME]],LAD_P[[NAME]:['#]],6,0)</f>
        <v>27</v>
      </c>
      <c r="I122" s="28">
        <f>VLOOKUP(Table107[[#This Row],[NAME]],LAD_P[[NAME]:['#]],7,0)</f>
        <v>14</v>
      </c>
      <c r="J122" s="28">
        <f>VLOOKUP(Table107[[#This Row],[NAME]],LAD_P[[NAME]:['#]],8,0)</f>
        <v>7</v>
      </c>
      <c r="K122" s="28">
        <f>VLOOKUP(Table107[[#This Row],[NAME]],LAD_P[[NAME]:['#]],9,0)</f>
        <v>12</v>
      </c>
      <c r="L122" s="28">
        <f>VLOOKUP(Table107[[#This Row],[NAME]],LAD_P[[NAME]:['#]],10,0)</f>
        <v>31</v>
      </c>
      <c r="M122" s="28">
        <f>VLOOKUP(Table107[[#This Row],[NAME]],LAD_P[[NAME]:['#]],11,0)</f>
        <v>10</v>
      </c>
      <c r="N122" s="106">
        <f>VLOOKUP(Table107[[#This Row],[NAME]],LAD_P[[NAME]:['#]],12,0)</f>
        <v>0.96296296296296291</v>
      </c>
      <c r="O122" s="77">
        <f>VLOOKUP(Table107[[#This Row],[NAME]],LAD_P[[NAME]:['#]],13,0)</f>
        <v>0</v>
      </c>
      <c r="P122" s="28">
        <f>VLOOKUP(Table107[[#This Row],[NAME]],LAD_P[[NAME]:['#]],14,0)</f>
        <v>0</v>
      </c>
      <c r="Q122" s="28">
        <f>VLOOKUP(Table107[[#This Row],[NAME]],LAD_P[[NAME]:['#]],15,0)</f>
        <v>0</v>
      </c>
      <c r="R122" s="28">
        <f>VLOOKUP(Table107[[#This Row],[NAME]],LAD_P[[NAME]:['#]],16,0)</f>
        <v>0</v>
      </c>
      <c r="S122" s="75">
        <v>120</v>
      </c>
      <c r="V122" s="101" t="s">
        <v>1171</v>
      </c>
      <c r="W122" s="77" t="s">
        <v>212</v>
      </c>
      <c r="X122" s="77" t="s">
        <v>1196</v>
      </c>
      <c r="Y122" s="88">
        <v>3.9130434782608696</v>
      </c>
      <c r="Z122" s="77">
        <v>1</v>
      </c>
      <c r="AA122" s="28">
        <v>2</v>
      </c>
      <c r="AB122" s="77">
        <v>24</v>
      </c>
      <c r="AC122" s="584">
        <v>23</v>
      </c>
      <c r="AD122" s="28">
        <v>18</v>
      </c>
      <c r="AE122" s="28">
        <v>10</v>
      </c>
      <c r="AF122" s="28">
        <v>7</v>
      </c>
      <c r="AG122" s="28">
        <v>32</v>
      </c>
      <c r="AH122" s="28">
        <v>11</v>
      </c>
      <c r="AI122" s="106">
        <v>1.0869565217391304</v>
      </c>
      <c r="AJ122" s="77">
        <v>0</v>
      </c>
      <c r="AK122" s="28">
        <v>0</v>
      </c>
      <c r="AL122" s="28">
        <v>0</v>
      </c>
      <c r="AM122" s="28">
        <v>0</v>
      </c>
      <c r="AN122" s="75">
        <v>120</v>
      </c>
      <c r="AQ122" s="101" t="s">
        <v>1171</v>
      </c>
      <c r="AR122" s="77" t="s">
        <v>212</v>
      </c>
      <c r="AS122" s="77" t="s">
        <v>1196</v>
      </c>
      <c r="AT122" s="135">
        <v>2.25</v>
      </c>
      <c r="AU122" s="77">
        <v>0</v>
      </c>
      <c r="AV122" s="28">
        <v>0</v>
      </c>
      <c r="AW122" s="77">
        <v>23</v>
      </c>
      <c r="AX122" s="584">
        <v>24</v>
      </c>
      <c r="AY122" s="28">
        <v>21</v>
      </c>
      <c r="AZ122" s="28">
        <v>6</v>
      </c>
      <c r="BA122" s="28">
        <v>11</v>
      </c>
      <c r="BB122" s="28">
        <v>31</v>
      </c>
      <c r="BC122" s="28">
        <v>13</v>
      </c>
      <c r="BD122" s="106">
        <v>1.3333333333333333</v>
      </c>
      <c r="BE122" s="77">
        <v>0</v>
      </c>
      <c r="BF122" s="28">
        <v>0</v>
      </c>
      <c r="BG122" s="28">
        <v>0</v>
      </c>
      <c r="BH122" s="28">
        <v>0</v>
      </c>
      <c r="BI122" s="75">
        <v>120</v>
      </c>
    </row>
    <row r="123" spans="1:61">
      <c r="A123" s="136" t="s">
        <v>1200</v>
      </c>
      <c r="B123" s="115" t="s">
        <v>206</v>
      </c>
      <c r="C123" s="115" t="s">
        <v>1215</v>
      </c>
      <c r="D123" s="89">
        <f>VLOOKUP(Table107[[#This Row],[NAME]],SDP_P[[NAME]:['#]],2,0)</f>
        <v>2.2711341651479042</v>
      </c>
      <c r="E123" s="77">
        <f>VLOOKUP(Table107[[#This Row],[NAME]],SDP_P[[NAME]:['#]],3,0)</f>
        <v>6</v>
      </c>
      <c r="F123" s="28">
        <f>VLOOKUP(Table107[[#This Row],[NAME]],SDP_P[[NAME]:['#]],4,0)</f>
        <v>2</v>
      </c>
      <c r="G123" s="77">
        <f>VLOOKUP(Table107[[#This Row],[NAME]],SDP_P[[NAME]:['#]],5,0)</f>
        <v>10</v>
      </c>
      <c r="H123" s="584">
        <f>VLOOKUP(Table107[[#This Row],[NAME]],SDP_P[[NAME]:['#]],6,0)</f>
        <v>71.33</v>
      </c>
      <c r="I123" s="28">
        <f>VLOOKUP(Table107[[#This Row],[NAME]],SDP_P[[NAME]:['#]],7,0)</f>
        <v>60</v>
      </c>
      <c r="J123" s="28">
        <f>VLOOKUP(Table107[[#This Row],[NAME]],SDP_P[[NAME]:['#]],8,0)</f>
        <v>18</v>
      </c>
      <c r="K123" s="28">
        <f>VLOOKUP(Table107[[#This Row],[NAME]],SDP_P[[NAME]:['#]],9,0)</f>
        <v>26</v>
      </c>
      <c r="L123" s="28">
        <f>VLOOKUP(Table107[[#This Row],[NAME]],SDP_P[[NAME]:['#]],10,0)</f>
        <v>76</v>
      </c>
      <c r="M123" s="28">
        <f>VLOOKUP(Table107[[#This Row],[NAME]],SDP_P[[NAME]:['#]],11,0)</f>
        <v>0</v>
      </c>
      <c r="N123" s="106">
        <f>VLOOKUP(Table107[[#This Row],[NAME]],SDP_P[[NAME]:['#]],12,0)</f>
        <v>1.2056638160661712</v>
      </c>
      <c r="O123" s="77">
        <f>VLOOKUP(Table107[[#This Row],[NAME]],SDP_P[[NAME]:['#]],13,0)</f>
        <v>8</v>
      </c>
      <c r="P123" s="28">
        <f>VLOOKUP(Table107[[#This Row],[NAME]],SDP_P[[NAME]:['#]],14,0)</f>
        <v>6</v>
      </c>
      <c r="Q123" s="28">
        <f>VLOOKUP(Table107[[#This Row],[NAME]],SDP_P[[NAME]:['#]],15,0)</f>
        <v>2</v>
      </c>
      <c r="R123" s="28">
        <f>VLOOKUP(Table107[[#This Row],[NAME]],SDP_P[[NAME]:['#]],16,0)</f>
        <v>2</v>
      </c>
      <c r="S123" s="75">
        <v>121</v>
      </c>
      <c r="V123" s="136" t="s">
        <v>1200</v>
      </c>
      <c r="W123" s="137" t="s">
        <v>206</v>
      </c>
      <c r="X123" s="137" t="s">
        <v>1215</v>
      </c>
      <c r="Y123" s="88">
        <v>1.5531660692951015</v>
      </c>
      <c r="Z123" s="77">
        <v>7</v>
      </c>
      <c r="AA123" s="28">
        <v>1</v>
      </c>
      <c r="AB123" s="77">
        <v>10</v>
      </c>
      <c r="AC123" s="584">
        <v>75.33</v>
      </c>
      <c r="AD123" s="28">
        <v>44</v>
      </c>
      <c r="AE123" s="28">
        <v>13</v>
      </c>
      <c r="AF123" s="28">
        <v>26</v>
      </c>
      <c r="AG123" s="28">
        <v>97</v>
      </c>
      <c r="AH123" s="28">
        <v>0</v>
      </c>
      <c r="AI123" s="106">
        <v>0.92924465684322322</v>
      </c>
      <c r="AJ123" s="531">
        <v>10</v>
      </c>
      <c r="AK123" s="28">
        <v>7</v>
      </c>
      <c r="AL123" s="28">
        <v>3</v>
      </c>
      <c r="AM123" s="28">
        <v>1</v>
      </c>
      <c r="AN123" s="75">
        <v>121</v>
      </c>
      <c r="AQ123" s="101" t="s">
        <v>1200</v>
      </c>
      <c r="AR123" s="77" t="s">
        <v>206</v>
      </c>
      <c r="AS123" s="77" t="s">
        <v>1215</v>
      </c>
      <c r="AT123" s="135">
        <v>3.1764705882352939</v>
      </c>
      <c r="AU123" s="77">
        <v>4</v>
      </c>
      <c r="AV123" s="28">
        <v>3</v>
      </c>
      <c r="AW123" s="77">
        <v>10</v>
      </c>
      <c r="AX123" s="584">
        <v>68</v>
      </c>
      <c r="AY123" s="28">
        <v>56</v>
      </c>
      <c r="AZ123" s="28">
        <v>24</v>
      </c>
      <c r="BA123" s="28">
        <v>24</v>
      </c>
      <c r="BB123" s="28">
        <v>84</v>
      </c>
      <c r="BC123" s="28">
        <v>0</v>
      </c>
      <c r="BD123" s="106">
        <v>1.1764705882352942</v>
      </c>
      <c r="BE123" s="77">
        <v>6</v>
      </c>
      <c r="BF123" s="28">
        <v>4</v>
      </c>
      <c r="BG123" s="28">
        <v>1</v>
      </c>
      <c r="BH123" s="28">
        <v>1</v>
      </c>
      <c r="BI123" s="75">
        <v>121</v>
      </c>
    </row>
    <row r="124" spans="1:61">
      <c r="A124" s="136" t="s">
        <v>1200</v>
      </c>
      <c r="B124" s="115" t="s">
        <v>206</v>
      </c>
      <c r="C124" s="115" t="s">
        <v>1216</v>
      </c>
      <c r="D124" s="89">
        <f>VLOOKUP(Table107[[#This Row],[NAME]],SDP_P[[NAME]:['#]],2,0)</f>
        <v>3.7923478847126244</v>
      </c>
      <c r="E124" s="77">
        <f>VLOOKUP(Table107[[#This Row],[NAME]],SDP_P[[NAME]:['#]],3,0)</f>
        <v>4</v>
      </c>
      <c r="F124" s="28">
        <f>VLOOKUP(Table107[[#This Row],[NAME]],SDP_P[[NAME]:['#]],4,0)</f>
        <v>5</v>
      </c>
      <c r="G124" s="77">
        <f>VLOOKUP(Table107[[#This Row],[NAME]],SDP_P[[NAME]:['#]],5,0)</f>
        <v>10</v>
      </c>
      <c r="H124" s="584">
        <f>VLOOKUP(Table107[[#This Row],[NAME]],SDP_P[[NAME]:['#]],6,0)</f>
        <v>59.33</v>
      </c>
      <c r="I124" s="28">
        <f>VLOOKUP(Table107[[#This Row],[NAME]],SDP_P[[NAME]:['#]],7,0)</f>
        <v>53</v>
      </c>
      <c r="J124" s="28">
        <f>VLOOKUP(Table107[[#This Row],[NAME]],SDP_P[[NAME]:['#]],8,0)</f>
        <v>25</v>
      </c>
      <c r="K124" s="28">
        <f>VLOOKUP(Table107[[#This Row],[NAME]],SDP_P[[NAME]:['#]],9,0)</f>
        <v>35</v>
      </c>
      <c r="L124" s="28">
        <f>VLOOKUP(Table107[[#This Row],[NAME]],SDP_P[[NAME]:['#]],10,0)</f>
        <v>69</v>
      </c>
      <c r="M124" s="28">
        <f>VLOOKUP(Table107[[#This Row],[NAME]],SDP_P[[NAME]:['#]],11,0)</f>
        <v>0</v>
      </c>
      <c r="N124" s="106">
        <f>VLOOKUP(Table107[[#This Row],[NAME]],SDP_P[[NAME]:['#]],12,0)</f>
        <v>1.4832293949098265</v>
      </c>
      <c r="O124" s="77">
        <f>VLOOKUP(Table107[[#This Row],[NAME]],SDP_P[[NAME]:['#]],13,0)</f>
        <v>5</v>
      </c>
      <c r="P124" s="28">
        <f>VLOOKUP(Table107[[#This Row],[NAME]],SDP_P[[NAME]:['#]],14,0)</f>
        <v>4</v>
      </c>
      <c r="Q124" s="28">
        <f>VLOOKUP(Table107[[#This Row],[NAME]],SDP_P[[NAME]:['#]],15,0)</f>
        <v>0</v>
      </c>
      <c r="R124" s="28">
        <f>VLOOKUP(Table107[[#This Row],[NAME]],SDP_P[[NAME]:['#]],16,0)</f>
        <v>0</v>
      </c>
      <c r="S124" s="75">
        <v>122</v>
      </c>
      <c r="V124" s="136" t="s">
        <v>1200</v>
      </c>
      <c r="W124" s="137" t="s">
        <v>206</v>
      </c>
      <c r="X124" s="137" t="s">
        <v>1216</v>
      </c>
      <c r="Y124" s="88">
        <v>3.2727272727272729</v>
      </c>
      <c r="Z124" s="77">
        <v>2</v>
      </c>
      <c r="AA124" s="28">
        <v>7</v>
      </c>
      <c r="AB124" s="77">
        <v>10</v>
      </c>
      <c r="AC124" s="584">
        <v>66</v>
      </c>
      <c r="AD124" s="28">
        <v>63</v>
      </c>
      <c r="AE124" s="28">
        <v>24</v>
      </c>
      <c r="AF124" s="28">
        <v>34</v>
      </c>
      <c r="AG124" s="28">
        <v>66</v>
      </c>
      <c r="AH124" s="28">
        <v>0</v>
      </c>
      <c r="AI124" s="106">
        <v>1.4696969696969697</v>
      </c>
      <c r="AJ124" s="77">
        <v>6</v>
      </c>
      <c r="AK124" s="28">
        <v>3</v>
      </c>
      <c r="AL124" s="28">
        <v>2</v>
      </c>
      <c r="AM124" s="28">
        <v>2</v>
      </c>
      <c r="AN124" s="75">
        <v>122</v>
      </c>
      <c r="AQ124" s="101" t="s">
        <v>1200</v>
      </c>
      <c r="AR124" s="77" t="s">
        <v>206</v>
      </c>
      <c r="AS124" s="77" t="s">
        <v>1216</v>
      </c>
      <c r="AT124" s="135">
        <v>4.5476077688299386</v>
      </c>
      <c r="AU124" s="77">
        <v>4</v>
      </c>
      <c r="AV124" s="28">
        <v>3</v>
      </c>
      <c r="AW124" s="77">
        <v>10</v>
      </c>
      <c r="AX124" s="584">
        <v>63.33</v>
      </c>
      <c r="AY124" s="28">
        <v>62</v>
      </c>
      <c r="AZ124" s="28">
        <v>32</v>
      </c>
      <c r="BA124" s="28">
        <v>33</v>
      </c>
      <c r="BB124" s="28">
        <v>65</v>
      </c>
      <c r="BC124" s="28">
        <v>0</v>
      </c>
      <c r="BD124" s="106">
        <v>1.5000789515237645</v>
      </c>
      <c r="BE124" s="77">
        <v>7</v>
      </c>
      <c r="BF124" s="28">
        <v>1</v>
      </c>
      <c r="BG124" s="28">
        <v>0</v>
      </c>
      <c r="BH124" s="28">
        <v>0</v>
      </c>
      <c r="BI124" s="75">
        <v>122</v>
      </c>
    </row>
    <row r="125" spans="1:61">
      <c r="A125" s="136" t="s">
        <v>1200</v>
      </c>
      <c r="B125" s="115" t="s">
        <v>206</v>
      </c>
      <c r="C125" s="116" t="s">
        <v>218</v>
      </c>
      <c r="D125" s="89">
        <f>VLOOKUP(Table107[[#This Row],[NAME]],SDP_P[[NAME]:['#]],2,0)</f>
        <v>2.8208955223880596</v>
      </c>
      <c r="E125" s="77">
        <f>VLOOKUP(Table107[[#This Row],[NAME]],SDP_P[[NAME]:['#]],3,0)</f>
        <v>5</v>
      </c>
      <c r="F125" s="28">
        <f>VLOOKUP(Table107[[#This Row],[NAME]],SDP_P[[NAME]:['#]],4,0)</f>
        <v>2</v>
      </c>
      <c r="G125" s="77">
        <f>VLOOKUP(Table107[[#This Row],[NAME]],SDP_P[[NAME]:['#]],5,0)</f>
        <v>10</v>
      </c>
      <c r="H125" s="584">
        <f>VLOOKUP(Table107[[#This Row],[NAME]],SDP_P[[NAME]:['#]],6,0)</f>
        <v>67</v>
      </c>
      <c r="I125" s="28">
        <f>VLOOKUP(Table107[[#This Row],[NAME]],SDP_P[[NAME]:['#]],7,0)</f>
        <v>53</v>
      </c>
      <c r="J125" s="28">
        <f>VLOOKUP(Table107[[#This Row],[NAME]],SDP_P[[NAME]:['#]],8,0)</f>
        <v>21</v>
      </c>
      <c r="K125" s="28">
        <f>VLOOKUP(Table107[[#This Row],[NAME]],SDP_P[[NAME]:['#]],9,0)</f>
        <v>22</v>
      </c>
      <c r="L125" s="28">
        <f>VLOOKUP(Table107[[#This Row],[NAME]],SDP_P[[NAME]:['#]],10,0)</f>
        <v>69</v>
      </c>
      <c r="M125" s="28">
        <f>VLOOKUP(Table107[[#This Row],[NAME]],SDP_P[[NAME]:['#]],11,0)</f>
        <v>0</v>
      </c>
      <c r="N125" s="106">
        <f>VLOOKUP(Table107[[#This Row],[NAME]],SDP_P[[NAME]:['#]],12,0)</f>
        <v>1.1194029850746268</v>
      </c>
      <c r="O125" s="77">
        <f>VLOOKUP(Table107[[#This Row],[NAME]],SDP_P[[NAME]:['#]],13,0)</f>
        <v>8</v>
      </c>
      <c r="P125" s="28">
        <f>VLOOKUP(Table107[[#This Row],[NAME]],SDP_P[[NAME]:['#]],14,0)</f>
        <v>4</v>
      </c>
      <c r="Q125" s="28">
        <f>VLOOKUP(Table107[[#This Row],[NAME]],SDP_P[[NAME]:['#]],15,0)</f>
        <v>1</v>
      </c>
      <c r="R125" s="28">
        <f>VLOOKUP(Table107[[#This Row],[NAME]],SDP_P[[NAME]:['#]],16,0)</f>
        <v>1</v>
      </c>
      <c r="S125" s="75">
        <v>123</v>
      </c>
      <c r="V125" s="136" t="s">
        <v>1200</v>
      </c>
      <c r="W125" s="137" t="s">
        <v>206</v>
      </c>
      <c r="X125" s="137" t="s">
        <v>1217</v>
      </c>
      <c r="Y125" s="88">
        <v>6.1433447098976108</v>
      </c>
      <c r="Z125" s="77">
        <v>3</v>
      </c>
      <c r="AA125" s="28">
        <v>3</v>
      </c>
      <c r="AB125" s="77">
        <v>10</v>
      </c>
      <c r="AC125" s="584">
        <v>55.67</v>
      </c>
      <c r="AD125" s="28">
        <v>57</v>
      </c>
      <c r="AE125" s="28">
        <v>38</v>
      </c>
      <c r="AF125" s="28">
        <v>22</v>
      </c>
      <c r="AG125" s="28">
        <v>62</v>
      </c>
      <c r="AH125" s="28">
        <v>0</v>
      </c>
      <c r="AI125" s="106">
        <v>1.4190767019938926</v>
      </c>
      <c r="AJ125" s="77">
        <v>2</v>
      </c>
      <c r="AK125" s="28">
        <v>1</v>
      </c>
      <c r="AL125" s="28">
        <v>0</v>
      </c>
      <c r="AM125" s="28">
        <v>0</v>
      </c>
      <c r="AN125" s="75">
        <v>123</v>
      </c>
      <c r="AQ125" s="101" t="s">
        <v>1200</v>
      </c>
      <c r="AR125" s="77" t="s">
        <v>206</v>
      </c>
      <c r="AS125" s="77" t="s">
        <v>1217</v>
      </c>
      <c r="AT125" s="135">
        <v>4.2556660688080878</v>
      </c>
      <c r="AU125" s="77">
        <v>7</v>
      </c>
      <c r="AV125" s="28">
        <v>3</v>
      </c>
      <c r="AW125" s="77">
        <v>10</v>
      </c>
      <c r="AX125" s="584">
        <v>61.33</v>
      </c>
      <c r="AY125" s="28">
        <v>61</v>
      </c>
      <c r="AZ125" s="28">
        <v>29</v>
      </c>
      <c r="BA125" s="28">
        <v>27</v>
      </c>
      <c r="BB125" s="28">
        <v>67</v>
      </c>
      <c r="BC125" s="28">
        <v>0</v>
      </c>
      <c r="BD125" s="106">
        <v>1.4348605902494702</v>
      </c>
      <c r="BE125" s="77">
        <v>5</v>
      </c>
      <c r="BF125" s="28">
        <v>2</v>
      </c>
      <c r="BG125" s="28">
        <v>1</v>
      </c>
      <c r="BH125" s="28">
        <v>1</v>
      </c>
      <c r="BI125" s="75">
        <v>123</v>
      </c>
    </row>
    <row r="126" spans="1:61">
      <c r="A126" s="136" t="s">
        <v>1200</v>
      </c>
      <c r="B126" s="115" t="s">
        <v>206</v>
      </c>
      <c r="C126" s="115" t="s">
        <v>1217</v>
      </c>
      <c r="D126" s="89">
        <f>VLOOKUP(Table107[[#This Row],[NAME]],SDP_P[[NAME]:['#]],2,0)</f>
        <v>4.0210627094303497</v>
      </c>
      <c r="E126" s="77">
        <f>VLOOKUP(Table107[[#This Row],[NAME]],SDP_P[[NAME]:['#]],3,0)</f>
        <v>3</v>
      </c>
      <c r="F126" s="28">
        <f>VLOOKUP(Table107[[#This Row],[NAME]],SDP_P[[NAME]:['#]],4,0)</f>
        <v>4</v>
      </c>
      <c r="G126" s="77">
        <f>VLOOKUP(Table107[[#This Row],[NAME]],SDP_P[[NAME]:['#]],5,0)</f>
        <v>10</v>
      </c>
      <c r="H126" s="584">
        <f>VLOOKUP(Table107[[#This Row],[NAME]],SDP_P[[NAME]:['#]],6,0)</f>
        <v>62.67</v>
      </c>
      <c r="I126" s="28">
        <f>VLOOKUP(Table107[[#This Row],[NAME]],SDP_P[[NAME]:['#]],7,0)</f>
        <v>60</v>
      </c>
      <c r="J126" s="28">
        <f>VLOOKUP(Table107[[#This Row],[NAME]],SDP_P[[NAME]:['#]],8,0)</f>
        <v>28</v>
      </c>
      <c r="K126" s="28">
        <f>VLOOKUP(Table107[[#This Row],[NAME]],SDP_P[[NAME]:['#]],9,0)</f>
        <v>17</v>
      </c>
      <c r="L126" s="28">
        <f>VLOOKUP(Table107[[#This Row],[NAME]],SDP_P[[NAME]:['#]],10,0)</f>
        <v>51</v>
      </c>
      <c r="M126" s="28">
        <f>VLOOKUP(Table107[[#This Row],[NAME]],SDP_P[[NAME]:['#]],11,0)</f>
        <v>0</v>
      </c>
      <c r="N126" s="106">
        <f>VLOOKUP(Table107[[#This Row],[NAME]],SDP_P[[NAME]:['#]],12,0)</f>
        <v>1.2286580501037179</v>
      </c>
      <c r="O126" s="77">
        <f>VLOOKUP(Table107[[#This Row],[NAME]],SDP_P[[NAME]:['#]],13,0)</f>
        <v>7</v>
      </c>
      <c r="P126" s="28">
        <f>VLOOKUP(Table107[[#This Row],[NAME]],SDP_P[[NAME]:['#]],14,0)</f>
        <v>2</v>
      </c>
      <c r="Q126" s="28">
        <f>VLOOKUP(Table107[[#This Row],[NAME]],SDP_P[[NAME]:['#]],15,0)</f>
        <v>0</v>
      </c>
      <c r="R126" s="28">
        <f>VLOOKUP(Table107[[#This Row],[NAME]],SDP_P[[NAME]:['#]],16,0)</f>
        <v>0</v>
      </c>
      <c r="S126" s="75">
        <v>124</v>
      </c>
      <c r="V126" s="136" t="s">
        <v>1200</v>
      </c>
      <c r="W126" s="137" t="s">
        <v>206</v>
      </c>
      <c r="X126" s="132" t="s">
        <v>748</v>
      </c>
      <c r="Y126" s="88">
        <v>6.5680113521183863</v>
      </c>
      <c r="Z126" s="77">
        <v>4</v>
      </c>
      <c r="AA126" s="28">
        <v>5</v>
      </c>
      <c r="AB126" s="77">
        <v>10</v>
      </c>
      <c r="AC126" s="584">
        <v>49.33</v>
      </c>
      <c r="AD126" s="28">
        <v>53</v>
      </c>
      <c r="AE126" s="28">
        <v>36</v>
      </c>
      <c r="AF126" s="28">
        <v>22</v>
      </c>
      <c r="AG126" s="28">
        <v>48</v>
      </c>
      <c r="AH126" s="28">
        <v>0</v>
      </c>
      <c r="AI126" s="106">
        <v>1.5203729981755525</v>
      </c>
      <c r="AJ126" s="77">
        <v>3</v>
      </c>
      <c r="AK126" s="28">
        <v>1</v>
      </c>
      <c r="AL126" s="28">
        <v>0</v>
      </c>
      <c r="AM126" s="28">
        <v>0</v>
      </c>
      <c r="AN126" s="75">
        <v>124</v>
      </c>
      <c r="AQ126" s="101" t="s">
        <v>1200</v>
      </c>
      <c r="AR126" s="77" t="s">
        <v>206</v>
      </c>
      <c r="AS126" s="77" t="s">
        <v>976</v>
      </c>
      <c r="AT126" s="135">
        <v>4.6875</v>
      </c>
      <c r="AU126" s="77">
        <v>4</v>
      </c>
      <c r="AV126" s="28">
        <v>0</v>
      </c>
      <c r="AW126" s="77">
        <v>10</v>
      </c>
      <c r="AX126" s="584">
        <v>48</v>
      </c>
      <c r="AY126" s="28">
        <v>52</v>
      </c>
      <c r="AZ126" s="28">
        <v>25</v>
      </c>
      <c r="BA126" s="28">
        <v>22</v>
      </c>
      <c r="BB126" s="28">
        <v>44</v>
      </c>
      <c r="BC126" s="28">
        <v>0</v>
      </c>
      <c r="BD126" s="106">
        <v>1.5416666666666667</v>
      </c>
      <c r="BE126" s="77">
        <v>5</v>
      </c>
      <c r="BF126" s="28">
        <v>1</v>
      </c>
      <c r="BG126" s="28">
        <v>0</v>
      </c>
      <c r="BH126" s="28">
        <v>0</v>
      </c>
      <c r="BI126" s="75">
        <v>124</v>
      </c>
    </row>
    <row r="127" spans="1:61">
      <c r="A127" s="136" t="s">
        <v>1200</v>
      </c>
      <c r="B127" s="115" t="s">
        <v>212</v>
      </c>
      <c r="C127" s="116" t="s">
        <v>748</v>
      </c>
      <c r="D127" s="89">
        <f>VLOOKUP(Table107[[#This Row],[NAME]],SDP_P[[NAME]:['#]],2,0)</f>
        <v>3.177405119152692</v>
      </c>
      <c r="E127" s="77">
        <f>VLOOKUP(Table107[[#This Row],[NAME]],SDP_P[[NAME]:['#]],3,0)</f>
        <v>0</v>
      </c>
      <c r="F127" s="28">
        <f>VLOOKUP(Table107[[#This Row],[NAME]],SDP_P[[NAME]:['#]],4,0)</f>
        <v>0</v>
      </c>
      <c r="G127" s="77">
        <f>VLOOKUP(Table107[[#This Row],[NAME]],SDP_P[[NAME]:['#]],5,0)</f>
        <v>5</v>
      </c>
      <c r="H127" s="584">
        <f>VLOOKUP(Table107[[#This Row],[NAME]],SDP_P[[NAME]:['#]],6,0)</f>
        <v>11.33</v>
      </c>
      <c r="I127" s="28">
        <f>VLOOKUP(Table107[[#This Row],[NAME]],SDP_P[[NAME]:['#]],7,0)</f>
        <v>10</v>
      </c>
      <c r="J127" s="28">
        <f>VLOOKUP(Table107[[#This Row],[NAME]],SDP_P[[NAME]:['#]],8,0)</f>
        <v>4</v>
      </c>
      <c r="K127" s="28">
        <f>VLOOKUP(Table107[[#This Row],[NAME]],SDP_P[[NAME]:['#]],9,0)</f>
        <v>2</v>
      </c>
      <c r="L127" s="28">
        <f>VLOOKUP(Table107[[#This Row],[NAME]],SDP_P[[NAME]:['#]],10,0)</f>
        <v>7</v>
      </c>
      <c r="M127" s="28">
        <f>VLOOKUP(Table107[[#This Row],[NAME]],SDP_P[[NAME]:['#]],11,0)</f>
        <v>0</v>
      </c>
      <c r="N127" s="106">
        <f>VLOOKUP(Table107[[#This Row],[NAME]],SDP_P[[NAME]:['#]],12,0)</f>
        <v>1.0591350397175641</v>
      </c>
      <c r="O127" s="77">
        <f>VLOOKUP(Table107[[#This Row],[NAME]],SDP_P[[NAME]:['#]],13,0)</f>
        <v>0</v>
      </c>
      <c r="P127" s="28">
        <f>VLOOKUP(Table107[[#This Row],[NAME]],SDP_P[[NAME]:['#]],14,0)</f>
        <v>0</v>
      </c>
      <c r="Q127" s="28">
        <f>VLOOKUP(Table107[[#This Row],[NAME]],SDP_P[[NAME]:['#]],15,0)</f>
        <v>0</v>
      </c>
      <c r="R127" s="28">
        <f>VLOOKUP(Table107[[#This Row],[NAME]],SDP_P[[NAME]:['#]],16,0)</f>
        <v>0</v>
      </c>
      <c r="S127" s="75">
        <v>125</v>
      </c>
      <c r="V127" s="136" t="s">
        <v>1200</v>
      </c>
      <c r="W127" s="137" t="s">
        <v>212</v>
      </c>
      <c r="X127" s="132" t="s">
        <v>976</v>
      </c>
      <c r="Y127" s="88">
        <v>5.1903114186851216</v>
      </c>
      <c r="Z127" s="77">
        <v>0</v>
      </c>
      <c r="AA127" s="28">
        <v>0</v>
      </c>
      <c r="AB127" s="77">
        <v>4</v>
      </c>
      <c r="AC127" s="584">
        <v>8.67</v>
      </c>
      <c r="AD127" s="28">
        <v>13</v>
      </c>
      <c r="AE127" s="28">
        <v>5</v>
      </c>
      <c r="AF127" s="28">
        <v>3</v>
      </c>
      <c r="AG127" s="28">
        <v>8</v>
      </c>
      <c r="AH127" s="28">
        <v>0</v>
      </c>
      <c r="AI127" s="106">
        <v>1.8454440599769319</v>
      </c>
      <c r="AJ127" s="77">
        <v>0</v>
      </c>
      <c r="AK127" s="28">
        <v>0</v>
      </c>
      <c r="AL127" s="28">
        <v>0</v>
      </c>
      <c r="AM127" s="28">
        <v>0</v>
      </c>
      <c r="AN127" s="75">
        <v>125</v>
      </c>
      <c r="AQ127" s="101" t="s">
        <v>1200</v>
      </c>
      <c r="AR127" s="77" t="s">
        <v>212</v>
      </c>
      <c r="AS127" s="77" t="s">
        <v>1218</v>
      </c>
      <c r="AT127" s="135">
        <v>4.666666666666667</v>
      </c>
      <c r="AU127" s="77">
        <v>1</v>
      </c>
      <c r="AV127" s="28">
        <v>1</v>
      </c>
      <c r="AW127" s="77">
        <v>15</v>
      </c>
      <c r="AX127" s="584">
        <v>27</v>
      </c>
      <c r="AY127" s="28">
        <v>29</v>
      </c>
      <c r="AZ127" s="28">
        <v>14</v>
      </c>
      <c r="BA127" s="28">
        <v>15</v>
      </c>
      <c r="BB127" s="28">
        <v>30</v>
      </c>
      <c r="BC127" s="28">
        <v>0</v>
      </c>
      <c r="BD127" s="106">
        <v>1.6296296296296295</v>
      </c>
      <c r="BE127" s="77">
        <v>1</v>
      </c>
      <c r="BF127" s="28">
        <v>0</v>
      </c>
      <c r="BG127" s="28">
        <v>0</v>
      </c>
      <c r="BH127" s="28">
        <v>0</v>
      </c>
      <c r="BI127" s="75">
        <v>125</v>
      </c>
    </row>
    <row r="128" spans="1:61">
      <c r="A128" s="136" t="s">
        <v>1200</v>
      </c>
      <c r="B128" s="115" t="s">
        <v>212</v>
      </c>
      <c r="C128" s="116" t="s">
        <v>1219</v>
      </c>
      <c r="D128" s="89">
        <f>VLOOKUP(Table107[[#This Row],[NAME]],SDP_P[[NAME]:['#]],2,0)</f>
        <v>4.8</v>
      </c>
      <c r="E128" s="77">
        <f>VLOOKUP(Table107[[#This Row],[NAME]],SDP_P[[NAME]:['#]],3,0)</f>
        <v>1</v>
      </c>
      <c r="F128" s="28">
        <f>VLOOKUP(Table107[[#This Row],[NAME]],SDP_P[[NAME]:['#]],4,0)</f>
        <v>0</v>
      </c>
      <c r="G128" s="77">
        <f>VLOOKUP(Table107[[#This Row],[NAME]],SDP_P[[NAME]:['#]],5,0)</f>
        <v>8</v>
      </c>
      <c r="H128" s="584">
        <f>VLOOKUP(Table107[[#This Row],[NAME]],SDP_P[[NAME]:['#]],6,0)</f>
        <v>15</v>
      </c>
      <c r="I128" s="28">
        <f>VLOOKUP(Table107[[#This Row],[NAME]],SDP_P[[NAME]:['#]],7,0)</f>
        <v>12</v>
      </c>
      <c r="J128" s="28">
        <f>VLOOKUP(Table107[[#This Row],[NAME]],SDP_P[[NAME]:['#]],8,0)</f>
        <v>8</v>
      </c>
      <c r="K128" s="28">
        <f>VLOOKUP(Table107[[#This Row],[NAME]],SDP_P[[NAME]:['#]],9,0)</f>
        <v>11</v>
      </c>
      <c r="L128" s="28">
        <f>VLOOKUP(Table107[[#This Row],[NAME]],SDP_P[[NAME]:['#]],10,0)</f>
        <v>14</v>
      </c>
      <c r="M128" s="28">
        <f>VLOOKUP(Table107[[#This Row],[NAME]],SDP_P[[NAME]:['#]],11,0)</f>
        <v>0</v>
      </c>
      <c r="N128" s="106">
        <f>VLOOKUP(Table107[[#This Row],[NAME]],SDP_P[[NAME]:['#]],12,0)</f>
        <v>1.5333333333333334</v>
      </c>
      <c r="O128" s="77">
        <f>VLOOKUP(Table107[[#This Row],[NAME]],SDP_P[[NAME]:['#]],13,0)</f>
        <v>0</v>
      </c>
      <c r="P128" s="28">
        <f>VLOOKUP(Table107[[#This Row],[NAME]],SDP_P[[NAME]:['#]],14,0)</f>
        <v>0</v>
      </c>
      <c r="Q128" s="28">
        <f>VLOOKUP(Table107[[#This Row],[NAME]],SDP_P[[NAME]:['#]],15,0)</f>
        <v>0</v>
      </c>
      <c r="R128" s="28">
        <f>VLOOKUP(Table107[[#This Row],[NAME]],SDP_P[[NAME]:['#]],16,0)</f>
        <v>0</v>
      </c>
      <c r="S128" s="75">
        <v>126</v>
      </c>
      <c r="V128" s="136" t="s">
        <v>1200</v>
      </c>
      <c r="W128" s="137" t="s">
        <v>215</v>
      </c>
      <c r="X128" s="132" t="s">
        <v>1219</v>
      </c>
      <c r="Y128" s="88">
        <v>3.375</v>
      </c>
      <c r="Z128" s="77">
        <v>0</v>
      </c>
      <c r="AA128" s="28">
        <v>0</v>
      </c>
      <c r="AB128" s="77">
        <v>12</v>
      </c>
      <c r="AC128" s="584">
        <v>24</v>
      </c>
      <c r="AD128" s="28">
        <v>21</v>
      </c>
      <c r="AE128" s="28">
        <v>9</v>
      </c>
      <c r="AF128" s="28">
        <v>16</v>
      </c>
      <c r="AG128" s="28">
        <v>20</v>
      </c>
      <c r="AH128" s="28">
        <v>0</v>
      </c>
      <c r="AI128" s="106">
        <v>1.5416666666666667</v>
      </c>
      <c r="AJ128" s="77">
        <v>0</v>
      </c>
      <c r="AK128" s="28">
        <v>0</v>
      </c>
      <c r="AL128" s="28">
        <v>0</v>
      </c>
      <c r="AM128" s="28">
        <v>0</v>
      </c>
      <c r="AN128" s="75">
        <v>126</v>
      </c>
      <c r="AQ128" s="101" t="s">
        <v>1200</v>
      </c>
      <c r="AR128" s="77" t="s">
        <v>215</v>
      </c>
      <c r="AS128" s="77" t="s">
        <v>1220</v>
      </c>
      <c r="AT128" s="135">
        <v>16.885553470919323</v>
      </c>
      <c r="AU128" s="77">
        <v>1</v>
      </c>
      <c r="AV128" s="28">
        <v>1</v>
      </c>
      <c r="AW128" s="77">
        <v>5</v>
      </c>
      <c r="AX128" s="584">
        <v>5.33</v>
      </c>
      <c r="AY128" s="28">
        <v>12</v>
      </c>
      <c r="AZ128" s="28">
        <v>10</v>
      </c>
      <c r="BA128" s="28">
        <v>5</v>
      </c>
      <c r="BB128" s="28">
        <v>2</v>
      </c>
      <c r="BC128" s="28">
        <v>0</v>
      </c>
      <c r="BD128" s="106">
        <v>3.1894934333958722</v>
      </c>
      <c r="BE128" s="77">
        <v>0</v>
      </c>
      <c r="BF128" s="28">
        <v>0</v>
      </c>
      <c r="BG128" s="28">
        <v>0</v>
      </c>
      <c r="BH128" s="28">
        <v>0</v>
      </c>
      <c r="BI128" s="75">
        <v>126</v>
      </c>
    </row>
    <row r="129" spans="1:61">
      <c r="A129" s="136" t="s">
        <v>1200</v>
      </c>
      <c r="B129" s="115" t="s">
        <v>212</v>
      </c>
      <c r="C129" s="116" t="s">
        <v>1221</v>
      </c>
      <c r="D129" s="89">
        <f>VLOOKUP(Table107[[#This Row],[NAME]],SDP_P[[NAME]:['#]],2,0)</f>
        <v>4.5</v>
      </c>
      <c r="E129" s="77">
        <f>VLOOKUP(Table107[[#This Row],[NAME]],SDP_P[[NAME]:['#]],3,0)</f>
        <v>0</v>
      </c>
      <c r="F129" s="28">
        <f>VLOOKUP(Table107[[#This Row],[NAME]],SDP_P[[NAME]:['#]],4,0)</f>
        <v>0</v>
      </c>
      <c r="G129" s="77">
        <f>VLOOKUP(Table107[[#This Row],[NAME]],SDP_P[[NAME]:['#]],5,0)</f>
        <v>5</v>
      </c>
      <c r="H129" s="584">
        <f>VLOOKUP(Table107[[#This Row],[NAME]],SDP_P[[NAME]:['#]],6,0)</f>
        <v>6</v>
      </c>
      <c r="I129" s="28">
        <f>VLOOKUP(Table107[[#This Row],[NAME]],SDP_P[[NAME]:['#]],7,0)</f>
        <v>9</v>
      </c>
      <c r="J129" s="28">
        <f>VLOOKUP(Table107[[#This Row],[NAME]],SDP_P[[NAME]:['#]],8,0)</f>
        <v>3</v>
      </c>
      <c r="K129" s="28">
        <f>VLOOKUP(Table107[[#This Row],[NAME]],SDP_P[[NAME]:['#]],9,0)</f>
        <v>1</v>
      </c>
      <c r="L129" s="28">
        <f>VLOOKUP(Table107[[#This Row],[NAME]],SDP_P[[NAME]:['#]],10,0)</f>
        <v>5</v>
      </c>
      <c r="M129" s="28">
        <f>VLOOKUP(Table107[[#This Row],[NAME]],SDP_P[[NAME]:['#]],11,0)</f>
        <v>0</v>
      </c>
      <c r="N129" s="106">
        <f>VLOOKUP(Table107[[#This Row],[NAME]],SDP_P[[NAME]:['#]],12,0)</f>
        <v>1.6666666666666667</v>
      </c>
      <c r="O129" s="77">
        <f>VLOOKUP(Table107[[#This Row],[NAME]],SDP_P[[NAME]:['#]],13,0)</f>
        <v>0</v>
      </c>
      <c r="P129" s="28">
        <f>VLOOKUP(Table107[[#This Row],[NAME]],SDP_P[[NAME]:['#]],14,0)</f>
        <v>0</v>
      </c>
      <c r="Q129" s="28">
        <f>VLOOKUP(Table107[[#This Row],[NAME]],SDP_P[[NAME]:['#]],15,0)</f>
        <v>0</v>
      </c>
      <c r="R129" s="28">
        <f>VLOOKUP(Table107[[#This Row],[NAME]],SDP_P[[NAME]:['#]],16,0)</f>
        <v>0</v>
      </c>
      <c r="S129" s="75">
        <v>127</v>
      </c>
      <c r="V129" s="136" t="s">
        <v>1200</v>
      </c>
      <c r="W129" s="137" t="s">
        <v>212</v>
      </c>
      <c r="X129" s="132" t="s">
        <v>1221</v>
      </c>
      <c r="Y129" s="88">
        <v>7.3125</v>
      </c>
      <c r="Z129" s="77">
        <v>0</v>
      </c>
      <c r="AA129" s="28">
        <v>1</v>
      </c>
      <c r="AB129" s="77">
        <v>12</v>
      </c>
      <c r="AC129" s="584">
        <v>16</v>
      </c>
      <c r="AD129" s="28">
        <v>20</v>
      </c>
      <c r="AE129" s="28">
        <v>13</v>
      </c>
      <c r="AF129" s="28">
        <v>5</v>
      </c>
      <c r="AG129" s="28">
        <v>11</v>
      </c>
      <c r="AH129" s="28">
        <v>0</v>
      </c>
      <c r="AI129" s="106">
        <v>1.5625</v>
      </c>
      <c r="AJ129" s="77">
        <v>0</v>
      </c>
      <c r="AK129" s="28">
        <v>0</v>
      </c>
      <c r="AL129" s="28">
        <v>0</v>
      </c>
      <c r="AM129" s="28">
        <v>0</v>
      </c>
      <c r="AN129" s="75">
        <v>127</v>
      </c>
      <c r="AQ129" s="101" t="s">
        <v>1200</v>
      </c>
      <c r="AR129" s="77" t="s">
        <v>212</v>
      </c>
      <c r="AS129" s="77" t="s">
        <v>1221</v>
      </c>
      <c r="AT129" s="135">
        <v>0</v>
      </c>
      <c r="AU129" s="77">
        <v>0</v>
      </c>
      <c r="AV129" s="28">
        <v>0</v>
      </c>
      <c r="AW129" s="77">
        <v>3</v>
      </c>
      <c r="AX129" s="584">
        <v>3.33</v>
      </c>
      <c r="AY129" s="28">
        <v>2</v>
      </c>
      <c r="AZ129" s="28">
        <v>0</v>
      </c>
      <c r="BA129" s="28">
        <v>0</v>
      </c>
      <c r="BB129" s="28">
        <v>3</v>
      </c>
      <c r="BC129" s="28">
        <v>0</v>
      </c>
      <c r="BD129" s="106">
        <v>0.60060060060060061</v>
      </c>
      <c r="BE129" s="77">
        <v>0</v>
      </c>
      <c r="BF129" s="28">
        <v>0</v>
      </c>
      <c r="BG129" s="28">
        <v>0</v>
      </c>
      <c r="BH129" s="28">
        <v>0</v>
      </c>
      <c r="BI129" s="75">
        <v>127</v>
      </c>
    </row>
    <row r="130" spans="1:61">
      <c r="A130" s="136" t="s">
        <v>1200</v>
      </c>
      <c r="B130" s="115" t="s">
        <v>215</v>
      </c>
      <c r="C130" s="116" t="s">
        <v>1222</v>
      </c>
      <c r="D130" s="89">
        <f>VLOOKUP(Table107[[#This Row],[NAME]],SDP_P[[NAME]:['#]],2,0)</f>
        <v>3.483309143686502</v>
      </c>
      <c r="E130" s="77">
        <f>VLOOKUP(Table107[[#This Row],[NAME]],SDP_P[[NAME]:['#]],3,0)</f>
        <v>2</v>
      </c>
      <c r="F130" s="28">
        <f>VLOOKUP(Table107[[#This Row],[NAME]],SDP_P[[NAME]:['#]],4,0)</f>
        <v>2</v>
      </c>
      <c r="G130" s="77">
        <f>VLOOKUP(Table107[[#This Row],[NAME]],SDP_P[[NAME]:['#]],5,0)</f>
        <v>17</v>
      </c>
      <c r="H130" s="584">
        <f>VLOOKUP(Table107[[#This Row],[NAME]],SDP_P[[NAME]:['#]],6,0)</f>
        <v>20.67</v>
      </c>
      <c r="I130" s="28">
        <f>VLOOKUP(Table107[[#This Row],[NAME]],SDP_P[[NAME]:['#]],7,0)</f>
        <v>16</v>
      </c>
      <c r="J130" s="28">
        <f>VLOOKUP(Table107[[#This Row],[NAME]],SDP_P[[NAME]:['#]],8,0)</f>
        <v>8</v>
      </c>
      <c r="K130" s="28">
        <f>VLOOKUP(Table107[[#This Row],[NAME]],SDP_P[[NAME]:['#]],9,0)</f>
        <v>12</v>
      </c>
      <c r="L130" s="28">
        <f>VLOOKUP(Table107[[#This Row],[NAME]],SDP_P[[NAME]:['#]],10,0)</f>
        <v>24</v>
      </c>
      <c r="M130" s="28">
        <f>VLOOKUP(Table107[[#This Row],[NAME]],SDP_P[[NAME]:['#]],11,0)</f>
        <v>0</v>
      </c>
      <c r="N130" s="106">
        <f>VLOOKUP(Table107[[#This Row],[NAME]],SDP_P[[NAME]:['#]],12,0)</f>
        <v>1.3546202225447508</v>
      </c>
      <c r="O130" s="77">
        <f>VLOOKUP(Table107[[#This Row],[NAME]],SDP_P[[NAME]:['#]],13,0)</f>
        <v>0</v>
      </c>
      <c r="P130" s="28">
        <f>VLOOKUP(Table107[[#This Row],[NAME]],SDP_P[[NAME]:['#]],14,0)</f>
        <v>0</v>
      </c>
      <c r="Q130" s="28">
        <f>VLOOKUP(Table107[[#This Row],[NAME]],SDP_P[[NAME]:['#]],15,0)</f>
        <v>0</v>
      </c>
      <c r="R130" s="28">
        <f>VLOOKUP(Table107[[#This Row],[NAME]],SDP_P[[NAME]:['#]],16,0)</f>
        <v>0</v>
      </c>
      <c r="S130" s="75">
        <v>128</v>
      </c>
      <c r="V130" s="136" t="s">
        <v>1200</v>
      </c>
      <c r="W130" s="137" t="s">
        <v>212</v>
      </c>
      <c r="X130" s="132" t="s">
        <v>1223</v>
      </c>
      <c r="Y130" s="88">
        <v>2.1608643457382954</v>
      </c>
      <c r="Z130" s="77">
        <v>0</v>
      </c>
      <c r="AA130" s="28">
        <v>1</v>
      </c>
      <c r="AB130" s="77">
        <v>6</v>
      </c>
      <c r="AC130" s="584">
        <v>8.33</v>
      </c>
      <c r="AD130" s="28">
        <v>5</v>
      </c>
      <c r="AE130" s="28">
        <v>2</v>
      </c>
      <c r="AF130" s="28">
        <v>1</v>
      </c>
      <c r="AG130" s="28">
        <v>8</v>
      </c>
      <c r="AH130" s="28">
        <v>0</v>
      </c>
      <c r="AI130" s="106">
        <v>0.72028811524609848</v>
      </c>
      <c r="AJ130" s="77">
        <v>0</v>
      </c>
      <c r="AK130" s="28">
        <v>0</v>
      </c>
      <c r="AL130" s="28">
        <v>0</v>
      </c>
      <c r="AM130" s="28">
        <v>0</v>
      </c>
      <c r="AN130" s="75">
        <v>128</v>
      </c>
      <c r="AQ130" s="101" t="s">
        <v>1200</v>
      </c>
      <c r="AR130" s="77" t="s">
        <v>212</v>
      </c>
      <c r="AS130" s="77" t="s">
        <v>1223</v>
      </c>
      <c r="AT130" s="135">
        <v>1.3498312710911136</v>
      </c>
      <c r="AU130" s="77">
        <v>1</v>
      </c>
      <c r="AV130" s="28">
        <v>0</v>
      </c>
      <c r="AW130" s="77">
        <v>16</v>
      </c>
      <c r="AX130" s="584">
        <v>26.67</v>
      </c>
      <c r="AY130" s="28">
        <v>16</v>
      </c>
      <c r="AZ130" s="28">
        <v>4</v>
      </c>
      <c r="BA130" s="28">
        <v>4</v>
      </c>
      <c r="BB130" s="28">
        <v>24</v>
      </c>
      <c r="BC130" s="28">
        <v>0</v>
      </c>
      <c r="BD130" s="583">
        <v>0.74990626171728525</v>
      </c>
      <c r="BE130" s="77">
        <v>0</v>
      </c>
      <c r="BF130" s="28">
        <v>0</v>
      </c>
      <c r="BG130" s="28">
        <v>0</v>
      </c>
      <c r="BH130" s="28">
        <v>0</v>
      </c>
      <c r="BI130" s="75">
        <v>128</v>
      </c>
    </row>
    <row r="131" spans="1:61">
      <c r="A131" s="136" t="s">
        <v>1200</v>
      </c>
      <c r="B131" s="115" t="s">
        <v>212</v>
      </c>
      <c r="C131" s="116" t="s">
        <v>1224</v>
      </c>
      <c r="D131" s="89">
        <f>VLOOKUP(Table107[[#This Row],[NAME]],SDP_P[[NAME]:['#]],2,0)</f>
        <v>5.6027164685908311</v>
      </c>
      <c r="E131" s="77">
        <f>VLOOKUP(Table107[[#This Row],[NAME]],SDP_P[[NAME]:['#]],3,0)</f>
        <v>1</v>
      </c>
      <c r="F131" s="28">
        <f>VLOOKUP(Table107[[#This Row],[NAME]],SDP_P[[NAME]:['#]],4,0)</f>
        <v>1</v>
      </c>
      <c r="G131" s="77">
        <f>VLOOKUP(Table107[[#This Row],[NAME]],SDP_P[[NAME]:['#]],5,0)</f>
        <v>17</v>
      </c>
      <c r="H131" s="584">
        <f>VLOOKUP(Table107[[#This Row],[NAME]],SDP_P[[NAME]:['#]],6,0)</f>
        <v>17.670000000000002</v>
      </c>
      <c r="I131" s="28">
        <f>VLOOKUP(Table107[[#This Row],[NAME]],SDP_P[[NAME]:['#]],7,0)</f>
        <v>20</v>
      </c>
      <c r="J131" s="28">
        <f>VLOOKUP(Table107[[#This Row],[NAME]],SDP_P[[NAME]:['#]],8,0)</f>
        <v>11</v>
      </c>
      <c r="K131" s="28">
        <f>VLOOKUP(Table107[[#This Row],[NAME]],SDP_P[[NAME]:['#]],9,0)</f>
        <v>3</v>
      </c>
      <c r="L131" s="28">
        <f>VLOOKUP(Table107[[#This Row],[NAME]],SDP_P[[NAME]:['#]],10,0)</f>
        <v>28</v>
      </c>
      <c r="M131" s="28">
        <f>VLOOKUP(Table107[[#This Row],[NAME]],SDP_P[[NAME]:['#]],11,0)</f>
        <v>1</v>
      </c>
      <c r="N131" s="106">
        <f>VLOOKUP(Table107[[#This Row],[NAME]],SDP_P[[NAME]:['#]],12,0)</f>
        <v>1.3016411997736275</v>
      </c>
      <c r="O131" s="77">
        <f>VLOOKUP(Table107[[#This Row],[NAME]],SDP_P[[NAME]:['#]],13,0)</f>
        <v>0</v>
      </c>
      <c r="P131" s="28">
        <f>VLOOKUP(Table107[[#This Row],[NAME]],SDP_P[[NAME]:['#]],14,0)</f>
        <v>0</v>
      </c>
      <c r="Q131" s="28">
        <f>VLOOKUP(Table107[[#This Row],[NAME]],SDP_P[[NAME]:['#]],15,0)</f>
        <v>0</v>
      </c>
      <c r="R131" s="28">
        <f>VLOOKUP(Table107[[#This Row],[NAME]],SDP_P[[NAME]:['#]],16,0)</f>
        <v>0</v>
      </c>
      <c r="S131" s="75">
        <v>129</v>
      </c>
      <c r="V131" s="136" t="s">
        <v>1200</v>
      </c>
      <c r="W131" s="137" t="s">
        <v>212</v>
      </c>
      <c r="X131" s="132" t="s">
        <v>1224</v>
      </c>
      <c r="Y131" s="88">
        <v>3.4220532319391634</v>
      </c>
      <c r="Z131" s="77">
        <v>3</v>
      </c>
      <c r="AA131" s="28">
        <v>1</v>
      </c>
      <c r="AB131" s="77">
        <v>20</v>
      </c>
      <c r="AC131" s="584">
        <v>23.67</v>
      </c>
      <c r="AD131" s="28">
        <v>21</v>
      </c>
      <c r="AE131" s="28">
        <v>9</v>
      </c>
      <c r="AF131" s="28">
        <v>10</v>
      </c>
      <c r="AG131" s="28">
        <v>28</v>
      </c>
      <c r="AH131" s="28">
        <v>2</v>
      </c>
      <c r="AI131" s="106">
        <v>1.3096746937051118</v>
      </c>
      <c r="AJ131" s="77">
        <v>0</v>
      </c>
      <c r="AK131" s="28">
        <v>0</v>
      </c>
      <c r="AL131" s="28">
        <v>0</v>
      </c>
      <c r="AM131" s="28">
        <v>0</v>
      </c>
      <c r="AN131" s="75">
        <v>129</v>
      </c>
      <c r="AQ131" s="101" t="s">
        <v>1200</v>
      </c>
      <c r="AR131" s="77" t="s">
        <v>212</v>
      </c>
      <c r="AS131" s="77" t="s">
        <v>1225</v>
      </c>
      <c r="AT131" s="135">
        <v>6.7510548523206753</v>
      </c>
      <c r="AU131" s="77">
        <v>1</v>
      </c>
      <c r="AV131" s="28">
        <v>3</v>
      </c>
      <c r="AW131" s="77">
        <v>20</v>
      </c>
      <c r="AX131" s="584">
        <v>21.33</v>
      </c>
      <c r="AY131" s="28">
        <v>20</v>
      </c>
      <c r="AZ131" s="28">
        <v>16</v>
      </c>
      <c r="BA131" s="28">
        <v>14</v>
      </c>
      <c r="BB131" s="28">
        <v>22</v>
      </c>
      <c r="BC131" s="28">
        <v>0</v>
      </c>
      <c r="BD131" s="106">
        <v>1.5939990623534928</v>
      </c>
      <c r="BE131" s="77">
        <v>0</v>
      </c>
      <c r="BF131" s="28">
        <v>0</v>
      </c>
      <c r="BG131" s="28">
        <v>0</v>
      </c>
      <c r="BH131" s="28">
        <v>0</v>
      </c>
      <c r="BI131" s="75">
        <v>129</v>
      </c>
    </row>
    <row r="132" spans="1:61">
      <c r="A132" s="136" t="s">
        <v>1200</v>
      </c>
      <c r="B132" s="115" t="s">
        <v>212</v>
      </c>
      <c r="C132" s="116" t="s">
        <v>1225</v>
      </c>
      <c r="D132" s="89">
        <f>VLOOKUP(Table107[[#This Row],[NAME]],SDP_P[[NAME]:['#]],2,0)</f>
        <v>4.8461538461538458</v>
      </c>
      <c r="E132" s="77">
        <f>VLOOKUP(Table107[[#This Row],[NAME]],SDP_P[[NAME]:['#]],3,0)</f>
        <v>1</v>
      </c>
      <c r="F132" s="28">
        <f>VLOOKUP(Table107[[#This Row],[NAME]],SDP_P[[NAME]:['#]],4,0)</f>
        <v>1</v>
      </c>
      <c r="G132" s="77">
        <f>VLOOKUP(Table107[[#This Row],[NAME]],SDP_P[[NAME]:['#]],5,0)</f>
        <v>23</v>
      </c>
      <c r="H132" s="584">
        <f>VLOOKUP(Table107[[#This Row],[NAME]],SDP_P[[NAME]:['#]],6,0)</f>
        <v>26</v>
      </c>
      <c r="I132" s="28">
        <f>VLOOKUP(Table107[[#This Row],[NAME]],SDP_P[[NAME]:['#]],7,0)</f>
        <v>25</v>
      </c>
      <c r="J132" s="28">
        <f>VLOOKUP(Table107[[#This Row],[NAME]],SDP_P[[NAME]:['#]],8,0)</f>
        <v>14</v>
      </c>
      <c r="K132" s="28">
        <f>VLOOKUP(Table107[[#This Row],[NAME]],SDP_P[[NAME]:['#]],9,0)</f>
        <v>17</v>
      </c>
      <c r="L132" s="28">
        <f>VLOOKUP(Table107[[#This Row],[NAME]],SDP_P[[NAME]:['#]],10,0)</f>
        <v>43</v>
      </c>
      <c r="M132" s="28">
        <f>VLOOKUP(Table107[[#This Row],[NAME]],SDP_P[[NAME]:['#]],11,0)</f>
        <v>9</v>
      </c>
      <c r="N132" s="106">
        <f>VLOOKUP(Table107[[#This Row],[NAME]],SDP_P[[NAME]:['#]],12,0)</f>
        <v>1.6153846153846154</v>
      </c>
      <c r="O132" s="77">
        <f>VLOOKUP(Table107[[#This Row],[NAME]],SDP_P[[NAME]:['#]],13,0)</f>
        <v>0</v>
      </c>
      <c r="P132" s="28">
        <f>VLOOKUP(Table107[[#This Row],[NAME]],SDP_P[[NAME]:['#]],14,0)</f>
        <v>0</v>
      </c>
      <c r="Q132" s="28">
        <f>VLOOKUP(Table107[[#This Row],[NAME]],SDP_P[[NAME]:['#]],15,0)</f>
        <v>0</v>
      </c>
      <c r="R132" s="28">
        <f>VLOOKUP(Table107[[#This Row],[NAME]],SDP_P[[NAME]:['#]],16,0)</f>
        <v>0</v>
      </c>
      <c r="S132" s="75">
        <v>130</v>
      </c>
      <c r="V132" s="136" t="s">
        <v>1200</v>
      </c>
      <c r="W132" s="137" t="s">
        <v>212</v>
      </c>
      <c r="X132" s="132" t="s">
        <v>1225</v>
      </c>
      <c r="Y132" s="88">
        <v>1.1612903225806452</v>
      </c>
      <c r="Z132" s="77">
        <v>2</v>
      </c>
      <c r="AA132" s="28">
        <v>0</v>
      </c>
      <c r="AB132" s="77">
        <v>24</v>
      </c>
      <c r="AC132" s="584">
        <v>31</v>
      </c>
      <c r="AD132" s="28">
        <v>16</v>
      </c>
      <c r="AE132" s="28">
        <v>4</v>
      </c>
      <c r="AF132" s="28">
        <v>9</v>
      </c>
      <c r="AG132" s="28">
        <v>42</v>
      </c>
      <c r="AH132" s="28">
        <v>7</v>
      </c>
      <c r="AI132" s="106">
        <v>0.80645161290322576</v>
      </c>
      <c r="AJ132" s="77">
        <v>0</v>
      </c>
      <c r="AK132" s="28">
        <v>0</v>
      </c>
      <c r="AL132" s="28">
        <v>0</v>
      </c>
      <c r="AM132" s="28">
        <v>0</v>
      </c>
      <c r="AN132" s="75">
        <v>130</v>
      </c>
      <c r="AQ132" s="101" t="s">
        <v>1200</v>
      </c>
      <c r="AR132" s="77" t="s">
        <v>212</v>
      </c>
      <c r="AS132" s="77" t="s">
        <v>1224</v>
      </c>
      <c r="AT132" s="135">
        <v>3.4137931034482758</v>
      </c>
      <c r="AU132" s="77">
        <v>2</v>
      </c>
      <c r="AV132" s="28">
        <v>1</v>
      </c>
      <c r="AW132" s="352">
        <v>28</v>
      </c>
      <c r="AX132" s="584">
        <v>29</v>
      </c>
      <c r="AY132" s="28">
        <v>29</v>
      </c>
      <c r="AZ132" s="28">
        <v>11</v>
      </c>
      <c r="BA132" s="28">
        <v>10</v>
      </c>
      <c r="BB132" s="28">
        <v>42</v>
      </c>
      <c r="BC132" s="76">
        <v>13</v>
      </c>
      <c r="BD132" s="106">
        <v>1.3448275862068966</v>
      </c>
      <c r="BE132" s="77">
        <v>0</v>
      </c>
      <c r="BF132" s="28">
        <v>0</v>
      </c>
      <c r="BG132" s="28">
        <v>0</v>
      </c>
      <c r="BH132" s="28">
        <v>0</v>
      </c>
      <c r="BI132" s="75">
        <v>130</v>
      </c>
    </row>
    <row r="133" spans="1:61">
      <c r="A133" s="101" t="s">
        <v>1229</v>
      </c>
      <c r="B133" s="71" t="s">
        <v>206</v>
      </c>
      <c r="C133" s="71" t="s">
        <v>1251</v>
      </c>
      <c r="D133" s="89">
        <f>VLOOKUP(Table107[[#This Row],[NAME]],COL_P[[NAME]:['#]],2,0)</f>
        <v>6.387096774193548</v>
      </c>
      <c r="E133" s="77">
        <f>VLOOKUP(Table107[[#This Row],[NAME]],COL_P[[NAME]:['#]],3,0)</f>
        <v>2</v>
      </c>
      <c r="F133" s="28">
        <f>VLOOKUP(Table107[[#This Row],[NAME]],COL_P[[NAME]:['#]],4,0)</f>
        <v>7</v>
      </c>
      <c r="G133" s="77">
        <f>VLOOKUP(Table107[[#This Row],[NAME]],COL_P[[NAME]:['#]],5,0)</f>
        <v>10</v>
      </c>
      <c r="H133" s="584">
        <f>VLOOKUP(Table107[[#This Row],[NAME]],COL_P[[NAME]:['#]],6,0)</f>
        <v>62</v>
      </c>
      <c r="I133" s="28">
        <f>VLOOKUP(Table107[[#This Row],[NAME]],COL_P[[NAME]:['#]],7,0)</f>
        <v>80</v>
      </c>
      <c r="J133" s="28">
        <f>VLOOKUP(Table107[[#This Row],[NAME]],COL_P[[NAME]:['#]],8,0)</f>
        <v>44</v>
      </c>
      <c r="K133" s="28">
        <f>VLOOKUP(Table107[[#This Row],[NAME]],COL_P[[NAME]:['#]],9,0)</f>
        <v>20</v>
      </c>
      <c r="L133" s="28">
        <f>VLOOKUP(Table107[[#This Row],[NAME]],COL_P[[NAME]:['#]],10,0)</f>
        <v>69</v>
      </c>
      <c r="M133" s="588">
        <f>VLOOKUP(Table107[[#This Row],[NAME]],COL_P[[NAME]:['#]],11,0)</f>
        <v>0</v>
      </c>
      <c r="N133" s="106">
        <f>VLOOKUP(Table107[[#This Row],[NAME]],COL_P[[NAME]:['#]],12,0)</f>
        <v>1.6129032258064515</v>
      </c>
      <c r="O133" s="77">
        <f>VLOOKUP(Table107[[#This Row],[NAME]],COL_P[[NAME]:['#]],13,0)</f>
        <v>3</v>
      </c>
      <c r="P133" s="28">
        <f>VLOOKUP(Table107[[#This Row],[NAME]],COL_P[[NAME]:['#]],14,0)</f>
        <v>2</v>
      </c>
      <c r="Q133" s="28">
        <f>VLOOKUP(Table107[[#This Row],[NAME]],COL_P[[NAME]:['#]],15,0)</f>
        <v>1</v>
      </c>
      <c r="R133" s="28">
        <f>VLOOKUP(Table107[[#This Row],[NAME]],COL_P[[NAME]:['#]],16,0)</f>
        <v>0</v>
      </c>
      <c r="S133" s="75">
        <v>131</v>
      </c>
      <c r="V133" s="101" t="s">
        <v>1229</v>
      </c>
      <c r="W133" s="77" t="s">
        <v>206</v>
      </c>
      <c r="X133" s="77" t="s">
        <v>1251</v>
      </c>
      <c r="Y133" s="88">
        <v>5.0625</v>
      </c>
      <c r="Z133" s="77">
        <v>2</v>
      </c>
      <c r="AA133" s="28">
        <v>3</v>
      </c>
      <c r="AB133" s="77">
        <v>10</v>
      </c>
      <c r="AC133" s="584">
        <v>64</v>
      </c>
      <c r="AD133" s="28">
        <v>74</v>
      </c>
      <c r="AE133" s="28">
        <v>36</v>
      </c>
      <c r="AF133" s="28">
        <v>22</v>
      </c>
      <c r="AG133" s="28">
        <v>51</v>
      </c>
      <c r="AH133" s="588">
        <v>0</v>
      </c>
      <c r="AI133" s="106">
        <v>1.5</v>
      </c>
      <c r="AJ133" s="77">
        <v>5</v>
      </c>
      <c r="AK133" s="28">
        <v>4</v>
      </c>
      <c r="AL133" s="28">
        <v>1</v>
      </c>
      <c r="AM133" s="28">
        <v>0</v>
      </c>
      <c r="AN133" s="75">
        <v>131</v>
      </c>
      <c r="AQ133" s="101" t="s">
        <v>1229</v>
      </c>
      <c r="AR133" s="77" t="s">
        <v>206</v>
      </c>
      <c r="AS133" s="77" t="s">
        <v>1251</v>
      </c>
      <c r="AT133" s="135">
        <v>5.6915842386898001</v>
      </c>
      <c r="AU133" s="77">
        <v>3</v>
      </c>
      <c r="AV133" s="28">
        <v>4</v>
      </c>
      <c r="AW133" s="77">
        <v>10</v>
      </c>
      <c r="AX133" s="584">
        <v>61.67</v>
      </c>
      <c r="AY133" s="76">
        <v>85</v>
      </c>
      <c r="AZ133" s="28">
        <v>39</v>
      </c>
      <c r="BA133" s="28">
        <v>20</v>
      </c>
      <c r="BB133" s="28">
        <v>53</v>
      </c>
      <c r="BC133" s="28">
        <v>0</v>
      </c>
      <c r="BD133" s="106">
        <v>1.7026106696935301</v>
      </c>
      <c r="BE133" s="77">
        <v>4</v>
      </c>
      <c r="BF133" s="28">
        <v>2</v>
      </c>
      <c r="BG133" s="28">
        <v>0</v>
      </c>
      <c r="BH133" s="28">
        <v>0</v>
      </c>
      <c r="BI133" s="75">
        <v>131</v>
      </c>
    </row>
    <row r="134" spans="1:61">
      <c r="A134" s="136" t="s">
        <v>1229</v>
      </c>
      <c r="B134" s="115" t="s">
        <v>206</v>
      </c>
      <c r="C134" s="115" t="s">
        <v>1252</v>
      </c>
      <c r="D134" s="89">
        <f>VLOOKUP(Table107[[#This Row],[NAME]],COL_P[[NAME]:['#]],2,0)</f>
        <v>8.8954395699670545</v>
      </c>
      <c r="E134" s="77">
        <f>VLOOKUP(Table107[[#This Row],[NAME]],COL_P[[NAME]:['#]],3,0)</f>
        <v>0</v>
      </c>
      <c r="F134" s="586">
        <f>VLOOKUP(Table107[[#This Row],[NAME]],COL_P[[NAME]:['#]],4,0)</f>
        <v>9</v>
      </c>
      <c r="G134" s="77">
        <f>VLOOKUP(Table107[[#This Row],[NAME]],COL_P[[NAME]:['#]],5,0)</f>
        <v>10</v>
      </c>
      <c r="H134" s="584">
        <f>VLOOKUP(Table107[[#This Row],[NAME]],COL_P[[NAME]:['#]],6,0)</f>
        <v>57.67</v>
      </c>
      <c r="I134" s="28">
        <f>VLOOKUP(Table107[[#This Row],[NAME]],COL_P[[NAME]:['#]],7,0)</f>
        <v>95</v>
      </c>
      <c r="J134" s="586">
        <f>VLOOKUP(Table107[[#This Row],[NAME]],COL_P[[NAME]:['#]],8,0)</f>
        <v>57</v>
      </c>
      <c r="K134" s="28">
        <f>VLOOKUP(Table107[[#This Row],[NAME]],COL_P[[NAME]:['#]],9,0)</f>
        <v>28</v>
      </c>
      <c r="L134" s="28">
        <f>VLOOKUP(Table107[[#This Row],[NAME]],COL_P[[NAME]:['#]],10,0)</f>
        <v>37</v>
      </c>
      <c r="M134" s="588">
        <f>VLOOKUP(Table107[[#This Row],[NAME]],COL_P[[NAME]:['#]],11,0)</f>
        <v>0</v>
      </c>
      <c r="N134" s="106">
        <f>VLOOKUP(Table107[[#This Row],[NAME]],COL_P[[NAME]:['#]],12,0)</f>
        <v>2.132824692214323</v>
      </c>
      <c r="O134" s="77">
        <f>VLOOKUP(Table107[[#This Row],[NAME]],COL_P[[NAME]:['#]],13,0)</f>
        <v>2</v>
      </c>
      <c r="P134" s="28">
        <f>VLOOKUP(Table107[[#This Row],[NAME]],COL_P[[NAME]:['#]],14,0)</f>
        <v>0</v>
      </c>
      <c r="Q134" s="28">
        <f>VLOOKUP(Table107[[#This Row],[NAME]],COL_P[[NAME]:['#]],15,0)</f>
        <v>0</v>
      </c>
      <c r="R134" s="28">
        <f>VLOOKUP(Table107[[#This Row],[NAME]],COL_P[[NAME]:['#]],16,0)</f>
        <v>0</v>
      </c>
      <c r="S134" s="75">
        <v>132</v>
      </c>
      <c r="V134" s="136" t="s">
        <v>1229</v>
      </c>
      <c r="W134" s="137" t="s">
        <v>206</v>
      </c>
      <c r="X134" s="137" t="s">
        <v>1252</v>
      </c>
      <c r="Y134" s="88">
        <v>4.8216745752334305</v>
      </c>
      <c r="Z134" s="77">
        <v>5</v>
      </c>
      <c r="AA134" s="28">
        <v>4</v>
      </c>
      <c r="AB134" s="77">
        <v>10</v>
      </c>
      <c r="AC134" s="584">
        <v>65.33</v>
      </c>
      <c r="AD134" s="28">
        <v>74</v>
      </c>
      <c r="AE134" s="28">
        <v>35</v>
      </c>
      <c r="AF134" s="28">
        <v>23</v>
      </c>
      <c r="AG134" s="28">
        <v>50</v>
      </c>
      <c r="AH134" s="588">
        <v>0</v>
      </c>
      <c r="AI134" s="106">
        <v>1.4847696311036278</v>
      </c>
      <c r="AJ134" s="77">
        <v>6</v>
      </c>
      <c r="AK134" s="28">
        <v>3</v>
      </c>
      <c r="AL134" s="28">
        <v>0</v>
      </c>
      <c r="AM134" s="28">
        <v>0</v>
      </c>
      <c r="AN134" s="75">
        <v>132</v>
      </c>
      <c r="AQ134" s="101" t="s">
        <v>1229</v>
      </c>
      <c r="AR134" s="77" t="s">
        <v>206</v>
      </c>
      <c r="AS134" s="77" t="s">
        <v>1252</v>
      </c>
      <c r="AT134" s="135">
        <v>5.6758138742116921</v>
      </c>
      <c r="AU134" s="77">
        <v>1</v>
      </c>
      <c r="AV134" s="28">
        <v>4</v>
      </c>
      <c r="AW134" s="77">
        <v>10</v>
      </c>
      <c r="AX134" s="584">
        <v>58.67</v>
      </c>
      <c r="AY134" s="28">
        <v>78</v>
      </c>
      <c r="AZ134" s="28">
        <v>37</v>
      </c>
      <c r="BA134" s="28">
        <v>26</v>
      </c>
      <c r="BB134" s="28">
        <v>48</v>
      </c>
      <c r="BC134" s="28">
        <v>0</v>
      </c>
      <c r="BD134" s="106">
        <v>1.7726265553093574</v>
      </c>
      <c r="BE134" s="77">
        <v>6</v>
      </c>
      <c r="BF134" s="28">
        <v>1</v>
      </c>
      <c r="BG134" s="28">
        <v>0</v>
      </c>
      <c r="BH134" s="28">
        <v>0</v>
      </c>
      <c r="BI134" s="75">
        <v>132</v>
      </c>
    </row>
    <row r="135" spans="1:61">
      <c r="A135" s="136" t="s">
        <v>1229</v>
      </c>
      <c r="B135" s="115" t="s">
        <v>206</v>
      </c>
      <c r="C135" s="115" t="s">
        <v>1253</v>
      </c>
      <c r="D135" s="89">
        <f>VLOOKUP(Table107[[#This Row],[NAME]],COL_P[[NAME]:['#]],2,0)</f>
        <v>5.0794593791771874</v>
      </c>
      <c r="E135" s="77">
        <f>VLOOKUP(Table107[[#This Row],[NAME]],COL_P[[NAME]:['#]],3,0)</f>
        <v>3</v>
      </c>
      <c r="F135" s="28">
        <f>VLOOKUP(Table107[[#This Row],[NAME]],COL_P[[NAME]:['#]],4,0)</f>
        <v>4</v>
      </c>
      <c r="G135" s="77">
        <f>VLOOKUP(Table107[[#This Row],[NAME]],COL_P[[NAME]:['#]],5,0)</f>
        <v>10</v>
      </c>
      <c r="H135" s="584">
        <f>VLOOKUP(Table107[[#This Row],[NAME]],COL_P[[NAME]:['#]],6,0)</f>
        <v>67.33</v>
      </c>
      <c r="I135" s="28">
        <f>VLOOKUP(Table107[[#This Row],[NAME]],COL_P[[NAME]:['#]],7,0)</f>
        <v>68</v>
      </c>
      <c r="J135" s="28">
        <f>VLOOKUP(Table107[[#This Row],[NAME]],COL_P[[NAME]:['#]],8,0)</f>
        <v>38</v>
      </c>
      <c r="K135" s="28">
        <f>VLOOKUP(Table107[[#This Row],[NAME]],COL_P[[NAME]:['#]],9,0)</f>
        <v>29</v>
      </c>
      <c r="L135" s="28">
        <f>VLOOKUP(Table107[[#This Row],[NAME]],COL_P[[NAME]:['#]],10,0)</f>
        <v>60</v>
      </c>
      <c r="M135" s="588">
        <f>VLOOKUP(Table107[[#This Row],[NAME]],COL_P[[NAME]:['#]],11,0)</f>
        <v>0</v>
      </c>
      <c r="N135" s="106">
        <f>VLOOKUP(Table107[[#This Row],[NAME]],COL_P[[NAME]:['#]],12,0)</f>
        <v>1.4406653794742315</v>
      </c>
      <c r="O135" s="77">
        <f>VLOOKUP(Table107[[#This Row],[NAME]],COL_P[[NAME]:['#]],13,0)</f>
        <v>5</v>
      </c>
      <c r="P135" s="28">
        <f>VLOOKUP(Table107[[#This Row],[NAME]],COL_P[[NAME]:['#]],14,0)</f>
        <v>4</v>
      </c>
      <c r="Q135" s="28">
        <f>VLOOKUP(Table107[[#This Row],[NAME]],COL_P[[NAME]:['#]],15,0)</f>
        <v>0</v>
      </c>
      <c r="R135" s="28">
        <f>VLOOKUP(Table107[[#This Row],[NAME]],COL_P[[NAME]:['#]],16,0)</f>
        <v>0</v>
      </c>
      <c r="S135" s="75">
        <v>133</v>
      </c>
      <c r="V135" s="136" t="s">
        <v>1229</v>
      </c>
      <c r="W135" s="137" t="s">
        <v>206</v>
      </c>
      <c r="X135" s="137" t="s">
        <v>1253</v>
      </c>
      <c r="Y135" s="88">
        <v>4.9594367059543858</v>
      </c>
      <c r="Z135" s="77">
        <v>2</v>
      </c>
      <c r="AA135" s="28">
        <v>4</v>
      </c>
      <c r="AB135" s="77">
        <v>10</v>
      </c>
      <c r="AC135" s="584">
        <v>65.33</v>
      </c>
      <c r="AD135" s="28">
        <v>61</v>
      </c>
      <c r="AE135" s="28">
        <v>36</v>
      </c>
      <c r="AF135" s="28">
        <v>29</v>
      </c>
      <c r="AG135" s="28">
        <v>53</v>
      </c>
      <c r="AH135" s="588">
        <v>0</v>
      </c>
      <c r="AI135" s="106">
        <v>1.3776213072095516</v>
      </c>
      <c r="AJ135" s="77">
        <v>4</v>
      </c>
      <c r="AK135" s="28">
        <v>3</v>
      </c>
      <c r="AL135" s="28">
        <v>1</v>
      </c>
      <c r="AM135" s="28">
        <v>1</v>
      </c>
      <c r="AN135" s="75">
        <v>133</v>
      </c>
      <c r="AQ135" s="101" t="s">
        <v>1229</v>
      </c>
      <c r="AR135" s="77" t="s">
        <v>206</v>
      </c>
      <c r="AS135" s="77" t="s">
        <v>1253</v>
      </c>
      <c r="AT135" s="135">
        <v>5.3163376340743049</v>
      </c>
      <c r="AU135" s="77">
        <v>3</v>
      </c>
      <c r="AV135" s="28">
        <v>2</v>
      </c>
      <c r="AW135" s="77">
        <v>10</v>
      </c>
      <c r="AX135" s="584">
        <v>64.33</v>
      </c>
      <c r="AY135" s="28">
        <v>68</v>
      </c>
      <c r="AZ135" s="28">
        <v>38</v>
      </c>
      <c r="BA135" s="28">
        <v>27</v>
      </c>
      <c r="BB135" s="28">
        <v>61</v>
      </c>
      <c r="BC135" s="28">
        <v>0</v>
      </c>
      <c r="BD135" s="106">
        <v>1.4767604539095289</v>
      </c>
      <c r="BE135" s="77">
        <v>6</v>
      </c>
      <c r="BF135" s="28">
        <v>3</v>
      </c>
      <c r="BG135" s="28">
        <v>1</v>
      </c>
      <c r="BH135" s="28">
        <v>1</v>
      </c>
      <c r="BI135" s="75">
        <v>133</v>
      </c>
    </row>
    <row r="136" spans="1:61">
      <c r="A136" s="136" t="s">
        <v>1229</v>
      </c>
      <c r="B136" s="115" t="s">
        <v>206</v>
      </c>
      <c r="C136" s="115" t="s">
        <v>1254</v>
      </c>
      <c r="D136" s="89">
        <f>VLOOKUP(Table107[[#This Row],[NAME]],COL_P[[NAME]:['#]],2,0)</f>
        <v>5.5806938159879333</v>
      </c>
      <c r="E136" s="77">
        <f>VLOOKUP(Table107[[#This Row],[NAME]],COL_P[[NAME]:['#]],3,0)</f>
        <v>4</v>
      </c>
      <c r="F136" s="28">
        <f>VLOOKUP(Table107[[#This Row],[NAME]],COL_P[[NAME]:['#]],4,0)</f>
        <v>3</v>
      </c>
      <c r="G136" s="77">
        <f>VLOOKUP(Table107[[#This Row],[NAME]],COL_P[[NAME]:['#]],5,0)</f>
        <v>10</v>
      </c>
      <c r="H136" s="584">
        <f>VLOOKUP(Table107[[#This Row],[NAME]],COL_P[[NAME]:['#]],6,0)</f>
        <v>59.67</v>
      </c>
      <c r="I136" s="28">
        <f>VLOOKUP(Table107[[#This Row],[NAME]],COL_P[[NAME]:['#]],7,0)</f>
        <v>84</v>
      </c>
      <c r="J136" s="28">
        <f>VLOOKUP(Table107[[#This Row],[NAME]],COL_P[[NAME]:['#]],8,0)</f>
        <v>37</v>
      </c>
      <c r="K136" s="28">
        <f>VLOOKUP(Table107[[#This Row],[NAME]],COL_P[[NAME]:['#]],9,0)</f>
        <v>24</v>
      </c>
      <c r="L136" s="28">
        <f>VLOOKUP(Table107[[#This Row],[NAME]],COL_P[[NAME]:['#]],10,0)</f>
        <v>31</v>
      </c>
      <c r="M136" s="588">
        <f>VLOOKUP(Table107[[#This Row],[NAME]],COL_P[[NAME]:['#]],11,0)</f>
        <v>0</v>
      </c>
      <c r="N136" s="106">
        <f>VLOOKUP(Table107[[#This Row],[NAME]],COL_P[[NAME]:['#]],12,0)</f>
        <v>1.8099547511312217</v>
      </c>
      <c r="O136" s="77">
        <f>VLOOKUP(Table107[[#This Row],[NAME]],COL_P[[NAME]:['#]],13,0)</f>
        <v>3</v>
      </c>
      <c r="P136" s="28">
        <f>VLOOKUP(Table107[[#This Row],[NAME]],COL_P[[NAME]:['#]],14,0)</f>
        <v>2</v>
      </c>
      <c r="Q136" s="28">
        <f>VLOOKUP(Table107[[#This Row],[NAME]],COL_P[[NAME]:['#]],15,0)</f>
        <v>0</v>
      </c>
      <c r="R136" s="28">
        <f>VLOOKUP(Table107[[#This Row],[NAME]],COL_P[[NAME]:['#]],16,0)</f>
        <v>0</v>
      </c>
      <c r="S136" s="75">
        <v>134</v>
      </c>
      <c r="V136" s="136" t="s">
        <v>1229</v>
      </c>
      <c r="W136" s="137" t="s">
        <v>206</v>
      </c>
      <c r="X136" s="137" t="s">
        <v>1254</v>
      </c>
      <c r="Y136" s="88">
        <v>6.713078070611636</v>
      </c>
      <c r="Z136" s="77">
        <v>2</v>
      </c>
      <c r="AA136" s="28">
        <v>5</v>
      </c>
      <c r="AB136" s="77">
        <v>10</v>
      </c>
      <c r="AC136" s="584">
        <v>60.33</v>
      </c>
      <c r="AD136" s="76">
        <v>81</v>
      </c>
      <c r="AE136" s="76">
        <v>45</v>
      </c>
      <c r="AF136" s="28">
        <v>19</v>
      </c>
      <c r="AG136" s="28">
        <v>40</v>
      </c>
      <c r="AH136" s="588">
        <v>0</v>
      </c>
      <c r="AI136" s="106">
        <v>1.6575501408917621</v>
      </c>
      <c r="AJ136" s="77">
        <v>1</v>
      </c>
      <c r="AK136" s="28">
        <v>1</v>
      </c>
      <c r="AL136" s="28">
        <v>1</v>
      </c>
      <c r="AM136" s="28">
        <v>1</v>
      </c>
      <c r="AN136" s="75">
        <v>134</v>
      </c>
      <c r="AQ136" s="101" t="s">
        <v>1229</v>
      </c>
      <c r="AR136" s="77" t="s">
        <v>206</v>
      </c>
      <c r="AS136" s="77" t="s">
        <v>1254</v>
      </c>
      <c r="AT136" s="135">
        <v>4.9473849536673473</v>
      </c>
      <c r="AU136" s="77">
        <v>4</v>
      </c>
      <c r="AV136" s="28">
        <v>3</v>
      </c>
      <c r="AW136" s="77">
        <v>10</v>
      </c>
      <c r="AX136" s="584">
        <v>63.67</v>
      </c>
      <c r="AY136" s="28">
        <v>69</v>
      </c>
      <c r="AZ136" s="28">
        <v>35</v>
      </c>
      <c r="BA136" s="28">
        <v>25</v>
      </c>
      <c r="BB136" s="28">
        <v>34</v>
      </c>
      <c r="BC136" s="28">
        <v>0</v>
      </c>
      <c r="BD136" s="106">
        <v>1.476362494110256</v>
      </c>
      <c r="BE136" s="77">
        <v>5</v>
      </c>
      <c r="BF136" s="28">
        <v>1</v>
      </c>
      <c r="BG136" s="28">
        <v>1</v>
      </c>
      <c r="BH136" s="28">
        <v>0</v>
      </c>
      <c r="BI136" s="75">
        <v>134</v>
      </c>
    </row>
    <row r="137" spans="1:61">
      <c r="A137" s="136" t="s">
        <v>1229</v>
      </c>
      <c r="B137" s="115" t="s">
        <v>212</v>
      </c>
      <c r="C137" s="116" t="s">
        <v>1255</v>
      </c>
      <c r="D137" s="89">
        <f>VLOOKUP(Table107[[#This Row],[NAME]],COL_P[[NAME]:['#]],2,0)</f>
        <v>4.808877928483354</v>
      </c>
      <c r="E137" s="77">
        <f>VLOOKUP(Table107[[#This Row],[NAME]],COL_P[[NAME]:['#]],3,0)</f>
        <v>0</v>
      </c>
      <c r="F137" s="28">
        <f>VLOOKUP(Table107[[#This Row],[NAME]],COL_P[[NAME]:['#]],4,0)</f>
        <v>0</v>
      </c>
      <c r="G137" s="77">
        <f>VLOOKUP(Table107[[#This Row],[NAME]],COL_P[[NAME]:['#]],5,0)</f>
        <v>14</v>
      </c>
      <c r="H137" s="584">
        <f>VLOOKUP(Table107[[#This Row],[NAME]],COL_P[[NAME]:['#]],6,0)</f>
        <v>24.33</v>
      </c>
      <c r="I137" s="28">
        <f>VLOOKUP(Table107[[#This Row],[NAME]],COL_P[[NAME]:['#]],7,0)</f>
        <v>27</v>
      </c>
      <c r="J137" s="28">
        <f>VLOOKUP(Table107[[#This Row],[NAME]],COL_P[[NAME]:['#]],8,0)</f>
        <v>13</v>
      </c>
      <c r="K137" s="28">
        <f>VLOOKUP(Table107[[#This Row],[NAME]],COL_P[[NAME]:['#]],9,0)</f>
        <v>12</v>
      </c>
      <c r="L137" s="28">
        <f>VLOOKUP(Table107[[#This Row],[NAME]],COL_P[[NAME]:['#]],10,0)</f>
        <v>14</v>
      </c>
      <c r="M137" s="588">
        <f>VLOOKUP(Table107[[#This Row],[NAME]],COL_P[[NAME]:['#]],11,0)</f>
        <v>1</v>
      </c>
      <c r="N137" s="106">
        <f>VLOOKUP(Table107[[#This Row],[NAME]],COL_P[[NAME]:['#]],12,0)</f>
        <v>1.6029593094944514</v>
      </c>
      <c r="O137" s="77">
        <f>VLOOKUP(Table107[[#This Row],[NAME]],COL_P[[NAME]:['#]],13,0)</f>
        <v>0</v>
      </c>
      <c r="P137" s="28">
        <f>VLOOKUP(Table107[[#This Row],[NAME]],COL_P[[NAME]:['#]],14,0)</f>
        <v>0</v>
      </c>
      <c r="Q137" s="28">
        <f>VLOOKUP(Table107[[#This Row],[NAME]],COL_P[[NAME]:['#]],15,0)</f>
        <v>0</v>
      </c>
      <c r="R137" s="28">
        <f>VLOOKUP(Table107[[#This Row],[NAME]],COL_P[[NAME]:['#]],16,0)</f>
        <v>0</v>
      </c>
      <c r="S137" s="75">
        <v>135</v>
      </c>
      <c r="V137" s="136" t="s">
        <v>1229</v>
      </c>
      <c r="W137" s="137" t="s">
        <v>212</v>
      </c>
      <c r="X137" s="132" t="s">
        <v>1255</v>
      </c>
      <c r="Y137" s="88">
        <v>4.7368421052631575</v>
      </c>
      <c r="Z137" s="77">
        <v>1</v>
      </c>
      <c r="AA137" s="28">
        <v>0</v>
      </c>
      <c r="AB137" s="77">
        <v>8</v>
      </c>
      <c r="AC137" s="584">
        <v>19</v>
      </c>
      <c r="AD137" s="28">
        <v>20</v>
      </c>
      <c r="AE137" s="28">
        <v>10</v>
      </c>
      <c r="AF137" s="28">
        <v>7</v>
      </c>
      <c r="AG137" s="28">
        <v>6</v>
      </c>
      <c r="AH137" s="588">
        <v>0</v>
      </c>
      <c r="AI137" s="106">
        <v>1.4210526315789473</v>
      </c>
      <c r="AJ137" s="77">
        <v>0</v>
      </c>
      <c r="AK137" s="28">
        <v>0</v>
      </c>
      <c r="AL137" s="28">
        <v>0</v>
      </c>
      <c r="AM137" s="28">
        <v>0</v>
      </c>
      <c r="AN137" s="75">
        <v>135</v>
      </c>
      <c r="AQ137" s="101" t="s">
        <v>1229</v>
      </c>
      <c r="AR137" s="77" t="s">
        <v>215</v>
      </c>
      <c r="AS137" s="77" t="s">
        <v>1255</v>
      </c>
      <c r="AT137" s="135">
        <v>6.5281899109792292</v>
      </c>
      <c r="AU137" s="77">
        <v>3</v>
      </c>
      <c r="AV137" s="28">
        <v>4</v>
      </c>
      <c r="AW137" s="77">
        <v>18</v>
      </c>
      <c r="AX137" s="584">
        <v>30.33</v>
      </c>
      <c r="AY137" s="28">
        <v>37</v>
      </c>
      <c r="AZ137" s="28">
        <v>22</v>
      </c>
      <c r="BA137" s="28">
        <v>13</v>
      </c>
      <c r="BB137" s="28">
        <v>28</v>
      </c>
      <c r="BC137" s="28">
        <v>0</v>
      </c>
      <c r="BD137" s="106">
        <v>1.6485328058028357</v>
      </c>
      <c r="BE137" s="77">
        <v>0</v>
      </c>
      <c r="BF137" s="28">
        <v>0</v>
      </c>
      <c r="BG137" s="28">
        <v>0</v>
      </c>
      <c r="BH137" s="28">
        <v>0</v>
      </c>
      <c r="BI137" s="75">
        <v>135</v>
      </c>
    </row>
    <row r="138" spans="1:61">
      <c r="A138" s="136" t="s">
        <v>1229</v>
      </c>
      <c r="B138" s="115" t="s">
        <v>212</v>
      </c>
      <c r="C138" s="116" t="s">
        <v>1256</v>
      </c>
      <c r="D138" s="89">
        <f>VLOOKUP(Table107[[#This Row],[NAME]],COL_P[[NAME]:['#]],2,0)</f>
        <v>5.3026245313336897</v>
      </c>
      <c r="E138" s="77">
        <f>VLOOKUP(Table107[[#This Row],[NAME]],COL_P[[NAME]:['#]],3,0)</f>
        <v>0</v>
      </c>
      <c r="F138" s="28">
        <f>VLOOKUP(Table107[[#This Row],[NAME]],COL_P[[NAME]:['#]],4,0)</f>
        <v>0</v>
      </c>
      <c r="G138" s="77">
        <f>VLOOKUP(Table107[[#This Row],[NAME]],COL_P[[NAME]:['#]],5,0)</f>
        <v>10</v>
      </c>
      <c r="H138" s="584">
        <f>VLOOKUP(Table107[[#This Row],[NAME]],COL_P[[NAME]:['#]],6,0)</f>
        <v>18.670000000000002</v>
      </c>
      <c r="I138" s="28">
        <f>VLOOKUP(Table107[[#This Row],[NAME]],COL_P[[NAME]:['#]],7,0)</f>
        <v>23</v>
      </c>
      <c r="J138" s="28">
        <f>VLOOKUP(Table107[[#This Row],[NAME]],COL_P[[NAME]:['#]],8,0)</f>
        <v>11</v>
      </c>
      <c r="K138" s="28">
        <f>VLOOKUP(Table107[[#This Row],[NAME]],COL_P[[NAME]:['#]],9,0)</f>
        <v>4</v>
      </c>
      <c r="L138" s="28">
        <f>VLOOKUP(Table107[[#This Row],[NAME]],COL_P[[NAME]:['#]],10,0)</f>
        <v>10</v>
      </c>
      <c r="M138" s="588">
        <f>VLOOKUP(Table107[[#This Row],[NAME]],COL_P[[NAME]:['#]],11,0)</f>
        <v>2</v>
      </c>
      <c r="N138" s="106">
        <f>VLOOKUP(Table107[[#This Row],[NAME]],COL_P[[NAME]:['#]],12,0)</f>
        <v>1.44617032672737</v>
      </c>
      <c r="O138" s="77">
        <f>VLOOKUP(Table107[[#This Row],[NAME]],COL_P[[NAME]:['#]],13,0)</f>
        <v>0</v>
      </c>
      <c r="P138" s="28">
        <f>VLOOKUP(Table107[[#This Row],[NAME]],COL_P[[NAME]:['#]],14,0)</f>
        <v>0</v>
      </c>
      <c r="Q138" s="28">
        <f>VLOOKUP(Table107[[#This Row],[NAME]],COL_P[[NAME]:['#]],15,0)</f>
        <v>0</v>
      </c>
      <c r="R138" s="28">
        <f>VLOOKUP(Table107[[#This Row],[NAME]],COL_P[[NAME]:['#]],16,0)</f>
        <v>0</v>
      </c>
      <c r="S138" s="75">
        <v>136</v>
      </c>
      <c r="V138" s="136" t="s">
        <v>1229</v>
      </c>
      <c r="W138" s="137" t="s">
        <v>212</v>
      </c>
      <c r="X138" s="132" t="s">
        <v>1256</v>
      </c>
      <c r="Y138" s="88">
        <v>7.7142857142857144</v>
      </c>
      <c r="Z138" s="77">
        <v>0</v>
      </c>
      <c r="AA138" s="28">
        <v>0</v>
      </c>
      <c r="AB138" s="77">
        <v>4</v>
      </c>
      <c r="AC138" s="584">
        <v>7</v>
      </c>
      <c r="AD138" s="28">
        <v>12</v>
      </c>
      <c r="AE138" s="28">
        <v>6</v>
      </c>
      <c r="AF138" s="28">
        <v>3</v>
      </c>
      <c r="AG138" s="28">
        <v>6</v>
      </c>
      <c r="AH138" s="588">
        <v>0</v>
      </c>
      <c r="AI138" s="106">
        <v>2.1428571428571428</v>
      </c>
      <c r="AJ138" s="77">
        <v>0</v>
      </c>
      <c r="AK138" s="28">
        <v>0</v>
      </c>
      <c r="AL138" s="28">
        <v>0</v>
      </c>
      <c r="AM138" s="28">
        <v>0</v>
      </c>
      <c r="AN138" s="75">
        <v>136</v>
      </c>
      <c r="AQ138" s="101" t="s">
        <v>1229</v>
      </c>
      <c r="AR138" s="77" t="s">
        <v>215</v>
      </c>
      <c r="AS138" s="77" t="s">
        <v>1256</v>
      </c>
      <c r="AT138" s="135">
        <v>4.294478527607362</v>
      </c>
      <c r="AU138" s="77">
        <v>0</v>
      </c>
      <c r="AV138" s="28">
        <v>0</v>
      </c>
      <c r="AW138" s="77">
        <v>10</v>
      </c>
      <c r="AX138" s="584">
        <v>14.67</v>
      </c>
      <c r="AY138" s="28">
        <v>16</v>
      </c>
      <c r="AZ138" s="28">
        <v>7</v>
      </c>
      <c r="BA138" s="28">
        <v>10</v>
      </c>
      <c r="BB138" s="28">
        <v>12</v>
      </c>
      <c r="BC138" s="28">
        <v>1</v>
      </c>
      <c r="BD138" s="106">
        <v>1.7723244717109747</v>
      </c>
      <c r="BE138" s="77">
        <v>0</v>
      </c>
      <c r="BF138" s="28">
        <v>0</v>
      </c>
      <c r="BG138" s="28">
        <v>0</v>
      </c>
      <c r="BH138" s="28">
        <v>0</v>
      </c>
      <c r="BI138" s="75">
        <v>136</v>
      </c>
    </row>
    <row r="139" spans="1:61">
      <c r="A139" s="136" t="s">
        <v>1229</v>
      </c>
      <c r="B139" s="115" t="s">
        <v>212</v>
      </c>
      <c r="C139" s="116" t="s">
        <v>1257</v>
      </c>
      <c r="D139" s="89">
        <f>VLOOKUP(Table107[[#This Row],[NAME]],COL_P[[NAME]:['#]],2,0)</f>
        <v>0</v>
      </c>
      <c r="E139" s="77">
        <f>VLOOKUP(Table107[[#This Row],[NAME]],COL_P[[NAME]:['#]],3,0)</f>
        <v>0</v>
      </c>
      <c r="F139" s="28">
        <f>VLOOKUP(Table107[[#This Row],[NAME]],COL_P[[NAME]:['#]],4,0)</f>
        <v>0</v>
      </c>
      <c r="G139" s="77">
        <f>VLOOKUP(Table107[[#This Row],[NAME]],COL_P[[NAME]:['#]],5,0)</f>
        <v>0</v>
      </c>
      <c r="H139" s="584">
        <f>VLOOKUP(Table107[[#This Row],[NAME]],COL_P[[NAME]:['#]],6,0)</f>
        <v>0</v>
      </c>
      <c r="I139" s="28">
        <f>VLOOKUP(Table107[[#This Row],[NAME]],COL_P[[NAME]:['#]],7,0)</f>
        <v>0</v>
      </c>
      <c r="J139" s="28">
        <f>VLOOKUP(Table107[[#This Row],[NAME]],COL_P[[NAME]:['#]],8,0)</f>
        <v>0</v>
      </c>
      <c r="K139" s="28">
        <f>VLOOKUP(Table107[[#This Row],[NAME]],COL_P[[NAME]:['#]],9,0)</f>
        <v>0</v>
      </c>
      <c r="L139" s="28">
        <f>VLOOKUP(Table107[[#This Row],[NAME]],COL_P[[NAME]:['#]],10,0)</f>
        <v>0</v>
      </c>
      <c r="M139" s="588">
        <f>VLOOKUP(Table107[[#This Row],[NAME]],COL_P[[NAME]:['#]],11,0)</f>
        <v>0</v>
      </c>
      <c r="N139" s="106">
        <f>VLOOKUP(Table107[[#This Row],[NAME]],COL_P[[NAME]:['#]],12,0)</f>
        <v>0</v>
      </c>
      <c r="O139" s="77">
        <f>VLOOKUP(Table107[[#This Row],[NAME]],COL_P[[NAME]:['#]],13,0)</f>
        <v>0</v>
      </c>
      <c r="P139" s="28">
        <f>VLOOKUP(Table107[[#This Row],[NAME]],COL_P[[NAME]:['#]],14,0)</f>
        <v>0</v>
      </c>
      <c r="Q139" s="28">
        <f>VLOOKUP(Table107[[#This Row],[NAME]],COL_P[[NAME]:['#]],15,0)</f>
        <v>0</v>
      </c>
      <c r="R139" s="28">
        <f>VLOOKUP(Table107[[#This Row],[NAME]],COL_P[[NAME]:['#]],16,0)</f>
        <v>0</v>
      </c>
      <c r="S139" s="75">
        <v>137</v>
      </c>
      <c r="V139" s="136" t="s">
        <v>1229</v>
      </c>
      <c r="W139" s="137" t="s">
        <v>212</v>
      </c>
      <c r="X139" s="132" t="s">
        <v>1257</v>
      </c>
      <c r="Y139" s="88">
        <v>5.5384615384615383</v>
      </c>
      <c r="Z139" s="77">
        <v>0</v>
      </c>
      <c r="AA139" s="28">
        <v>2</v>
      </c>
      <c r="AB139" s="77">
        <v>5</v>
      </c>
      <c r="AC139" s="584">
        <v>13</v>
      </c>
      <c r="AD139" s="28">
        <v>16</v>
      </c>
      <c r="AE139" s="28">
        <v>8</v>
      </c>
      <c r="AF139" s="28">
        <v>9</v>
      </c>
      <c r="AG139" s="28">
        <v>11</v>
      </c>
      <c r="AH139" s="588">
        <v>0</v>
      </c>
      <c r="AI139" s="106">
        <v>1.9230769230769231</v>
      </c>
      <c r="AJ139" s="77">
        <v>0</v>
      </c>
      <c r="AK139" s="28">
        <v>0</v>
      </c>
      <c r="AL139" s="28">
        <v>0</v>
      </c>
      <c r="AM139" s="28">
        <v>0</v>
      </c>
      <c r="AN139" s="75">
        <v>137</v>
      </c>
      <c r="AQ139" s="101" t="s">
        <v>1229</v>
      </c>
      <c r="AR139" s="77" t="s">
        <v>215</v>
      </c>
      <c r="AS139" s="77" t="s">
        <v>1257</v>
      </c>
      <c r="AT139" s="135">
        <v>3.1153846153846154</v>
      </c>
      <c r="AU139" s="77">
        <v>2</v>
      </c>
      <c r="AV139" s="28">
        <v>2</v>
      </c>
      <c r="AW139" s="77">
        <v>18</v>
      </c>
      <c r="AX139" s="584">
        <v>26</v>
      </c>
      <c r="AY139" s="28">
        <v>18</v>
      </c>
      <c r="AZ139" s="28">
        <v>9</v>
      </c>
      <c r="BA139" s="28">
        <v>18</v>
      </c>
      <c r="BB139" s="28">
        <v>30</v>
      </c>
      <c r="BC139" s="28">
        <v>0</v>
      </c>
      <c r="BD139" s="106">
        <v>1.3846153846153846</v>
      </c>
      <c r="BE139" s="77">
        <v>0</v>
      </c>
      <c r="BF139" s="28">
        <v>0</v>
      </c>
      <c r="BG139" s="28">
        <v>0</v>
      </c>
      <c r="BH139" s="28">
        <v>0</v>
      </c>
      <c r="BI139" s="75">
        <v>137</v>
      </c>
    </row>
    <row r="140" spans="1:61">
      <c r="A140" s="136" t="s">
        <v>1229</v>
      </c>
      <c r="B140" s="115" t="s">
        <v>212</v>
      </c>
      <c r="C140" s="116" t="s">
        <v>1259</v>
      </c>
      <c r="D140" s="89">
        <f>VLOOKUP(Table107[[#This Row],[NAME]],COL_P[[NAME]:['#]],2,0)</f>
        <v>8.7124878993223618</v>
      </c>
      <c r="E140" s="77">
        <f>VLOOKUP(Table107[[#This Row],[NAME]],COL_P[[NAME]:['#]],3,0)</f>
        <v>0</v>
      </c>
      <c r="F140" s="28">
        <f>VLOOKUP(Table107[[#This Row],[NAME]],COL_P[[NAME]:['#]],4,0)</f>
        <v>1</v>
      </c>
      <c r="G140" s="77">
        <f>VLOOKUP(Table107[[#This Row],[NAME]],COL_P[[NAME]:['#]],5,0)</f>
        <v>6</v>
      </c>
      <c r="H140" s="584">
        <f>VLOOKUP(Table107[[#This Row],[NAME]],COL_P[[NAME]:['#]],6,0)</f>
        <v>10.33</v>
      </c>
      <c r="I140" s="28">
        <f>VLOOKUP(Table107[[#This Row],[NAME]],COL_P[[NAME]:['#]],7,0)</f>
        <v>15</v>
      </c>
      <c r="J140" s="28">
        <f>VLOOKUP(Table107[[#This Row],[NAME]],COL_P[[NAME]:['#]],8,0)</f>
        <v>10</v>
      </c>
      <c r="K140" s="28">
        <f>VLOOKUP(Table107[[#This Row],[NAME]],COL_P[[NAME]:['#]],9,0)</f>
        <v>5</v>
      </c>
      <c r="L140" s="28">
        <f>VLOOKUP(Table107[[#This Row],[NAME]],COL_P[[NAME]:['#]],10,0)</f>
        <v>8</v>
      </c>
      <c r="M140" s="588">
        <f>VLOOKUP(Table107[[#This Row],[NAME]],COL_P[[NAME]:['#]],11,0)</f>
        <v>0</v>
      </c>
      <c r="N140" s="106">
        <f>VLOOKUP(Table107[[#This Row],[NAME]],COL_P[[NAME]:['#]],12,0)</f>
        <v>1.936108422071636</v>
      </c>
      <c r="O140" s="77">
        <f>VLOOKUP(Table107[[#This Row],[NAME]],COL_P[[NAME]:['#]],13,0)</f>
        <v>0</v>
      </c>
      <c r="P140" s="28">
        <f>VLOOKUP(Table107[[#This Row],[NAME]],COL_P[[NAME]:['#]],14,0)</f>
        <v>0</v>
      </c>
      <c r="Q140" s="28">
        <f>VLOOKUP(Table107[[#This Row],[NAME]],COL_P[[NAME]:['#]],15,0)</f>
        <v>0</v>
      </c>
      <c r="R140" s="28">
        <f>VLOOKUP(Table107[[#This Row],[NAME]],COL_P[[NAME]:['#]],16,0)</f>
        <v>0</v>
      </c>
      <c r="S140" s="75">
        <v>138</v>
      </c>
      <c r="V140" s="136" t="s">
        <v>1229</v>
      </c>
      <c r="W140" s="137" t="s">
        <v>212</v>
      </c>
      <c r="X140" s="132" t="s">
        <v>1259</v>
      </c>
      <c r="Y140" s="88">
        <v>4.2631578947368425</v>
      </c>
      <c r="Z140" s="77">
        <v>2</v>
      </c>
      <c r="AA140" s="28">
        <v>2</v>
      </c>
      <c r="AB140" s="77">
        <v>14</v>
      </c>
      <c r="AC140" s="584">
        <v>19</v>
      </c>
      <c r="AD140" s="28">
        <v>19</v>
      </c>
      <c r="AE140" s="28">
        <v>9</v>
      </c>
      <c r="AF140" s="28">
        <v>4</v>
      </c>
      <c r="AG140" s="28">
        <v>14</v>
      </c>
      <c r="AH140" s="588">
        <v>1</v>
      </c>
      <c r="AI140" s="106">
        <v>1.2105263157894737</v>
      </c>
      <c r="AJ140" s="77">
        <v>0</v>
      </c>
      <c r="AK140" s="28">
        <v>0</v>
      </c>
      <c r="AL140" s="28">
        <v>0</v>
      </c>
      <c r="AM140" s="28">
        <v>0</v>
      </c>
      <c r="AN140" s="75">
        <v>138</v>
      </c>
      <c r="AQ140" s="101" t="s">
        <v>1229</v>
      </c>
      <c r="AR140" s="77" t="s">
        <v>215</v>
      </c>
      <c r="AS140" s="77" t="s">
        <v>1258</v>
      </c>
      <c r="AT140" s="135">
        <v>9.6463022508038581</v>
      </c>
      <c r="AU140" s="77">
        <v>0</v>
      </c>
      <c r="AV140" s="28">
        <v>0</v>
      </c>
      <c r="AW140" s="77">
        <v>9</v>
      </c>
      <c r="AX140" s="584">
        <v>9.33</v>
      </c>
      <c r="AY140" s="28">
        <v>14</v>
      </c>
      <c r="AZ140" s="28">
        <v>10</v>
      </c>
      <c r="BA140" s="28">
        <v>13</v>
      </c>
      <c r="BB140" s="28">
        <v>8</v>
      </c>
      <c r="BC140" s="28">
        <v>0</v>
      </c>
      <c r="BD140" s="106">
        <v>2.8938906752411575</v>
      </c>
      <c r="BE140" s="77">
        <v>0</v>
      </c>
      <c r="BF140" s="28">
        <v>0</v>
      </c>
      <c r="BG140" s="28">
        <v>0</v>
      </c>
      <c r="BH140" s="28">
        <v>0</v>
      </c>
      <c r="BI140" s="75">
        <v>138</v>
      </c>
    </row>
    <row r="141" spans="1:61">
      <c r="A141" s="136" t="s">
        <v>1229</v>
      </c>
      <c r="B141" s="115" t="s">
        <v>212</v>
      </c>
      <c r="C141" s="116" t="s">
        <v>1260</v>
      </c>
      <c r="D141" s="89">
        <f>VLOOKUP(Table107[[#This Row],[NAME]],COL_P[[NAME]:['#]],2,0)</f>
        <v>8.8827477299644695</v>
      </c>
      <c r="E141" s="77">
        <f>VLOOKUP(Table107[[#This Row],[NAME]],COL_P[[NAME]:['#]],3,0)</f>
        <v>1</v>
      </c>
      <c r="F141" s="28">
        <f>VLOOKUP(Table107[[#This Row],[NAME]],COL_P[[NAME]:['#]],4,0)</f>
        <v>1</v>
      </c>
      <c r="G141" s="77">
        <f>VLOOKUP(Table107[[#This Row],[NAME]],COL_P[[NAME]:['#]],5,0)</f>
        <v>19</v>
      </c>
      <c r="H141" s="584">
        <f>VLOOKUP(Table107[[#This Row],[NAME]],COL_P[[NAME]:['#]],6,0)</f>
        <v>25.33</v>
      </c>
      <c r="I141" s="28">
        <f>VLOOKUP(Table107[[#This Row],[NAME]],COL_P[[NAME]:['#]],7,0)</f>
        <v>37</v>
      </c>
      <c r="J141" s="28">
        <f>VLOOKUP(Table107[[#This Row],[NAME]],COL_P[[NAME]:['#]],8,0)</f>
        <v>25</v>
      </c>
      <c r="K141" s="28">
        <f>VLOOKUP(Table107[[#This Row],[NAME]],COL_P[[NAME]:['#]],9,0)</f>
        <v>13</v>
      </c>
      <c r="L141" s="28">
        <f>VLOOKUP(Table107[[#This Row],[NAME]],COL_P[[NAME]:['#]],10,0)</f>
        <v>26</v>
      </c>
      <c r="M141" s="588">
        <f>VLOOKUP(Table107[[#This Row],[NAME]],COL_P[[NAME]:['#]],11,0)</f>
        <v>1</v>
      </c>
      <c r="N141" s="106">
        <f>VLOOKUP(Table107[[#This Row],[NAME]],COL_P[[NAME]:['#]],12,0)</f>
        <v>1.9739439399921044</v>
      </c>
      <c r="O141" s="77">
        <f>VLOOKUP(Table107[[#This Row],[NAME]],COL_P[[NAME]:['#]],13,0)</f>
        <v>0</v>
      </c>
      <c r="P141" s="28">
        <f>VLOOKUP(Table107[[#This Row],[NAME]],COL_P[[NAME]:['#]],14,0)</f>
        <v>0</v>
      </c>
      <c r="Q141" s="28">
        <f>VLOOKUP(Table107[[#This Row],[NAME]],COL_P[[NAME]:['#]],15,0)</f>
        <v>0</v>
      </c>
      <c r="R141" s="28">
        <f>VLOOKUP(Table107[[#This Row],[NAME]],COL_P[[NAME]:['#]],16,0)</f>
        <v>0</v>
      </c>
      <c r="S141" s="75">
        <v>139</v>
      </c>
      <c r="V141" s="136" t="s">
        <v>1229</v>
      </c>
      <c r="W141" s="137" t="s">
        <v>212</v>
      </c>
      <c r="X141" s="132" t="s">
        <v>1260</v>
      </c>
      <c r="Y141" s="88">
        <v>2.3483365949119372</v>
      </c>
      <c r="Z141" s="77">
        <v>1</v>
      </c>
      <c r="AA141" s="28">
        <v>1</v>
      </c>
      <c r="AB141" s="77">
        <v>11</v>
      </c>
      <c r="AC141" s="584">
        <v>15.33</v>
      </c>
      <c r="AD141" s="28">
        <v>10</v>
      </c>
      <c r="AE141" s="28">
        <v>4</v>
      </c>
      <c r="AF141" s="28">
        <v>4</v>
      </c>
      <c r="AG141" s="28">
        <v>17</v>
      </c>
      <c r="AH141" s="588">
        <v>0</v>
      </c>
      <c r="AI141" s="106">
        <v>0.91324200913242004</v>
      </c>
      <c r="AJ141" s="77">
        <v>0</v>
      </c>
      <c r="AK141" s="28">
        <v>0</v>
      </c>
      <c r="AL141" s="28">
        <v>0</v>
      </c>
      <c r="AM141" s="28">
        <v>0</v>
      </c>
      <c r="AN141" s="75">
        <v>139</v>
      </c>
      <c r="AQ141" s="101" t="s">
        <v>1229</v>
      </c>
      <c r="AR141" s="77" t="s">
        <v>212</v>
      </c>
      <c r="AS141" s="77" t="s">
        <v>1260</v>
      </c>
      <c r="AT141" s="135">
        <v>3.1159838430467399</v>
      </c>
      <c r="AU141" s="77">
        <v>0</v>
      </c>
      <c r="AV141" s="28">
        <v>0</v>
      </c>
      <c r="AW141" s="77">
        <v>18</v>
      </c>
      <c r="AX141" s="584">
        <v>17.329999999999998</v>
      </c>
      <c r="AY141" s="28">
        <v>13</v>
      </c>
      <c r="AZ141" s="28">
        <v>6</v>
      </c>
      <c r="BA141" s="28">
        <v>15</v>
      </c>
      <c r="BB141" s="28">
        <v>17</v>
      </c>
      <c r="BC141" s="28">
        <v>2</v>
      </c>
      <c r="BD141" s="106">
        <v>1.6156953260242355</v>
      </c>
      <c r="BE141" s="77">
        <v>0</v>
      </c>
      <c r="BF141" s="28">
        <v>0</v>
      </c>
      <c r="BG141" s="28">
        <v>0</v>
      </c>
      <c r="BH141" s="28">
        <v>0</v>
      </c>
      <c r="BI141" s="75">
        <v>139</v>
      </c>
    </row>
    <row r="142" spans="1:61">
      <c r="A142" s="136" t="s">
        <v>1229</v>
      </c>
      <c r="B142" s="115" t="s">
        <v>212</v>
      </c>
      <c r="C142" s="116" t="s">
        <v>1261</v>
      </c>
      <c r="D142" s="89">
        <f>VLOOKUP(Table107[[#This Row],[NAME]],COL_P[[NAME]:['#]],2,0)</f>
        <v>6.5769230769230766</v>
      </c>
      <c r="E142" s="77">
        <f>VLOOKUP(Table107[[#This Row],[NAME]],COL_P[[NAME]:['#]],3,0)</f>
        <v>3</v>
      </c>
      <c r="F142" s="28">
        <f>VLOOKUP(Table107[[#This Row],[NAME]],COL_P[[NAME]:['#]],4,0)</f>
        <v>2</v>
      </c>
      <c r="G142" s="77">
        <f>VLOOKUP(Table107[[#This Row],[NAME]],COL_P[[NAME]:['#]],5,0)</f>
        <v>20</v>
      </c>
      <c r="H142" s="584">
        <f>VLOOKUP(Table107[[#This Row],[NAME]],COL_P[[NAME]:['#]],6,0)</f>
        <v>26</v>
      </c>
      <c r="I142" s="28">
        <f>VLOOKUP(Table107[[#This Row],[NAME]],COL_P[[NAME]:['#]],7,0)</f>
        <v>31</v>
      </c>
      <c r="J142" s="28">
        <f>VLOOKUP(Table107[[#This Row],[NAME]],COL_P[[NAME]:['#]],8,0)</f>
        <v>19</v>
      </c>
      <c r="K142" s="28">
        <f>VLOOKUP(Table107[[#This Row],[NAME]],COL_P[[NAME]:['#]],9,0)</f>
        <v>10</v>
      </c>
      <c r="L142" s="28">
        <f>VLOOKUP(Table107[[#This Row],[NAME]],COL_P[[NAME]:['#]],10,0)</f>
        <v>21</v>
      </c>
      <c r="M142" s="588">
        <f>VLOOKUP(Table107[[#This Row],[NAME]],COL_P[[NAME]:['#]],11,0)</f>
        <v>5</v>
      </c>
      <c r="N142" s="106">
        <f>VLOOKUP(Table107[[#This Row],[NAME]],COL_P[[NAME]:['#]],12,0)</f>
        <v>1.5769230769230769</v>
      </c>
      <c r="O142" s="77">
        <f>VLOOKUP(Table107[[#This Row],[NAME]],COL_P[[NAME]:['#]],13,0)</f>
        <v>0</v>
      </c>
      <c r="P142" s="28">
        <f>VLOOKUP(Table107[[#This Row],[NAME]],COL_P[[NAME]:['#]],14,0)</f>
        <v>0</v>
      </c>
      <c r="Q142" s="28">
        <f>VLOOKUP(Table107[[#This Row],[NAME]],COL_P[[NAME]:['#]],15,0)</f>
        <v>0</v>
      </c>
      <c r="R142" s="28">
        <f>VLOOKUP(Table107[[#This Row],[NAME]],COL_P[[NAME]:['#]],16,0)</f>
        <v>0</v>
      </c>
      <c r="S142" s="75">
        <v>140</v>
      </c>
      <c r="V142" s="136" t="s">
        <v>1229</v>
      </c>
      <c r="W142" s="137" t="s">
        <v>212</v>
      </c>
      <c r="X142" s="132" t="s">
        <v>1261</v>
      </c>
      <c r="Y142" s="88">
        <v>6.4116985376827893</v>
      </c>
      <c r="Z142" s="77">
        <v>1</v>
      </c>
      <c r="AA142" s="28">
        <v>3</v>
      </c>
      <c r="AB142" s="77">
        <v>19</v>
      </c>
      <c r="AC142" s="584">
        <v>26.67</v>
      </c>
      <c r="AD142" s="28">
        <v>33</v>
      </c>
      <c r="AE142" s="28">
        <v>19</v>
      </c>
      <c r="AF142" s="28">
        <v>14</v>
      </c>
      <c r="AG142" s="28">
        <v>22</v>
      </c>
      <c r="AH142" s="588">
        <v>4</v>
      </c>
      <c r="AI142" s="106">
        <v>1.7622797150356204</v>
      </c>
      <c r="AJ142" s="77">
        <v>0</v>
      </c>
      <c r="AK142" s="28">
        <v>0</v>
      </c>
      <c r="AL142" s="28">
        <v>0</v>
      </c>
      <c r="AM142" s="28">
        <v>0</v>
      </c>
      <c r="AN142" s="75">
        <v>140</v>
      </c>
      <c r="AQ142" s="101" t="s">
        <v>1229</v>
      </c>
      <c r="AR142" s="77" t="s">
        <v>212</v>
      </c>
      <c r="AS142" s="77" t="s">
        <v>1261</v>
      </c>
      <c r="AT142" s="135">
        <v>9.5294117647058822</v>
      </c>
      <c r="AU142" s="77">
        <v>2</v>
      </c>
      <c r="AV142" s="28">
        <v>3</v>
      </c>
      <c r="AW142" s="77">
        <v>17</v>
      </c>
      <c r="AX142" s="584">
        <v>17</v>
      </c>
      <c r="AY142" s="28">
        <v>20</v>
      </c>
      <c r="AZ142" s="28">
        <v>18</v>
      </c>
      <c r="BA142" s="28">
        <v>11</v>
      </c>
      <c r="BB142" s="28">
        <v>20</v>
      </c>
      <c r="BC142" s="28">
        <v>4</v>
      </c>
      <c r="BD142" s="106">
        <v>1.8235294117647058</v>
      </c>
      <c r="BE142" s="77">
        <v>0</v>
      </c>
      <c r="BF142" s="28">
        <v>0</v>
      </c>
      <c r="BG142" s="28">
        <v>0</v>
      </c>
      <c r="BH142" s="28">
        <v>0</v>
      </c>
      <c r="BI142" s="75">
        <v>140</v>
      </c>
    </row>
    <row r="143" spans="1:61">
      <c r="A143" s="136" t="s">
        <v>1265</v>
      </c>
      <c r="B143" s="115" t="s">
        <v>206</v>
      </c>
      <c r="C143" s="116" t="s">
        <v>1285</v>
      </c>
      <c r="D143" s="89">
        <f>VLOOKUP(Table107[[#This Row],[NAME]],ARI_P[[NAME]:['#]],2,0)</f>
        <v>3.4262220191868433</v>
      </c>
      <c r="E143" s="77">
        <f>VLOOKUP(Table107[[#This Row],[NAME]],ARI_P[[NAME]:['#]],3,0)</f>
        <v>5</v>
      </c>
      <c r="F143" s="28">
        <f>VLOOKUP(Table107[[#This Row],[NAME]],ARI_P[[NAME]:['#]],4,0)</f>
        <v>3</v>
      </c>
      <c r="G143" s="77">
        <f>VLOOKUP(Table107[[#This Row],[NAME]],ARI_P[[NAME]:['#]],5,0)</f>
        <v>10</v>
      </c>
      <c r="H143" s="584">
        <f>VLOOKUP(Table107[[#This Row],[NAME]],ARI_P[[NAME]:['#]],6,0)</f>
        <v>65.67</v>
      </c>
      <c r="I143" s="28">
        <f>VLOOKUP(Table107[[#This Row],[NAME]],ARI_P[[NAME]:['#]],7,0)</f>
        <v>65</v>
      </c>
      <c r="J143" s="28">
        <f>VLOOKUP(Table107[[#This Row],[NAME]],ARI_P[[NAME]:['#]],8,0)</f>
        <v>25</v>
      </c>
      <c r="K143" s="28">
        <f>VLOOKUP(Table107[[#This Row],[NAME]],ARI_P[[NAME]:['#]],9,0)</f>
        <v>18</v>
      </c>
      <c r="L143" s="28">
        <f>VLOOKUP(Table107[[#This Row],[NAME]],ARI_P[[NAME]:['#]],10,0)</f>
        <v>64</v>
      </c>
      <c r="M143" s="28">
        <f>VLOOKUP(Table107[[#This Row],[NAME]],ARI_P[[NAME]:['#]],11,0)</f>
        <v>0</v>
      </c>
      <c r="N143" s="106">
        <f>VLOOKUP(Table107[[#This Row],[NAME]],ARI_P[[NAME]:['#]],12,0)</f>
        <v>1.26389523374448</v>
      </c>
      <c r="O143" s="77">
        <f>VLOOKUP(Table107[[#This Row],[NAME]],ARI_P[[NAME]:['#]],13,0)</f>
        <v>6</v>
      </c>
      <c r="P143" s="28">
        <f>VLOOKUP(Table107[[#This Row],[NAME]],ARI_P[[NAME]:['#]],14,0)</f>
        <v>2</v>
      </c>
      <c r="Q143" s="28">
        <f>VLOOKUP(Table107[[#This Row],[NAME]],ARI_P[[NAME]:['#]],15,0)</f>
        <v>2</v>
      </c>
      <c r="R143" s="28">
        <f>VLOOKUP(Table107[[#This Row],[NAME]],ARI_P[[NAME]:['#]],16,0)</f>
        <v>2</v>
      </c>
      <c r="S143" s="75">
        <v>141</v>
      </c>
      <c r="V143" s="136" t="s">
        <v>1265</v>
      </c>
      <c r="W143" s="137" t="s">
        <v>206</v>
      </c>
      <c r="X143" s="132" t="s">
        <v>1285</v>
      </c>
      <c r="Y143" s="88">
        <v>3.9173014145810665</v>
      </c>
      <c r="Z143" s="77">
        <v>3</v>
      </c>
      <c r="AA143" s="28">
        <v>5</v>
      </c>
      <c r="AB143" s="77">
        <v>10</v>
      </c>
      <c r="AC143" s="584">
        <v>64.33</v>
      </c>
      <c r="AD143" s="28">
        <v>51</v>
      </c>
      <c r="AE143" s="28">
        <v>28</v>
      </c>
      <c r="AF143" s="28">
        <v>36</v>
      </c>
      <c r="AG143" s="28">
        <v>67</v>
      </c>
      <c r="AH143" s="28">
        <v>0</v>
      </c>
      <c r="AI143" s="106">
        <v>1.3524016788434634</v>
      </c>
      <c r="AJ143" s="77">
        <v>8</v>
      </c>
      <c r="AK143" s="28">
        <v>2</v>
      </c>
      <c r="AL143" s="28">
        <v>0</v>
      </c>
      <c r="AM143" s="28">
        <v>0</v>
      </c>
      <c r="AN143" s="75">
        <v>141</v>
      </c>
      <c r="AQ143" s="101" t="s">
        <v>1265</v>
      </c>
      <c r="AR143" s="77" t="s">
        <v>206</v>
      </c>
      <c r="AS143" s="77" t="s">
        <v>632</v>
      </c>
      <c r="AT143" s="135">
        <v>3.8382352941176472</v>
      </c>
      <c r="AU143" s="77">
        <v>3</v>
      </c>
      <c r="AV143" s="28">
        <v>6</v>
      </c>
      <c r="AW143" s="77">
        <v>10</v>
      </c>
      <c r="AX143" s="584">
        <v>68</v>
      </c>
      <c r="AY143" s="28">
        <v>54</v>
      </c>
      <c r="AZ143" s="28">
        <v>29</v>
      </c>
      <c r="BA143" s="28">
        <v>35</v>
      </c>
      <c r="BB143" s="28">
        <v>81</v>
      </c>
      <c r="BC143" s="28">
        <v>0</v>
      </c>
      <c r="BD143" s="106">
        <v>1.3088235294117647</v>
      </c>
      <c r="BE143" s="77">
        <v>4</v>
      </c>
      <c r="BF143" s="28">
        <v>4</v>
      </c>
      <c r="BG143" s="28">
        <v>2</v>
      </c>
      <c r="BH143" s="28">
        <v>1</v>
      </c>
      <c r="BI143" s="75">
        <v>141</v>
      </c>
    </row>
    <row r="144" spans="1:61">
      <c r="A144" s="136" t="s">
        <v>1265</v>
      </c>
      <c r="B144" s="115" t="s">
        <v>206</v>
      </c>
      <c r="C144" s="116" t="s">
        <v>1286</v>
      </c>
      <c r="D144" s="89">
        <f>VLOOKUP(Table107[[#This Row],[NAME]],ARI_P[[NAME]:['#]],2,0)</f>
        <v>3.0744096242388239</v>
      </c>
      <c r="E144" s="77">
        <f>VLOOKUP(Table107[[#This Row],[NAME]],ARI_P[[NAME]:['#]],3,0)</f>
        <v>5</v>
      </c>
      <c r="F144" s="28">
        <f>VLOOKUP(Table107[[#This Row],[NAME]],ARI_P[[NAME]:['#]],4,0)</f>
        <v>2</v>
      </c>
      <c r="G144" s="77">
        <f>VLOOKUP(Table107[[#This Row],[NAME]],ARI_P[[NAME]:['#]],5,0)</f>
        <v>10</v>
      </c>
      <c r="H144" s="584">
        <f>VLOOKUP(Table107[[#This Row],[NAME]],ARI_P[[NAME]:['#]],6,0)</f>
        <v>67.33</v>
      </c>
      <c r="I144" s="28">
        <f>VLOOKUP(Table107[[#This Row],[NAME]],ARI_P[[NAME]:['#]],7,0)</f>
        <v>58</v>
      </c>
      <c r="J144" s="28">
        <f>VLOOKUP(Table107[[#This Row],[NAME]],ARI_P[[NAME]:['#]],8,0)</f>
        <v>23</v>
      </c>
      <c r="K144" s="28">
        <f>VLOOKUP(Table107[[#This Row],[NAME]],ARI_P[[NAME]:['#]],9,0)</f>
        <v>17</v>
      </c>
      <c r="L144" s="28">
        <f>VLOOKUP(Table107[[#This Row],[NAME]],ARI_P[[NAME]:['#]],10,0)</f>
        <v>58</v>
      </c>
      <c r="M144" s="28">
        <f>VLOOKUP(Table107[[#This Row],[NAME]],ARI_P[[NAME]:['#]],11,0)</f>
        <v>0</v>
      </c>
      <c r="N144" s="106">
        <f>VLOOKUP(Table107[[#This Row],[NAME]],ARI_P[[NAME]:['#]],12,0)</f>
        <v>1.113916530521313</v>
      </c>
      <c r="O144" s="77">
        <f>VLOOKUP(Table107[[#This Row],[NAME]],ARI_P[[NAME]:['#]],13,0)</f>
        <v>8</v>
      </c>
      <c r="P144" s="28">
        <f>VLOOKUP(Table107[[#This Row],[NAME]],ARI_P[[NAME]:['#]],14,0)</f>
        <v>5</v>
      </c>
      <c r="Q144" s="28">
        <f>VLOOKUP(Table107[[#This Row],[NAME]],ARI_P[[NAME]:['#]],15,0)</f>
        <v>2</v>
      </c>
      <c r="R144" s="28">
        <f>VLOOKUP(Table107[[#This Row],[NAME]],ARI_P[[NAME]:['#]],16,0)</f>
        <v>2</v>
      </c>
      <c r="S144" s="75">
        <v>142</v>
      </c>
      <c r="V144" s="136" t="s">
        <v>1265</v>
      </c>
      <c r="W144" s="137" t="s">
        <v>206</v>
      </c>
      <c r="X144" s="132" t="s">
        <v>1286</v>
      </c>
      <c r="Y144" s="88">
        <v>6.0820834020108787</v>
      </c>
      <c r="Z144" s="77">
        <v>2</v>
      </c>
      <c r="AA144" s="28">
        <v>5</v>
      </c>
      <c r="AB144" s="77">
        <v>10</v>
      </c>
      <c r="AC144" s="584">
        <v>60.67</v>
      </c>
      <c r="AD144" s="28">
        <v>78</v>
      </c>
      <c r="AE144" s="28">
        <v>41</v>
      </c>
      <c r="AF144" s="28">
        <v>11</v>
      </c>
      <c r="AG144" s="28">
        <v>36</v>
      </c>
      <c r="AH144" s="28">
        <v>0</v>
      </c>
      <c r="AI144" s="106">
        <v>1.4669523652546563</v>
      </c>
      <c r="AJ144" s="77">
        <v>4</v>
      </c>
      <c r="AK144" s="28">
        <v>2</v>
      </c>
      <c r="AL144" s="28">
        <v>0</v>
      </c>
      <c r="AM144" s="28">
        <v>0</v>
      </c>
      <c r="AN144" s="75">
        <v>142</v>
      </c>
      <c r="AQ144" s="101" t="s">
        <v>1265</v>
      </c>
      <c r="AR144" s="77" t="s">
        <v>206</v>
      </c>
      <c r="AS144" s="77" t="s">
        <v>521</v>
      </c>
      <c r="AT144" s="135">
        <v>4.5</v>
      </c>
      <c r="AU144" s="77">
        <v>3</v>
      </c>
      <c r="AV144" s="28">
        <v>5</v>
      </c>
      <c r="AW144" s="77">
        <v>10</v>
      </c>
      <c r="AX144" s="584">
        <v>64</v>
      </c>
      <c r="AY144" s="28">
        <v>66</v>
      </c>
      <c r="AZ144" s="28">
        <v>32</v>
      </c>
      <c r="BA144" s="28">
        <v>20</v>
      </c>
      <c r="BB144" s="28">
        <v>71</v>
      </c>
      <c r="BC144" s="28">
        <v>0</v>
      </c>
      <c r="BD144" s="106">
        <v>1.34375</v>
      </c>
      <c r="BE144" s="77">
        <v>3</v>
      </c>
      <c r="BF144" s="28">
        <v>2</v>
      </c>
      <c r="BG144" s="28">
        <v>1</v>
      </c>
      <c r="BH144" s="28">
        <v>1</v>
      </c>
      <c r="BI144" s="75">
        <v>142</v>
      </c>
    </row>
    <row r="145" spans="1:61">
      <c r="A145" s="136" t="s">
        <v>1265</v>
      </c>
      <c r="B145" s="115" t="s">
        <v>206</v>
      </c>
      <c r="C145" s="116" t="s">
        <v>1287</v>
      </c>
      <c r="D145" s="89">
        <f>VLOOKUP(Table107[[#This Row],[NAME]],ARI_P[[NAME]:['#]],2,0)</f>
        <v>3.3576869267837712</v>
      </c>
      <c r="E145" s="77">
        <f>VLOOKUP(Table107[[#This Row],[NAME]],ARI_P[[NAME]:['#]],3,0)</f>
        <v>4</v>
      </c>
      <c r="F145" s="28">
        <f>VLOOKUP(Table107[[#This Row],[NAME]],ARI_P[[NAME]:['#]],4,0)</f>
        <v>4</v>
      </c>
      <c r="G145" s="77">
        <f>VLOOKUP(Table107[[#This Row],[NAME]],ARI_P[[NAME]:['#]],5,0)</f>
        <v>10</v>
      </c>
      <c r="H145" s="584">
        <f>VLOOKUP(Table107[[#This Row],[NAME]],ARI_P[[NAME]:['#]],6,0)</f>
        <v>64.33</v>
      </c>
      <c r="I145" s="28">
        <f>VLOOKUP(Table107[[#This Row],[NAME]],ARI_P[[NAME]:['#]],7,0)</f>
        <v>59</v>
      </c>
      <c r="J145" s="28">
        <f>VLOOKUP(Table107[[#This Row],[NAME]],ARI_P[[NAME]:['#]],8,0)</f>
        <v>24</v>
      </c>
      <c r="K145" s="28">
        <f>VLOOKUP(Table107[[#This Row],[NAME]],ARI_P[[NAME]:['#]],9,0)</f>
        <v>12</v>
      </c>
      <c r="L145" s="28">
        <f>VLOOKUP(Table107[[#This Row],[NAME]],ARI_P[[NAME]:['#]],10,0)</f>
        <v>61</v>
      </c>
      <c r="M145" s="28">
        <f>VLOOKUP(Table107[[#This Row],[NAME]],ARI_P[[NAME]:['#]],11,0)</f>
        <v>0</v>
      </c>
      <c r="N145" s="106">
        <f>VLOOKUP(Table107[[#This Row],[NAME]],ARI_P[[NAME]:['#]],12,0)</f>
        <v>1.1036841287113321</v>
      </c>
      <c r="O145" s="77">
        <f>VLOOKUP(Table107[[#This Row],[NAME]],ARI_P[[NAME]:['#]],13,0)</f>
        <v>7</v>
      </c>
      <c r="P145" s="28">
        <f>VLOOKUP(Table107[[#This Row],[NAME]],ARI_P[[NAME]:['#]],14,0)</f>
        <v>2</v>
      </c>
      <c r="Q145" s="28">
        <f>VLOOKUP(Table107[[#This Row],[NAME]],ARI_P[[NAME]:['#]],15,0)</f>
        <v>0</v>
      </c>
      <c r="R145" s="28">
        <f>VLOOKUP(Table107[[#This Row],[NAME]],ARI_P[[NAME]:['#]],16,0)</f>
        <v>0</v>
      </c>
      <c r="S145" s="75">
        <v>143</v>
      </c>
      <c r="V145" s="136" t="s">
        <v>1265</v>
      </c>
      <c r="W145" s="137" t="s">
        <v>365</v>
      </c>
      <c r="X145" s="132" t="s">
        <v>1287</v>
      </c>
      <c r="Y145" s="88">
        <v>4.3487014294342661</v>
      </c>
      <c r="Z145" s="77">
        <v>2</v>
      </c>
      <c r="AA145" s="28">
        <v>4</v>
      </c>
      <c r="AB145" s="77">
        <v>10</v>
      </c>
      <c r="AC145" s="584">
        <v>49.67</v>
      </c>
      <c r="AD145" s="28">
        <v>54</v>
      </c>
      <c r="AE145" s="28">
        <v>24</v>
      </c>
      <c r="AF145" s="28">
        <v>17</v>
      </c>
      <c r="AG145" s="28">
        <v>49</v>
      </c>
      <c r="AH145" s="28">
        <v>0</v>
      </c>
      <c r="AI145" s="106">
        <v>1.4294342661566337</v>
      </c>
      <c r="AJ145" s="77">
        <v>3</v>
      </c>
      <c r="AK145" s="28">
        <v>2</v>
      </c>
      <c r="AL145" s="28">
        <v>0</v>
      </c>
      <c r="AM145" s="28">
        <v>0</v>
      </c>
      <c r="AN145" s="75">
        <v>143</v>
      </c>
      <c r="AQ145" s="101" t="s">
        <v>1265</v>
      </c>
      <c r="AR145" s="77" t="s">
        <v>206</v>
      </c>
      <c r="AS145" s="77" t="s">
        <v>1285</v>
      </c>
      <c r="AT145" s="135">
        <v>4.6596619460941069</v>
      </c>
      <c r="AU145" s="77">
        <v>4</v>
      </c>
      <c r="AV145" s="28">
        <v>3</v>
      </c>
      <c r="AW145" s="77">
        <v>10</v>
      </c>
      <c r="AX145" s="584">
        <v>65.67</v>
      </c>
      <c r="AY145" s="28">
        <v>66</v>
      </c>
      <c r="AZ145" s="28">
        <v>34</v>
      </c>
      <c r="BA145" s="28">
        <v>31</v>
      </c>
      <c r="BB145" s="28">
        <v>80</v>
      </c>
      <c r="BC145" s="28">
        <v>0</v>
      </c>
      <c r="BD145" s="106">
        <v>1.4770823816049947</v>
      </c>
      <c r="BE145" s="77">
        <v>5</v>
      </c>
      <c r="BF145" s="28">
        <v>3</v>
      </c>
      <c r="BG145" s="28">
        <v>0</v>
      </c>
      <c r="BH145" s="28">
        <v>0</v>
      </c>
      <c r="BI145" s="75">
        <v>143</v>
      </c>
    </row>
    <row r="146" spans="1:61">
      <c r="A146" s="136" t="s">
        <v>1265</v>
      </c>
      <c r="B146" s="115" t="s">
        <v>206</v>
      </c>
      <c r="C146" s="116" t="s">
        <v>1288</v>
      </c>
      <c r="D146" s="89">
        <f>VLOOKUP(Table107[[#This Row],[NAME]],ARI_P[[NAME]:['#]],2,0)</f>
        <v>6.0963808786529903</v>
      </c>
      <c r="E146" s="77">
        <f>VLOOKUP(Table107[[#This Row],[NAME]],ARI_P[[NAME]:['#]],3,0)</f>
        <v>3</v>
      </c>
      <c r="F146" s="28">
        <f>VLOOKUP(Table107[[#This Row],[NAME]],ARI_P[[NAME]:['#]],4,0)</f>
        <v>5</v>
      </c>
      <c r="G146" s="77">
        <f>VLOOKUP(Table107[[#This Row],[NAME]],ARI_P[[NAME]:['#]],5,0)</f>
        <v>10</v>
      </c>
      <c r="H146" s="584">
        <f>VLOOKUP(Table107[[#This Row],[NAME]],ARI_P[[NAME]:['#]],6,0)</f>
        <v>51.67</v>
      </c>
      <c r="I146" s="28">
        <f>VLOOKUP(Table107[[#This Row],[NAME]],ARI_P[[NAME]:['#]],7,0)</f>
        <v>63</v>
      </c>
      <c r="J146" s="28">
        <f>VLOOKUP(Table107[[#This Row],[NAME]],ARI_P[[NAME]:['#]],8,0)</f>
        <v>35</v>
      </c>
      <c r="K146" s="28">
        <f>VLOOKUP(Table107[[#This Row],[NAME]],ARI_P[[NAME]:['#]],9,0)</f>
        <v>8</v>
      </c>
      <c r="L146" s="28">
        <f>VLOOKUP(Table107[[#This Row],[NAME]],ARI_P[[NAME]:['#]],10,0)</f>
        <v>31</v>
      </c>
      <c r="M146" s="28">
        <f>VLOOKUP(Table107[[#This Row],[NAME]],ARI_P[[NAME]:['#]],11,0)</f>
        <v>0</v>
      </c>
      <c r="N146" s="106">
        <f>VLOOKUP(Table107[[#This Row],[NAME]],ARI_P[[NAME]:['#]],12,0)</f>
        <v>1.3741048964582929</v>
      </c>
      <c r="O146" s="77">
        <f>VLOOKUP(Table107[[#This Row],[NAME]],ARI_P[[NAME]:['#]],13,0)</f>
        <v>2</v>
      </c>
      <c r="P146" s="28">
        <f>VLOOKUP(Table107[[#This Row],[NAME]],ARI_P[[NAME]:['#]],14,0)</f>
        <v>1</v>
      </c>
      <c r="Q146" s="28">
        <f>VLOOKUP(Table107[[#This Row],[NAME]],ARI_P[[NAME]:['#]],15,0)</f>
        <v>0</v>
      </c>
      <c r="R146" s="28">
        <f>VLOOKUP(Table107[[#This Row],[NAME]],ARI_P[[NAME]:['#]],16,0)</f>
        <v>0</v>
      </c>
      <c r="S146" s="75">
        <v>144</v>
      </c>
      <c r="V146" s="136" t="s">
        <v>1265</v>
      </c>
      <c r="W146" s="137" t="s">
        <v>365</v>
      </c>
      <c r="X146" s="132" t="s">
        <v>1288</v>
      </c>
      <c r="Y146" s="88">
        <v>3.6406539693241196</v>
      </c>
      <c r="Z146" s="77">
        <v>2</v>
      </c>
      <c r="AA146" s="28">
        <v>4</v>
      </c>
      <c r="AB146" s="77">
        <v>10</v>
      </c>
      <c r="AC146" s="584">
        <v>59.33</v>
      </c>
      <c r="AD146" s="28">
        <v>55</v>
      </c>
      <c r="AE146" s="28">
        <v>24</v>
      </c>
      <c r="AF146" s="28">
        <v>29</v>
      </c>
      <c r="AG146" s="28">
        <v>54</v>
      </c>
      <c r="AH146" s="28">
        <v>0</v>
      </c>
      <c r="AI146" s="106">
        <v>1.4158098769593799</v>
      </c>
      <c r="AJ146" s="77">
        <v>7</v>
      </c>
      <c r="AK146" s="28">
        <v>1</v>
      </c>
      <c r="AL146" s="28">
        <v>0</v>
      </c>
      <c r="AM146" s="28">
        <v>0</v>
      </c>
      <c r="AN146" s="75">
        <v>144</v>
      </c>
      <c r="AQ146" s="101" t="s">
        <v>1265</v>
      </c>
      <c r="AR146" s="77" t="s">
        <v>206</v>
      </c>
      <c r="AS146" s="77" t="s">
        <v>1286</v>
      </c>
      <c r="AT146" s="135">
        <v>5.0721034311287916</v>
      </c>
      <c r="AU146" s="77">
        <v>4</v>
      </c>
      <c r="AV146" s="28">
        <v>3</v>
      </c>
      <c r="AW146" s="77">
        <v>10</v>
      </c>
      <c r="AX146" s="584">
        <v>60.33</v>
      </c>
      <c r="AY146" s="28">
        <v>73</v>
      </c>
      <c r="AZ146" s="28">
        <v>34</v>
      </c>
      <c r="BA146" s="28">
        <v>23</v>
      </c>
      <c r="BB146" s="28">
        <v>43</v>
      </c>
      <c r="BC146" s="28">
        <v>0</v>
      </c>
      <c r="BD146" s="106">
        <v>1.5912481352560914</v>
      </c>
      <c r="BE146" s="77">
        <v>6</v>
      </c>
      <c r="BF146" s="28">
        <v>4</v>
      </c>
      <c r="BG146" s="28">
        <v>0</v>
      </c>
      <c r="BH146" s="28">
        <v>0</v>
      </c>
      <c r="BI146" s="75">
        <v>144</v>
      </c>
    </row>
    <row r="147" spans="1:61">
      <c r="A147" s="136" t="s">
        <v>1265</v>
      </c>
      <c r="B147" s="115" t="s">
        <v>212</v>
      </c>
      <c r="C147" s="116" t="s">
        <v>894</v>
      </c>
      <c r="D147" s="89">
        <f>VLOOKUP(Table107[[#This Row],[NAME]],ARI_P[[NAME]:['#]],2,0)</f>
        <v>3.0848329048843186</v>
      </c>
      <c r="E147" s="77">
        <f>VLOOKUP(Table107[[#This Row],[NAME]],ARI_P[[NAME]:['#]],3,0)</f>
        <v>0</v>
      </c>
      <c r="F147" s="28">
        <f>VLOOKUP(Table107[[#This Row],[NAME]],ARI_P[[NAME]:['#]],4,0)</f>
        <v>0</v>
      </c>
      <c r="G147" s="77">
        <f>VLOOKUP(Table107[[#This Row],[NAME]],ARI_P[[NAME]:['#]],5,0)</f>
        <v>5</v>
      </c>
      <c r="H147" s="584">
        <f>VLOOKUP(Table107[[#This Row],[NAME]],ARI_P[[NAME]:['#]],6,0)</f>
        <v>11.67</v>
      </c>
      <c r="I147" s="28">
        <f>VLOOKUP(Table107[[#This Row],[NAME]],ARI_P[[NAME]:['#]],7,0)</f>
        <v>7</v>
      </c>
      <c r="J147" s="28">
        <f>VLOOKUP(Table107[[#This Row],[NAME]],ARI_P[[NAME]:['#]],8,0)</f>
        <v>4</v>
      </c>
      <c r="K147" s="28">
        <f>VLOOKUP(Table107[[#This Row],[NAME]],ARI_P[[NAME]:['#]],9,0)</f>
        <v>2</v>
      </c>
      <c r="L147" s="28">
        <f>VLOOKUP(Table107[[#This Row],[NAME]],ARI_P[[NAME]:['#]],10,0)</f>
        <v>10</v>
      </c>
      <c r="M147" s="28">
        <f>VLOOKUP(Table107[[#This Row],[NAME]],ARI_P[[NAME]:['#]],11,0)</f>
        <v>0</v>
      </c>
      <c r="N147" s="106">
        <f>VLOOKUP(Table107[[#This Row],[NAME]],ARI_P[[NAME]:['#]],12,0)</f>
        <v>0.77120822622107965</v>
      </c>
      <c r="O147" s="77">
        <f>VLOOKUP(Table107[[#This Row],[NAME]],ARI_P[[NAME]:['#]],13,0)</f>
        <v>0</v>
      </c>
      <c r="P147" s="28">
        <f>VLOOKUP(Table107[[#This Row],[NAME]],ARI_P[[NAME]:['#]],14,0)</f>
        <v>0</v>
      </c>
      <c r="Q147" s="28">
        <f>VLOOKUP(Table107[[#This Row],[NAME]],ARI_P[[NAME]:['#]],15,0)</f>
        <v>0</v>
      </c>
      <c r="R147" s="28">
        <f>VLOOKUP(Table107[[#This Row],[NAME]],ARI_P[[NAME]:['#]],16,0)</f>
        <v>0</v>
      </c>
      <c r="S147" s="75">
        <v>145</v>
      </c>
      <c r="V147" s="136" t="s">
        <v>1265</v>
      </c>
      <c r="W147" s="137" t="s">
        <v>215</v>
      </c>
      <c r="X147" s="132" t="s">
        <v>1289</v>
      </c>
      <c r="Y147" s="88">
        <v>6.3291139240506338</v>
      </c>
      <c r="Z147" s="77">
        <v>0</v>
      </c>
      <c r="AA147" s="28">
        <v>2</v>
      </c>
      <c r="AB147" s="77">
        <v>6</v>
      </c>
      <c r="AC147" s="584">
        <v>21.33</v>
      </c>
      <c r="AD147" s="28">
        <v>25</v>
      </c>
      <c r="AE147" s="28">
        <v>15</v>
      </c>
      <c r="AF147" s="28">
        <v>13</v>
      </c>
      <c r="AG147" s="28">
        <v>17</v>
      </c>
      <c r="AH147" s="28">
        <v>0</v>
      </c>
      <c r="AI147" s="106">
        <v>1.7815283638068449</v>
      </c>
      <c r="AJ147" s="77">
        <v>0</v>
      </c>
      <c r="AK147" s="28">
        <v>0</v>
      </c>
      <c r="AL147" s="28">
        <v>0</v>
      </c>
      <c r="AM147" s="28">
        <v>0</v>
      </c>
      <c r="AN147" s="75">
        <v>145</v>
      </c>
      <c r="AQ147" s="101" t="s">
        <v>1265</v>
      </c>
      <c r="AR147" s="77" t="s">
        <v>212</v>
      </c>
      <c r="AS147" s="77" t="s">
        <v>1292</v>
      </c>
      <c r="AT147" s="135">
        <v>8.6934417895271974</v>
      </c>
      <c r="AU147" s="77">
        <v>1</v>
      </c>
      <c r="AV147" s="28">
        <v>3</v>
      </c>
      <c r="AW147" s="77">
        <v>15</v>
      </c>
      <c r="AX147" s="584">
        <v>19.670000000000002</v>
      </c>
      <c r="AY147" s="28">
        <v>32</v>
      </c>
      <c r="AZ147" s="28">
        <v>19</v>
      </c>
      <c r="BA147" s="28">
        <v>5</v>
      </c>
      <c r="BB147" s="28">
        <v>17</v>
      </c>
      <c r="BC147" s="28">
        <v>0</v>
      </c>
      <c r="BD147" s="106">
        <v>1.8810371123538381</v>
      </c>
      <c r="BE147" s="77">
        <v>0</v>
      </c>
      <c r="BF147" s="28">
        <v>0</v>
      </c>
      <c r="BG147" s="28">
        <v>0</v>
      </c>
      <c r="BH147" s="28">
        <v>0</v>
      </c>
      <c r="BI147" s="75">
        <v>145</v>
      </c>
    </row>
    <row r="148" spans="1:61">
      <c r="A148" s="136" t="s">
        <v>1265</v>
      </c>
      <c r="B148" s="115" t="s">
        <v>212</v>
      </c>
      <c r="C148" s="116" t="s">
        <v>1290</v>
      </c>
      <c r="D148" s="89">
        <f>VLOOKUP(Table107[[#This Row],[NAME]],ARI_P[[NAME]:['#]],2,0)</f>
        <v>7.875</v>
      </c>
      <c r="E148" s="77">
        <f>VLOOKUP(Table107[[#This Row],[NAME]],ARI_P[[NAME]:['#]],3,0)</f>
        <v>2</v>
      </c>
      <c r="F148" s="28">
        <f>VLOOKUP(Table107[[#This Row],[NAME]],ARI_P[[NAME]:['#]],4,0)</f>
        <v>3</v>
      </c>
      <c r="G148" s="77">
        <f>VLOOKUP(Table107[[#This Row],[NAME]],ARI_P[[NAME]:['#]],5,0)</f>
        <v>16</v>
      </c>
      <c r="H148" s="584">
        <f>VLOOKUP(Table107[[#This Row],[NAME]],ARI_P[[NAME]:['#]],6,0)</f>
        <v>16</v>
      </c>
      <c r="I148" s="28">
        <f>VLOOKUP(Table107[[#This Row],[NAME]],ARI_P[[NAME]:['#]],7,0)</f>
        <v>21</v>
      </c>
      <c r="J148" s="28">
        <f>VLOOKUP(Table107[[#This Row],[NAME]],ARI_P[[NAME]:['#]],8,0)</f>
        <v>14</v>
      </c>
      <c r="K148" s="28">
        <f>VLOOKUP(Table107[[#This Row],[NAME]],ARI_P[[NAME]:['#]],9,0)</f>
        <v>8</v>
      </c>
      <c r="L148" s="28">
        <f>VLOOKUP(Table107[[#This Row],[NAME]],ARI_P[[NAME]:['#]],10,0)</f>
        <v>13</v>
      </c>
      <c r="M148" s="28">
        <f>VLOOKUP(Table107[[#This Row],[NAME]],ARI_P[[NAME]:['#]],11,0)</f>
        <v>0</v>
      </c>
      <c r="N148" s="106">
        <f>VLOOKUP(Table107[[#This Row],[NAME]],ARI_P[[NAME]:['#]],12,0)</f>
        <v>1.8125</v>
      </c>
      <c r="O148" s="77">
        <f>VLOOKUP(Table107[[#This Row],[NAME]],ARI_P[[NAME]:['#]],13,0)</f>
        <v>0</v>
      </c>
      <c r="P148" s="28">
        <f>VLOOKUP(Table107[[#This Row],[NAME]],ARI_P[[NAME]:['#]],14,0)</f>
        <v>0</v>
      </c>
      <c r="Q148" s="28">
        <f>VLOOKUP(Table107[[#This Row],[NAME]],ARI_P[[NAME]:['#]],15,0)</f>
        <v>0</v>
      </c>
      <c r="R148" s="28">
        <f>VLOOKUP(Table107[[#This Row],[NAME]],ARI_P[[NAME]:['#]],16,0)</f>
        <v>0</v>
      </c>
      <c r="S148" s="75">
        <v>146</v>
      </c>
      <c r="V148" s="136" t="s">
        <v>1265</v>
      </c>
      <c r="W148" s="137" t="s">
        <v>212</v>
      </c>
      <c r="X148" s="132" t="s">
        <v>1290</v>
      </c>
      <c r="Y148" s="88">
        <v>9</v>
      </c>
      <c r="Z148" s="77">
        <v>2</v>
      </c>
      <c r="AA148" s="28">
        <v>1</v>
      </c>
      <c r="AB148" s="77">
        <v>15</v>
      </c>
      <c r="AC148" s="584">
        <v>17</v>
      </c>
      <c r="AD148" s="28">
        <v>19</v>
      </c>
      <c r="AE148" s="28">
        <v>17</v>
      </c>
      <c r="AF148" s="28">
        <v>24</v>
      </c>
      <c r="AG148" s="28">
        <v>18</v>
      </c>
      <c r="AH148" s="28">
        <v>0</v>
      </c>
      <c r="AI148" s="106">
        <v>2.5294117647058822</v>
      </c>
      <c r="AJ148" s="77">
        <v>0</v>
      </c>
      <c r="AK148" s="28">
        <v>0</v>
      </c>
      <c r="AL148" s="28">
        <v>0</v>
      </c>
      <c r="AM148" s="28">
        <v>0</v>
      </c>
      <c r="AN148" s="75">
        <v>146</v>
      </c>
      <c r="AQ148" s="101" t="s">
        <v>1265</v>
      </c>
      <c r="AR148" s="77" t="s">
        <v>212</v>
      </c>
      <c r="AS148" s="77" t="s">
        <v>1290</v>
      </c>
      <c r="AT148" s="135">
        <v>12</v>
      </c>
      <c r="AU148" s="77">
        <v>0</v>
      </c>
      <c r="AV148" s="28">
        <v>0</v>
      </c>
      <c r="AW148" s="77">
        <v>1</v>
      </c>
      <c r="AX148" s="584">
        <v>3</v>
      </c>
      <c r="AY148" s="28">
        <v>8</v>
      </c>
      <c r="AZ148" s="28">
        <v>4</v>
      </c>
      <c r="BA148" s="28">
        <v>1</v>
      </c>
      <c r="BB148" s="28">
        <v>2</v>
      </c>
      <c r="BC148" s="28">
        <v>0</v>
      </c>
      <c r="BD148" s="106">
        <v>3</v>
      </c>
      <c r="BE148" s="77">
        <v>0</v>
      </c>
      <c r="BF148" s="28">
        <v>0</v>
      </c>
      <c r="BG148" s="28">
        <v>0</v>
      </c>
      <c r="BH148" s="28">
        <v>0</v>
      </c>
      <c r="BI148" s="75">
        <v>146</v>
      </c>
    </row>
    <row r="149" spans="1:61">
      <c r="A149" s="136" t="s">
        <v>1265</v>
      </c>
      <c r="B149" s="115" t="s">
        <v>212</v>
      </c>
      <c r="C149" s="116" t="s">
        <v>1291</v>
      </c>
      <c r="D149" s="89">
        <f>VLOOKUP(Table107[[#This Row],[NAME]],ARI_P[[NAME]:['#]],2,0)</f>
        <v>3.8560411311053984</v>
      </c>
      <c r="E149" s="77">
        <f>VLOOKUP(Table107[[#This Row],[NAME]],ARI_P[[NAME]:['#]],3,0)</f>
        <v>1</v>
      </c>
      <c r="F149" s="28">
        <f>VLOOKUP(Table107[[#This Row],[NAME]],ARI_P[[NAME]:['#]],4,0)</f>
        <v>0</v>
      </c>
      <c r="G149" s="77">
        <f>VLOOKUP(Table107[[#This Row],[NAME]],ARI_P[[NAME]:['#]],5,0)</f>
        <v>9</v>
      </c>
      <c r="H149" s="584">
        <f>VLOOKUP(Table107[[#This Row],[NAME]],ARI_P[[NAME]:['#]],6,0)</f>
        <v>11.67</v>
      </c>
      <c r="I149" s="28">
        <f>VLOOKUP(Table107[[#This Row],[NAME]],ARI_P[[NAME]:['#]],7,0)</f>
        <v>8</v>
      </c>
      <c r="J149" s="28">
        <f>VLOOKUP(Table107[[#This Row],[NAME]],ARI_P[[NAME]:['#]],8,0)</f>
        <v>5</v>
      </c>
      <c r="K149" s="28">
        <f>VLOOKUP(Table107[[#This Row],[NAME]],ARI_P[[NAME]:['#]],9,0)</f>
        <v>11</v>
      </c>
      <c r="L149" s="28">
        <f>VLOOKUP(Table107[[#This Row],[NAME]],ARI_P[[NAME]:['#]],10,0)</f>
        <v>13</v>
      </c>
      <c r="M149" s="28">
        <f>VLOOKUP(Table107[[#This Row],[NAME]],ARI_P[[NAME]:['#]],11,0)</f>
        <v>0</v>
      </c>
      <c r="N149" s="106">
        <f>VLOOKUP(Table107[[#This Row],[NAME]],ARI_P[[NAME]:['#]],12,0)</f>
        <v>1.6281062553556127</v>
      </c>
      <c r="O149" s="77">
        <f>VLOOKUP(Table107[[#This Row],[NAME]],ARI_P[[NAME]:['#]],13,0)</f>
        <v>0</v>
      </c>
      <c r="P149" s="28">
        <f>VLOOKUP(Table107[[#This Row],[NAME]],ARI_P[[NAME]:['#]],14,0)</f>
        <v>0</v>
      </c>
      <c r="Q149" s="28">
        <f>VLOOKUP(Table107[[#This Row],[NAME]],ARI_P[[NAME]:['#]],15,0)</f>
        <v>0</v>
      </c>
      <c r="R149" s="28">
        <f>VLOOKUP(Table107[[#This Row],[NAME]],ARI_P[[NAME]:['#]],16,0)</f>
        <v>0</v>
      </c>
      <c r="S149" s="75">
        <v>147</v>
      </c>
      <c r="V149" s="136" t="s">
        <v>1265</v>
      </c>
      <c r="W149" s="137" t="s">
        <v>212</v>
      </c>
      <c r="X149" s="132" t="s">
        <v>1291</v>
      </c>
      <c r="Y149" s="88">
        <v>3.8571428571428572</v>
      </c>
      <c r="Z149" s="77">
        <v>0</v>
      </c>
      <c r="AA149" s="28">
        <v>1</v>
      </c>
      <c r="AB149" s="77">
        <v>12</v>
      </c>
      <c r="AC149" s="584">
        <v>14</v>
      </c>
      <c r="AD149" s="28">
        <v>14</v>
      </c>
      <c r="AE149" s="28">
        <v>6</v>
      </c>
      <c r="AF149" s="28">
        <v>4</v>
      </c>
      <c r="AG149" s="28">
        <v>11</v>
      </c>
      <c r="AH149" s="28">
        <v>0</v>
      </c>
      <c r="AI149" s="106">
        <v>1.2857142857142858</v>
      </c>
      <c r="AJ149" s="77">
        <v>0</v>
      </c>
      <c r="AK149" s="28">
        <v>0</v>
      </c>
      <c r="AL149" s="28">
        <v>0</v>
      </c>
      <c r="AM149" s="28">
        <v>0</v>
      </c>
      <c r="AN149" s="75">
        <v>147</v>
      </c>
      <c r="AQ149" s="101" t="s">
        <v>1265</v>
      </c>
      <c r="AR149" s="77" t="s">
        <v>212</v>
      </c>
      <c r="AS149" s="77" t="s">
        <v>1291</v>
      </c>
      <c r="AT149" s="135">
        <v>10.8</v>
      </c>
      <c r="AU149" s="77">
        <v>0</v>
      </c>
      <c r="AV149" s="28">
        <v>1</v>
      </c>
      <c r="AW149" s="77">
        <v>12</v>
      </c>
      <c r="AX149" s="584">
        <v>15</v>
      </c>
      <c r="AY149" s="28">
        <v>22</v>
      </c>
      <c r="AZ149" s="28">
        <v>18</v>
      </c>
      <c r="BA149" s="28">
        <v>10</v>
      </c>
      <c r="BB149" s="28">
        <v>12</v>
      </c>
      <c r="BC149" s="28">
        <v>0</v>
      </c>
      <c r="BD149" s="106">
        <v>2.1333333333333333</v>
      </c>
      <c r="BE149" s="77">
        <v>0</v>
      </c>
      <c r="BF149" s="28">
        <v>0</v>
      </c>
      <c r="BG149" s="28">
        <v>0</v>
      </c>
      <c r="BH149" s="28">
        <v>0</v>
      </c>
      <c r="BI149" s="75">
        <v>147</v>
      </c>
    </row>
    <row r="150" spans="1:61">
      <c r="A150" s="136" t="s">
        <v>1265</v>
      </c>
      <c r="B150" s="115" t="s">
        <v>212</v>
      </c>
      <c r="C150" s="116" t="s">
        <v>1293</v>
      </c>
      <c r="D150" s="89">
        <f>VLOOKUP(Table107[[#This Row],[NAME]],ARI_P[[NAME]:['#]],2,0)</f>
        <v>11</v>
      </c>
      <c r="E150" s="77">
        <f>VLOOKUP(Table107[[#This Row],[NAME]],ARI_P[[NAME]:['#]],3,0)</f>
        <v>1</v>
      </c>
      <c r="F150" s="28">
        <f>VLOOKUP(Table107[[#This Row],[NAME]],ARI_P[[NAME]:['#]],4,0)</f>
        <v>1</v>
      </c>
      <c r="G150" s="77">
        <f>VLOOKUP(Table107[[#This Row],[NAME]],ARI_P[[NAME]:['#]],5,0)</f>
        <v>16</v>
      </c>
      <c r="H150" s="584">
        <f>VLOOKUP(Table107[[#This Row],[NAME]],ARI_P[[NAME]:['#]],6,0)</f>
        <v>18</v>
      </c>
      <c r="I150" s="28">
        <f>VLOOKUP(Table107[[#This Row],[NAME]],ARI_P[[NAME]:['#]],7,0)</f>
        <v>22</v>
      </c>
      <c r="J150" s="28">
        <f>VLOOKUP(Table107[[#This Row],[NAME]],ARI_P[[NAME]:['#]],8,0)</f>
        <v>22</v>
      </c>
      <c r="K150" s="28">
        <f>VLOOKUP(Table107[[#This Row],[NAME]],ARI_P[[NAME]:['#]],9,0)</f>
        <v>9</v>
      </c>
      <c r="L150" s="28">
        <f>VLOOKUP(Table107[[#This Row],[NAME]],ARI_P[[NAME]:['#]],10,0)</f>
        <v>18</v>
      </c>
      <c r="M150" s="28">
        <f>VLOOKUP(Table107[[#This Row],[NAME]],ARI_P[[NAME]:['#]],11,0)</f>
        <v>0</v>
      </c>
      <c r="N150" s="106">
        <f>VLOOKUP(Table107[[#This Row],[NAME]],ARI_P[[NAME]:['#]],12,0)</f>
        <v>1.7222222222222223</v>
      </c>
      <c r="O150" s="77">
        <f>VLOOKUP(Table107[[#This Row],[NAME]],ARI_P[[NAME]:['#]],13,0)</f>
        <v>0</v>
      </c>
      <c r="P150" s="28">
        <f>VLOOKUP(Table107[[#This Row],[NAME]],ARI_P[[NAME]:['#]],14,0)</f>
        <v>0</v>
      </c>
      <c r="Q150" s="28">
        <f>VLOOKUP(Table107[[#This Row],[NAME]],ARI_P[[NAME]:['#]],15,0)</f>
        <v>0</v>
      </c>
      <c r="R150" s="28">
        <f>VLOOKUP(Table107[[#This Row],[NAME]],ARI_P[[NAME]:['#]],16,0)</f>
        <v>0</v>
      </c>
      <c r="S150" s="75">
        <v>148</v>
      </c>
      <c r="V150" s="136" t="s">
        <v>1265</v>
      </c>
      <c r="W150" s="137" t="s">
        <v>212</v>
      </c>
      <c r="X150" s="132" t="s">
        <v>1293</v>
      </c>
      <c r="Y150" s="88">
        <v>6.5666801783542761</v>
      </c>
      <c r="Z150" s="77">
        <v>1</v>
      </c>
      <c r="AA150" s="28">
        <v>3</v>
      </c>
      <c r="AB150" s="77">
        <v>19</v>
      </c>
      <c r="AC150" s="584">
        <v>24.67</v>
      </c>
      <c r="AD150" s="28">
        <v>26</v>
      </c>
      <c r="AE150" s="28">
        <v>18</v>
      </c>
      <c r="AF150" s="28">
        <v>21</v>
      </c>
      <c r="AG150" s="28">
        <v>26</v>
      </c>
      <c r="AH150" s="28">
        <v>0</v>
      </c>
      <c r="AI150" s="106">
        <v>1.9051479529793269</v>
      </c>
      <c r="AJ150" s="77">
        <v>0</v>
      </c>
      <c r="AK150" s="28">
        <v>0</v>
      </c>
      <c r="AL150" s="28">
        <v>0</v>
      </c>
      <c r="AM150" s="28">
        <v>0</v>
      </c>
      <c r="AN150" s="75">
        <v>148</v>
      </c>
      <c r="AQ150" s="101" t="s">
        <v>1265</v>
      </c>
      <c r="AR150" s="77" t="s">
        <v>212</v>
      </c>
      <c r="AS150" s="77" t="s">
        <v>1293</v>
      </c>
      <c r="AT150" s="135">
        <v>8.1818181818181817</v>
      </c>
      <c r="AU150" s="77">
        <v>0</v>
      </c>
      <c r="AV150" s="28">
        <v>0</v>
      </c>
      <c r="AW150" s="77">
        <v>8</v>
      </c>
      <c r="AX150" s="584">
        <v>11</v>
      </c>
      <c r="AY150" s="28">
        <v>13</v>
      </c>
      <c r="AZ150" s="28">
        <v>10</v>
      </c>
      <c r="BA150" s="28">
        <v>8</v>
      </c>
      <c r="BB150" s="28">
        <v>7</v>
      </c>
      <c r="BC150" s="28">
        <v>0</v>
      </c>
      <c r="BD150" s="106">
        <v>1.9090909090909092</v>
      </c>
      <c r="BE150" s="77">
        <v>0</v>
      </c>
      <c r="BF150" s="28">
        <v>0</v>
      </c>
      <c r="BG150" s="28">
        <v>0</v>
      </c>
      <c r="BH150" s="28">
        <v>0</v>
      </c>
      <c r="BI150" s="75">
        <v>148</v>
      </c>
    </row>
    <row r="151" spans="1:61">
      <c r="A151" s="136" t="s">
        <v>1265</v>
      </c>
      <c r="B151" s="115" t="s">
        <v>212</v>
      </c>
      <c r="C151" s="115" t="s">
        <v>1294</v>
      </c>
      <c r="D151" s="347">
        <f>VLOOKUP(Table107[[#This Row],[NAME]],ARI_P[[NAME]:['#]],2,0)</f>
        <v>1.2459621596677433</v>
      </c>
      <c r="E151" s="77">
        <f>VLOOKUP(Table107[[#This Row],[NAME]],ARI_P[[NAME]:['#]],3,0)</f>
        <v>0</v>
      </c>
      <c r="F151" s="28">
        <f>VLOOKUP(Table107[[#This Row],[NAME]],ARI_P[[NAME]:['#]],4,0)</f>
        <v>1</v>
      </c>
      <c r="G151" s="77">
        <f>VLOOKUP(Table107[[#This Row],[NAME]],ARI_P[[NAME]:['#]],5,0)</f>
        <v>21</v>
      </c>
      <c r="H151" s="584">
        <f>VLOOKUP(Table107[[#This Row],[NAME]],ARI_P[[NAME]:['#]],6,0)</f>
        <v>21.67</v>
      </c>
      <c r="I151" s="28">
        <f>VLOOKUP(Table107[[#This Row],[NAME]],ARI_P[[NAME]:['#]],7,0)</f>
        <v>12</v>
      </c>
      <c r="J151" s="28">
        <f>VLOOKUP(Table107[[#This Row],[NAME]],ARI_P[[NAME]:['#]],8,0)</f>
        <v>3</v>
      </c>
      <c r="K151" s="28">
        <f>VLOOKUP(Table107[[#This Row],[NAME]],ARI_P[[NAME]:['#]],9,0)</f>
        <v>7</v>
      </c>
      <c r="L151" s="28">
        <f>VLOOKUP(Table107[[#This Row],[NAME]],ARI_P[[NAME]:['#]],10,0)</f>
        <v>11</v>
      </c>
      <c r="M151" s="28">
        <f>VLOOKUP(Table107[[#This Row],[NAME]],ARI_P[[NAME]:['#]],11,0)</f>
        <v>0</v>
      </c>
      <c r="N151" s="106">
        <f>VLOOKUP(Table107[[#This Row],[NAME]],ARI_P[[NAME]:['#]],12,0)</f>
        <v>0.87678818643285639</v>
      </c>
      <c r="O151" s="77">
        <f>VLOOKUP(Table107[[#This Row],[NAME]],ARI_P[[NAME]:['#]],13,0)</f>
        <v>0</v>
      </c>
      <c r="P151" s="28">
        <f>VLOOKUP(Table107[[#This Row],[NAME]],ARI_P[[NAME]:['#]],14,0)</f>
        <v>0</v>
      </c>
      <c r="Q151" s="28">
        <f>VLOOKUP(Table107[[#This Row],[NAME]],ARI_P[[NAME]:['#]],15,0)</f>
        <v>0</v>
      </c>
      <c r="R151" s="28">
        <f>VLOOKUP(Table107[[#This Row],[NAME]],ARI_P[[NAME]:['#]],16,0)</f>
        <v>0</v>
      </c>
      <c r="S151" s="75">
        <v>149</v>
      </c>
      <c r="V151" s="136" t="s">
        <v>1265</v>
      </c>
      <c r="W151" s="137" t="s">
        <v>212</v>
      </c>
      <c r="X151" s="137" t="s">
        <v>1294</v>
      </c>
      <c r="Y151" s="88">
        <v>2.4545454545454546</v>
      </c>
      <c r="Z151" s="77">
        <v>0</v>
      </c>
      <c r="AA151" s="28">
        <v>0</v>
      </c>
      <c r="AB151" s="77">
        <v>20</v>
      </c>
      <c r="AC151" s="584">
        <v>22</v>
      </c>
      <c r="AD151" s="28">
        <v>18</v>
      </c>
      <c r="AE151" s="28">
        <v>6</v>
      </c>
      <c r="AF151" s="28">
        <v>6</v>
      </c>
      <c r="AG151" s="28">
        <v>10</v>
      </c>
      <c r="AH151" s="28">
        <v>1</v>
      </c>
      <c r="AI151" s="106">
        <v>1.0909090909090908</v>
      </c>
      <c r="AJ151" s="77">
        <v>0</v>
      </c>
      <c r="AK151" s="28">
        <v>0</v>
      </c>
      <c r="AL151" s="28">
        <v>0</v>
      </c>
      <c r="AM151" s="28">
        <v>0</v>
      </c>
      <c r="AN151" s="75">
        <v>149</v>
      </c>
      <c r="AQ151" s="101" t="s">
        <v>1265</v>
      </c>
      <c r="AR151" s="77" t="s">
        <v>212</v>
      </c>
      <c r="AS151" s="77" t="s">
        <v>1294</v>
      </c>
      <c r="AT151" s="135">
        <v>1.4592622618565059</v>
      </c>
      <c r="AU151" s="77">
        <v>0</v>
      </c>
      <c r="AV151" s="28">
        <v>1</v>
      </c>
      <c r="AW151" s="77">
        <v>24</v>
      </c>
      <c r="AX151" s="584">
        <v>24.67</v>
      </c>
      <c r="AY151" s="28">
        <v>21</v>
      </c>
      <c r="AZ151" s="28">
        <v>4</v>
      </c>
      <c r="BA151" s="28">
        <v>8</v>
      </c>
      <c r="BB151" s="28">
        <v>20</v>
      </c>
      <c r="BC151" s="28">
        <v>2</v>
      </c>
      <c r="BD151" s="106">
        <v>1.1755168220510741</v>
      </c>
      <c r="BE151" s="77">
        <v>0</v>
      </c>
      <c r="BF151" s="28">
        <v>0</v>
      </c>
      <c r="BG151" s="28">
        <v>0</v>
      </c>
      <c r="BH151" s="28">
        <v>0</v>
      </c>
      <c r="BI151" s="75">
        <v>149</v>
      </c>
    </row>
    <row r="152" spans="1:61" ht="17" thickBot="1">
      <c r="A152" s="138" t="s">
        <v>1265</v>
      </c>
      <c r="B152" s="117" t="s">
        <v>212</v>
      </c>
      <c r="C152" s="117" t="s">
        <v>1295</v>
      </c>
      <c r="D152" s="93">
        <f>VLOOKUP(Table107[[#This Row],[NAME]],ARI_P[[NAME]:['#]],2,0)</f>
        <v>4.0690505548705307</v>
      </c>
      <c r="E152" s="103">
        <f>VLOOKUP(Table107[[#This Row],[NAME]],ARI_P[[NAME]:['#]],3,0)</f>
        <v>0</v>
      </c>
      <c r="F152" s="25">
        <f>VLOOKUP(Table107[[#This Row],[NAME]],ARI_P[[NAME]:['#]],4,0)</f>
        <v>0</v>
      </c>
      <c r="G152" s="103">
        <f>VLOOKUP(Table107[[#This Row],[NAME]],ARI_P[[NAME]:['#]],5,0)</f>
        <v>23</v>
      </c>
      <c r="H152" s="92">
        <f>VLOOKUP(Table107[[#This Row],[NAME]],ARI_P[[NAME]:['#]],6,0)</f>
        <v>24.33</v>
      </c>
      <c r="I152" s="25">
        <f>VLOOKUP(Table107[[#This Row],[NAME]],ARI_P[[NAME]:['#]],7,0)</f>
        <v>24</v>
      </c>
      <c r="J152" s="25">
        <f>VLOOKUP(Table107[[#This Row],[NAME]],ARI_P[[NAME]:['#]],8,0)</f>
        <v>11</v>
      </c>
      <c r="K152" s="25">
        <f>VLOOKUP(Table107[[#This Row],[NAME]],ARI_P[[NAME]:['#]],9,0)</f>
        <v>8</v>
      </c>
      <c r="L152" s="25">
        <f>VLOOKUP(Table107[[#This Row],[NAME]],ARI_P[[NAME]:['#]],10,0)</f>
        <v>24</v>
      </c>
      <c r="M152" s="25">
        <f>VLOOKUP(Table107[[#This Row],[NAME]],ARI_P[[NAME]:['#]],11,0)</f>
        <v>7</v>
      </c>
      <c r="N152" s="107">
        <f>VLOOKUP(Table107[[#This Row],[NAME]],ARI_P[[NAME]:['#]],12,0)</f>
        <v>1.3152486642005756</v>
      </c>
      <c r="O152" s="103">
        <f>VLOOKUP(Table107[[#This Row],[NAME]],ARI_P[[NAME]:['#]],13,0)</f>
        <v>0</v>
      </c>
      <c r="P152" s="25">
        <f>VLOOKUP(Table107[[#This Row],[NAME]],ARI_P[[NAME]:['#]],14,0)</f>
        <v>0</v>
      </c>
      <c r="Q152" s="25">
        <f>VLOOKUP(Table107[[#This Row],[NAME]],ARI_P[[NAME]:['#]],15,0)</f>
        <v>0</v>
      </c>
      <c r="R152" s="25">
        <f>VLOOKUP(Table107[[#This Row],[NAME]],ARI_P[[NAME]:['#]],16,0)</f>
        <v>0</v>
      </c>
      <c r="S152" s="82">
        <v>150</v>
      </c>
      <c r="V152" s="138" t="s">
        <v>1265</v>
      </c>
      <c r="W152" s="590" t="s">
        <v>212</v>
      </c>
      <c r="X152" s="590" t="s">
        <v>1295</v>
      </c>
      <c r="Y152" s="91">
        <v>4.6956521739130439</v>
      </c>
      <c r="Z152" s="103">
        <v>0</v>
      </c>
      <c r="AA152" s="25">
        <v>3</v>
      </c>
      <c r="AB152" s="103">
        <v>22</v>
      </c>
      <c r="AC152" s="92">
        <v>23</v>
      </c>
      <c r="AD152" s="25">
        <v>31</v>
      </c>
      <c r="AE152" s="25">
        <v>12</v>
      </c>
      <c r="AF152" s="25">
        <v>5</v>
      </c>
      <c r="AG152" s="25">
        <v>22</v>
      </c>
      <c r="AH152" s="25">
        <v>8</v>
      </c>
      <c r="AI152" s="107">
        <v>1.5652173913043479</v>
      </c>
      <c r="AJ152" s="103">
        <v>0</v>
      </c>
      <c r="AK152" s="25">
        <v>0</v>
      </c>
      <c r="AL152" s="25">
        <v>0</v>
      </c>
      <c r="AM152" s="25">
        <v>0</v>
      </c>
      <c r="AN152" s="82">
        <v>150</v>
      </c>
      <c r="AQ152" s="102" t="s">
        <v>1265</v>
      </c>
      <c r="AR152" s="103" t="s">
        <v>212</v>
      </c>
      <c r="AS152" s="103" t="s">
        <v>1295</v>
      </c>
      <c r="AT152" s="190">
        <v>6</v>
      </c>
      <c r="AU152" s="103">
        <v>0</v>
      </c>
      <c r="AV152" s="25">
        <v>3</v>
      </c>
      <c r="AW152" s="103">
        <v>22</v>
      </c>
      <c r="AX152" s="92">
        <v>21</v>
      </c>
      <c r="AY152" s="25">
        <v>22</v>
      </c>
      <c r="AZ152" s="25">
        <v>14</v>
      </c>
      <c r="BA152" s="25">
        <v>10</v>
      </c>
      <c r="BB152" s="25">
        <v>15</v>
      </c>
      <c r="BC152" s="25">
        <v>4</v>
      </c>
      <c r="BD152" s="107">
        <v>1.5238095238095237</v>
      </c>
      <c r="BE152" s="103">
        <v>0</v>
      </c>
      <c r="BF152" s="25">
        <v>0</v>
      </c>
      <c r="BG152" s="25">
        <v>0</v>
      </c>
      <c r="BH152" s="25">
        <v>0</v>
      </c>
      <c r="BI152" s="82">
        <v>150</v>
      </c>
    </row>
  </sheetData>
  <mergeCells count="3">
    <mergeCell ref="A1:S1"/>
    <mergeCell ref="V1:AN1"/>
    <mergeCell ref="AQ1:B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CN37"/>
  <sheetViews>
    <sheetView zoomScale="110" zoomScaleNormal="110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BC33" sqref="BC33"/>
    </sheetView>
  </sheetViews>
  <sheetFormatPr baseColWidth="10" defaultRowHeight="16"/>
  <cols>
    <col min="1" max="1" width="3.33203125" customWidth="1"/>
    <col min="2" max="2" width="9.6640625" customWidth="1"/>
    <col min="3" max="3" width="6.5" customWidth="1"/>
    <col min="4" max="5" width="7.6640625" customWidth="1"/>
    <col min="6" max="6" width="5.6640625" customWidth="1"/>
    <col min="7" max="7" width="6.1640625" customWidth="1"/>
    <col min="8" max="9" width="6" customWidth="1"/>
    <col min="10" max="10" width="6.6640625" customWidth="1"/>
    <col min="11" max="12" width="6.33203125" customWidth="1"/>
    <col min="13" max="13" width="6.1640625" customWidth="1"/>
    <col min="14" max="14" width="7.1640625" customWidth="1"/>
    <col min="15" max="15" width="7.6640625" customWidth="1"/>
    <col min="16" max="16" width="2.83203125" customWidth="1"/>
    <col min="17" max="17" width="3.33203125" customWidth="1"/>
    <col min="18" max="18" width="9.6640625" customWidth="1"/>
    <col min="19" max="19" width="8" customWidth="1"/>
    <col min="20" max="20" width="7.1640625" customWidth="1"/>
    <col min="21" max="21" width="7.33203125" customWidth="1"/>
    <col min="22" max="22" width="5.1640625" customWidth="1"/>
    <col min="23" max="25" width="6.33203125" customWidth="1"/>
    <col min="26" max="26" width="7.1640625" customWidth="1"/>
    <col min="27" max="27" width="6.33203125" customWidth="1"/>
    <col min="28" max="29" width="6.6640625" customWidth="1"/>
    <col min="30" max="30" width="6.33203125" customWidth="1"/>
    <col min="31" max="31" width="2.83203125" customWidth="1"/>
    <col min="32" max="32" width="3.33203125" customWidth="1"/>
    <col min="33" max="33" width="9.6640625" customWidth="1"/>
    <col min="34" max="34" width="6.5" customWidth="1"/>
    <col min="35" max="36" width="7.6640625" customWidth="1"/>
    <col min="37" max="38" width="5.1640625" customWidth="1"/>
    <col min="39" max="40" width="6" customWidth="1"/>
    <col min="41" max="41" width="6.6640625" customWidth="1"/>
    <col min="42" max="42" width="6.33203125" customWidth="1"/>
    <col min="43" max="43" width="5.1640625" customWidth="1"/>
    <col min="44" max="44" width="6.1640625" customWidth="1"/>
    <col min="45" max="45" width="6.33203125" customWidth="1"/>
    <col min="46" max="46" width="7.6640625" customWidth="1"/>
    <col min="47" max="47" width="2.83203125" customWidth="1"/>
    <col min="48" max="48" width="3.33203125" customWidth="1"/>
    <col min="49" max="49" width="9.6640625" customWidth="1"/>
    <col min="50" max="50" width="8" customWidth="1"/>
    <col min="51" max="51" width="6.6640625" customWidth="1"/>
    <col min="52" max="53" width="5.1640625" customWidth="1"/>
    <col min="54" max="56" width="6.33203125" customWidth="1"/>
    <col min="57" max="57" width="7.1640625" customWidth="1"/>
    <col min="58" max="58" width="6.33203125" customWidth="1"/>
    <col min="59" max="60" width="6.6640625" customWidth="1"/>
    <col min="61" max="61" width="6.33203125" customWidth="1"/>
    <col min="62" max="62" width="2.83203125" customWidth="1"/>
    <col min="63" max="63" width="3.33203125" customWidth="1"/>
    <col min="64" max="64" width="9.6640625" customWidth="1"/>
    <col min="65" max="65" width="6.5" customWidth="1"/>
    <col min="66" max="67" width="7.6640625" customWidth="1"/>
    <col min="68" max="69" width="5.1640625" customWidth="1"/>
    <col min="70" max="71" width="6" customWidth="1"/>
    <col min="72" max="72" width="6.6640625" customWidth="1"/>
    <col min="73" max="73" width="6.33203125" customWidth="1"/>
    <col min="74" max="74" width="5.1640625" customWidth="1"/>
    <col min="75" max="75" width="6.1640625" customWidth="1"/>
    <col min="76" max="76" width="6.33203125" customWidth="1"/>
    <col min="77" max="77" width="7.6640625" customWidth="1"/>
    <col min="78" max="78" width="2.83203125" customWidth="1"/>
    <col min="79" max="79" width="3.33203125" customWidth="1"/>
    <col min="80" max="80" width="9.6640625" customWidth="1"/>
    <col min="81" max="81" width="8" customWidth="1"/>
    <col min="82" max="82" width="5.83203125" customWidth="1"/>
    <col min="83" max="84" width="5.1640625" customWidth="1"/>
    <col min="85" max="87" width="6.33203125" customWidth="1"/>
    <col min="88" max="88" width="7.1640625" customWidth="1"/>
    <col min="89" max="89" width="6.33203125" customWidth="1"/>
    <col min="90" max="91" width="6.6640625" customWidth="1"/>
    <col min="92" max="92" width="6.33203125" customWidth="1"/>
    <col min="93" max="93" width="2.83203125" customWidth="1"/>
  </cols>
  <sheetData>
    <row r="1" spans="1:92" ht="26" thickBot="1">
      <c r="B1" s="1093" t="s">
        <v>1904</v>
      </c>
      <c r="C1" s="1094"/>
      <c r="D1" s="1094"/>
      <c r="E1" s="1094"/>
      <c r="F1" s="1094"/>
      <c r="G1" s="1094"/>
      <c r="H1" s="1094"/>
      <c r="I1" s="1094"/>
      <c r="J1" s="1094"/>
      <c r="K1" s="1094"/>
      <c r="L1" s="1094"/>
      <c r="M1" s="1094"/>
      <c r="N1" s="1094"/>
      <c r="O1" s="1095"/>
      <c r="R1" s="1093" t="s">
        <v>1905</v>
      </c>
      <c r="S1" s="1094"/>
      <c r="T1" s="1094"/>
      <c r="U1" s="1094"/>
      <c r="V1" s="1094"/>
      <c r="W1" s="1094"/>
      <c r="X1" s="1094"/>
      <c r="Y1" s="1094"/>
      <c r="Z1" s="1094"/>
      <c r="AA1" s="1094"/>
      <c r="AB1" s="1094"/>
      <c r="AC1" s="1094"/>
      <c r="AD1" s="1095"/>
      <c r="AG1" s="1093" t="s">
        <v>1906</v>
      </c>
      <c r="AH1" s="1094"/>
      <c r="AI1" s="1094"/>
      <c r="AJ1" s="1094"/>
      <c r="AK1" s="1094"/>
      <c r="AL1" s="1094"/>
      <c r="AM1" s="1094"/>
      <c r="AN1" s="1094"/>
      <c r="AO1" s="1094"/>
      <c r="AP1" s="1094"/>
      <c r="AQ1" s="1094"/>
      <c r="AR1" s="1094"/>
      <c r="AS1" s="1094"/>
      <c r="AT1" s="1095"/>
      <c r="AW1" s="1093" t="s">
        <v>1907</v>
      </c>
      <c r="AX1" s="1094"/>
      <c r="AY1" s="1094"/>
      <c r="AZ1" s="1094"/>
      <c r="BA1" s="1094"/>
      <c r="BB1" s="1094"/>
      <c r="BC1" s="1094"/>
      <c r="BD1" s="1094"/>
      <c r="BE1" s="1094"/>
      <c r="BF1" s="1094"/>
      <c r="BG1" s="1094"/>
      <c r="BH1" s="1094"/>
      <c r="BI1" s="1095"/>
      <c r="BL1" s="1093" t="s">
        <v>1908</v>
      </c>
      <c r="BM1" s="1094"/>
      <c r="BN1" s="1094"/>
      <c r="BO1" s="1094"/>
      <c r="BP1" s="1094"/>
      <c r="BQ1" s="1094"/>
      <c r="BR1" s="1094"/>
      <c r="BS1" s="1094"/>
      <c r="BT1" s="1094"/>
      <c r="BU1" s="1094"/>
      <c r="BV1" s="1094"/>
      <c r="BW1" s="1094"/>
      <c r="BX1" s="1094"/>
      <c r="BY1" s="1095"/>
      <c r="CB1" s="1093" t="s">
        <v>1909</v>
      </c>
      <c r="CC1" s="1094"/>
      <c r="CD1" s="1094"/>
      <c r="CE1" s="1094"/>
      <c r="CF1" s="1094"/>
      <c r="CG1" s="1094"/>
      <c r="CH1" s="1094"/>
      <c r="CI1" s="1094"/>
      <c r="CJ1" s="1094"/>
      <c r="CK1" s="1094"/>
      <c r="CL1" s="1094"/>
      <c r="CM1" s="1094"/>
      <c r="CN1" s="1095"/>
    </row>
    <row r="2" spans="1:92" ht="24" thickBot="1">
      <c r="B2" s="1096" t="s">
        <v>1910</v>
      </c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7"/>
      <c r="N2" s="1097"/>
      <c r="O2" s="1098"/>
      <c r="Q2" s="141"/>
      <c r="R2" s="1096" t="s">
        <v>1910</v>
      </c>
      <c r="S2" s="1097"/>
      <c r="T2" s="1097"/>
      <c r="U2" s="1097"/>
      <c r="V2" s="1097"/>
      <c r="W2" s="1097"/>
      <c r="X2" s="1097"/>
      <c r="Y2" s="1097"/>
      <c r="Z2" s="1097"/>
      <c r="AA2" s="1097"/>
      <c r="AB2" s="1097"/>
      <c r="AC2" s="1097"/>
      <c r="AD2" s="1098"/>
      <c r="AG2" s="1096" t="s">
        <v>1910</v>
      </c>
      <c r="AH2" s="1097"/>
      <c r="AI2" s="1097"/>
      <c r="AJ2" s="1097"/>
      <c r="AK2" s="1097"/>
      <c r="AL2" s="1097"/>
      <c r="AM2" s="1097"/>
      <c r="AN2" s="1097"/>
      <c r="AO2" s="1097"/>
      <c r="AP2" s="1097"/>
      <c r="AQ2" s="1097"/>
      <c r="AR2" s="1097"/>
      <c r="AS2" s="1097"/>
      <c r="AT2" s="1098"/>
      <c r="AV2" s="141"/>
      <c r="AW2" s="1096" t="s">
        <v>1910</v>
      </c>
      <c r="AX2" s="1097"/>
      <c r="AY2" s="1097"/>
      <c r="AZ2" s="1097"/>
      <c r="BA2" s="1097"/>
      <c r="BB2" s="1097"/>
      <c r="BC2" s="1097"/>
      <c r="BD2" s="1097"/>
      <c r="BE2" s="1097"/>
      <c r="BF2" s="1097"/>
      <c r="BG2" s="1097"/>
      <c r="BH2" s="1097"/>
      <c r="BI2" s="1098"/>
      <c r="BL2" s="1096" t="s">
        <v>1910</v>
      </c>
      <c r="BM2" s="1097"/>
      <c r="BN2" s="1097"/>
      <c r="BO2" s="1097"/>
      <c r="BP2" s="1097"/>
      <c r="BQ2" s="1097"/>
      <c r="BR2" s="1097"/>
      <c r="BS2" s="1097"/>
      <c r="BT2" s="1097"/>
      <c r="BU2" s="1097"/>
      <c r="BV2" s="1097"/>
      <c r="BW2" s="1097"/>
      <c r="BX2" s="1097"/>
      <c r="BY2" s="1098"/>
      <c r="CA2" s="141"/>
      <c r="CB2" s="1096" t="s">
        <v>1910</v>
      </c>
      <c r="CC2" s="1097"/>
      <c r="CD2" s="1097"/>
      <c r="CE2" s="1097"/>
      <c r="CF2" s="1097"/>
      <c r="CG2" s="1097"/>
      <c r="CH2" s="1097"/>
      <c r="CI2" s="1097"/>
      <c r="CJ2" s="1097"/>
      <c r="CK2" s="1097"/>
      <c r="CL2" s="1097"/>
      <c r="CM2" s="1097"/>
      <c r="CN2" s="1098"/>
    </row>
    <row r="3" spans="1:92" ht="17" thickBot="1">
      <c r="B3" s="711" t="s">
        <v>8</v>
      </c>
      <c r="C3" s="600" t="s">
        <v>146</v>
      </c>
      <c r="D3" s="600" t="s">
        <v>147</v>
      </c>
      <c r="E3" s="600" t="s">
        <v>148</v>
      </c>
      <c r="F3" s="600" t="s">
        <v>151</v>
      </c>
      <c r="G3" s="600" t="s">
        <v>152</v>
      </c>
      <c r="H3" s="600" t="s">
        <v>153</v>
      </c>
      <c r="I3" s="600" t="s">
        <v>154</v>
      </c>
      <c r="J3" s="600" t="s">
        <v>155</v>
      </c>
      <c r="K3" s="600" t="s">
        <v>157</v>
      </c>
      <c r="L3" s="600" t="s">
        <v>158</v>
      </c>
      <c r="M3" s="600" t="s">
        <v>159</v>
      </c>
      <c r="N3" s="600" t="s">
        <v>161</v>
      </c>
      <c r="O3" s="779" t="s">
        <v>162</v>
      </c>
      <c r="R3" s="711" t="s">
        <v>8</v>
      </c>
      <c r="S3" s="600" t="s">
        <v>196</v>
      </c>
      <c r="T3" s="600" t="s">
        <v>199</v>
      </c>
      <c r="U3" s="600" t="s">
        <v>152</v>
      </c>
      <c r="V3" s="600" t="s">
        <v>151</v>
      </c>
      <c r="W3" s="600" t="s">
        <v>157</v>
      </c>
      <c r="X3" s="600" t="s">
        <v>1631</v>
      </c>
      <c r="Y3" s="600" t="s">
        <v>200</v>
      </c>
      <c r="Z3" s="600" t="s">
        <v>201</v>
      </c>
      <c r="AA3" s="600" t="s">
        <v>202</v>
      </c>
      <c r="AB3" s="600" t="s">
        <v>203</v>
      </c>
      <c r="AC3" s="600" t="s">
        <v>204</v>
      </c>
      <c r="AD3" s="779" t="s">
        <v>205</v>
      </c>
      <c r="AG3" s="711" t="s">
        <v>8</v>
      </c>
      <c r="AH3" s="600" t="s">
        <v>146</v>
      </c>
      <c r="AI3" s="600" t="s">
        <v>147</v>
      </c>
      <c r="AJ3" s="600" t="s">
        <v>148</v>
      </c>
      <c r="AK3" s="600" t="s">
        <v>151</v>
      </c>
      <c r="AL3" s="600" t="s">
        <v>152</v>
      </c>
      <c r="AM3" s="600" t="s">
        <v>153</v>
      </c>
      <c r="AN3" s="600" t="s">
        <v>154</v>
      </c>
      <c r="AO3" s="600" t="s">
        <v>155</v>
      </c>
      <c r="AP3" s="600" t="s">
        <v>157</v>
      </c>
      <c r="AQ3" s="600" t="s">
        <v>158</v>
      </c>
      <c r="AR3" s="600" t="s">
        <v>159</v>
      </c>
      <c r="AS3" s="600" t="s">
        <v>161</v>
      </c>
      <c r="AT3" s="779" t="s">
        <v>162</v>
      </c>
      <c r="AW3" s="711" t="s">
        <v>8</v>
      </c>
      <c r="AX3" s="600" t="s">
        <v>196</v>
      </c>
      <c r="AY3" s="600" t="s">
        <v>199</v>
      </c>
      <c r="AZ3" s="600" t="s">
        <v>152</v>
      </c>
      <c r="BA3" s="600" t="s">
        <v>151</v>
      </c>
      <c r="BB3" s="600" t="s">
        <v>157</v>
      </c>
      <c r="BC3" s="600" t="s">
        <v>1631</v>
      </c>
      <c r="BD3" s="600" t="s">
        <v>200</v>
      </c>
      <c r="BE3" s="600" t="s">
        <v>201</v>
      </c>
      <c r="BF3" s="600" t="s">
        <v>202</v>
      </c>
      <c r="BG3" s="600" t="s">
        <v>203</v>
      </c>
      <c r="BH3" s="600" t="s">
        <v>204</v>
      </c>
      <c r="BI3" s="779" t="s">
        <v>205</v>
      </c>
      <c r="BL3" s="711" t="s">
        <v>8</v>
      </c>
      <c r="BM3" s="600" t="s">
        <v>146</v>
      </c>
      <c r="BN3" s="600" t="s">
        <v>147</v>
      </c>
      <c r="BO3" s="600" t="s">
        <v>148</v>
      </c>
      <c r="BP3" s="600" t="s">
        <v>151</v>
      </c>
      <c r="BQ3" s="600" t="s">
        <v>152</v>
      </c>
      <c r="BR3" s="600" t="s">
        <v>153</v>
      </c>
      <c r="BS3" s="600" t="s">
        <v>154</v>
      </c>
      <c r="BT3" s="600" t="s">
        <v>155</v>
      </c>
      <c r="BU3" s="600" t="s">
        <v>157</v>
      </c>
      <c r="BV3" s="600" t="s">
        <v>158</v>
      </c>
      <c r="BW3" s="600" t="s">
        <v>159</v>
      </c>
      <c r="BX3" s="600" t="s">
        <v>161</v>
      </c>
      <c r="BY3" s="779" t="s">
        <v>162</v>
      </c>
      <c r="CB3" s="711" t="s">
        <v>8</v>
      </c>
      <c r="CC3" s="600" t="s">
        <v>196</v>
      </c>
      <c r="CD3" s="600" t="s">
        <v>199</v>
      </c>
      <c r="CE3" s="600" t="s">
        <v>152</v>
      </c>
      <c r="CF3" s="600" t="s">
        <v>151</v>
      </c>
      <c r="CG3" s="600" t="s">
        <v>157</v>
      </c>
      <c r="CH3" s="600" t="s">
        <v>1631</v>
      </c>
      <c r="CI3" s="600" t="s">
        <v>200</v>
      </c>
      <c r="CJ3" s="600" t="s">
        <v>201</v>
      </c>
      <c r="CK3" s="600" t="s">
        <v>202</v>
      </c>
      <c r="CL3" s="600" t="s">
        <v>203</v>
      </c>
      <c r="CM3" s="600" t="s">
        <v>204</v>
      </c>
      <c r="CN3" s="779" t="s">
        <v>205</v>
      </c>
    </row>
    <row r="4" spans="1:92">
      <c r="A4">
        <v>1</v>
      </c>
      <c r="B4" s="891" t="s">
        <v>580</v>
      </c>
      <c r="C4" s="884">
        <v>0.27576403695806678</v>
      </c>
      <c r="D4" s="885">
        <v>0.34679487179487178</v>
      </c>
      <c r="E4" s="886">
        <v>0.49893390191897652</v>
      </c>
      <c r="F4" s="887">
        <v>215</v>
      </c>
      <c r="G4" s="888">
        <v>388</v>
      </c>
      <c r="H4" s="888">
        <v>80</v>
      </c>
      <c r="I4" s="889">
        <v>12</v>
      </c>
      <c r="J4" s="888">
        <v>70</v>
      </c>
      <c r="K4" s="888">
        <v>153</v>
      </c>
      <c r="L4" s="888">
        <v>344</v>
      </c>
      <c r="M4" s="890">
        <v>4</v>
      </c>
      <c r="N4" s="889">
        <v>702</v>
      </c>
      <c r="O4" s="898">
        <v>0.84572877371384836</v>
      </c>
      <c r="Q4">
        <v>1</v>
      </c>
      <c r="R4" s="891" t="s">
        <v>165</v>
      </c>
      <c r="S4" s="907">
        <v>3.679761312779712</v>
      </c>
      <c r="T4" s="908">
        <v>361.97999999999996</v>
      </c>
      <c r="U4" s="909">
        <v>333</v>
      </c>
      <c r="V4" s="910">
        <v>148</v>
      </c>
      <c r="W4" s="909">
        <v>126</v>
      </c>
      <c r="X4" s="909">
        <v>379</v>
      </c>
      <c r="Y4" s="888">
        <v>8</v>
      </c>
      <c r="Z4" s="911">
        <v>1.2680258577821981</v>
      </c>
      <c r="AA4" s="888">
        <v>22</v>
      </c>
      <c r="AB4" s="909">
        <v>13</v>
      </c>
      <c r="AC4" s="888">
        <v>2</v>
      </c>
      <c r="AD4" s="916">
        <v>2</v>
      </c>
      <c r="AF4">
        <v>1</v>
      </c>
      <c r="AG4" s="891" t="s">
        <v>502</v>
      </c>
      <c r="AH4" s="884">
        <v>0.26029216467463479</v>
      </c>
      <c r="AI4" s="884">
        <v>0.30721393034825872</v>
      </c>
      <c r="AJ4" s="923">
        <v>0.43625498007968128</v>
      </c>
      <c r="AK4" s="887">
        <v>209</v>
      </c>
      <c r="AL4" s="888">
        <v>392</v>
      </c>
      <c r="AM4" s="888">
        <v>81</v>
      </c>
      <c r="AN4" s="924">
        <v>17</v>
      </c>
      <c r="AO4" s="888">
        <v>50</v>
      </c>
      <c r="AP4" s="888">
        <v>102</v>
      </c>
      <c r="AQ4" s="888">
        <v>365</v>
      </c>
      <c r="AR4" s="887">
        <v>25</v>
      </c>
      <c r="AS4" s="888">
        <v>657</v>
      </c>
      <c r="AT4" s="905">
        <v>0.74346891042793994</v>
      </c>
      <c r="AV4">
        <v>1</v>
      </c>
      <c r="AW4" s="891" t="s">
        <v>266</v>
      </c>
      <c r="AX4" s="927">
        <v>2.966759002770083</v>
      </c>
      <c r="AY4" s="908">
        <v>361</v>
      </c>
      <c r="AZ4" s="888">
        <v>323</v>
      </c>
      <c r="BA4" s="924">
        <v>119</v>
      </c>
      <c r="BB4" s="924">
        <v>99</v>
      </c>
      <c r="BC4" s="888">
        <v>364</v>
      </c>
      <c r="BD4" s="888">
        <v>15</v>
      </c>
      <c r="BE4" s="911">
        <v>1.1689750692520775</v>
      </c>
      <c r="BF4" s="924">
        <v>32</v>
      </c>
      <c r="BG4" s="909">
        <v>14</v>
      </c>
      <c r="BH4" s="888">
        <v>2</v>
      </c>
      <c r="BI4" s="916">
        <v>2</v>
      </c>
      <c r="BK4">
        <v>1</v>
      </c>
      <c r="BL4" s="891" t="s">
        <v>226</v>
      </c>
      <c r="BM4" s="903">
        <v>0.29629629629629628</v>
      </c>
      <c r="BN4" s="903">
        <v>0.36225459151361622</v>
      </c>
      <c r="BO4" s="923">
        <v>0.49056603773584906</v>
      </c>
      <c r="BP4" s="930">
        <v>231</v>
      </c>
      <c r="BQ4" s="924">
        <v>424</v>
      </c>
      <c r="BR4" s="924">
        <v>114</v>
      </c>
      <c r="BS4" s="888">
        <v>4</v>
      </c>
      <c r="BT4" s="888">
        <v>52</v>
      </c>
      <c r="BU4" s="888">
        <v>148</v>
      </c>
      <c r="BV4" s="888">
        <v>333</v>
      </c>
      <c r="BW4" s="890">
        <v>1</v>
      </c>
      <c r="BX4" s="888">
        <v>702</v>
      </c>
      <c r="BY4" s="905">
        <v>0.85282062924946533</v>
      </c>
      <c r="CA4">
        <v>1</v>
      </c>
      <c r="CB4" s="891" t="s">
        <v>611</v>
      </c>
      <c r="CC4" s="907">
        <v>3.9008811200775599</v>
      </c>
      <c r="CD4" s="908">
        <v>350.69000000000011</v>
      </c>
      <c r="CE4" s="888">
        <v>315</v>
      </c>
      <c r="CF4" s="889">
        <v>152</v>
      </c>
      <c r="CG4" s="888">
        <v>113</v>
      </c>
      <c r="CH4" s="888">
        <v>320</v>
      </c>
      <c r="CI4" s="888">
        <v>8</v>
      </c>
      <c r="CJ4" s="921">
        <v>1.2204511106675406</v>
      </c>
      <c r="CK4" s="888">
        <v>24</v>
      </c>
      <c r="CL4" s="910">
        <v>17</v>
      </c>
      <c r="CM4" s="924">
        <v>6</v>
      </c>
      <c r="CN4" s="932">
        <v>4</v>
      </c>
    </row>
    <row r="5" spans="1:92">
      <c r="A5">
        <v>2</v>
      </c>
      <c r="B5" s="892" t="s">
        <v>611</v>
      </c>
      <c r="C5" s="144">
        <v>0.26824034334763946</v>
      </c>
      <c r="D5" s="144">
        <v>0.33137254901960783</v>
      </c>
      <c r="E5" s="145">
        <v>0.48855507868383402</v>
      </c>
      <c r="F5" s="151">
        <v>206</v>
      </c>
      <c r="G5" s="150">
        <v>375</v>
      </c>
      <c r="H5" s="150">
        <v>83</v>
      </c>
      <c r="I5" s="150">
        <v>3</v>
      </c>
      <c r="J5" s="883">
        <v>73</v>
      </c>
      <c r="K5" s="150">
        <v>132</v>
      </c>
      <c r="L5" s="150">
        <v>345</v>
      </c>
      <c r="M5" s="151">
        <v>8</v>
      </c>
      <c r="N5" s="150">
        <v>683</v>
      </c>
      <c r="O5" s="899">
        <v>0.81992762770344185</v>
      </c>
      <c r="Q5">
        <v>2</v>
      </c>
      <c r="R5" s="892" t="s">
        <v>394</v>
      </c>
      <c r="S5" s="147">
        <v>3.7318417098013019</v>
      </c>
      <c r="T5" s="148">
        <v>359.34000000000003</v>
      </c>
      <c r="U5" s="150">
        <v>330</v>
      </c>
      <c r="V5" s="150">
        <v>149</v>
      </c>
      <c r="W5" s="150">
        <v>117</v>
      </c>
      <c r="X5" s="883">
        <v>414</v>
      </c>
      <c r="Y5" s="502">
        <v>13</v>
      </c>
      <c r="Z5" s="522">
        <v>1.243947236600434</v>
      </c>
      <c r="AA5" s="32">
        <v>24</v>
      </c>
      <c r="AB5" s="883">
        <v>15</v>
      </c>
      <c r="AC5" s="32">
        <v>0</v>
      </c>
      <c r="AD5" s="917">
        <v>0</v>
      </c>
      <c r="AF5">
        <v>2</v>
      </c>
      <c r="AG5" s="892" t="s">
        <v>394</v>
      </c>
      <c r="AH5" s="144">
        <v>0.26480836236933797</v>
      </c>
      <c r="AI5" s="144">
        <v>0.3352236925015753</v>
      </c>
      <c r="AJ5" s="145">
        <v>0.44181184668989548</v>
      </c>
      <c r="AK5" s="146">
        <v>205</v>
      </c>
      <c r="AL5" s="32">
        <v>380</v>
      </c>
      <c r="AM5" s="32">
        <v>79</v>
      </c>
      <c r="AN5" s="32">
        <v>8</v>
      </c>
      <c r="AO5" s="32">
        <v>53</v>
      </c>
      <c r="AP5" s="32">
        <v>152</v>
      </c>
      <c r="AQ5" s="32">
        <v>372</v>
      </c>
      <c r="AR5" s="146">
        <v>10</v>
      </c>
      <c r="AS5" s="32">
        <v>634</v>
      </c>
      <c r="AT5" s="899">
        <v>0.77703553919147073</v>
      </c>
      <c r="AV5">
        <v>2</v>
      </c>
      <c r="AW5" s="892" t="s">
        <v>339</v>
      </c>
      <c r="AX5" s="147">
        <v>3.4635804376527437</v>
      </c>
      <c r="AY5" s="148">
        <v>355.98999999999995</v>
      </c>
      <c r="AZ5" s="32">
        <v>317</v>
      </c>
      <c r="BA5" s="32">
        <v>137</v>
      </c>
      <c r="BB5" s="32">
        <v>113</v>
      </c>
      <c r="BC5" s="32">
        <v>375</v>
      </c>
      <c r="BD5" s="32">
        <v>8</v>
      </c>
      <c r="BE5" s="149">
        <v>1.2078990982892779</v>
      </c>
      <c r="BF5" s="32">
        <v>27</v>
      </c>
      <c r="BG5" s="883">
        <v>17</v>
      </c>
      <c r="BH5" s="922">
        <v>6</v>
      </c>
      <c r="BI5" s="917">
        <v>3</v>
      </c>
      <c r="BK5">
        <v>2</v>
      </c>
      <c r="BL5" s="892" t="s">
        <v>429</v>
      </c>
      <c r="BM5" s="144">
        <v>0.29032258064516131</v>
      </c>
      <c r="BN5" s="144">
        <v>0.35050251256281406</v>
      </c>
      <c r="BO5" s="518">
        <v>0.52230610844200409</v>
      </c>
      <c r="BP5" s="146">
        <v>223</v>
      </c>
      <c r="BQ5" s="32">
        <v>423</v>
      </c>
      <c r="BR5" s="32">
        <v>84</v>
      </c>
      <c r="BS5" s="32">
        <v>10</v>
      </c>
      <c r="BT5" s="922">
        <v>78</v>
      </c>
      <c r="BU5" s="32">
        <v>135</v>
      </c>
      <c r="BV5" s="32">
        <v>351</v>
      </c>
      <c r="BW5" s="146">
        <v>10</v>
      </c>
      <c r="BX5" s="922">
        <v>761</v>
      </c>
      <c r="BY5" s="906">
        <v>0.87280862100481815</v>
      </c>
      <c r="CA5">
        <v>2</v>
      </c>
      <c r="CB5" s="892" t="s">
        <v>339</v>
      </c>
      <c r="CC5" s="147">
        <v>4.6779661016949152</v>
      </c>
      <c r="CD5" s="148">
        <v>354</v>
      </c>
      <c r="CE5" s="32">
        <v>374</v>
      </c>
      <c r="CF5" s="32">
        <v>184</v>
      </c>
      <c r="CG5" s="32">
        <v>112</v>
      </c>
      <c r="CH5" s="32">
        <v>361</v>
      </c>
      <c r="CI5" s="32">
        <v>9</v>
      </c>
      <c r="CJ5" s="149">
        <v>1.3728813559322033</v>
      </c>
      <c r="CK5" s="32">
        <v>23</v>
      </c>
      <c r="CL5" s="150">
        <v>12</v>
      </c>
      <c r="CM5" s="32">
        <v>4</v>
      </c>
      <c r="CN5" s="918">
        <v>4</v>
      </c>
    </row>
    <row r="6" spans="1:92">
      <c r="A6">
        <v>3</v>
      </c>
      <c r="B6" s="892" t="s">
        <v>226</v>
      </c>
      <c r="C6" s="519">
        <v>0.29839883551673946</v>
      </c>
      <c r="D6" s="144">
        <v>0.36201191264063531</v>
      </c>
      <c r="E6" s="145">
        <v>0.48835516739446871</v>
      </c>
      <c r="F6" s="146">
        <v>206</v>
      </c>
      <c r="G6" s="502">
        <v>410</v>
      </c>
      <c r="H6" s="502">
        <v>92</v>
      </c>
      <c r="I6" s="32">
        <v>8</v>
      </c>
      <c r="J6" s="32">
        <v>51</v>
      </c>
      <c r="K6" s="32">
        <v>137</v>
      </c>
      <c r="L6" s="32">
        <v>342</v>
      </c>
      <c r="M6" s="146">
        <v>5</v>
      </c>
      <c r="N6" s="32">
        <v>671</v>
      </c>
      <c r="O6" s="899">
        <v>0.85036708003510397</v>
      </c>
      <c r="Q6">
        <v>3</v>
      </c>
      <c r="R6" s="892" t="s">
        <v>580</v>
      </c>
      <c r="S6" s="147">
        <v>3.7011481563259006</v>
      </c>
      <c r="T6" s="148">
        <v>362.31999999999994</v>
      </c>
      <c r="U6" s="502">
        <v>322</v>
      </c>
      <c r="V6" s="32">
        <v>149</v>
      </c>
      <c r="W6" s="32">
        <v>136</v>
      </c>
      <c r="X6" s="32">
        <v>367</v>
      </c>
      <c r="Y6" s="150">
        <v>9</v>
      </c>
      <c r="Z6" s="149">
        <v>1.2640759549569445</v>
      </c>
      <c r="AA6" s="32">
        <v>26</v>
      </c>
      <c r="AB6" s="150">
        <v>12</v>
      </c>
      <c r="AC6" s="32">
        <v>2</v>
      </c>
      <c r="AD6" s="917">
        <v>1</v>
      </c>
      <c r="AF6">
        <v>3</v>
      </c>
      <c r="AG6" s="892" t="s">
        <v>226</v>
      </c>
      <c r="AH6" s="514">
        <v>0.28414550446122167</v>
      </c>
      <c r="AI6" s="514">
        <v>0.35933660933660933</v>
      </c>
      <c r="AJ6" s="145">
        <v>0.47014413177762526</v>
      </c>
      <c r="AK6" s="146">
        <v>204</v>
      </c>
      <c r="AL6" s="502">
        <v>414</v>
      </c>
      <c r="AM6" s="32">
        <v>91</v>
      </c>
      <c r="AN6" s="32">
        <v>3</v>
      </c>
      <c r="AO6" s="32">
        <v>58</v>
      </c>
      <c r="AP6" s="922">
        <v>171</v>
      </c>
      <c r="AQ6" s="32">
        <v>307</v>
      </c>
      <c r="AR6" s="146">
        <v>0</v>
      </c>
      <c r="AS6" s="502">
        <v>685</v>
      </c>
      <c r="AT6" s="906">
        <v>0.82948074111423464</v>
      </c>
      <c r="AV6">
        <v>3</v>
      </c>
      <c r="AW6" s="892" t="s">
        <v>394</v>
      </c>
      <c r="AX6" s="147">
        <v>3.6065213811275179</v>
      </c>
      <c r="AY6" s="148">
        <v>364.34000000000003</v>
      </c>
      <c r="AZ6" s="502">
        <v>312</v>
      </c>
      <c r="BA6" s="32">
        <v>146</v>
      </c>
      <c r="BB6" s="32">
        <v>109</v>
      </c>
      <c r="BC6" s="32">
        <v>359</v>
      </c>
      <c r="BD6" s="32">
        <v>6</v>
      </c>
      <c r="BE6" s="522">
        <v>1.155514080254707</v>
      </c>
      <c r="BF6" s="32">
        <v>23</v>
      </c>
      <c r="BG6" s="150">
        <v>15</v>
      </c>
      <c r="BH6" s="32">
        <v>4</v>
      </c>
      <c r="BI6" s="918">
        <v>4</v>
      </c>
      <c r="BK6">
        <v>3</v>
      </c>
      <c r="BL6" s="892" t="s">
        <v>394</v>
      </c>
      <c r="BM6" s="144">
        <v>0.27311220889202542</v>
      </c>
      <c r="BN6" s="144">
        <v>0.33591231463571891</v>
      </c>
      <c r="BO6" s="145">
        <v>0.47565278757939311</v>
      </c>
      <c r="BP6" s="146">
        <v>215</v>
      </c>
      <c r="BQ6" s="32">
        <v>387</v>
      </c>
      <c r="BR6" s="32">
        <v>73</v>
      </c>
      <c r="BS6" s="32">
        <v>5</v>
      </c>
      <c r="BT6" s="32">
        <v>68</v>
      </c>
      <c r="BU6" s="32">
        <v>134</v>
      </c>
      <c r="BV6" s="32">
        <v>363</v>
      </c>
      <c r="BW6" s="146">
        <v>7</v>
      </c>
      <c r="BX6" s="32">
        <v>674</v>
      </c>
      <c r="BY6" s="899">
        <v>0.81156510221511202</v>
      </c>
      <c r="CA6">
        <v>3</v>
      </c>
      <c r="CB6" s="892" t="s">
        <v>165</v>
      </c>
      <c r="CC6" s="147">
        <v>4.384323223427093</v>
      </c>
      <c r="CD6" s="148">
        <v>363.34000000000003</v>
      </c>
      <c r="CE6" s="150">
        <v>350</v>
      </c>
      <c r="CF6" s="150">
        <v>177</v>
      </c>
      <c r="CG6" s="150">
        <v>120</v>
      </c>
      <c r="CH6" s="883">
        <v>422</v>
      </c>
      <c r="CI6" s="32">
        <v>6</v>
      </c>
      <c r="CJ6" s="149">
        <v>1.2935542467110694</v>
      </c>
      <c r="CK6" s="502">
        <v>25</v>
      </c>
      <c r="CL6" s="150">
        <v>11</v>
      </c>
      <c r="CM6" s="32">
        <v>4</v>
      </c>
      <c r="CN6" s="917">
        <v>3</v>
      </c>
    </row>
    <row r="7" spans="1:92">
      <c r="A7">
        <v>4</v>
      </c>
      <c r="B7" s="892" t="s">
        <v>463</v>
      </c>
      <c r="C7" s="144">
        <v>0.28047091412742381</v>
      </c>
      <c r="D7" s="144">
        <v>0.34777150031387322</v>
      </c>
      <c r="E7" s="145">
        <v>0.47160664819944598</v>
      </c>
      <c r="F7" s="146">
        <v>192</v>
      </c>
      <c r="G7" s="32">
        <v>405</v>
      </c>
      <c r="H7" s="32">
        <v>85</v>
      </c>
      <c r="I7" s="32">
        <v>7</v>
      </c>
      <c r="J7" s="32">
        <v>59</v>
      </c>
      <c r="K7" s="32">
        <v>149</v>
      </c>
      <c r="L7" s="502">
        <v>404</v>
      </c>
      <c r="M7" s="146">
        <v>4</v>
      </c>
      <c r="N7" s="32">
        <v>681</v>
      </c>
      <c r="O7" s="899">
        <v>0.81937814851331914</v>
      </c>
      <c r="Q7">
        <v>4</v>
      </c>
      <c r="R7" s="892" t="s">
        <v>226</v>
      </c>
      <c r="S7" s="147">
        <v>3.9468171280131834</v>
      </c>
      <c r="T7" s="148">
        <v>358.01000000000005</v>
      </c>
      <c r="U7" s="32">
        <v>338</v>
      </c>
      <c r="V7" s="32">
        <v>157</v>
      </c>
      <c r="W7" s="32">
        <v>138</v>
      </c>
      <c r="X7" s="32">
        <v>379</v>
      </c>
      <c r="Y7" s="32">
        <v>7</v>
      </c>
      <c r="Z7" s="149">
        <v>1.3295717996704002</v>
      </c>
      <c r="AA7" s="502">
        <v>27</v>
      </c>
      <c r="AB7" s="150">
        <v>10</v>
      </c>
      <c r="AC7" s="32">
        <v>1</v>
      </c>
      <c r="AD7" s="917">
        <v>1</v>
      </c>
      <c r="AF7">
        <v>4</v>
      </c>
      <c r="AG7" s="892" t="s">
        <v>429</v>
      </c>
      <c r="AH7" s="144">
        <v>0.25473684210526315</v>
      </c>
      <c r="AI7" s="144">
        <v>0.32742241925269155</v>
      </c>
      <c r="AJ7" s="515">
        <v>0.47508771929824561</v>
      </c>
      <c r="AK7" s="146">
        <v>193</v>
      </c>
      <c r="AL7" s="32">
        <v>363</v>
      </c>
      <c r="AM7" s="32">
        <v>78</v>
      </c>
      <c r="AN7" s="32">
        <v>10</v>
      </c>
      <c r="AO7" s="502">
        <v>72</v>
      </c>
      <c r="AP7" s="32">
        <v>154</v>
      </c>
      <c r="AQ7" s="32">
        <v>346</v>
      </c>
      <c r="AR7" s="146">
        <v>9</v>
      </c>
      <c r="AS7" s="32">
        <v>677</v>
      </c>
      <c r="AT7" s="899">
        <v>0.80251013855093722</v>
      </c>
      <c r="AV7">
        <v>4</v>
      </c>
      <c r="AW7" s="892" t="s">
        <v>165</v>
      </c>
      <c r="AX7" s="147">
        <v>3.6163478739507355</v>
      </c>
      <c r="AY7" s="148">
        <v>363.35000000000008</v>
      </c>
      <c r="AZ7" s="150">
        <v>327</v>
      </c>
      <c r="BA7" s="150">
        <v>146</v>
      </c>
      <c r="BB7" s="150">
        <v>121</v>
      </c>
      <c r="BC7" s="150">
        <v>378</v>
      </c>
      <c r="BD7" s="32">
        <v>6</v>
      </c>
      <c r="BE7" s="149">
        <v>1.2329709646346496</v>
      </c>
      <c r="BF7" s="32">
        <v>28</v>
      </c>
      <c r="BG7" s="150">
        <v>15</v>
      </c>
      <c r="BH7" s="32">
        <v>5</v>
      </c>
      <c r="BI7" s="918">
        <v>4</v>
      </c>
      <c r="BK7">
        <v>4</v>
      </c>
      <c r="BL7" s="892" t="s">
        <v>539</v>
      </c>
      <c r="BM7" s="144">
        <v>0.27168458781362009</v>
      </c>
      <c r="BN7" s="144">
        <v>0.33811074918566775</v>
      </c>
      <c r="BO7" s="145">
        <v>0.43512544802867381</v>
      </c>
      <c r="BP7" s="146">
        <v>167</v>
      </c>
      <c r="BQ7" s="32">
        <v>379</v>
      </c>
      <c r="BR7" s="32">
        <v>69</v>
      </c>
      <c r="BS7" s="32">
        <v>9</v>
      </c>
      <c r="BT7" s="32">
        <v>47</v>
      </c>
      <c r="BU7" s="32">
        <v>140</v>
      </c>
      <c r="BV7" s="32">
        <v>363</v>
      </c>
      <c r="BW7" s="146">
        <v>12</v>
      </c>
      <c r="BX7" s="32">
        <v>607</v>
      </c>
      <c r="BY7" s="899">
        <v>0.77323619721434156</v>
      </c>
      <c r="CA7">
        <v>4</v>
      </c>
      <c r="CB7" s="892" t="s">
        <v>580</v>
      </c>
      <c r="CC7" s="147">
        <v>4.3467143952953213</v>
      </c>
      <c r="CD7" s="148">
        <v>351.98999999999995</v>
      </c>
      <c r="CE7" s="502">
        <v>307</v>
      </c>
      <c r="CF7" s="32">
        <v>170</v>
      </c>
      <c r="CG7" s="32">
        <v>170</v>
      </c>
      <c r="CH7" s="32">
        <v>401</v>
      </c>
      <c r="CI7" s="32">
        <v>14</v>
      </c>
      <c r="CJ7" s="149">
        <v>1.2869683797835167</v>
      </c>
      <c r="CK7" s="32">
        <v>23</v>
      </c>
      <c r="CL7" s="150">
        <v>13</v>
      </c>
      <c r="CM7" s="32">
        <v>3</v>
      </c>
      <c r="CN7" s="917">
        <v>3</v>
      </c>
    </row>
    <row r="8" spans="1:92">
      <c r="A8">
        <v>5</v>
      </c>
      <c r="B8" s="892" t="s">
        <v>300</v>
      </c>
      <c r="C8" s="144">
        <v>0.28066378066378067</v>
      </c>
      <c r="D8" s="144">
        <v>0.33710106382978722</v>
      </c>
      <c r="E8" s="145">
        <v>0.49494949494949497</v>
      </c>
      <c r="F8" s="146">
        <v>190</v>
      </c>
      <c r="G8" s="32">
        <v>389</v>
      </c>
      <c r="H8" s="32">
        <v>86</v>
      </c>
      <c r="I8" s="32">
        <v>5</v>
      </c>
      <c r="J8" s="32">
        <v>67</v>
      </c>
      <c r="K8" s="32">
        <v>118</v>
      </c>
      <c r="L8" s="32">
        <v>323</v>
      </c>
      <c r="M8" s="146">
        <v>4</v>
      </c>
      <c r="N8" s="32">
        <v>686</v>
      </c>
      <c r="O8" s="899">
        <v>0.83205055877928213</v>
      </c>
      <c r="Q8">
        <v>5</v>
      </c>
      <c r="R8" s="892" t="s">
        <v>611</v>
      </c>
      <c r="S8" s="147">
        <v>4.0537159062473931</v>
      </c>
      <c r="T8" s="148">
        <v>359.67</v>
      </c>
      <c r="U8" s="32">
        <v>387</v>
      </c>
      <c r="V8" s="32">
        <v>162</v>
      </c>
      <c r="W8" s="32">
        <v>121</v>
      </c>
      <c r="X8" s="32">
        <v>365</v>
      </c>
      <c r="Y8" s="32">
        <v>11</v>
      </c>
      <c r="Z8" s="149">
        <v>1.4124058164428503</v>
      </c>
      <c r="AA8" s="32">
        <v>25</v>
      </c>
      <c r="AB8" s="150">
        <v>14</v>
      </c>
      <c r="AC8" s="502">
        <v>3</v>
      </c>
      <c r="AD8" s="918">
        <v>3</v>
      </c>
      <c r="AF8">
        <v>5</v>
      </c>
      <c r="AG8" s="892" t="s">
        <v>611</v>
      </c>
      <c r="AH8" s="144">
        <v>0.24929775280898878</v>
      </c>
      <c r="AI8" s="144">
        <v>0.32256020278833969</v>
      </c>
      <c r="AJ8" s="145">
        <v>0.43890449438202245</v>
      </c>
      <c r="AK8" s="146">
        <v>178</v>
      </c>
      <c r="AL8" s="32">
        <v>355</v>
      </c>
      <c r="AM8" s="32">
        <v>86</v>
      </c>
      <c r="AN8" s="32">
        <v>2</v>
      </c>
      <c r="AO8" s="32">
        <v>60</v>
      </c>
      <c r="AP8" s="32">
        <v>154</v>
      </c>
      <c r="AQ8" s="32">
        <v>343</v>
      </c>
      <c r="AR8" s="146">
        <v>4</v>
      </c>
      <c r="AS8" s="32">
        <v>625</v>
      </c>
      <c r="AT8" s="899">
        <v>0.76146469717036214</v>
      </c>
      <c r="AV8">
        <v>5</v>
      </c>
      <c r="AW8" s="892" t="s">
        <v>300</v>
      </c>
      <c r="AX8" s="147">
        <v>3.9972067039106145</v>
      </c>
      <c r="AY8" s="148">
        <v>358</v>
      </c>
      <c r="AZ8" s="32">
        <v>325</v>
      </c>
      <c r="BA8" s="32">
        <v>159</v>
      </c>
      <c r="BB8" s="32">
        <v>126</v>
      </c>
      <c r="BC8" s="32">
        <v>338</v>
      </c>
      <c r="BD8" s="32">
        <v>9</v>
      </c>
      <c r="BE8" s="149">
        <v>1.2597765363128492</v>
      </c>
      <c r="BF8" s="32">
        <v>24</v>
      </c>
      <c r="BG8" s="150">
        <v>14</v>
      </c>
      <c r="BH8" s="32">
        <v>3</v>
      </c>
      <c r="BI8" s="917">
        <v>2</v>
      </c>
      <c r="BK8">
        <v>5</v>
      </c>
      <c r="BL8" s="892" t="s">
        <v>502</v>
      </c>
      <c r="BM8" s="144">
        <v>0.2634180790960452</v>
      </c>
      <c r="BN8" s="144">
        <v>0.32052117263843649</v>
      </c>
      <c r="BO8" s="145">
        <v>0.44138418079096048</v>
      </c>
      <c r="BP8" s="146">
        <v>187</v>
      </c>
      <c r="BQ8" s="32">
        <v>373</v>
      </c>
      <c r="BR8" s="32">
        <v>69</v>
      </c>
      <c r="BS8" s="502">
        <v>12</v>
      </c>
      <c r="BT8" s="32">
        <v>53</v>
      </c>
      <c r="BU8" s="32">
        <v>119</v>
      </c>
      <c r="BV8" s="32">
        <v>370</v>
      </c>
      <c r="BW8" s="146">
        <v>24</v>
      </c>
      <c r="BX8" s="32">
        <v>625</v>
      </c>
      <c r="BY8" s="899">
        <v>0.76190535342939691</v>
      </c>
      <c r="CA8">
        <v>5</v>
      </c>
      <c r="CB8" s="892" t="s">
        <v>685</v>
      </c>
      <c r="CC8" s="147">
        <v>4.1071579481112153</v>
      </c>
      <c r="CD8" s="148">
        <v>354.98999999999995</v>
      </c>
      <c r="CE8" s="32">
        <v>340</v>
      </c>
      <c r="CF8" s="32">
        <v>162</v>
      </c>
      <c r="CG8" s="502">
        <v>102</v>
      </c>
      <c r="CH8" s="32">
        <v>350</v>
      </c>
      <c r="CI8" s="32">
        <v>8</v>
      </c>
      <c r="CJ8" s="149">
        <v>1.245105495929463</v>
      </c>
      <c r="CK8" s="32">
        <v>24</v>
      </c>
      <c r="CL8" s="150">
        <v>12</v>
      </c>
      <c r="CM8" s="150">
        <v>3</v>
      </c>
      <c r="CN8" s="917">
        <v>3</v>
      </c>
    </row>
    <row r="9" spans="1:92">
      <c r="A9">
        <v>6</v>
      </c>
      <c r="B9" s="892" t="s">
        <v>165</v>
      </c>
      <c r="C9" s="144">
        <v>0.26790830945558741</v>
      </c>
      <c r="D9" s="144">
        <v>0.34191886670959432</v>
      </c>
      <c r="E9" s="145">
        <v>0.44770773638968481</v>
      </c>
      <c r="F9" s="151">
        <v>183</v>
      </c>
      <c r="G9" s="150">
        <v>374</v>
      </c>
      <c r="H9" s="150">
        <v>80</v>
      </c>
      <c r="I9" s="150">
        <v>6</v>
      </c>
      <c r="J9" s="150">
        <v>53</v>
      </c>
      <c r="K9" s="150">
        <v>157</v>
      </c>
      <c r="L9" s="150">
        <v>383</v>
      </c>
      <c r="M9" s="151">
        <v>5</v>
      </c>
      <c r="N9" s="150">
        <v>625</v>
      </c>
      <c r="O9" s="899">
        <v>0.78962660309927912</v>
      </c>
      <c r="Q9">
        <v>6</v>
      </c>
      <c r="R9" s="892" t="s">
        <v>300</v>
      </c>
      <c r="S9" s="147">
        <v>4.2456427784525852</v>
      </c>
      <c r="T9" s="148">
        <v>354.01000000000005</v>
      </c>
      <c r="U9" s="32">
        <v>353</v>
      </c>
      <c r="V9" s="32">
        <v>167</v>
      </c>
      <c r="W9" s="32">
        <v>135</v>
      </c>
      <c r="X9" s="32">
        <v>341</v>
      </c>
      <c r="Y9" s="32">
        <v>10</v>
      </c>
      <c r="Z9" s="149">
        <v>1.3784921329905933</v>
      </c>
      <c r="AA9" s="32">
        <v>21</v>
      </c>
      <c r="AB9" s="150">
        <v>8</v>
      </c>
      <c r="AC9" s="32">
        <v>0</v>
      </c>
      <c r="AD9" s="917">
        <v>0</v>
      </c>
      <c r="AF9">
        <v>6</v>
      </c>
      <c r="AG9" s="892" t="s">
        <v>580</v>
      </c>
      <c r="AH9" s="144">
        <v>0.26756564939673527</v>
      </c>
      <c r="AI9" s="144">
        <v>0.32504905166775672</v>
      </c>
      <c r="AJ9" s="145">
        <v>0.44925479063165363</v>
      </c>
      <c r="AK9" s="146">
        <v>175</v>
      </c>
      <c r="AL9" s="32">
        <v>377</v>
      </c>
      <c r="AM9" s="502">
        <v>93</v>
      </c>
      <c r="AN9" s="32">
        <v>8</v>
      </c>
      <c r="AO9" s="32">
        <v>49</v>
      </c>
      <c r="AP9" s="32">
        <v>120</v>
      </c>
      <c r="AQ9" s="32">
        <v>323</v>
      </c>
      <c r="AR9" s="146">
        <v>5</v>
      </c>
      <c r="AS9" s="32">
        <v>633</v>
      </c>
      <c r="AT9" s="899">
        <v>0.77430384229941041</v>
      </c>
      <c r="AV9">
        <v>6</v>
      </c>
      <c r="AW9" s="892" t="s">
        <v>611</v>
      </c>
      <c r="AX9" s="147">
        <v>3.9376070001902232</v>
      </c>
      <c r="AY9" s="148">
        <v>367.98999999999995</v>
      </c>
      <c r="AZ9" s="32">
        <v>349</v>
      </c>
      <c r="BA9" s="32">
        <v>161</v>
      </c>
      <c r="BB9" s="32">
        <v>131</v>
      </c>
      <c r="BC9" s="32">
        <v>374</v>
      </c>
      <c r="BD9" s="32">
        <v>7</v>
      </c>
      <c r="BE9" s="149">
        <v>1.304383271284546</v>
      </c>
      <c r="BF9" s="32">
        <v>23</v>
      </c>
      <c r="BG9" s="150">
        <v>12</v>
      </c>
      <c r="BH9" s="32">
        <v>2</v>
      </c>
      <c r="BI9" s="917">
        <v>2</v>
      </c>
      <c r="BK9">
        <v>6</v>
      </c>
      <c r="BL9" s="892" t="s">
        <v>580</v>
      </c>
      <c r="BM9" s="144">
        <v>0.26315789473684209</v>
      </c>
      <c r="BN9" s="144">
        <v>0.32575250836120401</v>
      </c>
      <c r="BO9" s="145">
        <v>0.45029239766081869</v>
      </c>
      <c r="BP9" s="146">
        <v>177</v>
      </c>
      <c r="BQ9" s="32">
        <v>360</v>
      </c>
      <c r="BR9" s="32">
        <v>75</v>
      </c>
      <c r="BS9" s="32">
        <v>8</v>
      </c>
      <c r="BT9" s="32">
        <v>55</v>
      </c>
      <c r="BU9" s="32">
        <v>127</v>
      </c>
      <c r="BV9" s="32">
        <v>315</v>
      </c>
      <c r="BW9" s="146">
        <v>10</v>
      </c>
      <c r="BX9" s="32">
        <v>616</v>
      </c>
      <c r="BY9" s="899">
        <v>0.7760449060220227</v>
      </c>
      <c r="CA9">
        <v>6</v>
      </c>
      <c r="CB9" s="892" t="s">
        <v>717</v>
      </c>
      <c r="CC9" s="147">
        <v>4.5593479368313803</v>
      </c>
      <c r="CD9" s="148">
        <v>353.34000000000003</v>
      </c>
      <c r="CE9" s="32">
        <v>360</v>
      </c>
      <c r="CF9" s="32">
        <v>179</v>
      </c>
      <c r="CG9" s="32">
        <v>119</v>
      </c>
      <c r="CH9" s="32">
        <v>312</v>
      </c>
      <c r="CI9" s="32">
        <v>10</v>
      </c>
      <c r="CJ9" s="149">
        <v>1.3556347993434086</v>
      </c>
      <c r="CK9" s="502">
        <v>25</v>
      </c>
      <c r="CL9" s="150">
        <v>8</v>
      </c>
      <c r="CM9" s="32">
        <v>2</v>
      </c>
      <c r="CN9" s="917">
        <v>2</v>
      </c>
    </row>
    <row r="10" spans="1:92">
      <c r="A10">
        <v>7</v>
      </c>
      <c r="B10" s="892" t="s">
        <v>539</v>
      </c>
      <c r="C10" s="144">
        <v>0.26744989633724947</v>
      </c>
      <c r="D10" s="144">
        <v>0.31391585760517798</v>
      </c>
      <c r="E10" s="145">
        <v>0.45542501727712509</v>
      </c>
      <c r="F10" s="146">
        <v>181</v>
      </c>
      <c r="G10" s="32">
        <v>387</v>
      </c>
      <c r="H10" s="32">
        <v>87</v>
      </c>
      <c r="I10" s="32">
        <v>1</v>
      </c>
      <c r="J10" s="32">
        <v>61</v>
      </c>
      <c r="K10" s="32">
        <v>98</v>
      </c>
      <c r="L10" s="32">
        <v>374</v>
      </c>
      <c r="M10" s="146">
        <v>6</v>
      </c>
      <c r="N10" s="32">
        <v>659</v>
      </c>
      <c r="O10" s="899">
        <v>0.76934087488230307</v>
      </c>
      <c r="Q10">
        <v>7</v>
      </c>
      <c r="R10" s="892" t="s">
        <v>539</v>
      </c>
      <c r="S10" s="147">
        <v>4.302197802197802</v>
      </c>
      <c r="T10" s="520">
        <v>364</v>
      </c>
      <c r="U10" s="32">
        <v>358</v>
      </c>
      <c r="V10" s="32">
        <v>174</v>
      </c>
      <c r="W10" s="32">
        <v>146</v>
      </c>
      <c r="X10" s="32">
        <v>386</v>
      </c>
      <c r="Y10" s="32">
        <v>11</v>
      </c>
      <c r="Z10" s="149">
        <v>1.3846153846153846</v>
      </c>
      <c r="AA10" s="32">
        <v>21</v>
      </c>
      <c r="AB10" s="150">
        <v>10</v>
      </c>
      <c r="AC10" s="32">
        <v>1</v>
      </c>
      <c r="AD10" s="917">
        <v>1</v>
      </c>
      <c r="AF10">
        <v>7</v>
      </c>
      <c r="AG10" s="892" t="s">
        <v>266</v>
      </c>
      <c r="AH10" s="144">
        <v>0.23707533234859676</v>
      </c>
      <c r="AI10" s="144">
        <v>0.30437710437710436</v>
      </c>
      <c r="AJ10" s="145">
        <v>0.42614475627769571</v>
      </c>
      <c r="AK10" s="146">
        <v>175</v>
      </c>
      <c r="AL10" s="32">
        <v>321</v>
      </c>
      <c r="AM10" s="32">
        <v>78</v>
      </c>
      <c r="AN10" s="32">
        <v>2</v>
      </c>
      <c r="AO10" s="32">
        <v>58</v>
      </c>
      <c r="AP10" s="32">
        <v>131</v>
      </c>
      <c r="AQ10" s="32">
        <v>373</v>
      </c>
      <c r="AR10" s="146">
        <v>13</v>
      </c>
      <c r="AS10" s="32">
        <v>577</v>
      </c>
      <c r="AT10" s="899">
        <v>0.73052186065480007</v>
      </c>
      <c r="AV10">
        <v>7</v>
      </c>
      <c r="AW10" s="892" t="s">
        <v>539</v>
      </c>
      <c r="AX10" s="147">
        <v>4.1288995162097537</v>
      </c>
      <c r="AY10" s="148">
        <v>359.65999999999997</v>
      </c>
      <c r="AZ10" s="32">
        <v>318</v>
      </c>
      <c r="BA10" s="32">
        <v>165</v>
      </c>
      <c r="BB10" s="32">
        <v>134</v>
      </c>
      <c r="BC10" s="502">
        <v>397</v>
      </c>
      <c r="BD10" s="150">
        <v>3</v>
      </c>
      <c r="BE10" s="149">
        <v>1.256742479007952</v>
      </c>
      <c r="BF10" s="32">
        <v>20</v>
      </c>
      <c r="BG10" s="150">
        <v>10</v>
      </c>
      <c r="BH10" s="32">
        <v>4</v>
      </c>
      <c r="BI10" s="918">
        <v>4</v>
      </c>
      <c r="BK10">
        <v>7</v>
      </c>
      <c r="BL10" s="892" t="s">
        <v>165</v>
      </c>
      <c r="BM10" s="144">
        <v>0.2617159336697909</v>
      </c>
      <c r="BN10" s="144">
        <v>0.33935483870967742</v>
      </c>
      <c r="BO10" s="145">
        <v>0.45205479452054792</v>
      </c>
      <c r="BP10" s="151">
        <v>202</v>
      </c>
      <c r="BQ10" s="150">
        <v>363</v>
      </c>
      <c r="BR10" s="150">
        <v>65</v>
      </c>
      <c r="BS10" s="150">
        <v>2</v>
      </c>
      <c r="BT10" s="150">
        <v>65</v>
      </c>
      <c r="BU10" s="883">
        <v>163</v>
      </c>
      <c r="BV10" s="150">
        <v>333</v>
      </c>
      <c r="BW10" s="151">
        <v>13</v>
      </c>
      <c r="BX10" s="150">
        <v>627</v>
      </c>
      <c r="BY10" s="899">
        <v>0.7914096332302254</v>
      </c>
      <c r="CA10">
        <v>7</v>
      </c>
      <c r="CB10" s="892" t="s">
        <v>429</v>
      </c>
      <c r="CC10" s="147">
        <v>4.4957063478700112</v>
      </c>
      <c r="CD10" s="148">
        <v>356.34000000000003</v>
      </c>
      <c r="CE10" s="32">
        <v>360</v>
      </c>
      <c r="CF10" s="32">
        <v>178</v>
      </c>
      <c r="CG10" s="32">
        <v>126</v>
      </c>
      <c r="CH10" s="32">
        <v>325</v>
      </c>
      <c r="CI10" s="32">
        <v>7</v>
      </c>
      <c r="CJ10" s="149">
        <v>1.3638659707021383</v>
      </c>
      <c r="CK10" s="32">
        <v>21</v>
      </c>
      <c r="CL10" s="150">
        <v>12</v>
      </c>
      <c r="CM10" s="32">
        <v>1</v>
      </c>
      <c r="CN10" s="917">
        <v>1</v>
      </c>
    </row>
    <row r="11" spans="1:92">
      <c r="A11">
        <v>8</v>
      </c>
      <c r="B11" s="892" t="s">
        <v>717</v>
      </c>
      <c r="C11" s="144">
        <v>0.25379609544468545</v>
      </c>
      <c r="D11" s="144">
        <v>0.32283464566929132</v>
      </c>
      <c r="E11" s="145">
        <v>0.42805495300072305</v>
      </c>
      <c r="F11" s="146">
        <v>181</v>
      </c>
      <c r="G11" s="32">
        <v>351</v>
      </c>
      <c r="H11" s="32">
        <v>68</v>
      </c>
      <c r="I11" s="32">
        <v>4</v>
      </c>
      <c r="J11" s="32">
        <v>55</v>
      </c>
      <c r="K11" s="32">
        <v>141</v>
      </c>
      <c r="L11" s="32">
        <v>326</v>
      </c>
      <c r="M11" s="146">
        <v>31</v>
      </c>
      <c r="N11" s="32">
        <v>592</v>
      </c>
      <c r="O11" s="899">
        <v>0.75088959867001437</v>
      </c>
      <c r="Q11">
        <v>8</v>
      </c>
      <c r="R11" s="892" t="s">
        <v>502</v>
      </c>
      <c r="S11" s="147">
        <v>4.4282621531194648</v>
      </c>
      <c r="T11" s="148">
        <v>355.67</v>
      </c>
      <c r="U11" s="32">
        <v>365</v>
      </c>
      <c r="V11" s="32">
        <v>175</v>
      </c>
      <c r="W11" s="32">
        <v>144</v>
      </c>
      <c r="X11" s="32">
        <v>347</v>
      </c>
      <c r="Y11" s="32">
        <v>11</v>
      </c>
      <c r="Z11" s="149">
        <v>1.4311018640874968</v>
      </c>
      <c r="AA11" s="32">
        <v>25</v>
      </c>
      <c r="AB11" s="150">
        <v>13</v>
      </c>
      <c r="AC11" s="32">
        <v>1</v>
      </c>
      <c r="AD11" s="917">
        <v>1</v>
      </c>
      <c r="AF11">
        <v>8</v>
      </c>
      <c r="AG11" s="892" t="s">
        <v>539</v>
      </c>
      <c r="AH11" s="144">
        <v>0.26785714285714285</v>
      </c>
      <c r="AI11" s="144">
        <v>0.31491002570694088</v>
      </c>
      <c r="AJ11" s="145">
        <v>0.44917582417582419</v>
      </c>
      <c r="AK11" s="146">
        <v>171</v>
      </c>
      <c r="AL11" s="32">
        <v>390</v>
      </c>
      <c r="AM11" s="32">
        <v>79</v>
      </c>
      <c r="AN11" s="32">
        <v>7</v>
      </c>
      <c r="AO11" s="32">
        <v>57</v>
      </c>
      <c r="AP11" s="32">
        <v>100</v>
      </c>
      <c r="AQ11" s="32">
        <v>370</v>
      </c>
      <c r="AR11" s="146">
        <v>4</v>
      </c>
      <c r="AS11" s="32">
        <v>654</v>
      </c>
      <c r="AT11" s="899">
        <v>0.76408584988276507</v>
      </c>
      <c r="AV11">
        <v>8</v>
      </c>
      <c r="AW11" s="892" t="s">
        <v>580</v>
      </c>
      <c r="AX11" s="147">
        <v>4.2060782448088654</v>
      </c>
      <c r="AY11" s="148">
        <v>357.34000000000003</v>
      </c>
      <c r="AZ11" s="32">
        <v>323</v>
      </c>
      <c r="BA11" s="32">
        <v>167</v>
      </c>
      <c r="BB11" s="32">
        <v>142</v>
      </c>
      <c r="BC11" s="32">
        <v>391</v>
      </c>
      <c r="BD11" s="32">
        <v>9</v>
      </c>
      <c r="BE11" s="149">
        <v>1.3012816925057367</v>
      </c>
      <c r="BF11" s="32">
        <v>26</v>
      </c>
      <c r="BG11" s="150">
        <v>16</v>
      </c>
      <c r="BH11" s="32">
        <v>3</v>
      </c>
      <c r="BI11" s="917">
        <v>3</v>
      </c>
      <c r="BK11">
        <v>8</v>
      </c>
      <c r="BL11" s="892" t="s">
        <v>685</v>
      </c>
      <c r="BM11" s="144">
        <v>0.25352112676056338</v>
      </c>
      <c r="BN11" s="144">
        <v>0.32279757901815737</v>
      </c>
      <c r="BO11" s="145">
        <v>0.42920681986656783</v>
      </c>
      <c r="BP11" s="146">
        <v>186</v>
      </c>
      <c r="BQ11" s="32">
        <v>342</v>
      </c>
      <c r="BR11" s="32">
        <v>68</v>
      </c>
      <c r="BS11" s="32">
        <v>2</v>
      </c>
      <c r="BT11" s="32">
        <v>55</v>
      </c>
      <c r="BU11" s="32">
        <v>138</v>
      </c>
      <c r="BV11" s="32">
        <v>327</v>
      </c>
      <c r="BW11" s="146">
        <v>22</v>
      </c>
      <c r="BX11" s="32">
        <v>579</v>
      </c>
      <c r="BY11" s="899">
        <v>0.75200439888472514</v>
      </c>
      <c r="CA11">
        <v>8</v>
      </c>
      <c r="CB11" s="892" t="s">
        <v>394</v>
      </c>
      <c r="CC11" s="147">
        <v>4.5767045454545459</v>
      </c>
      <c r="CD11" s="148">
        <v>352</v>
      </c>
      <c r="CE11" s="32">
        <v>351</v>
      </c>
      <c r="CF11" s="32">
        <v>179</v>
      </c>
      <c r="CG11" s="32">
        <v>125</v>
      </c>
      <c r="CH11" s="32">
        <v>392</v>
      </c>
      <c r="CI11" s="32">
        <v>9</v>
      </c>
      <c r="CJ11" s="149">
        <v>1.3522727272727273</v>
      </c>
      <c r="CK11" s="32">
        <v>20</v>
      </c>
      <c r="CL11" s="150">
        <v>9</v>
      </c>
      <c r="CM11" s="32">
        <v>1</v>
      </c>
      <c r="CN11" s="917">
        <v>1</v>
      </c>
    </row>
    <row r="12" spans="1:92">
      <c r="A12">
        <v>9</v>
      </c>
      <c r="B12" s="892" t="s">
        <v>685</v>
      </c>
      <c r="C12" s="144">
        <v>0.25162220620043257</v>
      </c>
      <c r="D12" s="144">
        <v>0.31349206349206349</v>
      </c>
      <c r="E12" s="145">
        <v>0.46503244412400863</v>
      </c>
      <c r="F12" s="146">
        <v>178</v>
      </c>
      <c r="G12" s="32">
        <v>349</v>
      </c>
      <c r="H12" s="32">
        <v>67</v>
      </c>
      <c r="I12" s="32">
        <v>8</v>
      </c>
      <c r="J12" s="32">
        <v>71</v>
      </c>
      <c r="K12" s="32">
        <v>125</v>
      </c>
      <c r="L12" s="32">
        <v>400</v>
      </c>
      <c r="M12" s="146">
        <v>8</v>
      </c>
      <c r="N12" s="32">
        <v>645</v>
      </c>
      <c r="O12" s="899">
        <v>0.77852450761607206</v>
      </c>
      <c r="Q12">
        <v>9</v>
      </c>
      <c r="R12" s="892" t="s">
        <v>463</v>
      </c>
      <c r="S12" s="147">
        <v>4.4832507765930654</v>
      </c>
      <c r="T12" s="148">
        <v>357.33</v>
      </c>
      <c r="U12" s="32">
        <v>382</v>
      </c>
      <c r="V12" s="32">
        <v>178</v>
      </c>
      <c r="W12" s="502">
        <v>106</v>
      </c>
      <c r="X12" s="32">
        <v>290</v>
      </c>
      <c r="Y12" s="32">
        <v>8</v>
      </c>
      <c r="Z12" s="149">
        <v>1.3656843813841548</v>
      </c>
      <c r="AA12" s="32">
        <v>22</v>
      </c>
      <c r="AB12" s="150">
        <v>11</v>
      </c>
      <c r="AC12" s="32">
        <v>2</v>
      </c>
      <c r="AD12" s="917">
        <v>1</v>
      </c>
      <c r="AF12">
        <v>9</v>
      </c>
      <c r="AG12" s="892" t="s">
        <v>165</v>
      </c>
      <c r="AH12" s="144">
        <v>0.25716440422322773</v>
      </c>
      <c r="AI12" s="144">
        <v>0.32068965517241377</v>
      </c>
      <c r="AJ12" s="145">
        <v>0.42986425339366519</v>
      </c>
      <c r="AK12" s="151">
        <v>170</v>
      </c>
      <c r="AL12" s="150">
        <v>341</v>
      </c>
      <c r="AM12" s="150">
        <v>70</v>
      </c>
      <c r="AN12" s="150">
        <v>6</v>
      </c>
      <c r="AO12" s="150">
        <v>49</v>
      </c>
      <c r="AP12" s="150">
        <v>124</v>
      </c>
      <c r="AQ12" s="150">
        <v>362</v>
      </c>
      <c r="AR12" s="151">
        <v>8</v>
      </c>
      <c r="AS12" s="150">
        <v>570</v>
      </c>
      <c r="AT12" s="899">
        <v>0.75055390856607895</v>
      </c>
      <c r="AV12">
        <v>9</v>
      </c>
      <c r="AW12" s="892" t="s">
        <v>429</v>
      </c>
      <c r="AX12" s="147">
        <v>4.3890410958904109</v>
      </c>
      <c r="AY12" s="148">
        <v>365</v>
      </c>
      <c r="AZ12" s="32">
        <v>370</v>
      </c>
      <c r="BA12" s="32">
        <v>178</v>
      </c>
      <c r="BB12" s="32">
        <v>112</v>
      </c>
      <c r="BC12" s="32">
        <v>339</v>
      </c>
      <c r="BD12" s="32">
        <v>12</v>
      </c>
      <c r="BE12" s="149">
        <v>1.3205479452054794</v>
      </c>
      <c r="BF12" s="32">
        <v>24</v>
      </c>
      <c r="BG12" s="150">
        <v>9</v>
      </c>
      <c r="BH12" s="32">
        <v>0</v>
      </c>
      <c r="BI12" s="917">
        <v>0</v>
      </c>
      <c r="BK12">
        <v>9</v>
      </c>
      <c r="BL12" s="892" t="s">
        <v>717</v>
      </c>
      <c r="BM12" s="144">
        <v>0.25326560232220607</v>
      </c>
      <c r="BN12" s="144">
        <v>0.33094928478543562</v>
      </c>
      <c r="BO12" s="145">
        <v>0.42380261248185774</v>
      </c>
      <c r="BP12" s="146">
        <v>181</v>
      </c>
      <c r="BQ12" s="32">
        <v>349</v>
      </c>
      <c r="BR12" s="32">
        <v>62</v>
      </c>
      <c r="BS12" s="32">
        <v>7</v>
      </c>
      <c r="BT12" s="32">
        <v>53</v>
      </c>
      <c r="BU12" s="32">
        <v>160</v>
      </c>
      <c r="BV12" s="32">
        <v>368</v>
      </c>
      <c r="BW12" s="516">
        <v>49</v>
      </c>
      <c r="BX12" s="32">
        <v>584</v>
      </c>
      <c r="BY12" s="899">
        <v>0.7547518972672933</v>
      </c>
      <c r="CA12">
        <v>9</v>
      </c>
      <c r="CB12" s="892" t="s">
        <v>226</v>
      </c>
      <c r="CC12" s="147">
        <v>4.5327640006569219</v>
      </c>
      <c r="CD12" s="148">
        <v>365.34000000000003</v>
      </c>
      <c r="CE12" s="32">
        <v>376</v>
      </c>
      <c r="CF12" s="32">
        <v>184</v>
      </c>
      <c r="CG12" s="32">
        <v>134</v>
      </c>
      <c r="CH12" s="32">
        <v>382</v>
      </c>
      <c r="CI12" s="502">
        <v>15</v>
      </c>
      <c r="CJ12" s="149">
        <v>1.3959599277385448</v>
      </c>
      <c r="CK12" s="32">
        <v>22</v>
      </c>
      <c r="CL12" s="150">
        <v>8</v>
      </c>
      <c r="CM12" s="32">
        <v>1</v>
      </c>
      <c r="CN12" s="917">
        <v>1</v>
      </c>
    </row>
    <row r="13" spans="1:92">
      <c r="A13">
        <v>10</v>
      </c>
      <c r="B13" s="892" t="s">
        <v>429</v>
      </c>
      <c r="C13" s="144">
        <v>0.23744619799139169</v>
      </c>
      <c r="D13" s="144">
        <v>0.30295081967213117</v>
      </c>
      <c r="E13" s="145">
        <v>0.41391678622668582</v>
      </c>
      <c r="F13" s="146">
        <v>172</v>
      </c>
      <c r="G13" s="32">
        <v>331</v>
      </c>
      <c r="H13" s="32">
        <v>63</v>
      </c>
      <c r="I13" s="32">
        <v>6</v>
      </c>
      <c r="J13" s="32">
        <v>57</v>
      </c>
      <c r="K13" s="32">
        <v>131</v>
      </c>
      <c r="L13" s="32">
        <v>374</v>
      </c>
      <c r="M13" s="146">
        <v>13</v>
      </c>
      <c r="N13" s="32">
        <v>577</v>
      </c>
      <c r="O13" s="899">
        <v>0.71686760589881704</v>
      </c>
      <c r="Q13">
        <v>10</v>
      </c>
      <c r="R13" s="892" t="s">
        <v>339</v>
      </c>
      <c r="S13" s="147">
        <v>4.8305084745762707</v>
      </c>
      <c r="T13" s="148">
        <v>354</v>
      </c>
      <c r="U13" s="32">
        <v>388</v>
      </c>
      <c r="V13" s="32">
        <v>190</v>
      </c>
      <c r="W13" s="32">
        <v>140</v>
      </c>
      <c r="X13" s="32">
        <v>413</v>
      </c>
      <c r="Y13" s="32">
        <v>6</v>
      </c>
      <c r="Z13" s="149">
        <v>1.4915254237288136</v>
      </c>
      <c r="AA13" s="32">
        <v>21</v>
      </c>
      <c r="AB13" s="150">
        <v>9</v>
      </c>
      <c r="AC13" s="32">
        <v>2</v>
      </c>
      <c r="AD13" s="917">
        <v>2</v>
      </c>
      <c r="AF13">
        <v>10</v>
      </c>
      <c r="AG13" s="892" t="s">
        <v>339</v>
      </c>
      <c r="AH13" s="144">
        <v>0.24286759326993415</v>
      </c>
      <c r="AI13" s="144">
        <v>0.30676490288010716</v>
      </c>
      <c r="AJ13" s="145">
        <v>0.44403803950256038</v>
      </c>
      <c r="AK13" s="146">
        <v>169</v>
      </c>
      <c r="AL13" s="32">
        <v>332</v>
      </c>
      <c r="AM13" s="32">
        <v>77</v>
      </c>
      <c r="AN13" s="32">
        <v>15</v>
      </c>
      <c r="AO13" s="32">
        <v>56</v>
      </c>
      <c r="AP13" s="32">
        <v>126</v>
      </c>
      <c r="AQ13" s="922">
        <v>420</v>
      </c>
      <c r="AR13" s="146">
        <v>2</v>
      </c>
      <c r="AS13" s="32">
        <v>607</v>
      </c>
      <c r="AT13" s="899">
        <v>0.75080294238266754</v>
      </c>
      <c r="AV13">
        <v>10</v>
      </c>
      <c r="AW13" s="892" t="s">
        <v>685</v>
      </c>
      <c r="AX13" s="147">
        <v>4.6509679041314014</v>
      </c>
      <c r="AY13" s="148">
        <v>357.98999999999995</v>
      </c>
      <c r="AZ13" s="32">
        <v>357</v>
      </c>
      <c r="BA13" s="32">
        <v>185</v>
      </c>
      <c r="BB13" s="32">
        <v>136</v>
      </c>
      <c r="BC13" s="32">
        <v>338</v>
      </c>
      <c r="BD13" s="32">
        <v>6</v>
      </c>
      <c r="BE13" s="149">
        <v>1.37713343948155</v>
      </c>
      <c r="BF13" s="32">
        <v>22</v>
      </c>
      <c r="BG13" s="150">
        <v>13</v>
      </c>
      <c r="BH13" s="32">
        <v>4</v>
      </c>
      <c r="BI13" s="917">
        <v>2</v>
      </c>
      <c r="BK13">
        <v>10</v>
      </c>
      <c r="BL13" s="892" t="s">
        <v>339</v>
      </c>
      <c r="BM13" s="144">
        <v>0.25291545189504372</v>
      </c>
      <c r="BN13" s="144">
        <v>0.32074221338634856</v>
      </c>
      <c r="BO13" s="145">
        <v>0.42711370262390669</v>
      </c>
      <c r="BP13" s="146">
        <v>183</v>
      </c>
      <c r="BQ13" s="32">
        <v>347</v>
      </c>
      <c r="BR13" s="32">
        <v>63</v>
      </c>
      <c r="BS13" s="32">
        <v>4</v>
      </c>
      <c r="BT13" s="32">
        <v>56</v>
      </c>
      <c r="BU13" s="32">
        <v>137</v>
      </c>
      <c r="BV13" s="502">
        <v>408</v>
      </c>
      <c r="BW13" s="146">
        <v>7</v>
      </c>
      <c r="BX13" s="32">
        <v>586</v>
      </c>
      <c r="BY13" s="899">
        <v>0.74785591601025525</v>
      </c>
      <c r="CA13">
        <v>10</v>
      </c>
      <c r="CB13" s="892" t="s">
        <v>463</v>
      </c>
      <c r="CC13" s="147">
        <v>6.2091780473322586</v>
      </c>
      <c r="CD13" s="148">
        <v>353.67</v>
      </c>
      <c r="CE13" s="32">
        <v>432</v>
      </c>
      <c r="CF13" s="32">
        <v>244</v>
      </c>
      <c r="CG13" s="32">
        <v>155</v>
      </c>
      <c r="CH13" s="32">
        <v>337</v>
      </c>
      <c r="CI13" s="32">
        <v>6</v>
      </c>
      <c r="CJ13" s="149">
        <v>1.6597393050018379</v>
      </c>
      <c r="CK13" s="32">
        <v>17</v>
      </c>
      <c r="CL13" s="150">
        <v>7</v>
      </c>
      <c r="CM13" s="32">
        <v>1</v>
      </c>
      <c r="CN13" s="917">
        <v>1</v>
      </c>
    </row>
    <row r="14" spans="1:92">
      <c r="A14">
        <v>11</v>
      </c>
      <c r="B14" s="892" t="s">
        <v>339</v>
      </c>
      <c r="C14" s="144">
        <v>0.24369142033165103</v>
      </c>
      <c r="D14" s="144">
        <v>0.31303208906352326</v>
      </c>
      <c r="E14" s="145">
        <v>0.42177361211247294</v>
      </c>
      <c r="F14" s="146">
        <v>170</v>
      </c>
      <c r="G14" s="32">
        <v>338</v>
      </c>
      <c r="H14" s="32">
        <v>73</v>
      </c>
      <c r="I14" s="32">
        <v>9</v>
      </c>
      <c r="J14" s="32">
        <v>52</v>
      </c>
      <c r="K14" s="32">
        <v>140</v>
      </c>
      <c r="L14" s="32">
        <v>403</v>
      </c>
      <c r="M14" s="146">
        <v>3</v>
      </c>
      <c r="N14" s="32">
        <v>585</v>
      </c>
      <c r="O14" s="899">
        <v>0.7348057011759962</v>
      </c>
      <c r="Q14">
        <v>11</v>
      </c>
      <c r="R14" s="892" t="s">
        <v>266</v>
      </c>
      <c r="S14" s="147">
        <v>4.8952813525107244</v>
      </c>
      <c r="T14" s="148">
        <v>356.67</v>
      </c>
      <c r="U14" s="32">
        <v>387</v>
      </c>
      <c r="V14" s="32">
        <v>194</v>
      </c>
      <c r="W14" s="32">
        <v>118</v>
      </c>
      <c r="X14" s="32">
        <v>325</v>
      </c>
      <c r="Y14" s="32">
        <v>6</v>
      </c>
      <c r="Z14" s="149">
        <v>1.4158746179942243</v>
      </c>
      <c r="AA14" s="32">
        <v>14</v>
      </c>
      <c r="AB14" s="150">
        <v>4</v>
      </c>
      <c r="AC14" s="32">
        <v>0</v>
      </c>
      <c r="AD14" s="917">
        <v>0</v>
      </c>
      <c r="AF14">
        <v>11</v>
      </c>
      <c r="AG14" s="892" t="s">
        <v>650</v>
      </c>
      <c r="AH14" s="144">
        <v>0.24662402274342574</v>
      </c>
      <c r="AI14" s="144">
        <v>0.30944625407166126</v>
      </c>
      <c r="AJ14" s="145">
        <v>0.4079601990049751</v>
      </c>
      <c r="AK14" s="146">
        <v>161</v>
      </c>
      <c r="AL14" s="32">
        <v>347</v>
      </c>
      <c r="AM14" s="32">
        <v>70</v>
      </c>
      <c r="AN14" s="32">
        <v>5</v>
      </c>
      <c r="AO14" s="32">
        <v>49</v>
      </c>
      <c r="AP14" s="32">
        <v>128</v>
      </c>
      <c r="AQ14" s="32">
        <v>359</v>
      </c>
      <c r="AR14" s="146">
        <v>0</v>
      </c>
      <c r="AS14" s="32">
        <v>574</v>
      </c>
      <c r="AT14" s="899">
        <v>0.71740645307663642</v>
      </c>
      <c r="AV14">
        <v>11</v>
      </c>
      <c r="AW14" s="892" t="s">
        <v>650</v>
      </c>
      <c r="AX14" s="147">
        <v>4.6869806094182822</v>
      </c>
      <c r="AY14" s="148">
        <v>361</v>
      </c>
      <c r="AZ14" s="32">
        <v>389</v>
      </c>
      <c r="BA14" s="32">
        <v>188</v>
      </c>
      <c r="BB14" s="32">
        <v>130</v>
      </c>
      <c r="BC14" s="32">
        <v>305</v>
      </c>
      <c r="BD14" s="32">
        <v>3</v>
      </c>
      <c r="BE14" s="149">
        <v>1.4376731301939059</v>
      </c>
      <c r="BF14" s="32">
        <v>19</v>
      </c>
      <c r="BG14" s="150">
        <v>8</v>
      </c>
      <c r="BH14" s="32">
        <v>1</v>
      </c>
      <c r="BI14" s="917">
        <v>1</v>
      </c>
      <c r="BK14">
        <v>11</v>
      </c>
      <c r="BL14" s="892" t="s">
        <v>266</v>
      </c>
      <c r="BM14" s="144">
        <v>0.25264643613267468</v>
      </c>
      <c r="BN14" s="144">
        <v>0.32418634333120611</v>
      </c>
      <c r="BO14" s="145">
        <v>0.43119266055045874</v>
      </c>
      <c r="BP14" s="146">
        <v>198</v>
      </c>
      <c r="BQ14" s="32">
        <v>358</v>
      </c>
      <c r="BR14" s="32">
        <v>66</v>
      </c>
      <c r="BS14" s="32">
        <v>5</v>
      </c>
      <c r="BT14" s="32">
        <v>59</v>
      </c>
      <c r="BU14" s="32">
        <v>150</v>
      </c>
      <c r="BV14" s="32">
        <v>386</v>
      </c>
      <c r="BW14" s="146">
        <v>29</v>
      </c>
      <c r="BX14" s="32">
        <v>611</v>
      </c>
      <c r="BY14" s="899">
        <v>0.75537900388166479</v>
      </c>
      <c r="CA14">
        <v>11</v>
      </c>
      <c r="CB14" s="892" t="s">
        <v>650</v>
      </c>
      <c r="CC14" s="147">
        <v>5.0095624125824232</v>
      </c>
      <c r="CD14" s="148">
        <v>350.32999999999993</v>
      </c>
      <c r="CE14" s="32">
        <v>382</v>
      </c>
      <c r="CF14" s="32">
        <v>195</v>
      </c>
      <c r="CG14" s="32">
        <v>153</v>
      </c>
      <c r="CH14" s="32">
        <v>303</v>
      </c>
      <c r="CI14" s="32">
        <v>6</v>
      </c>
      <c r="CJ14" s="149">
        <v>1.5271315616704253</v>
      </c>
      <c r="CK14" s="32">
        <v>15</v>
      </c>
      <c r="CL14" s="150">
        <v>5</v>
      </c>
      <c r="CM14" s="32">
        <v>1</v>
      </c>
      <c r="CN14" s="917">
        <v>1</v>
      </c>
    </row>
    <row r="15" spans="1:92">
      <c r="A15">
        <v>12</v>
      </c>
      <c r="B15" s="892" t="s">
        <v>394</v>
      </c>
      <c r="C15" s="144">
        <v>0.25090383224873464</v>
      </c>
      <c r="D15" s="144">
        <v>0.3285806869734284</v>
      </c>
      <c r="E15" s="145">
        <v>0.40347071583514099</v>
      </c>
      <c r="F15" s="146">
        <v>168</v>
      </c>
      <c r="G15" s="32">
        <v>347</v>
      </c>
      <c r="H15" s="32">
        <v>67</v>
      </c>
      <c r="I15" s="32">
        <v>3</v>
      </c>
      <c r="J15" s="32">
        <v>46</v>
      </c>
      <c r="K15" s="502">
        <v>160</v>
      </c>
      <c r="L15" s="32">
        <v>332</v>
      </c>
      <c r="M15" s="516">
        <v>33</v>
      </c>
      <c r="N15" s="32">
        <v>558</v>
      </c>
      <c r="O15" s="899">
        <v>0.7320514028085694</v>
      </c>
      <c r="Q15">
        <v>12</v>
      </c>
      <c r="R15" s="892" t="s">
        <v>650</v>
      </c>
      <c r="S15" s="147">
        <v>5.2374360857651352</v>
      </c>
      <c r="T15" s="148">
        <v>353.98999999999995</v>
      </c>
      <c r="U15" s="32">
        <v>376</v>
      </c>
      <c r="V15" s="32">
        <v>206</v>
      </c>
      <c r="W15" s="32">
        <v>133</v>
      </c>
      <c r="X15" s="32">
        <v>347</v>
      </c>
      <c r="Y15" s="32">
        <v>7</v>
      </c>
      <c r="Z15" s="149">
        <v>1.4378937258114637</v>
      </c>
      <c r="AA15" s="32">
        <v>20</v>
      </c>
      <c r="AB15" s="150">
        <v>11</v>
      </c>
      <c r="AC15" s="32">
        <v>0</v>
      </c>
      <c r="AD15" s="917">
        <v>0</v>
      </c>
      <c r="AF15">
        <v>12</v>
      </c>
      <c r="AG15" s="892" t="s">
        <v>685</v>
      </c>
      <c r="AH15" s="144">
        <v>0.21454283657307416</v>
      </c>
      <c r="AI15" s="144">
        <v>0.26778523489932887</v>
      </c>
      <c r="AJ15" s="145">
        <v>0.36357091432685384</v>
      </c>
      <c r="AK15" s="146">
        <v>159</v>
      </c>
      <c r="AL15" s="32">
        <v>298</v>
      </c>
      <c r="AM15" s="32">
        <v>56</v>
      </c>
      <c r="AN15" s="32">
        <v>5</v>
      </c>
      <c r="AO15" s="32">
        <v>47</v>
      </c>
      <c r="AP15" s="32">
        <v>101</v>
      </c>
      <c r="AQ15" s="32">
        <v>346</v>
      </c>
      <c r="AR15" s="146">
        <v>11</v>
      </c>
      <c r="AS15" s="32">
        <v>505</v>
      </c>
      <c r="AT15" s="899">
        <v>0.63135614922618277</v>
      </c>
      <c r="AV15">
        <v>12</v>
      </c>
      <c r="AW15" s="892" t="s">
        <v>717</v>
      </c>
      <c r="AX15" s="147">
        <v>4.5952380952380949</v>
      </c>
      <c r="AY15" s="521">
        <v>378</v>
      </c>
      <c r="AZ15" s="32">
        <v>371</v>
      </c>
      <c r="BA15" s="32">
        <v>193</v>
      </c>
      <c r="BB15" s="32">
        <v>176</v>
      </c>
      <c r="BC15" s="32">
        <v>389</v>
      </c>
      <c r="BD15" s="32">
        <v>7</v>
      </c>
      <c r="BE15" s="149">
        <v>1.447089947089947</v>
      </c>
      <c r="BF15" s="32">
        <v>16</v>
      </c>
      <c r="BG15" s="150">
        <v>10</v>
      </c>
      <c r="BH15" s="32">
        <v>1</v>
      </c>
      <c r="BI15" s="917">
        <v>1</v>
      </c>
      <c r="BK15">
        <v>12</v>
      </c>
      <c r="BL15" s="892" t="s">
        <v>611</v>
      </c>
      <c r="BM15" s="144">
        <v>0.24907885040530583</v>
      </c>
      <c r="BN15" s="144">
        <v>0.31472763954270344</v>
      </c>
      <c r="BO15" s="145">
        <v>0.40162122328666178</v>
      </c>
      <c r="BP15" s="146">
        <v>154</v>
      </c>
      <c r="BQ15" s="32">
        <v>338</v>
      </c>
      <c r="BR15" s="32">
        <v>69</v>
      </c>
      <c r="BS15" s="32">
        <v>3</v>
      </c>
      <c r="BT15" s="32">
        <v>44</v>
      </c>
      <c r="BU15" s="32">
        <v>130</v>
      </c>
      <c r="BV15" s="32">
        <v>347</v>
      </c>
      <c r="BW15" s="146">
        <v>11</v>
      </c>
      <c r="BX15" s="32">
        <v>545</v>
      </c>
      <c r="BY15" s="899">
        <v>0.71634886282936527</v>
      </c>
      <c r="CA15">
        <v>12</v>
      </c>
      <c r="CB15" s="892" t="s">
        <v>300</v>
      </c>
      <c r="CC15" s="147">
        <v>5.4052493286749632</v>
      </c>
      <c r="CD15" s="148">
        <v>346.33</v>
      </c>
      <c r="CE15" s="32">
        <v>382</v>
      </c>
      <c r="CF15" s="32">
        <v>208</v>
      </c>
      <c r="CG15" s="32">
        <v>167</v>
      </c>
      <c r="CH15" s="32">
        <v>319</v>
      </c>
      <c r="CI15" s="32">
        <v>7</v>
      </c>
      <c r="CJ15" s="149">
        <v>1.5851933127364075</v>
      </c>
      <c r="CK15" s="32">
        <v>14</v>
      </c>
      <c r="CL15" s="150">
        <v>4</v>
      </c>
      <c r="CM15" s="32">
        <v>1</v>
      </c>
      <c r="CN15" s="917">
        <v>1</v>
      </c>
    </row>
    <row r="16" spans="1:92">
      <c r="A16">
        <v>13</v>
      </c>
      <c r="B16" s="892" t="s">
        <v>502</v>
      </c>
      <c r="C16" s="144">
        <v>0.24460966542750928</v>
      </c>
      <c r="D16" s="144">
        <v>0.30458590006844627</v>
      </c>
      <c r="E16" s="145">
        <v>0.41635687732342008</v>
      </c>
      <c r="F16" s="146">
        <v>165</v>
      </c>
      <c r="G16" s="32">
        <v>329</v>
      </c>
      <c r="H16" s="32">
        <v>74</v>
      </c>
      <c r="I16" s="32">
        <v>8</v>
      </c>
      <c r="J16" s="32">
        <v>47</v>
      </c>
      <c r="K16" s="32">
        <v>116</v>
      </c>
      <c r="L16" s="32">
        <v>355</v>
      </c>
      <c r="M16" s="146">
        <v>22</v>
      </c>
      <c r="N16" s="32">
        <v>560</v>
      </c>
      <c r="O16" s="899">
        <v>0.72094277739186641</v>
      </c>
      <c r="Q16">
        <v>13</v>
      </c>
      <c r="R16" s="892" t="s">
        <v>429</v>
      </c>
      <c r="S16" s="147">
        <v>5.1665608699252061</v>
      </c>
      <c r="T16" s="148">
        <v>362.33</v>
      </c>
      <c r="U16" s="32">
        <v>386</v>
      </c>
      <c r="V16" s="32">
        <v>208</v>
      </c>
      <c r="W16" s="32">
        <v>132</v>
      </c>
      <c r="X16" s="32">
        <v>363</v>
      </c>
      <c r="Y16" s="32">
        <v>11</v>
      </c>
      <c r="Z16" s="149">
        <v>1.4296359672122099</v>
      </c>
      <c r="AA16" s="32">
        <v>19</v>
      </c>
      <c r="AB16" s="150">
        <v>12</v>
      </c>
      <c r="AC16" s="32">
        <v>0</v>
      </c>
      <c r="AD16" s="917">
        <v>0</v>
      </c>
      <c r="AF16">
        <v>13</v>
      </c>
      <c r="AG16" s="892" t="s">
        <v>463</v>
      </c>
      <c r="AH16" s="144">
        <v>0.24320457796852646</v>
      </c>
      <c r="AI16" s="144">
        <v>0.3080444735120994</v>
      </c>
      <c r="AJ16" s="145">
        <v>0.42060085836909872</v>
      </c>
      <c r="AK16" s="146">
        <v>151</v>
      </c>
      <c r="AL16" s="32">
        <v>340</v>
      </c>
      <c r="AM16" s="32">
        <v>71</v>
      </c>
      <c r="AN16" s="32">
        <v>9</v>
      </c>
      <c r="AO16" s="32">
        <v>53</v>
      </c>
      <c r="AP16" s="32">
        <v>131</v>
      </c>
      <c r="AQ16" s="32">
        <v>360</v>
      </c>
      <c r="AR16" s="146">
        <v>2</v>
      </c>
      <c r="AS16" s="32">
        <v>588</v>
      </c>
      <c r="AT16" s="899">
        <v>0.72864533188119807</v>
      </c>
      <c r="AV16">
        <v>13</v>
      </c>
      <c r="AW16" s="892" t="s">
        <v>226</v>
      </c>
      <c r="AX16" s="147">
        <v>4.8473516771780982</v>
      </c>
      <c r="AY16" s="148">
        <v>358.34000000000003</v>
      </c>
      <c r="AZ16" s="32">
        <v>389</v>
      </c>
      <c r="BA16" s="32">
        <v>193</v>
      </c>
      <c r="BB16" s="32">
        <v>144</v>
      </c>
      <c r="BC16" s="32">
        <v>389</v>
      </c>
      <c r="BD16" s="922">
        <v>16</v>
      </c>
      <c r="BE16" s="149">
        <v>1.4874141876430205</v>
      </c>
      <c r="BF16" s="32">
        <v>18</v>
      </c>
      <c r="BG16" s="150">
        <v>7</v>
      </c>
      <c r="BH16" s="32">
        <v>0</v>
      </c>
      <c r="BI16" s="917">
        <v>0</v>
      </c>
      <c r="BK16">
        <v>13</v>
      </c>
      <c r="BL16" s="892" t="s">
        <v>300</v>
      </c>
      <c r="BM16" s="144">
        <v>0.248</v>
      </c>
      <c r="BN16" s="144">
        <v>0.30557421087978509</v>
      </c>
      <c r="BO16" s="145">
        <v>0.4058181818181818</v>
      </c>
      <c r="BP16" s="146">
        <v>145</v>
      </c>
      <c r="BQ16" s="32">
        <v>341</v>
      </c>
      <c r="BR16" s="32">
        <v>66</v>
      </c>
      <c r="BS16" s="32">
        <v>8</v>
      </c>
      <c r="BT16" s="32">
        <v>45</v>
      </c>
      <c r="BU16" s="32">
        <v>114</v>
      </c>
      <c r="BV16" s="32">
        <v>342</v>
      </c>
      <c r="BW16" s="146">
        <v>7</v>
      </c>
      <c r="BX16" s="32">
        <v>558</v>
      </c>
      <c r="BY16" s="899">
        <v>0.71139239269796684</v>
      </c>
      <c r="CA16">
        <v>13</v>
      </c>
      <c r="CB16" s="892" t="s">
        <v>266</v>
      </c>
      <c r="CC16" s="147">
        <v>4.3897653887026902</v>
      </c>
      <c r="CD16" s="520">
        <v>366.98999999999995</v>
      </c>
      <c r="CE16" s="32">
        <v>351</v>
      </c>
      <c r="CF16" s="32">
        <v>179</v>
      </c>
      <c r="CG16" s="32">
        <v>137</v>
      </c>
      <c r="CH16" s="32">
        <v>338</v>
      </c>
      <c r="CI16" s="32">
        <v>8</v>
      </c>
      <c r="CJ16" s="149">
        <v>1.3297365050818826</v>
      </c>
      <c r="CK16" s="502">
        <v>25</v>
      </c>
      <c r="CL16" s="150">
        <v>9</v>
      </c>
      <c r="CM16" s="32">
        <v>1</v>
      </c>
      <c r="CN16" s="917">
        <v>0</v>
      </c>
    </row>
    <row r="17" spans="1:92">
      <c r="A17">
        <v>14</v>
      </c>
      <c r="B17" s="892" t="s">
        <v>650</v>
      </c>
      <c r="C17" s="144">
        <v>0.25944404846756952</v>
      </c>
      <c r="D17" s="144">
        <v>0.31419141914191417</v>
      </c>
      <c r="E17" s="145">
        <v>0.42266571632216676</v>
      </c>
      <c r="F17" s="146">
        <v>161</v>
      </c>
      <c r="G17" s="32">
        <v>364</v>
      </c>
      <c r="H17" s="32">
        <v>73</v>
      </c>
      <c r="I17" s="32">
        <v>3</v>
      </c>
      <c r="J17" s="32">
        <v>50</v>
      </c>
      <c r="K17" s="32">
        <v>112</v>
      </c>
      <c r="L17" s="32">
        <v>365</v>
      </c>
      <c r="M17" s="146">
        <v>5</v>
      </c>
      <c r="N17" s="32">
        <v>593</v>
      </c>
      <c r="O17" s="899">
        <v>0.73685713546408094</v>
      </c>
      <c r="Q17">
        <v>14</v>
      </c>
      <c r="R17" s="892" t="s">
        <v>717</v>
      </c>
      <c r="S17" s="147">
        <v>5.3385045343067361</v>
      </c>
      <c r="T17" s="148">
        <v>350.65999999999997</v>
      </c>
      <c r="U17" s="32">
        <v>363</v>
      </c>
      <c r="V17" s="32">
        <v>208</v>
      </c>
      <c r="W17" s="32">
        <v>155</v>
      </c>
      <c r="X17" s="32">
        <v>369</v>
      </c>
      <c r="Y17" s="32">
        <v>8</v>
      </c>
      <c r="Z17" s="149">
        <v>1.4772143957109451</v>
      </c>
      <c r="AA17" s="32">
        <v>10</v>
      </c>
      <c r="AB17" s="150">
        <v>5</v>
      </c>
      <c r="AC17" s="32">
        <v>0</v>
      </c>
      <c r="AD17" s="917">
        <v>0</v>
      </c>
      <c r="AF17">
        <v>14</v>
      </c>
      <c r="AG17" s="892" t="s">
        <v>300</v>
      </c>
      <c r="AH17" s="144">
        <v>0.24260355029585798</v>
      </c>
      <c r="AI17" s="144">
        <v>0.31367292225201071</v>
      </c>
      <c r="AJ17" s="145">
        <v>0.39201183431952663</v>
      </c>
      <c r="AK17" s="146">
        <v>151</v>
      </c>
      <c r="AL17" s="32">
        <v>328</v>
      </c>
      <c r="AM17" s="32">
        <v>57</v>
      </c>
      <c r="AN17" s="32">
        <v>8</v>
      </c>
      <c r="AO17" s="32">
        <v>43</v>
      </c>
      <c r="AP17" s="32">
        <v>140</v>
      </c>
      <c r="AQ17" s="32">
        <v>335</v>
      </c>
      <c r="AR17" s="146">
        <v>4</v>
      </c>
      <c r="AS17" s="32">
        <v>530</v>
      </c>
      <c r="AT17" s="899">
        <v>0.7056847565715374</v>
      </c>
      <c r="AV17">
        <v>14</v>
      </c>
      <c r="AW17" s="892" t="s">
        <v>463</v>
      </c>
      <c r="AX17" s="147">
        <v>5.8166116332232676</v>
      </c>
      <c r="AY17" s="148">
        <v>354.32999999999993</v>
      </c>
      <c r="AZ17" s="32">
        <v>410</v>
      </c>
      <c r="BA17" s="32">
        <v>229</v>
      </c>
      <c r="BB17" s="32">
        <v>165</v>
      </c>
      <c r="BC17" s="32">
        <v>326</v>
      </c>
      <c r="BD17" s="32">
        <v>5</v>
      </c>
      <c r="BE17" s="149">
        <v>1.62</v>
      </c>
      <c r="BF17" s="32">
        <v>11</v>
      </c>
      <c r="BG17" s="150">
        <v>2</v>
      </c>
      <c r="BH17" s="32">
        <v>0</v>
      </c>
      <c r="BI17" s="917">
        <v>0</v>
      </c>
      <c r="BK17">
        <v>14</v>
      </c>
      <c r="BL17" s="892" t="s">
        <v>463</v>
      </c>
      <c r="BM17" s="144">
        <v>0.22740524781341107</v>
      </c>
      <c r="BN17" s="144">
        <v>0.29191716766867065</v>
      </c>
      <c r="BO17" s="145">
        <v>0.35495626822157433</v>
      </c>
      <c r="BP17" s="146">
        <v>161</v>
      </c>
      <c r="BQ17" s="32">
        <v>312</v>
      </c>
      <c r="BR17" s="32">
        <v>59</v>
      </c>
      <c r="BS17" s="32">
        <v>10</v>
      </c>
      <c r="BT17" s="32">
        <v>32</v>
      </c>
      <c r="BU17" s="32">
        <v>125</v>
      </c>
      <c r="BV17" s="32">
        <v>340</v>
      </c>
      <c r="BW17" s="146">
        <v>9</v>
      </c>
      <c r="BX17" s="32">
        <v>487</v>
      </c>
      <c r="BY17" s="899">
        <v>0.64687343589024504</v>
      </c>
      <c r="CA17">
        <v>14</v>
      </c>
      <c r="CB17" s="892" t="s">
        <v>539</v>
      </c>
      <c r="CC17" s="147">
        <v>4.46218487394958</v>
      </c>
      <c r="CD17" s="148">
        <v>357</v>
      </c>
      <c r="CE17" s="32">
        <v>365</v>
      </c>
      <c r="CF17" s="32">
        <v>177</v>
      </c>
      <c r="CG17" s="32">
        <v>125</v>
      </c>
      <c r="CH17" s="32">
        <v>415</v>
      </c>
      <c r="CI17" s="150">
        <v>13</v>
      </c>
      <c r="CJ17" s="149">
        <v>1.3725490196078431</v>
      </c>
      <c r="CK17" s="32">
        <v>22</v>
      </c>
      <c r="CL17" s="150">
        <v>12</v>
      </c>
      <c r="CM17" s="32">
        <v>0</v>
      </c>
      <c r="CN17" s="917">
        <v>0</v>
      </c>
    </row>
    <row r="18" spans="1:92" ht="17" thickBot="1">
      <c r="A18">
        <v>15</v>
      </c>
      <c r="B18" s="893" t="s">
        <v>266</v>
      </c>
      <c r="C18" s="894">
        <v>0.24585436193222782</v>
      </c>
      <c r="D18" s="894">
        <v>0.310935441370224</v>
      </c>
      <c r="E18" s="895">
        <v>0.41672674837779378</v>
      </c>
      <c r="F18" s="896">
        <v>149</v>
      </c>
      <c r="G18" s="897">
        <v>341</v>
      </c>
      <c r="H18" s="897">
        <v>63</v>
      </c>
      <c r="I18" s="897">
        <v>9</v>
      </c>
      <c r="J18" s="897">
        <v>52</v>
      </c>
      <c r="K18" s="897">
        <v>131</v>
      </c>
      <c r="L18" s="897">
        <v>373</v>
      </c>
      <c r="M18" s="896">
        <v>23</v>
      </c>
      <c r="N18" s="897">
        <v>578</v>
      </c>
      <c r="O18" s="900">
        <v>0.72766218974801777</v>
      </c>
      <c r="Q18">
        <v>15</v>
      </c>
      <c r="R18" s="893" t="s">
        <v>685</v>
      </c>
      <c r="S18" s="912">
        <v>5.8346430175123487</v>
      </c>
      <c r="T18" s="913">
        <v>356.32</v>
      </c>
      <c r="U18" s="897">
        <v>415</v>
      </c>
      <c r="V18" s="897">
        <v>231</v>
      </c>
      <c r="W18" s="897">
        <v>157</v>
      </c>
      <c r="X18" s="897">
        <v>338</v>
      </c>
      <c r="Y18" s="897">
        <v>6</v>
      </c>
      <c r="Z18" s="914">
        <v>1.6052986079928155</v>
      </c>
      <c r="AA18" s="897">
        <v>18</v>
      </c>
      <c r="AB18" s="915">
        <v>10</v>
      </c>
      <c r="AC18" s="897">
        <v>1</v>
      </c>
      <c r="AD18" s="919">
        <v>1</v>
      </c>
      <c r="AF18">
        <v>15</v>
      </c>
      <c r="AG18" s="893" t="s">
        <v>717</v>
      </c>
      <c r="AH18" s="894">
        <v>0.21276595744680851</v>
      </c>
      <c r="AI18" s="894">
        <v>0.28709055876685935</v>
      </c>
      <c r="AJ18" s="895">
        <v>0.35106382978723405</v>
      </c>
      <c r="AK18" s="896">
        <v>139</v>
      </c>
      <c r="AL18" s="897">
        <v>300</v>
      </c>
      <c r="AM18" s="897">
        <v>51</v>
      </c>
      <c r="AN18" s="897">
        <v>9</v>
      </c>
      <c r="AO18" s="897">
        <v>42</v>
      </c>
      <c r="AP18" s="897">
        <v>147</v>
      </c>
      <c r="AQ18" s="897">
        <v>369</v>
      </c>
      <c r="AR18" s="896">
        <v>24</v>
      </c>
      <c r="AS18" s="897">
        <v>495</v>
      </c>
      <c r="AT18" s="900">
        <v>0.63815438855409345</v>
      </c>
      <c r="AV18">
        <v>15</v>
      </c>
      <c r="AW18" s="893" t="s">
        <v>502</v>
      </c>
      <c r="AX18" s="912">
        <v>5.7481316584512641</v>
      </c>
      <c r="AY18" s="913">
        <v>377.34000000000003</v>
      </c>
      <c r="AZ18" s="897">
        <v>434</v>
      </c>
      <c r="BA18" s="897">
        <v>241</v>
      </c>
      <c r="BB18" s="897">
        <v>172</v>
      </c>
      <c r="BC18" s="897">
        <v>332</v>
      </c>
      <c r="BD18" s="897">
        <v>9</v>
      </c>
      <c r="BE18" s="914">
        <v>1.6059786929559547</v>
      </c>
      <c r="BF18" s="897">
        <v>16</v>
      </c>
      <c r="BG18" s="915">
        <v>5</v>
      </c>
      <c r="BH18" s="897">
        <v>1</v>
      </c>
      <c r="BI18" s="919">
        <v>1</v>
      </c>
      <c r="BK18">
        <v>15</v>
      </c>
      <c r="BL18" s="893" t="s">
        <v>650</v>
      </c>
      <c r="BM18" s="894">
        <v>0.22727272727272727</v>
      </c>
      <c r="BN18" s="894">
        <v>0.28235294117647058</v>
      </c>
      <c r="BO18" s="895">
        <v>0.38599105812220569</v>
      </c>
      <c r="BP18" s="896">
        <v>146</v>
      </c>
      <c r="BQ18" s="897">
        <v>305</v>
      </c>
      <c r="BR18" s="897">
        <v>57</v>
      </c>
      <c r="BS18" s="897">
        <v>3</v>
      </c>
      <c r="BT18" s="897">
        <v>50</v>
      </c>
      <c r="BU18" s="897">
        <v>103</v>
      </c>
      <c r="BV18" s="897">
        <v>363</v>
      </c>
      <c r="BW18" s="896">
        <v>4</v>
      </c>
      <c r="BX18" s="897">
        <v>518</v>
      </c>
      <c r="BY18" s="900">
        <v>0.66834399929867627</v>
      </c>
      <c r="CA18">
        <v>15</v>
      </c>
      <c r="CB18" s="893" t="s">
        <v>502</v>
      </c>
      <c r="CC18" s="912">
        <v>4.6880222841225629</v>
      </c>
      <c r="CD18" s="913">
        <v>359</v>
      </c>
      <c r="CE18" s="897">
        <v>361</v>
      </c>
      <c r="CF18" s="897">
        <v>187</v>
      </c>
      <c r="CG18" s="897">
        <v>162</v>
      </c>
      <c r="CH18" s="897">
        <v>353</v>
      </c>
      <c r="CI18" s="897">
        <v>10</v>
      </c>
      <c r="CJ18" s="914">
        <v>1.4568245125348189</v>
      </c>
      <c r="CK18" s="897">
        <v>14</v>
      </c>
      <c r="CL18" s="915">
        <v>8</v>
      </c>
      <c r="CM18" s="897">
        <v>0</v>
      </c>
      <c r="CN18" s="919">
        <v>0</v>
      </c>
    </row>
    <row r="19" spans="1:92">
      <c r="B19" s="32"/>
      <c r="C19" s="155"/>
      <c r="D19" s="155"/>
      <c r="E19" s="155"/>
      <c r="F19" s="32"/>
      <c r="G19" s="32"/>
      <c r="H19" s="32"/>
      <c r="I19" s="32"/>
      <c r="J19" s="32"/>
      <c r="K19" s="32"/>
      <c r="L19" s="32"/>
      <c r="M19" s="32"/>
      <c r="N19" s="32"/>
      <c r="P19" s="155"/>
      <c r="R19" s="32"/>
      <c r="S19" s="156"/>
      <c r="T19" s="157"/>
      <c r="U19" s="32"/>
      <c r="V19" s="32"/>
      <c r="W19" s="32"/>
      <c r="X19" s="32"/>
      <c r="Y19" s="32"/>
      <c r="Z19" s="156"/>
      <c r="AA19" s="32"/>
      <c r="AB19" s="150"/>
      <c r="AC19" s="32"/>
      <c r="AD19" s="32"/>
      <c r="AG19" s="32"/>
      <c r="AH19" s="155"/>
      <c r="AI19" s="155"/>
      <c r="AJ19" s="155"/>
      <c r="AK19" s="32"/>
      <c r="AL19" s="32"/>
      <c r="AM19" s="32"/>
      <c r="AN19" s="32"/>
      <c r="AO19" s="32"/>
      <c r="AP19" s="32"/>
      <c r="AQ19" s="32"/>
      <c r="AR19" s="32"/>
      <c r="AS19" s="32"/>
      <c r="AU19" s="155"/>
      <c r="AW19" s="32"/>
      <c r="AX19" s="156"/>
      <c r="AY19" s="157"/>
      <c r="AZ19" s="32"/>
      <c r="BA19" s="32"/>
      <c r="BB19" s="32"/>
      <c r="BC19" s="32"/>
      <c r="BD19" s="32"/>
      <c r="BE19" s="156"/>
      <c r="BF19" s="32"/>
      <c r="BG19" s="150"/>
      <c r="BH19" s="32"/>
      <c r="BI19" s="32"/>
      <c r="BL19" s="32"/>
      <c r="BM19" s="155"/>
      <c r="BN19" s="155"/>
      <c r="BO19" s="155"/>
      <c r="BP19" s="32"/>
      <c r="BQ19" s="32"/>
      <c r="BR19" s="32"/>
      <c r="BS19" s="32"/>
      <c r="BT19" s="32"/>
      <c r="BU19" s="32"/>
      <c r="BV19" s="32"/>
      <c r="BW19" s="32"/>
      <c r="BX19" s="32"/>
      <c r="BZ19" s="155"/>
      <c r="CB19" s="32"/>
      <c r="CC19" s="156"/>
      <c r="CD19" s="157"/>
      <c r="CE19" s="32"/>
      <c r="CF19" s="32"/>
      <c r="CG19" s="32"/>
      <c r="CH19" s="32"/>
      <c r="CI19" s="32"/>
      <c r="CJ19" s="156"/>
      <c r="CK19" s="32"/>
      <c r="CL19" s="150"/>
      <c r="CM19" s="32"/>
      <c r="CN19" s="32"/>
    </row>
    <row r="20" spans="1:92" ht="17" thickBot="1"/>
    <row r="21" spans="1:92" ht="24" thickBot="1">
      <c r="B21" s="1096" t="s">
        <v>1911</v>
      </c>
      <c r="C21" s="1097"/>
      <c r="D21" s="1097"/>
      <c r="E21" s="1097"/>
      <c r="F21" s="1097"/>
      <c r="G21" s="1097"/>
      <c r="H21" s="1097"/>
      <c r="I21" s="1097"/>
      <c r="J21" s="1097"/>
      <c r="K21" s="1097"/>
      <c r="L21" s="1097"/>
      <c r="M21" s="1097"/>
      <c r="N21" s="1097"/>
      <c r="O21" s="1098"/>
      <c r="R21" s="1096" t="s">
        <v>1911</v>
      </c>
      <c r="S21" s="1097"/>
      <c r="T21" s="1097"/>
      <c r="U21" s="1097"/>
      <c r="V21" s="1097"/>
      <c r="W21" s="1097"/>
      <c r="X21" s="1097"/>
      <c r="Y21" s="1097"/>
      <c r="Z21" s="1097"/>
      <c r="AA21" s="1097"/>
      <c r="AB21" s="1097"/>
      <c r="AC21" s="1097"/>
      <c r="AD21" s="1098"/>
      <c r="AG21" s="1096" t="s">
        <v>1911</v>
      </c>
      <c r="AH21" s="1097"/>
      <c r="AI21" s="1097"/>
      <c r="AJ21" s="1097"/>
      <c r="AK21" s="1097"/>
      <c r="AL21" s="1097"/>
      <c r="AM21" s="1097"/>
      <c r="AN21" s="1097"/>
      <c r="AO21" s="1097"/>
      <c r="AP21" s="1097"/>
      <c r="AQ21" s="1097"/>
      <c r="AR21" s="1097"/>
      <c r="AS21" s="1097"/>
      <c r="AT21" s="1098"/>
      <c r="AW21" s="1096" t="s">
        <v>1911</v>
      </c>
      <c r="AX21" s="1097"/>
      <c r="AY21" s="1097"/>
      <c r="AZ21" s="1097"/>
      <c r="BA21" s="1097"/>
      <c r="BB21" s="1097"/>
      <c r="BC21" s="1097"/>
      <c r="BD21" s="1097"/>
      <c r="BE21" s="1097"/>
      <c r="BF21" s="1097"/>
      <c r="BG21" s="1097"/>
      <c r="BH21" s="1097"/>
      <c r="BI21" s="1098"/>
      <c r="BL21" s="1096" t="s">
        <v>1911</v>
      </c>
      <c r="BM21" s="1097"/>
      <c r="BN21" s="1097"/>
      <c r="BO21" s="1097"/>
      <c r="BP21" s="1097"/>
      <c r="BQ21" s="1097"/>
      <c r="BR21" s="1097"/>
      <c r="BS21" s="1097"/>
      <c r="BT21" s="1097"/>
      <c r="BU21" s="1097"/>
      <c r="BV21" s="1097"/>
      <c r="BW21" s="1097"/>
      <c r="BX21" s="1097"/>
      <c r="BY21" s="1098"/>
      <c r="CB21" s="1096" t="s">
        <v>1911</v>
      </c>
      <c r="CC21" s="1097"/>
      <c r="CD21" s="1097"/>
      <c r="CE21" s="1097"/>
      <c r="CF21" s="1097"/>
      <c r="CG21" s="1097"/>
      <c r="CH21" s="1097"/>
      <c r="CI21" s="1097"/>
      <c r="CJ21" s="1097"/>
      <c r="CK21" s="1097"/>
      <c r="CL21" s="1097"/>
      <c r="CM21" s="1097"/>
      <c r="CN21" s="1098"/>
    </row>
    <row r="22" spans="1:92" ht="17" thickBot="1">
      <c r="B22" s="902" t="s">
        <v>8</v>
      </c>
      <c r="C22" s="901" t="s">
        <v>146</v>
      </c>
      <c r="D22" s="901" t="s">
        <v>147</v>
      </c>
      <c r="E22" s="901" t="s">
        <v>148</v>
      </c>
      <c r="F22" s="901" t="s">
        <v>151</v>
      </c>
      <c r="G22" s="901" t="s">
        <v>152</v>
      </c>
      <c r="H22" s="901" t="s">
        <v>153</v>
      </c>
      <c r="I22" s="901" t="s">
        <v>154</v>
      </c>
      <c r="J22" s="901" t="s">
        <v>155</v>
      </c>
      <c r="K22" s="901" t="s">
        <v>157</v>
      </c>
      <c r="L22" s="901" t="s">
        <v>158</v>
      </c>
      <c r="M22" s="901" t="s">
        <v>159</v>
      </c>
      <c r="N22" s="901" t="s">
        <v>161</v>
      </c>
      <c r="O22" s="904" t="s">
        <v>162</v>
      </c>
      <c r="R22" s="711" t="s">
        <v>8</v>
      </c>
      <c r="S22" s="600" t="s">
        <v>196</v>
      </c>
      <c r="T22" s="600" t="s">
        <v>199</v>
      </c>
      <c r="U22" s="600" t="s">
        <v>152</v>
      </c>
      <c r="V22" s="600" t="s">
        <v>151</v>
      </c>
      <c r="W22" s="600" t="s">
        <v>157</v>
      </c>
      <c r="X22" s="600" t="s">
        <v>1631</v>
      </c>
      <c r="Y22" s="600" t="s">
        <v>200</v>
      </c>
      <c r="Z22" s="600" t="s">
        <v>201</v>
      </c>
      <c r="AA22" s="600" t="s">
        <v>202</v>
      </c>
      <c r="AB22" s="600" t="s">
        <v>203</v>
      </c>
      <c r="AC22" s="600" t="s">
        <v>204</v>
      </c>
      <c r="AD22" s="779" t="s">
        <v>205</v>
      </c>
      <c r="AG22" s="925" t="s">
        <v>8</v>
      </c>
      <c r="AH22" s="600" t="s">
        <v>146</v>
      </c>
      <c r="AI22" s="600" t="s">
        <v>147</v>
      </c>
      <c r="AJ22" s="600" t="s">
        <v>148</v>
      </c>
      <c r="AK22" s="600" t="s">
        <v>151</v>
      </c>
      <c r="AL22" s="600" t="s">
        <v>152</v>
      </c>
      <c r="AM22" s="600" t="s">
        <v>153</v>
      </c>
      <c r="AN22" s="600" t="s">
        <v>154</v>
      </c>
      <c r="AO22" s="600" t="s">
        <v>155</v>
      </c>
      <c r="AP22" s="600" t="s">
        <v>157</v>
      </c>
      <c r="AQ22" s="600" t="s">
        <v>158</v>
      </c>
      <c r="AR22" s="600" t="s">
        <v>159</v>
      </c>
      <c r="AS22" s="600" t="s">
        <v>161</v>
      </c>
      <c r="AT22" s="779" t="s">
        <v>162</v>
      </c>
      <c r="AW22" s="925" t="s">
        <v>8</v>
      </c>
      <c r="AX22" s="600" t="s">
        <v>196</v>
      </c>
      <c r="AY22" s="600" t="s">
        <v>199</v>
      </c>
      <c r="AZ22" s="600" t="s">
        <v>152</v>
      </c>
      <c r="BA22" s="600" t="s">
        <v>151</v>
      </c>
      <c r="BB22" s="600" t="s">
        <v>157</v>
      </c>
      <c r="BC22" s="600" t="s">
        <v>1631</v>
      </c>
      <c r="BD22" s="600" t="s">
        <v>200</v>
      </c>
      <c r="BE22" s="600" t="s">
        <v>201</v>
      </c>
      <c r="BF22" s="600" t="s">
        <v>202</v>
      </c>
      <c r="BG22" s="600" t="s">
        <v>203</v>
      </c>
      <c r="BH22" s="600" t="s">
        <v>204</v>
      </c>
      <c r="BI22" s="779" t="s">
        <v>205</v>
      </c>
      <c r="BL22" s="711" t="s">
        <v>8</v>
      </c>
      <c r="BM22" s="600" t="s">
        <v>146</v>
      </c>
      <c r="BN22" s="600" t="s">
        <v>147</v>
      </c>
      <c r="BO22" s="600" t="s">
        <v>148</v>
      </c>
      <c r="BP22" s="600" t="s">
        <v>151</v>
      </c>
      <c r="BQ22" s="600" t="s">
        <v>152</v>
      </c>
      <c r="BR22" s="600" t="s">
        <v>153</v>
      </c>
      <c r="BS22" s="600" t="s">
        <v>154</v>
      </c>
      <c r="BT22" s="600" t="s">
        <v>155</v>
      </c>
      <c r="BU22" s="600" t="s">
        <v>157</v>
      </c>
      <c r="BV22" s="600" t="s">
        <v>158</v>
      </c>
      <c r="BW22" s="600" t="s">
        <v>159</v>
      </c>
      <c r="BX22" s="600" t="s">
        <v>161</v>
      </c>
      <c r="BY22" s="779" t="s">
        <v>162</v>
      </c>
      <c r="CB22" s="711" t="s">
        <v>8</v>
      </c>
      <c r="CC22" s="600" t="s">
        <v>196</v>
      </c>
      <c r="CD22" s="600" t="s">
        <v>199</v>
      </c>
      <c r="CE22" s="600" t="s">
        <v>152</v>
      </c>
      <c r="CF22" s="600" t="s">
        <v>151</v>
      </c>
      <c r="CG22" s="600" t="s">
        <v>157</v>
      </c>
      <c r="CH22" s="600" t="s">
        <v>1631</v>
      </c>
      <c r="CI22" s="600" t="s">
        <v>200</v>
      </c>
      <c r="CJ22" s="600" t="s">
        <v>201</v>
      </c>
      <c r="CK22" s="600" t="s">
        <v>202</v>
      </c>
      <c r="CL22" s="600" t="s">
        <v>203</v>
      </c>
      <c r="CM22" s="600" t="s">
        <v>204</v>
      </c>
      <c r="CN22" s="779" t="s">
        <v>205</v>
      </c>
    </row>
    <row r="23" spans="1:92">
      <c r="A23">
        <v>1</v>
      </c>
      <c r="B23" s="891" t="s">
        <v>1265</v>
      </c>
      <c r="C23" s="903">
        <v>0.28460997891777934</v>
      </c>
      <c r="D23" s="884">
        <v>0.35159235668789807</v>
      </c>
      <c r="E23" s="884">
        <v>0.44834855938158819</v>
      </c>
      <c r="F23" s="887">
        <v>220</v>
      </c>
      <c r="G23" s="889">
        <v>405</v>
      </c>
      <c r="H23" s="888">
        <v>69</v>
      </c>
      <c r="I23" s="888">
        <v>13</v>
      </c>
      <c r="J23" s="888">
        <v>46</v>
      </c>
      <c r="K23" s="888">
        <v>147</v>
      </c>
      <c r="L23" s="888">
        <v>334</v>
      </c>
      <c r="M23" s="890">
        <v>30</v>
      </c>
      <c r="N23" s="889">
        <v>638</v>
      </c>
      <c r="O23" s="905">
        <v>0.79994091606948625</v>
      </c>
      <c r="Q23">
        <v>1</v>
      </c>
      <c r="R23" s="891" t="s">
        <v>1171</v>
      </c>
      <c r="S23" s="907">
        <v>3.1230361485286489</v>
      </c>
      <c r="T23" s="920">
        <v>365.98999999999995</v>
      </c>
      <c r="U23" s="888">
        <v>321</v>
      </c>
      <c r="V23" s="889">
        <v>127</v>
      </c>
      <c r="W23" s="888">
        <v>102</v>
      </c>
      <c r="X23" s="888">
        <v>379</v>
      </c>
      <c r="Y23" s="888">
        <v>10</v>
      </c>
      <c r="Z23" s="921">
        <v>1.1557692833137518</v>
      </c>
      <c r="AA23" s="889">
        <v>29</v>
      </c>
      <c r="AB23" s="910">
        <v>19</v>
      </c>
      <c r="AC23" s="889">
        <v>4</v>
      </c>
      <c r="AD23" s="916">
        <v>3</v>
      </c>
      <c r="AF23">
        <v>1</v>
      </c>
      <c r="AG23" s="891" t="s">
        <v>804</v>
      </c>
      <c r="AH23" s="903">
        <v>0.26961483594864477</v>
      </c>
      <c r="AI23" s="903">
        <v>0.34020618556701032</v>
      </c>
      <c r="AJ23" s="903">
        <v>0.46790299572039945</v>
      </c>
      <c r="AK23" s="887">
        <v>200</v>
      </c>
      <c r="AL23" s="889">
        <v>378</v>
      </c>
      <c r="AM23" s="888">
        <v>78</v>
      </c>
      <c r="AN23" s="888">
        <v>7</v>
      </c>
      <c r="AO23" s="888">
        <v>62</v>
      </c>
      <c r="AP23" s="888">
        <v>150</v>
      </c>
      <c r="AQ23" s="888">
        <v>365</v>
      </c>
      <c r="AR23" s="890">
        <v>1</v>
      </c>
      <c r="AS23" s="889">
        <v>656</v>
      </c>
      <c r="AT23" s="926">
        <v>0.80810918128740972</v>
      </c>
      <c r="AV23">
        <v>1</v>
      </c>
      <c r="AW23" s="891" t="s">
        <v>1139</v>
      </c>
      <c r="AX23" s="907">
        <v>3.1202227560602758</v>
      </c>
      <c r="AY23" s="908">
        <v>366.31999999999994</v>
      </c>
      <c r="AZ23" s="888">
        <v>313</v>
      </c>
      <c r="BA23" s="889">
        <v>127</v>
      </c>
      <c r="BB23" s="888">
        <v>123</v>
      </c>
      <c r="BC23" s="888">
        <v>356</v>
      </c>
      <c r="BD23" s="888">
        <v>10</v>
      </c>
      <c r="BE23" s="911">
        <v>1.1902162044114437</v>
      </c>
      <c r="BF23" s="888">
        <v>26</v>
      </c>
      <c r="BG23" s="909">
        <v>18</v>
      </c>
      <c r="BH23" s="888">
        <v>5</v>
      </c>
      <c r="BI23" s="929">
        <v>5</v>
      </c>
      <c r="BK23">
        <v>1</v>
      </c>
      <c r="BL23" s="891" t="s">
        <v>952</v>
      </c>
      <c r="BM23" s="884">
        <v>0.26154939587775411</v>
      </c>
      <c r="BN23" s="884">
        <v>0.32794307891332469</v>
      </c>
      <c r="BO23" s="903">
        <v>0.45273631840796019</v>
      </c>
      <c r="BP23" s="887">
        <v>194</v>
      </c>
      <c r="BQ23" s="888">
        <v>368</v>
      </c>
      <c r="BR23" s="888">
        <v>76</v>
      </c>
      <c r="BS23" s="888">
        <v>8</v>
      </c>
      <c r="BT23" s="889">
        <v>59</v>
      </c>
      <c r="BU23" s="888">
        <v>139</v>
      </c>
      <c r="BV23" s="888">
        <v>352</v>
      </c>
      <c r="BW23" s="890">
        <v>5</v>
      </c>
      <c r="BX23" s="889">
        <v>637</v>
      </c>
      <c r="BY23" s="926">
        <v>0.78067939732128488</v>
      </c>
      <c r="CA23">
        <v>1</v>
      </c>
      <c r="CB23" s="891" t="s">
        <v>770</v>
      </c>
      <c r="CC23" s="907">
        <v>3.1401098901098901</v>
      </c>
      <c r="CD23" s="908">
        <v>364</v>
      </c>
      <c r="CE23" s="888">
        <v>314</v>
      </c>
      <c r="CF23" s="889">
        <v>127</v>
      </c>
      <c r="CG23" s="888">
        <v>118</v>
      </c>
      <c r="CH23" s="888">
        <v>349</v>
      </c>
      <c r="CI23" s="888">
        <v>11</v>
      </c>
      <c r="CJ23" s="921">
        <v>1.1868131868131868</v>
      </c>
      <c r="CK23" s="888">
        <v>27</v>
      </c>
      <c r="CL23" s="909">
        <v>15</v>
      </c>
      <c r="CM23" s="888">
        <v>5</v>
      </c>
      <c r="CN23" s="929">
        <v>5</v>
      </c>
    </row>
    <row r="24" spans="1:92">
      <c r="A24">
        <v>2</v>
      </c>
      <c r="B24" s="892" t="s">
        <v>903</v>
      </c>
      <c r="C24" s="144">
        <v>0.27892122072391767</v>
      </c>
      <c r="D24" s="144">
        <v>0.34196891191709844</v>
      </c>
      <c r="E24" s="144">
        <v>0.38608942512420158</v>
      </c>
      <c r="F24" s="146">
        <v>153</v>
      </c>
      <c r="G24" s="32">
        <v>393</v>
      </c>
      <c r="H24" s="32">
        <v>72</v>
      </c>
      <c r="I24" s="32">
        <v>11</v>
      </c>
      <c r="J24" s="32">
        <v>19</v>
      </c>
      <c r="K24" s="32">
        <v>135</v>
      </c>
      <c r="L24" s="502">
        <v>410</v>
      </c>
      <c r="M24" s="516">
        <v>43</v>
      </c>
      <c r="N24" s="32">
        <v>544</v>
      </c>
      <c r="O24" s="899">
        <v>0.72805833704130007</v>
      </c>
      <c r="Q24">
        <v>2</v>
      </c>
      <c r="R24" s="892" t="s">
        <v>804</v>
      </c>
      <c r="S24" s="147">
        <v>3.174907022533362</v>
      </c>
      <c r="T24" s="148">
        <v>365.68000000000006</v>
      </c>
      <c r="U24" s="32">
        <v>326</v>
      </c>
      <c r="V24" s="32">
        <v>129</v>
      </c>
      <c r="W24" s="32">
        <v>111</v>
      </c>
      <c r="X24" s="32">
        <v>434</v>
      </c>
      <c r="Y24" s="502">
        <v>12</v>
      </c>
      <c r="Z24" s="149">
        <v>1.1950339094290088</v>
      </c>
      <c r="AA24" s="32">
        <v>23</v>
      </c>
      <c r="AB24" s="150">
        <v>16</v>
      </c>
      <c r="AC24" s="32">
        <v>2</v>
      </c>
      <c r="AD24" s="917">
        <v>2</v>
      </c>
      <c r="AF24">
        <v>2</v>
      </c>
      <c r="AG24" s="892" t="s">
        <v>990</v>
      </c>
      <c r="AH24" s="144">
        <v>0.25353107344632769</v>
      </c>
      <c r="AI24" s="144">
        <v>0.32156611039794608</v>
      </c>
      <c r="AJ24" s="144">
        <v>0.44915254237288138</v>
      </c>
      <c r="AK24" s="146">
        <v>173</v>
      </c>
      <c r="AL24" s="32">
        <v>359</v>
      </c>
      <c r="AM24" s="32">
        <v>62</v>
      </c>
      <c r="AN24" s="32">
        <v>7</v>
      </c>
      <c r="AO24" s="502">
        <v>67</v>
      </c>
      <c r="AP24" s="32">
        <v>142</v>
      </c>
      <c r="AQ24" s="32">
        <v>377</v>
      </c>
      <c r="AR24" s="146">
        <v>11</v>
      </c>
      <c r="AS24" s="32">
        <v>636</v>
      </c>
      <c r="AT24" s="899">
        <v>0.77071865277082741</v>
      </c>
      <c r="AV24">
        <v>2</v>
      </c>
      <c r="AW24" s="892" t="s">
        <v>1171</v>
      </c>
      <c r="AX24" s="147">
        <v>3.3305084745762712</v>
      </c>
      <c r="AY24" s="148">
        <v>354</v>
      </c>
      <c r="AZ24" s="922">
        <v>292</v>
      </c>
      <c r="BA24" s="32">
        <v>131</v>
      </c>
      <c r="BB24" s="32">
        <v>106</v>
      </c>
      <c r="BC24" s="32">
        <v>329</v>
      </c>
      <c r="BD24" s="32">
        <v>11</v>
      </c>
      <c r="BE24" s="523">
        <v>1.1242937853107344</v>
      </c>
      <c r="BF24" s="922">
        <v>32</v>
      </c>
      <c r="BG24" s="928">
        <v>24</v>
      </c>
      <c r="BH24" s="32">
        <v>4</v>
      </c>
      <c r="BI24" s="917">
        <v>4</v>
      </c>
      <c r="BK24">
        <v>2</v>
      </c>
      <c r="BL24" s="892" t="s">
        <v>1200</v>
      </c>
      <c r="BM24" s="144">
        <v>0.24981467753891773</v>
      </c>
      <c r="BN24" s="144">
        <v>0.31621621621621621</v>
      </c>
      <c r="BO24" s="144">
        <v>0.43587842846553004</v>
      </c>
      <c r="BP24" s="146">
        <v>192</v>
      </c>
      <c r="BQ24" s="32">
        <v>337</v>
      </c>
      <c r="BR24" s="32">
        <v>75</v>
      </c>
      <c r="BS24" s="32">
        <v>7</v>
      </c>
      <c r="BT24" s="32">
        <v>54</v>
      </c>
      <c r="BU24" s="32">
        <v>131</v>
      </c>
      <c r="BV24" s="32">
        <v>319</v>
      </c>
      <c r="BW24" s="146">
        <v>14</v>
      </c>
      <c r="BX24" s="32">
        <v>588</v>
      </c>
      <c r="BY24" s="899">
        <v>0.75209464468174625</v>
      </c>
      <c r="CA24">
        <v>2</v>
      </c>
      <c r="CB24" s="892" t="s">
        <v>869</v>
      </c>
      <c r="CC24" s="147">
        <v>3.9269356893140741</v>
      </c>
      <c r="CD24" s="520">
        <v>368.98999999999995</v>
      </c>
      <c r="CE24" s="32">
        <v>350</v>
      </c>
      <c r="CF24" s="32">
        <v>161</v>
      </c>
      <c r="CG24" s="32">
        <v>128</v>
      </c>
      <c r="CH24" s="32">
        <v>376</v>
      </c>
      <c r="CI24" s="32">
        <v>9</v>
      </c>
      <c r="CJ24" s="149">
        <v>1.2954280603810404</v>
      </c>
      <c r="CK24" s="502">
        <v>29</v>
      </c>
      <c r="CL24" s="883">
        <v>20</v>
      </c>
      <c r="CM24" s="922">
        <v>6</v>
      </c>
      <c r="CN24" s="917">
        <v>4</v>
      </c>
    </row>
    <row r="25" spans="1:92">
      <c r="A25">
        <v>3</v>
      </c>
      <c r="B25" s="892" t="s">
        <v>1229</v>
      </c>
      <c r="C25" s="144">
        <v>0.2612359550561798</v>
      </c>
      <c r="D25" s="144">
        <v>0.32390745501285345</v>
      </c>
      <c r="E25" s="144">
        <v>0.43047752808988765</v>
      </c>
      <c r="F25" s="146">
        <v>170</v>
      </c>
      <c r="G25" s="32">
        <v>372</v>
      </c>
      <c r="H25" s="502">
        <v>84</v>
      </c>
      <c r="I25" s="32">
        <v>5</v>
      </c>
      <c r="J25" s="32">
        <v>49</v>
      </c>
      <c r="K25" s="32">
        <v>132</v>
      </c>
      <c r="L25" s="32">
        <v>397</v>
      </c>
      <c r="M25" s="146">
        <v>0</v>
      </c>
      <c r="N25" s="32">
        <v>613</v>
      </c>
      <c r="O25" s="899">
        <v>0.75438498310274116</v>
      </c>
      <c r="Q25">
        <v>3</v>
      </c>
      <c r="R25" s="892" t="s">
        <v>1062</v>
      </c>
      <c r="S25" s="147">
        <v>3.3273127504656541</v>
      </c>
      <c r="T25" s="148">
        <v>354.34000000000003</v>
      </c>
      <c r="U25" s="32">
        <v>312</v>
      </c>
      <c r="V25" s="32">
        <v>131</v>
      </c>
      <c r="W25" s="32">
        <v>155</v>
      </c>
      <c r="X25" s="922">
        <v>438</v>
      </c>
      <c r="Y25" s="32">
        <v>7</v>
      </c>
      <c r="Z25" s="149">
        <v>1.317943218377829</v>
      </c>
      <c r="AA25" s="32">
        <v>19</v>
      </c>
      <c r="AB25" s="150">
        <v>13</v>
      </c>
      <c r="AC25" s="32">
        <v>1</v>
      </c>
      <c r="AD25" s="917">
        <v>1</v>
      </c>
      <c r="AF25">
        <v>3</v>
      </c>
      <c r="AG25" s="892" t="s">
        <v>1171</v>
      </c>
      <c r="AH25" s="144">
        <v>0.25349008082292435</v>
      </c>
      <c r="AI25" s="144">
        <v>0.32981530343007914</v>
      </c>
      <c r="AJ25" s="144">
        <v>0.44893460690668624</v>
      </c>
      <c r="AK25" s="146">
        <v>190</v>
      </c>
      <c r="AL25" s="32">
        <v>345</v>
      </c>
      <c r="AM25" s="32">
        <v>71</v>
      </c>
      <c r="AN25" s="32">
        <v>9</v>
      </c>
      <c r="AO25" s="32">
        <v>59</v>
      </c>
      <c r="AP25" s="32">
        <v>155</v>
      </c>
      <c r="AQ25" s="32">
        <v>324</v>
      </c>
      <c r="AR25" s="146">
        <v>20</v>
      </c>
      <c r="AS25" s="32">
        <v>611</v>
      </c>
      <c r="AT25" s="899">
        <v>0.77874991033676544</v>
      </c>
      <c r="AV25">
        <v>3</v>
      </c>
      <c r="AW25" s="892" t="s">
        <v>990</v>
      </c>
      <c r="AX25" s="147">
        <v>3.301720155439007</v>
      </c>
      <c r="AY25" s="520">
        <v>367.98999999999995</v>
      </c>
      <c r="AZ25" s="32">
        <v>349</v>
      </c>
      <c r="BA25" s="32">
        <v>135</v>
      </c>
      <c r="BB25" s="32">
        <v>121</v>
      </c>
      <c r="BC25" s="32">
        <v>300</v>
      </c>
      <c r="BD25" s="32">
        <v>8</v>
      </c>
      <c r="BE25" s="149">
        <v>1.2772086197994512</v>
      </c>
      <c r="BF25" s="32">
        <v>27</v>
      </c>
      <c r="BG25" s="150">
        <v>13</v>
      </c>
      <c r="BH25" s="32">
        <v>2</v>
      </c>
      <c r="BI25" s="917">
        <v>2</v>
      </c>
      <c r="BK25">
        <v>3</v>
      </c>
      <c r="BL25" s="892" t="s">
        <v>1229</v>
      </c>
      <c r="BM25" s="144">
        <v>0.26004228329809725</v>
      </c>
      <c r="BN25" s="144">
        <v>0.31773879142300193</v>
      </c>
      <c r="BO25" s="144">
        <v>0.44186046511627908</v>
      </c>
      <c r="BP25" s="146">
        <v>189</v>
      </c>
      <c r="BQ25" s="32">
        <v>369</v>
      </c>
      <c r="BR25" s="32">
        <v>69</v>
      </c>
      <c r="BS25" s="32">
        <v>9</v>
      </c>
      <c r="BT25" s="32">
        <v>57</v>
      </c>
      <c r="BU25" s="32">
        <v>120</v>
      </c>
      <c r="BV25" s="502">
        <v>394</v>
      </c>
      <c r="BW25" s="146">
        <v>16</v>
      </c>
      <c r="BX25" s="32">
        <v>627</v>
      </c>
      <c r="BY25" s="899">
        <v>0.75959925653928106</v>
      </c>
      <c r="CA25">
        <v>3</v>
      </c>
      <c r="CB25" s="892" t="s">
        <v>1139</v>
      </c>
      <c r="CC25" s="147">
        <v>3.4853278062615898</v>
      </c>
      <c r="CD25" s="148">
        <v>366.68000000000006</v>
      </c>
      <c r="CE25" s="32">
        <v>317</v>
      </c>
      <c r="CF25" s="32">
        <v>142</v>
      </c>
      <c r="CG25" s="32">
        <v>122</v>
      </c>
      <c r="CH25" s="32">
        <v>361</v>
      </c>
      <c r="CI25" s="32">
        <v>13</v>
      </c>
      <c r="CJ25" s="149">
        <v>1.1972291916657574</v>
      </c>
      <c r="CK25" s="32">
        <v>28</v>
      </c>
      <c r="CL25" s="150">
        <v>18</v>
      </c>
      <c r="CM25" s="32">
        <v>4</v>
      </c>
      <c r="CN25" s="917">
        <v>4</v>
      </c>
    </row>
    <row r="26" spans="1:92">
      <c r="A26">
        <v>4</v>
      </c>
      <c r="B26" s="892" t="s">
        <v>1200</v>
      </c>
      <c r="C26" s="144">
        <v>0.26096491228070173</v>
      </c>
      <c r="D26" s="144">
        <v>0.31317934782608697</v>
      </c>
      <c r="E26" s="144">
        <v>0.41666666666666669</v>
      </c>
      <c r="F26" s="146">
        <v>148</v>
      </c>
      <c r="G26" s="32">
        <v>357</v>
      </c>
      <c r="H26" s="32">
        <v>79</v>
      </c>
      <c r="I26" s="32">
        <v>4</v>
      </c>
      <c r="J26" s="32">
        <v>42</v>
      </c>
      <c r="K26" s="32">
        <v>104</v>
      </c>
      <c r="L26" s="32">
        <v>304</v>
      </c>
      <c r="M26" s="146">
        <v>8</v>
      </c>
      <c r="N26" s="32">
        <v>570</v>
      </c>
      <c r="O26" s="899">
        <v>0.72984601449275366</v>
      </c>
      <c r="Q26">
        <v>4</v>
      </c>
      <c r="R26" s="892" t="s">
        <v>1200</v>
      </c>
      <c r="S26" s="147">
        <v>3.5294117647058822</v>
      </c>
      <c r="T26" s="148">
        <v>357</v>
      </c>
      <c r="U26" s="32">
        <v>318</v>
      </c>
      <c r="V26" s="32">
        <v>140</v>
      </c>
      <c r="W26" s="32">
        <v>146</v>
      </c>
      <c r="X26" s="32">
        <v>386</v>
      </c>
      <c r="Y26" s="32">
        <v>10</v>
      </c>
      <c r="Z26" s="149">
        <v>1.2997198879551821</v>
      </c>
      <c r="AA26" s="32">
        <v>28</v>
      </c>
      <c r="AB26" s="150">
        <v>16</v>
      </c>
      <c r="AC26" s="32">
        <v>3</v>
      </c>
      <c r="AD26" s="917">
        <v>3</v>
      </c>
      <c r="AF26">
        <v>4</v>
      </c>
      <c r="AG26" s="892" t="s">
        <v>1139</v>
      </c>
      <c r="AH26" s="144">
        <v>0.25266903914590749</v>
      </c>
      <c r="AI26" s="144">
        <v>0.32950191570881227</v>
      </c>
      <c r="AJ26" s="144">
        <v>0.42419928825622777</v>
      </c>
      <c r="AK26" s="146">
        <v>194</v>
      </c>
      <c r="AL26" s="32">
        <v>355</v>
      </c>
      <c r="AM26" s="32">
        <v>73</v>
      </c>
      <c r="AN26" s="32">
        <v>6</v>
      </c>
      <c r="AO26" s="32">
        <v>52</v>
      </c>
      <c r="AP26" s="502">
        <v>161</v>
      </c>
      <c r="AQ26" s="32">
        <v>336</v>
      </c>
      <c r="AR26" s="146">
        <v>0</v>
      </c>
      <c r="AS26" s="32">
        <v>596</v>
      </c>
      <c r="AT26" s="899">
        <v>0.75370120396504003</v>
      </c>
      <c r="AV26">
        <v>4</v>
      </c>
      <c r="AW26" s="892" t="s">
        <v>835</v>
      </c>
      <c r="AX26" s="147">
        <v>3.6246575342465754</v>
      </c>
      <c r="AY26" s="148">
        <v>365</v>
      </c>
      <c r="AZ26" s="32">
        <v>336</v>
      </c>
      <c r="BA26" s="32">
        <v>147</v>
      </c>
      <c r="BB26" s="32">
        <v>171</v>
      </c>
      <c r="BC26" s="32">
        <v>415</v>
      </c>
      <c r="BD26" s="32">
        <v>11</v>
      </c>
      <c r="BE26" s="149">
        <v>1.3890410958904109</v>
      </c>
      <c r="BF26" s="32">
        <v>26</v>
      </c>
      <c r="BG26" s="150">
        <v>16</v>
      </c>
      <c r="BH26" s="32">
        <v>2</v>
      </c>
      <c r="BI26" s="917">
        <v>2</v>
      </c>
      <c r="BK26">
        <v>4</v>
      </c>
      <c r="BL26" s="892" t="s">
        <v>1139</v>
      </c>
      <c r="BM26" s="144">
        <v>0.25</v>
      </c>
      <c r="BN26" s="144">
        <v>0.31994818652849744</v>
      </c>
      <c r="BO26" s="144">
        <v>0.43214285714285716</v>
      </c>
      <c r="BP26" s="146">
        <v>187</v>
      </c>
      <c r="BQ26" s="32">
        <v>350</v>
      </c>
      <c r="BR26" s="32">
        <v>74</v>
      </c>
      <c r="BS26" s="32">
        <v>5</v>
      </c>
      <c r="BT26" s="32">
        <v>57</v>
      </c>
      <c r="BU26" s="32">
        <v>144</v>
      </c>
      <c r="BV26" s="32">
        <v>309</v>
      </c>
      <c r="BW26" s="146">
        <v>1</v>
      </c>
      <c r="BX26" s="32">
        <v>605</v>
      </c>
      <c r="BY26" s="899">
        <v>0.7520910436713546</v>
      </c>
      <c r="CA26">
        <v>4</v>
      </c>
      <c r="CB26" s="892" t="s">
        <v>1025</v>
      </c>
      <c r="CC26" s="147">
        <v>4.0045930816707331</v>
      </c>
      <c r="CD26" s="148">
        <v>348.35</v>
      </c>
      <c r="CE26" s="32">
        <v>321</v>
      </c>
      <c r="CF26" s="32">
        <v>155</v>
      </c>
      <c r="CG26" s="32">
        <v>148</v>
      </c>
      <c r="CH26" s="32">
        <v>350</v>
      </c>
      <c r="CI26" s="32">
        <v>9</v>
      </c>
      <c r="CJ26" s="149">
        <v>1.3463470647337448</v>
      </c>
      <c r="CK26" s="32">
        <v>28</v>
      </c>
      <c r="CL26" s="150">
        <v>12</v>
      </c>
      <c r="CM26" s="32">
        <v>3</v>
      </c>
      <c r="CN26" s="917">
        <v>3</v>
      </c>
    </row>
    <row r="27" spans="1:92">
      <c r="A27">
        <v>5</v>
      </c>
      <c r="B27" s="892" t="s">
        <v>804</v>
      </c>
      <c r="C27" s="144">
        <v>0.26011560693641617</v>
      </c>
      <c r="D27" s="514">
        <v>0.33721682847896439</v>
      </c>
      <c r="E27" s="514">
        <v>0.45881502890173409</v>
      </c>
      <c r="F27" s="146">
        <v>195</v>
      </c>
      <c r="G27" s="32">
        <v>360</v>
      </c>
      <c r="H27" s="32">
        <v>73</v>
      </c>
      <c r="I27" s="32">
        <v>5</v>
      </c>
      <c r="J27" s="502">
        <v>64</v>
      </c>
      <c r="K27" s="32">
        <v>161</v>
      </c>
      <c r="L27" s="32">
        <v>350</v>
      </c>
      <c r="M27" s="146">
        <v>0</v>
      </c>
      <c r="N27" s="32">
        <v>635</v>
      </c>
      <c r="O27" s="906">
        <v>0.79603185738069848</v>
      </c>
      <c r="Q27">
        <v>5</v>
      </c>
      <c r="R27" s="892" t="s">
        <v>835</v>
      </c>
      <c r="S27" s="147">
        <v>3.5368351137432885</v>
      </c>
      <c r="T27" s="148">
        <v>361.34000000000003</v>
      </c>
      <c r="U27" s="32">
        <v>341</v>
      </c>
      <c r="V27" s="32">
        <v>142</v>
      </c>
      <c r="W27" s="32">
        <v>146</v>
      </c>
      <c r="X27" s="32">
        <v>379</v>
      </c>
      <c r="Y27" s="32">
        <v>8</v>
      </c>
      <c r="Z27" s="149">
        <v>1.3477611114186083</v>
      </c>
      <c r="AA27" s="32">
        <v>26</v>
      </c>
      <c r="AB27" s="150">
        <v>13</v>
      </c>
      <c r="AC27" s="502">
        <v>4</v>
      </c>
      <c r="AD27" s="918">
        <v>4</v>
      </c>
      <c r="AF27">
        <v>5</v>
      </c>
      <c r="AG27" s="892" t="s">
        <v>952</v>
      </c>
      <c r="AH27" s="144">
        <v>0.24963072378138848</v>
      </c>
      <c r="AI27" s="144">
        <v>0.31766286098052382</v>
      </c>
      <c r="AJ27" s="144">
        <v>0.42983751846381091</v>
      </c>
      <c r="AK27" s="146">
        <v>154</v>
      </c>
      <c r="AL27" s="32">
        <v>338</v>
      </c>
      <c r="AM27" s="32">
        <v>66</v>
      </c>
      <c r="AN27" s="32">
        <v>8</v>
      </c>
      <c r="AO27" s="32">
        <v>54</v>
      </c>
      <c r="AP27" s="32">
        <v>135</v>
      </c>
      <c r="AQ27" s="32">
        <v>295</v>
      </c>
      <c r="AR27" s="146">
        <v>6</v>
      </c>
      <c r="AS27" s="32">
        <v>582</v>
      </c>
      <c r="AT27" s="899">
        <v>0.74750037944433467</v>
      </c>
      <c r="AV27">
        <v>5</v>
      </c>
      <c r="AW27" s="892" t="s">
        <v>869</v>
      </c>
      <c r="AX27" s="147">
        <v>3.7156304186276938</v>
      </c>
      <c r="AY27" s="148">
        <v>363.33</v>
      </c>
      <c r="AZ27" s="32">
        <v>328</v>
      </c>
      <c r="BA27" s="32">
        <v>150</v>
      </c>
      <c r="BB27" s="502">
        <v>105</v>
      </c>
      <c r="BC27" s="32">
        <v>364</v>
      </c>
      <c r="BD27" s="32">
        <v>9</v>
      </c>
      <c r="BE27" s="149">
        <v>1.1917540527894752</v>
      </c>
      <c r="BF27" s="32">
        <v>25</v>
      </c>
      <c r="BG27" s="150">
        <v>18</v>
      </c>
      <c r="BH27" s="32">
        <v>2</v>
      </c>
      <c r="BI27" s="917">
        <v>2</v>
      </c>
      <c r="BK27">
        <v>5</v>
      </c>
      <c r="BL27" s="892" t="s">
        <v>770</v>
      </c>
      <c r="BM27" s="144">
        <v>0.25410421127765881</v>
      </c>
      <c r="BN27" s="144">
        <v>0.33098591549295775</v>
      </c>
      <c r="BO27" s="144">
        <v>0.4225553176302641</v>
      </c>
      <c r="BP27" s="146">
        <v>185</v>
      </c>
      <c r="BQ27" s="32">
        <v>356</v>
      </c>
      <c r="BR27" s="502">
        <v>80</v>
      </c>
      <c r="BS27" s="32">
        <v>3</v>
      </c>
      <c r="BT27" s="32">
        <v>50</v>
      </c>
      <c r="BU27" s="32">
        <v>161</v>
      </c>
      <c r="BV27" s="32">
        <v>389</v>
      </c>
      <c r="BW27" s="146">
        <v>25</v>
      </c>
      <c r="BX27" s="32">
        <v>592</v>
      </c>
      <c r="BY27" s="899">
        <v>0.75354123312322185</v>
      </c>
      <c r="CA27">
        <v>5</v>
      </c>
      <c r="CB27" s="892" t="s">
        <v>804</v>
      </c>
      <c r="CC27" s="147">
        <v>4.0745084135598768</v>
      </c>
      <c r="CD27" s="148">
        <v>366.67</v>
      </c>
      <c r="CE27" s="32">
        <v>333</v>
      </c>
      <c r="CF27" s="32">
        <v>166</v>
      </c>
      <c r="CG27" s="32">
        <v>143</v>
      </c>
      <c r="CH27" s="32">
        <v>380</v>
      </c>
      <c r="CI27" s="150">
        <v>13</v>
      </c>
      <c r="CJ27" s="149">
        <v>1.2981700166362122</v>
      </c>
      <c r="CK27" s="32">
        <v>25</v>
      </c>
      <c r="CL27" s="150">
        <v>12</v>
      </c>
      <c r="CM27" s="32">
        <v>3</v>
      </c>
      <c r="CN27" s="917">
        <v>3</v>
      </c>
    </row>
    <row r="28" spans="1:92">
      <c r="A28">
        <v>6</v>
      </c>
      <c r="B28" s="892" t="s">
        <v>1062</v>
      </c>
      <c r="C28" s="144">
        <v>0.25579710144927537</v>
      </c>
      <c r="D28" s="144">
        <v>0.31073825503355706</v>
      </c>
      <c r="E28" s="144">
        <v>0.42028985507246375</v>
      </c>
      <c r="F28" s="146">
        <v>164</v>
      </c>
      <c r="G28" s="32">
        <v>353</v>
      </c>
      <c r="H28" s="32">
        <v>70</v>
      </c>
      <c r="I28" s="32">
        <v>8</v>
      </c>
      <c r="J28" s="32">
        <v>47</v>
      </c>
      <c r="K28" s="32">
        <v>110</v>
      </c>
      <c r="L28" s="32">
        <v>339</v>
      </c>
      <c r="M28" s="146">
        <v>10</v>
      </c>
      <c r="N28" s="32">
        <v>580</v>
      </c>
      <c r="O28" s="899">
        <v>0.73102811010602076</v>
      </c>
      <c r="Q28">
        <v>6</v>
      </c>
      <c r="R28" s="892" t="s">
        <v>903</v>
      </c>
      <c r="S28" s="147">
        <v>3.8281582305401964</v>
      </c>
      <c r="T28" s="148">
        <v>352.64999999999992</v>
      </c>
      <c r="U28" s="502">
        <v>310</v>
      </c>
      <c r="V28" s="32">
        <v>150</v>
      </c>
      <c r="W28" s="32">
        <v>136</v>
      </c>
      <c r="X28" s="32">
        <v>358</v>
      </c>
      <c r="Y28" s="32">
        <v>5</v>
      </c>
      <c r="Z28" s="149">
        <v>1.2647100524599464</v>
      </c>
      <c r="AA28" s="502">
        <v>29</v>
      </c>
      <c r="AB28" s="150">
        <v>18</v>
      </c>
      <c r="AC28" s="502">
        <v>4</v>
      </c>
      <c r="AD28" s="917">
        <v>2</v>
      </c>
      <c r="AF28">
        <v>6</v>
      </c>
      <c r="AG28" s="892" t="s">
        <v>1025</v>
      </c>
      <c r="AH28" s="144">
        <v>0.24928160919540229</v>
      </c>
      <c r="AI28" s="144">
        <v>0.32493540051679587</v>
      </c>
      <c r="AJ28" s="144">
        <v>0.43678160919540232</v>
      </c>
      <c r="AK28" s="146">
        <v>180</v>
      </c>
      <c r="AL28" s="32">
        <v>347</v>
      </c>
      <c r="AM28" s="32">
        <v>68</v>
      </c>
      <c r="AN28" s="32">
        <v>5</v>
      </c>
      <c r="AO28" s="32">
        <v>61</v>
      </c>
      <c r="AP28" s="32">
        <v>156</v>
      </c>
      <c r="AQ28" s="32">
        <v>348</v>
      </c>
      <c r="AR28" s="146">
        <v>16</v>
      </c>
      <c r="AS28" s="32">
        <v>608</v>
      </c>
      <c r="AT28" s="899">
        <v>0.76171700971219813</v>
      </c>
      <c r="AV28">
        <v>6</v>
      </c>
      <c r="AW28" s="892" t="s">
        <v>804</v>
      </c>
      <c r="AX28" s="147">
        <v>3.8752708749613038</v>
      </c>
      <c r="AY28" s="148">
        <v>355.33</v>
      </c>
      <c r="AZ28" s="32">
        <v>319</v>
      </c>
      <c r="BA28" s="32">
        <v>153</v>
      </c>
      <c r="BB28" s="32">
        <v>124</v>
      </c>
      <c r="BC28" s="32">
        <v>339</v>
      </c>
      <c r="BD28" s="32">
        <v>5</v>
      </c>
      <c r="BE28" s="149">
        <v>1.2467283933245152</v>
      </c>
      <c r="BF28" s="32">
        <v>27</v>
      </c>
      <c r="BG28" s="150">
        <v>16</v>
      </c>
      <c r="BH28" s="922">
        <v>6</v>
      </c>
      <c r="BI28" s="917">
        <v>4</v>
      </c>
      <c r="BK28">
        <v>6</v>
      </c>
      <c r="BL28" s="892" t="s">
        <v>804</v>
      </c>
      <c r="BM28" s="514">
        <v>0.26796929518492674</v>
      </c>
      <c r="BN28" s="514">
        <v>0.33733417561591916</v>
      </c>
      <c r="BO28" s="144">
        <v>0.41591067690160505</v>
      </c>
      <c r="BP28" s="146">
        <v>179</v>
      </c>
      <c r="BQ28" s="502">
        <v>384</v>
      </c>
      <c r="BR28" s="32">
        <v>76</v>
      </c>
      <c r="BS28" s="32">
        <v>2</v>
      </c>
      <c r="BT28" s="32">
        <v>44</v>
      </c>
      <c r="BU28" s="32">
        <v>150</v>
      </c>
      <c r="BV28" s="32">
        <v>386</v>
      </c>
      <c r="BW28" s="146">
        <v>4</v>
      </c>
      <c r="BX28" s="32">
        <v>596</v>
      </c>
      <c r="BY28" s="899">
        <v>0.75324485251752415</v>
      </c>
      <c r="CA28">
        <v>6</v>
      </c>
      <c r="CB28" s="892" t="s">
        <v>990</v>
      </c>
      <c r="CC28" s="147">
        <v>4.7280670224237564</v>
      </c>
      <c r="CD28" s="148">
        <v>361.67</v>
      </c>
      <c r="CE28" s="32">
        <v>392</v>
      </c>
      <c r="CF28" s="32">
        <v>190</v>
      </c>
      <c r="CG28" s="502">
        <v>116</v>
      </c>
      <c r="CH28" s="32">
        <v>310</v>
      </c>
      <c r="CI28" s="32">
        <v>8</v>
      </c>
      <c r="CJ28" s="149">
        <v>1.4045953493516188</v>
      </c>
      <c r="CK28" s="32">
        <v>20</v>
      </c>
      <c r="CL28" s="150">
        <v>12</v>
      </c>
      <c r="CM28" s="32">
        <v>3</v>
      </c>
      <c r="CN28" s="917">
        <v>3</v>
      </c>
    </row>
    <row r="29" spans="1:92">
      <c r="A29">
        <v>7</v>
      </c>
      <c r="B29" s="892" t="s">
        <v>835</v>
      </c>
      <c r="C29" s="144">
        <v>0.25516749821810408</v>
      </c>
      <c r="D29" s="144">
        <v>0.31204739960500327</v>
      </c>
      <c r="E29" s="144">
        <v>0.42979330007127586</v>
      </c>
      <c r="F29" s="146">
        <v>178</v>
      </c>
      <c r="G29" s="32">
        <v>358</v>
      </c>
      <c r="H29" s="32">
        <v>83</v>
      </c>
      <c r="I29" s="32">
        <v>6</v>
      </c>
      <c r="J29" s="32">
        <v>50</v>
      </c>
      <c r="K29" s="32">
        <v>116</v>
      </c>
      <c r="L29" s="32">
        <v>364</v>
      </c>
      <c r="M29" s="146">
        <v>19</v>
      </c>
      <c r="N29" s="32">
        <v>603</v>
      </c>
      <c r="O29" s="899">
        <v>0.74184069967627919</v>
      </c>
      <c r="Q29">
        <v>7</v>
      </c>
      <c r="R29" s="892" t="s">
        <v>1096</v>
      </c>
      <c r="S29" s="147">
        <v>3.9952575272967898</v>
      </c>
      <c r="T29" s="148">
        <v>362.68000000000006</v>
      </c>
      <c r="U29" s="32">
        <v>350</v>
      </c>
      <c r="V29" s="32">
        <v>161</v>
      </c>
      <c r="W29" s="32">
        <v>153</v>
      </c>
      <c r="X29" s="32">
        <v>366</v>
      </c>
      <c r="Y29" s="32">
        <v>6</v>
      </c>
      <c r="Z29" s="149">
        <v>1.3868975405315978</v>
      </c>
      <c r="AA29" s="32">
        <v>23</v>
      </c>
      <c r="AB29" s="150">
        <v>13</v>
      </c>
      <c r="AC29" s="32">
        <v>1</v>
      </c>
      <c r="AD29" s="917">
        <v>1</v>
      </c>
      <c r="AF29">
        <v>7</v>
      </c>
      <c r="AG29" s="892" t="s">
        <v>835</v>
      </c>
      <c r="AH29" s="144">
        <v>0.24693140794223828</v>
      </c>
      <c r="AI29" s="144">
        <v>0.31381578947368421</v>
      </c>
      <c r="AJ29" s="144">
        <v>0.4259927797833935</v>
      </c>
      <c r="AK29" s="146">
        <v>174</v>
      </c>
      <c r="AL29" s="32">
        <v>342</v>
      </c>
      <c r="AM29" s="32">
        <v>70</v>
      </c>
      <c r="AN29" s="32">
        <v>8</v>
      </c>
      <c r="AO29" s="32">
        <v>54</v>
      </c>
      <c r="AP29" s="32">
        <v>135</v>
      </c>
      <c r="AQ29" s="32">
        <v>375</v>
      </c>
      <c r="AR29" s="516">
        <v>29</v>
      </c>
      <c r="AS29" s="32">
        <v>590</v>
      </c>
      <c r="AT29" s="899">
        <v>0.73980856925707772</v>
      </c>
      <c r="AV29">
        <v>7</v>
      </c>
      <c r="AW29" s="892" t="s">
        <v>1200</v>
      </c>
      <c r="AX29" s="147">
        <v>3.8463687150837989</v>
      </c>
      <c r="AY29" s="148">
        <v>358</v>
      </c>
      <c r="AZ29" s="32">
        <v>313</v>
      </c>
      <c r="BA29" s="32">
        <v>153</v>
      </c>
      <c r="BB29" s="32">
        <v>148</v>
      </c>
      <c r="BC29" s="32">
        <v>390</v>
      </c>
      <c r="BD29" s="32">
        <v>9</v>
      </c>
      <c r="BE29" s="149">
        <v>1.2877094972067038</v>
      </c>
      <c r="BF29" s="32">
        <v>21</v>
      </c>
      <c r="BG29" s="150">
        <v>12</v>
      </c>
      <c r="BH29" s="32">
        <v>5</v>
      </c>
      <c r="BI29" s="917">
        <v>3</v>
      </c>
      <c r="BK29">
        <v>7</v>
      </c>
      <c r="BL29" s="892" t="s">
        <v>1096</v>
      </c>
      <c r="BM29" s="144">
        <v>0.26319444444444445</v>
      </c>
      <c r="BN29" s="144">
        <v>0.32420382165605094</v>
      </c>
      <c r="BO29" s="144">
        <v>0.44236111111111109</v>
      </c>
      <c r="BP29" s="146">
        <v>177</v>
      </c>
      <c r="BQ29" s="32">
        <v>379</v>
      </c>
      <c r="BR29" s="32">
        <v>78</v>
      </c>
      <c r="BS29" s="502">
        <v>15</v>
      </c>
      <c r="BT29" s="32">
        <v>50</v>
      </c>
      <c r="BU29" s="32">
        <v>130</v>
      </c>
      <c r="BV29" s="32">
        <v>360</v>
      </c>
      <c r="BW29" s="146">
        <v>6</v>
      </c>
      <c r="BX29" s="502">
        <v>637</v>
      </c>
      <c r="BY29" s="899">
        <v>0.76656493276716198</v>
      </c>
      <c r="CA29">
        <v>7</v>
      </c>
      <c r="CB29" s="892" t="s">
        <v>835</v>
      </c>
      <c r="CC29" s="147">
        <v>4.3378299770089468</v>
      </c>
      <c r="CD29" s="148">
        <v>361.01000000000005</v>
      </c>
      <c r="CE29" s="150">
        <v>362</v>
      </c>
      <c r="CF29" s="150">
        <v>174</v>
      </c>
      <c r="CG29" s="150">
        <v>154</v>
      </c>
      <c r="CH29" s="150">
        <v>376</v>
      </c>
      <c r="CI29" s="32">
        <v>6</v>
      </c>
      <c r="CJ29" s="149">
        <v>1.4293232874435609</v>
      </c>
      <c r="CK29" s="32">
        <v>22</v>
      </c>
      <c r="CL29" s="150">
        <v>6</v>
      </c>
      <c r="CM29" s="32">
        <v>3</v>
      </c>
      <c r="CN29" s="917">
        <v>3</v>
      </c>
    </row>
    <row r="30" spans="1:92">
      <c r="A30">
        <v>8</v>
      </c>
      <c r="B30" s="892" t="s">
        <v>1171</v>
      </c>
      <c r="C30" s="144">
        <v>0.25089094796863864</v>
      </c>
      <c r="D30" s="144">
        <v>0.31841763942931256</v>
      </c>
      <c r="E30" s="144">
        <v>0.43406985032074125</v>
      </c>
      <c r="F30" s="146">
        <v>173</v>
      </c>
      <c r="G30" s="32">
        <v>352</v>
      </c>
      <c r="H30" s="32">
        <v>82</v>
      </c>
      <c r="I30" s="32">
        <v>5</v>
      </c>
      <c r="J30" s="32">
        <v>55</v>
      </c>
      <c r="K30" s="32">
        <v>139</v>
      </c>
      <c r="L30" s="32">
        <v>343</v>
      </c>
      <c r="M30" s="146">
        <v>16</v>
      </c>
      <c r="N30" s="32">
        <v>609</v>
      </c>
      <c r="O30" s="899">
        <v>0.75248748975005375</v>
      </c>
      <c r="Q30">
        <v>8</v>
      </c>
      <c r="R30" s="892" t="s">
        <v>1139</v>
      </c>
      <c r="S30" s="147">
        <v>4.1108636197028225</v>
      </c>
      <c r="T30" s="148">
        <v>354.67</v>
      </c>
      <c r="U30" s="32">
        <v>358</v>
      </c>
      <c r="V30" s="32">
        <v>162</v>
      </c>
      <c r="W30" s="32">
        <v>134</v>
      </c>
      <c r="X30" s="32">
        <v>345</v>
      </c>
      <c r="Y30" s="502">
        <v>12</v>
      </c>
      <c r="Z30" s="149">
        <v>1.3872050074717341</v>
      </c>
      <c r="AA30" s="32">
        <v>24</v>
      </c>
      <c r="AB30" s="150">
        <v>16</v>
      </c>
      <c r="AC30" s="32">
        <v>2</v>
      </c>
      <c r="AD30" s="917">
        <v>2</v>
      </c>
      <c r="AF30">
        <v>8</v>
      </c>
      <c r="AG30" s="892" t="s">
        <v>770</v>
      </c>
      <c r="AH30" s="144">
        <v>0.24301075268817204</v>
      </c>
      <c r="AI30" s="144">
        <v>0.31160365058670142</v>
      </c>
      <c r="AJ30" s="144">
        <v>0.41218637992831542</v>
      </c>
      <c r="AK30" s="146">
        <v>168</v>
      </c>
      <c r="AL30" s="32">
        <v>339</v>
      </c>
      <c r="AM30" s="32">
        <v>62</v>
      </c>
      <c r="AN30" s="32">
        <v>6</v>
      </c>
      <c r="AO30" s="32">
        <v>54</v>
      </c>
      <c r="AP30" s="32">
        <v>139</v>
      </c>
      <c r="AQ30" s="32">
        <v>376</v>
      </c>
      <c r="AR30" s="146">
        <v>5</v>
      </c>
      <c r="AS30" s="32">
        <v>575</v>
      </c>
      <c r="AT30" s="899">
        <v>0.72379003051501689</v>
      </c>
      <c r="AV30">
        <v>8</v>
      </c>
      <c r="AW30" s="892" t="s">
        <v>1062</v>
      </c>
      <c r="AX30" s="147">
        <v>4.1207865168539328</v>
      </c>
      <c r="AY30" s="148">
        <v>356</v>
      </c>
      <c r="AZ30" s="32">
        <v>339</v>
      </c>
      <c r="BA30" s="32">
        <v>163</v>
      </c>
      <c r="BB30" s="32">
        <v>160</v>
      </c>
      <c r="BC30" s="502">
        <v>427</v>
      </c>
      <c r="BD30" s="32">
        <v>6</v>
      </c>
      <c r="BE30" s="149">
        <v>1.401685393258427</v>
      </c>
      <c r="BF30" s="32">
        <v>22</v>
      </c>
      <c r="BG30" s="150">
        <v>11</v>
      </c>
      <c r="BH30" s="32">
        <v>3</v>
      </c>
      <c r="BI30" s="917">
        <v>2</v>
      </c>
      <c r="BK30">
        <v>8</v>
      </c>
      <c r="BL30" s="892" t="s">
        <v>1265</v>
      </c>
      <c r="BM30" s="144">
        <v>0.25436046511627908</v>
      </c>
      <c r="BN30" s="144">
        <v>0.33333333333333331</v>
      </c>
      <c r="BO30" s="144">
        <v>0.42005813953488375</v>
      </c>
      <c r="BP30" s="146">
        <v>173</v>
      </c>
      <c r="BQ30" s="32">
        <v>350</v>
      </c>
      <c r="BR30" s="32">
        <v>71</v>
      </c>
      <c r="BS30" s="32">
        <v>8</v>
      </c>
      <c r="BT30" s="32">
        <v>47</v>
      </c>
      <c r="BU30" s="502">
        <v>163</v>
      </c>
      <c r="BV30" s="32">
        <v>326</v>
      </c>
      <c r="BW30" s="146">
        <v>4</v>
      </c>
      <c r="BX30" s="32">
        <v>578</v>
      </c>
      <c r="BY30" s="899">
        <v>0.75339147286821706</v>
      </c>
      <c r="CA30">
        <v>8</v>
      </c>
      <c r="CB30" s="892" t="s">
        <v>1171</v>
      </c>
      <c r="CC30" s="147">
        <v>3.598389531957725</v>
      </c>
      <c r="CD30" s="148">
        <v>357.66</v>
      </c>
      <c r="CE30" s="502">
        <v>309</v>
      </c>
      <c r="CF30" s="32">
        <v>143</v>
      </c>
      <c r="CG30" s="32">
        <v>132</v>
      </c>
      <c r="CH30" s="32">
        <v>364</v>
      </c>
      <c r="CI30" s="502">
        <v>15</v>
      </c>
      <c r="CJ30" s="149">
        <v>1.2330145948666331</v>
      </c>
      <c r="CK30" s="32">
        <v>28</v>
      </c>
      <c r="CL30" s="150">
        <v>17</v>
      </c>
      <c r="CM30" s="32">
        <v>3</v>
      </c>
      <c r="CN30" s="917">
        <v>2</v>
      </c>
    </row>
    <row r="31" spans="1:92">
      <c r="A31">
        <v>9</v>
      </c>
      <c r="B31" s="892" t="s">
        <v>770</v>
      </c>
      <c r="C31" s="144">
        <v>0.24851632047477745</v>
      </c>
      <c r="D31" s="144">
        <v>0.32913907284768212</v>
      </c>
      <c r="E31" s="144">
        <v>0.42952522255192876</v>
      </c>
      <c r="F31" s="146">
        <v>164</v>
      </c>
      <c r="G31" s="32">
        <v>335</v>
      </c>
      <c r="H31" s="32">
        <v>75</v>
      </c>
      <c r="I31" s="32">
        <v>11</v>
      </c>
      <c r="J31" s="32">
        <v>49</v>
      </c>
      <c r="K31" s="502">
        <v>162</v>
      </c>
      <c r="L31" s="32">
        <v>329</v>
      </c>
      <c r="M31" s="146">
        <v>22</v>
      </c>
      <c r="N31" s="32">
        <v>579</v>
      </c>
      <c r="O31" s="899">
        <v>0.75866429539961089</v>
      </c>
      <c r="Q31">
        <v>9</v>
      </c>
      <c r="R31" s="892" t="s">
        <v>770</v>
      </c>
      <c r="S31" s="147">
        <v>4.1716430643234945</v>
      </c>
      <c r="T31" s="148">
        <v>351.65999999999997</v>
      </c>
      <c r="U31" s="32">
        <v>353</v>
      </c>
      <c r="V31" s="32">
        <v>163</v>
      </c>
      <c r="W31" s="32">
        <v>106</v>
      </c>
      <c r="X31" s="32">
        <v>348</v>
      </c>
      <c r="Y31" s="32">
        <v>7</v>
      </c>
      <c r="Z31" s="149">
        <v>1.3052380139907866</v>
      </c>
      <c r="AA31" s="32">
        <v>26</v>
      </c>
      <c r="AB31" s="150">
        <v>16</v>
      </c>
      <c r="AC31" s="32">
        <v>3</v>
      </c>
      <c r="AD31" s="917">
        <v>3</v>
      </c>
      <c r="AF31">
        <v>9</v>
      </c>
      <c r="AG31" s="892" t="s">
        <v>1096</v>
      </c>
      <c r="AH31" s="144">
        <v>0.24229390681003585</v>
      </c>
      <c r="AI31" s="144">
        <v>0.30688524590163935</v>
      </c>
      <c r="AJ31" s="144">
        <v>0.39211469534050181</v>
      </c>
      <c r="AK31" s="146">
        <v>146</v>
      </c>
      <c r="AL31" s="32">
        <v>338</v>
      </c>
      <c r="AM31" s="32">
        <v>64</v>
      </c>
      <c r="AN31" s="32">
        <v>8</v>
      </c>
      <c r="AO31" s="32">
        <v>43</v>
      </c>
      <c r="AP31" s="32">
        <v>130</v>
      </c>
      <c r="AQ31" s="32">
        <v>358</v>
      </c>
      <c r="AR31" s="146">
        <v>2</v>
      </c>
      <c r="AS31" s="32">
        <v>547</v>
      </c>
      <c r="AT31" s="899">
        <v>0.69899994124214115</v>
      </c>
      <c r="AV31">
        <v>9</v>
      </c>
      <c r="AW31" s="892" t="s">
        <v>952</v>
      </c>
      <c r="AX31" s="147">
        <v>4.2045422564939638</v>
      </c>
      <c r="AY31" s="148">
        <v>355.33</v>
      </c>
      <c r="AZ31" s="32">
        <v>335</v>
      </c>
      <c r="BA31" s="32">
        <v>166</v>
      </c>
      <c r="BB31" s="32">
        <v>128</v>
      </c>
      <c r="BC31" s="32">
        <v>333</v>
      </c>
      <c r="BD31" s="502">
        <v>14</v>
      </c>
      <c r="BE31" s="149">
        <v>1.3030140995694144</v>
      </c>
      <c r="BF31" s="32">
        <v>19</v>
      </c>
      <c r="BG31" s="150">
        <v>5</v>
      </c>
      <c r="BH31" s="32">
        <v>0</v>
      </c>
      <c r="BI31" s="917">
        <v>0</v>
      </c>
      <c r="BK31">
        <v>9</v>
      </c>
      <c r="BL31" s="892" t="s">
        <v>1062</v>
      </c>
      <c r="BM31" s="144">
        <v>0.25090122566690698</v>
      </c>
      <c r="BN31" s="144">
        <v>0.31419141914191417</v>
      </c>
      <c r="BO31" s="144">
        <v>0.42393655371304972</v>
      </c>
      <c r="BP31" s="151">
        <v>170</v>
      </c>
      <c r="BQ31" s="150">
        <v>348</v>
      </c>
      <c r="BR31" s="150">
        <v>76</v>
      </c>
      <c r="BS31" s="150">
        <v>10</v>
      </c>
      <c r="BT31" s="150">
        <v>48</v>
      </c>
      <c r="BU31" s="150">
        <v>128</v>
      </c>
      <c r="BV31" s="150">
        <v>341</v>
      </c>
      <c r="BW31" s="151">
        <v>18</v>
      </c>
      <c r="BX31" s="150">
        <v>588</v>
      </c>
      <c r="BY31" s="899">
        <v>0.7381279728549639</v>
      </c>
      <c r="CA31">
        <v>9</v>
      </c>
      <c r="CB31" s="892" t="s">
        <v>1265</v>
      </c>
      <c r="CC31" s="147">
        <v>5.057614803882613</v>
      </c>
      <c r="CD31" s="148">
        <v>352.34000000000003</v>
      </c>
      <c r="CE31" s="32">
        <v>377</v>
      </c>
      <c r="CF31" s="32">
        <v>198</v>
      </c>
      <c r="CG31" s="32">
        <v>151</v>
      </c>
      <c r="CH31" s="32">
        <v>348</v>
      </c>
      <c r="CI31" s="32">
        <v>6</v>
      </c>
      <c r="CJ31" s="149">
        <v>1.4985525344837372</v>
      </c>
      <c r="CK31" s="32">
        <v>18</v>
      </c>
      <c r="CL31" s="150">
        <v>13</v>
      </c>
      <c r="CM31" s="32">
        <v>3</v>
      </c>
      <c r="CN31" s="917">
        <v>2</v>
      </c>
    </row>
    <row r="32" spans="1:92">
      <c r="A32">
        <v>10</v>
      </c>
      <c r="B32" s="892" t="s">
        <v>1096</v>
      </c>
      <c r="C32" s="144">
        <v>0.24821173104434907</v>
      </c>
      <c r="D32" s="144">
        <v>0.30627062706270625</v>
      </c>
      <c r="E32" s="144">
        <v>0.39628040057224606</v>
      </c>
      <c r="F32" s="146">
        <v>147</v>
      </c>
      <c r="G32" s="32">
        <v>347</v>
      </c>
      <c r="H32" s="32">
        <v>56</v>
      </c>
      <c r="I32" s="502">
        <v>14</v>
      </c>
      <c r="J32" s="32">
        <v>41</v>
      </c>
      <c r="K32" s="32">
        <v>117</v>
      </c>
      <c r="L32" s="32">
        <v>348</v>
      </c>
      <c r="M32" s="146">
        <v>18</v>
      </c>
      <c r="N32" s="32">
        <v>554</v>
      </c>
      <c r="O32" s="899">
        <v>0.70255102763495225</v>
      </c>
      <c r="Q32">
        <v>10</v>
      </c>
      <c r="R32" s="892" t="s">
        <v>952</v>
      </c>
      <c r="S32" s="147">
        <v>4.1075304725329769</v>
      </c>
      <c r="T32" s="148">
        <v>359.34000000000003</v>
      </c>
      <c r="U32" s="32">
        <v>336</v>
      </c>
      <c r="V32" s="32">
        <v>164</v>
      </c>
      <c r="W32" s="32">
        <v>123</v>
      </c>
      <c r="X32" s="32">
        <v>313</v>
      </c>
      <c r="Y32" s="32">
        <v>7</v>
      </c>
      <c r="Z32" s="149">
        <v>1.277341793287694</v>
      </c>
      <c r="AA32" s="32">
        <v>26</v>
      </c>
      <c r="AB32" s="150">
        <v>11</v>
      </c>
      <c r="AC32" s="502">
        <v>4</v>
      </c>
      <c r="AD32" s="918">
        <v>4</v>
      </c>
      <c r="AF32">
        <v>10</v>
      </c>
      <c r="AG32" s="892" t="s">
        <v>1229</v>
      </c>
      <c r="AH32" s="144">
        <v>0.24127906976744187</v>
      </c>
      <c r="AI32" s="144">
        <v>0.314510833880499</v>
      </c>
      <c r="AJ32" s="144">
        <v>0.42151162790697677</v>
      </c>
      <c r="AK32" s="146">
        <v>155</v>
      </c>
      <c r="AL32" s="32">
        <v>332</v>
      </c>
      <c r="AM32" s="502">
        <v>79</v>
      </c>
      <c r="AN32" s="502">
        <v>11</v>
      </c>
      <c r="AO32" s="32">
        <v>49</v>
      </c>
      <c r="AP32" s="32">
        <v>147</v>
      </c>
      <c r="AQ32" s="502">
        <v>389</v>
      </c>
      <c r="AR32" s="146">
        <v>7</v>
      </c>
      <c r="AS32" s="32">
        <v>580</v>
      </c>
      <c r="AT32" s="899">
        <v>0.73602246178747577</v>
      </c>
      <c r="AV32">
        <v>10</v>
      </c>
      <c r="AW32" s="892" t="s">
        <v>770</v>
      </c>
      <c r="AX32" s="147">
        <v>4.1443776540009925</v>
      </c>
      <c r="AY32" s="148">
        <v>362.66</v>
      </c>
      <c r="AZ32" s="32">
        <v>354</v>
      </c>
      <c r="BA32" s="32">
        <v>167</v>
      </c>
      <c r="BB32" s="32">
        <v>127</v>
      </c>
      <c r="BC32" s="32">
        <v>364</v>
      </c>
      <c r="BD32" s="32">
        <v>9</v>
      </c>
      <c r="BE32" s="149">
        <v>1.3263111454254672</v>
      </c>
      <c r="BF32" s="32">
        <v>21</v>
      </c>
      <c r="BG32" s="150">
        <v>7</v>
      </c>
      <c r="BH32" s="32">
        <v>0</v>
      </c>
      <c r="BI32" s="917">
        <v>0</v>
      </c>
      <c r="BK32">
        <v>10</v>
      </c>
      <c r="BL32" s="892" t="s">
        <v>1025</v>
      </c>
      <c r="BM32" s="144">
        <v>0.24507658643326038</v>
      </c>
      <c r="BN32" s="144">
        <v>0.3177323665128543</v>
      </c>
      <c r="BO32" s="144">
        <v>0.41721371261852663</v>
      </c>
      <c r="BP32" s="146">
        <v>170</v>
      </c>
      <c r="BQ32" s="32">
        <v>336</v>
      </c>
      <c r="BR32" s="32">
        <v>66</v>
      </c>
      <c r="BS32" s="32">
        <v>1</v>
      </c>
      <c r="BT32" s="32">
        <v>56</v>
      </c>
      <c r="BU32" s="32">
        <v>146</v>
      </c>
      <c r="BV32" s="32">
        <v>374</v>
      </c>
      <c r="BW32" s="146">
        <v>4</v>
      </c>
      <c r="BX32" s="32">
        <v>572</v>
      </c>
      <c r="BY32" s="899">
        <v>0.73494607913138088</v>
      </c>
      <c r="CA32">
        <v>10</v>
      </c>
      <c r="CB32" s="892" t="s">
        <v>903</v>
      </c>
      <c r="CC32" s="147">
        <v>4.1443776540009933</v>
      </c>
      <c r="CD32" s="148">
        <v>362.65999999999997</v>
      </c>
      <c r="CE32" s="32">
        <v>360</v>
      </c>
      <c r="CF32" s="32">
        <v>167</v>
      </c>
      <c r="CG32" s="32">
        <v>144</v>
      </c>
      <c r="CH32" s="32">
        <v>376</v>
      </c>
      <c r="CI32" s="32">
        <v>8</v>
      </c>
      <c r="CJ32" s="149">
        <v>1.3897314288865605</v>
      </c>
      <c r="CK32" s="32">
        <v>24</v>
      </c>
      <c r="CL32" s="150">
        <v>16</v>
      </c>
      <c r="CM32" s="32">
        <v>2</v>
      </c>
      <c r="CN32" s="917">
        <v>2</v>
      </c>
    </row>
    <row r="33" spans="1:92">
      <c r="A33">
        <v>11</v>
      </c>
      <c r="B33" s="892" t="s">
        <v>952</v>
      </c>
      <c r="C33" s="144">
        <v>0.24551328068916009</v>
      </c>
      <c r="D33" s="144">
        <v>0.30809743252139565</v>
      </c>
      <c r="E33" s="144">
        <v>0.40559942569992824</v>
      </c>
      <c r="F33" s="146">
        <v>157</v>
      </c>
      <c r="G33" s="32">
        <v>342</v>
      </c>
      <c r="H33" s="32">
        <v>65</v>
      </c>
      <c r="I33" s="32">
        <v>4</v>
      </c>
      <c r="J33" s="32">
        <v>50</v>
      </c>
      <c r="K33" s="32">
        <v>126</v>
      </c>
      <c r="L33" s="32">
        <v>337</v>
      </c>
      <c r="M33" s="146">
        <v>10</v>
      </c>
      <c r="N33" s="32">
        <v>565</v>
      </c>
      <c r="O33" s="899">
        <v>0.71369685822132389</v>
      </c>
      <c r="Q33">
        <v>11</v>
      </c>
      <c r="R33" s="892" t="s">
        <v>1265</v>
      </c>
      <c r="S33" s="147">
        <v>4.2402225123460289</v>
      </c>
      <c r="T33" s="148">
        <v>352.34000000000003</v>
      </c>
      <c r="U33" s="32">
        <v>339</v>
      </c>
      <c r="V33" s="32">
        <v>166</v>
      </c>
      <c r="W33" s="502">
        <v>100</v>
      </c>
      <c r="X33" s="32">
        <v>303</v>
      </c>
      <c r="Y33" s="32">
        <v>7</v>
      </c>
      <c r="Z33" s="149">
        <v>1.2459556110575012</v>
      </c>
      <c r="AA33" s="32">
        <v>23</v>
      </c>
      <c r="AB33" s="150">
        <v>10</v>
      </c>
      <c r="AC33" s="502">
        <v>4</v>
      </c>
      <c r="AD33" s="918">
        <v>4</v>
      </c>
      <c r="AF33">
        <v>11</v>
      </c>
      <c r="AG33" s="892" t="s">
        <v>1062</v>
      </c>
      <c r="AH33" s="144">
        <v>0.23953823953823955</v>
      </c>
      <c r="AI33" s="144">
        <v>0.30794484569927771</v>
      </c>
      <c r="AJ33" s="144">
        <v>0.41341991341991341</v>
      </c>
      <c r="AK33" s="146">
        <v>162</v>
      </c>
      <c r="AL33" s="32">
        <v>332</v>
      </c>
      <c r="AM33" s="32">
        <v>76</v>
      </c>
      <c r="AN33" s="32">
        <v>3</v>
      </c>
      <c r="AO33" s="32">
        <v>53</v>
      </c>
      <c r="AP33" s="32">
        <v>137</v>
      </c>
      <c r="AQ33" s="32">
        <v>364</v>
      </c>
      <c r="AR33" s="146">
        <v>6</v>
      </c>
      <c r="AS33" s="32">
        <v>573</v>
      </c>
      <c r="AT33" s="899">
        <v>0.72136475911919118</v>
      </c>
      <c r="AV33">
        <v>11</v>
      </c>
      <c r="AW33" s="892" t="s">
        <v>903</v>
      </c>
      <c r="AX33" s="147">
        <v>4.3499399416576106</v>
      </c>
      <c r="AY33" s="148">
        <v>349.65999999999997</v>
      </c>
      <c r="AZ33" s="32">
        <v>343</v>
      </c>
      <c r="BA33" s="32">
        <v>169</v>
      </c>
      <c r="BB33" s="32">
        <v>138</v>
      </c>
      <c r="BC33" s="32">
        <v>374</v>
      </c>
      <c r="BD33" s="32">
        <v>7</v>
      </c>
      <c r="BE33" s="149">
        <v>1.375622032831894</v>
      </c>
      <c r="BF33" s="32">
        <v>22</v>
      </c>
      <c r="BG33" s="150">
        <v>14</v>
      </c>
      <c r="BH33" s="922">
        <v>6</v>
      </c>
      <c r="BI33" s="917">
        <v>4</v>
      </c>
      <c r="BK33">
        <v>11</v>
      </c>
      <c r="BL33" s="892" t="s">
        <v>990</v>
      </c>
      <c r="BM33" s="144">
        <v>0.23571945046999276</v>
      </c>
      <c r="BN33" s="144">
        <v>0.30046326935804102</v>
      </c>
      <c r="BO33" s="144">
        <v>0.40925524222704268</v>
      </c>
      <c r="BP33" s="146">
        <v>167</v>
      </c>
      <c r="BQ33" s="32">
        <v>326</v>
      </c>
      <c r="BR33" s="32">
        <v>59</v>
      </c>
      <c r="BS33" s="32">
        <v>8</v>
      </c>
      <c r="BT33" s="32">
        <v>55</v>
      </c>
      <c r="BU33" s="32">
        <v>128</v>
      </c>
      <c r="BV33" s="32">
        <v>371</v>
      </c>
      <c r="BW33" s="146">
        <v>2</v>
      </c>
      <c r="BX33" s="32">
        <v>566</v>
      </c>
      <c r="BY33" s="899">
        <v>0.7097185115850837</v>
      </c>
      <c r="CA33">
        <v>11</v>
      </c>
      <c r="CB33" s="892" t="s">
        <v>1200</v>
      </c>
      <c r="CC33" s="147">
        <v>4.2029887920298883</v>
      </c>
      <c r="CD33" s="148">
        <v>353.31999999999994</v>
      </c>
      <c r="CE33" s="32">
        <v>339</v>
      </c>
      <c r="CF33" s="32">
        <v>165</v>
      </c>
      <c r="CG33" s="32">
        <v>154</v>
      </c>
      <c r="CH33" s="32">
        <v>383</v>
      </c>
      <c r="CI33" s="32">
        <v>13</v>
      </c>
      <c r="CJ33" s="149">
        <v>1.3953356730442661</v>
      </c>
      <c r="CK33" s="32">
        <v>24</v>
      </c>
      <c r="CL33" s="150">
        <v>8</v>
      </c>
      <c r="CM33" s="32">
        <v>2</v>
      </c>
      <c r="CN33" s="917">
        <v>2</v>
      </c>
    </row>
    <row r="34" spans="1:92">
      <c r="A34">
        <v>12</v>
      </c>
      <c r="B34" s="892" t="s">
        <v>1139</v>
      </c>
      <c r="C34" s="144">
        <v>0.24486803519061584</v>
      </c>
      <c r="D34" s="144">
        <v>0.31103678929765888</v>
      </c>
      <c r="E34" s="144">
        <v>0.40249266862170086</v>
      </c>
      <c r="F34" s="146">
        <v>151</v>
      </c>
      <c r="G34" s="32">
        <v>334</v>
      </c>
      <c r="H34" s="32">
        <v>65</v>
      </c>
      <c r="I34" s="32">
        <v>12</v>
      </c>
      <c r="J34" s="32">
        <v>42</v>
      </c>
      <c r="K34" s="32">
        <v>131</v>
      </c>
      <c r="L34" s="32">
        <v>332</v>
      </c>
      <c r="M34" s="146">
        <v>0</v>
      </c>
      <c r="N34" s="32">
        <v>549</v>
      </c>
      <c r="O34" s="899">
        <v>0.71352945791935973</v>
      </c>
      <c r="Q34">
        <v>12</v>
      </c>
      <c r="R34" s="892" t="s">
        <v>1025</v>
      </c>
      <c r="S34" s="147">
        <v>4.4112676056338032</v>
      </c>
      <c r="T34" s="148">
        <v>354.99999999999994</v>
      </c>
      <c r="U34" s="32">
        <v>365</v>
      </c>
      <c r="V34" s="32">
        <v>174</v>
      </c>
      <c r="W34" s="32">
        <v>147</v>
      </c>
      <c r="X34" s="32">
        <v>360</v>
      </c>
      <c r="Y34" s="32">
        <v>8</v>
      </c>
      <c r="Z34" s="149">
        <v>1.4422535211267609</v>
      </c>
      <c r="AA34" s="32">
        <v>21</v>
      </c>
      <c r="AB34" s="150">
        <v>10</v>
      </c>
      <c r="AC34" s="32">
        <v>2</v>
      </c>
      <c r="AD34" s="917">
        <v>1</v>
      </c>
      <c r="AF34">
        <v>12</v>
      </c>
      <c r="AG34" s="892" t="s">
        <v>1200</v>
      </c>
      <c r="AH34" s="144">
        <v>0.23920994879297733</v>
      </c>
      <c r="AI34" s="144">
        <v>0.30154466084620551</v>
      </c>
      <c r="AJ34" s="144">
        <v>0.37088514996342353</v>
      </c>
      <c r="AK34" s="146">
        <v>140</v>
      </c>
      <c r="AL34" s="32">
        <v>327</v>
      </c>
      <c r="AM34" s="32">
        <v>60</v>
      </c>
      <c r="AN34" s="32">
        <v>9</v>
      </c>
      <c r="AO34" s="32">
        <v>34</v>
      </c>
      <c r="AP34" s="32">
        <v>122</v>
      </c>
      <c r="AQ34" s="32">
        <v>359</v>
      </c>
      <c r="AR34" s="146">
        <v>4</v>
      </c>
      <c r="AS34" s="32">
        <v>507</v>
      </c>
      <c r="AT34" s="899">
        <v>0.67242981080962905</v>
      </c>
      <c r="AV34">
        <v>12</v>
      </c>
      <c r="AW34" s="892" t="s">
        <v>1025</v>
      </c>
      <c r="AX34" s="147">
        <v>4.6584110198970352</v>
      </c>
      <c r="AY34" s="148">
        <v>359.35000000000008</v>
      </c>
      <c r="AZ34" s="32">
        <v>350</v>
      </c>
      <c r="BA34" s="32">
        <v>186</v>
      </c>
      <c r="BB34" s="32">
        <v>164</v>
      </c>
      <c r="BC34" s="32">
        <v>417</v>
      </c>
      <c r="BD34" s="32">
        <v>12</v>
      </c>
      <c r="BE34" s="149">
        <v>1.4303603728955054</v>
      </c>
      <c r="BF34" s="32">
        <v>22</v>
      </c>
      <c r="BG34" s="150">
        <v>11</v>
      </c>
      <c r="BH34" s="32">
        <v>4</v>
      </c>
      <c r="BI34" s="917">
        <v>3</v>
      </c>
      <c r="BK34">
        <v>12</v>
      </c>
      <c r="BL34" s="892" t="s">
        <v>835</v>
      </c>
      <c r="BM34" s="144">
        <v>0.24242424242424243</v>
      </c>
      <c r="BN34" s="144">
        <v>0.31372549019607843</v>
      </c>
      <c r="BO34" s="144">
        <v>0.38961038961038963</v>
      </c>
      <c r="BP34" s="146">
        <v>165</v>
      </c>
      <c r="BQ34" s="32">
        <v>336</v>
      </c>
      <c r="BR34" s="32">
        <v>54</v>
      </c>
      <c r="BS34" s="32">
        <v>3</v>
      </c>
      <c r="BT34" s="32">
        <v>48</v>
      </c>
      <c r="BU34" s="32">
        <v>144</v>
      </c>
      <c r="BV34" s="32">
        <v>361</v>
      </c>
      <c r="BW34" s="146">
        <v>25</v>
      </c>
      <c r="BX34" s="32">
        <v>540</v>
      </c>
      <c r="BY34" s="899">
        <v>0.70333587980646806</v>
      </c>
      <c r="CA34">
        <v>12</v>
      </c>
      <c r="CB34" s="892" t="s">
        <v>1096</v>
      </c>
      <c r="CC34" s="147">
        <v>5.1501430595294311</v>
      </c>
      <c r="CD34" s="148">
        <v>359.99</v>
      </c>
      <c r="CE34" s="32">
        <v>371</v>
      </c>
      <c r="CF34" s="32">
        <v>206</v>
      </c>
      <c r="CG34" s="32">
        <v>152</v>
      </c>
      <c r="CH34" s="32">
        <v>349</v>
      </c>
      <c r="CI34" s="32">
        <v>8</v>
      </c>
      <c r="CJ34" s="149">
        <v>1.4528181338370509</v>
      </c>
      <c r="CK34" s="32">
        <v>21</v>
      </c>
      <c r="CL34" s="150">
        <v>13</v>
      </c>
      <c r="CM34" s="32">
        <v>2</v>
      </c>
      <c r="CN34" s="917">
        <v>1</v>
      </c>
    </row>
    <row r="35" spans="1:92">
      <c r="A35">
        <v>13</v>
      </c>
      <c r="B35" s="892" t="s">
        <v>990</v>
      </c>
      <c r="C35" s="144">
        <v>0.23434045689019897</v>
      </c>
      <c r="D35" s="144">
        <v>0.29939312204989887</v>
      </c>
      <c r="E35" s="144">
        <v>0.37656595431098011</v>
      </c>
      <c r="F35" s="146">
        <v>134</v>
      </c>
      <c r="G35" s="32">
        <v>318</v>
      </c>
      <c r="H35" s="32">
        <v>52</v>
      </c>
      <c r="I35" s="32">
        <v>12</v>
      </c>
      <c r="J35" s="32">
        <v>39</v>
      </c>
      <c r="K35" s="32">
        <v>126</v>
      </c>
      <c r="L35" s="32">
        <v>375</v>
      </c>
      <c r="M35" s="146">
        <v>10</v>
      </c>
      <c r="N35" s="32">
        <v>511</v>
      </c>
      <c r="O35" s="899">
        <v>0.67595907636087893</v>
      </c>
      <c r="Q35">
        <v>13</v>
      </c>
      <c r="R35" s="892" t="s">
        <v>869</v>
      </c>
      <c r="S35" s="147">
        <v>4.4662493655895785</v>
      </c>
      <c r="T35" s="148">
        <v>354.66</v>
      </c>
      <c r="U35" s="32">
        <v>375</v>
      </c>
      <c r="V35" s="32">
        <v>176</v>
      </c>
      <c r="W35" s="32">
        <v>145</v>
      </c>
      <c r="X35" s="32">
        <v>328</v>
      </c>
      <c r="Y35" s="32">
        <v>7</v>
      </c>
      <c r="Z35" s="149">
        <v>1.4661929735521344</v>
      </c>
      <c r="AA35" s="32">
        <v>23</v>
      </c>
      <c r="AB35" s="150">
        <v>10</v>
      </c>
      <c r="AC35" s="32">
        <v>1</v>
      </c>
      <c r="AD35" s="917">
        <v>0</v>
      </c>
      <c r="AF35">
        <v>13</v>
      </c>
      <c r="AG35" s="892" t="s">
        <v>869</v>
      </c>
      <c r="AH35" s="144">
        <v>0.23127272727272727</v>
      </c>
      <c r="AI35" s="144">
        <v>0.30368906455862976</v>
      </c>
      <c r="AJ35" s="144">
        <v>0.36145454545454547</v>
      </c>
      <c r="AK35" s="146">
        <v>137</v>
      </c>
      <c r="AL35" s="32">
        <v>318</v>
      </c>
      <c r="AM35" s="32">
        <v>73</v>
      </c>
      <c r="AN35" s="32">
        <v>5</v>
      </c>
      <c r="AO35" s="32">
        <v>32</v>
      </c>
      <c r="AP35" s="32">
        <v>143</v>
      </c>
      <c r="AQ35" s="32">
        <v>378</v>
      </c>
      <c r="AR35" s="146">
        <v>2</v>
      </c>
      <c r="AS35" s="32">
        <v>497</v>
      </c>
      <c r="AT35" s="899">
        <v>0.66514361001317523</v>
      </c>
      <c r="AV35">
        <v>13</v>
      </c>
      <c r="AW35" s="892" t="s">
        <v>1265</v>
      </c>
      <c r="AX35" s="147">
        <v>4.8286516853932584</v>
      </c>
      <c r="AY35" s="148">
        <v>356</v>
      </c>
      <c r="AZ35" s="32">
        <v>371</v>
      </c>
      <c r="BA35" s="32">
        <v>191</v>
      </c>
      <c r="BB35" s="32">
        <v>166</v>
      </c>
      <c r="BC35" s="32">
        <v>310</v>
      </c>
      <c r="BD35" s="32">
        <v>9</v>
      </c>
      <c r="BE35" s="149">
        <v>1.5084269662921348</v>
      </c>
      <c r="BF35" s="32">
        <v>22</v>
      </c>
      <c r="BG35" s="150">
        <v>7</v>
      </c>
      <c r="BH35" s="32">
        <v>0</v>
      </c>
      <c r="BI35" s="917">
        <v>0</v>
      </c>
      <c r="BK35">
        <v>13</v>
      </c>
      <c r="BL35" s="892" t="s">
        <v>869</v>
      </c>
      <c r="BM35" s="144">
        <v>0.23799283154121864</v>
      </c>
      <c r="BN35" s="144">
        <v>0.30157687253613669</v>
      </c>
      <c r="BO35" s="144">
        <v>0.40788530465949818</v>
      </c>
      <c r="BP35" s="146">
        <v>144</v>
      </c>
      <c r="BQ35" s="32">
        <v>332</v>
      </c>
      <c r="BR35" s="32">
        <v>77</v>
      </c>
      <c r="BS35" s="32">
        <v>8</v>
      </c>
      <c r="BT35" s="32">
        <v>48</v>
      </c>
      <c r="BU35" s="32">
        <v>127</v>
      </c>
      <c r="BV35" s="32">
        <v>353</v>
      </c>
      <c r="BW35" s="146">
        <v>22</v>
      </c>
      <c r="BX35" s="32">
        <v>569</v>
      </c>
      <c r="BY35" s="899">
        <v>0.70946217719563487</v>
      </c>
      <c r="CA35">
        <v>13</v>
      </c>
      <c r="CB35" s="892" t="s">
        <v>952</v>
      </c>
      <c r="CC35" s="147">
        <v>4.3876900916872108</v>
      </c>
      <c r="CD35" s="148">
        <v>361.01</v>
      </c>
      <c r="CE35" s="32">
        <v>352</v>
      </c>
      <c r="CF35" s="32">
        <v>176</v>
      </c>
      <c r="CG35" s="32">
        <v>150</v>
      </c>
      <c r="CH35" s="32">
        <v>319</v>
      </c>
      <c r="CI35" s="32">
        <v>10</v>
      </c>
      <c r="CJ35" s="149">
        <v>1.3905431982493559</v>
      </c>
      <c r="CK35" s="32">
        <v>23</v>
      </c>
      <c r="CL35" s="150">
        <v>10</v>
      </c>
      <c r="CM35" s="32">
        <v>2</v>
      </c>
      <c r="CN35" s="917">
        <v>1</v>
      </c>
    </row>
    <row r="36" spans="1:92">
      <c r="A36">
        <v>14</v>
      </c>
      <c r="B36" s="892" t="s">
        <v>869</v>
      </c>
      <c r="C36" s="144">
        <v>0.23257520176082172</v>
      </c>
      <c r="D36" s="144">
        <v>0.30911492734478202</v>
      </c>
      <c r="E36" s="144">
        <v>0.3661041819515774</v>
      </c>
      <c r="F36" s="146">
        <v>126</v>
      </c>
      <c r="G36" s="32">
        <v>317</v>
      </c>
      <c r="H36" s="32">
        <v>66</v>
      </c>
      <c r="I36" s="32">
        <v>10</v>
      </c>
      <c r="J36" s="32">
        <v>32</v>
      </c>
      <c r="K36" s="32">
        <v>151</v>
      </c>
      <c r="L36" s="32">
        <v>362</v>
      </c>
      <c r="M36" s="146">
        <v>16</v>
      </c>
      <c r="N36" s="32">
        <v>499</v>
      </c>
      <c r="O36" s="899">
        <v>0.67521910929635942</v>
      </c>
      <c r="Q36">
        <v>14</v>
      </c>
      <c r="R36" s="892" t="s">
        <v>990</v>
      </c>
      <c r="S36" s="147">
        <v>4.628571428571429</v>
      </c>
      <c r="T36" s="148">
        <v>350</v>
      </c>
      <c r="U36" s="32">
        <v>352</v>
      </c>
      <c r="V36" s="32">
        <v>180</v>
      </c>
      <c r="W36" s="32">
        <v>109</v>
      </c>
      <c r="X36" s="32">
        <v>310</v>
      </c>
      <c r="Y36" s="32">
        <v>10</v>
      </c>
      <c r="Z36" s="149">
        <v>1.3171428571428572</v>
      </c>
      <c r="AA36" s="32">
        <v>22</v>
      </c>
      <c r="AB36" s="150">
        <v>14</v>
      </c>
      <c r="AC36" s="32">
        <v>2</v>
      </c>
      <c r="AD36" s="917">
        <v>2</v>
      </c>
      <c r="AF36">
        <v>14</v>
      </c>
      <c r="AG36" s="892" t="s">
        <v>903</v>
      </c>
      <c r="AH36" s="144">
        <v>0.2292755787901419</v>
      </c>
      <c r="AI36" s="144">
        <v>0.287292817679558</v>
      </c>
      <c r="AJ36" s="144">
        <v>0.33980582524271846</v>
      </c>
      <c r="AK36" s="146">
        <v>129</v>
      </c>
      <c r="AL36" s="32">
        <v>307</v>
      </c>
      <c r="AM36" s="32">
        <v>61</v>
      </c>
      <c r="AN36" s="32">
        <v>3</v>
      </c>
      <c r="AO36" s="32">
        <v>27</v>
      </c>
      <c r="AP36" s="32">
        <v>109</v>
      </c>
      <c r="AQ36" s="32">
        <v>326</v>
      </c>
      <c r="AR36" s="146">
        <v>23</v>
      </c>
      <c r="AS36" s="32">
        <v>455</v>
      </c>
      <c r="AT36" s="899">
        <v>0.62709864292227646</v>
      </c>
      <c r="AV36">
        <v>14</v>
      </c>
      <c r="AW36" s="892" t="s">
        <v>1096</v>
      </c>
      <c r="AX36" s="147">
        <v>5.1415545674565202</v>
      </c>
      <c r="AY36" s="148">
        <v>355.34000000000003</v>
      </c>
      <c r="AZ36" s="32">
        <v>363</v>
      </c>
      <c r="BA36" s="32">
        <v>203</v>
      </c>
      <c r="BB36" s="32">
        <v>164</v>
      </c>
      <c r="BC36" s="32">
        <v>342</v>
      </c>
      <c r="BD36" s="32">
        <v>5</v>
      </c>
      <c r="BE36" s="149">
        <v>1.4830866212641411</v>
      </c>
      <c r="BF36" s="32">
        <v>16</v>
      </c>
      <c r="BG36" s="150">
        <v>7</v>
      </c>
      <c r="BH36" s="32">
        <v>1</v>
      </c>
      <c r="BI36" s="917">
        <v>1</v>
      </c>
      <c r="BK36">
        <v>14</v>
      </c>
      <c r="BL36" s="892" t="s">
        <v>1171</v>
      </c>
      <c r="BM36" s="144">
        <v>0.24273255813953487</v>
      </c>
      <c r="BN36" s="144">
        <v>0.31266490765171506</v>
      </c>
      <c r="BO36" s="144">
        <v>0.39607558139534882</v>
      </c>
      <c r="BP36" s="146">
        <v>142</v>
      </c>
      <c r="BQ36" s="32">
        <v>334</v>
      </c>
      <c r="BR36" s="32">
        <v>64</v>
      </c>
      <c r="BS36" s="32">
        <v>3</v>
      </c>
      <c r="BT36" s="32">
        <v>47</v>
      </c>
      <c r="BU36" s="32">
        <v>140</v>
      </c>
      <c r="BV36" s="32">
        <v>355</v>
      </c>
      <c r="BW36" s="146">
        <v>12</v>
      </c>
      <c r="BX36" s="32">
        <v>545</v>
      </c>
      <c r="BY36" s="899">
        <v>0.70874048904706388</v>
      </c>
      <c r="CA36">
        <v>14</v>
      </c>
      <c r="CB36" s="892" t="s">
        <v>1229</v>
      </c>
      <c r="CC36" s="147">
        <v>5.4793388429752063</v>
      </c>
      <c r="CD36" s="148">
        <v>363</v>
      </c>
      <c r="CE36" s="32">
        <v>418</v>
      </c>
      <c r="CF36" s="32">
        <v>221</v>
      </c>
      <c r="CG36" s="32">
        <v>178</v>
      </c>
      <c r="CH36" s="32">
        <v>311</v>
      </c>
      <c r="CI36" s="32">
        <v>7</v>
      </c>
      <c r="CJ36" s="149">
        <v>1.6418732782369145</v>
      </c>
      <c r="CK36" s="32">
        <v>21</v>
      </c>
      <c r="CL36" s="150">
        <v>7</v>
      </c>
      <c r="CM36" s="32">
        <v>2</v>
      </c>
      <c r="CN36" s="917">
        <v>1</v>
      </c>
    </row>
    <row r="37" spans="1:92" ht="17" thickBot="1">
      <c r="A37">
        <v>15</v>
      </c>
      <c r="B37" s="893" t="s">
        <v>1025</v>
      </c>
      <c r="C37" s="894">
        <v>0.21752041573867856</v>
      </c>
      <c r="D37" s="894">
        <v>0.28687415426251689</v>
      </c>
      <c r="E37" s="894">
        <v>0.35708982925018562</v>
      </c>
      <c r="F37" s="896">
        <v>129</v>
      </c>
      <c r="G37" s="897">
        <v>293</v>
      </c>
      <c r="H37" s="897">
        <v>54</v>
      </c>
      <c r="I37" s="897">
        <v>4</v>
      </c>
      <c r="J37" s="897">
        <v>42</v>
      </c>
      <c r="K37" s="897">
        <v>131</v>
      </c>
      <c r="L37" s="897">
        <v>404</v>
      </c>
      <c r="M37" s="896">
        <v>30</v>
      </c>
      <c r="N37" s="897">
        <v>481</v>
      </c>
      <c r="O37" s="900">
        <v>0.64396398351270245</v>
      </c>
      <c r="Q37">
        <v>15</v>
      </c>
      <c r="R37" s="893" t="s">
        <v>1229</v>
      </c>
      <c r="S37" s="912">
        <v>6.5067030996499025</v>
      </c>
      <c r="T37" s="913">
        <v>351.33</v>
      </c>
      <c r="U37" s="897">
        <v>460</v>
      </c>
      <c r="V37" s="897">
        <v>254</v>
      </c>
      <c r="W37" s="897">
        <v>145</v>
      </c>
      <c r="X37" s="897">
        <v>276</v>
      </c>
      <c r="Y37" s="897">
        <v>9</v>
      </c>
      <c r="Z37" s="914">
        <v>1.7220277232231807</v>
      </c>
      <c r="AA37" s="897">
        <v>13</v>
      </c>
      <c r="AB37" s="915">
        <v>8</v>
      </c>
      <c r="AC37" s="897">
        <v>1</v>
      </c>
      <c r="AD37" s="919">
        <v>0</v>
      </c>
      <c r="AF37">
        <v>15</v>
      </c>
      <c r="AG37" s="893" t="s">
        <v>1265</v>
      </c>
      <c r="AH37" s="894">
        <v>0.22657952069716775</v>
      </c>
      <c r="AI37" s="894">
        <v>0.28999999999999998</v>
      </c>
      <c r="AJ37" s="894">
        <v>0.36528685548293394</v>
      </c>
      <c r="AK37" s="896">
        <v>118</v>
      </c>
      <c r="AL37" s="897">
        <v>312</v>
      </c>
      <c r="AM37" s="897">
        <v>68</v>
      </c>
      <c r="AN37" s="897">
        <v>6</v>
      </c>
      <c r="AO37" s="897">
        <v>37</v>
      </c>
      <c r="AP37" s="897">
        <v>123</v>
      </c>
      <c r="AQ37" s="897">
        <v>351</v>
      </c>
      <c r="AR37" s="896">
        <v>14</v>
      </c>
      <c r="AS37" s="897">
        <v>503</v>
      </c>
      <c r="AT37" s="900">
        <v>0.65528685548293386</v>
      </c>
      <c r="AV37">
        <v>15</v>
      </c>
      <c r="AW37" s="893" t="s">
        <v>1229</v>
      </c>
      <c r="AX37" s="912">
        <v>5.2733879827600783</v>
      </c>
      <c r="AY37" s="913">
        <v>354.98999999999995</v>
      </c>
      <c r="AZ37" s="897">
        <v>400</v>
      </c>
      <c r="BA37" s="897">
        <v>208</v>
      </c>
      <c r="BB37" s="897">
        <v>134</v>
      </c>
      <c r="BC37" s="897">
        <v>270</v>
      </c>
      <c r="BD37" s="897">
        <v>5</v>
      </c>
      <c r="BE37" s="914">
        <v>1.5042677258514325</v>
      </c>
      <c r="BF37" s="897">
        <v>16</v>
      </c>
      <c r="BG37" s="915">
        <v>11</v>
      </c>
      <c r="BH37" s="897">
        <v>3</v>
      </c>
      <c r="BI37" s="919">
        <v>2</v>
      </c>
      <c r="BK37">
        <v>15</v>
      </c>
      <c r="BL37" s="893" t="s">
        <v>903</v>
      </c>
      <c r="BM37" s="894">
        <v>0.2337192474674385</v>
      </c>
      <c r="BN37" s="894">
        <v>0.29867549668874172</v>
      </c>
      <c r="BO37" s="894">
        <v>0.3581765557163531</v>
      </c>
      <c r="BP37" s="896">
        <v>136</v>
      </c>
      <c r="BQ37" s="897">
        <v>323</v>
      </c>
      <c r="BR37" s="897">
        <v>58</v>
      </c>
      <c r="BS37" s="897">
        <v>6</v>
      </c>
      <c r="BT37" s="897">
        <v>34</v>
      </c>
      <c r="BU37" s="897">
        <v>128</v>
      </c>
      <c r="BV37" s="897">
        <v>363</v>
      </c>
      <c r="BW37" s="931">
        <v>59</v>
      </c>
      <c r="BX37" s="897">
        <v>495</v>
      </c>
      <c r="BY37" s="900">
        <v>0.65685205240509481</v>
      </c>
      <c r="CA37">
        <v>15</v>
      </c>
      <c r="CB37" s="893" t="s">
        <v>1062</v>
      </c>
      <c r="CC37" s="912">
        <v>4.5252660688846067</v>
      </c>
      <c r="CD37" s="913">
        <v>357.98999999999995</v>
      </c>
      <c r="CE37" s="897">
        <v>359</v>
      </c>
      <c r="CF37" s="897">
        <v>180</v>
      </c>
      <c r="CG37" s="897">
        <v>156</v>
      </c>
      <c r="CH37" s="933">
        <v>425</v>
      </c>
      <c r="CI37" s="897">
        <v>13</v>
      </c>
      <c r="CJ37" s="914">
        <v>1.4385876700466496</v>
      </c>
      <c r="CK37" s="897">
        <v>21</v>
      </c>
      <c r="CL37" s="915">
        <v>10</v>
      </c>
      <c r="CM37" s="897">
        <v>1</v>
      </c>
      <c r="CN37" s="919">
        <v>0</v>
      </c>
    </row>
  </sheetData>
  <mergeCells count="18">
    <mergeCell ref="BL21:BY21"/>
    <mergeCell ref="CB21:CN21"/>
    <mergeCell ref="BL1:BY1"/>
    <mergeCell ref="CB1:CN1"/>
    <mergeCell ref="BL2:BY2"/>
    <mergeCell ref="CB2:CN2"/>
    <mergeCell ref="AG2:AT2"/>
    <mergeCell ref="AW2:BI2"/>
    <mergeCell ref="AG1:AT1"/>
    <mergeCell ref="AW1:BI1"/>
    <mergeCell ref="AG21:AT21"/>
    <mergeCell ref="AW21:BI21"/>
    <mergeCell ref="B1:O1"/>
    <mergeCell ref="R1:AD1"/>
    <mergeCell ref="B2:O2"/>
    <mergeCell ref="R2:AD2"/>
    <mergeCell ref="B21:O21"/>
    <mergeCell ref="R21:AD21"/>
  </mergeCells>
  <pageMargins left="0.7" right="0.7" top="0.75" bottom="0.75" header="0.3" footer="0.3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FS262"/>
  <sheetViews>
    <sheetView zoomScale="110" zoomScaleNormal="110" workbookViewId="0">
      <pane xSplit="1" ySplit="4" topLeftCell="B5" activePane="bottomRight" state="frozenSplit"/>
      <selection pane="topRight" activeCell="B1" sqref="B1"/>
      <selection pane="bottomLeft" activeCell="A5" sqref="A5"/>
      <selection pane="bottomRight" activeCell="BS60" sqref="BS60"/>
    </sheetView>
  </sheetViews>
  <sheetFormatPr baseColWidth="10" defaultRowHeight="16"/>
  <cols>
    <col min="1" max="1" width="3.6640625" style="994" customWidth="1"/>
    <col min="2" max="2" width="5.1640625" style="167" customWidth="1"/>
    <col min="3" max="3" width="13.1640625" style="167" customWidth="1"/>
    <col min="4" max="4" width="4.33203125" style="167" customWidth="1"/>
    <col min="5" max="5" width="4" style="167" customWidth="1"/>
    <col min="6" max="6" width="5" style="167" customWidth="1"/>
    <col min="7" max="7" width="4.6640625" style="186" customWidth="1"/>
    <col min="8" max="8" width="2.1640625" style="167" customWidth="1"/>
    <col min="9" max="9" width="5.1640625" style="167" customWidth="1"/>
    <col min="10" max="10" width="11.83203125" style="167" customWidth="1"/>
    <col min="11" max="11" width="4.33203125" style="167" customWidth="1"/>
    <col min="12" max="12" width="3.6640625" style="167" customWidth="1"/>
    <col min="13" max="13" width="5.1640625" style="167" customWidth="1"/>
    <col min="14" max="14" width="4.6640625" style="167" customWidth="1"/>
    <col min="15" max="15" width="2.1640625" style="167" customWidth="1"/>
    <col min="16" max="16" width="4.5" style="167" customWidth="1"/>
    <col min="17" max="17" width="11.33203125" style="167" customWidth="1"/>
    <col min="18" max="18" width="4.33203125" style="167" customWidth="1"/>
    <col min="19" max="19" width="2.83203125" style="167" customWidth="1"/>
    <col min="20" max="20" width="5.1640625" style="167" customWidth="1"/>
    <col min="21" max="21" width="4.6640625" style="167" customWidth="1"/>
    <col min="22" max="22" width="2.1640625" style="167" customWidth="1"/>
    <col min="23" max="23" width="4.5" style="167" customWidth="1"/>
    <col min="24" max="24" width="10.83203125" style="167" customWidth="1"/>
    <col min="25" max="25" width="3.83203125" style="167" customWidth="1"/>
    <col min="26" max="26" width="2" style="167" customWidth="1"/>
    <col min="27" max="28" width="4.5" style="167" customWidth="1"/>
    <col min="29" max="29" width="2.1640625" style="167" customWidth="1"/>
    <col min="30" max="30" width="4.5" style="167" customWidth="1"/>
    <col min="31" max="31" width="11.6640625" style="167" customWidth="1"/>
    <col min="32" max="32" width="4.33203125" style="167" customWidth="1"/>
    <col min="33" max="33" width="2.83203125" style="167" customWidth="1"/>
    <col min="34" max="34" width="4.5" style="167" customWidth="1"/>
    <col min="35" max="35" width="4.6640625" style="167" customWidth="1"/>
    <col min="36" max="36" width="2.1640625" style="167" customWidth="1"/>
    <col min="37" max="37" width="5" style="167" customWidth="1"/>
    <col min="38" max="38" width="12.33203125" style="167" customWidth="1"/>
    <col min="39" max="39" width="4.33203125" style="167" customWidth="1"/>
    <col min="40" max="40" width="3.6640625" style="167" customWidth="1"/>
    <col min="41" max="42" width="4.6640625" style="167" customWidth="1"/>
    <col min="43" max="43" width="2.1640625" style="167" customWidth="1"/>
    <col min="44" max="44" width="4.6640625" style="167" customWidth="1"/>
    <col min="45" max="45" width="13.6640625" style="167" customWidth="1"/>
    <col min="46" max="46" width="4" style="167" customWidth="1"/>
    <col min="47" max="47" width="4.5" style="108" customWidth="1"/>
    <col min="48" max="48" width="4.83203125" style="167" customWidth="1"/>
    <col min="49" max="49" width="2.1640625" style="167" customWidth="1"/>
    <col min="50" max="50" width="4.5" style="167" customWidth="1"/>
    <col min="51" max="51" width="13" style="167" customWidth="1"/>
    <col min="52" max="52" width="4" style="167" customWidth="1"/>
    <col min="53" max="53" width="4.5" style="167" customWidth="1"/>
    <col min="54" max="54" width="7.6640625" style="167" customWidth="1"/>
    <col min="55" max="55" width="4.83203125" style="167" customWidth="1"/>
    <col min="56" max="56" width="2.1640625" style="167" customWidth="1"/>
    <col min="57" max="57" width="4.5" style="167" customWidth="1"/>
    <col min="58" max="58" width="13.1640625" style="167" customWidth="1"/>
    <col min="59" max="59" width="4" style="167" customWidth="1"/>
    <col min="60" max="60" width="2.83203125" style="167" customWidth="1"/>
    <col min="61" max="61" width="4.5" style="167" customWidth="1"/>
    <col min="62" max="62" width="4.83203125" style="167" customWidth="1"/>
    <col min="63" max="63" width="2.1640625" style="167" customWidth="1"/>
    <col min="64" max="64" width="4.6640625" style="167" customWidth="1"/>
    <col min="65" max="65" width="11.1640625" style="167" customWidth="1"/>
    <col min="66" max="66" width="5" style="167" customWidth="1"/>
    <col min="67" max="68" width="4.6640625" style="167" customWidth="1"/>
    <col min="69" max="69" width="2.1640625" style="167" customWidth="1"/>
    <col min="70" max="70" width="5.1640625" style="167" customWidth="1"/>
    <col min="71" max="71" width="13" style="167" customWidth="1"/>
    <col min="72" max="72" width="6.5" style="167" customWidth="1"/>
    <col min="73" max="73" width="6" style="167" customWidth="1"/>
    <col min="74" max="74" width="5.1640625" style="167" customWidth="1"/>
    <col min="75" max="75" width="4.6640625" style="167" customWidth="1"/>
    <col min="76" max="76" width="2.1640625" style="167" customWidth="1"/>
    <col min="77" max="77" width="5.1640625" style="167" customWidth="1"/>
    <col min="78" max="78" width="12.6640625" style="167" customWidth="1"/>
    <col min="79" max="79" width="6.5" style="167" customWidth="1"/>
    <col min="80" max="80" width="3.6640625" style="167" customWidth="1"/>
    <col min="81" max="81" width="5" style="167" customWidth="1"/>
    <col min="82" max="82" width="4.5" style="167" customWidth="1"/>
    <col min="83" max="83" width="2.1640625" style="167" customWidth="1"/>
    <col min="84" max="84" width="5.1640625" style="167" customWidth="1"/>
    <col min="85" max="85" width="12" style="167" customWidth="1"/>
    <col min="86" max="86" width="6.5" style="167" customWidth="1"/>
    <col min="87" max="87" width="3" style="167" customWidth="1"/>
    <col min="88" max="88" width="5.1640625" style="167" customWidth="1"/>
    <col min="89" max="89" width="4.6640625" style="167" customWidth="1"/>
    <col min="90" max="90" width="2.1640625" style="167" customWidth="1"/>
    <col min="91" max="91" width="4.1640625" style="167" customWidth="1"/>
    <col min="92" max="92" width="11.6640625" style="167" customWidth="1"/>
    <col min="93" max="93" width="5.83203125" style="167" customWidth="1"/>
    <col min="94" max="94" width="2.83203125" style="167" customWidth="1"/>
    <col min="95" max="95" width="4.5" style="167" customWidth="1"/>
    <col min="96" max="96" width="4.6640625" style="167" customWidth="1"/>
    <col min="97" max="97" width="2.1640625" style="167" customWidth="1"/>
    <col min="98" max="98" width="4.5" style="167" customWidth="1"/>
    <col min="99" max="99" width="11.33203125" style="167" customWidth="1"/>
    <col min="100" max="100" width="6.5" style="167" customWidth="1"/>
    <col min="101" max="101" width="2.83203125" style="167" customWidth="1"/>
    <col min="102" max="102" width="4.5" style="167" customWidth="1"/>
    <col min="103" max="103" width="4.6640625" style="167" customWidth="1"/>
    <col min="104" max="104" width="2.1640625" style="167" customWidth="1"/>
    <col min="105" max="105" width="4.5" style="167" customWidth="1"/>
    <col min="106" max="106" width="4.33203125" style="167" customWidth="1"/>
    <col min="107" max="107" width="3.6640625" style="167" customWidth="1"/>
    <col min="108" max="108" width="5.1640625" style="167" customWidth="1"/>
    <col min="109" max="109" width="4.6640625" style="167" customWidth="1"/>
    <col min="110" max="110" width="2.1640625" style="167" customWidth="1"/>
    <col min="111" max="111" width="5" style="167" customWidth="1"/>
    <col min="112" max="112" width="4.33203125" style="167" customWidth="1"/>
    <col min="113" max="113" width="3.6640625" style="167" customWidth="1"/>
    <col min="114" max="114" width="4.5" style="167" customWidth="1"/>
    <col min="115" max="115" width="4.6640625" style="167" customWidth="1"/>
    <col min="116" max="116" width="2.1640625" style="167" customWidth="1"/>
    <col min="117" max="117" width="5" style="167" customWidth="1"/>
    <col min="118" max="118" width="4.33203125" style="167" customWidth="1"/>
    <col min="119" max="119" width="3" style="167" customWidth="1"/>
    <col min="120" max="120" width="5.1640625" style="167" customWidth="1"/>
    <col min="121" max="121" width="4.6640625" style="167" customWidth="1"/>
    <col min="122" max="122" width="2.1640625" style="167" customWidth="1"/>
    <col min="123" max="123" width="5" style="167" customWidth="1"/>
    <col min="124" max="124" width="4.33203125" style="167" customWidth="1"/>
    <col min="125" max="125" width="2.83203125" style="167" customWidth="1"/>
    <col min="126" max="126" width="4.5" style="167" customWidth="1"/>
    <col min="127" max="127" width="4.6640625" style="167" customWidth="1"/>
    <col min="128" max="128" width="2.1640625" style="167" customWidth="1"/>
    <col min="129" max="129" width="4.5" style="167" customWidth="1"/>
    <col min="130" max="130" width="6.5" style="167" customWidth="1"/>
    <col min="131" max="131" width="3.6640625" style="167" customWidth="1"/>
    <col min="132" max="132" width="5.1640625" style="167" customWidth="1"/>
    <col min="133" max="133" width="4.6640625" style="167" customWidth="1"/>
    <col min="134" max="134" width="2.1640625" style="167" customWidth="1"/>
    <col min="135" max="135" width="5.1640625" style="167" customWidth="1"/>
    <col min="136" max="136" width="6.5" style="167" customWidth="1"/>
    <col min="137" max="137" width="3.6640625" style="167" customWidth="1"/>
    <col min="138" max="138" width="4.5" style="167" customWidth="1"/>
    <col min="139" max="139" width="5.1640625" style="167" customWidth="1"/>
    <col min="140" max="140" width="2.33203125" style="167" customWidth="1"/>
    <col min="141" max="141" width="5" style="167" customWidth="1"/>
    <col min="142" max="142" width="6.5" style="167" customWidth="1"/>
    <col min="143" max="143" width="3.6640625" style="167" customWidth="1"/>
    <col min="144" max="144" width="5.1640625" style="167" customWidth="1"/>
    <col min="145" max="145" width="4.6640625" style="167" customWidth="1"/>
    <col min="146" max="146" width="2.1640625" style="167" customWidth="1"/>
    <col min="147" max="147" width="5" style="167" customWidth="1"/>
    <col min="148" max="148" width="6.5" style="167" customWidth="1"/>
    <col min="149" max="149" width="3.6640625" style="167" customWidth="1"/>
    <col min="150" max="150" width="4.5" style="167" customWidth="1"/>
    <col min="151" max="151" width="4.6640625" style="167" customWidth="1"/>
    <col min="152" max="152" width="2.1640625" style="167" customWidth="1"/>
    <col min="153" max="153" width="4.5" style="167" customWidth="1"/>
    <col min="154" max="154" width="6.5" style="167" customWidth="1"/>
    <col min="155" max="155" width="2.83203125" style="167" customWidth="1"/>
    <col min="156" max="156" width="5" style="167" customWidth="1"/>
    <col min="157" max="157" width="4.6640625" style="167" customWidth="1"/>
    <col min="158" max="158" width="2.1640625" style="167" customWidth="1"/>
    <col min="159" max="159" width="4.5" style="167" customWidth="1"/>
    <col min="160" max="160" width="6.5" style="167" customWidth="1"/>
    <col min="161" max="161" width="2.83203125" style="167" customWidth="1"/>
    <col min="162" max="162" width="5" style="167" customWidth="1"/>
    <col min="163" max="163" width="4.6640625" style="167" customWidth="1"/>
    <col min="164" max="164" width="2.1640625" style="167" customWidth="1"/>
    <col min="165" max="165" width="5.1640625" style="167" customWidth="1"/>
    <col min="166" max="166" width="6.5" style="167" customWidth="1"/>
    <col min="167" max="167" width="2.83203125" style="167" customWidth="1"/>
    <col min="168" max="168" width="5.1640625" style="167" customWidth="1"/>
    <col min="169" max="169" width="4.6640625" style="167" customWidth="1"/>
    <col min="170" max="170" width="2.1640625" style="167" customWidth="1"/>
    <col min="171" max="171" width="5" style="167" customWidth="1"/>
    <col min="172" max="172" width="6.5" style="167" customWidth="1"/>
    <col min="173" max="173" width="3.6640625" style="167" customWidth="1"/>
    <col min="174" max="174" width="5.1640625" style="167" customWidth="1"/>
    <col min="175" max="175" width="4.6640625" style="167" customWidth="1"/>
    <col min="176" max="176" width="2.83203125" customWidth="1"/>
  </cols>
  <sheetData>
    <row r="1" spans="1:175" ht="25" thickBot="1">
      <c r="A1" s="141"/>
      <c r="B1" s="1107" t="s">
        <v>1933</v>
      </c>
      <c r="C1" s="1108"/>
      <c r="D1" s="1108"/>
      <c r="E1" s="1108"/>
      <c r="F1" s="1108"/>
      <c r="G1" s="1108"/>
      <c r="H1" s="1108"/>
      <c r="I1" s="1108"/>
      <c r="J1" s="1108"/>
      <c r="K1" s="1108"/>
      <c r="L1" s="1108"/>
      <c r="M1" s="1108"/>
      <c r="N1" s="1108"/>
      <c r="O1" s="1108"/>
      <c r="P1" s="1108"/>
      <c r="Q1" s="1108"/>
      <c r="R1" s="1108"/>
      <c r="S1" s="1108"/>
      <c r="T1" s="1108"/>
      <c r="U1" s="1108"/>
      <c r="V1" s="1108"/>
      <c r="W1" s="1108"/>
      <c r="X1" s="1108"/>
      <c r="Y1" s="1108"/>
      <c r="Z1" s="1108"/>
      <c r="AA1" s="1108"/>
      <c r="AB1" s="1108"/>
      <c r="AC1" s="1108"/>
      <c r="AD1" s="1108"/>
      <c r="AE1" s="1108"/>
      <c r="AF1" s="1108"/>
      <c r="AG1" s="1108"/>
      <c r="AH1" s="1108"/>
      <c r="AI1" s="1109"/>
      <c r="AJ1" s="158"/>
      <c r="AK1" s="1110" t="s">
        <v>1933</v>
      </c>
      <c r="AL1" s="1111"/>
      <c r="AM1" s="1111"/>
      <c r="AN1" s="1111"/>
      <c r="AO1" s="1111"/>
      <c r="AP1" s="1111"/>
      <c r="AQ1" s="1111"/>
      <c r="AR1" s="1111"/>
      <c r="AS1" s="1111"/>
      <c r="AT1" s="1111"/>
      <c r="AU1" s="1111"/>
      <c r="AV1" s="1111"/>
      <c r="AW1" s="1111"/>
      <c r="AX1" s="1111"/>
      <c r="AY1" s="1111"/>
      <c r="AZ1" s="1111"/>
      <c r="BA1" s="1111"/>
      <c r="BB1" s="1111"/>
      <c r="BC1" s="1111"/>
      <c r="BD1" s="1111"/>
      <c r="BE1" s="1111"/>
      <c r="BF1" s="1111"/>
      <c r="BG1" s="1111"/>
      <c r="BH1" s="1111"/>
      <c r="BI1" s="1111"/>
      <c r="BJ1" s="1111"/>
      <c r="BK1" s="1111"/>
      <c r="BL1" s="1111"/>
      <c r="BM1" s="1111"/>
      <c r="BN1" s="1111"/>
      <c r="BO1" s="1111"/>
      <c r="BP1" s="1112"/>
      <c r="BQ1" s="159"/>
      <c r="BR1" s="1110" t="s">
        <v>1933</v>
      </c>
      <c r="BS1" s="1111"/>
      <c r="BT1" s="1111"/>
      <c r="BU1" s="1111"/>
      <c r="BV1" s="1111"/>
      <c r="BW1" s="1111"/>
      <c r="BX1" s="1111"/>
      <c r="BY1" s="1111"/>
      <c r="BZ1" s="1111"/>
      <c r="CA1" s="1111"/>
      <c r="CB1" s="1111"/>
      <c r="CC1" s="1111"/>
      <c r="CD1" s="1111"/>
      <c r="CE1" s="1111"/>
      <c r="CF1" s="1111"/>
      <c r="CG1" s="1111"/>
      <c r="CH1" s="1111"/>
      <c r="CI1" s="1111"/>
      <c r="CJ1" s="1111"/>
      <c r="CK1" s="1111"/>
      <c r="CL1" s="1111"/>
      <c r="CM1" s="1111"/>
      <c r="CN1" s="1111"/>
      <c r="CO1" s="1111"/>
      <c r="CP1" s="1111"/>
      <c r="CQ1" s="1111"/>
      <c r="CR1" s="1111"/>
      <c r="CS1" s="1111"/>
      <c r="CT1" s="1111"/>
      <c r="CU1" s="1111"/>
      <c r="CV1" s="1111"/>
      <c r="CW1" s="1111"/>
      <c r="CX1" s="1111"/>
      <c r="CY1" s="1112"/>
      <c r="CZ1" s="160"/>
      <c r="DA1" s="1110" t="s">
        <v>1933</v>
      </c>
      <c r="DB1" s="1111"/>
      <c r="DC1" s="1111"/>
      <c r="DD1" s="1111"/>
      <c r="DE1" s="1111"/>
      <c r="DF1" s="1111"/>
      <c r="DG1" s="1111"/>
      <c r="DH1" s="1111"/>
      <c r="DI1" s="1111"/>
      <c r="DJ1" s="1111"/>
      <c r="DK1" s="1111"/>
      <c r="DL1" s="1111"/>
      <c r="DM1" s="1111"/>
      <c r="DN1" s="1111"/>
      <c r="DO1" s="1111"/>
      <c r="DP1" s="1111"/>
      <c r="DQ1" s="1111"/>
      <c r="DR1" s="1111"/>
      <c r="DS1" s="1111"/>
      <c r="DT1" s="1111"/>
      <c r="DU1" s="1111"/>
      <c r="DV1" s="1111"/>
      <c r="DW1" s="1112"/>
      <c r="DX1" s="160"/>
      <c r="DY1" s="1110" t="s">
        <v>1933</v>
      </c>
      <c r="DZ1" s="1111"/>
      <c r="EA1" s="1111"/>
      <c r="EB1" s="1111"/>
      <c r="EC1" s="1111"/>
      <c r="ED1" s="1111"/>
      <c r="EE1" s="1111"/>
      <c r="EF1" s="1111"/>
      <c r="EG1" s="1111"/>
      <c r="EH1" s="1111"/>
      <c r="EI1" s="1111"/>
      <c r="EJ1" s="1111"/>
      <c r="EK1" s="1111"/>
      <c r="EL1" s="1111"/>
      <c r="EM1" s="1111"/>
      <c r="EN1" s="1111"/>
      <c r="EO1" s="1111"/>
      <c r="EP1" s="1111"/>
      <c r="EQ1" s="1111"/>
      <c r="ER1" s="1111"/>
      <c r="ES1" s="1111"/>
      <c r="ET1" s="1111"/>
      <c r="EU1" s="1112"/>
      <c r="EV1" s="159"/>
      <c r="EW1" s="1110" t="s">
        <v>1933</v>
      </c>
      <c r="EX1" s="1111"/>
      <c r="EY1" s="1111"/>
      <c r="EZ1" s="1111"/>
      <c r="FA1" s="1111"/>
      <c r="FB1" s="1111"/>
      <c r="FC1" s="1111"/>
      <c r="FD1" s="1111"/>
      <c r="FE1" s="1111"/>
      <c r="FF1" s="1111"/>
      <c r="FG1" s="1111"/>
      <c r="FH1" s="1111"/>
      <c r="FI1" s="1111"/>
      <c r="FJ1" s="1111"/>
      <c r="FK1" s="1111"/>
      <c r="FL1" s="1111"/>
      <c r="FM1" s="1111"/>
      <c r="FN1" s="1111"/>
      <c r="FO1" s="1111"/>
      <c r="FP1" s="1111"/>
      <c r="FQ1" s="1111"/>
      <c r="FR1" s="1111"/>
      <c r="FS1" s="1112"/>
    </row>
    <row r="2" spans="1:175" ht="20" thickBot="1">
      <c r="A2" s="141"/>
      <c r="B2" s="1102" t="s">
        <v>1934</v>
      </c>
      <c r="C2" s="1103"/>
      <c r="D2" s="1103"/>
      <c r="E2" s="1103"/>
      <c r="F2" s="1103"/>
      <c r="G2" s="1103"/>
      <c r="H2" s="1103"/>
      <c r="I2" s="1103"/>
      <c r="J2" s="1103"/>
      <c r="K2" s="1103"/>
      <c r="L2" s="1103"/>
      <c r="M2" s="1103"/>
      <c r="N2" s="1103"/>
      <c r="O2" s="1103"/>
      <c r="P2" s="1103"/>
      <c r="Q2" s="1103"/>
      <c r="R2" s="1103"/>
      <c r="S2" s="1103"/>
      <c r="T2" s="1103"/>
      <c r="U2" s="1103"/>
      <c r="V2" s="1103"/>
      <c r="W2" s="1103"/>
      <c r="X2" s="1103"/>
      <c r="Y2" s="1103"/>
      <c r="Z2" s="1103"/>
      <c r="AA2" s="1103"/>
      <c r="AB2" s="1103"/>
      <c r="AC2" s="1103"/>
      <c r="AD2" s="1103"/>
      <c r="AE2" s="1103"/>
      <c r="AF2" s="1103"/>
      <c r="AG2" s="1103"/>
      <c r="AH2" s="1103"/>
      <c r="AI2" s="1104"/>
      <c r="AJ2" s="161"/>
      <c r="AK2" s="1102" t="s">
        <v>1934</v>
      </c>
      <c r="AL2" s="1103"/>
      <c r="AM2" s="1103"/>
      <c r="AN2" s="1103"/>
      <c r="AO2" s="1103"/>
      <c r="AP2" s="1103"/>
      <c r="AQ2" s="1103"/>
      <c r="AR2" s="1103"/>
      <c r="AS2" s="1103"/>
      <c r="AT2" s="1103"/>
      <c r="AU2" s="1103"/>
      <c r="AV2" s="1103"/>
      <c r="AW2" s="1103"/>
      <c r="AX2" s="1103"/>
      <c r="AY2" s="1103"/>
      <c r="AZ2" s="1103"/>
      <c r="BA2" s="1103"/>
      <c r="BB2" s="1103"/>
      <c r="BC2" s="1103"/>
      <c r="BD2" s="1103"/>
      <c r="BE2" s="1103"/>
      <c r="BF2" s="1103"/>
      <c r="BG2" s="1103"/>
      <c r="BH2" s="1103"/>
      <c r="BI2" s="1103"/>
      <c r="BJ2" s="1103"/>
      <c r="BK2" s="1103"/>
      <c r="BL2" s="1103"/>
      <c r="BM2" s="1103"/>
      <c r="BN2" s="1103"/>
      <c r="BO2" s="1103"/>
      <c r="BP2" s="1104"/>
      <c r="BQ2" s="162"/>
      <c r="BR2" s="1102" t="s">
        <v>1935</v>
      </c>
      <c r="BS2" s="1103"/>
      <c r="BT2" s="1103"/>
      <c r="BU2" s="1103"/>
      <c r="BV2" s="1103"/>
      <c r="BW2" s="1103"/>
      <c r="BX2" s="1103"/>
      <c r="BY2" s="1103"/>
      <c r="BZ2" s="1103"/>
      <c r="CA2" s="1103"/>
      <c r="CB2" s="1103"/>
      <c r="CC2" s="1103"/>
      <c r="CD2" s="1103"/>
      <c r="CE2" s="1103"/>
      <c r="CF2" s="1103"/>
      <c r="CG2" s="1103"/>
      <c r="CH2" s="1103"/>
      <c r="CI2" s="1103"/>
      <c r="CJ2" s="1103"/>
      <c r="CK2" s="1103"/>
      <c r="CL2" s="1103"/>
      <c r="CM2" s="1103"/>
      <c r="CN2" s="1103"/>
      <c r="CO2" s="1103"/>
      <c r="CP2" s="1103"/>
      <c r="CQ2" s="1103"/>
      <c r="CR2" s="1103"/>
      <c r="CS2" s="1103"/>
      <c r="CT2" s="1103"/>
      <c r="CU2" s="1103"/>
      <c r="CV2" s="1103"/>
      <c r="CW2" s="1103"/>
      <c r="CX2" s="1103"/>
      <c r="CY2" s="1104"/>
      <c r="CZ2" s="118"/>
      <c r="DA2" s="1102" t="s">
        <v>1936</v>
      </c>
      <c r="DB2" s="1103"/>
      <c r="DC2" s="1103"/>
      <c r="DD2" s="1103"/>
      <c r="DE2" s="1103"/>
      <c r="DF2" s="1103"/>
      <c r="DG2" s="1103"/>
      <c r="DH2" s="1103"/>
      <c r="DI2" s="1103"/>
      <c r="DJ2" s="1103"/>
      <c r="DK2" s="1103"/>
      <c r="DL2" s="1103"/>
      <c r="DM2" s="1103"/>
      <c r="DN2" s="1103"/>
      <c r="DO2" s="1103"/>
      <c r="DP2" s="1103"/>
      <c r="DQ2" s="1103"/>
      <c r="DR2" s="1103"/>
      <c r="DS2" s="1103"/>
      <c r="DT2" s="1103"/>
      <c r="DU2" s="1103"/>
      <c r="DV2" s="1103"/>
      <c r="DW2" s="1104"/>
      <c r="DX2" s="118"/>
      <c r="DY2" s="1102" t="s">
        <v>1937</v>
      </c>
      <c r="DZ2" s="1103"/>
      <c r="EA2" s="1103"/>
      <c r="EB2" s="1103"/>
      <c r="EC2" s="1103"/>
      <c r="ED2" s="1103"/>
      <c r="EE2" s="1103"/>
      <c r="EF2" s="1103"/>
      <c r="EG2" s="1103"/>
      <c r="EH2" s="1103"/>
      <c r="EI2" s="1103"/>
      <c r="EJ2" s="1103"/>
      <c r="EK2" s="1103"/>
      <c r="EL2" s="1103"/>
      <c r="EM2" s="1103"/>
      <c r="EN2" s="1103"/>
      <c r="EO2" s="1103"/>
      <c r="EP2" s="1103"/>
      <c r="EQ2" s="1103"/>
      <c r="ER2" s="1103"/>
      <c r="ES2" s="1103"/>
      <c r="ET2" s="1103"/>
      <c r="EU2" s="1104"/>
      <c r="EV2" s="162"/>
      <c r="EW2" s="1105" t="s">
        <v>1938</v>
      </c>
      <c r="EX2" s="1106"/>
      <c r="EY2" s="1106"/>
      <c r="EZ2" s="1106"/>
      <c r="FA2" s="1106"/>
      <c r="FB2" s="1106"/>
      <c r="FC2" s="1106"/>
      <c r="FD2" s="1106"/>
      <c r="FE2" s="1106"/>
      <c r="FF2" s="1106"/>
      <c r="FG2" s="1106"/>
      <c r="FH2" s="1106"/>
      <c r="FI2" s="1103"/>
      <c r="FJ2" s="1103"/>
      <c r="FK2" s="1103"/>
      <c r="FL2" s="1103"/>
      <c r="FM2" s="1103"/>
      <c r="FN2" s="1103"/>
      <c r="FO2" s="1103"/>
      <c r="FP2" s="1103"/>
      <c r="FQ2" s="1103"/>
      <c r="FR2" s="1103"/>
      <c r="FS2" s="1104"/>
    </row>
    <row r="3" spans="1:175" ht="20" thickBot="1">
      <c r="A3" s="201"/>
      <c r="B3" s="1099" t="s">
        <v>1612</v>
      </c>
      <c r="C3" s="1100"/>
      <c r="D3" s="1100"/>
      <c r="E3" s="1100"/>
      <c r="F3" s="1100"/>
      <c r="G3" s="1101"/>
      <c r="H3"/>
      <c r="I3" s="1099" t="s">
        <v>1939</v>
      </c>
      <c r="J3" s="1100"/>
      <c r="K3" s="1100"/>
      <c r="L3" s="1100"/>
      <c r="M3" s="1100"/>
      <c r="N3" s="1101"/>
      <c r="O3"/>
      <c r="P3" s="1099" t="s">
        <v>156</v>
      </c>
      <c r="Q3" s="1100"/>
      <c r="R3" s="1100"/>
      <c r="S3" s="1100"/>
      <c r="T3" s="1100"/>
      <c r="U3" s="1101"/>
      <c r="V3"/>
      <c r="W3" s="1099" t="s">
        <v>1611</v>
      </c>
      <c r="X3" s="1100"/>
      <c r="Y3" s="1100"/>
      <c r="Z3" s="1100"/>
      <c r="AA3" s="1100"/>
      <c r="AB3" s="1101"/>
      <c r="AC3" s="163"/>
      <c r="AD3" s="1099" t="s">
        <v>159</v>
      </c>
      <c r="AE3" s="1100"/>
      <c r="AF3" s="1100"/>
      <c r="AG3" s="1100"/>
      <c r="AH3" s="1100"/>
      <c r="AI3" s="1101"/>
      <c r="AJ3" s="163"/>
      <c r="AK3" s="1099" t="s">
        <v>1660</v>
      </c>
      <c r="AL3" s="1100"/>
      <c r="AM3" s="1100"/>
      <c r="AN3" s="1100"/>
      <c r="AO3" s="1100"/>
      <c r="AP3" s="1101"/>
      <c r="AQ3" s="163"/>
      <c r="AR3" s="1099" t="s">
        <v>1940</v>
      </c>
      <c r="AS3" s="1100"/>
      <c r="AT3" s="1100"/>
      <c r="AU3" s="1100"/>
      <c r="AV3" s="1101"/>
      <c r="AW3"/>
      <c r="AX3" s="1099" t="s">
        <v>1941</v>
      </c>
      <c r="AY3" s="1100"/>
      <c r="AZ3" s="1100"/>
      <c r="BA3" s="1100"/>
      <c r="BB3" s="1100"/>
      <c r="BC3" s="1101"/>
      <c r="BD3"/>
      <c r="BE3" s="1099" t="s">
        <v>1942</v>
      </c>
      <c r="BF3" s="1100"/>
      <c r="BG3" s="1100"/>
      <c r="BH3" s="1100"/>
      <c r="BI3" s="1100"/>
      <c r="BJ3" s="1101"/>
      <c r="BK3"/>
      <c r="BL3" s="1099" t="s">
        <v>1943</v>
      </c>
      <c r="BM3" s="1100"/>
      <c r="BN3" s="1100"/>
      <c r="BO3" s="1100"/>
      <c r="BP3" s="1101"/>
      <c r="BQ3"/>
      <c r="BR3" s="1099" t="s">
        <v>1612</v>
      </c>
      <c r="BS3" s="1100"/>
      <c r="BT3" s="1100"/>
      <c r="BU3" s="1100"/>
      <c r="BV3" s="1100"/>
      <c r="BW3" s="1101"/>
      <c r="BX3"/>
      <c r="BY3" s="1099" t="s">
        <v>1939</v>
      </c>
      <c r="BZ3" s="1100"/>
      <c r="CA3" s="1100"/>
      <c r="CB3" s="1100"/>
      <c r="CC3" s="1100"/>
      <c r="CD3" s="1101"/>
      <c r="CE3"/>
      <c r="CF3" s="1099" t="s">
        <v>156</v>
      </c>
      <c r="CG3" s="1100"/>
      <c r="CH3" s="1100"/>
      <c r="CI3" s="1100"/>
      <c r="CJ3" s="1100"/>
      <c r="CK3" s="1101"/>
      <c r="CL3"/>
      <c r="CM3" s="1099" t="s">
        <v>1611</v>
      </c>
      <c r="CN3" s="1100"/>
      <c r="CO3" s="1100"/>
      <c r="CP3" s="1100"/>
      <c r="CQ3" s="1100"/>
      <c r="CR3" s="1101"/>
      <c r="CS3"/>
      <c r="CT3" s="1099" t="s">
        <v>159</v>
      </c>
      <c r="CU3" s="1100"/>
      <c r="CV3" s="1100"/>
      <c r="CW3" s="1100"/>
      <c r="CX3" s="1100"/>
      <c r="CY3" s="1101"/>
      <c r="CZ3"/>
      <c r="DA3" s="1099" t="s">
        <v>1611</v>
      </c>
      <c r="DB3" s="1100"/>
      <c r="DC3" s="1100"/>
      <c r="DD3" s="1100"/>
      <c r="DE3" s="1101"/>
      <c r="DF3"/>
      <c r="DG3" s="1099" t="s">
        <v>1612</v>
      </c>
      <c r="DH3" s="1100"/>
      <c r="DI3" s="1100"/>
      <c r="DJ3" s="1100"/>
      <c r="DK3" s="1101"/>
      <c r="DL3"/>
      <c r="DM3" s="1099" t="s">
        <v>157</v>
      </c>
      <c r="DN3" s="1100"/>
      <c r="DO3" s="1100"/>
      <c r="DP3" s="1100"/>
      <c r="DQ3" s="1101"/>
      <c r="DR3"/>
      <c r="DS3" s="1099" t="s">
        <v>1944</v>
      </c>
      <c r="DT3" s="1100"/>
      <c r="DU3" s="1100"/>
      <c r="DV3" s="1100"/>
      <c r="DW3" s="1101"/>
      <c r="DX3"/>
      <c r="DY3" s="1099" t="s">
        <v>1611</v>
      </c>
      <c r="DZ3" s="1100"/>
      <c r="EA3" s="1100"/>
      <c r="EB3" s="1100"/>
      <c r="EC3" s="1101"/>
      <c r="ED3"/>
      <c r="EE3" s="1099" t="s">
        <v>1612</v>
      </c>
      <c r="EF3" s="1100"/>
      <c r="EG3" s="1100"/>
      <c r="EH3" s="1100"/>
      <c r="EI3" s="1101"/>
      <c r="EJ3"/>
      <c r="EK3" s="1099" t="s">
        <v>157</v>
      </c>
      <c r="EL3" s="1100"/>
      <c r="EM3" s="1100"/>
      <c r="EN3" s="1100"/>
      <c r="EO3" s="1101"/>
      <c r="EP3"/>
      <c r="EQ3" s="1099" t="s">
        <v>1660</v>
      </c>
      <c r="ER3" s="1100"/>
      <c r="ES3" s="1100"/>
      <c r="ET3" s="1100"/>
      <c r="EU3" s="1101"/>
      <c r="EV3"/>
      <c r="EW3" s="1099" t="s">
        <v>1611</v>
      </c>
      <c r="EX3" s="1100"/>
      <c r="EY3" s="1100"/>
      <c r="EZ3" s="1100"/>
      <c r="FA3" s="1101"/>
      <c r="FB3"/>
      <c r="FC3" s="1099" t="s">
        <v>1612</v>
      </c>
      <c r="FD3" s="1100"/>
      <c r="FE3" s="1100"/>
      <c r="FF3" s="1100"/>
      <c r="FG3" s="1101"/>
      <c r="FH3"/>
      <c r="FI3" s="1099" t="s">
        <v>1699</v>
      </c>
      <c r="FJ3" s="1100"/>
      <c r="FK3" s="1100"/>
      <c r="FL3" s="1100"/>
      <c r="FM3" s="1101"/>
      <c r="FN3" s="164"/>
      <c r="FO3" s="1099" t="s">
        <v>1944</v>
      </c>
      <c r="FP3" s="1100"/>
      <c r="FQ3" s="1100"/>
      <c r="FR3" s="1100"/>
      <c r="FS3" s="1101"/>
    </row>
    <row r="4" spans="1:175" s="141" customFormat="1">
      <c r="B4" s="165" t="s">
        <v>1945</v>
      </c>
      <c r="C4" s="165" t="s">
        <v>1946</v>
      </c>
      <c r="D4" s="165" t="s">
        <v>1947</v>
      </c>
      <c r="E4" s="191" t="s">
        <v>164</v>
      </c>
      <c r="F4" s="191" t="s">
        <v>1948</v>
      </c>
      <c r="G4" s="165" t="s">
        <v>1949</v>
      </c>
      <c r="H4" s="192"/>
      <c r="I4" s="165" t="s">
        <v>1945</v>
      </c>
      <c r="J4" s="165" t="s">
        <v>1946</v>
      </c>
      <c r="K4" s="165" t="s">
        <v>1947</v>
      </c>
      <c r="L4" s="191" t="s">
        <v>164</v>
      </c>
      <c r="M4" s="165" t="s">
        <v>1948</v>
      </c>
      <c r="N4" s="165" t="s">
        <v>1949</v>
      </c>
      <c r="O4" s="192"/>
      <c r="P4" s="165" t="s">
        <v>1945</v>
      </c>
      <c r="Q4" s="165" t="s">
        <v>1946</v>
      </c>
      <c r="R4" s="165" t="s">
        <v>1947</v>
      </c>
      <c r="S4" s="191" t="s">
        <v>164</v>
      </c>
      <c r="T4" s="165" t="s">
        <v>1948</v>
      </c>
      <c r="U4" s="165" t="s">
        <v>1949</v>
      </c>
      <c r="V4" s="192"/>
      <c r="W4" s="165" t="s">
        <v>1945</v>
      </c>
      <c r="X4" s="165" t="s">
        <v>1946</v>
      </c>
      <c r="Y4" s="165" t="s">
        <v>1947</v>
      </c>
      <c r="Z4" s="191" t="s">
        <v>164</v>
      </c>
      <c r="AA4" s="165" t="s">
        <v>1948</v>
      </c>
      <c r="AB4" s="165" t="s">
        <v>1949</v>
      </c>
      <c r="AC4" s="192"/>
      <c r="AD4" s="165" t="s">
        <v>1945</v>
      </c>
      <c r="AE4" s="165" t="s">
        <v>1946</v>
      </c>
      <c r="AF4" s="165" t="s">
        <v>1947</v>
      </c>
      <c r="AG4" s="191" t="s">
        <v>164</v>
      </c>
      <c r="AH4" s="165" t="s">
        <v>1948</v>
      </c>
      <c r="AI4" s="165" t="s">
        <v>1949</v>
      </c>
      <c r="AJ4" s="192"/>
      <c r="AK4" s="165" t="s">
        <v>1945</v>
      </c>
      <c r="AL4" s="165" t="s">
        <v>1946</v>
      </c>
      <c r="AM4" s="165" t="s">
        <v>1947</v>
      </c>
      <c r="AN4" s="165" t="s">
        <v>164</v>
      </c>
      <c r="AO4" s="165" t="s">
        <v>1948</v>
      </c>
      <c r="AP4" s="165" t="s">
        <v>1949</v>
      </c>
      <c r="AQ4" s="192"/>
      <c r="AR4" s="165" t="s">
        <v>1945</v>
      </c>
      <c r="AS4" s="165" t="s">
        <v>1946</v>
      </c>
      <c r="AT4" s="165" t="s">
        <v>1947</v>
      </c>
      <c r="AU4" s="479" t="s">
        <v>1948</v>
      </c>
      <c r="AV4" s="165" t="s">
        <v>1949</v>
      </c>
      <c r="AW4" s="192"/>
      <c r="AX4" s="165" t="s">
        <v>1945</v>
      </c>
      <c r="AY4" s="165" t="s">
        <v>1946</v>
      </c>
      <c r="AZ4" s="165" t="s">
        <v>1947</v>
      </c>
      <c r="BA4" s="165" t="s">
        <v>1948</v>
      </c>
      <c r="BB4" s="165" t="s">
        <v>1950</v>
      </c>
      <c r="BC4" s="185" t="s">
        <v>1949</v>
      </c>
      <c r="BD4" s="193"/>
      <c r="BE4" s="165" t="s">
        <v>1945</v>
      </c>
      <c r="BF4" s="165" t="s">
        <v>1946</v>
      </c>
      <c r="BG4" s="165" t="s">
        <v>1947</v>
      </c>
      <c r="BH4" s="165" t="s">
        <v>1951</v>
      </c>
      <c r="BI4" s="165" t="s">
        <v>1948</v>
      </c>
      <c r="BJ4" s="185" t="s">
        <v>1949</v>
      </c>
      <c r="BK4" s="193"/>
      <c r="BL4" s="165" t="s">
        <v>1945</v>
      </c>
      <c r="BM4" s="165" t="s">
        <v>1946</v>
      </c>
      <c r="BN4" s="165" t="s">
        <v>1947</v>
      </c>
      <c r="BO4" s="165" t="s">
        <v>1948</v>
      </c>
      <c r="BP4" s="165" t="s">
        <v>1949</v>
      </c>
      <c r="BQ4" s="192"/>
      <c r="BR4" s="165" t="s">
        <v>1945</v>
      </c>
      <c r="BS4" s="165" t="s">
        <v>1946</v>
      </c>
      <c r="BT4" s="165" t="s">
        <v>1947</v>
      </c>
      <c r="BU4" s="165" t="s">
        <v>164</v>
      </c>
      <c r="BV4" s="165" t="s">
        <v>1948</v>
      </c>
      <c r="BW4" s="185" t="s">
        <v>1949</v>
      </c>
      <c r="BX4" s="193"/>
      <c r="BY4" s="185" t="s">
        <v>1945</v>
      </c>
      <c r="BZ4" s="194" t="s">
        <v>1946</v>
      </c>
      <c r="CA4" s="165" t="s">
        <v>1947</v>
      </c>
      <c r="CB4" s="165" t="s">
        <v>164</v>
      </c>
      <c r="CC4" s="165" t="s">
        <v>1948</v>
      </c>
      <c r="CD4" s="185" t="s">
        <v>1949</v>
      </c>
      <c r="CE4" s="193"/>
      <c r="CF4" s="185" t="s">
        <v>1945</v>
      </c>
      <c r="CG4" s="194" t="s">
        <v>1946</v>
      </c>
      <c r="CH4" s="165" t="s">
        <v>1947</v>
      </c>
      <c r="CI4" s="165" t="s">
        <v>164</v>
      </c>
      <c r="CJ4" s="165" t="s">
        <v>1948</v>
      </c>
      <c r="CK4" s="185" t="s">
        <v>1949</v>
      </c>
      <c r="CL4" s="193"/>
      <c r="CM4" s="185" t="s">
        <v>1945</v>
      </c>
      <c r="CN4" s="194" t="s">
        <v>1946</v>
      </c>
      <c r="CO4" s="165" t="s">
        <v>1947</v>
      </c>
      <c r="CP4" s="165" t="s">
        <v>164</v>
      </c>
      <c r="CQ4" s="165" t="s">
        <v>1948</v>
      </c>
      <c r="CR4" s="185" t="s">
        <v>1949</v>
      </c>
      <c r="CS4" s="193"/>
      <c r="CT4" s="185" t="s">
        <v>1945</v>
      </c>
      <c r="CU4" s="194" t="s">
        <v>1946</v>
      </c>
      <c r="CV4" s="165" t="s">
        <v>1947</v>
      </c>
      <c r="CW4" s="165" t="s">
        <v>164</v>
      </c>
      <c r="CX4" s="165" t="s">
        <v>1948</v>
      </c>
      <c r="CY4" s="185" t="s">
        <v>1949</v>
      </c>
      <c r="CZ4" s="193"/>
      <c r="DA4" s="185" t="s">
        <v>1945</v>
      </c>
      <c r="DB4" s="195" t="s">
        <v>1947</v>
      </c>
      <c r="DC4" s="165" t="s">
        <v>164</v>
      </c>
      <c r="DD4" s="165" t="s">
        <v>1948</v>
      </c>
      <c r="DE4" s="185" t="s">
        <v>1949</v>
      </c>
      <c r="DF4" s="193"/>
      <c r="DG4" s="185" t="s">
        <v>1945</v>
      </c>
      <c r="DH4" s="195" t="s">
        <v>1947</v>
      </c>
      <c r="DI4" s="165" t="s">
        <v>164</v>
      </c>
      <c r="DJ4" s="196" t="s">
        <v>1948</v>
      </c>
      <c r="DK4" s="185" t="s">
        <v>1949</v>
      </c>
      <c r="DL4" s="193"/>
      <c r="DM4" s="185" t="s">
        <v>1945</v>
      </c>
      <c r="DN4" s="195" t="s">
        <v>1947</v>
      </c>
      <c r="DO4" s="165" t="s">
        <v>164</v>
      </c>
      <c r="DP4" s="165" t="s">
        <v>1948</v>
      </c>
      <c r="DQ4" s="185" t="s">
        <v>1949</v>
      </c>
      <c r="DR4" s="193"/>
      <c r="DS4" s="185" t="s">
        <v>1945</v>
      </c>
      <c r="DT4" s="195" t="s">
        <v>1947</v>
      </c>
      <c r="DU4" s="165" t="s">
        <v>164</v>
      </c>
      <c r="DV4" s="165" t="s">
        <v>1948</v>
      </c>
      <c r="DW4" s="185" t="s">
        <v>1949</v>
      </c>
      <c r="DX4" s="193"/>
      <c r="DY4" s="185" t="s">
        <v>1945</v>
      </c>
      <c r="DZ4" s="195" t="s">
        <v>1947</v>
      </c>
      <c r="EA4" s="165" t="s">
        <v>164</v>
      </c>
      <c r="EB4" s="165" t="s">
        <v>1948</v>
      </c>
      <c r="EC4" s="185" t="s">
        <v>1949</v>
      </c>
      <c r="ED4" s="193"/>
      <c r="EE4" s="185" t="s">
        <v>1945</v>
      </c>
      <c r="EF4" s="195" t="s">
        <v>1947</v>
      </c>
      <c r="EG4" s="165" t="s">
        <v>164</v>
      </c>
      <c r="EH4" s="165" t="s">
        <v>1948</v>
      </c>
      <c r="EI4" s="185" t="s">
        <v>1949</v>
      </c>
      <c r="EJ4" s="193"/>
      <c r="EK4" s="185" t="s">
        <v>1945</v>
      </c>
      <c r="EL4" s="194" t="s">
        <v>1947</v>
      </c>
      <c r="EM4" s="197" t="s">
        <v>164</v>
      </c>
      <c r="EN4" s="185" t="s">
        <v>1948</v>
      </c>
      <c r="EO4" s="185" t="s">
        <v>1949</v>
      </c>
      <c r="EP4" s="198"/>
      <c r="EQ4" s="185" t="s">
        <v>1945</v>
      </c>
      <c r="ER4" s="185" t="s">
        <v>1947</v>
      </c>
      <c r="ES4" s="185" t="s">
        <v>164</v>
      </c>
      <c r="ET4" s="185" t="s">
        <v>1948</v>
      </c>
      <c r="EU4" s="185" t="s">
        <v>1949</v>
      </c>
      <c r="EV4" s="198"/>
      <c r="EW4" s="185" t="s">
        <v>1945</v>
      </c>
      <c r="EX4" s="185" t="s">
        <v>1947</v>
      </c>
      <c r="EY4" s="185" t="s">
        <v>164</v>
      </c>
      <c r="EZ4" s="185" t="s">
        <v>1948</v>
      </c>
      <c r="FA4" s="185" t="s">
        <v>1949</v>
      </c>
      <c r="FB4" s="193"/>
      <c r="FC4" s="185" t="s">
        <v>1945</v>
      </c>
      <c r="FD4" s="195" t="s">
        <v>1947</v>
      </c>
      <c r="FE4" s="165" t="s">
        <v>164</v>
      </c>
      <c r="FF4" s="165" t="s">
        <v>1948</v>
      </c>
      <c r="FG4" s="185" t="s">
        <v>1949</v>
      </c>
      <c r="FH4" s="193"/>
      <c r="FI4" s="185" t="s">
        <v>1945</v>
      </c>
      <c r="FJ4" s="195" t="s">
        <v>1947</v>
      </c>
      <c r="FK4" s="165" t="s">
        <v>164</v>
      </c>
      <c r="FL4" s="165" t="s">
        <v>1948</v>
      </c>
      <c r="FM4" s="185" t="s">
        <v>1949</v>
      </c>
      <c r="FN4" s="193"/>
      <c r="FO4" s="185" t="s">
        <v>1945</v>
      </c>
      <c r="FP4" s="195" t="s">
        <v>1947</v>
      </c>
      <c r="FQ4" s="165" t="s">
        <v>164</v>
      </c>
      <c r="FR4" s="165" t="s">
        <v>1948</v>
      </c>
      <c r="FS4" s="165" t="s">
        <v>1949</v>
      </c>
    </row>
    <row r="5" spans="1:175" s="450" customFormat="1">
      <c r="A5" s="995">
        <v>1</v>
      </c>
      <c r="B5" s="442" t="s">
        <v>300</v>
      </c>
      <c r="C5" s="443" t="s">
        <v>1636</v>
      </c>
      <c r="D5" s="443" t="s">
        <v>1952</v>
      </c>
      <c r="E5" s="444" t="s">
        <v>1953</v>
      </c>
      <c r="F5" s="443" t="s">
        <v>650</v>
      </c>
      <c r="G5" s="444" t="s">
        <v>1954</v>
      </c>
      <c r="H5" s="443"/>
      <c r="I5" s="445" t="s">
        <v>990</v>
      </c>
      <c r="J5" s="443" t="s">
        <v>1330</v>
      </c>
      <c r="K5" s="443" t="s">
        <v>1955</v>
      </c>
      <c r="L5" s="443">
        <v>16</v>
      </c>
      <c r="M5" s="443" t="s">
        <v>804</v>
      </c>
      <c r="N5" s="443">
        <v>2023</v>
      </c>
      <c r="O5" s="443"/>
      <c r="P5" s="443" t="s">
        <v>770</v>
      </c>
      <c r="Q5" s="443" t="s">
        <v>1551</v>
      </c>
      <c r="R5" s="443" t="s">
        <v>1956</v>
      </c>
      <c r="S5" s="445">
        <v>9</v>
      </c>
      <c r="T5" s="445" t="s">
        <v>685</v>
      </c>
      <c r="U5" s="445">
        <v>2024</v>
      </c>
      <c r="V5" s="443"/>
      <c r="W5" s="445" t="s">
        <v>611</v>
      </c>
      <c r="X5" s="445" t="s">
        <v>1385</v>
      </c>
      <c r="Y5" s="445" t="s">
        <v>1956</v>
      </c>
      <c r="Z5" s="446" t="s">
        <v>36</v>
      </c>
      <c r="AA5" s="445" t="s">
        <v>685</v>
      </c>
      <c r="AB5" s="445">
        <v>2024</v>
      </c>
      <c r="AC5" s="443"/>
      <c r="AD5" s="443" t="s">
        <v>903</v>
      </c>
      <c r="AE5" s="443" t="s">
        <v>2183</v>
      </c>
      <c r="AF5" s="443" t="s">
        <v>1957</v>
      </c>
      <c r="AG5" s="445">
        <v>5</v>
      </c>
      <c r="AH5" s="445" t="s">
        <v>1200</v>
      </c>
      <c r="AI5" s="445">
        <v>2022</v>
      </c>
      <c r="AJ5" s="443"/>
      <c r="AK5" s="445" t="s">
        <v>804</v>
      </c>
      <c r="AL5" s="445" t="s">
        <v>1337</v>
      </c>
      <c r="AM5" s="445" t="s">
        <v>1958</v>
      </c>
      <c r="AN5" s="445">
        <v>20</v>
      </c>
      <c r="AO5" s="443" t="s">
        <v>990</v>
      </c>
      <c r="AP5" s="445">
        <v>2022</v>
      </c>
      <c r="AQ5" s="443"/>
      <c r="AR5" s="472" t="s">
        <v>429</v>
      </c>
      <c r="AS5" s="472" t="s">
        <v>1641</v>
      </c>
      <c r="AT5" s="472" t="s">
        <v>1959</v>
      </c>
      <c r="AU5" s="480" t="s">
        <v>463</v>
      </c>
      <c r="AV5" s="472">
        <v>2022</v>
      </c>
      <c r="AW5" s="443"/>
      <c r="AX5" s="443" t="s">
        <v>835</v>
      </c>
      <c r="AY5" s="443" t="s">
        <v>1590</v>
      </c>
      <c r="AZ5" s="443" t="s">
        <v>1960</v>
      </c>
      <c r="BA5" s="443" t="s">
        <v>1096</v>
      </c>
      <c r="BB5" s="443" t="s">
        <v>1961</v>
      </c>
      <c r="BC5" s="447">
        <v>2022</v>
      </c>
      <c r="BD5" s="442"/>
      <c r="BE5" s="443" t="s">
        <v>580</v>
      </c>
      <c r="BF5" s="445" t="s">
        <v>1327</v>
      </c>
      <c r="BG5" s="445" t="s">
        <v>1958</v>
      </c>
      <c r="BH5" s="445">
        <v>1</v>
      </c>
      <c r="BI5" s="445" t="s">
        <v>611</v>
      </c>
      <c r="BJ5" s="448">
        <v>2022</v>
      </c>
      <c r="BK5" s="442"/>
      <c r="BL5" s="443" t="s">
        <v>394</v>
      </c>
      <c r="BM5" s="443" t="s">
        <v>1400</v>
      </c>
      <c r="BN5" s="443" t="s">
        <v>1956</v>
      </c>
      <c r="BO5" s="443" t="s">
        <v>463</v>
      </c>
      <c r="BP5" s="443">
        <v>2023</v>
      </c>
      <c r="BQ5" s="443"/>
      <c r="BR5" s="443" t="s">
        <v>611</v>
      </c>
      <c r="BS5" s="443" t="s">
        <v>1385</v>
      </c>
      <c r="BT5" s="443" t="s">
        <v>1962</v>
      </c>
      <c r="BU5" s="444" t="s">
        <v>1963</v>
      </c>
      <c r="BV5" s="443" t="s">
        <v>685</v>
      </c>
      <c r="BW5" s="447">
        <v>2024</v>
      </c>
      <c r="BX5" s="442"/>
      <c r="BY5" s="447" t="s">
        <v>835</v>
      </c>
      <c r="BZ5" s="442" t="s">
        <v>1510</v>
      </c>
      <c r="CA5" s="443" t="s">
        <v>1962</v>
      </c>
      <c r="CB5" s="444" t="s">
        <v>1964</v>
      </c>
      <c r="CC5" s="443" t="s">
        <v>903</v>
      </c>
      <c r="CD5" s="447">
        <v>2023</v>
      </c>
      <c r="CE5" s="442"/>
      <c r="CF5" s="447" t="s">
        <v>770</v>
      </c>
      <c r="CG5" s="442" t="s">
        <v>1332</v>
      </c>
      <c r="CH5" s="443" t="s">
        <v>1965</v>
      </c>
      <c r="CI5" s="443">
        <v>10</v>
      </c>
      <c r="CJ5" s="445" t="s">
        <v>835</v>
      </c>
      <c r="CK5" s="448">
        <v>2022</v>
      </c>
      <c r="CL5" s="442"/>
      <c r="CM5" s="447" t="s">
        <v>611</v>
      </c>
      <c r="CN5" s="442" t="s">
        <v>1385</v>
      </c>
      <c r="CO5" s="443" t="s">
        <v>1966</v>
      </c>
      <c r="CP5" s="445">
        <v>7</v>
      </c>
      <c r="CQ5" s="445" t="s">
        <v>429</v>
      </c>
      <c r="CR5" s="448">
        <v>2022</v>
      </c>
      <c r="CS5" s="442"/>
      <c r="CT5" s="448" t="s">
        <v>869</v>
      </c>
      <c r="CU5" s="449" t="s">
        <v>1486</v>
      </c>
      <c r="CV5" s="445" t="s">
        <v>1962</v>
      </c>
      <c r="CW5" s="445">
        <v>6</v>
      </c>
      <c r="CX5" s="445" t="s">
        <v>1062</v>
      </c>
      <c r="CY5" s="448">
        <v>2022</v>
      </c>
      <c r="CZ5" s="442"/>
      <c r="DA5" s="447" t="s">
        <v>266</v>
      </c>
      <c r="DB5" s="442" t="s">
        <v>1967</v>
      </c>
      <c r="DC5" s="445">
        <v>18</v>
      </c>
      <c r="DD5" s="445" t="s">
        <v>580</v>
      </c>
      <c r="DE5" s="448">
        <v>2022</v>
      </c>
      <c r="DF5" s="442"/>
      <c r="DG5" s="448" t="s">
        <v>226</v>
      </c>
      <c r="DH5" s="449" t="s">
        <v>1968</v>
      </c>
      <c r="DI5" s="445">
        <v>22</v>
      </c>
      <c r="DJ5" s="445" t="s">
        <v>300</v>
      </c>
      <c r="DK5" s="448">
        <v>2023</v>
      </c>
      <c r="DL5" s="442"/>
      <c r="DM5" s="447" t="s">
        <v>226</v>
      </c>
      <c r="DN5" s="442" t="s">
        <v>1969</v>
      </c>
      <c r="DO5" s="445">
        <v>12</v>
      </c>
      <c r="DP5" s="445" t="s">
        <v>502</v>
      </c>
      <c r="DQ5" s="448">
        <v>2022</v>
      </c>
      <c r="DR5" s="442"/>
      <c r="DS5" s="448" t="s">
        <v>1265</v>
      </c>
      <c r="DT5" s="449" t="s">
        <v>1970</v>
      </c>
      <c r="DU5" s="445">
        <v>1</v>
      </c>
      <c r="DV5" s="445" t="s">
        <v>650</v>
      </c>
      <c r="DW5" s="448">
        <v>2022</v>
      </c>
      <c r="DX5" s="442"/>
      <c r="DY5" s="448" t="s">
        <v>226</v>
      </c>
      <c r="DZ5" s="449" t="s">
        <v>1962</v>
      </c>
      <c r="EA5" s="445">
        <v>28</v>
      </c>
      <c r="EB5" s="445" t="s">
        <v>502</v>
      </c>
      <c r="EC5" s="448">
        <v>2024</v>
      </c>
      <c r="ED5" s="442"/>
      <c r="EE5" s="448" t="s">
        <v>903</v>
      </c>
      <c r="EF5" s="448" t="s">
        <v>1971</v>
      </c>
      <c r="EG5" s="448">
        <v>37</v>
      </c>
      <c r="EH5" s="448" t="s">
        <v>1025</v>
      </c>
      <c r="EI5" s="448">
        <v>2024</v>
      </c>
      <c r="EJ5" s="447"/>
      <c r="EK5" s="447" t="s">
        <v>226</v>
      </c>
      <c r="EL5" s="442" t="s">
        <v>1962</v>
      </c>
      <c r="EM5" s="445">
        <v>17</v>
      </c>
      <c r="EN5" s="445" t="s">
        <v>502</v>
      </c>
      <c r="EO5" s="448">
        <v>2024</v>
      </c>
      <c r="EP5" s="442"/>
      <c r="EQ5" s="448" t="s">
        <v>1062</v>
      </c>
      <c r="ER5" s="449" t="s">
        <v>1966</v>
      </c>
      <c r="ES5" s="445">
        <v>6</v>
      </c>
      <c r="ET5" s="445" t="s">
        <v>1229</v>
      </c>
      <c r="EU5" s="448">
        <v>2022</v>
      </c>
      <c r="EV5" s="442"/>
      <c r="EW5" s="448" t="s">
        <v>611</v>
      </c>
      <c r="EX5" s="449" t="s">
        <v>1972</v>
      </c>
      <c r="EY5" s="445">
        <v>0</v>
      </c>
      <c r="EZ5" s="445" t="s">
        <v>463</v>
      </c>
      <c r="FA5" s="448">
        <v>2022</v>
      </c>
      <c r="FB5" s="442"/>
      <c r="FC5" s="448" t="s">
        <v>580</v>
      </c>
      <c r="FD5" s="449" t="s">
        <v>1973</v>
      </c>
      <c r="FE5" s="445">
        <v>4</v>
      </c>
      <c r="FF5" s="445" t="s">
        <v>611</v>
      </c>
      <c r="FG5" s="448">
        <v>2022</v>
      </c>
      <c r="FH5" s="442"/>
      <c r="FI5" s="447" t="s">
        <v>1062</v>
      </c>
      <c r="FJ5" s="442" t="s">
        <v>1973</v>
      </c>
      <c r="FK5" s="443">
        <v>0</v>
      </c>
      <c r="FL5" s="443" t="s">
        <v>1096</v>
      </c>
      <c r="FM5" s="447">
        <v>2023</v>
      </c>
      <c r="FN5" s="442"/>
      <c r="FO5" s="448" t="s">
        <v>804</v>
      </c>
      <c r="FP5" s="449" t="s">
        <v>1973</v>
      </c>
      <c r="FQ5" s="445">
        <v>34</v>
      </c>
      <c r="FR5" s="445" t="s">
        <v>990</v>
      </c>
      <c r="FS5" s="445">
        <v>2022</v>
      </c>
    </row>
    <row r="6" spans="1:175">
      <c r="A6" s="995">
        <v>2</v>
      </c>
      <c r="B6" s="442" t="s">
        <v>1096</v>
      </c>
      <c r="C6" s="443" t="s">
        <v>1508</v>
      </c>
      <c r="D6" s="447" t="s">
        <v>1968</v>
      </c>
      <c r="E6" s="444" t="s">
        <v>1953</v>
      </c>
      <c r="F6" s="443" t="s">
        <v>1025</v>
      </c>
      <c r="G6" s="455" t="s">
        <v>1974</v>
      </c>
      <c r="H6" s="171"/>
      <c r="I6" s="168" t="s">
        <v>463</v>
      </c>
      <c r="J6" s="168" t="s">
        <v>1557</v>
      </c>
      <c r="K6" s="168" t="s">
        <v>1975</v>
      </c>
      <c r="L6" s="168">
        <v>14</v>
      </c>
      <c r="M6" s="168" t="s">
        <v>717</v>
      </c>
      <c r="N6" s="168">
        <v>2023</v>
      </c>
      <c r="O6" s="168"/>
      <c r="P6" s="168" t="s">
        <v>770</v>
      </c>
      <c r="Q6" s="168" t="s">
        <v>1332</v>
      </c>
      <c r="R6" s="168" t="s">
        <v>1976</v>
      </c>
      <c r="S6" s="168">
        <v>8</v>
      </c>
      <c r="T6" s="168" t="s">
        <v>835</v>
      </c>
      <c r="U6" s="171">
        <v>2022</v>
      </c>
      <c r="V6" s="171"/>
      <c r="W6" s="171" t="s">
        <v>1265</v>
      </c>
      <c r="X6" s="171" t="s">
        <v>1326</v>
      </c>
      <c r="Y6" s="171" t="s">
        <v>1977</v>
      </c>
      <c r="Z6" s="171">
        <v>5</v>
      </c>
      <c r="AA6" s="171" t="s">
        <v>1200</v>
      </c>
      <c r="AB6" s="171">
        <v>2024</v>
      </c>
      <c r="AC6" s="171"/>
      <c r="AD6" s="447" t="s">
        <v>266</v>
      </c>
      <c r="AE6" s="447" t="s">
        <v>1466</v>
      </c>
      <c r="AF6" s="447" t="s">
        <v>1952</v>
      </c>
      <c r="AG6" s="447">
        <v>5</v>
      </c>
      <c r="AH6" s="447" t="s">
        <v>580</v>
      </c>
      <c r="AI6" s="447">
        <v>2024</v>
      </c>
      <c r="AJ6" s="171"/>
      <c r="AK6" s="171" t="s">
        <v>226</v>
      </c>
      <c r="AL6" s="171" t="s">
        <v>1353</v>
      </c>
      <c r="AM6" s="171" t="s">
        <v>1978</v>
      </c>
      <c r="AN6" s="171">
        <v>18</v>
      </c>
      <c r="AO6" s="171" t="s">
        <v>717</v>
      </c>
      <c r="AP6" s="171">
        <v>2024</v>
      </c>
      <c r="AQ6" s="171"/>
      <c r="AR6" s="168" t="s">
        <v>266</v>
      </c>
      <c r="AS6" s="168" t="s">
        <v>1515</v>
      </c>
      <c r="AT6" s="168" t="s">
        <v>1970</v>
      </c>
      <c r="AU6" s="176" t="s">
        <v>394</v>
      </c>
      <c r="AV6" s="168">
        <v>2022</v>
      </c>
      <c r="AW6" s="168"/>
      <c r="AX6" s="443" t="s">
        <v>835</v>
      </c>
      <c r="AY6" s="443" t="s">
        <v>1979</v>
      </c>
      <c r="AZ6" s="443" t="s">
        <v>1980</v>
      </c>
      <c r="BA6" s="443" t="s">
        <v>226</v>
      </c>
      <c r="BB6" s="443" t="s">
        <v>1961</v>
      </c>
      <c r="BC6" s="447">
        <v>2022</v>
      </c>
      <c r="BE6" s="443" t="s">
        <v>903</v>
      </c>
      <c r="BF6" s="443" t="s">
        <v>1695</v>
      </c>
      <c r="BG6" s="443" t="s">
        <v>1959</v>
      </c>
      <c r="BH6" s="443">
        <v>1</v>
      </c>
      <c r="BI6" s="443" t="s">
        <v>804</v>
      </c>
      <c r="BJ6" s="443">
        <v>2024</v>
      </c>
      <c r="BK6" s="168"/>
      <c r="BL6" s="447" t="s">
        <v>685</v>
      </c>
      <c r="BM6" s="447" t="s">
        <v>1344</v>
      </c>
      <c r="BN6" s="447" t="s">
        <v>1981</v>
      </c>
      <c r="BO6" s="447" t="s">
        <v>580</v>
      </c>
      <c r="BP6" s="447">
        <v>2024</v>
      </c>
      <c r="BQ6" s="171"/>
      <c r="BR6" s="168" t="s">
        <v>1025</v>
      </c>
      <c r="BS6" s="168" t="s">
        <v>1982</v>
      </c>
      <c r="BT6" s="171" t="s">
        <v>1972</v>
      </c>
      <c r="BU6" s="457" t="s">
        <v>1983</v>
      </c>
      <c r="BV6" s="168" t="s">
        <v>1265</v>
      </c>
      <c r="BW6" s="168">
        <v>2023</v>
      </c>
      <c r="BX6" s="171"/>
      <c r="BY6" s="171" t="s">
        <v>1025</v>
      </c>
      <c r="BZ6" s="167" t="s">
        <v>1361</v>
      </c>
      <c r="CA6" s="168" t="s">
        <v>1965</v>
      </c>
      <c r="CB6" s="168">
        <v>17</v>
      </c>
      <c r="CC6" s="168" t="s">
        <v>1062</v>
      </c>
      <c r="CD6" s="171">
        <v>2023</v>
      </c>
      <c r="CF6" s="171" t="s">
        <v>611</v>
      </c>
      <c r="CG6" s="171" t="s">
        <v>1551</v>
      </c>
      <c r="CH6" s="171" t="s">
        <v>1962</v>
      </c>
      <c r="CI6" s="171">
        <v>9</v>
      </c>
      <c r="CJ6" s="171" t="s">
        <v>685</v>
      </c>
      <c r="CK6" s="171">
        <v>2024</v>
      </c>
      <c r="CL6" s="171"/>
      <c r="CM6" s="171" t="s">
        <v>835</v>
      </c>
      <c r="CN6" s="167" t="s">
        <v>1510</v>
      </c>
      <c r="CO6" s="168" t="s">
        <v>1962</v>
      </c>
      <c r="CP6" s="168">
        <v>6</v>
      </c>
      <c r="CQ6" s="168" t="s">
        <v>903</v>
      </c>
      <c r="CR6" s="171">
        <v>2023</v>
      </c>
      <c r="CT6" s="171" t="s">
        <v>903</v>
      </c>
      <c r="CU6" s="167" t="s">
        <v>2183</v>
      </c>
      <c r="CV6" s="168" t="s">
        <v>1984</v>
      </c>
      <c r="CW6" s="168">
        <v>5</v>
      </c>
      <c r="CX6" s="168" t="s">
        <v>1200</v>
      </c>
      <c r="CY6" s="171">
        <v>2022</v>
      </c>
      <c r="DA6" s="447" t="s">
        <v>266</v>
      </c>
      <c r="DB6" s="442" t="s">
        <v>1985</v>
      </c>
      <c r="DC6" s="443">
        <v>18</v>
      </c>
      <c r="DD6" s="443" t="s">
        <v>165</v>
      </c>
      <c r="DE6" s="447">
        <v>2022</v>
      </c>
      <c r="DG6" s="171" t="s">
        <v>394</v>
      </c>
      <c r="DH6" s="167" t="s">
        <v>1986</v>
      </c>
      <c r="DI6" s="168">
        <v>22</v>
      </c>
      <c r="DJ6" s="168" t="s">
        <v>226</v>
      </c>
      <c r="DK6" s="171">
        <v>2023</v>
      </c>
      <c r="DM6" s="171" t="s">
        <v>1025</v>
      </c>
      <c r="DN6" s="167" t="s">
        <v>1987</v>
      </c>
      <c r="DO6" s="168">
        <v>12</v>
      </c>
      <c r="DP6" s="168" t="s">
        <v>835</v>
      </c>
      <c r="DQ6" s="171">
        <v>2023</v>
      </c>
      <c r="DS6" s="171" t="s">
        <v>165</v>
      </c>
      <c r="DT6" s="167" t="s">
        <v>1970</v>
      </c>
      <c r="DU6" s="168">
        <v>1</v>
      </c>
      <c r="DV6" s="168" t="s">
        <v>161</v>
      </c>
      <c r="DW6" s="171">
        <v>2022</v>
      </c>
      <c r="DY6" s="171" t="s">
        <v>611</v>
      </c>
      <c r="DZ6" s="171" t="s">
        <v>1966</v>
      </c>
      <c r="EA6" s="171">
        <v>24</v>
      </c>
      <c r="EB6" s="171" t="s">
        <v>429</v>
      </c>
      <c r="EC6" s="171">
        <v>2022</v>
      </c>
      <c r="ED6" s="171"/>
      <c r="EE6" s="458" t="s">
        <v>429</v>
      </c>
      <c r="EF6" s="476" t="s">
        <v>1988</v>
      </c>
      <c r="EG6" s="473">
        <v>36</v>
      </c>
      <c r="EH6" s="473" t="s">
        <v>463</v>
      </c>
      <c r="EI6" s="458">
        <v>2022</v>
      </c>
      <c r="EK6" s="168" t="s">
        <v>1265</v>
      </c>
      <c r="EL6" s="168" t="s">
        <v>1988</v>
      </c>
      <c r="EM6" s="168">
        <v>16</v>
      </c>
      <c r="EN6" s="168" t="s">
        <v>1139</v>
      </c>
      <c r="EO6" s="168">
        <v>2022</v>
      </c>
      <c r="EP6" s="171"/>
      <c r="EQ6" s="171" t="s">
        <v>580</v>
      </c>
      <c r="ER6" s="167" t="s">
        <v>1989</v>
      </c>
      <c r="ES6" s="168">
        <v>6</v>
      </c>
      <c r="ET6" s="168" t="s">
        <v>650</v>
      </c>
      <c r="EU6" s="171">
        <v>2022</v>
      </c>
      <c r="EW6" s="171" t="s">
        <v>1171</v>
      </c>
      <c r="EX6" s="167" t="s">
        <v>1971</v>
      </c>
      <c r="EY6" s="168">
        <v>0</v>
      </c>
      <c r="EZ6" s="168" t="s">
        <v>903</v>
      </c>
      <c r="FA6" s="171">
        <v>2022</v>
      </c>
      <c r="FC6" s="171" t="s">
        <v>869</v>
      </c>
      <c r="FD6" s="167" t="s">
        <v>1990</v>
      </c>
      <c r="FE6" s="168">
        <v>4</v>
      </c>
      <c r="FF6" s="168" t="s">
        <v>1096</v>
      </c>
      <c r="FG6" s="171">
        <v>2022</v>
      </c>
      <c r="FI6" s="171" t="s">
        <v>650</v>
      </c>
      <c r="FJ6" s="167" t="s">
        <v>1991</v>
      </c>
      <c r="FK6" s="168">
        <v>0</v>
      </c>
      <c r="FL6" s="168" t="s">
        <v>1265</v>
      </c>
      <c r="FM6" s="171">
        <v>2023</v>
      </c>
      <c r="FO6" s="171" t="s">
        <v>1062</v>
      </c>
      <c r="FP6" s="167" t="s">
        <v>1966</v>
      </c>
      <c r="FQ6" s="168">
        <v>29</v>
      </c>
      <c r="FR6" s="168" t="s">
        <v>1229</v>
      </c>
      <c r="FS6" s="171">
        <v>2022</v>
      </c>
    </row>
    <row r="7" spans="1:175" ht="17" thickBot="1">
      <c r="A7" s="995">
        <v>3</v>
      </c>
      <c r="B7" s="442" t="s">
        <v>611</v>
      </c>
      <c r="C7" s="443" t="s">
        <v>1385</v>
      </c>
      <c r="D7" s="447" t="s">
        <v>1956</v>
      </c>
      <c r="E7" s="444" t="s">
        <v>1953</v>
      </c>
      <c r="F7" s="443" t="s">
        <v>685</v>
      </c>
      <c r="G7" s="455" t="s">
        <v>1974</v>
      </c>
      <c r="H7" s="171"/>
      <c r="I7" s="168" t="s">
        <v>835</v>
      </c>
      <c r="J7" s="168" t="s">
        <v>1510</v>
      </c>
      <c r="K7" s="168" t="s">
        <v>1956</v>
      </c>
      <c r="L7" s="168">
        <v>13</v>
      </c>
      <c r="M7" s="168" t="s">
        <v>903</v>
      </c>
      <c r="N7" s="168">
        <v>2023</v>
      </c>
      <c r="O7" s="168"/>
      <c r="P7" s="168" t="s">
        <v>952</v>
      </c>
      <c r="Q7" s="168" t="s">
        <v>1316</v>
      </c>
      <c r="R7" s="168" t="s">
        <v>1992</v>
      </c>
      <c r="S7" s="168">
        <v>8</v>
      </c>
      <c r="T7" s="168" t="s">
        <v>835</v>
      </c>
      <c r="U7" s="171">
        <v>2024</v>
      </c>
      <c r="V7" s="171"/>
      <c r="W7" s="171" t="s">
        <v>685</v>
      </c>
      <c r="X7" s="171" t="s">
        <v>1340</v>
      </c>
      <c r="Y7" s="171" t="s">
        <v>1986</v>
      </c>
      <c r="Z7" s="171">
        <v>4</v>
      </c>
      <c r="AA7" s="171" t="s">
        <v>539</v>
      </c>
      <c r="AB7" s="171">
        <v>2022</v>
      </c>
      <c r="AC7" s="168"/>
      <c r="AD7" s="168" t="s">
        <v>1062</v>
      </c>
      <c r="AE7" s="168" t="s">
        <v>1516</v>
      </c>
      <c r="AF7" s="168" t="s">
        <v>1969</v>
      </c>
      <c r="AG7" s="168">
        <v>4</v>
      </c>
      <c r="AH7" s="168" t="s">
        <v>429</v>
      </c>
      <c r="AI7" s="168">
        <v>2022</v>
      </c>
      <c r="AJ7" s="168"/>
      <c r="AK7" s="171" t="s">
        <v>804</v>
      </c>
      <c r="AL7" s="171" t="s">
        <v>1337</v>
      </c>
      <c r="AM7" s="171" t="s">
        <v>1993</v>
      </c>
      <c r="AN7" s="171">
        <v>17</v>
      </c>
      <c r="AO7" s="171" t="s">
        <v>869</v>
      </c>
      <c r="AP7" s="171">
        <v>2024</v>
      </c>
      <c r="AQ7" s="171"/>
      <c r="AR7" s="168" t="s">
        <v>804</v>
      </c>
      <c r="AS7" s="168" t="s">
        <v>1477</v>
      </c>
      <c r="AT7" s="168" t="s">
        <v>1970</v>
      </c>
      <c r="AU7" s="176" t="s">
        <v>903</v>
      </c>
      <c r="AV7" s="168">
        <v>2022</v>
      </c>
      <c r="AW7" s="168"/>
      <c r="AX7" s="477" t="s">
        <v>770</v>
      </c>
      <c r="AY7" s="477" t="s">
        <v>1542</v>
      </c>
      <c r="AZ7" s="477" t="s">
        <v>1994</v>
      </c>
      <c r="BA7" s="477" t="s">
        <v>1062</v>
      </c>
      <c r="BB7" s="477" t="s">
        <v>1961</v>
      </c>
      <c r="BC7" s="447">
        <v>2022</v>
      </c>
      <c r="BE7" s="168" t="s">
        <v>339</v>
      </c>
      <c r="BF7" s="168" t="s">
        <v>1323</v>
      </c>
      <c r="BG7" s="168" t="s">
        <v>1995</v>
      </c>
      <c r="BH7" s="168">
        <v>2</v>
      </c>
      <c r="BI7" s="168" t="s">
        <v>300</v>
      </c>
      <c r="BJ7" s="171">
        <v>2023</v>
      </c>
      <c r="BR7" s="168" t="s">
        <v>835</v>
      </c>
      <c r="BS7" s="168" t="s">
        <v>1510</v>
      </c>
      <c r="BT7" s="168" t="s">
        <v>1962</v>
      </c>
      <c r="BU7" s="169" t="s">
        <v>1996</v>
      </c>
      <c r="BV7" s="168" t="s">
        <v>903</v>
      </c>
      <c r="BW7" s="171">
        <v>2023</v>
      </c>
      <c r="BY7" s="171" t="s">
        <v>539</v>
      </c>
      <c r="BZ7" s="171" t="s">
        <v>1536</v>
      </c>
      <c r="CA7" s="171" t="s">
        <v>1962</v>
      </c>
      <c r="CB7" s="171">
        <v>17</v>
      </c>
      <c r="CC7" s="171" t="s">
        <v>463</v>
      </c>
      <c r="CD7" s="171">
        <v>2024</v>
      </c>
      <c r="CE7" s="171"/>
      <c r="CF7" s="171" t="s">
        <v>165</v>
      </c>
      <c r="CG7" s="167" t="s">
        <v>1341</v>
      </c>
      <c r="CH7" s="168" t="s">
        <v>1988</v>
      </c>
      <c r="CI7" s="168">
        <v>8</v>
      </c>
      <c r="CJ7" s="168" t="s">
        <v>300</v>
      </c>
      <c r="CK7" s="171">
        <v>2022</v>
      </c>
      <c r="CM7" s="168" t="s">
        <v>611</v>
      </c>
      <c r="CN7" s="168" t="s">
        <v>1385</v>
      </c>
      <c r="CO7" s="168" t="s">
        <v>1962</v>
      </c>
      <c r="CP7" s="168">
        <v>6</v>
      </c>
      <c r="CQ7" s="168" t="s">
        <v>685</v>
      </c>
      <c r="CR7" s="168">
        <v>2024</v>
      </c>
      <c r="CS7" s="171"/>
      <c r="CT7" s="171" t="s">
        <v>903</v>
      </c>
      <c r="CU7" s="167" t="s">
        <v>1529</v>
      </c>
      <c r="CV7" s="168" t="s">
        <v>1990</v>
      </c>
      <c r="CW7" s="168">
        <v>5</v>
      </c>
      <c r="CX7" s="168" t="s">
        <v>1229</v>
      </c>
      <c r="CY7" s="171">
        <v>2022</v>
      </c>
      <c r="DA7" s="447" t="s">
        <v>611</v>
      </c>
      <c r="DB7" s="447" t="s">
        <v>1956</v>
      </c>
      <c r="DC7" s="447">
        <v>18</v>
      </c>
      <c r="DD7" s="447" t="s">
        <v>685</v>
      </c>
      <c r="DE7" s="447">
        <v>2024</v>
      </c>
      <c r="DF7" s="171"/>
      <c r="DG7" s="167" t="s">
        <v>611</v>
      </c>
      <c r="DH7" s="171" t="s">
        <v>1956</v>
      </c>
      <c r="DI7" s="171">
        <v>22</v>
      </c>
      <c r="DJ7" s="171" t="s">
        <v>685</v>
      </c>
      <c r="DK7" s="171">
        <v>2024</v>
      </c>
      <c r="DL7" s="171"/>
      <c r="DM7" s="171" t="s">
        <v>226</v>
      </c>
      <c r="DN7" s="171" t="s">
        <v>1992</v>
      </c>
      <c r="DO7" s="171">
        <v>12</v>
      </c>
      <c r="DP7" s="171" t="s">
        <v>502</v>
      </c>
      <c r="DQ7" s="171">
        <v>2024</v>
      </c>
      <c r="DR7" s="171"/>
      <c r="DS7" s="171" t="s">
        <v>804</v>
      </c>
      <c r="DT7" s="167" t="s">
        <v>1997</v>
      </c>
      <c r="DU7" s="168">
        <v>1</v>
      </c>
      <c r="DV7" s="168" t="s">
        <v>1229</v>
      </c>
      <c r="DW7" s="171">
        <v>2023</v>
      </c>
      <c r="DY7" s="171" t="s">
        <v>1229</v>
      </c>
      <c r="DZ7" s="167" t="s">
        <v>1965</v>
      </c>
      <c r="EA7" s="168">
        <v>24</v>
      </c>
      <c r="EB7" s="168" t="s">
        <v>1265</v>
      </c>
      <c r="EC7" s="171">
        <v>2022</v>
      </c>
      <c r="EE7" s="171" t="s">
        <v>1229</v>
      </c>
      <c r="EF7" s="167" t="s">
        <v>1965</v>
      </c>
      <c r="EG7" s="168">
        <v>34</v>
      </c>
      <c r="EH7" s="168" t="s">
        <v>1265</v>
      </c>
      <c r="EI7" s="171">
        <v>2022</v>
      </c>
      <c r="EK7" s="173" t="s">
        <v>685</v>
      </c>
      <c r="EL7" s="174" t="s">
        <v>1998</v>
      </c>
      <c r="EM7" s="175">
        <v>16</v>
      </c>
      <c r="EN7" s="175" t="s">
        <v>226</v>
      </c>
      <c r="EO7" s="171">
        <v>2022</v>
      </c>
      <c r="EQ7" s="171" t="s">
        <v>804</v>
      </c>
      <c r="ER7" s="167" t="s">
        <v>1999</v>
      </c>
      <c r="ES7" s="168">
        <v>6</v>
      </c>
      <c r="ET7" s="168" t="s">
        <v>1229</v>
      </c>
      <c r="EU7" s="171">
        <v>2023</v>
      </c>
      <c r="EW7" s="171" t="s">
        <v>1200</v>
      </c>
      <c r="EX7" s="167" t="s">
        <v>1991</v>
      </c>
      <c r="EY7" s="168">
        <v>0</v>
      </c>
      <c r="EZ7" s="168" t="s">
        <v>1171</v>
      </c>
      <c r="FA7" s="171">
        <v>2023</v>
      </c>
      <c r="FC7" s="171" t="s">
        <v>1139</v>
      </c>
      <c r="FD7" s="167" t="s">
        <v>1999</v>
      </c>
      <c r="FE7" s="168">
        <v>5</v>
      </c>
      <c r="FF7" s="168" t="s">
        <v>835</v>
      </c>
      <c r="FG7" s="171">
        <v>2022</v>
      </c>
      <c r="FI7" s="171" t="s">
        <v>165</v>
      </c>
      <c r="FJ7" s="167" t="s">
        <v>2000</v>
      </c>
      <c r="FK7" s="168">
        <v>0</v>
      </c>
      <c r="FL7" s="168" t="s">
        <v>650</v>
      </c>
      <c r="FM7" s="171">
        <v>2023</v>
      </c>
      <c r="FO7" s="171" t="s">
        <v>539</v>
      </c>
      <c r="FP7" s="167" t="s">
        <v>2001</v>
      </c>
      <c r="FQ7" s="168">
        <v>29</v>
      </c>
      <c r="FR7" s="168" t="s">
        <v>266</v>
      </c>
      <c r="FS7" s="171">
        <v>2022</v>
      </c>
    </row>
    <row r="8" spans="1:175" ht="17" thickBot="1">
      <c r="A8" s="995">
        <v>4</v>
      </c>
      <c r="B8" s="167" t="s">
        <v>1229</v>
      </c>
      <c r="C8" s="168" t="s">
        <v>1426</v>
      </c>
      <c r="D8" s="168" t="s">
        <v>1992</v>
      </c>
      <c r="E8" s="169" t="s">
        <v>41</v>
      </c>
      <c r="F8" s="169" t="s">
        <v>1139</v>
      </c>
      <c r="G8" s="168">
        <v>2022</v>
      </c>
      <c r="H8" s="168"/>
      <c r="I8" s="168" t="s">
        <v>685</v>
      </c>
      <c r="J8" s="168" t="s">
        <v>2002</v>
      </c>
      <c r="K8" s="168" t="s">
        <v>1978</v>
      </c>
      <c r="L8" s="168">
        <v>12</v>
      </c>
      <c r="M8" s="168" t="s">
        <v>463</v>
      </c>
      <c r="N8" s="168">
        <v>2022</v>
      </c>
      <c r="O8" s="168"/>
      <c r="P8" s="171" t="s">
        <v>539</v>
      </c>
      <c r="Q8" s="171" t="s">
        <v>1536</v>
      </c>
      <c r="R8" s="171" t="s">
        <v>2003</v>
      </c>
      <c r="S8" s="171">
        <v>8</v>
      </c>
      <c r="T8" s="171" t="s">
        <v>685</v>
      </c>
      <c r="U8" s="171">
        <v>2024</v>
      </c>
      <c r="V8" s="171"/>
      <c r="W8" s="168" t="s">
        <v>1139</v>
      </c>
      <c r="X8" s="168" t="s">
        <v>1499</v>
      </c>
      <c r="Y8" s="168" t="s">
        <v>2004</v>
      </c>
      <c r="Z8" s="168">
        <v>4</v>
      </c>
      <c r="AA8" s="168" t="s">
        <v>990</v>
      </c>
      <c r="AB8" s="168">
        <v>2022</v>
      </c>
      <c r="AC8" s="168"/>
      <c r="AD8" s="168" t="s">
        <v>717</v>
      </c>
      <c r="AE8" s="168" t="s">
        <v>1517</v>
      </c>
      <c r="AF8" s="168" t="s">
        <v>2005</v>
      </c>
      <c r="AG8" s="168">
        <v>4</v>
      </c>
      <c r="AH8" s="168" t="s">
        <v>1139</v>
      </c>
      <c r="AI8" s="168">
        <v>2022</v>
      </c>
      <c r="AJ8" s="168"/>
      <c r="AK8" s="168" t="s">
        <v>835</v>
      </c>
      <c r="AL8" s="168" t="s">
        <v>1883</v>
      </c>
      <c r="AM8" s="168" t="s">
        <v>2006</v>
      </c>
      <c r="AN8" s="168">
        <v>16</v>
      </c>
      <c r="AO8" s="168" t="s">
        <v>1025</v>
      </c>
      <c r="AP8" s="168">
        <v>2022</v>
      </c>
      <c r="AQ8" s="168"/>
      <c r="AR8" s="168" t="s">
        <v>2007</v>
      </c>
      <c r="AS8" s="168" t="s">
        <v>1499</v>
      </c>
      <c r="AT8" s="168" t="s">
        <v>1970</v>
      </c>
      <c r="AU8" s="176" t="s">
        <v>1200</v>
      </c>
      <c r="AV8" s="168">
        <v>2022</v>
      </c>
      <c r="AW8" s="168"/>
      <c r="AX8" s="168" t="s">
        <v>580</v>
      </c>
      <c r="AY8" s="168" t="s">
        <v>1476</v>
      </c>
      <c r="AZ8" s="168" t="s">
        <v>1958</v>
      </c>
      <c r="BA8" s="168" t="s">
        <v>611</v>
      </c>
      <c r="BB8" s="168" t="s">
        <v>2008</v>
      </c>
      <c r="BC8" s="171">
        <v>2022</v>
      </c>
      <c r="BE8" s="168" t="s">
        <v>1171</v>
      </c>
      <c r="BF8" s="168" t="s">
        <v>1328</v>
      </c>
      <c r="BG8" s="168" t="s">
        <v>1993</v>
      </c>
      <c r="BH8" s="168">
        <v>2</v>
      </c>
      <c r="BI8" s="168" t="s">
        <v>1229</v>
      </c>
      <c r="BJ8" s="171">
        <v>2023</v>
      </c>
      <c r="BL8" s="1099" t="s">
        <v>2009</v>
      </c>
      <c r="BM8" s="1100"/>
      <c r="BN8" s="1100"/>
      <c r="BO8" s="1100"/>
      <c r="BP8" s="1101"/>
      <c r="BQ8" s="171"/>
      <c r="BR8" s="168" t="s">
        <v>300</v>
      </c>
      <c r="BS8" s="168" t="s">
        <v>1636</v>
      </c>
      <c r="BT8" s="168" t="s">
        <v>1990</v>
      </c>
      <c r="BU8" s="169" t="s">
        <v>1996</v>
      </c>
      <c r="BV8" s="168" t="s">
        <v>650</v>
      </c>
      <c r="BW8" s="171">
        <v>2023</v>
      </c>
      <c r="BX8" s="171"/>
      <c r="BY8" s="171" t="s">
        <v>226</v>
      </c>
      <c r="BZ8" s="171" t="s">
        <v>1374</v>
      </c>
      <c r="CA8" s="171" t="s">
        <v>2001</v>
      </c>
      <c r="CB8" s="171">
        <v>17</v>
      </c>
      <c r="CC8" s="171" t="s">
        <v>835</v>
      </c>
      <c r="CD8" s="171">
        <v>2024</v>
      </c>
      <c r="CE8" s="171"/>
      <c r="CF8" s="171" t="s">
        <v>770</v>
      </c>
      <c r="CG8" s="167" t="s">
        <v>1332</v>
      </c>
      <c r="CH8" s="168" t="s">
        <v>1989</v>
      </c>
      <c r="CI8" s="168">
        <v>8</v>
      </c>
      <c r="CJ8" s="168" t="s">
        <v>869</v>
      </c>
      <c r="CK8" s="171">
        <v>2022</v>
      </c>
      <c r="CM8" s="171" t="s">
        <v>1265</v>
      </c>
      <c r="CN8" s="171" t="s">
        <v>1326</v>
      </c>
      <c r="CO8" s="171" t="s">
        <v>2010</v>
      </c>
      <c r="CP8" s="171">
        <v>6</v>
      </c>
      <c r="CQ8" s="171" t="s">
        <v>1200</v>
      </c>
      <c r="CR8" s="171">
        <v>2024</v>
      </c>
      <c r="CS8" s="171"/>
      <c r="CT8" s="171" t="s">
        <v>835</v>
      </c>
      <c r="CU8" s="167" t="s">
        <v>1816</v>
      </c>
      <c r="CV8" s="168" t="s">
        <v>2011</v>
      </c>
      <c r="CW8" s="168">
        <v>5</v>
      </c>
      <c r="CX8" s="168" t="s">
        <v>770</v>
      </c>
      <c r="CY8" s="171">
        <v>2023</v>
      </c>
      <c r="DA8" s="171" t="s">
        <v>429</v>
      </c>
      <c r="DB8" s="167" t="s">
        <v>1956</v>
      </c>
      <c r="DC8" s="168">
        <v>17</v>
      </c>
      <c r="DD8" s="168" t="s">
        <v>300</v>
      </c>
      <c r="DE8" s="171">
        <v>2022</v>
      </c>
      <c r="DG8" s="171" t="s">
        <v>429</v>
      </c>
      <c r="DH8" s="167" t="s">
        <v>1987</v>
      </c>
      <c r="DI8" s="168">
        <v>21</v>
      </c>
      <c r="DJ8" s="168" t="s">
        <v>339</v>
      </c>
      <c r="DK8" s="171">
        <v>2022</v>
      </c>
      <c r="DM8" s="171" t="s">
        <v>770</v>
      </c>
      <c r="DN8" s="167" t="s">
        <v>1967</v>
      </c>
      <c r="DO8" s="168">
        <v>11</v>
      </c>
      <c r="DP8" s="168" t="s">
        <v>1200</v>
      </c>
      <c r="DQ8" s="171">
        <v>2022</v>
      </c>
      <c r="DS8" s="171" t="s">
        <v>1200</v>
      </c>
      <c r="DT8" s="167" t="s">
        <v>1997</v>
      </c>
      <c r="DU8" s="168">
        <v>1</v>
      </c>
      <c r="DV8" s="168" t="s">
        <v>990</v>
      </c>
      <c r="DW8" s="171">
        <v>2023</v>
      </c>
      <c r="DY8" s="171" t="s">
        <v>429</v>
      </c>
      <c r="DZ8" s="167" t="s">
        <v>1962</v>
      </c>
      <c r="EA8" s="168">
        <v>24</v>
      </c>
      <c r="EB8" s="168" t="s">
        <v>502</v>
      </c>
      <c r="EC8" s="171">
        <v>2023</v>
      </c>
      <c r="EE8" s="171" t="s">
        <v>539</v>
      </c>
      <c r="EF8" s="167" t="s">
        <v>2012</v>
      </c>
      <c r="EG8" s="168">
        <v>34</v>
      </c>
      <c r="EH8" s="168" t="s">
        <v>463</v>
      </c>
      <c r="EI8" s="171">
        <v>2023</v>
      </c>
      <c r="EK8" s="171" t="s">
        <v>1265</v>
      </c>
      <c r="EL8" s="167" t="s">
        <v>1965</v>
      </c>
      <c r="EM8" s="168">
        <v>15</v>
      </c>
      <c r="EN8" s="168" t="s">
        <v>1229</v>
      </c>
      <c r="EO8" s="171">
        <v>2022</v>
      </c>
      <c r="EQ8" s="171" t="s">
        <v>685</v>
      </c>
      <c r="ER8" s="167" t="s">
        <v>2013</v>
      </c>
      <c r="ES8" s="168">
        <v>8</v>
      </c>
      <c r="ET8" s="168" t="s">
        <v>300</v>
      </c>
      <c r="EU8" s="171">
        <v>2022</v>
      </c>
      <c r="EW8" s="171" t="s">
        <v>1200</v>
      </c>
      <c r="EX8" s="167" t="s">
        <v>1990</v>
      </c>
      <c r="EY8" s="168">
        <v>0</v>
      </c>
      <c r="EZ8" s="168" t="s">
        <v>952</v>
      </c>
      <c r="FA8" s="171">
        <v>2023</v>
      </c>
      <c r="FC8" s="171" t="s">
        <v>835</v>
      </c>
      <c r="FD8" s="167" t="s">
        <v>1962</v>
      </c>
      <c r="FE8" s="168">
        <v>6</v>
      </c>
      <c r="FF8" s="168" t="s">
        <v>903</v>
      </c>
      <c r="FG8" s="171">
        <v>2022</v>
      </c>
      <c r="FI8" s="171" t="s">
        <v>429</v>
      </c>
      <c r="FJ8" s="167" t="s">
        <v>2012</v>
      </c>
      <c r="FK8" s="168">
        <v>1</v>
      </c>
      <c r="FL8" s="168" t="s">
        <v>2014</v>
      </c>
      <c r="FM8" s="171">
        <v>2022</v>
      </c>
      <c r="FO8" s="171" t="s">
        <v>339</v>
      </c>
      <c r="FP8" s="167" t="s">
        <v>2001</v>
      </c>
      <c r="FQ8" s="168">
        <v>29</v>
      </c>
      <c r="FR8" s="168" t="s">
        <v>717</v>
      </c>
      <c r="FS8" s="171">
        <v>2022</v>
      </c>
    </row>
    <row r="9" spans="1:175">
      <c r="A9" s="995">
        <v>5</v>
      </c>
      <c r="B9" s="167" t="s">
        <v>580</v>
      </c>
      <c r="C9" s="168" t="s">
        <v>1325</v>
      </c>
      <c r="D9" s="168" t="s">
        <v>2015</v>
      </c>
      <c r="E9" s="169" t="s">
        <v>41</v>
      </c>
      <c r="F9" s="169" t="s">
        <v>611</v>
      </c>
      <c r="G9" s="168">
        <v>2022</v>
      </c>
      <c r="H9" s="168"/>
      <c r="I9" s="168" t="s">
        <v>429</v>
      </c>
      <c r="J9" s="168" t="s">
        <v>2016</v>
      </c>
      <c r="K9" s="168" t="s">
        <v>2017</v>
      </c>
      <c r="L9" s="168">
        <v>12</v>
      </c>
      <c r="M9" s="168" t="s">
        <v>463</v>
      </c>
      <c r="N9" s="168">
        <v>2022</v>
      </c>
      <c r="O9" s="168"/>
      <c r="P9" s="168" t="s">
        <v>429</v>
      </c>
      <c r="Q9" s="168" t="s">
        <v>1352</v>
      </c>
      <c r="R9" s="168" t="s">
        <v>1977</v>
      </c>
      <c r="S9" s="168">
        <v>7</v>
      </c>
      <c r="T9" s="168" t="s">
        <v>266</v>
      </c>
      <c r="U9" s="168">
        <v>2022</v>
      </c>
      <c r="V9" s="168"/>
      <c r="W9" s="168" t="s">
        <v>611</v>
      </c>
      <c r="X9" s="168" t="s">
        <v>1385</v>
      </c>
      <c r="Y9" s="168" t="s">
        <v>2006</v>
      </c>
      <c r="Z9" s="168">
        <v>4</v>
      </c>
      <c r="AA9" s="168" t="s">
        <v>429</v>
      </c>
      <c r="AB9" s="168">
        <v>2022</v>
      </c>
      <c r="AC9" s="168"/>
      <c r="AD9" s="176" t="s">
        <v>869</v>
      </c>
      <c r="AE9" s="176" t="s">
        <v>1486</v>
      </c>
      <c r="AF9" s="176" t="s">
        <v>1992</v>
      </c>
      <c r="AG9" s="169">
        <v>3</v>
      </c>
      <c r="AH9" s="176" t="s">
        <v>1062</v>
      </c>
      <c r="AI9" s="168">
        <v>2022</v>
      </c>
      <c r="AJ9" s="168"/>
      <c r="AK9" s="168" t="s">
        <v>394</v>
      </c>
      <c r="AL9" s="168" t="s">
        <v>1359</v>
      </c>
      <c r="AM9" s="168" t="s">
        <v>1968</v>
      </c>
      <c r="AN9" s="168">
        <v>16</v>
      </c>
      <c r="AO9" s="168" t="s">
        <v>165</v>
      </c>
      <c r="AP9" s="168">
        <v>2023</v>
      </c>
      <c r="AQ9" s="171"/>
      <c r="AR9" s="168" t="s">
        <v>226</v>
      </c>
      <c r="AS9" s="168" t="s">
        <v>1592</v>
      </c>
      <c r="AT9" s="168" t="s">
        <v>1960</v>
      </c>
      <c r="AU9" s="176" t="s">
        <v>463</v>
      </c>
      <c r="AV9" s="168">
        <v>2022</v>
      </c>
      <c r="AW9" s="168"/>
      <c r="AX9" s="168" t="s">
        <v>300</v>
      </c>
      <c r="AY9" s="168" t="s">
        <v>1591</v>
      </c>
      <c r="AZ9" s="168" t="s">
        <v>1959</v>
      </c>
      <c r="BA9" s="168" t="s">
        <v>339</v>
      </c>
      <c r="BB9" s="168" t="s">
        <v>2008</v>
      </c>
      <c r="BC9" s="171">
        <v>2022</v>
      </c>
      <c r="BE9" s="171" t="s">
        <v>580</v>
      </c>
      <c r="BF9" s="171" t="s">
        <v>1327</v>
      </c>
      <c r="BG9" s="171" t="s">
        <v>2018</v>
      </c>
      <c r="BH9" s="171">
        <v>2</v>
      </c>
      <c r="BI9" s="171" t="s">
        <v>685</v>
      </c>
      <c r="BJ9" s="171">
        <v>2024</v>
      </c>
      <c r="BK9" s="168"/>
      <c r="BL9" s="165" t="s">
        <v>1945</v>
      </c>
      <c r="BM9" s="165" t="s">
        <v>1946</v>
      </c>
      <c r="BN9" s="165" t="s">
        <v>1947</v>
      </c>
      <c r="BO9" s="165" t="s">
        <v>1948</v>
      </c>
      <c r="BP9" s="165" t="s">
        <v>1949</v>
      </c>
      <c r="BR9" s="168" t="s">
        <v>539</v>
      </c>
      <c r="BS9" s="168" t="s">
        <v>1536</v>
      </c>
      <c r="BT9" s="171" t="s">
        <v>1962</v>
      </c>
      <c r="BU9" s="169" t="s">
        <v>1996</v>
      </c>
      <c r="BV9" s="168" t="s">
        <v>463</v>
      </c>
      <c r="BW9" s="168">
        <v>2024</v>
      </c>
      <c r="BX9" s="171"/>
      <c r="BY9" s="173" t="s">
        <v>685</v>
      </c>
      <c r="BZ9" s="174" t="s">
        <v>1581</v>
      </c>
      <c r="CA9" s="175" t="s">
        <v>2019</v>
      </c>
      <c r="CB9" s="175">
        <v>16</v>
      </c>
      <c r="CC9" s="175" t="s">
        <v>165</v>
      </c>
      <c r="CD9" s="171">
        <v>2022</v>
      </c>
      <c r="CF9" s="171" t="s">
        <v>835</v>
      </c>
      <c r="CG9" s="167" t="s">
        <v>1510</v>
      </c>
      <c r="CH9" s="168" t="s">
        <v>1962</v>
      </c>
      <c r="CI9" s="168">
        <v>8</v>
      </c>
      <c r="CJ9" s="168" t="s">
        <v>903</v>
      </c>
      <c r="CK9" s="171">
        <v>2023</v>
      </c>
      <c r="CM9" s="171" t="s">
        <v>804</v>
      </c>
      <c r="CN9" s="167" t="s">
        <v>1565</v>
      </c>
      <c r="CO9" s="168" t="s">
        <v>2012</v>
      </c>
      <c r="CP9" s="169">
        <v>5</v>
      </c>
      <c r="CQ9" s="168" t="s">
        <v>903</v>
      </c>
      <c r="CR9" s="171">
        <v>2022</v>
      </c>
      <c r="CT9" s="171" t="s">
        <v>266</v>
      </c>
      <c r="CU9" s="171" t="s">
        <v>1466</v>
      </c>
      <c r="CV9" s="171" t="s">
        <v>1990</v>
      </c>
      <c r="CW9" s="171">
        <v>5</v>
      </c>
      <c r="CX9" s="171" t="s">
        <v>580</v>
      </c>
      <c r="CY9" s="171">
        <v>2024</v>
      </c>
      <c r="CZ9" s="171"/>
      <c r="DA9" s="171" t="s">
        <v>226</v>
      </c>
      <c r="DB9" s="167" t="s">
        <v>1969</v>
      </c>
      <c r="DC9" s="168">
        <v>17</v>
      </c>
      <c r="DD9" s="168" t="s">
        <v>502</v>
      </c>
      <c r="DE9" s="171">
        <v>2022</v>
      </c>
      <c r="DG9" s="171" t="s">
        <v>266</v>
      </c>
      <c r="DH9" s="167" t="s">
        <v>1967</v>
      </c>
      <c r="DI9" s="168">
        <v>21</v>
      </c>
      <c r="DJ9" s="168" t="s">
        <v>580</v>
      </c>
      <c r="DK9" s="171">
        <v>2022</v>
      </c>
      <c r="DM9" s="171" t="s">
        <v>1171</v>
      </c>
      <c r="DN9" s="167" t="s">
        <v>1995</v>
      </c>
      <c r="DO9" s="168">
        <v>11</v>
      </c>
      <c r="DP9" s="168" t="s">
        <v>1265</v>
      </c>
      <c r="DQ9" s="171">
        <v>2022</v>
      </c>
      <c r="DS9" s="171" t="s">
        <v>835</v>
      </c>
      <c r="DT9" s="167" t="s">
        <v>1957</v>
      </c>
      <c r="DU9" s="168">
        <v>2</v>
      </c>
      <c r="DV9" s="168" t="s">
        <v>226</v>
      </c>
      <c r="DW9" s="171">
        <v>2022</v>
      </c>
      <c r="DY9" s="171" t="s">
        <v>804</v>
      </c>
      <c r="DZ9" s="167" t="s">
        <v>1984</v>
      </c>
      <c r="EA9" s="168">
        <v>24</v>
      </c>
      <c r="EB9" s="168" t="s">
        <v>165</v>
      </c>
      <c r="EC9" s="171">
        <v>2023</v>
      </c>
      <c r="EE9" s="171" t="s">
        <v>429</v>
      </c>
      <c r="EF9" s="167" t="s">
        <v>1962</v>
      </c>
      <c r="EG9" s="168">
        <v>33</v>
      </c>
      <c r="EH9" s="168" t="s">
        <v>502</v>
      </c>
      <c r="EI9" s="171">
        <v>2023</v>
      </c>
      <c r="EJ9" s="171"/>
      <c r="EK9" s="171" t="s">
        <v>1025</v>
      </c>
      <c r="EL9" s="167" t="s">
        <v>2020</v>
      </c>
      <c r="EM9" s="168">
        <v>15</v>
      </c>
      <c r="EN9" s="168" t="s">
        <v>835</v>
      </c>
      <c r="EO9" s="171">
        <v>2023</v>
      </c>
      <c r="EQ9" s="171" t="s">
        <v>165</v>
      </c>
      <c r="ER9" s="167" t="s">
        <v>1971</v>
      </c>
      <c r="ES9" s="168">
        <v>8</v>
      </c>
      <c r="ET9" s="168" t="s">
        <v>804</v>
      </c>
      <c r="EU9" s="171">
        <v>2022</v>
      </c>
      <c r="EW9" s="171" t="s">
        <v>1139</v>
      </c>
      <c r="EX9" s="167" t="s">
        <v>1988</v>
      </c>
      <c r="EY9" s="168">
        <v>0</v>
      </c>
      <c r="EZ9" s="168" t="s">
        <v>717</v>
      </c>
      <c r="FA9" s="171">
        <v>2023</v>
      </c>
      <c r="FC9" s="171" t="s">
        <v>1062</v>
      </c>
      <c r="FD9" s="167" t="s">
        <v>2000</v>
      </c>
      <c r="FE9" s="168">
        <v>6</v>
      </c>
      <c r="FF9" s="168" t="s">
        <v>804</v>
      </c>
      <c r="FG9" s="171">
        <v>2022</v>
      </c>
      <c r="FI9" s="171" t="s">
        <v>165</v>
      </c>
      <c r="FJ9" s="167" t="s">
        <v>1991</v>
      </c>
      <c r="FK9" s="168">
        <v>1</v>
      </c>
      <c r="FL9" s="168" t="s">
        <v>300</v>
      </c>
      <c r="FM9" s="171">
        <v>2022</v>
      </c>
      <c r="FO9" s="171" t="s">
        <v>165</v>
      </c>
      <c r="FP9" s="167" t="s">
        <v>1972</v>
      </c>
      <c r="FQ9" s="168">
        <v>28</v>
      </c>
      <c r="FR9" s="168" t="s">
        <v>804</v>
      </c>
      <c r="FS9" s="171">
        <v>2022</v>
      </c>
    </row>
    <row r="10" spans="1:175">
      <c r="A10" s="995">
        <v>6</v>
      </c>
      <c r="B10" s="167" t="s">
        <v>429</v>
      </c>
      <c r="C10" s="168" t="s">
        <v>1319</v>
      </c>
      <c r="D10" s="168" t="s">
        <v>1985</v>
      </c>
      <c r="E10" s="169" t="s">
        <v>41</v>
      </c>
      <c r="F10" s="169" t="s">
        <v>502</v>
      </c>
      <c r="G10" s="168">
        <v>2022</v>
      </c>
      <c r="H10" s="168"/>
      <c r="I10" s="175" t="s">
        <v>685</v>
      </c>
      <c r="J10" s="175" t="s">
        <v>1581</v>
      </c>
      <c r="K10" s="175" t="s">
        <v>2021</v>
      </c>
      <c r="L10" s="175">
        <v>12</v>
      </c>
      <c r="M10" s="175" t="s">
        <v>165</v>
      </c>
      <c r="N10" s="168">
        <v>2022</v>
      </c>
      <c r="O10" s="168"/>
      <c r="P10" s="168" t="s">
        <v>429</v>
      </c>
      <c r="Q10" s="168" t="s">
        <v>2016</v>
      </c>
      <c r="R10" s="168" t="s">
        <v>2017</v>
      </c>
      <c r="S10" s="168">
        <v>7</v>
      </c>
      <c r="T10" s="168" t="s">
        <v>463</v>
      </c>
      <c r="U10" s="168">
        <v>2022</v>
      </c>
      <c r="V10" s="168"/>
      <c r="W10" s="168" t="s">
        <v>226</v>
      </c>
      <c r="X10" s="168" t="s">
        <v>1453</v>
      </c>
      <c r="Y10" s="168" t="s">
        <v>1969</v>
      </c>
      <c r="Z10" s="168">
        <v>4</v>
      </c>
      <c r="AA10" s="168" t="s">
        <v>502</v>
      </c>
      <c r="AB10" s="168">
        <v>2022</v>
      </c>
      <c r="AC10" s="168"/>
      <c r="AD10" s="176" t="s">
        <v>869</v>
      </c>
      <c r="AE10" s="176" t="s">
        <v>1486</v>
      </c>
      <c r="AF10" s="176" t="s">
        <v>1956</v>
      </c>
      <c r="AG10" s="169">
        <v>3</v>
      </c>
      <c r="AH10" s="176" t="s">
        <v>1062</v>
      </c>
      <c r="AI10" s="168">
        <v>2022</v>
      </c>
      <c r="AJ10" s="168"/>
      <c r="AK10" s="168" t="s">
        <v>165</v>
      </c>
      <c r="AL10" s="168" t="s">
        <v>1317</v>
      </c>
      <c r="AM10" s="168" t="s">
        <v>1975</v>
      </c>
      <c r="AN10" s="168">
        <v>16</v>
      </c>
      <c r="AO10" s="168" t="s">
        <v>539</v>
      </c>
      <c r="AP10" s="168">
        <v>2023</v>
      </c>
      <c r="AQ10" s="168"/>
      <c r="AR10" s="168" t="s">
        <v>835</v>
      </c>
      <c r="AS10" s="168" t="s">
        <v>1590</v>
      </c>
      <c r="AT10" s="168" t="s">
        <v>1960</v>
      </c>
      <c r="AU10" s="176" t="s">
        <v>1096</v>
      </c>
      <c r="AV10" s="168">
        <v>2022</v>
      </c>
      <c r="AW10" s="168"/>
      <c r="AX10" s="168" t="s">
        <v>835</v>
      </c>
      <c r="AY10" s="168" t="s">
        <v>2022</v>
      </c>
      <c r="AZ10" s="168" t="s">
        <v>2018</v>
      </c>
      <c r="BA10" s="168" t="s">
        <v>804</v>
      </c>
      <c r="BB10" s="168" t="s">
        <v>2008</v>
      </c>
      <c r="BC10" s="171">
        <v>2022</v>
      </c>
      <c r="BE10" s="171" t="s">
        <v>226</v>
      </c>
      <c r="BF10" s="171" t="s">
        <v>1353</v>
      </c>
      <c r="BG10" s="171" t="s">
        <v>1978</v>
      </c>
      <c r="BH10" s="171">
        <v>2</v>
      </c>
      <c r="BI10" s="171" t="s">
        <v>717</v>
      </c>
      <c r="BJ10" s="171">
        <v>2024</v>
      </c>
      <c r="BK10" s="168"/>
      <c r="BR10" s="168" t="s">
        <v>429</v>
      </c>
      <c r="BS10" s="168" t="s">
        <v>1511</v>
      </c>
      <c r="BT10" s="168" t="s">
        <v>1988</v>
      </c>
      <c r="BU10" s="169" t="s">
        <v>2023</v>
      </c>
      <c r="BV10" s="168" t="s">
        <v>463</v>
      </c>
      <c r="BW10" s="171">
        <v>2022</v>
      </c>
      <c r="BY10" s="171" t="s">
        <v>266</v>
      </c>
      <c r="BZ10" s="167" t="s">
        <v>1462</v>
      </c>
      <c r="CA10" s="168" t="s">
        <v>1991</v>
      </c>
      <c r="CB10" s="168">
        <v>16</v>
      </c>
      <c r="CC10" s="168" t="s">
        <v>339</v>
      </c>
      <c r="CD10" s="171">
        <v>2023</v>
      </c>
      <c r="CF10" s="171" t="s">
        <v>717</v>
      </c>
      <c r="CG10" s="167" t="s">
        <v>1326</v>
      </c>
      <c r="CH10" s="168" t="s">
        <v>1990</v>
      </c>
      <c r="CI10" s="168">
        <v>8</v>
      </c>
      <c r="CJ10" s="168" t="s">
        <v>226</v>
      </c>
      <c r="CK10" s="171">
        <v>2023</v>
      </c>
      <c r="CM10" s="171" t="s">
        <v>685</v>
      </c>
      <c r="CN10" s="167" t="s">
        <v>1340</v>
      </c>
      <c r="CO10" s="168" t="s">
        <v>2020</v>
      </c>
      <c r="CP10" s="168">
        <v>5</v>
      </c>
      <c r="CQ10" s="168" t="s">
        <v>539</v>
      </c>
      <c r="CR10" s="171">
        <v>2022</v>
      </c>
      <c r="CT10" s="171" t="s">
        <v>266</v>
      </c>
      <c r="CU10" s="171" t="s">
        <v>1466</v>
      </c>
      <c r="CV10" s="171" t="s">
        <v>1971</v>
      </c>
      <c r="CW10" s="171">
        <v>5</v>
      </c>
      <c r="CX10" s="171" t="s">
        <v>611</v>
      </c>
      <c r="CY10" s="171">
        <v>2024</v>
      </c>
      <c r="CZ10" s="171"/>
      <c r="DA10" s="171" t="s">
        <v>1025</v>
      </c>
      <c r="DB10" s="167" t="s">
        <v>1975</v>
      </c>
      <c r="DC10" s="168">
        <v>17</v>
      </c>
      <c r="DD10" s="168" t="s">
        <v>1229</v>
      </c>
      <c r="DE10" s="171">
        <v>2022</v>
      </c>
      <c r="DG10" s="171" t="s">
        <v>1229</v>
      </c>
      <c r="DH10" s="167" t="s">
        <v>2005</v>
      </c>
      <c r="DI10" s="168">
        <v>21</v>
      </c>
      <c r="DJ10" s="168" t="s">
        <v>1265</v>
      </c>
      <c r="DK10" s="171">
        <v>2022</v>
      </c>
      <c r="DM10" s="171" t="s">
        <v>835</v>
      </c>
      <c r="DN10" s="167" t="s">
        <v>1956</v>
      </c>
      <c r="DO10" s="168">
        <v>11</v>
      </c>
      <c r="DP10" s="168" t="s">
        <v>903</v>
      </c>
      <c r="DQ10" s="171">
        <v>2023</v>
      </c>
      <c r="DS10" s="171" t="s">
        <v>1139</v>
      </c>
      <c r="DT10" s="167" t="s">
        <v>1976</v>
      </c>
      <c r="DU10" s="168">
        <v>2</v>
      </c>
      <c r="DV10" s="168" t="s">
        <v>717</v>
      </c>
      <c r="DW10" s="171">
        <v>2022</v>
      </c>
      <c r="DY10" s="171" t="s">
        <v>903</v>
      </c>
      <c r="DZ10" s="171" t="s">
        <v>1971</v>
      </c>
      <c r="EA10" s="171">
        <v>24</v>
      </c>
      <c r="EB10" s="171" t="s">
        <v>1025</v>
      </c>
      <c r="EC10" s="171">
        <v>2024</v>
      </c>
      <c r="ED10" s="171"/>
      <c r="EE10" s="168" t="s">
        <v>226</v>
      </c>
      <c r="EF10" s="168" t="s">
        <v>1962</v>
      </c>
      <c r="EG10" s="168">
        <v>33</v>
      </c>
      <c r="EH10" s="168" t="s">
        <v>502</v>
      </c>
      <c r="EI10" s="168">
        <v>2024</v>
      </c>
      <c r="EJ10" s="171"/>
      <c r="EK10" s="171" t="s">
        <v>165</v>
      </c>
      <c r="EL10" s="167" t="s">
        <v>1984</v>
      </c>
      <c r="EM10" s="168">
        <v>15</v>
      </c>
      <c r="EN10" s="168" t="s">
        <v>804</v>
      </c>
      <c r="EO10" s="171">
        <v>2023</v>
      </c>
      <c r="EQ10" s="171" t="s">
        <v>1139</v>
      </c>
      <c r="ER10" s="167" t="s">
        <v>1965</v>
      </c>
      <c r="ES10" s="168">
        <v>8</v>
      </c>
      <c r="ET10" s="168" t="s">
        <v>717</v>
      </c>
      <c r="EU10" s="171">
        <v>2022</v>
      </c>
      <c r="EW10" s="171" t="s">
        <v>770</v>
      </c>
      <c r="EX10" s="171" t="s">
        <v>2020</v>
      </c>
      <c r="EY10" s="171">
        <v>0</v>
      </c>
      <c r="EZ10" s="171" t="s">
        <v>952</v>
      </c>
      <c r="FA10" s="171">
        <v>2024</v>
      </c>
      <c r="FB10" s="171"/>
      <c r="FC10" s="171" t="s">
        <v>580</v>
      </c>
      <c r="FD10" s="167" t="s">
        <v>2010</v>
      </c>
      <c r="FE10" s="168">
        <v>6</v>
      </c>
      <c r="FF10" s="168" t="s">
        <v>1200</v>
      </c>
      <c r="FG10" s="171">
        <v>2022</v>
      </c>
      <c r="FI10" s="171" t="s">
        <v>580</v>
      </c>
      <c r="FJ10" s="167" t="s">
        <v>1991</v>
      </c>
      <c r="FK10" s="168">
        <v>1</v>
      </c>
      <c r="FL10" s="168" t="s">
        <v>650</v>
      </c>
      <c r="FM10" s="171">
        <v>2022</v>
      </c>
      <c r="FO10" s="171" t="s">
        <v>266</v>
      </c>
      <c r="FP10" s="167" t="s">
        <v>2000</v>
      </c>
      <c r="FQ10" s="168">
        <v>28</v>
      </c>
      <c r="FR10" s="168" t="s">
        <v>502</v>
      </c>
      <c r="FS10" s="171">
        <v>2022</v>
      </c>
    </row>
    <row r="11" spans="1:175" ht="17" thickBot="1">
      <c r="A11" s="995">
        <v>7</v>
      </c>
      <c r="B11" s="180" t="s">
        <v>429</v>
      </c>
      <c r="C11" s="177" t="s">
        <v>1476</v>
      </c>
      <c r="D11" s="177" t="s">
        <v>1992</v>
      </c>
      <c r="E11" s="178" t="s">
        <v>41</v>
      </c>
      <c r="F11" s="177" t="s">
        <v>502</v>
      </c>
      <c r="G11" s="177">
        <v>2023</v>
      </c>
      <c r="H11" s="168"/>
      <c r="I11" s="175" t="s">
        <v>952</v>
      </c>
      <c r="J11" s="175" t="s">
        <v>1342</v>
      </c>
      <c r="K11" s="175" t="s">
        <v>2021</v>
      </c>
      <c r="L11" s="175">
        <v>12</v>
      </c>
      <c r="M11" s="175" t="s">
        <v>1200</v>
      </c>
      <c r="N11" s="168">
        <v>2022</v>
      </c>
      <c r="O11" s="168"/>
      <c r="P11" s="168" t="s">
        <v>463</v>
      </c>
      <c r="Q11" s="168" t="s">
        <v>1557</v>
      </c>
      <c r="R11" s="168" t="s">
        <v>1975</v>
      </c>
      <c r="S11" s="168">
        <v>7</v>
      </c>
      <c r="T11" s="168" t="s">
        <v>717</v>
      </c>
      <c r="U11" s="168">
        <v>2023</v>
      </c>
      <c r="V11" s="168"/>
      <c r="W11" s="177" t="s">
        <v>429</v>
      </c>
      <c r="X11" s="177" t="s">
        <v>1476</v>
      </c>
      <c r="Y11" s="177" t="s">
        <v>1992</v>
      </c>
      <c r="Z11" s="178" t="s">
        <v>38</v>
      </c>
      <c r="AA11" s="177" t="s">
        <v>502</v>
      </c>
      <c r="AB11" s="177">
        <v>2023</v>
      </c>
      <c r="AC11" s="168"/>
      <c r="AD11" s="168" t="s">
        <v>903</v>
      </c>
      <c r="AE11" s="168" t="s">
        <v>2183</v>
      </c>
      <c r="AF11" s="168" t="s">
        <v>1967</v>
      </c>
      <c r="AG11" s="168">
        <v>3</v>
      </c>
      <c r="AH11" s="168" t="s">
        <v>339</v>
      </c>
      <c r="AI11" s="168">
        <v>2022</v>
      </c>
      <c r="AJ11" s="168"/>
      <c r="AK11" s="168" t="s">
        <v>804</v>
      </c>
      <c r="AL11" s="168" t="s">
        <v>1337</v>
      </c>
      <c r="AM11" s="168" t="s">
        <v>2024</v>
      </c>
      <c r="AN11" s="168">
        <v>16</v>
      </c>
      <c r="AO11" s="168" t="s">
        <v>1171</v>
      </c>
      <c r="AP11" s="171">
        <v>2024</v>
      </c>
      <c r="AQ11" s="171"/>
      <c r="AR11" s="168" t="s">
        <v>161</v>
      </c>
      <c r="AS11" s="168" t="s">
        <v>1622</v>
      </c>
      <c r="AT11" s="168" t="s">
        <v>1992</v>
      </c>
      <c r="AU11" s="176" t="s">
        <v>226</v>
      </c>
      <c r="AV11" s="168">
        <v>2022</v>
      </c>
      <c r="AW11" s="168"/>
      <c r="AX11" s="168" t="s">
        <v>394</v>
      </c>
      <c r="AY11" s="168" t="s">
        <v>1509</v>
      </c>
      <c r="AZ11" s="168" t="s">
        <v>1997</v>
      </c>
      <c r="BA11" s="168" t="s">
        <v>165</v>
      </c>
      <c r="BB11" s="168" t="s">
        <v>2008</v>
      </c>
      <c r="BC11" s="171">
        <v>2022</v>
      </c>
      <c r="BE11" s="171" t="s">
        <v>1096</v>
      </c>
      <c r="BF11" s="171" t="s">
        <v>1692</v>
      </c>
      <c r="BG11" s="171" t="s">
        <v>1993</v>
      </c>
      <c r="BH11" s="171">
        <v>2</v>
      </c>
      <c r="BI11" s="171" t="s">
        <v>1062</v>
      </c>
      <c r="BJ11" s="171">
        <v>2024</v>
      </c>
      <c r="BK11" s="168"/>
      <c r="BR11" s="168" t="s">
        <v>1171</v>
      </c>
      <c r="BS11" s="168" t="s">
        <v>1602</v>
      </c>
      <c r="BT11" s="168" t="s">
        <v>1999</v>
      </c>
      <c r="BU11" s="169" t="s">
        <v>2025</v>
      </c>
      <c r="BV11" s="168" t="s">
        <v>770</v>
      </c>
      <c r="BW11" s="171">
        <v>2022</v>
      </c>
      <c r="BY11" s="171" t="s">
        <v>990</v>
      </c>
      <c r="BZ11" s="167" t="s">
        <v>1330</v>
      </c>
      <c r="CA11" s="168" t="s">
        <v>2001</v>
      </c>
      <c r="CB11" s="168">
        <v>16</v>
      </c>
      <c r="CC11" s="168" t="s">
        <v>804</v>
      </c>
      <c r="CD11" s="171">
        <v>2023</v>
      </c>
      <c r="CF11" s="171" t="s">
        <v>502</v>
      </c>
      <c r="CG11" s="167" t="s">
        <v>1329</v>
      </c>
      <c r="CH11" s="168" t="s">
        <v>1971</v>
      </c>
      <c r="CI11" s="168">
        <v>8</v>
      </c>
      <c r="CJ11" s="168" t="s">
        <v>952</v>
      </c>
      <c r="CK11" s="171">
        <v>2023</v>
      </c>
      <c r="CM11" s="171" t="s">
        <v>394</v>
      </c>
      <c r="CN11" s="167" t="s">
        <v>2026</v>
      </c>
      <c r="CO11" s="168" t="s">
        <v>1966</v>
      </c>
      <c r="CP11" s="168">
        <v>5</v>
      </c>
      <c r="CQ11" s="168" t="s">
        <v>226</v>
      </c>
      <c r="CR11" s="171">
        <v>2022</v>
      </c>
      <c r="CT11" s="171" t="s">
        <v>1265</v>
      </c>
      <c r="CU11" s="171" t="s">
        <v>1535</v>
      </c>
      <c r="CV11" s="171" t="s">
        <v>1971</v>
      </c>
      <c r="CW11" s="171">
        <v>5</v>
      </c>
      <c r="CX11" s="171" t="s">
        <v>835</v>
      </c>
      <c r="CY11" s="171">
        <v>2024</v>
      </c>
      <c r="CZ11" s="171"/>
      <c r="DA11" s="171" t="s">
        <v>835</v>
      </c>
      <c r="DB11" s="167" t="s">
        <v>1956</v>
      </c>
      <c r="DC11" s="168">
        <v>17</v>
      </c>
      <c r="DD11" s="168" t="s">
        <v>903</v>
      </c>
      <c r="DE11" s="171">
        <v>2023</v>
      </c>
      <c r="DG11" s="171" t="s">
        <v>300</v>
      </c>
      <c r="DH11" s="167" t="s">
        <v>1952</v>
      </c>
      <c r="DI11" s="168">
        <v>21</v>
      </c>
      <c r="DJ11" s="168" t="s">
        <v>650</v>
      </c>
      <c r="DK11" s="171">
        <v>2023</v>
      </c>
      <c r="DM11" s="171" t="s">
        <v>804</v>
      </c>
      <c r="DN11" s="167" t="s">
        <v>1980</v>
      </c>
      <c r="DO11" s="168">
        <v>11</v>
      </c>
      <c r="DP11" s="168" t="s">
        <v>165</v>
      </c>
      <c r="DQ11" s="171">
        <v>2023</v>
      </c>
      <c r="DS11" s="171" t="s">
        <v>580</v>
      </c>
      <c r="DT11" s="167" t="s">
        <v>2027</v>
      </c>
      <c r="DU11" s="168">
        <v>2</v>
      </c>
      <c r="DV11" s="168" t="s">
        <v>650</v>
      </c>
      <c r="DW11" s="171">
        <v>2022</v>
      </c>
      <c r="DY11" s="171" t="s">
        <v>1025</v>
      </c>
      <c r="DZ11" s="167" t="s">
        <v>2001</v>
      </c>
      <c r="EA11" s="168">
        <v>23</v>
      </c>
      <c r="EB11" s="168" t="s">
        <v>1229</v>
      </c>
      <c r="EC11" s="171">
        <v>2022</v>
      </c>
      <c r="EE11" s="168" t="s">
        <v>539</v>
      </c>
      <c r="EF11" s="168" t="s">
        <v>1962</v>
      </c>
      <c r="EG11" s="168">
        <v>32</v>
      </c>
      <c r="EH11" s="168" t="s">
        <v>463</v>
      </c>
      <c r="EI11" s="168">
        <v>2024</v>
      </c>
      <c r="EJ11" s="171"/>
      <c r="EK11" s="171" t="s">
        <v>226</v>
      </c>
      <c r="EL11" s="167" t="s">
        <v>2000</v>
      </c>
      <c r="EM11" s="168">
        <v>15</v>
      </c>
      <c r="EN11" s="168" t="s">
        <v>463</v>
      </c>
      <c r="EO11" s="171">
        <v>2023</v>
      </c>
      <c r="EQ11" s="171" t="s">
        <v>502</v>
      </c>
      <c r="ER11" s="167" t="s">
        <v>1999</v>
      </c>
      <c r="ES11" s="168">
        <v>8</v>
      </c>
      <c r="ET11" s="168" t="s">
        <v>685</v>
      </c>
      <c r="EU11" s="171">
        <v>2023</v>
      </c>
      <c r="EW11" s="171" t="s">
        <v>835</v>
      </c>
      <c r="EX11" s="171" t="s">
        <v>1972</v>
      </c>
      <c r="EY11" s="171">
        <v>0</v>
      </c>
      <c r="EZ11" s="171" t="s">
        <v>1025</v>
      </c>
      <c r="FA11" s="171">
        <v>2024</v>
      </c>
      <c r="FB11" s="171"/>
      <c r="FC11" s="171" t="s">
        <v>339</v>
      </c>
      <c r="FD11" s="167" t="s">
        <v>2010</v>
      </c>
      <c r="FE11" s="168">
        <v>6</v>
      </c>
      <c r="FF11" s="168" t="s">
        <v>300</v>
      </c>
      <c r="FG11" s="171">
        <v>2023</v>
      </c>
      <c r="FI11" s="171" t="s">
        <v>770</v>
      </c>
      <c r="FJ11" s="167" t="s">
        <v>1991</v>
      </c>
      <c r="FK11" s="168">
        <v>1</v>
      </c>
      <c r="FL11" s="168" t="s">
        <v>903</v>
      </c>
      <c r="FM11" s="171">
        <v>2022</v>
      </c>
      <c r="FO11" s="181" t="s">
        <v>580</v>
      </c>
      <c r="FP11" s="182" t="s">
        <v>2028</v>
      </c>
      <c r="FQ11" s="183">
        <v>28</v>
      </c>
      <c r="FR11" s="183" t="s">
        <v>770</v>
      </c>
      <c r="FS11" s="181">
        <v>2022</v>
      </c>
    </row>
    <row r="12" spans="1:175" ht="17" thickBot="1">
      <c r="A12" s="995">
        <v>8</v>
      </c>
      <c r="B12" s="167" t="s">
        <v>394</v>
      </c>
      <c r="C12" s="168" t="s">
        <v>1546</v>
      </c>
      <c r="D12" s="168" t="s">
        <v>2018</v>
      </c>
      <c r="E12" s="169" t="s">
        <v>41</v>
      </c>
      <c r="F12" s="168" t="s">
        <v>429</v>
      </c>
      <c r="G12" s="169" t="s">
        <v>1954</v>
      </c>
      <c r="H12" s="168"/>
      <c r="I12" s="168" t="s">
        <v>717</v>
      </c>
      <c r="J12" s="168" t="s">
        <v>1326</v>
      </c>
      <c r="K12" s="168" t="s">
        <v>1952</v>
      </c>
      <c r="L12" s="168">
        <v>12</v>
      </c>
      <c r="M12" s="168" t="s">
        <v>226</v>
      </c>
      <c r="N12" s="168">
        <v>2023</v>
      </c>
      <c r="O12" s="168"/>
      <c r="P12" s="168" t="s">
        <v>990</v>
      </c>
      <c r="Q12" s="168" t="s">
        <v>1330</v>
      </c>
      <c r="R12" s="168" t="s">
        <v>1955</v>
      </c>
      <c r="S12" s="168">
        <v>7</v>
      </c>
      <c r="T12" s="168" t="s">
        <v>804</v>
      </c>
      <c r="U12" s="168">
        <v>2023</v>
      </c>
      <c r="V12" s="168"/>
      <c r="W12" s="168" t="s">
        <v>835</v>
      </c>
      <c r="X12" s="168" t="s">
        <v>1510</v>
      </c>
      <c r="Y12" s="168" t="s">
        <v>1956</v>
      </c>
      <c r="Z12" s="168">
        <v>4</v>
      </c>
      <c r="AA12" s="168" t="s">
        <v>903</v>
      </c>
      <c r="AB12" s="168">
        <v>2023</v>
      </c>
      <c r="AC12" s="168"/>
      <c r="AD12" s="168" t="s">
        <v>903</v>
      </c>
      <c r="AE12" s="168" t="s">
        <v>1529</v>
      </c>
      <c r="AF12" s="168" t="s">
        <v>2029</v>
      </c>
      <c r="AG12" s="168">
        <v>3</v>
      </c>
      <c r="AH12" s="168" t="s">
        <v>1229</v>
      </c>
      <c r="AI12" s="168">
        <v>2022</v>
      </c>
      <c r="AJ12" s="168"/>
      <c r="AK12" s="171" t="s">
        <v>835</v>
      </c>
      <c r="AL12" s="171" t="s">
        <v>1318</v>
      </c>
      <c r="AM12" s="171" t="s">
        <v>1995</v>
      </c>
      <c r="AN12" s="171">
        <v>16</v>
      </c>
      <c r="AO12" s="171" t="s">
        <v>903</v>
      </c>
      <c r="AP12" s="171">
        <v>2024</v>
      </c>
      <c r="AQ12" s="168"/>
      <c r="AR12" s="168" t="s">
        <v>952</v>
      </c>
      <c r="AS12" s="168" t="s">
        <v>1518</v>
      </c>
      <c r="AT12" s="168" t="s">
        <v>1992</v>
      </c>
      <c r="AU12" s="176" t="s">
        <v>1096</v>
      </c>
      <c r="AV12" s="168">
        <v>2022</v>
      </c>
      <c r="AW12" s="168"/>
      <c r="AX12" s="168" t="s">
        <v>685</v>
      </c>
      <c r="AY12" s="168" t="s">
        <v>1344</v>
      </c>
      <c r="AZ12" s="168" t="s">
        <v>2003</v>
      </c>
      <c r="BA12" s="168" t="s">
        <v>300</v>
      </c>
      <c r="BB12" s="168" t="s">
        <v>2008</v>
      </c>
      <c r="BC12" s="171">
        <v>2022</v>
      </c>
      <c r="BE12" s="168" t="s">
        <v>611</v>
      </c>
      <c r="BF12" s="168" t="s">
        <v>1362</v>
      </c>
      <c r="BG12" s="168" t="s">
        <v>2024</v>
      </c>
      <c r="BH12" s="168">
        <v>3</v>
      </c>
      <c r="BI12" s="168" t="s">
        <v>463</v>
      </c>
      <c r="BJ12" s="171">
        <v>2022</v>
      </c>
      <c r="BL12" s="1099" t="s">
        <v>2030</v>
      </c>
      <c r="BM12" s="1100"/>
      <c r="BN12" s="1100"/>
      <c r="BO12" s="1100"/>
      <c r="BP12" s="1101"/>
      <c r="BQ12" s="168"/>
      <c r="BR12" s="168" t="s">
        <v>580</v>
      </c>
      <c r="BS12" s="168" t="s">
        <v>1325</v>
      </c>
      <c r="BT12" s="168" t="s">
        <v>1965</v>
      </c>
      <c r="BU12" s="169" t="s">
        <v>2025</v>
      </c>
      <c r="BV12" s="168" t="s">
        <v>650</v>
      </c>
      <c r="BW12" s="171">
        <v>2023</v>
      </c>
      <c r="BY12" s="171" t="s">
        <v>463</v>
      </c>
      <c r="BZ12" s="167" t="s">
        <v>1448</v>
      </c>
      <c r="CA12" s="168" t="s">
        <v>1984</v>
      </c>
      <c r="CB12" s="168">
        <v>15</v>
      </c>
      <c r="CC12" s="168" t="s">
        <v>165</v>
      </c>
      <c r="CD12" s="171">
        <v>2022</v>
      </c>
      <c r="CF12" s="171" t="s">
        <v>339</v>
      </c>
      <c r="CG12" s="167" t="s">
        <v>1460</v>
      </c>
      <c r="CH12" s="168" t="s">
        <v>1965</v>
      </c>
      <c r="CI12" s="168">
        <v>8</v>
      </c>
      <c r="CJ12" s="168" t="s">
        <v>463</v>
      </c>
      <c r="CK12" s="171">
        <v>2023</v>
      </c>
      <c r="CM12" s="171" t="s">
        <v>1139</v>
      </c>
      <c r="CN12" s="167" t="s">
        <v>2031</v>
      </c>
      <c r="CO12" s="168" t="s">
        <v>1966</v>
      </c>
      <c r="CP12" s="168">
        <v>5</v>
      </c>
      <c r="CQ12" s="168" t="s">
        <v>1096</v>
      </c>
      <c r="CR12" s="171">
        <v>2022</v>
      </c>
      <c r="CT12" s="171" t="s">
        <v>717</v>
      </c>
      <c r="CU12" s="167" t="s">
        <v>1517</v>
      </c>
      <c r="CV12" s="168" t="s">
        <v>1984</v>
      </c>
      <c r="CW12" s="168">
        <v>4</v>
      </c>
      <c r="CX12" s="168" t="s">
        <v>429</v>
      </c>
      <c r="CY12" s="171">
        <v>2022</v>
      </c>
      <c r="DA12" s="171" t="s">
        <v>1171</v>
      </c>
      <c r="DB12" s="171" t="s">
        <v>2032</v>
      </c>
      <c r="DC12" s="171">
        <v>17</v>
      </c>
      <c r="DD12" s="171" t="s">
        <v>990</v>
      </c>
      <c r="DE12" s="171">
        <v>2024</v>
      </c>
      <c r="DF12" s="171"/>
      <c r="DG12" s="171" t="s">
        <v>990</v>
      </c>
      <c r="DH12" s="167" t="s">
        <v>2005</v>
      </c>
      <c r="DI12" s="168">
        <v>20</v>
      </c>
      <c r="DJ12" s="168" t="s">
        <v>1062</v>
      </c>
      <c r="DK12" s="171">
        <v>2022</v>
      </c>
      <c r="DM12" s="171" t="s">
        <v>804</v>
      </c>
      <c r="DN12" s="167" t="s">
        <v>1997</v>
      </c>
      <c r="DO12" s="168">
        <v>11</v>
      </c>
      <c r="DP12" s="168" t="s">
        <v>1229</v>
      </c>
      <c r="DQ12" s="171">
        <v>2023</v>
      </c>
      <c r="DS12" s="171" t="s">
        <v>300</v>
      </c>
      <c r="DT12" s="167" t="s">
        <v>2024</v>
      </c>
      <c r="DU12" s="168">
        <v>2</v>
      </c>
      <c r="DV12" s="168" t="s">
        <v>429</v>
      </c>
      <c r="DW12" s="171">
        <v>2023</v>
      </c>
      <c r="DY12" s="171" t="s">
        <v>1171</v>
      </c>
      <c r="DZ12" s="167" t="s">
        <v>2033</v>
      </c>
      <c r="EA12" s="168">
        <v>23</v>
      </c>
      <c r="EB12" s="168" t="s">
        <v>1229</v>
      </c>
      <c r="EC12" s="171">
        <v>2023</v>
      </c>
      <c r="ED12" s="171"/>
      <c r="EE12" s="171" t="s">
        <v>300</v>
      </c>
      <c r="EF12" s="167" t="s">
        <v>1990</v>
      </c>
      <c r="EG12" s="168">
        <v>31</v>
      </c>
      <c r="EH12" s="168" t="s">
        <v>650</v>
      </c>
      <c r="EI12" s="171">
        <v>2023</v>
      </c>
      <c r="EJ12" s="171"/>
      <c r="EK12" s="171" t="s">
        <v>650</v>
      </c>
      <c r="EL12" s="167" t="s">
        <v>1984</v>
      </c>
      <c r="EM12" s="168">
        <v>14</v>
      </c>
      <c r="EN12" s="168" t="s">
        <v>300</v>
      </c>
      <c r="EO12" s="171">
        <v>2022</v>
      </c>
      <c r="EQ12" s="171" t="s">
        <v>539</v>
      </c>
      <c r="ER12" s="167" t="s">
        <v>1988</v>
      </c>
      <c r="ES12" s="168">
        <v>8</v>
      </c>
      <c r="ET12" s="168" t="s">
        <v>394</v>
      </c>
      <c r="EU12" s="171">
        <v>2023</v>
      </c>
      <c r="EW12" s="171" t="s">
        <v>1200</v>
      </c>
      <c r="EX12" s="171" t="s">
        <v>2000</v>
      </c>
      <c r="EY12" s="171">
        <v>0</v>
      </c>
      <c r="EZ12" s="171" t="s">
        <v>903</v>
      </c>
      <c r="FA12" s="171">
        <v>2024</v>
      </c>
      <c r="FB12" s="171"/>
      <c r="FC12" s="171" t="s">
        <v>1200</v>
      </c>
      <c r="FD12" s="171" t="s">
        <v>1990</v>
      </c>
      <c r="FE12" s="171">
        <v>6</v>
      </c>
      <c r="FF12" s="171" t="s">
        <v>770</v>
      </c>
      <c r="FG12" s="171">
        <v>2024</v>
      </c>
      <c r="FH12" s="171"/>
      <c r="FI12" s="171" t="s">
        <v>770</v>
      </c>
      <c r="FJ12" s="167" t="s">
        <v>2011</v>
      </c>
      <c r="FK12" s="168">
        <v>1</v>
      </c>
      <c r="FL12" s="168" t="s">
        <v>869</v>
      </c>
      <c r="FM12" s="171">
        <v>2022</v>
      </c>
    </row>
    <row r="13" spans="1:175">
      <c r="A13" s="995">
        <v>9</v>
      </c>
      <c r="B13" s="167" t="s">
        <v>804</v>
      </c>
      <c r="C13" s="168" t="s">
        <v>1828</v>
      </c>
      <c r="D13" s="168" t="s">
        <v>1980</v>
      </c>
      <c r="E13" s="169" t="s">
        <v>41</v>
      </c>
      <c r="F13" s="168" t="s">
        <v>1171</v>
      </c>
      <c r="G13" s="169" t="s">
        <v>1954</v>
      </c>
      <c r="H13" s="168"/>
      <c r="I13" s="168" t="s">
        <v>990</v>
      </c>
      <c r="J13" s="168" t="s">
        <v>2034</v>
      </c>
      <c r="K13" s="168" t="s">
        <v>1997</v>
      </c>
      <c r="L13" s="168">
        <v>12</v>
      </c>
      <c r="M13" s="168" t="s">
        <v>1200</v>
      </c>
      <c r="N13" s="168">
        <v>2023</v>
      </c>
      <c r="O13" s="168"/>
      <c r="P13" s="168" t="s">
        <v>2035</v>
      </c>
      <c r="Q13" s="168" t="s">
        <v>1460</v>
      </c>
      <c r="R13" s="168" t="s">
        <v>1976</v>
      </c>
      <c r="S13" s="168">
        <v>7</v>
      </c>
      <c r="T13" s="168" t="s">
        <v>463</v>
      </c>
      <c r="U13" s="168">
        <v>2023</v>
      </c>
      <c r="V13" s="168"/>
      <c r="W13" s="168" t="s">
        <v>580</v>
      </c>
      <c r="X13" s="168" t="s">
        <v>1468</v>
      </c>
      <c r="Y13" s="168" t="s">
        <v>2024</v>
      </c>
      <c r="Z13" s="168">
        <v>4</v>
      </c>
      <c r="AA13" s="168" t="s">
        <v>226</v>
      </c>
      <c r="AB13" s="168">
        <v>2023</v>
      </c>
      <c r="AC13" s="168"/>
      <c r="AD13" s="176" t="s">
        <v>835</v>
      </c>
      <c r="AE13" s="176" t="s">
        <v>1555</v>
      </c>
      <c r="AF13" s="168" t="s">
        <v>1975</v>
      </c>
      <c r="AG13" s="168">
        <v>3</v>
      </c>
      <c r="AH13" s="168" t="s">
        <v>1062</v>
      </c>
      <c r="AI13" s="168">
        <v>2022</v>
      </c>
      <c r="AJ13" s="168"/>
      <c r="AK13" s="168" t="s">
        <v>1062</v>
      </c>
      <c r="AL13" s="168" t="s">
        <v>1683</v>
      </c>
      <c r="AM13" s="168" t="s">
        <v>1978</v>
      </c>
      <c r="AN13" s="168">
        <v>15</v>
      </c>
      <c r="AO13" s="168" t="s">
        <v>804</v>
      </c>
      <c r="AP13" s="168">
        <v>2022</v>
      </c>
      <c r="AQ13" s="168"/>
      <c r="AR13" s="168" t="s">
        <v>161</v>
      </c>
      <c r="AS13" s="168" t="s">
        <v>1503</v>
      </c>
      <c r="AT13" s="168" t="s">
        <v>1956</v>
      </c>
      <c r="AU13" s="176" t="s">
        <v>226</v>
      </c>
      <c r="AV13" s="168">
        <v>2022</v>
      </c>
      <c r="AW13" s="168"/>
      <c r="AX13" s="168" t="s">
        <v>1200</v>
      </c>
      <c r="AY13" s="168" t="s">
        <v>2036</v>
      </c>
      <c r="AZ13" s="168" t="s">
        <v>2037</v>
      </c>
      <c r="BA13" s="168" t="s">
        <v>1025</v>
      </c>
      <c r="BB13" s="168" t="s">
        <v>2008</v>
      </c>
      <c r="BC13" s="171">
        <v>2022</v>
      </c>
      <c r="BE13" s="175" t="s">
        <v>685</v>
      </c>
      <c r="BF13" s="175" t="s">
        <v>1340</v>
      </c>
      <c r="BG13" s="175" t="s">
        <v>2038</v>
      </c>
      <c r="BH13" s="175">
        <v>3</v>
      </c>
      <c r="BI13" s="175" t="s">
        <v>226</v>
      </c>
      <c r="BJ13" s="171">
        <v>2022</v>
      </c>
      <c r="BL13" s="165" t="s">
        <v>1945</v>
      </c>
      <c r="BM13" s="165" t="s">
        <v>1946</v>
      </c>
      <c r="BN13" s="165" t="s">
        <v>1947</v>
      </c>
      <c r="BO13" s="165" t="s">
        <v>1948</v>
      </c>
      <c r="BP13" s="165" t="s">
        <v>1949</v>
      </c>
      <c r="BQ13" s="168"/>
      <c r="BR13" s="171" t="s">
        <v>952</v>
      </c>
      <c r="BS13" s="171" t="s">
        <v>1316</v>
      </c>
      <c r="BT13" s="171" t="s">
        <v>1962</v>
      </c>
      <c r="BU13" s="439" t="s">
        <v>2025</v>
      </c>
      <c r="BV13" s="171" t="s">
        <v>835</v>
      </c>
      <c r="BW13" s="171">
        <v>2024</v>
      </c>
      <c r="BX13" s="171"/>
      <c r="BY13" s="171" t="s">
        <v>770</v>
      </c>
      <c r="BZ13" s="167" t="s">
        <v>1332</v>
      </c>
      <c r="CA13" s="168" t="s">
        <v>1965</v>
      </c>
      <c r="CB13" s="168">
        <v>15</v>
      </c>
      <c r="CC13" s="168" t="s">
        <v>835</v>
      </c>
      <c r="CD13" s="171">
        <v>2022</v>
      </c>
      <c r="CF13" s="171" t="s">
        <v>539</v>
      </c>
      <c r="CG13" s="171" t="s">
        <v>1536</v>
      </c>
      <c r="CH13" s="171" t="s">
        <v>2013</v>
      </c>
      <c r="CI13" s="171">
        <v>8</v>
      </c>
      <c r="CJ13" s="171" t="s">
        <v>685</v>
      </c>
      <c r="CK13" s="171">
        <v>2024</v>
      </c>
      <c r="CL13" s="171"/>
      <c r="CM13" s="179" t="s">
        <v>165</v>
      </c>
      <c r="CN13" s="180" t="s">
        <v>1341</v>
      </c>
      <c r="CO13" s="177" t="s">
        <v>1990</v>
      </c>
      <c r="CP13" s="178" t="s">
        <v>47</v>
      </c>
      <c r="CQ13" s="177" t="s">
        <v>717</v>
      </c>
      <c r="CR13" s="171">
        <v>2022</v>
      </c>
      <c r="CT13" s="171" t="s">
        <v>1171</v>
      </c>
      <c r="CU13" s="167" t="s">
        <v>1543</v>
      </c>
      <c r="CV13" s="168" t="s">
        <v>2000</v>
      </c>
      <c r="CW13" s="168">
        <v>4</v>
      </c>
      <c r="CX13" s="168" t="s">
        <v>1096</v>
      </c>
      <c r="CY13" s="171">
        <v>2022</v>
      </c>
      <c r="DA13" s="171" t="s">
        <v>1265</v>
      </c>
      <c r="DB13" s="171" t="s">
        <v>2037</v>
      </c>
      <c r="DC13" s="171">
        <v>17</v>
      </c>
      <c r="DD13" s="171" t="s">
        <v>835</v>
      </c>
      <c r="DE13" s="171">
        <v>2024</v>
      </c>
      <c r="DF13" s="171"/>
      <c r="DG13" s="171" t="s">
        <v>429</v>
      </c>
      <c r="DH13" s="167" t="s">
        <v>2017</v>
      </c>
      <c r="DI13" s="168">
        <v>20</v>
      </c>
      <c r="DJ13" s="168" t="s">
        <v>463</v>
      </c>
      <c r="DK13" s="171">
        <v>2022</v>
      </c>
      <c r="DM13" s="171" t="s">
        <v>463</v>
      </c>
      <c r="DN13" s="171" t="s">
        <v>2015</v>
      </c>
      <c r="DO13" s="171">
        <v>11</v>
      </c>
      <c r="DP13" s="171" t="s">
        <v>339</v>
      </c>
      <c r="DQ13" s="171">
        <v>2024</v>
      </c>
      <c r="DR13" s="171"/>
      <c r="DS13" s="171" t="s">
        <v>770</v>
      </c>
      <c r="DT13" s="167" t="s">
        <v>1975</v>
      </c>
      <c r="DU13" s="168">
        <v>2</v>
      </c>
      <c r="DV13" s="168" t="s">
        <v>266</v>
      </c>
      <c r="DW13" s="171">
        <v>2023</v>
      </c>
      <c r="DY13" s="171" t="s">
        <v>339</v>
      </c>
      <c r="DZ13" s="171" t="s">
        <v>2020</v>
      </c>
      <c r="EA13" s="171">
        <v>22</v>
      </c>
      <c r="EB13" s="171" t="s">
        <v>685</v>
      </c>
      <c r="EC13" s="171">
        <v>2024</v>
      </c>
      <c r="ED13" s="171"/>
      <c r="EE13" s="171" t="s">
        <v>1171</v>
      </c>
      <c r="EF13" s="167" t="s">
        <v>2033</v>
      </c>
      <c r="EG13" s="168">
        <v>31</v>
      </c>
      <c r="EH13" s="168" t="s">
        <v>1229</v>
      </c>
      <c r="EI13" s="171">
        <v>2023</v>
      </c>
      <c r="EJ13" s="171"/>
      <c r="EK13" s="171" t="s">
        <v>717</v>
      </c>
      <c r="EL13" s="167" t="s">
        <v>1966</v>
      </c>
      <c r="EM13" s="168">
        <v>14</v>
      </c>
      <c r="EN13" s="168" t="s">
        <v>463</v>
      </c>
      <c r="EO13" s="171">
        <v>2022</v>
      </c>
      <c r="EQ13" s="171" t="s">
        <v>1171</v>
      </c>
      <c r="ER13" s="171" t="s">
        <v>1962</v>
      </c>
      <c r="ES13" s="171">
        <v>8</v>
      </c>
      <c r="ET13" s="171" t="s">
        <v>1229</v>
      </c>
      <c r="EU13" s="171">
        <v>2024</v>
      </c>
      <c r="EV13" s="171"/>
      <c r="EW13" s="171" t="s">
        <v>1265</v>
      </c>
      <c r="EX13" s="171" t="s">
        <v>2000</v>
      </c>
      <c r="EY13" s="171">
        <v>0</v>
      </c>
      <c r="EZ13" s="171" t="s">
        <v>990</v>
      </c>
      <c r="FA13" s="171">
        <v>2024</v>
      </c>
      <c r="FB13" s="171"/>
      <c r="FC13" s="171" t="s">
        <v>1171</v>
      </c>
      <c r="FD13" s="167" t="s">
        <v>1971</v>
      </c>
      <c r="FE13" s="168">
        <v>7</v>
      </c>
      <c r="FF13" s="168" t="s">
        <v>903</v>
      </c>
      <c r="FG13" s="171">
        <v>2022</v>
      </c>
      <c r="FI13" s="171" t="s">
        <v>463</v>
      </c>
      <c r="FJ13" s="167" t="s">
        <v>1972</v>
      </c>
      <c r="FK13" s="168">
        <v>1</v>
      </c>
      <c r="FL13" s="168" t="s">
        <v>611</v>
      </c>
      <c r="FM13" s="171">
        <v>2022</v>
      </c>
    </row>
    <row r="14" spans="1:175">
      <c r="A14" s="995">
        <v>10</v>
      </c>
      <c r="B14" s="167" t="s">
        <v>1025</v>
      </c>
      <c r="C14" s="168" t="s">
        <v>1982</v>
      </c>
      <c r="D14" s="168" t="s">
        <v>1957</v>
      </c>
      <c r="E14" s="169" t="s">
        <v>41</v>
      </c>
      <c r="F14" s="168" t="s">
        <v>1265</v>
      </c>
      <c r="G14" s="169" t="s">
        <v>1954</v>
      </c>
      <c r="H14" s="168"/>
      <c r="I14" s="171" t="s">
        <v>611</v>
      </c>
      <c r="J14" s="171" t="s">
        <v>1551</v>
      </c>
      <c r="K14" s="171" t="s">
        <v>1956</v>
      </c>
      <c r="L14" s="171">
        <v>12</v>
      </c>
      <c r="M14" s="171" t="s">
        <v>685</v>
      </c>
      <c r="N14" s="171">
        <v>2024</v>
      </c>
      <c r="O14" s="168"/>
      <c r="P14" s="168" t="s">
        <v>804</v>
      </c>
      <c r="Q14" s="168" t="s">
        <v>1339</v>
      </c>
      <c r="R14" s="168" t="s">
        <v>2005</v>
      </c>
      <c r="S14" s="168">
        <v>7</v>
      </c>
      <c r="T14" s="168" t="s">
        <v>835</v>
      </c>
      <c r="U14" s="168">
        <v>2023</v>
      </c>
      <c r="V14" s="168"/>
      <c r="W14" s="168" t="s">
        <v>502</v>
      </c>
      <c r="X14" s="168" t="s">
        <v>2039</v>
      </c>
      <c r="Y14" s="168" t="s">
        <v>1975</v>
      </c>
      <c r="Z14" s="168">
        <v>4</v>
      </c>
      <c r="AA14" s="168" t="s">
        <v>226</v>
      </c>
      <c r="AB14" s="168">
        <v>2023</v>
      </c>
      <c r="AC14" s="171"/>
      <c r="AD14" s="176" t="s">
        <v>502</v>
      </c>
      <c r="AE14" s="176" t="s">
        <v>2040</v>
      </c>
      <c r="AF14" s="168" t="s">
        <v>2015</v>
      </c>
      <c r="AG14" s="168">
        <v>3</v>
      </c>
      <c r="AH14" s="168" t="s">
        <v>394</v>
      </c>
      <c r="AI14" s="168">
        <v>2022</v>
      </c>
      <c r="AJ14" s="168"/>
      <c r="AK14" s="168" t="s">
        <v>869</v>
      </c>
      <c r="AL14" s="168" t="s">
        <v>1324</v>
      </c>
      <c r="AM14" s="168" t="s">
        <v>2029</v>
      </c>
      <c r="AN14" s="168">
        <v>15</v>
      </c>
      <c r="AO14" s="168" t="s">
        <v>1096</v>
      </c>
      <c r="AP14" s="168">
        <v>2022</v>
      </c>
      <c r="AQ14" s="168"/>
      <c r="AR14" s="168" t="s">
        <v>266</v>
      </c>
      <c r="AS14" s="168" t="s">
        <v>1560</v>
      </c>
      <c r="AT14" s="168" t="s">
        <v>2018</v>
      </c>
      <c r="AU14" s="176" t="s">
        <v>300</v>
      </c>
      <c r="AV14" s="168">
        <v>2022</v>
      </c>
      <c r="AW14" s="168"/>
      <c r="AX14" s="175" t="s">
        <v>770</v>
      </c>
      <c r="AY14" s="175" t="s">
        <v>1527</v>
      </c>
      <c r="AZ14" s="175" t="s">
        <v>2041</v>
      </c>
      <c r="BA14" s="175" t="s">
        <v>1139</v>
      </c>
      <c r="BB14" s="175" t="s">
        <v>2008</v>
      </c>
      <c r="BC14" s="171">
        <v>2022</v>
      </c>
      <c r="BE14" s="168" t="s">
        <v>804</v>
      </c>
      <c r="BF14" s="168" t="s">
        <v>1337</v>
      </c>
      <c r="BG14" s="168" t="s">
        <v>1958</v>
      </c>
      <c r="BH14" s="168">
        <v>3</v>
      </c>
      <c r="BI14" s="168" t="s">
        <v>835</v>
      </c>
      <c r="BJ14" s="171">
        <v>2023</v>
      </c>
      <c r="BK14" s="171"/>
      <c r="BL14" s="445" t="s">
        <v>580</v>
      </c>
      <c r="BM14" s="445" t="s">
        <v>1327</v>
      </c>
      <c r="BN14" s="445" t="s">
        <v>1958</v>
      </c>
      <c r="BO14" s="443" t="s">
        <v>611</v>
      </c>
      <c r="BP14" s="445">
        <v>2022</v>
      </c>
      <c r="BQ14" s="168"/>
      <c r="BR14" s="171" t="s">
        <v>266</v>
      </c>
      <c r="BS14" s="171" t="s">
        <v>1466</v>
      </c>
      <c r="BT14" s="171" t="s">
        <v>1984</v>
      </c>
      <c r="BU14" s="439" t="s">
        <v>2025</v>
      </c>
      <c r="BV14" s="171" t="s">
        <v>717</v>
      </c>
      <c r="BW14" s="171">
        <v>2024</v>
      </c>
      <c r="BX14" s="171"/>
      <c r="BY14" s="171" t="s">
        <v>339</v>
      </c>
      <c r="BZ14" s="167" t="s">
        <v>1360</v>
      </c>
      <c r="CA14" s="168" t="s">
        <v>1989</v>
      </c>
      <c r="CB14" s="168">
        <v>15</v>
      </c>
      <c r="CC14" s="168" t="s">
        <v>463</v>
      </c>
      <c r="CD14" s="171">
        <v>2022</v>
      </c>
      <c r="CF14" s="171" t="s">
        <v>161</v>
      </c>
      <c r="CG14" s="167" t="s">
        <v>1503</v>
      </c>
      <c r="CH14" s="168" t="s">
        <v>1962</v>
      </c>
      <c r="CI14" s="168">
        <v>7</v>
      </c>
      <c r="CJ14" s="168" t="s">
        <v>226</v>
      </c>
      <c r="CK14" s="171">
        <v>2022</v>
      </c>
      <c r="CM14" s="171" t="s">
        <v>1229</v>
      </c>
      <c r="CN14" s="167" t="s">
        <v>1472</v>
      </c>
      <c r="CO14" s="168" t="s">
        <v>1965</v>
      </c>
      <c r="CP14" s="168">
        <v>5</v>
      </c>
      <c r="CQ14" s="168" t="s">
        <v>1265</v>
      </c>
      <c r="CR14" s="171">
        <v>2022</v>
      </c>
      <c r="CT14" s="171" t="s">
        <v>903</v>
      </c>
      <c r="CU14" s="167" t="s">
        <v>2183</v>
      </c>
      <c r="CV14" s="168" t="s">
        <v>1965</v>
      </c>
      <c r="CW14" s="168">
        <v>4</v>
      </c>
      <c r="CX14" s="168" t="s">
        <v>869</v>
      </c>
      <c r="CY14" s="171">
        <v>2022</v>
      </c>
      <c r="DA14" s="171" t="s">
        <v>804</v>
      </c>
      <c r="DB14" s="167" t="s">
        <v>1980</v>
      </c>
      <c r="DC14" s="168">
        <v>16</v>
      </c>
      <c r="DD14" s="168" t="s">
        <v>1096</v>
      </c>
      <c r="DE14" s="171">
        <v>2022</v>
      </c>
      <c r="DG14" s="171" t="s">
        <v>1265</v>
      </c>
      <c r="DH14" s="171" t="s">
        <v>2037</v>
      </c>
      <c r="DI14" s="171">
        <v>20</v>
      </c>
      <c r="DJ14" s="171" t="s">
        <v>835</v>
      </c>
      <c r="DK14" s="171">
        <v>2024</v>
      </c>
      <c r="DL14" s="171"/>
      <c r="DM14" s="171" t="s">
        <v>611</v>
      </c>
      <c r="DN14" s="167" t="s">
        <v>2006</v>
      </c>
      <c r="DO14" s="168">
        <v>10</v>
      </c>
      <c r="DP14" s="168" t="s">
        <v>429</v>
      </c>
      <c r="DQ14" s="171">
        <v>2022</v>
      </c>
      <c r="DS14" s="171" t="s">
        <v>266</v>
      </c>
      <c r="DT14" s="171" t="s">
        <v>1985</v>
      </c>
      <c r="DU14" s="171">
        <v>2</v>
      </c>
      <c r="DV14" s="171" t="s">
        <v>339</v>
      </c>
      <c r="DW14" s="171">
        <v>2024</v>
      </c>
      <c r="DX14" s="171"/>
      <c r="DY14" s="171" t="s">
        <v>1265</v>
      </c>
      <c r="DZ14" s="171" t="s">
        <v>2000</v>
      </c>
      <c r="EA14" s="171">
        <v>22</v>
      </c>
      <c r="EB14" s="171" t="s">
        <v>990</v>
      </c>
      <c r="EC14" s="171">
        <v>2024</v>
      </c>
      <c r="EE14" s="171" t="s">
        <v>611</v>
      </c>
      <c r="EF14" s="171" t="s">
        <v>1962</v>
      </c>
      <c r="EG14" s="171">
        <v>31</v>
      </c>
      <c r="EH14" s="171" t="s">
        <v>685</v>
      </c>
      <c r="EI14" s="171">
        <v>2024</v>
      </c>
      <c r="EJ14" s="171"/>
      <c r="EK14" s="171" t="s">
        <v>502</v>
      </c>
      <c r="EL14" s="167" t="s">
        <v>1966</v>
      </c>
      <c r="EM14" s="168">
        <v>14</v>
      </c>
      <c r="EN14" s="168" t="s">
        <v>650</v>
      </c>
      <c r="EO14" s="171">
        <v>2022</v>
      </c>
      <c r="EQ14" s="171" t="s">
        <v>835</v>
      </c>
      <c r="ER14" s="167" t="s">
        <v>1984</v>
      </c>
      <c r="ES14" s="168">
        <v>9</v>
      </c>
      <c r="ET14" s="168" t="s">
        <v>226</v>
      </c>
      <c r="EU14" s="171">
        <v>2022</v>
      </c>
      <c r="EV14" s="171"/>
      <c r="EW14" s="171" t="s">
        <v>1200</v>
      </c>
      <c r="EX14" s="171" t="s">
        <v>1990</v>
      </c>
      <c r="EY14" s="171">
        <v>0</v>
      </c>
      <c r="EZ14" s="168" t="s">
        <v>770</v>
      </c>
      <c r="FA14" s="171">
        <v>2024</v>
      </c>
      <c r="FB14" s="171"/>
      <c r="FC14" s="171" t="s">
        <v>1171</v>
      </c>
      <c r="FD14" s="167" t="s">
        <v>2001</v>
      </c>
      <c r="FE14" s="168">
        <v>7</v>
      </c>
      <c r="FF14" s="168" t="s">
        <v>952</v>
      </c>
      <c r="FG14" s="171">
        <v>2022</v>
      </c>
      <c r="FI14" s="171" t="s">
        <v>463</v>
      </c>
      <c r="FJ14" s="167" t="s">
        <v>1972</v>
      </c>
      <c r="FK14" s="168">
        <v>1</v>
      </c>
      <c r="FL14" s="168" t="s">
        <v>611</v>
      </c>
      <c r="FM14" s="171">
        <v>2022</v>
      </c>
    </row>
    <row r="15" spans="1:175">
      <c r="A15" s="995">
        <v>11</v>
      </c>
      <c r="B15" s="167" t="s">
        <v>463</v>
      </c>
      <c r="C15" s="168" t="s">
        <v>1448</v>
      </c>
      <c r="D15" s="168" t="s">
        <v>2015</v>
      </c>
      <c r="E15" s="169" t="s">
        <v>41</v>
      </c>
      <c r="F15" s="168" t="s">
        <v>429</v>
      </c>
      <c r="G15" s="169" t="s">
        <v>1954</v>
      </c>
      <c r="H15" s="168"/>
      <c r="I15" s="171" t="s">
        <v>952</v>
      </c>
      <c r="J15" s="171" t="s">
        <v>1316</v>
      </c>
      <c r="K15" s="171" t="s">
        <v>1992</v>
      </c>
      <c r="L15" s="171">
        <v>12</v>
      </c>
      <c r="M15" s="171" t="s">
        <v>835</v>
      </c>
      <c r="N15" s="171">
        <v>2024</v>
      </c>
      <c r="O15" s="171"/>
      <c r="P15" s="168" t="s">
        <v>650</v>
      </c>
      <c r="Q15" s="168" t="s">
        <v>2042</v>
      </c>
      <c r="R15" s="168" t="s">
        <v>1958</v>
      </c>
      <c r="S15" s="169">
        <v>6</v>
      </c>
      <c r="T15" s="168" t="s">
        <v>717</v>
      </c>
      <c r="U15" s="168">
        <v>2022</v>
      </c>
      <c r="V15" s="168"/>
      <c r="W15" s="168" t="s">
        <v>990</v>
      </c>
      <c r="X15" s="168" t="s">
        <v>1330</v>
      </c>
      <c r="Y15" s="168" t="s">
        <v>1955</v>
      </c>
      <c r="Z15" s="168">
        <v>4</v>
      </c>
      <c r="AA15" s="168" t="s">
        <v>804</v>
      </c>
      <c r="AB15" s="168">
        <v>2023</v>
      </c>
      <c r="AC15" s="171"/>
      <c r="AD15" s="176" t="s">
        <v>1062</v>
      </c>
      <c r="AE15" s="176" t="s">
        <v>1516</v>
      </c>
      <c r="AF15" s="168" t="s">
        <v>2015</v>
      </c>
      <c r="AG15" s="168">
        <v>3</v>
      </c>
      <c r="AH15" s="168" t="s">
        <v>1096</v>
      </c>
      <c r="AI15" s="168">
        <v>2022</v>
      </c>
      <c r="AJ15" s="168"/>
      <c r="AK15" s="168" t="s">
        <v>339</v>
      </c>
      <c r="AL15" s="168" t="s">
        <v>1323</v>
      </c>
      <c r="AM15" s="168" t="s">
        <v>1975</v>
      </c>
      <c r="AN15" s="168">
        <v>15</v>
      </c>
      <c r="AO15" s="168" t="s">
        <v>717</v>
      </c>
      <c r="AP15" s="168">
        <v>2022</v>
      </c>
      <c r="AQ15" s="168"/>
      <c r="AR15" s="168" t="s">
        <v>266</v>
      </c>
      <c r="AS15" s="168" t="s">
        <v>1560</v>
      </c>
      <c r="AT15" s="168" t="s">
        <v>2024</v>
      </c>
      <c r="AU15" s="176" t="s">
        <v>650</v>
      </c>
      <c r="AV15" s="168">
        <v>2022</v>
      </c>
      <c r="AW15" s="168"/>
      <c r="AX15" s="168" t="s">
        <v>770</v>
      </c>
      <c r="AY15" s="168" t="s">
        <v>1542</v>
      </c>
      <c r="AZ15" s="168" t="s">
        <v>1981</v>
      </c>
      <c r="BA15" s="168" t="s">
        <v>835</v>
      </c>
      <c r="BB15" s="168" t="s">
        <v>2008</v>
      </c>
      <c r="BC15" s="171">
        <v>2023</v>
      </c>
      <c r="BE15" s="168" t="s">
        <v>611</v>
      </c>
      <c r="BF15" s="168" t="s">
        <v>1346</v>
      </c>
      <c r="BG15" s="168" t="s">
        <v>2043</v>
      </c>
      <c r="BH15" s="168">
        <v>3</v>
      </c>
      <c r="BI15" s="168" t="s">
        <v>717</v>
      </c>
      <c r="BJ15" s="171">
        <v>2023</v>
      </c>
      <c r="BK15" s="171"/>
      <c r="BL15" s="447" t="s">
        <v>903</v>
      </c>
      <c r="BM15" s="447" t="s">
        <v>1695</v>
      </c>
      <c r="BN15" s="447" t="s">
        <v>1959</v>
      </c>
      <c r="BO15" s="447" t="s">
        <v>804</v>
      </c>
      <c r="BP15" s="447">
        <v>2024</v>
      </c>
      <c r="BR15" s="168" t="s">
        <v>226</v>
      </c>
      <c r="BS15" s="168" t="s">
        <v>1434</v>
      </c>
      <c r="BT15" s="168" t="s">
        <v>2033</v>
      </c>
      <c r="BU15" s="169" t="s">
        <v>2044</v>
      </c>
      <c r="BV15" s="168" t="s">
        <v>339</v>
      </c>
      <c r="BW15" s="171">
        <v>2022</v>
      </c>
      <c r="BY15" s="171" t="s">
        <v>835</v>
      </c>
      <c r="BZ15" s="167" t="s">
        <v>1510</v>
      </c>
      <c r="CA15" s="168" t="s">
        <v>1971</v>
      </c>
      <c r="CB15" s="168">
        <v>15</v>
      </c>
      <c r="CC15" s="168" t="s">
        <v>1265</v>
      </c>
      <c r="CD15" s="171">
        <v>2023</v>
      </c>
      <c r="CF15" s="171" t="s">
        <v>339</v>
      </c>
      <c r="CG15" s="167" t="s">
        <v>1432</v>
      </c>
      <c r="CH15" s="168" t="s">
        <v>2011</v>
      </c>
      <c r="CI15" s="168">
        <v>7</v>
      </c>
      <c r="CJ15" s="168" t="s">
        <v>502</v>
      </c>
      <c r="CK15" s="171">
        <v>2022</v>
      </c>
      <c r="CM15" s="171" t="s">
        <v>685</v>
      </c>
      <c r="CN15" s="167" t="s">
        <v>1340</v>
      </c>
      <c r="CO15" s="168" t="s">
        <v>1990</v>
      </c>
      <c r="CP15" s="168">
        <v>5</v>
      </c>
      <c r="CQ15" s="168" t="s">
        <v>463</v>
      </c>
      <c r="CR15" s="171">
        <v>2023</v>
      </c>
      <c r="CT15" s="171" t="s">
        <v>903</v>
      </c>
      <c r="CU15" s="167" t="s">
        <v>2183</v>
      </c>
      <c r="CV15" s="168" t="s">
        <v>2010</v>
      </c>
      <c r="CW15" s="168">
        <v>4</v>
      </c>
      <c r="CX15" s="168" t="s">
        <v>804</v>
      </c>
      <c r="CY15" s="171">
        <v>2022</v>
      </c>
      <c r="DA15" s="171" t="s">
        <v>1229</v>
      </c>
      <c r="DB15" s="167" t="s">
        <v>2005</v>
      </c>
      <c r="DC15" s="168">
        <v>16</v>
      </c>
      <c r="DD15" s="168" t="s">
        <v>1265</v>
      </c>
      <c r="DE15" s="171">
        <v>2022</v>
      </c>
      <c r="DG15" s="171" t="s">
        <v>903</v>
      </c>
      <c r="DH15" s="171" t="s">
        <v>1976</v>
      </c>
      <c r="DI15" s="171">
        <v>20</v>
      </c>
      <c r="DJ15" s="171" t="s">
        <v>804</v>
      </c>
      <c r="DK15" s="171">
        <v>2024</v>
      </c>
      <c r="DL15" s="171"/>
      <c r="DM15" s="171" t="s">
        <v>1171</v>
      </c>
      <c r="DN15" s="167" t="s">
        <v>1976</v>
      </c>
      <c r="DO15" s="168">
        <v>10</v>
      </c>
      <c r="DP15" s="168" t="s">
        <v>1200</v>
      </c>
      <c r="DQ15" s="171">
        <v>2022</v>
      </c>
      <c r="DS15"/>
      <c r="DT15"/>
      <c r="DU15"/>
      <c r="DV15"/>
      <c r="DW15"/>
      <c r="DY15" s="171" t="s">
        <v>804</v>
      </c>
      <c r="DZ15" s="167" t="s">
        <v>2012</v>
      </c>
      <c r="EA15" s="168">
        <v>21</v>
      </c>
      <c r="EB15" s="168" t="s">
        <v>903</v>
      </c>
      <c r="EC15" s="171">
        <v>2022</v>
      </c>
      <c r="EE15" s="171" t="s">
        <v>1062</v>
      </c>
      <c r="EF15" s="171" t="s">
        <v>2013</v>
      </c>
      <c r="EG15" s="171">
        <v>31</v>
      </c>
      <c r="EH15" s="171" t="s">
        <v>429</v>
      </c>
      <c r="EI15" s="171">
        <v>2024</v>
      </c>
      <c r="EJ15" s="171"/>
      <c r="EK15" s="171" t="s">
        <v>165</v>
      </c>
      <c r="EL15" s="167" t="s">
        <v>1971</v>
      </c>
      <c r="EM15" s="168">
        <v>14</v>
      </c>
      <c r="EN15" s="168" t="s">
        <v>804</v>
      </c>
      <c r="EO15" s="171">
        <v>2022</v>
      </c>
      <c r="EQ15" s="171" t="s">
        <v>990</v>
      </c>
      <c r="ER15" s="167" t="s">
        <v>1966</v>
      </c>
      <c r="ES15" s="168">
        <v>9</v>
      </c>
      <c r="ET15" s="168" t="s">
        <v>869</v>
      </c>
      <c r="EU15" s="171">
        <v>2022</v>
      </c>
      <c r="EW15" s="171" t="s">
        <v>339</v>
      </c>
      <c r="EX15" s="171" t="s">
        <v>2033</v>
      </c>
      <c r="EY15" s="171">
        <v>0</v>
      </c>
      <c r="EZ15" s="171" t="s">
        <v>266</v>
      </c>
      <c r="FA15" s="171">
        <v>2024</v>
      </c>
      <c r="FB15" s="171"/>
      <c r="FC15" s="171" t="s">
        <v>1171</v>
      </c>
      <c r="FD15" s="167" t="s">
        <v>1988</v>
      </c>
      <c r="FE15" s="168">
        <v>7</v>
      </c>
      <c r="FF15" s="168" t="s">
        <v>685</v>
      </c>
      <c r="FG15" s="171">
        <v>2022</v>
      </c>
      <c r="FI15" s="171" t="s">
        <v>835</v>
      </c>
      <c r="FJ15" s="167" t="s">
        <v>2000</v>
      </c>
      <c r="FK15" s="168">
        <v>1</v>
      </c>
      <c r="FL15" s="168" t="s">
        <v>1229</v>
      </c>
      <c r="FM15" s="171">
        <v>2022</v>
      </c>
    </row>
    <row r="16" spans="1:175">
      <c r="A16" s="995">
        <v>12</v>
      </c>
      <c r="B16" s="167" t="s">
        <v>580</v>
      </c>
      <c r="C16" s="168" t="s">
        <v>1348</v>
      </c>
      <c r="D16" s="168" t="s">
        <v>2017</v>
      </c>
      <c r="E16" s="169" t="s">
        <v>41</v>
      </c>
      <c r="F16" s="168" t="s">
        <v>611</v>
      </c>
      <c r="G16" s="169" t="s">
        <v>1954</v>
      </c>
      <c r="H16" s="171"/>
      <c r="I16" s="167" t="s">
        <v>1171</v>
      </c>
      <c r="J16" s="171" t="s">
        <v>1543</v>
      </c>
      <c r="K16" s="171" t="s">
        <v>2032</v>
      </c>
      <c r="L16" s="171">
        <v>12</v>
      </c>
      <c r="M16" s="171" t="s">
        <v>990</v>
      </c>
      <c r="N16" s="171">
        <v>2024</v>
      </c>
      <c r="O16" s="171"/>
      <c r="P16" s="168" t="s">
        <v>1265</v>
      </c>
      <c r="Q16" s="168" t="s">
        <v>2045</v>
      </c>
      <c r="R16" s="168" t="s">
        <v>1992</v>
      </c>
      <c r="S16" s="169">
        <v>6</v>
      </c>
      <c r="T16" s="168" t="s">
        <v>1171</v>
      </c>
      <c r="U16" s="168">
        <v>2022</v>
      </c>
      <c r="V16" s="168"/>
      <c r="W16" s="168" t="s">
        <v>339</v>
      </c>
      <c r="X16" s="168" t="s">
        <v>1633</v>
      </c>
      <c r="Y16" s="168" t="s">
        <v>1968</v>
      </c>
      <c r="Z16" s="168">
        <v>4</v>
      </c>
      <c r="AA16" s="168" t="s">
        <v>429</v>
      </c>
      <c r="AB16" s="168">
        <v>2024</v>
      </c>
      <c r="AC16" s="171"/>
      <c r="AD16" s="176" t="s">
        <v>770</v>
      </c>
      <c r="AE16" s="176" t="s">
        <v>2046</v>
      </c>
      <c r="AF16" s="168" t="s">
        <v>1993</v>
      </c>
      <c r="AG16" s="168">
        <v>3</v>
      </c>
      <c r="AH16" s="168" t="s">
        <v>804</v>
      </c>
      <c r="AI16" s="168">
        <v>2022</v>
      </c>
      <c r="AJ16" s="168"/>
      <c r="AK16" s="168" t="s">
        <v>165</v>
      </c>
      <c r="AL16" s="168" t="s">
        <v>1667</v>
      </c>
      <c r="AM16" s="168" t="s">
        <v>2047</v>
      </c>
      <c r="AN16" s="168">
        <v>15</v>
      </c>
      <c r="AO16" s="168" t="s">
        <v>266</v>
      </c>
      <c r="AP16" s="168">
        <v>2023</v>
      </c>
      <c r="AQ16" s="171"/>
      <c r="AR16" s="168" t="s">
        <v>1229</v>
      </c>
      <c r="AS16" s="168" t="s">
        <v>1534</v>
      </c>
      <c r="AT16" s="168" t="s">
        <v>2024</v>
      </c>
      <c r="AU16" s="176" t="s">
        <v>1096</v>
      </c>
      <c r="AV16" s="168">
        <v>2022</v>
      </c>
      <c r="AW16" s="168"/>
      <c r="AX16" s="168" t="s">
        <v>1229</v>
      </c>
      <c r="AY16" s="168" t="s">
        <v>1534</v>
      </c>
      <c r="AZ16" s="168" t="s">
        <v>1978</v>
      </c>
      <c r="BA16" s="168" t="s">
        <v>1062</v>
      </c>
      <c r="BB16" s="168" t="s">
        <v>2008</v>
      </c>
      <c r="BC16" s="171">
        <v>2023</v>
      </c>
      <c r="BE16" s="171" t="s">
        <v>770</v>
      </c>
      <c r="BF16" s="171" t="s">
        <v>1601</v>
      </c>
      <c r="BG16" s="171" t="s">
        <v>2048</v>
      </c>
      <c r="BH16" s="171">
        <v>3</v>
      </c>
      <c r="BI16" s="171" t="s">
        <v>1171</v>
      </c>
      <c r="BJ16" s="171">
        <v>2024</v>
      </c>
      <c r="BK16" s="171"/>
      <c r="BL16" s="447" t="s">
        <v>226</v>
      </c>
      <c r="BM16" s="447" t="s">
        <v>1353</v>
      </c>
      <c r="BN16" s="447" t="s">
        <v>1978</v>
      </c>
      <c r="BO16" s="447" t="s">
        <v>717</v>
      </c>
      <c r="BP16" s="447">
        <v>2024</v>
      </c>
      <c r="BQ16" s="171"/>
      <c r="BR16" s="168" t="s">
        <v>717</v>
      </c>
      <c r="BS16" s="168" t="s">
        <v>1326</v>
      </c>
      <c r="BT16" s="168" t="s">
        <v>2001</v>
      </c>
      <c r="BU16" s="169" t="s">
        <v>2044</v>
      </c>
      <c r="BV16" s="168" t="s">
        <v>463</v>
      </c>
      <c r="BW16" s="171">
        <v>2023</v>
      </c>
      <c r="BY16" s="171" t="s">
        <v>685</v>
      </c>
      <c r="BZ16" s="167" t="s">
        <v>2049</v>
      </c>
      <c r="CA16" s="168" t="s">
        <v>1965</v>
      </c>
      <c r="CB16" s="168">
        <v>15</v>
      </c>
      <c r="CC16" s="168" t="s">
        <v>717</v>
      </c>
      <c r="CD16" s="171">
        <v>2023</v>
      </c>
      <c r="CE16" s="171"/>
      <c r="CF16" s="171" t="s">
        <v>1229</v>
      </c>
      <c r="CG16" s="167" t="s">
        <v>1472</v>
      </c>
      <c r="CH16" s="168" t="s">
        <v>2011</v>
      </c>
      <c r="CI16" s="168">
        <v>7</v>
      </c>
      <c r="CJ16" s="168" t="s">
        <v>1265</v>
      </c>
      <c r="CK16" s="171">
        <v>2022</v>
      </c>
      <c r="CM16" s="171" t="s">
        <v>394</v>
      </c>
      <c r="CN16" s="167" t="s">
        <v>1452</v>
      </c>
      <c r="CO16" s="168" t="s">
        <v>1971</v>
      </c>
      <c r="CP16" s="168">
        <v>5</v>
      </c>
      <c r="CQ16" s="168" t="s">
        <v>580</v>
      </c>
      <c r="CR16" s="171">
        <v>2023</v>
      </c>
      <c r="CT16" s="171" t="s">
        <v>429</v>
      </c>
      <c r="CU16" s="167" t="s">
        <v>1319</v>
      </c>
      <c r="CV16" s="168" t="s">
        <v>2020</v>
      </c>
      <c r="CW16" s="168">
        <v>4</v>
      </c>
      <c r="CX16" s="168" t="s">
        <v>1062</v>
      </c>
      <c r="CY16" s="171">
        <v>2023</v>
      </c>
      <c r="DA16" s="171" t="s">
        <v>226</v>
      </c>
      <c r="DB16" s="167" t="s">
        <v>1992</v>
      </c>
      <c r="DC16" s="168">
        <v>16</v>
      </c>
      <c r="DD16" s="168" t="s">
        <v>502</v>
      </c>
      <c r="DE16" s="171">
        <v>2024</v>
      </c>
      <c r="DG16" s="171" t="s">
        <v>952</v>
      </c>
      <c r="DH16" s="171" t="s">
        <v>1977</v>
      </c>
      <c r="DI16" s="171">
        <v>20</v>
      </c>
      <c r="DJ16" s="171" t="s">
        <v>804</v>
      </c>
      <c r="DK16" s="171">
        <v>2024</v>
      </c>
      <c r="DL16" s="171"/>
      <c r="DM16" s="171" t="s">
        <v>539</v>
      </c>
      <c r="DN16" s="167" t="s">
        <v>1995</v>
      </c>
      <c r="DO16" s="168">
        <v>10</v>
      </c>
      <c r="DP16" s="168" t="s">
        <v>394</v>
      </c>
      <c r="DQ16" s="171">
        <v>2022</v>
      </c>
      <c r="DR16" s="168"/>
      <c r="DS16"/>
      <c r="DT16"/>
      <c r="DU16"/>
      <c r="DV16"/>
      <c r="DW16"/>
      <c r="DY16" s="171" t="s">
        <v>804</v>
      </c>
      <c r="DZ16" s="167" t="s">
        <v>1984</v>
      </c>
      <c r="EA16" s="168">
        <v>21</v>
      </c>
      <c r="EB16" s="168" t="s">
        <v>1096</v>
      </c>
      <c r="EC16" s="171">
        <v>2022</v>
      </c>
      <c r="EE16" s="171" t="s">
        <v>226</v>
      </c>
      <c r="EF16" s="167" t="s">
        <v>2033</v>
      </c>
      <c r="EG16" s="168">
        <v>30</v>
      </c>
      <c r="EH16" s="168" t="s">
        <v>339</v>
      </c>
      <c r="EI16" s="171">
        <v>2022</v>
      </c>
      <c r="EK16" s="171" t="s">
        <v>1025</v>
      </c>
      <c r="EL16" s="167" t="s">
        <v>2001</v>
      </c>
      <c r="EM16" s="168">
        <v>14</v>
      </c>
      <c r="EN16" s="168" t="s">
        <v>1229</v>
      </c>
      <c r="EO16" s="171">
        <v>2022</v>
      </c>
      <c r="EQ16" s="171" t="s">
        <v>429</v>
      </c>
      <c r="ER16" s="167" t="s">
        <v>2010</v>
      </c>
      <c r="ES16" s="168">
        <v>9</v>
      </c>
      <c r="ET16" s="168" t="s">
        <v>266</v>
      </c>
      <c r="EU16" s="171">
        <v>2022</v>
      </c>
      <c r="EW16" s="171" t="s">
        <v>804</v>
      </c>
      <c r="EX16" s="171" t="s">
        <v>2033</v>
      </c>
      <c r="EY16" s="171">
        <v>0</v>
      </c>
      <c r="EZ16" s="171" t="s">
        <v>869</v>
      </c>
      <c r="FA16" s="171">
        <v>2024</v>
      </c>
      <c r="FB16" s="171"/>
      <c r="FC16" s="171" t="s">
        <v>804</v>
      </c>
      <c r="FD16" s="167" t="s">
        <v>1973</v>
      </c>
      <c r="FE16" s="168">
        <v>7</v>
      </c>
      <c r="FF16" s="168" t="s">
        <v>835</v>
      </c>
      <c r="FG16" s="171">
        <v>2023</v>
      </c>
      <c r="FI16" s="171" t="s">
        <v>685</v>
      </c>
      <c r="FJ16" s="167" t="s">
        <v>2013</v>
      </c>
      <c r="FK16" s="168">
        <v>1</v>
      </c>
      <c r="FL16" s="168" t="s">
        <v>300</v>
      </c>
      <c r="FM16" s="171">
        <v>2022</v>
      </c>
    </row>
    <row r="17" spans="1:170" ht="17" thickBot="1">
      <c r="A17" s="995">
        <v>13</v>
      </c>
      <c r="B17" s="991" t="s">
        <v>266</v>
      </c>
      <c r="C17" s="171" t="s">
        <v>1541</v>
      </c>
      <c r="D17" s="171" t="s">
        <v>1967</v>
      </c>
      <c r="E17" s="169" t="s">
        <v>41</v>
      </c>
      <c r="F17" s="171" t="s">
        <v>770</v>
      </c>
      <c r="G17" s="439" t="s">
        <v>1974</v>
      </c>
      <c r="H17" s="171"/>
      <c r="I17" s="168" t="s">
        <v>990</v>
      </c>
      <c r="J17" s="168" t="s">
        <v>1496</v>
      </c>
      <c r="K17" s="168" t="s">
        <v>2004</v>
      </c>
      <c r="L17" s="168">
        <v>11</v>
      </c>
      <c r="M17" s="168" t="s">
        <v>1139</v>
      </c>
      <c r="N17" s="168">
        <v>2022</v>
      </c>
      <c r="O17" s="168"/>
      <c r="P17" s="168" t="s">
        <v>650</v>
      </c>
      <c r="Q17" s="168" t="s">
        <v>2050</v>
      </c>
      <c r="R17" s="168" t="s">
        <v>1957</v>
      </c>
      <c r="S17" s="168">
        <v>6</v>
      </c>
      <c r="T17" s="168" t="s">
        <v>300</v>
      </c>
      <c r="U17" s="168">
        <v>2022</v>
      </c>
      <c r="V17" s="168"/>
      <c r="W17" s="171" t="s">
        <v>611</v>
      </c>
      <c r="X17" s="171" t="s">
        <v>1551</v>
      </c>
      <c r="Y17" s="171" t="s">
        <v>1956</v>
      </c>
      <c r="Z17" s="171">
        <v>4</v>
      </c>
      <c r="AA17" s="171" t="s">
        <v>685</v>
      </c>
      <c r="AB17" s="171">
        <v>2024</v>
      </c>
      <c r="AC17" s="171"/>
      <c r="AD17" s="176" t="s">
        <v>770</v>
      </c>
      <c r="AE17" s="176" t="s">
        <v>1545</v>
      </c>
      <c r="AF17" s="168" t="s">
        <v>2027</v>
      </c>
      <c r="AG17" s="168">
        <v>3</v>
      </c>
      <c r="AH17" s="168" t="s">
        <v>869</v>
      </c>
      <c r="AI17" s="168">
        <v>2022</v>
      </c>
      <c r="AJ17" s="168"/>
      <c r="AK17" s="168" t="s">
        <v>903</v>
      </c>
      <c r="AL17" s="168" t="s">
        <v>1347</v>
      </c>
      <c r="AM17" s="168" t="s">
        <v>2032</v>
      </c>
      <c r="AN17" s="168">
        <v>15</v>
      </c>
      <c r="AO17" s="168" t="s">
        <v>1265</v>
      </c>
      <c r="AP17" s="168">
        <v>2023</v>
      </c>
      <c r="AQ17" s="168"/>
      <c r="AR17" s="168" t="s">
        <v>835</v>
      </c>
      <c r="AS17" s="168" t="s">
        <v>1979</v>
      </c>
      <c r="AT17" s="168" t="s">
        <v>1980</v>
      </c>
      <c r="AU17" s="176" t="s">
        <v>226</v>
      </c>
      <c r="AV17" s="168">
        <v>2022</v>
      </c>
      <c r="AW17" s="168"/>
      <c r="AX17" s="168" t="s">
        <v>339</v>
      </c>
      <c r="AY17" s="168" t="s">
        <v>1552</v>
      </c>
      <c r="AZ17" s="168" t="s">
        <v>2032</v>
      </c>
      <c r="BA17" s="168" t="s">
        <v>650</v>
      </c>
      <c r="BB17" s="168" t="s">
        <v>2008</v>
      </c>
      <c r="BC17" s="171">
        <v>2023</v>
      </c>
      <c r="BE17" s="171" t="s">
        <v>1265</v>
      </c>
      <c r="BF17" s="171" t="s">
        <v>1693</v>
      </c>
      <c r="BG17" s="171" t="s">
        <v>2048</v>
      </c>
      <c r="BH17" s="171">
        <v>3</v>
      </c>
      <c r="BI17" s="171" t="s">
        <v>990</v>
      </c>
      <c r="BJ17" s="171">
        <v>2024</v>
      </c>
      <c r="BQ17" s="168"/>
      <c r="BR17" s="168" t="s">
        <v>1171</v>
      </c>
      <c r="BS17" s="168" t="s">
        <v>1467</v>
      </c>
      <c r="BT17" s="168" t="s">
        <v>2033</v>
      </c>
      <c r="BU17" s="169" t="s">
        <v>2044</v>
      </c>
      <c r="BV17" s="168" t="s">
        <v>1229</v>
      </c>
      <c r="BW17" s="171">
        <v>2023</v>
      </c>
      <c r="BY17" s="171" t="s">
        <v>1171</v>
      </c>
      <c r="BZ17" s="167" t="s">
        <v>1467</v>
      </c>
      <c r="CA17" s="168" t="s">
        <v>2033</v>
      </c>
      <c r="CB17" s="168">
        <v>15</v>
      </c>
      <c r="CC17" s="168" t="s">
        <v>1229</v>
      </c>
      <c r="CD17" s="171">
        <v>2023</v>
      </c>
      <c r="CE17" s="171"/>
      <c r="CF17" s="171" t="s">
        <v>394</v>
      </c>
      <c r="CG17" s="167" t="s">
        <v>1452</v>
      </c>
      <c r="CH17" s="168" t="s">
        <v>1966</v>
      </c>
      <c r="CI17" s="168">
        <v>7</v>
      </c>
      <c r="CJ17" s="168" t="s">
        <v>226</v>
      </c>
      <c r="CK17" s="171">
        <v>2022</v>
      </c>
      <c r="CM17" s="171" t="s">
        <v>835</v>
      </c>
      <c r="CN17" s="167" t="s">
        <v>1510</v>
      </c>
      <c r="CO17" s="168" t="s">
        <v>1971</v>
      </c>
      <c r="CP17" s="168">
        <v>5</v>
      </c>
      <c r="CQ17" s="168" t="s">
        <v>1265</v>
      </c>
      <c r="CR17" s="171">
        <v>2023</v>
      </c>
      <c r="CT17" s="171" t="s">
        <v>717</v>
      </c>
      <c r="CU17" s="167" t="s">
        <v>1517</v>
      </c>
      <c r="CV17" s="168" t="s">
        <v>2020</v>
      </c>
      <c r="CW17" s="168">
        <v>4</v>
      </c>
      <c r="CX17" s="168" t="s">
        <v>502</v>
      </c>
      <c r="CY17" s="171">
        <v>2023</v>
      </c>
      <c r="DA17" s="171" t="s">
        <v>539</v>
      </c>
      <c r="DB17" s="167" t="s">
        <v>2003</v>
      </c>
      <c r="DC17" s="168">
        <v>16</v>
      </c>
      <c r="DD17" s="168" t="s">
        <v>685</v>
      </c>
      <c r="DE17" s="171">
        <v>2024</v>
      </c>
      <c r="DG17" s="171" t="s">
        <v>339</v>
      </c>
      <c r="DH17" s="167" t="s">
        <v>2018</v>
      </c>
      <c r="DI17" s="168">
        <v>19</v>
      </c>
      <c r="DJ17" s="168" t="s">
        <v>502</v>
      </c>
      <c r="DK17" s="171">
        <v>2022</v>
      </c>
      <c r="DM17" s="171" t="s">
        <v>804</v>
      </c>
      <c r="DN17" s="171" t="s">
        <v>2005</v>
      </c>
      <c r="DO17" s="171">
        <v>10</v>
      </c>
      <c r="DP17" s="171" t="s">
        <v>903</v>
      </c>
      <c r="DQ17" s="171">
        <v>2024</v>
      </c>
      <c r="DS17"/>
      <c r="DT17"/>
      <c r="DU17"/>
      <c r="DV17"/>
      <c r="DW17"/>
      <c r="DY17" s="171" t="s">
        <v>161</v>
      </c>
      <c r="DZ17" s="167" t="s">
        <v>1962</v>
      </c>
      <c r="EA17" s="168">
        <v>21</v>
      </c>
      <c r="EB17" s="168" t="s">
        <v>226</v>
      </c>
      <c r="EC17" s="171">
        <v>2022</v>
      </c>
      <c r="EE17" s="171" t="s">
        <v>165</v>
      </c>
      <c r="EF17" s="167" t="s">
        <v>1973</v>
      </c>
      <c r="EG17" s="168">
        <v>30</v>
      </c>
      <c r="EH17" s="168" t="s">
        <v>226</v>
      </c>
      <c r="EI17" s="171">
        <v>2023</v>
      </c>
      <c r="EK17" s="171" t="s">
        <v>429</v>
      </c>
      <c r="EL17" s="167" t="s">
        <v>2010</v>
      </c>
      <c r="EM17" s="168">
        <v>14</v>
      </c>
      <c r="EN17" s="168" t="s">
        <v>266</v>
      </c>
      <c r="EO17" s="171">
        <v>2022</v>
      </c>
      <c r="EQ17" s="171" t="s">
        <v>1265</v>
      </c>
      <c r="ER17" s="167" t="s">
        <v>1988</v>
      </c>
      <c r="ES17" s="168">
        <v>9</v>
      </c>
      <c r="ET17" s="168" t="s">
        <v>1139</v>
      </c>
      <c r="EU17" s="171">
        <v>2022</v>
      </c>
      <c r="EW17" s="171" t="s">
        <v>835</v>
      </c>
      <c r="EX17" s="167" t="s">
        <v>1962</v>
      </c>
      <c r="EY17" s="168">
        <v>1</v>
      </c>
      <c r="EZ17" s="168" t="s">
        <v>903</v>
      </c>
      <c r="FA17" s="171">
        <v>2022</v>
      </c>
      <c r="FC17" s="171" t="s">
        <v>835</v>
      </c>
      <c r="FD17" s="167" t="s">
        <v>2000</v>
      </c>
      <c r="FE17" s="168">
        <v>7</v>
      </c>
      <c r="FF17" s="168" t="s">
        <v>1096</v>
      </c>
      <c r="FG17" s="171">
        <v>2023</v>
      </c>
      <c r="FI17" s="171" t="s">
        <v>685</v>
      </c>
      <c r="FJ17" s="167" t="s">
        <v>2010</v>
      </c>
      <c r="FK17" s="168">
        <v>1</v>
      </c>
      <c r="FL17" s="168" t="s">
        <v>650</v>
      </c>
      <c r="FM17" s="171">
        <v>2022</v>
      </c>
    </row>
    <row r="18" spans="1:170" ht="17" thickBot="1">
      <c r="A18" s="995">
        <v>14</v>
      </c>
      <c r="B18" s="991" t="s">
        <v>903</v>
      </c>
      <c r="C18" s="171" t="s">
        <v>1449</v>
      </c>
      <c r="D18" s="171" t="s">
        <v>1969</v>
      </c>
      <c r="E18" s="439" t="s">
        <v>41</v>
      </c>
      <c r="F18" s="171" t="s">
        <v>1025</v>
      </c>
      <c r="G18" s="439" t="s">
        <v>1974</v>
      </c>
      <c r="H18" s="171"/>
      <c r="I18" s="168" t="s">
        <v>580</v>
      </c>
      <c r="J18" s="168" t="s">
        <v>1325</v>
      </c>
      <c r="K18" s="168" t="s">
        <v>2015</v>
      </c>
      <c r="L18" s="168">
        <v>11</v>
      </c>
      <c r="M18" s="168" t="s">
        <v>611</v>
      </c>
      <c r="N18" s="168">
        <v>2022</v>
      </c>
      <c r="O18" s="168"/>
      <c r="P18" s="168" t="s">
        <v>226</v>
      </c>
      <c r="Q18" s="168" t="s">
        <v>1321</v>
      </c>
      <c r="R18" s="168" t="s">
        <v>1952</v>
      </c>
      <c r="S18" s="168">
        <v>6</v>
      </c>
      <c r="T18" s="168" t="s">
        <v>685</v>
      </c>
      <c r="U18" s="168">
        <v>2022</v>
      </c>
      <c r="V18" s="168"/>
      <c r="W18" s="171" t="s">
        <v>952</v>
      </c>
      <c r="X18" s="171" t="s">
        <v>1498</v>
      </c>
      <c r="Y18" s="171" t="s">
        <v>1957</v>
      </c>
      <c r="Z18" s="171">
        <v>4</v>
      </c>
      <c r="AA18" s="171" t="s">
        <v>1265</v>
      </c>
      <c r="AB18" s="171">
        <v>2024</v>
      </c>
      <c r="AC18" s="171"/>
      <c r="AD18" s="168" t="s">
        <v>1171</v>
      </c>
      <c r="AE18" s="168" t="s">
        <v>1486</v>
      </c>
      <c r="AF18" s="168" t="s">
        <v>1956</v>
      </c>
      <c r="AG18" s="168">
        <v>3</v>
      </c>
      <c r="AH18" s="168" t="s">
        <v>685</v>
      </c>
      <c r="AI18" s="168">
        <v>2023</v>
      </c>
      <c r="AJ18" s="168"/>
      <c r="AK18" s="171" t="s">
        <v>463</v>
      </c>
      <c r="AL18" s="171" t="s">
        <v>1677</v>
      </c>
      <c r="AM18" s="171" t="s">
        <v>1975</v>
      </c>
      <c r="AN18" s="171">
        <v>15</v>
      </c>
      <c r="AO18" s="171" t="s">
        <v>165</v>
      </c>
      <c r="AP18" s="171">
        <v>2024</v>
      </c>
      <c r="AQ18" s="168"/>
      <c r="AR18" s="168" t="s">
        <v>650</v>
      </c>
      <c r="AS18" s="168" t="s">
        <v>2050</v>
      </c>
      <c r="AT18" s="168" t="s">
        <v>1957</v>
      </c>
      <c r="AU18" s="176" t="s">
        <v>300</v>
      </c>
      <c r="AV18" s="168">
        <v>2022</v>
      </c>
      <c r="AW18" s="168"/>
      <c r="AX18" s="168" t="s">
        <v>611</v>
      </c>
      <c r="AY18" s="168" t="s">
        <v>1567</v>
      </c>
      <c r="AZ18" s="168" t="s">
        <v>2005</v>
      </c>
      <c r="BA18" s="168" t="s">
        <v>1229</v>
      </c>
      <c r="BB18" s="168" t="s">
        <v>2008</v>
      </c>
      <c r="BC18" s="171">
        <v>2023</v>
      </c>
      <c r="BE18" s="168" t="s">
        <v>770</v>
      </c>
      <c r="BF18" s="168" t="s">
        <v>1333</v>
      </c>
      <c r="BG18" s="168" t="s">
        <v>2018</v>
      </c>
      <c r="BH18" s="168">
        <v>4</v>
      </c>
      <c r="BI18" s="168" t="s">
        <v>869</v>
      </c>
      <c r="BJ18" s="171">
        <v>2022</v>
      </c>
      <c r="BL18" s="1099" t="s">
        <v>2051</v>
      </c>
      <c r="BM18" s="1100"/>
      <c r="BN18" s="1100"/>
      <c r="BO18" s="1100"/>
      <c r="BP18" s="1101"/>
      <c r="BQ18" s="168"/>
      <c r="BR18" s="171" t="s">
        <v>1265</v>
      </c>
      <c r="BS18" s="171" t="s">
        <v>1335</v>
      </c>
      <c r="BT18" s="171" t="s">
        <v>2000</v>
      </c>
      <c r="BU18" s="439" t="s">
        <v>2044</v>
      </c>
      <c r="BV18" s="171" t="s">
        <v>990</v>
      </c>
      <c r="BW18" s="171">
        <v>2024</v>
      </c>
      <c r="BX18" s="171"/>
      <c r="BY18" s="168" t="s">
        <v>804</v>
      </c>
      <c r="BZ18" s="168" t="s">
        <v>1502</v>
      </c>
      <c r="CA18" s="168" t="s">
        <v>2012</v>
      </c>
      <c r="CB18" s="168">
        <v>15</v>
      </c>
      <c r="CC18" s="168" t="s">
        <v>990</v>
      </c>
      <c r="CD18" s="168">
        <v>2024</v>
      </c>
      <c r="CE18" s="171"/>
      <c r="CF18" s="171" t="s">
        <v>300</v>
      </c>
      <c r="CG18" s="167" t="s">
        <v>1315</v>
      </c>
      <c r="CH18" s="168" t="s">
        <v>1966</v>
      </c>
      <c r="CI18" s="168">
        <v>7</v>
      </c>
      <c r="CJ18" s="168" t="s">
        <v>539</v>
      </c>
      <c r="CK18" s="171">
        <v>2022</v>
      </c>
      <c r="CM18" s="171" t="s">
        <v>990</v>
      </c>
      <c r="CN18" s="167" t="s">
        <v>2034</v>
      </c>
      <c r="CO18" s="168" t="s">
        <v>1988</v>
      </c>
      <c r="CP18" s="168">
        <v>5</v>
      </c>
      <c r="CQ18" s="168" t="s">
        <v>1025</v>
      </c>
      <c r="CR18" s="171">
        <v>2023</v>
      </c>
      <c r="CT18" s="171" t="s">
        <v>429</v>
      </c>
      <c r="CU18" s="167" t="s">
        <v>1319</v>
      </c>
      <c r="CV18" s="168" t="s">
        <v>1989</v>
      </c>
      <c r="CW18" s="168">
        <v>4</v>
      </c>
      <c r="CX18" s="168" t="s">
        <v>539</v>
      </c>
      <c r="CY18" s="171">
        <v>2023</v>
      </c>
      <c r="DA18"/>
      <c r="DB18"/>
      <c r="DC18"/>
      <c r="DD18"/>
      <c r="DE18"/>
      <c r="DG18" s="171" t="s">
        <v>1025</v>
      </c>
      <c r="DH18" s="167" t="s">
        <v>1975</v>
      </c>
      <c r="DI18" s="168">
        <v>19</v>
      </c>
      <c r="DJ18" s="168" t="s">
        <v>1229</v>
      </c>
      <c r="DK18" s="171">
        <v>2022</v>
      </c>
      <c r="DM18" s="171" t="s">
        <v>770</v>
      </c>
      <c r="DN18" s="171" t="s">
        <v>2043</v>
      </c>
      <c r="DO18" s="171">
        <v>10</v>
      </c>
      <c r="DP18" s="171" t="s">
        <v>1062</v>
      </c>
      <c r="DQ18" s="171">
        <v>2024</v>
      </c>
      <c r="DS18"/>
      <c r="DT18"/>
      <c r="DU18"/>
      <c r="DV18"/>
      <c r="DW18"/>
      <c r="DY18" s="171" t="s">
        <v>266</v>
      </c>
      <c r="DZ18" s="167" t="s">
        <v>1966</v>
      </c>
      <c r="EA18" s="168">
        <v>21</v>
      </c>
      <c r="EB18" s="168" t="s">
        <v>580</v>
      </c>
      <c r="EC18" s="171">
        <v>2022</v>
      </c>
      <c r="EE18" s="171" t="s">
        <v>463</v>
      </c>
      <c r="EF18" s="171" t="s">
        <v>1962</v>
      </c>
      <c r="EG18" s="171">
        <v>30</v>
      </c>
      <c r="EH18" s="171" t="s">
        <v>539</v>
      </c>
      <c r="EI18" s="171">
        <v>2024</v>
      </c>
      <c r="EK18" s="171" t="s">
        <v>539</v>
      </c>
      <c r="EL18" s="167" t="s">
        <v>2010</v>
      </c>
      <c r="EM18" s="168">
        <v>14</v>
      </c>
      <c r="EN18" s="168" t="s">
        <v>394</v>
      </c>
      <c r="EO18" s="171">
        <v>2022</v>
      </c>
      <c r="EQ18" s="171" t="s">
        <v>580</v>
      </c>
      <c r="ER18" s="167" t="s">
        <v>1965</v>
      </c>
      <c r="ES18" s="168">
        <v>9</v>
      </c>
      <c r="ET18" s="168" t="s">
        <v>650</v>
      </c>
      <c r="EU18" s="171">
        <v>2023</v>
      </c>
      <c r="EW18" s="171" t="s">
        <v>770</v>
      </c>
      <c r="EX18" s="167" t="s">
        <v>2011</v>
      </c>
      <c r="EY18" s="168">
        <v>1</v>
      </c>
      <c r="EZ18" s="168" t="s">
        <v>869</v>
      </c>
      <c r="FA18" s="171">
        <v>2022</v>
      </c>
      <c r="FC18" s="171" t="s">
        <v>835</v>
      </c>
      <c r="FD18" s="167" t="s">
        <v>2033</v>
      </c>
      <c r="FE18" s="168">
        <v>7</v>
      </c>
      <c r="FF18" s="168" t="s">
        <v>903</v>
      </c>
      <c r="FG18" s="171">
        <v>2023</v>
      </c>
      <c r="FI18" s="171" t="s">
        <v>804</v>
      </c>
      <c r="FJ18" s="167" t="s">
        <v>1973</v>
      </c>
      <c r="FK18" s="168">
        <v>1</v>
      </c>
      <c r="FL18" s="168" t="s">
        <v>835</v>
      </c>
      <c r="FM18" s="171">
        <v>2023</v>
      </c>
    </row>
    <row r="19" spans="1:170">
      <c r="A19" s="995">
        <v>15</v>
      </c>
      <c r="B19" s="991" t="s">
        <v>1139</v>
      </c>
      <c r="C19" s="171" t="s">
        <v>1431</v>
      </c>
      <c r="D19" s="171" t="s">
        <v>2017</v>
      </c>
      <c r="E19" s="439" t="s">
        <v>41</v>
      </c>
      <c r="F19" s="171" t="s">
        <v>1200</v>
      </c>
      <c r="G19" s="439" t="s">
        <v>1974</v>
      </c>
      <c r="H19" s="171"/>
      <c r="I19" s="168" t="s">
        <v>804</v>
      </c>
      <c r="J19" s="168" t="s">
        <v>1339</v>
      </c>
      <c r="K19" s="168" t="s">
        <v>2005</v>
      </c>
      <c r="L19" s="168">
        <v>11</v>
      </c>
      <c r="M19" s="168" t="s">
        <v>835</v>
      </c>
      <c r="N19" s="168">
        <v>2023</v>
      </c>
      <c r="O19" s="168"/>
      <c r="P19" s="168" t="s">
        <v>685</v>
      </c>
      <c r="Q19" s="168" t="s">
        <v>2002</v>
      </c>
      <c r="R19" s="168" t="s">
        <v>2032</v>
      </c>
      <c r="S19" s="169">
        <v>6</v>
      </c>
      <c r="T19" s="168" t="s">
        <v>300</v>
      </c>
      <c r="U19" s="168">
        <v>2022</v>
      </c>
      <c r="V19" s="168"/>
      <c r="W19" s="171" t="s">
        <v>903</v>
      </c>
      <c r="X19" s="171" t="s">
        <v>1449</v>
      </c>
      <c r="Y19" s="171" t="s">
        <v>1969</v>
      </c>
      <c r="Z19" s="171">
        <v>4</v>
      </c>
      <c r="AA19" s="171" t="s">
        <v>1025</v>
      </c>
      <c r="AB19" s="171">
        <v>2024</v>
      </c>
      <c r="AC19" s="171"/>
      <c r="AD19" s="168" t="s">
        <v>835</v>
      </c>
      <c r="AE19" s="168" t="s">
        <v>1816</v>
      </c>
      <c r="AF19" s="168" t="s">
        <v>2018</v>
      </c>
      <c r="AG19" s="168">
        <v>3</v>
      </c>
      <c r="AH19" s="168" t="s">
        <v>770</v>
      </c>
      <c r="AI19" s="168">
        <v>2023</v>
      </c>
      <c r="AJ19" s="168"/>
      <c r="AK19" s="168" t="s">
        <v>1062</v>
      </c>
      <c r="AL19" s="168" t="s">
        <v>1356</v>
      </c>
      <c r="AM19" s="168" t="s">
        <v>1968</v>
      </c>
      <c r="AN19" s="168">
        <v>14</v>
      </c>
      <c r="AO19" s="168" t="s">
        <v>1025</v>
      </c>
      <c r="AP19" s="168">
        <v>2022</v>
      </c>
      <c r="AQ19" s="168"/>
      <c r="AR19" s="168" t="s">
        <v>394</v>
      </c>
      <c r="AS19" s="168" t="s">
        <v>1546</v>
      </c>
      <c r="AT19" s="168" t="s">
        <v>1957</v>
      </c>
      <c r="AU19" s="176" t="s">
        <v>685</v>
      </c>
      <c r="AV19" s="168">
        <v>2022</v>
      </c>
      <c r="AW19" s="168"/>
      <c r="AX19" s="168" t="s">
        <v>266</v>
      </c>
      <c r="AY19" s="168" t="s">
        <v>1560</v>
      </c>
      <c r="AZ19" s="168" t="s">
        <v>2003</v>
      </c>
      <c r="BA19" s="168" t="s">
        <v>717</v>
      </c>
      <c r="BB19" s="168" t="s">
        <v>2052</v>
      </c>
      <c r="BC19" s="171">
        <v>2022</v>
      </c>
      <c r="BE19" s="168" t="s">
        <v>226</v>
      </c>
      <c r="BF19" s="168" t="s">
        <v>1353</v>
      </c>
      <c r="BG19" s="168" t="s">
        <v>2024</v>
      </c>
      <c r="BH19" s="168">
        <v>4</v>
      </c>
      <c r="BI19" s="168" t="s">
        <v>580</v>
      </c>
      <c r="BJ19" s="171">
        <v>2022</v>
      </c>
      <c r="BL19" s="165" t="s">
        <v>1945</v>
      </c>
      <c r="BM19" s="165" t="s">
        <v>1946</v>
      </c>
      <c r="BN19" s="165" t="s">
        <v>1947</v>
      </c>
      <c r="BO19" s="165" t="s">
        <v>1948</v>
      </c>
      <c r="BP19" s="185" t="s">
        <v>1949</v>
      </c>
      <c r="BQ19" s="168"/>
      <c r="BR19" s="171" t="s">
        <v>266</v>
      </c>
      <c r="BS19" s="171" t="s">
        <v>1466</v>
      </c>
      <c r="BT19" s="171" t="s">
        <v>2013</v>
      </c>
      <c r="BU19" s="439" t="s">
        <v>2053</v>
      </c>
      <c r="BV19" s="171" t="s">
        <v>463</v>
      </c>
      <c r="BW19" s="171">
        <v>2024</v>
      </c>
      <c r="BX19" s="171"/>
      <c r="BY19" s="171" t="s">
        <v>952</v>
      </c>
      <c r="BZ19" s="171" t="s">
        <v>1316</v>
      </c>
      <c r="CA19" s="171" t="s">
        <v>1962</v>
      </c>
      <c r="CB19" s="171">
        <v>15</v>
      </c>
      <c r="CC19" s="171" t="s">
        <v>835</v>
      </c>
      <c r="CD19" s="171">
        <v>2024</v>
      </c>
      <c r="CF19" s="171" t="s">
        <v>580</v>
      </c>
      <c r="CG19" s="167" t="s">
        <v>1476</v>
      </c>
      <c r="CH19" s="168" t="s">
        <v>1990</v>
      </c>
      <c r="CI19" s="168">
        <v>7</v>
      </c>
      <c r="CJ19" s="168" t="s">
        <v>502</v>
      </c>
      <c r="CK19" s="171">
        <v>2022</v>
      </c>
      <c r="CM19" s="171" t="s">
        <v>394</v>
      </c>
      <c r="CN19" s="167" t="s">
        <v>1564</v>
      </c>
      <c r="CO19" s="168" t="s">
        <v>2033</v>
      </c>
      <c r="CP19" s="168">
        <v>5</v>
      </c>
      <c r="CQ19" s="168" t="s">
        <v>502</v>
      </c>
      <c r="CR19" s="171">
        <v>2023</v>
      </c>
      <c r="CT19" s="171" t="s">
        <v>1062</v>
      </c>
      <c r="CU19" s="171" t="s">
        <v>1558</v>
      </c>
      <c r="CV19" s="171" t="s">
        <v>2010</v>
      </c>
      <c r="CW19" s="171">
        <v>4</v>
      </c>
      <c r="CX19" s="171" t="s">
        <v>1025</v>
      </c>
      <c r="CY19" s="171">
        <v>2024</v>
      </c>
      <c r="CZ19" s="168"/>
      <c r="DA19"/>
      <c r="DB19"/>
      <c r="DC19"/>
      <c r="DD19"/>
      <c r="DE19"/>
      <c r="DG19" s="171" t="s">
        <v>1200</v>
      </c>
      <c r="DH19" s="167" t="s">
        <v>2015</v>
      </c>
      <c r="DI19" s="168">
        <v>19</v>
      </c>
      <c r="DJ19" s="168" t="s">
        <v>1229</v>
      </c>
      <c r="DK19" s="171">
        <v>2022</v>
      </c>
      <c r="DL19" s="168"/>
      <c r="DM19"/>
      <c r="DN19"/>
      <c r="DO19"/>
      <c r="DP19"/>
      <c r="DQ19"/>
      <c r="DS19"/>
      <c r="DT19"/>
      <c r="DU19"/>
      <c r="DV19"/>
      <c r="DW19"/>
      <c r="DY19" s="171" t="s">
        <v>226</v>
      </c>
      <c r="DZ19" s="167" t="s">
        <v>1971</v>
      </c>
      <c r="EA19" s="168">
        <v>21</v>
      </c>
      <c r="EB19" s="168" t="s">
        <v>502</v>
      </c>
      <c r="EC19" s="171">
        <v>2022</v>
      </c>
      <c r="EE19" s="171" t="s">
        <v>903</v>
      </c>
      <c r="EF19" s="171" t="s">
        <v>1965</v>
      </c>
      <c r="EG19" s="171">
        <v>30</v>
      </c>
      <c r="EH19" s="171" t="s">
        <v>804</v>
      </c>
      <c r="EI19" s="171">
        <v>2024</v>
      </c>
      <c r="EJ19" s="171"/>
      <c r="EK19" s="171" t="s">
        <v>869</v>
      </c>
      <c r="EL19" s="167" t="s">
        <v>2010</v>
      </c>
      <c r="EM19" s="168">
        <v>14</v>
      </c>
      <c r="EN19" s="168" t="s">
        <v>835</v>
      </c>
      <c r="EO19" s="171">
        <v>2022</v>
      </c>
      <c r="EQ19" s="171" t="s">
        <v>952</v>
      </c>
      <c r="ER19" s="167" t="s">
        <v>1965</v>
      </c>
      <c r="ES19" s="168">
        <v>9</v>
      </c>
      <c r="ET19" s="168" t="s">
        <v>990</v>
      </c>
      <c r="EU19" s="171">
        <v>2023</v>
      </c>
      <c r="EW19" s="171" t="s">
        <v>611</v>
      </c>
      <c r="EX19" s="167" t="s">
        <v>2020</v>
      </c>
      <c r="EY19" s="168">
        <v>1</v>
      </c>
      <c r="EZ19" s="168" t="s">
        <v>300</v>
      </c>
      <c r="FA19" s="171">
        <v>2022</v>
      </c>
      <c r="FC19" s="171" t="s">
        <v>611</v>
      </c>
      <c r="FD19" s="167" t="s">
        <v>1989</v>
      </c>
      <c r="FE19" s="168">
        <v>7</v>
      </c>
      <c r="FF19" s="168" t="s">
        <v>717</v>
      </c>
      <c r="FG19" s="171">
        <v>2023</v>
      </c>
      <c r="FH19" s="171"/>
      <c r="FI19" s="171" t="s">
        <v>339</v>
      </c>
      <c r="FJ19" s="167" t="s">
        <v>2000</v>
      </c>
      <c r="FK19" s="168">
        <v>1</v>
      </c>
      <c r="FL19" s="168" t="s">
        <v>539</v>
      </c>
      <c r="FM19" s="171">
        <v>2023</v>
      </c>
    </row>
    <row r="20" spans="1:170">
      <c r="A20" s="995">
        <v>16</v>
      </c>
      <c r="B20" s="992" t="s">
        <v>1200</v>
      </c>
      <c r="C20" s="537" t="s">
        <v>1469</v>
      </c>
      <c r="D20" s="537" t="s">
        <v>2054</v>
      </c>
      <c r="E20" s="538" t="s">
        <v>41</v>
      </c>
      <c r="F20" s="537" t="s">
        <v>835</v>
      </c>
      <c r="G20" s="538" t="s">
        <v>1974</v>
      </c>
      <c r="H20" s="171"/>
      <c r="I20" s="171" t="s">
        <v>539</v>
      </c>
      <c r="J20" s="171" t="s">
        <v>1536</v>
      </c>
      <c r="K20" s="171" t="s">
        <v>1956</v>
      </c>
      <c r="L20" s="171">
        <v>11</v>
      </c>
      <c r="M20" s="171" t="s">
        <v>463</v>
      </c>
      <c r="N20" s="171">
        <v>2024</v>
      </c>
      <c r="O20" s="168"/>
      <c r="P20" s="168" t="s">
        <v>226</v>
      </c>
      <c r="Q20" s="168" t="s">
        <v>1321</v>
      </c>
      <c r="R20" s="168" t="s">
        <v>1975</v>
      </c>
      <c r="S20" s="168">
        <v>6</v>
      </c>
      <c r="T20" s="168" t="s">
        <v>429</v>
      </c>
      <c r="U20" s="168">
        <v>2022</v>
      </c>
      <c r="V20" s="168"/>
      <c r="W20" s="171" t="s">
        <v>770</v>
      </c>
      <c r="X20" s="171" t="s">
        <v>1332</v>
      </c>
      <c r="Y20" s="171" t="s">
        <v>2005</v>
      </c>
      <c r="Z20" s="171">
        <v>4</v>
      </c>
      <c r="AA20" s="171" t="s">
        <v>835</v>
      </c>
      <c r="AB20" s="171">
        <v>2024</v>
      </c>
      <c r="AD20" s="168" t="s">
        <v>502</v>
      </c>
      <c r="AE20" s="168" t="s">
        <v>1478</v>
      </c>
      <c r="AF20" s="168" t="s">
        <v>1976</v>
      </c>
      <c r="AG20" s="168">
        <v>3</v>
      </c>
      <c r="AH20" s="168" t="s">
        <v>539</v>
      </c>
      <c r="AI20" s="168">
        <v>2023</v>
      </c>
      <c r="AJ20" s="168"/>
      <c r="AK20" s="168" t="s">
        <v>990</v>
      </c>
      <c r="AL20" s="168" t="s">
        <v>1736</v>
      </c>
      <c r="AM20" s="168" t="s">
        <v>1978</v>
      </c>
      <c r="AN20" s="168">
        <v>14</v>
      </c>
      <c r="AO20" s="168" t="s">
        <v>539</v>
      </c>
      <c r="AP20" s="168">
        <v>2022</v>
      </c>
      <c r="AQ20" s="168"/>
      <c r="AR20" s="168" t="s">
        <v>300</v>
      </c>
      <c r="AS20" s="168" t="s">
        <v>1315</v>
      </c>
      <c r="AT20" s="168" t="s">
        <v>1967</v>
      </c>
      <c r="AU20" s="176" t="s">
        <v>539</v>
      </c>
      <c r="AV20" s="168">
        <v>2022</v>
      </c>
      <c r="AW20" s="168"/>
      <c r="AX20" s="168" t="s">
        <v>580</v>
      </c>
      <c r="AY20" s="168" t="s">
        <v>1325</v>
      </c>
      <c r="AZ20" s="168" t="s">
        <v>1955</v>
      </c>
      <c r="BA20" s="168" t="s">
        <v>463</v>
      </c>
      <c r="BB20" s="168" t="s">
        <v>2052</v>
      </c>
      <c r="BC20" s="171">
        <v>2022</v>
      </c>
      <c r="BE20" s="168" t="s">
        <v>685</v>
      </c>
      <c r="BF20" s="168" t="s">
        <v>1674</v>
      </c>
      <c r="BG20" s="168" t="s">
        <v>1997</v>
      </c>
      <c r="BH20" s="168">
        <v>4</v>
      </c>
      <c r="BI20" s="168" t="s">
        <v>266</v>
      </c>
      <c r="BJ20" s="171">
        <v>2022</v>
      </c>
      <c r="BL20" s="170" t="s">
        <v>835</v>
      </c>
      <c r="BM20" s="170" t="s">
        <v>1883</v>
      </c>
      <c r="BN20" s="170" t="s">
        <v>1992</v>
      </c>
      <c r="BO20" s="168" t="s">
        <v>903</v>
      </c>
      <c r="BP20" s="172">
        <v>2022</v>
      </c>
      <c r="BQ20" s="168"/>
      <c r="BR20" s="171" t="s">
        <v>903</v>
      </c>
      <c r="BS20" s="171" t="s">
        <v>1449</v>
      </c>
      <c r="BT20" s="171" t="s">
        <v>1971</v>
      </c>
      <c r="BU20" s="439" t="s">
        <v>2053</v>
      </c>
      <c r="BV20" s="171" t="s">
        <v>1025</v>
      </c>
      <c r="BW20" s="171">
        <v>2024</v>
      </c>
      <c r="BX20" s="171"/>
      <c r="BY20" s="171" t="s">
        <v>226</v>
      </c>
      <c r="BZ20" s="171" t="s">
        <v>1338</v>
      </c>
      <c r="CA20" s="171" t="s">
        <v>2010</v>
      </c>
      <c r="CB20" s="171">
        <v>15</v>
      </c>
      <c r="CC20" s="171" t="s">
        <v>339</v>
      </c>
      <c r="CD20" s="171">
        <v>2024</v>
      </c>
      <c r="CE20" s="171"/>
      <c r="CF20" s="171" t="s">
        <v>165</v>
      </c>
      <c r="CG20" s="167" t="s">
        <v>1471</v>
      </c>
      <c r="CH20" s="168" t="s">
        <v>1971</v>
      </c>
      <c r="CI20" s="168">
        <v>7</v>
      </c>
      <c r="CJ20" s="168" t="s">
        <v>804</v>
      </c>
      <c r="CK20" s="171">
        <v>2022</v>
      </c>
      <c r="CM20" s="171" t="s">
        <v>1171</v>
      </c>
      <c r="CN20" s="167" t="s">
        <v>1543</v>
      </c>
      <c r="CO20" s="168" t="s">
        <v>2033</v>
      </c>
      <c r="CP20" s="168">
        <v>5</v>
      </c>
      <c r="CQ20" s="168" t="s">
        <v>1229</v>
      </c>
      <c r="CR20" s="171">
        <v>2023</v>
      </c>
      <c r="CS20" s="168"/>
      <c r="CT20" s="171" t="s">
        <v>611</v>
      </c>
      <c r="CU20" s="171" t="s">
        <v>1385</v>
      </c>
      <c r="CV20" s="171" t="s">
        <v>1988</v>
      </c>
      <c r="CW20" s="171">
        <v>4</v>
      </c>
      <c r="CX20" s="171" t="s">
        <v>1229</v>
      </c>
      <c r="CY20" s="171">
        <v>2024</v>
      </c>
      <c r="CZ20" s="168"/>
      <c r="DG20" s="171" t="s">
        <v>903</v>
      </c>
      <c r="DH20" s="167" t="s">
        <v>1959</v>
      </c>
      <c r="DI20" s="168">
        <v>19</v>
      </c>
      <c r="DJ20" s="168" t="s">
        <v>804</v>
      </c>
      <c r="DK20" s="171">
        <v>2024</v>
      </c>
      <c r="DM20"/>
      <c r="DN20"/>
      <c r="DO20"/>
      <c r="DP20"/>
      <c r="DQ20"/>
      <c r="DS20"/>
      <c r="DT20"/>
      <c r="DU20"/>
      <c r="DV20"/>
      <c r="DW20"/>
      <c r="DY20" s="171" t="s">
        <v>429</v>
      </c>
      <c r="DZ20" s="167" t="s">
        <v>1988</v>
      </c>
      <c r="EA20" s="168">
        <v>21</v>
      </c>
      <c r="EB20" s="168" t="s">
        <v>463</v>
      </c>
      <c r="EC20" s="171">
        <v>2022</v>
      </c>
      <c r="ED20" s="168"/>
      <c r="EE20" s="171" t="s">
        <v>804</v>
      </c>
      <c r="EF20" s="167" t="s">
        <v>2012</v>
      </c>
      <c r="EG20" s="168">
        <v>29</v>
      </c>
      <c r="EH20" s="168" t="s">
        <v>903</v>
      </c>
      <c r="EI20" s="171">
        <v>2022</v>
      </c>
      <c r="EK20" s="171" t="s">
        <v>1171</v>
      </c>
      <c r="EL20" s="167" t="s">
        <v>2010</v>
      </c>
      <c r="EM20" s="168">
        <v>14</v>
      </c>
      <c r="EN20" s="168" t="s">
        <v>1265</v>
      </c>
      <c r="EO20" s="171">
        <v>2022</v>
      </c>
      <c r="EQ20" s="171" t="s">
        <v>770</v>
      </c>
      <c r="ER20" s="171" t="s">
        <v>2001</v>
      </c>
      <c r="ES20" s="171">
        <v>9</v>
      </c>
      <c r="ET20" s="171" t="s">
        <v>1265</v>
      </c>
      <c r="EU20" s="171">
        <v>2024</v>
      </c>
      <c r="EV20" s="171"/>
      <c r="EW20" s="171" t="s">
        <v>869</v>
      </c>
      <c r="EX20" s="167" t="s">
        <v>2000</v>
      </c>
      <c r="EY20" s="168">
        <v>1</v>
      </c>
      <c r="EZ20" s="168" t="s">
        <v>1200</v>
      </c>
      <c r="FA20" s="171">
        <v>2022</v>
      </c>
      <c r="FC20" s="171" t="s">
        <v>903</v>
      </c>
      <c r="FD20" s="171" t="s">
        <v>1966</v>
      </c>
      <c r="FE20" s="171">
        <v>7</v>
      </c>
      <c r="FF20" s="171" t="s">
        <v>990</v>
      </c>
      <c r="FG20" s="171">
        <v>2024</v>
      </c>
      <c r="FH20" s="171"/>
      <c r="FI20" s="171" t="s">
        <v>429</v>
      </c>
      <c r="FJ20" s="167" t="s">
        <v>1999</v>
      </c>
      <c r="FK20" s="168">
        <v>1</v>
      </c>
      <c r="FL20" s="168" t="s">
        <v>339</v>
      </c>
      <c r="FM20" s="171">
        <v>2023</v>
      </c>
    </row>
    <row r="21" spans="1:170">
      <c r="A21" s="995">
        <v>17</v>
      </c>
      <c r="B21" s="167" t="s">
        <v>429</v>
      </c>
      <c r="C21" s="168" t="s">
        <v>1511</v>
      </c>
      <c r="D21" s="168" t="s">
        <v>2015</v>
      </c>
      <c r="E21" s="169" t="s">
        <v>2055</v>
      </c>
      <c r="F21" s="169" t="s">
        <v>463</v>
      </c>
      <c r="G21" s="168">
        <v>2022</v>
      </c>
      <c r="H21" s="171"/>
      <c r="I21" s="171" t="s">
        <v>952</v>
      </c>
      <c r="J21" s="171" t="s">
        <v>1316</v>
      </c>
      <c r="K21" s="171" t="s">
        <v>1957</v>
      </c>
      <c r="L21" s="168">
        <v>11</v>
      </c>
      <c r="M21" s="171" t="s">
        <v>1265</v>
      </c>
      <c r="N21" s="171">
        <v>2024</v>
      </c>
      <c r="O21" s="171"/>
      <c r="P21" s="168" t="s">
        <v>1025</v>
      </c>
      <c r="Q21" s="168" t="s">
        <v>2056</v>
      </c>
      <c r="R21" s="168" t="s">
        <v>1975</v>
      </c>
      <c r="S21" s="168">
        <v>6</v>
      </c>
      <c r="T21" s="168" t="s">
        <v>1229</v>
      </c>
      <c r="U21" s="168">
        <v>2022</v>
      </c>
      <c r="V21" s="168"/>
      <c r="AD21" s="168" t="s">
        <v>429</v>
      </c>
      <c r="AE21" s="168" t="s">
        <v>1319</v>
      </c>
      <c r="AF21" s="168" t="s">
        <v>2027</v>
      </c>
      <c r="AG21" s="168">
        <v>3</v>
      </c>
      <c r="AH21" s="168" t="s">
        <v>539</v>
      </c>
      <c r="AI21" s="168">
        <v>2023</v>
      </c>
      <c r="AJ21" s="171"/>
      <c r="AK21" s="168" t="s">
        <v>339</v>
      </c>
      <c r="AL21" s="168" t="s">
        <v>1745</v>
      </c>
      <c r="AM21" s="168" t="s">
        <v>1967</v>
      </c>
      <c r="AN21" s="168">
        <v>14</v>
      </c>
      <c r="AO21" s="168" t="s">
        <v>903</v>
      </c>
      <c r="AP21" s="168">
        <v>2022</v>
      </c>
      <c r="AQ21" s="168"/>
      <c r="AR21" s="177" t="s">
        <v>165</v>
      </c>
      <c r="AS21" s="177" t="s">
        <v>1341</v>
      </c>
      <c r="AT21" s="177" t="s">
        <v>1952</v>
      </c>
      <c r="AU21" s="481" t="s">
        <v>717</v>
      </c>
      <c r="AV21" s="168">
        <v>2022</v>
      </c>
      <c r="AW21" s="177"/>
      <c r="AX21" s="168" t="s">
        <v>165</v>
      </c>
      <c r="AY21" s="168" t="s">
        <v>1354</v>
      </c>
      <c r="AZ21" s="168" t="s">
        <v>1993</v>
      </c>
      <c r="BA21" s="168" t="s">
        <v>266</v>
      </c>
      <c r="BB21" s="168" t="s">
        <v>2052</v>
      </c>
      <c r="BC21" s="171">
        <v>2022</v>
      </c>
      <c r="BE21" s="168" t="s">
        <v>804</v>
      </c>
      <c r="BF21" s="168" t="s">
        <v>1663</v>
      </c>
      <c r="BG21" s="168" t="s">
        <v>2003</v>
      </c>
      <c r="BH21" s="168">
        <v>4</v>
      </c>
      <c r="BI21" s="168" t="s">
        <v>1229</v>
      </c>
      <c r="BJ21" s="171">
        <v>2022</v>
      </c>
      <c r="BL21" s="168" t="s">
        <v>226</v>
      </c>
      <c r="BM21" s="168" t="s">
        <v>1353</v>
      </c>
      <c r="BN21" s="168" t="s">
        <v>2024</v>
      </c>
      <c r="BO21" s="168" t="s">
        <v>580</v>
      </c>
      <c r="BP21" s="171">
        <v>2022</v>
      </c>
      <c r="BQ21" s="168"/>
      <c r="BR21" s="171" t="s">
        <v>903</v>
      </c>
      <c r="BS21" s="171" t="s">
        <v>2183</v>
      </c>
      <c r="BT21" s="171" t="s">
        <v>1988</v>
      </c>
      <c r="BU21" s="439" t="s">
        <v>2053</v>
      </c>
      <c r="BV21" s="171" t="s">
        <v>1096</v>
      </c>
      <c r="BW21" s="171">
        <v>2024</v>
      </c>
      <c r="BX21" s="171"/>
      <c r="BY21" s="171" t="s">
        <v>804</v>
      </c>
      <c r="BZ21" s="167" t="s">
        <v>1565</v>
      </c>
      <c r="CA21" s="168" t="s">
        <v>2012</v>
      </c>
      <c r="CB21" s="169">
        <v>14</v>
      </c>
      <c r="CC21" s="168" t="s">
        <v>903</v>
      </c>
      <c r="CD21" s="171">
        <v>2022</v>
      </c>
      <c r="CF21" s="171" t="s">
        <v>804</v>
      </c>
      <c r="CG21" s="167" t="s">
        <v>1813</v>
      </c>
      <c r="CH21" s="168" t="s">
        <v>1965</v>
      </c>
      <c r="CI21" s="168">
        <v>7</v>
      </c>
      <c r="CJ21" s="168" t="s">
        <v>952</v>
      </c>
      <c r="CK21" s="171">
        <v>2022</v>
      </c>
      <c r="CM21" s="171" t="s">
        <v>1171</v>
      </c>
      <c r="CN21" s="167" t="s">
        <v>1467</v>
      </c>
      <c r="CO21" s="168" t="s">
        <v>2033</v>
      </c>
      <c r="CP21" s="168">
        <v>5</v>
      </c>
      <c r="CQ21" s="168" t="s">
        <v>1229</v>
      </c>
      <c r="CR21" s="171">
        <v>2023</v>
      </c>
      <c r="CS21" s="168"/>
      <c r="DG21" s="171" t="s">
        <v>463</v>
      </c>
      <c r="DH21" s="167" t="s">
        <v>2018</v>
      </c>
      <c r="DI21" s="168">
        <v>19</v>
      </c>
      <c r="DJ21" s="168" t="s">
        <v>502</v>
      </c>
      <c r="DK21" s="171">
        <v>2024</v>
      </c>
      <c r="DM21"/>
      <c r="DN21"/>
      <c r="DO21"/>
      <c r="DP21"/>
      <c r="DQ21"/>
      <c r="DS21" s="174"/>
      <c r="DT21" s="174"/>
      <c r="DU21" s="174"/>
      <c r="DV21" s="174"/>
      <c r="DW21" s="174"/>
      <c r="DY21" s="171" t="s">
        <v>266</v>
      </c>
      <c r="DZ21" s="167" t="s">
        <v>2033</v>
      </c>
      <c r="EA21" s="168">
        <v>21</v>
      </c>
      <c r="EB21" s="168" t="s">
        <v>165</v>
      </c>
      <c r="EC21" s="171">
        <v>2022</v>
      </c>
      <c r="EE21" s="171" t="s">
        <v>394</v>
      </c>
      <c r="EF21" s="167" t="s">
        <v>2011</v>
      </c>
      <c r="EG21" s="168">
        <v>29</v>
      </c>
      <c r="EH21" s="168" t="s">
        <v>463</v>
      </c>
      <c r="EI21" s="171">
        <v>2022</v>
      </c>
      <c r="EK21" s="171" t="s">
        <v>429</v>
      </c>
      <c r="EL21" s="167" t="s">
        <v>2012</v>
      </c>
      <c r="EM21" s="168">
        <v>14</v>
      </c>
      <c r="EN21" s="168" t="s">
        <v>226</v>
      </c>
      <c r="EO21" s="171">
        <v>2023</v>
      </c>
      <c r="EW21" s="171" t="s">
        <v>869</v>
      </c>
      <c r="EX21" s="167" t="s">
        <v>1990</v>
      </c>
      <c r="EY21" s="168">
        <v>1</v>
      </c>
      <c r="EZ21" s="168" t="s">
        <v>1096</v>
      </c>
      <c r="FA21" s="171">
        <v>2022</v>
      </c>
      <c r="FC21" s="171" t="s">
        <v>903</v>
      </c>
      <c r="FD21" s="171" t="s">
        <v>1990</v>
      </c>
      <c r="FE21" s="171">
        <v>7</v>
      </c>
      <c r="FF21" s="171" t="s">
        <v>1229</v>
      </c>
      <c r="FG21" s="171">
        <v>2024</v>
      </c>
      <c r="FI21" s="171" t="s">
        <v>903</v>
      </c>
      <c r="FJ21" s="167" t="s">
        <v>2010</v>
      </c>
      <c r="FK21" s="168">
        <v>1</v>
      </c>
      <c r="FL21" s="168" t="s">
        <v>869</v>
      </c>
      <c r="FM21" s="171">
        <v>2023</v>
      </c>
    </row>
    <row r="22" spans="1:170">
      <c r="A22" s="995">
        <v>18</v>
      </c>
      <c r="B22" s="991" t="s">
        <v>580</v>
      </c>
      <c r="C22" s="171" t="s">
        <v>1348</v>
      </c>
      <c r="D22" s="171" t="s">
        <v>2047</v>
      </c>
      <c r="E22" s="439" t="s">
        <v>2055</v>
      </c>
      <c r="F22" s="171" t="s">
        <v>611</v>
      </c>
      <c r="G22" s="439" t="s">
        <v>1974</v>
      </c>
      <c r="H22" s="168"/>
      <c r="I22" s="171" t="s">
        <v>580</v>
      </c>
      <c r="J22" s="171" t="s">
        <v>1468</v>
      </c>
      <c r="K22" s="171" t="s">
        <v>2006</v>
      </c>
      <c r="L22" s="171">
        <v>11</v>
      </c>
      <c r="M22" s="171" t="s">
        <v>502</v>
      </c>
      <c r="N22" s="171">
        <v>2024</v>
      </c>
      <c r="O22" s="168"/>
      <c r="P22" s="168" t="s">
        <v>770</v>
      </c>
      <c r="Q22" s="168" t="s">
        <v>1332</v>
      </c>
      <c r="R22" s="168" t="s">
        <v>2043</v>
      </c>
      <c r="S22" s="168">
        <v>6</v>
      </c>
      <c r="T22" s="168" t="s">
        <v>869</v>
      </c>
      <c r="U22" s="168">
        <v>2022</v>
      </c>
      <c r="V22" s="168"/>
      <c r="AD22" s="171" t="s">
        <v>266</v>
      </c>
      <c r="AE22" s="171" t="s">
        <v>1466</v>
      </c>
      <c r="AF22" s="171" t="s">
        <v>1970</v>
      </c>
      <c r="AG22" s="171">
        <v>3</v>
      </c>
      <c r="AH22" s="171" t="s">
        <v>300</v>
      </c>
      <c r="AI22" s="171">
        <v>2024</v>
      </c>
      <c r="AJ22" s="171"/>
      <c r="AK22" s="168" t="s">
        <v>339</v>
      </c>
      <c r="AL22" s="168" t="s">
        <v>1323</v>
      </c>
      <c r="AM22" s="168" t="s">
        <v>2032</v>
      </c>
      <c r="AN22" s="168">
        <v>14</v>
      </c>
      <c r="AO22" s="168" t="s">
        <v>539</v>
      </c>
      <c r="AP22" s="168">
        <v>2022</v>
      </c>
      <c r="AQ22" s="168"/>
      <c r="AR22" s="168" t="s">
        <v>502</v>
      </c>
      <c r="AS22" s="168" t="s">
        <v>2039</v>
      </c>
      <c r="AT22" s="168" t="s">
        <v>1952</v>
      </c>
      <c r="AU22" s="176" t="s">
        <v>580</v>
      </c>
      <c r="AV22" s="168">
        <v>2022</v>
      </c>
      <c r="AW22" s="168"/>
      <c r="AX22" s="177" t="s">
        <v>770</v>
      </c>
      <c r="AY22" s="177" t="s">
        <v>1332</v>
      </c>
      <c r="AZ22" s="168" t="s">
        <v>2027</v>
      </c>
      <c r="BA22" s="168" t="s">
        <v>869</v>
      </c>
      <c r="BB22" s="168" t="s">
        <v>2052</v>
      </c>
      <c r="BC22" s="171">
        <v>2022</v>
      </c>
      <c r="BE22" s="168" t="s">
        <v>539</v>
      </c>
      <c r="BF22" s="168" t="s">
        <v>1839</v>
      </c>
      <c r="BG22" s="168" t="s">
        <v>1958</v>
      </c>
      <c r="BH22" s="168">
        <v>4</v>
      </c>
      <c r="BI22" s="168" t="s">
        <v>394</v>
      </c>
      <c r="BJ22" s="171">
        <v>2023</v>
      </c>
      <c r="BL22" s="175" t="s">
        <v>685</v>
      </c>
      <c r="BM22" s="175" t="s">
        <v>1340</v>
      </c>
      <c r="BN22" s="175" t="s">
        <v>2038</v>
      </c>
      <c r="BO22" s="175" t="s">
        <v>226</v>
      </c>
      <c r="BP22" s="171">
        <v>2022</v>
      </c>
      <c r="BQ22" s="168"/>
      <c r="BR22" s="168" t="s">
        <v>952</v>
      </c>
      <c r="BS22" s="168" t="s">
        <v>2057</v>
      </c>
      <c r="BT22" s="168" t="s">
        <v>1991</v>
      </c>
      <c r="BU22" s="169" t="s">
        <v>2058</v>
      </c>
      <c r="BV22" s="168" t="s">
        <v>990</v>
      </c>
      <c r="BW22" s="171">
        <v>2022</v>
      </c>
      <c r="BY22" s="171" t="s">
        <v>611</v>
      </c>
      <c r="BZ22" s="167" t="s">
        <v>1385</v>
      </c>
      <c r="CA22" s="168" t="s">
        <v>1966</v>
      </c>
      <c r="CB22" s="168">
        <v>14</v>
      </c>
      <c r="CC22" s="168" t="s">
        <v>429</v>
      </c>
      <c r="CD22" s="171">
        <v>2022</v>
      </c>
      <c r="CF22" s="171" t="s">
        <v>429</v>
      </c>
      <c r="CG22" s="167" t="s">
        <v>2016</v>
      </c>
      <c r="CH22" s="168" t="s">
        <v>1988</v>
      </c>
      <c r="CI22" s="168">
        <v>7</v>
      </c>
      <c r="CJ22" s="168" t="s">
        <v>463</v>
      </c>
      <c r="CK22" s="171">
        <v>2022</v>
      </c>
      <c r="CM22" s="168" t="s">
        <v>611</v>
      </c>
      <c r="CN22" s="168" t="s">
        <v>1551</v>
      </c>
      <c r="CO22" s="168" t="s">
        <v>1973</v>
      </c>
      <c r="CP22" s="168">
        <v>5</v>
      </c>
      <c r="CQ22" s="168" t="s">
        <v>1229</v>
      </c>
      <c r="CR22" s="168">
        <v>2024</v>
      </c>
      <c r="CS22" s="168"/>
      <c r="DG22" s="171" t="s">
        <v>539</v>
      </c>
      <c r="DH22" s="167" t="s">
        <v>2003</v>
      </c>
      <c r="DI22" s="168">
        <v>19</v>
      </c>
      <c r="DJ22" s="168" t="s">
        <v>685</v>
      </c>
      <c r="DK22" s="171">
        <v>2024</v>
      </c>
      <c r="DM22"/>
      <c r="DN22"/>
      <c r="DO22"/>
      <c r="DP22"/>
      <c r="DQ22"/>
      <c r="DS22" s="174"/>
      <c r="DT22" s="174"/>
      <c r="DU22" s="174"/>
      <c r="DV22" s="174"/>
      <c r="DW22" s="174"/>
      <c r="DY22" s="171" t="s">
        <v>804</v>
      </c>
      <c r="DZ22" s="167" t="s">
        <v>1999</v>
      </c>
      <c r="EA22" s="168">
        <v>21</v>
      </c>
      <c r="EB22" s="168" t="s">
        <v>1229</v>
      </c>
      <c r="EC22" s="171">
        <v>2023</v>
      </c>
      <c r="EE22" s="171" t="s">
        <v>611</v>
      </c>
      <c r="EF22" s="167" t="s">
        <v>1966</v>
      </c>
      <c r="EG22" s="168">
        <v>29</v>
      </c>
      <c r="EH22" s="168" t="s">
        <v>429</v>
      </c>
      <c r="EI22" s="171">
        <v>2022</v>
      </c>
      <c r="EK22" s="171" t="s">
        <v>226</v>
      </c>
      <c r="EL22" s="167" t="s">
        <v>1990</v>
      </c>
      <c r="EM22" s="168">
        <v>14</v>
      </c>
      <c r="EN22" s="168" t="s">
        <v>717</v>
      </c>
      <c r="EO22" s="171">
        <v>2023</v>
      </c>
      <c r="EW22" s="171" t="s">
        <v>1171</v>
      </c>
      <c r="EX22" s="167" t="s">
        <v>2001</v>
      </c>
      <c r="EY22" s="168">
        <v>1</v>
      </c>
      <c r="EZ22" s="168" t="s">
        <v>952</v>
      </c>
      <c r="FA22" s="171">
        <v>2022</v>
      </c>
      <c r="FC22" s="171" t="s">
        <v>502</v>
      </c>
      <c r="FD22" s="171" t="s">
        <v>2001</v>
      </c>
      <c r="FE22" s="171">
        <v>7</v>
      </c>
      <c r="FF22" s="171" t="s">
        <v>339</v>
      </c>
      <c r="FG22" s="171">
        <v>2024</v>
      </c>
      <c r="FH22" s="171"/>
      <c r="FI22" s="171" t="s">
        <v>869</v>
      </c>
      <c r="FJ22" s="167" t="s">
        <v>2010</v>
      </c>
      <c r="FK22" s="168">
        <v>1</v>
      </c>
      <c r="FL22" s="168" t="s">
        <v>903</v>
      </c>
      <c r="FM22" s="171">
        <v>2023</v>
      </c>
    </row>
    <row r="23" spans="1:170">
      <c r="A23" s="995">
        <v>19</v>
      </c>
      <c r="B23" s="991" t="s">
        <v>903</v>
      </c>
      <c r="C23" s="171" t="s">
        <v>2183</v>
      </c>
      <c r="D23" s="171" t="s">
        <v>2015</v>
      </c>
      <c r="E23" s="439" t="s">
        <v>2055</v>
      </c>
      <c r="F23" s="171" t="s">
        <v>1096</v>
      </c>
      <c r="G23" s="439" t="s">
        <v>1974</v>
      </c>
      <c r="H23" s="168"/>
      <c r="I23" s="171" t="s">
        <v>835</v>
      </c>
      <c r="J23" s="171" t="s">
        <v>1401</v>
      </c>
      <c r="K23" s="171" t="s">
        <v>2037</v>
      </c>
      <c r="L23" s="171">
        <v>11</v>
      </c>
      <c r="M23" s="171" t="s">
        <v>1265</v>
      </c>
      <c r="N23" s="171">
        <v>2024</v>
      </c>
      <c r="O23" s="171"/>
      <c r="P23" s="175" t="s">
        <v>685</v>
      </c>
      <c r="Q23" s="175" t="s">
        <v>1581</v>
      </c>
      <c r="R23" s="175" t="s">
        <v>2021</v>
      </c>
      <c r="S23" s="175">
        <v>6</v>
      </c>
      <c r="T23" s="175" t="s">
        <v>165</v>
      </c>
      <c r="U23" s="168">
        <v>2022</v>
      </c>
      <c r="V23" s="168"/>
      <c r="AD23" s="168" t="s">
        <v>394</v>
      </c>
      <c r="AE23" s="168" t="s">
        <v>1400</v>
      </c>
      <c r="AF23" s="168" t="s">
        <v>1970</v>
      </c>
      <c r="AG23" s="168">
        <v>3</v>
      </c>
      <c r="AH23" s="168" t="s">
        <v>502</v>
      </c>
      <c r="AI23" s="168">
        <v>2024</v>
      </c>
      <c r="AJ23" s="171"/>
      <c r="AK23" s="168" t="s">
        <v>539</v>
      </c>
      <c r="AL23" s="168" t="s">
        <v>1666</v>
      </c>
      <c r="AM23" s="168" t="s">
        <v>1955</v>
      </c>
      <c r="AN23" s="168">
        <v>14</v>
      </c>
      <c r="AO23" s="168" t="s">
        <v>266</v>
      </c>
      <c r="AP23" s="168">
        <v>2022</v>
      </c>
      <c r="AQ23" s="168"/>
      <c r="AR23" s="168" t="s">
        <v>266</v>
      </c>
      <c r="AS23" s="168" t="s">
        <v>2059</v>
      </c>
      <c r="AT23" s="168" t="s">
        <v>2060</v>
      </c>
      <c r="AU23" s="176" t="s">
        <v>685</v>
      </c>
      <c r="AV23" s="168">
        <v>2022</v>
      </c>
      <c r="AW23" s="168"/>
      <c r="AX23" s="175" t="s">
        <v>1062</v>
      </c>
      <c r="AY23" s="175" t="s">
        <v>2061</v>
      </c>
      <c r="AZ23" s="175" t="s">
        <v>2021</v>
      </c>
      <c r="BA23" s="175" t="s">
        <v>804</v>
      </c>
      <c r="BB23" s="175" t="s">
        <v>2052</v>
      </c>
      <c r="BC23" s="171">
        <v>2022</v>
      </c>
      <c r="BE23" s="168" t="s">
        <v>394</v>
      </c>
      <c r="BF23" s="168" t="s">
        <v>1359</v>
      </c>
      <c r="BG23" s="168" t="s">
        <v>1959</v>
      </c>
      <c r="BH23" s="168">
        <v>4</v>
      </c>
      <c r="BI23" s="168" t="s">
        <v>539</v>
      </c>
      <c r="BJ23" s="171">
        <v>2023</v>
      </c>
      <c r="BL23" s="168" t="s">
        <v>539</v>
      </c>
      <c r="BM23" s="168" t="s">
        <v>1839</v>
      </c>
      <c r="BN23" s="168" t="s">
        <v>1958</v>
      </c>
      <c r="BO23" s="168" t="s">
        <v>394</v>
      </c>
      <c r="BP23" s="171">
        <v>2023</v>
      </c>
      <c r="BQ23" s="168"/>
      <c r="BR23" s="168" t="s">
        <v>1171</v>
      </c>
      <c r="BS23" s="168" t="s">
        <v>1507</v>
      </c>
      <c r="BT23" s="168" t="s">
        <v>1988</v>
      </c>
      <c r="BU23" s="169" t="s">
        <v>2058</v>
      </c>
      <c r="BV23" s="168" t="s">
        <v>685</v>
      </c>
      <c r="BW23" s="171">
        <v>2022</v>
      </c>
      <c r="BY23" s="171" t="s">
        <v>952</v>
      </c>
      <c r="BZ23" s="167" t="s">
        <v>1342</v>
      </c>
      <c r="CA23" s="168" t="s">
        <v>1971</v>
      </c>
      <c r="CB23" s="168">
        <v>14</v>
      </c>
      <c r="CC23" s="168" t="s">
        <v>835</v>
      </c>
      <c r="CD23" s="171">
        <v>2022</v>
      </c>
      <c r="CF23" s="171" t="s">
        <v>226</v>
      </c>
      <c r="CG23" s="167" t="s">
        <v>1434</v>
      </c>
      <c r="CH23" s="168" t="s">
        <v>2033</v>
      </c>
      <c r="CI23" s="168">
        <v>7</v>
      </c>
      <c r="CJ23" s="168" t="s">
        <v>339</v>
      </c>
      <c r="CK23" s="171">
        <v>2022</v>
      </c>
      <c r="CM23" s="171" t="s">
        <v>717</v>
      </c>
      <c r="CN23" s="171" t="s">
        <v>1517</v>
      </c>
      <c r="CO23" s="171" t="s">
        <v>1972</v>
      </c>
      <c r="CP23" s="171">
        <v>5</v>
      </c>
      <c r="CQ23" s="171" t="s">
        <v>339</v>
      </c>
      <c r="CR23" s="171">
        <v>2024</v>
      </c>
      <c r="CS23" s="168"/>
      <c r="DM23"/>
      <c r="DN23"/>
      <c r="DO23"/>
      <c r="DP23"/>
      <c r="DQ23"/>
      <c r="DS23" s="174"/>
      <c r="DT23" s="174"/>
      <c r="DU23" s="174"/>
      <c r="DV23" s="174"/>
      <c r="DW23" s="174"/>
      <c r="DY23" s="171" t="s">
        <v>463</v>
      </c>
      <c r="DZ23" s="171" t="s">
        <v>1962</v>
      </c>
      <c r="EA23" s="171">
        <v>21</v>
      </c>
      <c r="EB23" s="171" t="s">
        <v>539</v>
      </c>
      <c r="EC23" s="171">
        <v>2024</v>
      </c>
      <c r="ED23" s="168"/>
      <c r="EE23" s="171" t="s">
        <v>165</v>
      </c>
      <c r="EF23" s="167" t="s">
        <v>1971</v>
      </c>
      <c r="EG23" s="168">
        <v>29</v>
      </c>
      <c r="EH23" s="168" t="s">
        <v>804</v>
      </c>
      <c r="EI23" s="171">
        <v>2022</v>
      </c>
      <c r="EK23" s="171" t="s">
        <v>804</v>
      </c>
      <c r="EL23" s="167" t="s">
        <v>1965</v>
      </c>
      <c r="EM23" s="168">
        <v>14</v>
      </c>
      <c r="EN23" s="168" t="s">
        <v>835</v>
      </c>
      <c r="EO23" s="171">
        <v>2023</v>
      </c>
      <c r="EW23" s="171" t="s">
        <v>580</v>
      </c>
      <c r="EX23" s="167" t="s">
        <v>2010</v>
      </c>
      <c r="EY23" s="168">
        <v>1</v>
      </c>
      <c r="EZ23" s="168" t="s">
        <v>1200</v>
      </c>
      <c r="FA23" s="171">
        <v>2022</v>
      </c>
      <c r="FI23" s="171" t="s">
        <v>903</v>
      </c>
      <c r="FJ23" s="167" t="s">
        <v>2033</v>
      </c>
      <c r="FK23" s="168">
        <v>1</v>
      </c>
      <c r="FL23" s="168" t="s">
        <v>835</v>
      </c>
      <c r="FM23" s="171">
        <v>2023</v>
      </c>
    </row>
    <row r="24" spans="1:170">
      <c r="A24" s="995">
        <v>20</v>
      </c>
      <c r="B24" s="167" t="s">
        <v>685</v>
      </c>
      <c r="C24" s="168" t="s">
        <v>1512</v>
      </c>
      <c r="D24" s="168" t="s">
        <v>1956</v>
      </c>
      <c r="E24" s="169" t="s">
        <v>2062</v>
      </c>
      <c r="F24" s="169" t="s">
        <v>650</v>
      </c>
      <c r="G24" s="168">
        <v>2022</v>
      </c>
      <c r="H24" s="168"/>
      <c r="I24" s="171" t="s">
        <v>903</v>
      </c>
      <c r="J24" s="171" t="s">
        <v>2063</v>
      </c>
      <c r="K24" s="171" t="s">
        <v>1976</v>
      </c>
      <c r="L24" s="171">
        <v>11</v>
      </c>
      <c r="M24" s="171" t="s">
        <v>804</v>
      </c>
      <c r="N24" s="171">
        <v>2024</v>
      </c>
      <c r="O24" s="171"/>
      <c r="P24" s="168" t="s">
        <v>835</v>
      </c>
      <c r="Q24" s="168" t="s">
        <v>1510</v>
      </c>
      <c r="R24" s="168" t="s">
        <v>1956</v>
      </c>
      <c r="S24" s="168">
        <v>6</v>
      </c>
      <c r="T24" s="168" t="s">
        <v>903</v>
      </c>
      <c r="U24" s="168">
        <v>2023</v>
      </c>
      <c r="V24" s="168"/>
      <c r="AD24" s="171" t="s">
        <v>903</v>
      </c>
      <c r="AE24" s="171" t="s">
        <v>2064</v>
      </c>
      <c r="AF24" s="171" t="s">
        <v>2047</v>
      </c>
      <c r="AG24" s="171">
        <v>3</v>
      </c>
      <c r="AH24" s="171" t="s">
        <v>835</v>
      </c>
      <c r="AI24" s="171">
        <v>2024</v>
      </c>
      <c r="AJ24" s="171"/>
      <c r="AK24" s="175" t="s">
        <v>685</v>
      </c>
      <c r="AL24" s="175" t="s">
        <v>1340</v>
      </c>
      <c r="AM24" s="175" t="s">
        <v>2065</v>
      </c>
      <c r="AN24" s="175">
        <v>14</v>
      </c>
      <c r="AO24" s="175" t="s">
        <v>226</v>
      </c>
      <c r="AP24" s="168">
        <v>2022</v>
      </c>
      <c r="AQ24" s="168"/>
      <c r="AR24" s="168" t="s">
        <v>226</v>
      </c>
      <c r="AS24" s="168" t="s">
        <v>1321</v>
      </c>
      <c r="AT24" s="168" t="s">
        <v>2060</v>
      </c>
      <c r="AU24" s="176" t="s">
        <v>717</v>
      </c>
      <c r="AV24" s="168">
        <v>2022</v>
      </c>
      <c r="AW24" s="168"/>
      <c r="AX24" s="168" t="s">
        <v>952</v>
      </c>
      <c r="AY24" s="168" t="s">
        <v>2066</v>
      </c>
      <c r="AZ24" s="168" t="s">
        <v>1992</v>
      </c>
      <c r="BA24" s="168" t="s">
        <v>1062</v>
      </c>
      <c r="BB24" s="168" t="s">
        <v>2052</v>
      </c>
      <c r="BC24" s="171">
        <v>2023</v>
      </c>
      <c r="BE24" s="168" t="s">
        <v>1229</v>
      </c>
      <c r="BF24" s="168" t="s">
        <v>2067</v>
      </c>
      <c r="BG24" s="168" t="s">
        <v>2047</v>
      </c>
      <c r="BH24" s="168">
        <v>4</v>
      </c>
      <c r="BI24" s="168" t="s">
        <v>1171</v>
      </c>
      <c r="BJ24" s="171">
        <v>2023</v>
      </c>
      <c r="BK24" s="171"/>
      <c r="BL24" s="168" t="s">
        <v>539</v>
      </c>
      <c r="BM24" s="168" t="s">
        <v>1839</v>
      </c>
      <c r="BN24" s="168" t="s">
        <v>1960</v>
      </c>
      <c r="BO24" s="168" t="s">
        <v>429</v>
      </c>
      <c r="BP24" s="171">
        <v>2023</v>
      </c>
      <c r="BQ24" s="168"/>
      <c r="BR24" s="171" t="s">
        <v>1200</v>
      </c>
      <c r="BS24" s="171" t="s">
        <v>1609</v>
      </c>
      <c r="BT24" s="171" t="s">
        <v>2020</v>
      </c>
      <c r="BU24" s="439" t="s">
        <v>2058</v>
      </c>
      <c r="BV24" s="171" t="s">
        <v>835</v>
      </c>
      <c r="BW24" s="171">
        <v>2024</v>
      </c>
      <c r="BX24" s="171"/>
      <c r="BY24" s="171" t="s">
        <v>165</v>
      </c>
      <c r="BZ24" s="167" t="s">
        <v>1354</v>
      </c>
      <c r="CA24" s="168" t="s">
        <v>2033</v>
      </c>
      <c r="CB24" s="168">
        <v>14</v>
      </c>
      <c r="CC24" s="168" t="s">
        <v>266</v>
      </c>
      <c r="CD24" s="171">
        <v>2022</v>
      </c>
      <c r="CF24" s="171" t="s">
        <v>339</v>
      </c>
      <c r="CG24" s="167" t="s">
        <v>1360</v>
      </c>
      <c r="CH24" s="168" t="s">
        <v>1989</v>
      </c>
      <c r="CI24" s="168">
        <v>7</v>
      </c>
      <c r="CJ24" s="168" t="s">
        <v>463</v>
      </c>
      <c r="CK24" s="171">
        <v>2022</v>
      </c>
      <c r="CM24" s="171" t="s">
        <v>580</v>
      </c>
      <c r="CN24" s="171" t="s">
        <v>1429</v>
      </c>
      <c r="CO24" s="171" t="s">
        <v>1972</v>
      </c>
      <c r="CP24" s="171">
        <v>5</v>
      </c>
      <c r="CQ24" s="171" t="s">
        <v>429</v>
      </c>
      <c r="CR24" s="171">
        <v>2024</v>
      </c>
      <c r="CS24" s="168"/>
      <c r="DS24" s="174"/>
      <c r="DT24" s="174"/>
      <c r="DU24" s="174"/>
      <c r="DV24" s="174"/>
      <c r="DW24" s="174"/>
      <c r="DY24" s="171" t="s">
        <v>1062</v>
      </c>
      <c r="DZ24" s="171" t="s">
        <v>2013</v>
      </c>
      <c r="EA24" s="171">
        <v>21</v>
      </c>
      <c r="EB24" s="171" t="s">
        <v>429</v>
      </c>
      <c r="EC24" s="171">
        <v>2024</v>
      </c>
      <c r="ED24" s="168"/>
      <c r="EE24" s="171" t="s">
        <v>226</v>
      </c>
      <c r="EF24" s="167" t="s">
        <v>1965</v>
      </c>
      <c r="EG24" s="168">
        <v>29</v>
      </c>
      <c r="EH24" s="168" t="s">
        <v>266</v>
      </c>
      <c r="EI24" s="171">
        <v>2022</v>
      </c>
      <c r="EK24" s="171" t="s">
        <v>952</v>
      </c>
      <c r="EL24" s="167" t="s">
        <v>2033</v>
      </c>
      <c r="EM24" s="168">
        <v>14</v>
      </c>
      <c r="EN24" s="168" t="s">
        <v>1025</v>
      </c>
      <c r="EO24" s="171">
        <v>2023</v>
      </c>
      <c r="EW24" s="171" t="s">
        <v>869</v>
      </c>
      <c r="EX24" s="167" t="s">
        <v>2010</v>
      </c>
      <c r="EY24" s="168">
        <v>1</v>
      </c>
      <c r="EZ24" s="168" t="s">
        <v>835</v>
      </c>
      <c r="FA24" s="171">
        <v>2022</v>
      </c>
      <c r="FI24" s="171" t="s">
        <v>611</v>
      </c>
      <c r="FJ24" s="167" t="s">
        <v>1989</v>
      </c>
      <c r="FK24" s="168">
        <v>1</v>
      </c>
      <c r="FL24" s="168" t="s">
        <v>717</v>
      </c>
      <c r="FM24" s="171">
        <v>2023</v>
      </c>
    </row>
    <row r="25" spans="1:170">
      <c r="A25" s="995">
        <v>21</v>
      </c>
      <c r="B25" s="167" t="s">
        <v>1200</v>
      </c>
      <c r="C25" s="168" t="s">
        <v>2068</v>
      </c>
      <c r="D25" s="168" t="s">
        <v>2018</v>
      </c>
      <c r="E25" s="169" t="s">
        <v>2062</v>
      </c>
      <c r="F25" s="169" t="s">
        <v>1171</v>
      </c>
      <c r="G25" s="168">
        <v>2022</v>
      </c>
      <c r="H25" s="168"/>
      <c r="I25" s="168" t="s">
        <v>650</v>
      </c>
      <c r="J25" s="168" t="s">
        <v>2042</v>
      </c>
      <c r="K25" s="168" t="s">
        <v>1958</v>
      </c>
      <c r="L25" s="169">
        <v>10</v>
      </c>
      <c r="M25" s="168" t="s">
        <v>717</v>
      </c>
      <c r="N25" s="168">
        <v>2022</v>
      </c>
      <c r="O25" s="168"/>
      <c r="P25" s="168" t="s">
        <v>1139</v>
      </c>
      <c r="Q25" s="168" t="s">
        <v>1431</v>
      </c>
      <c r="R25" s="168" t="s">
        <v>1959</v>
      </c>
      <c r="S25" s="168">
        <v>6</v>
      </c>
      <c r="T25" s="168" t="s">
        <v>717</v>
      </c>
      <c r="U25" s="168">
        <v>2023</v>
      </c>
      <c r="V25" s="168"/>
      <c r="AD25" s="171" t="s">
        <v>1265</v>
      </c>
      <c r="AE25" s="171" t="s">
        <v>1535</v>
      </c>
      <c r="AF25" s="171" t="s">
        <v>1987</v>
      </c>
      <c r="AG25" s="171">
        <v>3</v>
      </c>
      <c r="AH25" s="171" t="s">
        <v>1025</v>
      </c>
      <c r="AI25" s="171">
        <v>2024</v>
      </c>
      <c r="AK25" s="168" t="s">
        <v>835</v>
      </c>
      <c r="AL25" s="168" t="s">
        <v>1318</v>
      </c>
      <c r="AM25" s="168" t="s">
        <v>1959</v>
      </c>
      <c r="AN25" s="168">
        <v>14</v>
      </c>
      <c r="AO25" s="168" t="s">
        <v>804</v>
      </c>
      <c r="AP25" s="168">
        <v>2023</v>
      </c>
      <c r="AQ25" s="168"/>
      <c r="AR25" s="168" t="s">
        <v>502</v>
      </c>
      <c r="AS25" s="168" t="s">
        <v>1478</v>
      </c>
      <c r="AT25" s="168" t="s">
        <v>2060</v>
      </c>
      <c r="AU25" s="176" t="s">
        <v>611</v>
      </c>
      <c r="AV25" s="168">
        <v>2022</v>
      </c>
      <c r="AW25" s="168"/>
      <c r="AX25" s="168" t="s">
        <v>394</v>
      </c>
      <c r="AY25" s="168" t="s">
        <v>1564</v>
      </c>
      <c r="AZ25" s="168" t="s">
        <v>1981</v>
      </c>
      <c r="BA25" s="168" t="s">
        <v>429</v>
      </c>
      <c r="BB25" s="168" t="s">
        <v>2052</v>
      </c>
      <c r="BC25" s="171">
        <v>2023</v>
      </c>
      <c r="BE25" s="168" t="s">
        <v>835</v>
      </c>
      <c r="BF25" s="168" t="s">
        <v>1661</v>
      </c>
      <c r="BG25" s="168" t="s">
        <v>1978</v>
      </c>
      <c r="BH25" s="168">
        <v>4</v>
      </c>
      <c r="BI25" s="168" t="s">
        <v>1096</v>
      </c>
      <c r="BJ25" s="171">
        <v>2023</v>
      </c>
      <c r="BK25" s="171"/>
      <c r="BL25" s="168" t="s">
        <v>804</v>
      </c>
      <c r="BM25" s="168" t="s">
        <v>1337</v>
      </c>
      <c r="BN25" s="168" t="s">
        <v>1978</v>
      </c>
      <c r="BO25" s="168" t="s">
        <v>1265</v>
      </c>
      <c r="BP25" s="171">
        <v>2023</v>
      </c>
      <c r="BR25" s="171" t="s">
        <v>1265</v>
      </c>
      <c r="BS25" s="171" t="s">
        <v>1326</v>
      </c>
      <c r="BT25" s="171" t="s">
        <v>2010</v>
      </c>
      <c r="BU25" s="439" t="s">
        <v>2058</v>
      </c>
      <c r="BV25" s="171" t="s">
        <v>1200</v>
      </c>
      <c r="BW25" s="171">
        <v>2024</v>
      </c>
      <c r="BY25" s="171" t="s">
        <v>1062</v>
      </c>
      <c r="BZ25" s="167" t="s">
        <v>1501</v>
      </c>
      <c r="CA25" s="168" t="s">
        <v>1989</v>
      </c>
      <c r="CB25" s="168">
        <v>14</v>
      </c>
      <c r="CC25" s="168" t="s">
        <v>1025</v>
      </c>
      <c r="CD25" s="171">
        <v>2022</v>
      </c>
      <c r="CE25" s="171"/>
      <c r="CF25" s="171" t="s">
        <v>1062</v>
      </c>
      <c r="CG25" s="167" t="s">
        <v>1501</v>
      </c>
      <c r="CH25" s="168" t="s">
        <v>1989</v>
      </c>
      <c r="CI25" s="168">
        <v>7</v>
      </c>
      <c r="CJ25" s="168" t="s">
        <v>1025</v>
      </c>
      <c r="CK25" s="171">
        <v>2022</v>
      </c>
      <c r="CM25" s="171" t="s">
        <v>1062</v>
      </c>
      <c r="CN25" s="171" t="s">
        <v>1501</v>
      </c>
      <c r="CO25" s="171" t="s">
        <v>2013</v>
      </c>
      <c r="CP25" s="171">
        <v>5</v>
      </c>
      <c r="CQ25" s="171" t="s">
        <v>429</v>
      </c>
      <c r="CR25" s="171">
        <v>2024</v>
      </c>
      <c r="CS25" s="168"/>
      <c r="DY25" s="171" t="s">
        <v>429</v>
      </c>
      <c r="DZ25" s="167" t="s">
        <v>1962</v>
      </c>
      <c r="EA25" s="168">
        <v>20</v>
      </c>
      <c r="EB25" s="168" t="s">
        <v>300</v>
      </c>
      <c r="EC25" s="171">
        <v>2022</v>
      </c>
      <c r="EE25" s="179" t="s">
        <v>804</v>
      </c>
      <c r="EF25" s="180" t="s">
        <v>1962</v>
      </c>
      <c r="EG25" s="177">
        <v>29</v>
      </c>
      <c r="EH25" s="177" t="s">
        <v>869</v>
      </c>
      <c r="EI25" s="179">
        <v>2023</v>
      </c>
      <c r="EK25" s="181" t="s">
        <v>266</v>
      </c>
      <c r="EL25" s="182" t="s">
        <v>2069</v>
      </c>
      <c r="EM25" s="183">
        <v>14</v>
      </c>
      <c r="EN25" s="183" t="s">
        <v>1139</v>
      </c>
      <c r="EO25" s="181">
        <v>2023</v>
      </c>
      <c r="EW25" s="173" t="s">
        <v>770</v>
      </c>
      <c r="EX25" s="174" t="s">
        <v>2070</v>
      </c>
      <c r="EY25" s="175">
        <v>1</v>
      </c>
      <c r="EZ25" s="175" t="s">
        <v>1062</v>
      </c>
      <c r="FA25" s="171">
        <v>2022</v>
      </c>
      <c r="FI25" s="171" t="s">
        <v>770</v>
      </c>
      <c r="FJ25" s="171" t="s">
        <v>2020</v>
      </c>
      <c r="FK25" s="171">
        <v>1</v>
      </c>
      <c r="FL25" s="171" t="s">
        <v>952</v>
      </c>
      <c r="FM25" s="171">
        <v>2024</v>
      </c>
      <c r="FN25" s="168"/>
    </row>
    <row r="26" spans="1:170">
      <c r="A26" s="995">
        <v>22</v>
      </c>
      <c r="B26" s="167" t="s">
        <v>580</v>
      </c>
      <c r="C26" s="168" t="s">
        <v>1468</v>
      </c>
      <c r="D26" s="168" t="s">
        <v>1981</v>
      </c>
      <c r="E26" s="169" t="s">
        <v>2062</v>
      </c>
      <c r="F26" s="169" t="s">
        <v>685</v>
      </c>
      <c r="G26" s="168">
        <v>2022</v>
      </c>
      <c r="H26" s="168"/>
      <c r="I26" s="168" t="s">
        <v>1229</v>
      </c>
      <c r="J26" s="168" t="s">
        <v>1426</v>
      </c>
      <c r="K26" s="168" t="s">
        <v>1992</v>
      </c>
      <c r="L26" s="169">
        <v>10</v>
      </c>
      <c r="M26" s="168" t="s">
        <v>1139</v>
      </c>
      <c r="N26" s="168">
        <v>2022</v>
      </c>
      <c r="O26" s="168"/>
      <c r="P26" s="168" t="s">
        <v>717</v>
      </c>
      <c r="Q26" s="168" t="s">
        <v>1326</v>
      </c>
      <c r="R26" s="168" t="s">
        <v>1952</v>
      </c>
      <c r="S26" s="168">
        <v>6</v>
      </c>
      <c r="T26" s="168" t="s">
        <v>226</v>
      </c>
      <c r="U26" s="168">
        <v>2023</v>
      </c>
      <c r="V26" s="168"/>
      <c r="AD26" s="171" t="s">
        <v>266</v>
      </c>
      <c r="AE26" s="171" t="s">
        <v>1466</v>
      </c>
      <c r="AF26" s="171" t="s">
        <v>2037</v>
      </c>
      <c r="AG26" s="171">
        <v>3</v>
      </c>
      <c r="AH26" s="171" t="s">
        <v>611</v>
      </c>
      <c r="AI26" s="171">
        <v>2024</v>
      </c>
      <c r="AJ26" s="171"/>
      <c r="AK26" s="168" t="s">
        <v>835</v>
      </c>
      <c r="AL26" s="168" t="s">
        <v>1318</v>
      </c>
      <c r="AM26" s="168" t="s">
        <v>2029</v>
      </c>
      <c r="AN26" s="168">
        <v>14</v>
      </c>
      <c r="AO26" s="168" t="s">
        <v>226</v>
      </c>
      <c r="AP26" s="168">
        <v>2023</v>
      </c>
      <c r="AQ26" s="168"/>
      <c r="AR26" s="168" t="s">
        <v>952</v>
      </c>
      <c r="AS26" s="168" t="s">
        <v>1342</v>
      </c>
      <c r="AT26" s="168" t="s">
        <v>1997</v>
      </c>
      <c r="AU26" s="176" t="s">
        <v>1229</v>
      </c>
      <c r="AV26" s="168">
        <v>2022</v>
      </c>
      <c r="AW26" s="168"/>
      <c r="AX26" s="168" t="s">
        <v>300</v>
      </c>
      <c r="AY26" s="168" t="s">
        <v>1636</v>
      </c>
      <c r="AZ26" s="168" t="s">
        <v>2003</v>
      </c>
      <c r="BA26" s="168" t="s">
        <v>502</v>
      </c>
      <c r="BB26" s="168" t="s">
        <v>2052</v>
      </c>
      <c r="BC26" s="171">
        <v>2023</v>
      </c>
      <c r="BE26" s="168" t="s">
        <v>580</v>
      </c>
      <c r="BF26" s="168" t="s">
        <v>1327</v>
      </c>
      <c r="BG26" s="168" t="s">
        <v>1995</v>
      </c>
      <c r="BH26" s="168">
        <v>4</v>
      </c>
      <c r="BI26" s="168" t="s">
        <v>717</v>
      </c>
      <c r="BJ26" s="171">
        <v>2023</v>
      </c>
      <c r="BK26" s="171"/>
      <c r="BL26" s="168" t="s">
        <v>339</v>
      </c>
      <c r="BM26" s="168" t="s">
        <v>1323</v>
      </c>
      <c r="BN26" s="168" t="s">
        <v>1995</v>
      </c>
      <c r="BO26" s="168" t="s">
        <v>300</v>
      </c>
      <c r="BP26" s="171">
        <v>2023</v>
      </c>
      <c r="BQ26" s="168"/>
      <c r="BR26" s="168" t="s">
        <v>804</v>
      </c>
      <c r="BS26" s="168" t="s">
        <v>1565</v>
      </c>
      <c r="BT26" s="168" t="s">
        <v>2012</v>
      </c>
      <c r="BU26" s="169" t="s">
        <v>2071</v>
      </c>
      <c r="BV26" s="168" t="s">
        <v>903</v>
      </c>
      <c r="BW26" s="171">
        <v>2022</v>
      </c>
      <c r="BY26" s="171" t="s">
        <v>717</v>
      </c>
      <c r="BZ26" s="167" t="s">
        <v>1326</v>
      </c>
      <c r="CA26" s="168" t="s">
        <v>1990</v>
      </c>
      <c r="CB26" s="168">
        <v>14</v>
      </c>
      <c r="CC26" s="168" t="s">
        <v>226</v>
      </c>
      <c r="CD26" s="171">
        <v>2023</v>
      </c>
      <c r="CF26" s="171" t="s">
        <v>804</v>
      </c>
      <c r="CG26" s="167" t="s">
        <v>1339</v>
      </c>
      <c r="CH26" s="168" t="s">
        <v>1984</v>
      </c>
      <c r="CI26" s="168">
        <v>7</v>
      </c>
      <c r="CJ26" s="168" t="s">
        <v>165</v>
      </c>
      <c r="CK26" s="171">
        <v>2023</v>
      </c>
      <c r="CM26" s="171" t="s">
        <v>226</v>
      </c>
      <c r="CN26" s="171" t="s">
        <v>1463</v>
      </c>
      <c r="CO26" s="171" t="s">
        <v>1965</v>
      </c>
      <c r="CP26" s="171">
        <v>5</v>
      </c>
      <c r="CQ26" s="171" t="s">
        <v>266</v>
      </c>
      <c r="CR26" s="171">
        <v>2024</v>
      </c>
      <c r="DY26" s="171" t="s">
        <v>990</v>
      </c>
      <c r="DZ26" s="167" t="s">
        <v>1984</v>
      </c>
      <c r="EA26" s="168">
        <v>20</v>
      </c>
      <c r="EB26" s="168" t="s">
        <v>1229</v>
      </c>
      <c r="EC26" s="171">
        <v>2022</v>
      </c>
      <c r="EE26" s="171" t="s">
        <v>165</v>
      </c>
      <c r="EF26" s="171" t="s">
        <v>1988</v>
      </c>
      <c r="EG26" s="171">
        <v>29</v>
      </c>
      <c r="EH26" s="171" t="s">
        <v>266</v>
      </c>
      <c r="EI26" s="171">
        <v>2024</v>
      </c>
      <c r="EW26" s="171" t="s">
        <v>266</v>
      </c>
      <c r="EX26" s="167" t="s">
        <v>1973</v>
      </c>
      <c r="EY26" s="168">
        <v>1</v>
      </c>
      <c r="EZ26" s="168" t="s">
        <v>300</v>
      </c>
      <c r="FA26" s="171">
        <v>2023</v>
      </c>
      <c r="FB26" s="168"/>
      <c r="FI26" s="171" t="s">
        <v>1200</v>
      </c>
      <c r="FJ26" s="171" t="s">
        <v>2000</v>
      </c>
      <c r="FK26" s="171">
        <v>1</v>
      </c>
      <c r="FL26" s="171" t="s">
        <v>903</v>
      </c>
      <c r="FM26" s="171">
        <v>2024</v>
      </c>
      <c r="FN26" s="168"/>
    </row>
    <row r="27" spans="1:170">
      <c r="A27" s="995">
        <v>23</v>
      </c>
      <c r="B27" s="167" t="s">
        <v>394</v>
      </c>
      <c r="C27" s="168" t="s">
        <v>1452</v>
      </c>
      <c r="D27" s="168" t="s">
        <v>2024</v>
      </c>
      <c r="E27" s="169" t="s">
        <v>2062</v>
      </c>
      <c r="F27" s="169" t="s">
        <v>339</v>
      </c>
      <c r="G27" s="168">
        <v>2022</v>
      </c>
      <c r="H27" s="168"/>
      <c r="I27" s="168" t="s">
        <v>1265</v>
      </c>
      <c r="J27" s="168" t="s">
        <v>2045</v>
      </c>
      <c r="K27" s="168" t="s">
        <v>1992</v>
      </c>
      <c r="L27" s="169">
        <v>10</v>
      </c>
      <c r="M27" s="168" t="s">
        <v>1171</v>
      </c>
      <c r="N27" s="168">
        <v>2022</v>
      </c>
      <c r="O27" s="168"/>
      <c r="P27" s="168" t="s">
        <v>990</v>
      </c>
      <c r="Q27" s="168" t="s">
        <v>2034</v>
      </c>
      <c r="R27" s="168" t="s">
        <v>1997</v>
      </c>
      <c r="S27" s="168">
        <v>6</v>
      </c>
      <c r="T27" s="168" t="s">
        <v>1200</v>
      </c>
      <c r="U27" s="168">
        <v>2023</v>
      </c>
      <c r="V27" s="168"/>
      <c r="AD27" s="171" t="s">
        <v>1062</v>
      </c>
      <c r="AE27" s="171" t="s">
        <v>1558</v>
      </c>
      <c r="AF27" s="171" t="s">
        <v>1977</v>
      </c>
      <c r="AG27" s="171">
        <v>3</v>
      </c>
      <c r="AH27" s="171" t="s">
        <v>1025</v>
      </c>
      <c r="AI27" s="171">
        <v>2024</v>
      </c>
      <c r="AJ27" s="171"/>
      <c r="AK27" s="168" t="s">
        <v>1139</v>
      </c>
      <c r="AL27" s="168" t="s">
        <v>1666</v>
      </c>
      <c r="AM27" s="168" t="s">
        <v>2029</v>
      </c>
      <c r="AN27" s="168">
        <v>14</v>
      </c>
      <c r="AO27" s="168" t="s">
        <v>804</v>
      </c>
      <c r="AP27" s="168">
        <v>2023</v>
      </c>
      <c r="AQ27" s="171"/>
      <c r="AR27" s="168" t="s">
        <v>685</v>
      </c>
      <c r="AS27" s="168" t="s">
        <v>2002</v>
      </c>
      <c r="AT27" s="168" t="s">
        <v>2032</v>
      </c>
      <c r="AU27" s="176" t="s">
        <v>300</v>
      </c>
      <c r="AV27" s="168">
        <v>2022</v>
      </c>
      <c r="AW27" s="168"/>
      <c r="AX27" s="168" t="s">
        <v>869</v>
      </c>
      <c r="AY27" s="168" t="s">
        <v>1818</v>
      </c>
      <c r="AZ27" s="168" t="s">
        <v>1976</v>
      </c>
      <c r="BA27" s="168" t="s">
        <v>770</v>
      </c>
      <c r="BB27" s="168" t="s">
        <v>2052</v>
      </c>
      <c r="BC27" s="171">
        <v>2023</v>
      </c>
      <c r="BE27" s="168" t="s">
        <v>869</v>
      </c>
      <c r="BF27" s="168" t="s">
        <v>1324</v>
      </c>
      <c r="BG27" s="168" t="s">
        <v>1993</v>
      </c>
      <c r="BH27" s="168">
        <v>4</v>
      </c>
      <c r="BI27" s="168" t="s">
        <v>804</v>
      </c>
      <c r="BJ27" s="171">
        <v>2023</v>
      </c>
      <c r="BL27" s="168" t="s">
        <v>580</v>
      </c>
      <c r="BM27" s="168" t="s">
        <v>1327</v>
      </c>
      <c r="BN27" s="168" t="s">
        <v>1995</v>
      </c>
      <c r="BO27" s="168" t="s">
        <v>717</v>
      </c>
      <c r="BP27" s="171">
        <v>2023</v>
      </c>
      <c r="BR27" s="168" t="s">
        <v>339</v>
      </c>
      <c r="BS27" s="168" t="s">
        <v>2072</v>
      </c>
      <c r="BT27" s="168" t="s">
        <v>1990</v>
      </c>
      <c r="BU27" s="169" t="s">
        <v>2071</v>
      </c>
      <c r="BV27" s="168" t="s">
        <v>611</v>
      </c>
      <c r="BW27" s="171">
        <v>2022</v>
      </c>
      <c r="BX27" s="171"/>
      <c r="BY27" s="171" t="s">
        <v>1025</v>
      </c>
      <c r="BZ27" s="167" t="s">
        <v>1523</v>
      </c>
      <c r="CA27" s="168" t="s">
        <v>2010</v>
      </c>
      <c r="CB27" s="168">
        <v>14</v>
      </c>
      <c r="CC27" s="168" t="s">
        <v>1096</v>
      </c>
      <c r="CD27" s="171">
        <v>2023</v>
      </c>
      <c r="CE27" s="171"/>
      <c r="CF27" s="171" t="s">
        <v>990</v>
      </c>
      <c r="CG27" s="167" t="s">
        <v>1330</v>
      </c>
      <c r="CH27" s="168" t="s">
        <v>2001</v>
      </c>
      <c r="CI27" s="168">
        <v>7</v>
      </c>
      <c r="CJ27" s="168" t="s">
        <v>804</v>
      </c>
      <c r="CK27" s="171">
        <v>2023</v>
      </c>
      <c r="DY27" s="171" t="s">
        <v>165</v>
      </c>
      <c r="DZ27" s="167" t="s">
        <v>1971</v>
      </c>
      <c r="EA27" s="168">
        <v>20</v>
      </c>
      <c r="EB27" s="168" t="s">
        <v>804</v>
      </c>
      <c r="EC27" s="171">
        <v>2022</v>
      </c>
      <c r="ED27" s="168"/>
      <c r="EW27" s="171" t="s">
        <v>804</v>
      </c>
      <c r="EX27" s="167" t="s">
        <v>2011</v>
      </c>
      <c r="EY27" s="168">
        <v>1</v>
      </c>
      <c r="EZ27" s="168" t="s">
        <v>903</v>
      </c>
      <c r="FA27" s="171">
        <v>2023</v>
      </c>
      <c r="FB27" s="168"/>
      <c r="FC27" s="174"/>
      <c r="FD27" s="174"/>
      <c r="FE27" s="174"/>
      <c r="FF27" s="174"/>
      <c r="FG27" s="174"/>
    </row>
    <row r="28" spans="1:170">
      <c r="A28" s="995">
        <v>24</v>
      </c>
      <c r="B28" s="167" t="s">
        <v>394</v>
      </c>
      <c r="C28" s="168" t="s">
        <v>1452</v>
      </c>
      <c r="D28" s="168" t="s">
        <v>1978</v>
      </c>
      <c r="E28" s="169" t="s">
        <v>2062</v>
      </c>
      <c r="F28" s="169" t="s">
        <v>717</v>
      </c>
      <c r="G28" s="168">
        <v>2022</v>
      </c>
      <c r="H28" s="168"/>
      <c r="I28" s="168" t="s">
        <v>650</v>
      </c>
      <c r="J28" s="168" t="s">
        <v>2073</v>
      </c>
      <c r="K28" s="168" t="s">
        <v>1986</v>
      </c>
      <c r="L28" s="169" t="s">
        <v>58</v>
      </c>
      <c r="M28" s="168" t="s">
        <v>226</v>
      </c>
      <c r="N28" s="168">
        <v>2022</v>
      </c>
      <c r="O28" s="168"/>
      <c r="P28" s="168" t="s">
        <v>580</v>
      </c>
      <c r="Q28" s="168" t="s">
        <v>1468</v>
      </c>
      <c r="R28" s="168" t="s">
        <v>1985</v>
      </c>
      <c r="S28" s="168">
        <v>6</v>
      </c>
      <c r="T28" s="168" t="s">
        <v>1200</v>
      </c>
      <c r="U28" s="168">
        <v>2023</v>
      </c>
      <c r="V28" s="168"/>
      <c r="AD28" s="171" t="s">
        <v>611</v>
      </c>
      <c r="AE28" s="171" t="s">
        <v>1385</v>
      </c>
      <c r="AF28" s="171" t="s">
        <v>2017</v>
      </c>
      <c r="AG28" s="171">
        <v>3</v>
      </c>
      <c r="AH28" s="171" t="s">
        <v>1229</v>
      </c>
      <c r="AI28" s="171">
        <v>2024</v>
      </c>
      <c r="AJ28" s="171"/>
      <c r="AK28" s="168" t="s">
        <v>394</v>
      </c>
      <c r="AL28" s="168" t="s">
        <v>1735</v>
      </c>
      <c r="AM28" s="168" t="s">
        <v>2037</v>
      </c>
      <c r="AN28" s="168">
        <v>14</v>
      </c>
      <c r="AO28" s="168" t="s">
        <v>580</v>
      </c>
      <c r="AP28" s="168">
        <v>2023</v>
      </c>
      <c r="AQ28" s="171"/>
      <c r="AR28" s="168" t="s">
        <v>165</v>
      </c>
      <c r="AS28" s="168" t="s">
        <v>1471</v>
      </c>
      <c r="AT28" s="168" t="s">
        <v>1969</v>
      </c>
      <c r="AU28" s="176" t="s">
        <v>804</v>
      </c>
      <c r="AV28" s="168">
        <v>2022</v>
      </c>
      <c r="AW28" s="168"/>
      <c r="AX28" s="168" t="s">
        <v>266</v>
      </c>
      <c r="AY28" s="168" t="s">
        <v>1560</v>
      </c>
      <c r="AZ28" s="168" t="s">
        <v>1985</v>
      </c>
      <c r="BA28" s="168" t="s">
        <v>429</v>
      </c>
      <c r="BB28" s="168" t="s">
        <v>2052</v>
      </c>
      <c r="BC28" s="171">
        <v>2023</v>
      </c>
      <c r="BE28" s="171" t="s">
        <v>1265</v>
      </c>
      <c r="BF28" s="171" t="s">
        <v>1697</v>
      </c>
      <c r="BG28" s="171" t="s">
        <v>2018</v>
      </c>
      <c r="BH28" s="171">
        <v>4</v>
      </c>
      <c r="BI28" s="171" t="s">
        <v>650</v>
      </c>
      <c r="BJ28" s="171">
        <v>2024</v>
      </c>
      <c r="BL28" s="168" t="s">
        <v>580</v>
      </c>
      <c r="BM28" s="168" t="s">
        <v>1327</v>
      </c>
      <c r="BN28" s="168" t="s">
        <v>2018</v>
      </c>
      <c r="BO28" s="168" t="s">
        <v>685</v>
      </c>
      <c r="BP28" s="171">
        <v>2024</v>
      </c>
      <c r="BR28" s="168" t="s">
        <v>539</v>
      </c>
      <c r="BS28" s="168" t="s">
        <v>1490</v>
      </c>
      <c r="BT28" s="168" t="s">
        <v>2033</v>
      </c>
      <c r="BU28" s="169" t="s">
        <v>2071</v>
      </c>
      <c r="BV28" s="168" t="s">
        <v>463</v>
      </c>
      <c r="BW28" s="171">
        <v>2022</v>
      </c>
      <c r="BY28" s="173" t="s">
        <v>266</v>
      </c>
      <c r="BZ28" s="174" t="s">
        <v>1462</v>
      </c>
      <c r="CA28" s="175" t="s">
        <v>1998</v>
      </c>
      <c r="CB28" s="175">
        <v>14</v>
      </c>
      <c r="CC28" s="175" t="s">
        <v>429</v>
      </c>
      <c r="CD28" s="173">
        <v>2023</v>
      </c>
      <c r="CE28" s="171"/>
      <c r="CF28" s="171" t="s">
        <v>804</v>
      </c>
      <c r="CG28" s="167" t="s">
        <v>1339</v>
      </c>
      <c r="CH28" s="168" t="s">
        <v>1965</v>
      </c>
      <c r="CI28" s="168">
        <v>7</v>
      </c>
      <c r="CJ28" s="168" t="s">
        <v>835</v>
      </c>
      <c r="CK28" s="171">
        <v>2023</v>
      </c>
      <c r="DY28" s="171" t="s">
        <v>394</v>
      </c>
      <c r="DZ28" s="167" t="s">
        <v>2011</v>
      </c>
      <c r="EA28" s="168">
        <v>20</v>
      </c>
      <c r="EB28" s="168" t="s">
        <v>429</v>
      </c>
      <c r="EC28" s="171">
        <v>2023</v>
      </c>
      <c r="ED28" s="168"/>
      <c r="EW28" s="171" t="s">
        <v>339</v>
      </c>
      <c r="EX28" s="167" t="s">
        <v>2020</v>
      </c>
      <c r="EY28" s="168">
        <v>1</v>
      </c>
      <c r="EZ28" s="168" t="s">
        <v>685</v>
      </c>
      <c r="FA28" s="171">
        <v>2023</v>
      </c>
      <c r="FC28" s="174"/>
      <c r="FD28" s="174"/>
      <c r="FE28" s="174"/>
      <c r="FF28" s="174"/>
      <c r="FG28" s="174"/>
    </row>
    <row r="29" spans="1:170" ht="17" thickBot="1">
      <c r="A29" s="995">
        <v>25</v>
      </c>
      <c r="B29" s="167" t="s">
        <v>300</v>
      </c>
      <c r="C29" s="168" t="s">
        <v>1636</v>
      </c>
      <c r="D29" s="168" t="s">
        <v>1967</v>
      </c>
      <c r="E29" s="169" t="s">
        <v>2062</v>
      </c>
      <c r="F29" s="169" t="s">
        <v>539</v>
      </c>
      <c r="G29" s="168">
        <v>2022</v>
      </c>
      <c r="H29" s="168"/>
      <c r="I29" s="168" t="s">
        <v>1096</v>
      </c>
      <c r="J29" s="168" t="s">
        <v>1508</v>
      </c>
      <c r="K29" s="168" t="s">
        <v>1980</v>
      </c>
      <c r="L29" s="169" t="s">
        <v>58</v>
      </c>
      <c r="M29" s="169" t="s">
        <v>804</v>
      </c>
      <c r="N29" s="168">
        <v>2022</v>
      </c>
      <c r="O29" s="168"/>
      <c r="P29" s="168" t="s">
        <v>835</v>
      </c>
      <c r="Q29" s="168" t="s">
        <v>1425</v>
      </c>
      <c r="R29" s="168" t="s">
        <v>2027</v>
      </c>
      <c r="S29" s="168">
        <v>6</v>
      </c>
      <c r="T29" s="168" t="s">
        <v>770</v>
      </c>
      <c r="U29" s="168">
        <v>2023</v>
      </c>
      <c r="V29" s="168"/>
      <c r="AD29" s="171" t="s">
        <v>717</v>
      </c>
      <c r="AE29" s="171" t="s">
        <v>1517</v>
      </c>
      <c r="AF29" s="171" t="s">
        <v>2027</v>
      </c>
      <c r="AG29" s="171">
        <v>3</v>
      </c>
      <c r="AH29" s="171" t="s">
        <v>685</v>
      </c>
      <c r="AI29" s="171">
        <v>2024</v>
      </c>
      <c r="AJ29" s="171"/>
      <c r="AK29" s="168" t="s">
        <v>1200</v>
      </c>
      <c r="AL29" s="168" t="s">
        <v>1331</v>
      </c>
      <c r="AM29" s="168" t="s">
        <v>1975</v>
      </c>
      <c r="AN29" s="168">
        <v>14</v>
      </c>
      <c r="AO29" s="168" t="s">
        <v>903</v>
      </c>
      <c r="AP29" s="168">
        <v>2023</v>
      </c>
      <c r="AQ29" s="171"/>
      <c r="AR29" s="168" t="s">
        <v>394</v>
      </c>
      <c r="AS29" s="168" t="s">
        <v>2026</v>
      </c>
      <c r="AT29" s="168" t="s">
        <v>2037</v>
      </c>
      <c r="AU29" s="176" t="s">
        <v>580</v>
      </c>
      <c r="AV29" s="168">
        <v>2022</v>
      </c>
      <c r="AW29" s="168"/>
      <c r="AX29" s="171" t="s">
        <v>339</v>
      </c>
      <c r="AY29" s="171" t="s">
        <v>1633</v>
      </c>
      <c r="AZ29" s="171" t="s">
        <v>2004</v>
      </c>
      <c r="BA29" s="171" t="s">
        <v>717</v>
      </c>
      <c r="BB29" s="168" t="s">
        <v>2052</v>
      </c>
      <c r="BC29" s="171">
        <v>2024</v>
      </c>
      <c r="BD29" s="171"/>
      <c r="BE29" s="171" t="s">
        <v>502</v>
      </c>
      <c r="BF29" s="171" t="s">
        <v>1684</v>
      </c>
      <c r="BG29" s="171" t="s">
        <v>2024</v>
      </c>
      <c r="BH29" s="171">
        <v>4</v>
      </c>
      <c r="BI29" s="171" t="s">
        <v>611</v>
      </c>
      <c r="BJ29" s="171">
        <v>2024</v>
      </c>
      <c r="BR29" s="168" t="s">
        <v>903</v>
      </c>
      <c r="BS29" s="168" t="s">
        <v>1470</v>
      </c>
      <c r="BT29" s="168" t="s">
        <v>1989</v>
      </c>
      <c r="BU29" s="169" t="s">
        <v>2071</v>
      </c>
      <c r="BV29" s="168" t="s">
        <v>1096</v>
      </c>
      <c r="BW29" s="171">
        <v>2022</v>
      </c>
      <c r="BY29" s="168" t="s">
        <v>717</v>
      </c>
      <c r="BZ29" s="168" t="s">
        <v>1804</v>
      </c>
      <c r="CA29" s="168" t="s">
        <v>2012</v>
      </c>
      <c r="CB29" s="168">
        <v>14</v>
      </c>
      <c r="CC29" s="168" t="s">
        <v>650</v>
      </c>
      <c r="CD29" s="168">
        <v>2024</v>
      </c>
      <c r="CE29" s="171"/>
      <c r="CF29" s="171" t="s">
        <v>1025</v>
      </c>
      <c r="CG29" s="167" t="s">
        <v>1523</v>
      </c>
      <c r="CH29" s="168" t="s">
        <v>2010</v>
      </c>
      <c r="CI29" s="168">
        <v>7</v>
      </c>
      <c r="CJ29" s="168" t="s">
        <v>1096</v>
      </c>
      <c r="CK29" s="171">
        <v>2023</v>
      </c>
      <c r="CL29" s="168"/>
      <c r="DY29" s="171" t="s">
        <v>685</v>
      </c>
      <c r="DZ29" s="167" t="s">
        <v>1990</v>
      </c>
      <c r="EA29" s="168">
        <v>20</v>
      </c>
      <c r="EB29" s="168" t="s">
        <v>463</v>
      </c>
      <c r="EC29" s="171">
        <v>2023</v>
      </c>
      <c r="EW29" s="171" t="s">
        <v>1096</v>
      </c>
      <c r="EX29" s="167" t="s">
        <v>1984</v>
      </c>
      <c r="EY29" s="168">
        <v>1</v>
      </c>
      <c r="EZ29" s="168" t="s">
        <v>463</v>
      </c>
      <c r="FA29" s="171">
        <v>2023</v>
      </c>
      <c r="FB29" s="168"/>
      <c r="FC29" s="174"/>
      <c r="FD29" s="174"/>
      <c r="FE29" s="174"/>
      <c r="FF29" s="174"/>
      <c r="FG29" s="174"/>
    </row>
    <row r="30" spans="1:170" ht="17" thickBot="1">
      <c r="A30" s="995">
        <v>26</v>
      </c>
      <c r="B30" s="167" t="s">
        <v>770</v>
      </c>
      <c r="C30" s="168" t="s">
        <v>1332</v>
      </c>
      <c r="D30" s="168" t="s">
        <v>1952</v>
      </c>
      <c r="E30" s="169" t="s">
        <v>2062</v>
      </c>
      <c r="F30" s="169" t="s">
        <v>266</v>
      </c>
      <c r="G30" s="168">
        <v>2022</v>
      </c>
      <c r="H30" s="168"/>
      <c r="I30" s="168" t="s">
        <v>611</v>
      </c>
      <c r="J30" s="168" t="s">
        <v>1385</v>
      </c>
      <c r="K30" s="168" t="s">
        <v>2006</v>
      </c>
      <c r="L30" s="168">
        <v>10</v>
      </c>
      <c r="M30" s="168" t="s">
        <v>429</v>
      </c>
      <c r="N30" s="168">
        <v>2022</v>
      </c>
      <c r="O30" s="168"/>
      <c r="P30" s="168" t="s">
        <v>770</v>
      </c>
      <c r="Q30" s="168" t="s">
        <v>1594</v>
      </c>
      <c r="R30" s="168" t="s">
        <v>1956</v>
      </c>
      <c r="S30" s="168">
        <v>6</v>
      </c>
      <c r="T30" s="168" t="s">
        <v>903</v>
      </c>
      <c r="U30" s="168">
        <v>2024</v>
      </c>
      <c r="V30" s="168"/>
      <c r="AD30" s="171" t="s">
        <v>300</v>
      </c>
      <c r="AE30" s="171" t="s">
        <v>1392</v>
      </c>
      <c r="AF30" s="171" t="s">
        <v>1994</v>
      </c>
      <c r="AG30" s="171">
        <v>3</v>
      </c>
      <c r="AH30" s="171" t="s">
        <v>580</v>
      </c>
      <c r="AI30" s="171">
        <v>2024</v>
      </c>
      <c r="AJ30" s="171"/>
      <c r="AK30" s="168" t="s">
        <v>165</v>
      </c>
      <c r="AL30" s="168" t="s">
        <v>1317</v>
      </c>
      <c r="AM30" s="168" t="s">
        <v>1993</v>
      </c>
      <c r="AN30" s="168">
        <v>14</v>
      </c>
      <c r="AO30" s="168" t="s">
        <v>300</v>
      </c>
      <c r="AP30" s="168">
        <v>2023</v>
      </c>
      <c r="AQ30" s="171"/>
      <c r="AR30" s="168" t="s">
        <v>1229</v>
      </c>
      <c r="AS30" s="168" t="s">
        <v>1520</v>
      </c>
      <c r="AT30" s="168" t="s">
        <v>1975</v>
      </c>
      <c r="AU30" s="176" t="s">
        <v>1025</v>
      </c>
      <c r="AV30" s="168">
        <v>2022</v>
      </c>
      <c r="AW30" s="168"/>
      <c r="AX30" s="168" t="s">
        <v>300</v>
      </c>
      <c r="AY30" s="168" t="s">
        <v>1636</v>
      </c>
      <c r="AZ30" s="168" t="s">
        <v>2032</v>
      </c>
      <c r="BA30" s="168" t="s">
        <v>502</v>
      </c>
      <c r="BB30" s="168" t="s">
        <v>2052</v>
      </c>
      <c r="BC30" s="171">
        <v>2023</v>
      </c>
      <c r="BE30" s="171" t="s">
        <v>952</v>
      </c>
      <c r="BF30" s="171" t="s">
        <v>2074</v>
      </c>
      <c r="BG30" s="171" t="s">
        <v>1957</v>
      </c>
      <c r="BH30" s="171">
        <v>4</v>
      </c>
      <c r="BI30" s="171" t="s">
        <v>1265</v>
      </c>
      <c r="BJ30" s="171">
        <v>2024</v>
      </c>
      <c r="BK30" s="475"/>
      <c r="BL30" s="1099" t="s">
        <v>2075</v>
      </c>
      <c r="BM30" s="1100"/>
      <c r="BN30" s="1100"/>
      <c r="BO30" s="1100"/>
      <c r="BP30" s="1101"/>
      <c r="BR30" s="168" t="s">
        <v>990</v>
      </c>
      <c r="BS30" s="168" t="s">
        <v>2076</v>
      </c>
      <c r="BT30" s="168" t="s">
        <v>1989</v>
      </c>
      <c r="BU30" s="169" t="s">
        <v>2071</v>
      </c>
      <c r="BV30" s="168" t="s">
        <v>952</v>
      </c>
      <c r="BW30" s="171">
        <v>2022</v>
      </c>
      <c r="BX30" s="171"/>
      <c r="BY30" s="171" t="s">
        <v>611</v>
      </c>
      <c r="BZ30" s="171" t="s">
        <v>1334</v>
      </c>
      <c r="CA30" s="171" t="s">
        <v>2020</v>
      </c>
      <c r="CB30" s="171">
        <v>14</v>
      </c>
      <c r="CC30" s="171" t="s">
        <v>463</v>
      </c>
      <c r="CD30" s="171">
        <v>2024</v>
      </c>
      <c r="CE30" s="171"/>
      <c r="CF30" s="171" t="s">
        <v>266</v>
      </c>
      <c r="CG30" s="167" t="s">
        <v>1462</v>
      </c>
      <c r="CH30" s="168" t="s">
        <v>1998</v>
      </c>
      <c r="CI30" s="168">
        <v>7</v>
      </c>
      <c r="CJ30" s="168" t="s">
        <v>429</v>
      </c>
      <c r="CK30" s="171">
        <v>2023</v>
      </c>
      <c r="CL30" s="168"/>
      <c r="DY30" s="171" t="s">
        <v>717</v>
      </c>
      <c r="DZ30" s="171" t="s">
        <v>2012</v>
      </c>
      <c r="EA30" s="171">
        <v>20</v>
      </c>
      <c r="EB30" s="171" t="s">
        <v>650</v>
      </c>
      <c r="EC30" s="171">
        <v>2024</v>
      </c>
      <c r="EQ30" s="174"/>
      <c r="ER30" s="174"/>
      <c r="ES30" s="174"/>
      <c r="ET30" s="174"/>
      <c r="EU30" s="174"/>
      <c r="EW30" s="171" t="s">
        <v>804</v>
      </c>
      <c r="EX30" s="167" t="s">
        <v>1990</v>
      </c>
      <c r="EY30" s="168">
        <v>1</v>
      </c>
      <c r="EZ30" s="168" t="s">
        <v>1139</v>
      </c>
      <c r="FA30" s="171">
        <v>2023</v>
      </c>
      <c r="FB30" s="168"/>
    </row>
    <row r="31" spans="1:170">
      <c r="A31" s="995">
        <v>27</v>
      </c>
      <c r="B31" s="167" t="s">
        <v>1171</v>
      </c>
      <c r="C31" s="168" t="s">
        <v>1602</v>
      </c>
      <c r="D31" s="168" t="s">
        <v>2060</v>
      </c>
      <c r="E31" s="169" t="s">
        <v>2062</v>
      </c>
      <c r="F31" s="169" t="s">
        <v>770</v>
      </c>
      <c r="G31" s="168">
        <v>2022</v>
      </c>
      <c r="H31" s="168"/>
      <c r="I31" s="168" t="s">
        <v>226</v>
      </c>
      <c r="J31" s="168" t="s">
        <v>1321</v>
      </c>
      <c r="K31" s="168" t="s">
        <v>1952</v>
      </c>
      <c r="L31" s="168">
        <v>10</v>
      </c>
      <c r="M31" s="168" t="s">
        <v>685</v>
      </c>
      <c r="N31" s="168">
        <v>2022</v>
      </c>
      <c r="O31" s="168"/>
      <c r="P31" s="168" t="s">
        <v>717</v>
      </c>
      <c r="Q31" s="168" t="s">
        <v>2077</v>
      </c>
      <c r="R31" s="168" t="s">
        <v>2018</v>
      </c>
      <c r="S31" s="168">
        <v>6</v>
      </c>
      <c r="T31" s="168" t="s">
        <v>611</v>
      </c>
      <c r="U31" s="168">
        <v>2024</v>
      </c>
      <c r="V31" s="168"/>
      <c r="AK31" s="175" t="s">
        <v>835</v>
      </c>
      <c r="AL31" s="175" t="s">
        <v>1318</v>
      </c>
      <c r="AM31" s="175" t="s">
        <v>2065</v>
      </c>
      <c r="AN31" s="175">
        <v>14</v>
      </c>
      <c r="AO31" s="175" t="s">
        <v>1171</v>
      </c>
      <c r="AP31" s="175">
        <v>2023</v>
      </c>
      <c r="AQ31" s="171"/>
      <c r="AR31" s="168" t="s">
        <v>770</v>
      </c>
      <c r="AS31" s="168" t="s">
        <v>1332</v>
      </c>
      <c r="AT31" s="168" t="s">
        <v>1976</v>
      </c>
      <c r="AU31" s="176" t="s">
        <v>835</v>
      </c>
      <c r="AV31" s="168">
        <v>2022</v>
      </c>
      <c r="AW31" s="168"/>
      <c r="AX31" s="171" t="s">
        <v>650</v>
      </c>
      <c r="AY31" s="171" t="s">
        <v>1515</v>
      </c>
      <c r="AZ31" s="171" t="s">
        <v>2004</v>
      </c>
      <c r="BA31" s="171" t="s">
        <v>463</v>
      </c>
      <c r="BB31" s="171" t="s">
        <v>2052</v>
      </c>
      <c r="BC31" s="171">
        <v>2024</v>
      </c>
      <c r="BD31" s="171"/>
      <c r="BE31" s="171" t="s">
        <v>1200</v>
      </c>
      <c r="BF31" s="171" t="s">
        <v>1331</v>
      </c>
      <c r="BG31" s="171" t="s">
        <v>2029</v>
      </c>
      <c r="BH31" s="171">
        <v>4</v>
      </c>
      <c r="BI31" s="171" t="s">
        <v>770</v>
      </c>
      <c r="BJ31" s="171">
        <v>2024</v>
      </c>
      <c r="BK31" s="171"/>
      <c r="BL31" s="165" t="s">
        <v>1945</v>
      </c>
      <c r="BM31" s="165" t="s">
        <v>1946</v>
      </c>
      <c r="BN31" s="165" t="s">
        <v>1947</v>
      </c>
      <c r="BO31" s="165" t="s">
        <v>1948</v>
      </c>
      <c r="BP31" s="185" t="s">
        <v>1949</v>
      </c>
      <c r="BR31" s="168" t="s">
        <v>611</v>
      </c>
      <c r="BS31" s="168" t="s">
        <v>1567</v>
      </c>
      <c r="BT31" s="168" t="s">
        <v>2000</v>
      </c>
      <c r="BU31" s="169" t="s">
        <v>2071</v>
      </c>
      <c r="BV31" s="168" t="s">
        <v>429</v>
      </c>
      <c r="BW31" s="171">
        <v>2023</v>
      </c>
      <c r="BY31" s="171" t="s">
        <v>580</v>
      </c>
      <c r="BZ31" s="171" t="s">
        <v>1325</v>
      </c>
      <c r="CA31" s="171" t="s">
        <v>1984</v>
      </c>
      <c r="CB31" s="171">
        <v>14</v>
      </c>
      <c r="CC31" s="171" t="s">
        <v>463</v>
      </c>
      <c r="CD31" s="171">
        <v>2024</v>
      </c>
      <c r="CF31" s="168" t="s">
        <v>539</v>
      </c>
      <c r="CG31" s="168" t="s">
        <v>1536</v>
      </c>
      <c r="CH31" s="168" t="s">
        <v>1962</v>
      </c>
      <c r="CI31" s="168">
        <v>7</v>
      </c>
      <c r="CJ31" s="168" t="s">
        <v>463</v>
      </c>
      <c r="CK31" s="168">
        <v>2024</v>
      </c>
      <c r="CL31" s="168"/>
      <c r="DY31" s="171" t="s">
        <v>539</v>
      </c>
      <c r="DZ31" s="171" t="s">
        <v>1962</v>
      </c>
      <c r="EA31" s="171">
        <v>20</v>
      </c>
      <c r="EB31" s="171" t="s">
        <v>463</v>
      </c>
      <c r="EC31" s="171">
        <v>2024</v>
      </c>
      <c r="EQ31" s="174"/>
      <c r="ER31" s="174"/>
      <c r="ES31" s="174"/>
      <c r="ET31" s="174"/>
      <c r="EU31" s="174"/>
      <c r="EW31" s="171" t="s">
        <v>1171</v>
      </c>
      <c r="EX31" s="167" t="s">
        <v>1988</v>
      </c>
      <c r="EY31" s="168">
        <v>1</v>
      </c>
      <c r="EZ31" s="168" t="s">
        <v>1265</v>
      </c>
      <c r="FA31" s="171">
        <v>2023</v>
      </c>
      <c r="FB31" s="168"/>
    </row>
    <row r="32" spans="1:170">
      <c r="A32" s="995">
        <v>28</v>
      </c>
      <c r="B32" s="167" t="s">
        <v>539</v>
      </c>
      <c r="C32" s="168" t="s">
        <v>1446</v>
      </c>
      <c r="D32" s="168" t="s">
        <v>1997</v>
      </c>
      <c r="E32" s="169" t="s">
        <v>2062</v>
      </c>
      <c r="F32" s="169" t="s">
        <v>580</v>
      </c>
      <c r="G32" s="168">
        <v>2022</v>
      </c>
      <c r="H32" s="168"/>
      <c r="I32" s="168" t="s">
        <v>685</v>
      </c>
      <c r="J32" s="168" t="s">
        <v>1512</v>
      </c>
      <c r="K32" s="168" t="s">
        <v>2060</v>
      </c>
      <c r="L32" s="168">
        <v>10</v>
      </c>
      <c r="M32" s="168" t="s">
        <v>266</v>
      </c>
      <c r="N32" s="168">
        <v>2022</v>
      </c>
      <c r="O32" s="168"/>
      <c r="P32" s="171" t="s">
        <v>952</v>
      </c>
      <c r="Q32" s="171" t="s">
        <v>1316</v>
      </c>
      <c r="R32" s="171" t="s">
        <v>1957</v>
      </c>
      <c r="S32" s="171">
        <v>6</v>
      </c>
      <c r="T32" s="171" t="s">
        <v>1265</v>
      </c>
      <c r="U32" s="171">
        <v>2024</v>
      </c>
      <c r="V32" s="168"/>
      <c r="AK32" s="168" t="s">
        <v>835</v>
      </c>
      <c r="AL32" s="168" t="s">
        <v>1318</v>
      </c>
      <c r="AM32" s="168" t="s">
        <v>1958</v>
      </c>
      <c r="AN32" s="168">
        <v>14</v>
      </c>
      <c r="AO32" s="168" t="s">
        <v>770</v>
      </c>
      <c r="AP32" s="168">
        <v>2024</v>
      </c>
      <c r="AQ32" s="171"/>
      <c r="AR32" s="168" t="s">
        <v>804</v>
      </c>
      <c r="AS32" s="168" t="s">
        <v>1813</v>
      </c>
      <c r="AT32" s="168" t="s">
        <v>1976</v>
      </c>
      <c r="AU32" s="176" t="s">
        <v>952</v>
      </c>
      <c r="AV32" s="168">
        <v>2022</v>
      </c>
      <c r="AW32" s="168"/>
      <c r="AX32" s="171" t="s">
        <v>266</v>
      </c>
      <c r="AY32" s="171" t="s">
        <v>2078</v>
      </c>
      <c r="AZ32" s="168" t="s">
        <v>2006</v>
      </c>
      <c r="BA32" s="171" t="s">
        <v>770</v>
      </c>
      <c r="BB32" s="171" t="s">
        <v>2052</v>
      </c>
      <c r="BC32" s="171">
        <v>2024</v>
      </c>
      <c r="BD32" s="171"/>
      <c r="BE32" s="171" t="s">
        <v>463</v>
      </c>
      <c r="BF32" s="171" t="s">
        <v>1677</v>
      </c>
      <c r="BG32" s="171" t="s">
        <v>1975</v>
      </c>
      <c r="BH32" s="171">
        <v>4</v>
      </c>
      <c r="BI32" s="171" t="s">
        <v>165</v>
      </c>
      <c r="BJ32" s="171">
        <v>2024</v>
      </c>
      <c r="BK32" s="171"/>
      <c r="BL32" s="170" t="s">
        <v>611</v>
      </c>
      <c r="BM32" s="170" t="s">
        <v>1362</v>
      </c>
      <c r="BN32" s="170" t="s">
        <v>2024</v>
      </c>
      <c r="BO32" s="170" t="s">
        <v>463</v>
      </c>
      <c r="BP32" s="172">
        <v>2022</v>
      </c>
      <c r="BR32" s="168" t="s">
        <v>1025</v>
      </c>
      <c r="BS32" s="168" t="s">
        <v>1607</v>
      </c>
      <c r="BT32" s="168" t="s">
        <v>2013</v>
      </c>
      <c r="BU32" s="169" t="s">
        <v>2071</v>
      </c>
      <c r="BV32" s="168" t="s">
        <v>394</v>
      </c>
      <c r="BW32" s="171">
        <v>2023</v>
      </c>
      <c r="BY32" s="171" t="s">
        <v>952</v>
      </c>
      <c r="BZ32" s="171" t="s">
        <v>1316</v>
      </c>
      <c r="CA32" s="171" t="s">
        <v>1984</v>
      </c>
      <c r="CB32" s="171">
        <v>14</v>
      </c>
      <c r="CC32" s="171" t="s">
        <v>1265</v>
      </c>
      <c r="CD32" s="171">
        <v>2024</v>
      </c>
      <c r="CF32" s="168" t="s">
        <v>990</v>
      </c>
      <c r="CG32" s="168" t="s">
        <v>2079</v>
      </c>
      <c r="CH32" s="168" t="s">
        <v>1962</v>
      </c>
      <c r="CI32" s="168">
        <v>7</v>
      </c>
      <c r="CJ32" s="168" t="s">
        <v>1096</v>
      </c>
      <c r="CK32" s="168">
        <v>2024</v>
      </c>
      <c r="CL32" s="168"/>
      <c r="DY32" s="458" t="s">
        <v>611</v>
      </c>
      <c r="DZ32" s="458" t="s">
        <v>1962</v>
      </c>
      <c r="EA32" s="458">
        <v>20</v>
      </c>
      <c r="EB32" s="458" t="s">
        <v>685</v>
      </c>
      <c r="EC32" s="458">
        <v>2024</v>
      </c>
      <c r="EW32" s="171" t="s">
        <v>580</v>
      </c>
      <c r="EX32" s="171" t="s">
        <v>1973</v>
      </c>
      <c r="EY32" s="171">
        <v>1</v>
      </c>
      <c r="EZ32" s="171" t="s">
        <v>717</v>
      </c>
      <c r="FA32" s="171">
        <v>2024</v>
      </c>
      <c r="FB32" s="168"/>
    </row>
    <row r="33" spans="1:158">
      <c r="A33" s="995">
        <v>29</v>
      </c>
      <c r="B33" s="167" t="s">
        <v>580</v>
      </c>
      <c r="C33" s="168" t="s">
        <v>1468</v>
      </c>
      <c r="D33" s="168" t="s">
        <v>2032</v>
      </c>
      <c r="E33" s="169" t="s">
        <v>2062</v>
      </c>
      <c r="F33" s="169" t="s">
        <v>429</v>
      </c>
      <c r="G33" s="168">
        <v>2022</v>
      </c>
      <c r="H33" s="168"/>
      <c r="I33" s="168" t="s">
        <v>165</v>
      </c>
      <c r="J33" s="168" t="s">
        <v>2080</v>
      </c>
      <c r="K33" s="168" t="s">
        <v>2037</v>
      </c>
      <c r="L33" s="168">
        <v>10</v>
      </c>
      <c r="M33" s="168" t="s">
        <v>804</v>
      </c>
      <c r="N33" s="168">
        <v>2022</v>
      </c>
      <c r="O33" s="168"/>
      <c r="P33" s="171" t="s">
        <v>1265</v>
      </c>
      <c r="Q33" s="171" t="s">
        <v>1820</v>
      </c>
      <c r="R33" s="171" t="s">
        <v>2048</v>
      </c>
      <c r="S33" s="171">
        <v>6</v>
      </c>
      <c r="T33" s="171" t="s">
        <v>990</v>
      </c>
      <c r="U33" s="171">
        <v>2024</v>
      </c>
      <c r="AK33" s="537" t="s">
        <v>835</v>
      </c>
      <c r="AL33" s="537" t="s">
        <v>1318</v>
      </c>
      <c r="AM33" s="537" t="s">
        <v>2081</v>
      </c>
      <c r="AN33" s="537">
        <v>14</v>
      </c>
      <c r="AO33" s="537" t="s">
        <v>1200</v>
      </c>
      <c r="AP33" s="537">
        <v>2024</v>
      </c>
      <c r="AQ33" s="171"/>
      <c r="AR33" s="168" t="s">
        <v>502</v>
      </c>
      <c r="AS33" s="168" t="s">
        <v>2039</v>
      </c>
      <c r="AT33" s="168" t="s">
        <v>2005</v>
      </c>
      <c r="AU33" s="176" t="s">
        <v>165</v>
      </c>
      <c r="AV33" s="168">
        <v>2022</v>
      </c>
      <c r="AW33" s="168"/>
      <c r="AX33" s="171" t="s">
        <v>1062</v>
      </c>
      <c r="AY33" s="171" t="s">
        <v>1501</v>
      </c>
      <c r="AZ33" s="171" t="s">
        <v>2006</v>
      </c>
      <c r="BA33" s="171" t="s">
        <v>1265</v>
      </c>
      <c r="BB33" s="171" t="s">
        <v>2052</v>
      </c>
      <c r="BC33" s="171">
        <v>2024</v>
      </c>
      <c r="BD33" s="171"/>
      <c r="BE33" s="171" t="s">
        <v>804</v>
      </c>
      <c r="BF33" s="171" t="s">
        <v>1337</v>
      </c>
      <c r="BG33" s="171" t="s">
        <v>1993</v>
      </c>
      <c r="BH33" s="171">
        <v>4</v>
      </c>
      <c r="BI33" s="171" t="s">
        <v>869</v>
      </c>
      <c r="BJ33" s="171">
        <v>2024</v>
      </c>
      <c r="BL33" s="168" t="s">
        <v>835</v>
      </c>
      <c r="BM33" s="168" t="s">
        <v>1883</v>
      </c>
      <c r="BN33" s="168" t="s">
        <v>2006</v>
      </c>
      <c r="BO33" s="168" t="s">
        <v>869</v>
      </c>
      <c r="BP33" s="171">
        <v>2022</v>
      </c>
      <c r="BR33" s="168" t="s">
        <v>903</v>
      </c>
      <c r="BS33" s="168" t="s">
        <v>1449</v>
      </c>
      <c r="BT33" s="168" t="s">
        <v>1965</v>
      </c>
      <c r="BU33" s="169" t="s">
        <v>2071</v>
      </c>
      <c r="BV33" s="168" t="s">
        <v>1096</v>
      </c>
      <c r="BW33" s="171">
        <v>2023</v>
      </c>
      <c r="BY33" s="171" t="s">
        <v>1062</v>
      </c>
      <c r="BZ33" s="171" t="s">
        <v>1497</v>
      </c>
      <c r="CA33" s="171" t="s">
        <v>2010</v>
      </c>
      <c r="CB33" s="171">
        <v>14</v>
      </c>
      <c r="CC33" s="171" t="s">
        <v>1025</v>
      </c>
      <c r="CD33" s="171">
        <v>2024</v>
      </c>
      <c r="CE33" s="171"/>
      <c r="CF33" s="171" t="s">
        <v>952</v>
      </c>
      <c r="CG33" s="171" t="s">
        <v>1316</v>
      </c>
      <c r="CH33" s="171" t="s">
        <v>1984</v>
      </c>
      <c r="CI33" s="171">
        <v>7</v>
      </c>
      <c r="CJ33" s="171" t="s">
        <v>1265</v>
      </c>
      <c r="CK33" s="171">
        <v>2024</v>
      </c>
      <c r="CL33" s="168"/>
      <c r="EW33" s="171" t="s">
        <v>804</v>
      </c>
      <c r="EX33" s="171" t="s">
        <v>2011</v>
      </c>
      <c r="EY33" s="171">
        <v>1</v>
      </c>
      <c r="EZ33" s="171" t="s">
        <v>835</v>
      </c>
      <c r="FA33" s="171">
        <v>2024</v>
      </c>
    </row>
    <row r="34" spans="1:158">
      <c r="A34" s="995">
        <v>30</v>
      </c>
      <c r="B34" s="167" t="s">
        <v>226</v>
      </c>
      <c r="C34" s="168" t="s">
        <v>1453</v>
      </c>
      <c r="D34" s="168" t="s">
        <v>1969</v>
      </c>
      <c r="E34" s="169" t="s">
        <v>2062</v>
      </c>
      <c r="F34" s="169" t="s">
        <v>502</v>
      </c>
      <c r="G34" s="168">
        <v>2022</v>
      </c>
      <c r="H34" s="168"/>
      <c r="I34" s="168" t="s">
        <v>1229</v>
      </c>
      <c r="J34" s="168" t="s">
        <v>2082</v>
      </c>
      <c r="K34" s="168" t="s">
        <v>2037</v>
      </c>
      <c r="L34" s="168">
        <v>10</v>
      </c>
      <c r="M34" s="168" t="s">
        <v>770</v>
      </c>
      <c r="N34" s="168">
        <v>2022</v>
      </c>
      <c r="O34" s="168"/>
      <c r="P34" s="171" t="s">
        <v>165</v>
      </c>
      <c r="Q34" s="171" t="s">
        <v>1500</v>
      </c>
      <c r="R34" s="171" t="s">
        <v>2017</v>
      </c>
      <c r="S34" s="171">
        <v>6</v>
      </c>
      <c r="T34" s="171" t="s">
        <v>266</v>
      </c>
      <c r="U34" s="171">
        <v>2024</v>
      </c>
      <c r="V34" s="168"/>
      <c r="AR34" s="168" t="s">
        <v>1229</v>
      </c>
      <c r="AS34" s="168" t="s">
        <v>2083</v>
      </c>
      <c r="AT34" s="168" t="s">
        <v>2005</v>
      </c>
      <c r="AU34" s="176" t="s">
        <v>1265</v>
      </c>
      <c r="AV34" s="168">
        <v>2022</v>
      </c>
      <c r="AW34" s="168"/>
      <c r="AX34" s="171" t="s">
        <v>1171</v>
      </c>
      <c r="AY34" s="171" t="s">
        <v>1507</v>
      </c>
      <c r="AZ34" s="171" t="s">
        <v>2037</v>
      </c>
      <c r="BA34" s="171" t="s">
        <v>1062</v>
      </c>
      <c r="BB34" s="171" t="s">
        <v>2052</v>
      </c>
      <c r="BC34" s="171">
        <v>2024</v>
      </c>
      <c r="BD34" s="171"/>
      <c r="BE34" s="537" t="s">
        <v>394</v>
      </c>
      <c r="BF34" s="537" t="s">
        <v>1359</v>
      </c>
      <c r="BG34" s="537" t="s">
        <v>1994</v>
      </c>
      <c r="BH34" s="537">
        <v>4</v>
      </c>
      <c r="BI34" s="537" t="s">
        <v>165</v>
      </c>
      <c r="BJ34" s="537">
        <v>2024</v>
      </c>
      <c r="BK34" s="171"/>
      <c r="BL34" s="168" t="s">
        <v>869</v>
      </c>
      <c r="BM34" s="168" t="s">
        <v>1324</v>
      </c>
      <c r="BN34" s="168" t="s">
        <v>2029</v>
      </c>
      <c r="BO34" s="168" t="s">
        <v>1096</v>
      </c>
      <c r="BP34" s="171">
        <v>2022</v>
      </c>
      <c r="BR34" s="171" t="s">
        <v>903</v>
      </c>
      <c r="BS34" s="171" t="s">
        <v>1398</v>
      </c>
      <c r="BT34" s="171" t="s">
        <v>2011</v>
      </c>
      <c r="BU34" s="439" t="s">
        <v>2071</v>
      </c>
      <c r="BV34" s="171" t="s">
        <v>869</v>
      </c>
      <c r="BW34" s="171">
        <v>2024</v>
      </c>
      <c r="BX34" s="171"/>
      <c r="BY34" s="171" t="s">
        <v>990</v>
      </c>
      <c r="BZ34" s="167" t="s">
        <v>1496</v>
      </c>
      <c r="CA34" s="168" t="s">
        <v>1972</v>
      </c>
      <c r="CB34" s="168">
        <v>13</v>
      </c>
      <c r="CC34" s="168" t="s">
        <v>1139</v>
      </c>
      <c r="CD34" s="171">
        <v>2022</v>
      </c>
      <c r="CF34" s="171" t="s">
        <v>1265</v>
      </c>
      <c r="CG34" s="171" t="s">
        <v>1820</v>
      </c>
      <c r="CH34" s="171" t="s">
        <v>2000</v>
      </c>
      <c r="CI34" s="171">
        <v>7</v>
      </c>
      <c r="CJ34" s="171" t="s">
        <v>990</v>
      </c>
      <c r="CK34" s="171">
        <v>2024</v>
      </c>
      <c r="CL34" s="168"/>
      <c r="EW34" s="171" t="s">
        <v>165</v>
      </c>
      <c r="EX34" s="171" t="s">
        <v>1972</v>
      </c>
      <c r="EY34" s="171">
        <v>1</v>
      </c>
      <c r="EZ34" s="171" t="s">
        <v>685</v>
      </c>
      <c r="FA34" s="171">
        <v>2024</v>
      </c>
    </row>
    <row r="35" spans="1:158">
      <c r="A35" s="995">
        <v>31</v>
      </c>
      <c r="B35" s="167" t="s">
        <v>835</v>
      </c>
      <c r="C35" s="168" t="s">
        <v>2084</v>
      </c>
      <c r="D35" s="168" t="s">
        <v>2037</v>
      </c>
      <c r="E35" s="169" t="s">
        <v>2062</v>
      </c>
      <c r="F35" s="169" t="s">
        <v>952</v>
      </c>
      <c r="G35" s="168">
        <v>2022</v>
      </c>
      <c r="H35" s="168"/>
      <c r="I35" s="168" t="s">
        <v>226</v>
      </c>
      <c r="J35" s="168" t="s">
        <v>1321</v>
      </c>
      <c r="K35" s="168" t="s">
        <v>1975</v>
      </c>
      <c r="L35" s="168">
        <v>10</v>
      </c>
      <c r="M35" s="168" t="s">
        <v>429</v>
      </c>
      <c r="N35" s="168">
        <v>2022</v>
      </c>
      <c r="O35" s="168"/>
      <c r="P35" s="171" t="s">
        <v>685</v>
      </c>
      <c r="Q35" s="171" t="s">
        <v>1340</v>
      </c>
      <c r="R35" s="171" t="s">
        <v>2017</v>
      </c>
      <c r="S35" s="171">
        <v>6</v>
      </c>
      <c r="T35" s="171" t="s">
        <v>650</v>
      </c>
      <c r="U35" s="171">
        <v>2024</v>
      </c>
      <c r="V35" s="168"/>
      <c r="AR35" s="168" t="s">
        <v>429</v>
      </c>
      <c r="AS35" s="168" t="s">
        <v>2016</v>
      </c>
      <c r="AT35" s="168" t="s">
        <v>2017</v>
      </c>
      <c r="AU35" s="176" t="s">
        <v>463</v>
      </c>
      <c r="AV35" s="168">
        <v>2022</v>
      </c>
      <c r="AW35" s="168"/>
      <c r="AX35" s="537" t="s">
        <v>394</v>
      </c>
      <c r="AY35" s="537" t="s">
        <v>1509</v>
      </c>
      <c r="AZ35" s="537" t="s">
        <v>2054</v>
      </c>
      <c r="BA35" s="537" t="s">
        <v>226</v>
      </c>
      <c r="BB35" s="537" t="s">
        <v>2052</v>
      </c>
      <c r="BC35" s="537">
        <v>2024</v>
      </c>
      <c r="BD35" s="171"/>
      <c r="BE35" s="168" t="s">
        <v>804</v>
      </c>
      <c r="BF35" s="168" t="s">
        <v>1337</v>
      </c>
      <c r="BG35" s="168" t="s">
        <v>1958</v>
      </c>
      <c r="BH35" s="168">
        <v>5</v>
      </c>
      <c r="BI35" s="168" t="s">
        <v>903</v>
      </c>
      <c r="BJ35" s="171">
        <v>2024</v>
      </c>
      <c r="BL35" s="168" t="s">
        <v>580</v>
      </c>
      <c r="BM35" s="168" t="s">
        <v>1721</v>
      </c>
      <c r="BN35" s="168" t="s">
        <v>1969</v>
      </c>
      <c r="BO35" s="168" t="s">
        <v>394</v>
      </c>
      <c r="BP35" s="171">
        <v>2022</v>
      </c>
      <c r="BR35" s="171" t="s">
        <v>580</v>
      </c>
      <c r="BS35" s="171" t="s">
        <v>1325</v>
      </c>
      <c r="BT35" s="171" t="s">
        <v>2000</v>
      </c>
      <c r="BU35" s="439" t="s">
        <v>2071</v>
      </c>
      <c r="BV35" s="171" t="s">
        <v>339</v>
      </c>
      <c r="BW35" s="171">
        <v>2024</v>
      </c>
      <c r="BY35" s="171" t="s">
        <v>685</v>
      </c>
      <c r="BZ35" s="167" t="s">
        <v>2002</v>
      </c>
      <c r="CA35" s="168" t="s">
        <v>2000</v>
      </c>
      <c r="CB35" s="168">
        <v>13</v>
      </c>
      <c r="CC35" s="168" t="s">
        <v>463</v>
      </c>
      <c r="CD35" s="171">
        <v>2022</v>
      </c>
      <c r="CF35" s="171" t="s">
        <v>502</v>
      </c>
      <c r="CG35" s="171" t="s">
        <v>1626</v>
      </c>
      <c r="CH35" s="171" t="s">
        <v>2013</v>
      </c>
      <c r="CI35" s="171">
        <v>7</v>
      </c>
      <c r="CJ35" s="171" t="s">
        <v>717</v>
      </c>
      <c r="CK35" s="171">
        <v>2024</v>
      </c>
      <c r="EW35" s="171" t="s">
        <v>804</v>
      </c>
      <c r="EX35" s="171" t="s">
        <v>1972</v>
      </c>
      <c r="EY35" s="171">
        <v>1</v>
      </c>
      <c r="EZ35" s="171" t="s">
        <v>1171</v>
      </c>
      <c r="FA35" s="171">
        <v>2024</v>
      </c>
      <c r="FB35" s="168"/>
    </row>
    <row r="36" spans="1:158">
      <c r="A36" s="995">
        <v>32</v>
      </c>
      <c r="B36" s="167" t="s">
        <v>1229</v>
      </c>
      <c r="C36" s="168" t="s">
        <v>2082</v>
      </c>
      <c r="D36" s="168" t="s">
        <v>2037</v>
      </c>
      <c r="E36" s="169" t="s">
        <v>2062</v>
      </c>
      <c r="F36" s="169" t="s">
        <v>770</v>
      </c>
      <c r="G36" s="168">
        <v>2022</v>
      </c>
      <c r="H36" s="168"/>
      <c r="I36" s="168" t="s">
        <v>339</v>
      </c>
      <c r="J36" s="168" t="s">
        <v>2085</v>
      </c>
      <c r="K36" s="168" t="s">
        <v>1976</v>
      </c>
      <c r="L36" s="168">
        <v>10</v>
      </c>
      <c r="M36" s="168" t="s">
        <v>300</v>
      </c>
      <c r="N36" s="168">
        <v>2022</v>
      </c>
      <c r="O36" s="168"/>
      <c r="AR36" s="168" t="s">
        <v>1200</v>
      </c>
      <c r="AS36" s="168" t="s">
        <v>1485</v>
      </c>
      <c r="AT36" s="168" t="s">
        <v>2017</v>
      </c>
      <c r="AU36" s="176" t="s">
        <v>1229</v>
      </c>
      <c r="AV36" s="168">
        <v>2022</v>
      </c>
      <c r="AW36" s="168"/>
      <c r="AX36" s="171" t="s">
        <v>835</v>
      </c>
      <c r="AY36" s="171" t="s">
        <v>1590</v>
      </c>
      <c r="AZ36" s="171" t="s">
        <v>2021</v>
      </c>
      <c r="BA36" s="171" t="s">
        <v>1200</v>
      </c>
      <c r="BB36" s="171" t="s">
        <v>2052</v>
      </c>
      <c r="BC36" s="171">
        <v>2024</v>
      </c>
      <c r="BD36" s="171"/>
      <c r="BE36" s="168" t="s">
        <v>804</v>
      </c>
      <c r="BF36" s="168" t="s">
        <v>1337</v>
      </c>
      <c r="BG36" s="168" t="s">
        <v>1958</v>
      </c>
      <c r="BH36" s="168">
        <v>5</v>
      </c>
      <c r="BI36" s="168" t="s">
        <v>990</v>
      </c>
      <c r="BJ36" s="171">
        <v>2022</v>
      </c>
      <c r="BL36" s="168" t="s">
        <v>165</v>
      </c>
      <c r="BM36" s="168" t="s">
        <v>1667</v>
      </c>
      <c r="BN36" s="168" t="s">
        <v>1977</v>
      </c>
      <c r="BO36" s="168" t="s">
        <v>339</v>
      </c>
      <c r="BP36" s="171">
        <v>2022</v>
      </c>
      <c r="BR36" s="171" t="s">
        <v>650</v>
      </c>
      <c r="BS36" s="171" t="s">
        <v>1487</v>
      </c>
      <c r="BT36" s="171" t="s">
        <v>2010</v>
      </c>
      <c r="BU36" s="439" t="s">
        <v>2071</v>
      </c>
      <c r="BV36" s="171" t="s">
        <v>580</v>
      </c>
      <c r="BW36" s="171">
        <v>2024</v>
      </c>
      <c r="BY36" s="171" t="s">
        <v>394</v>
      </c>
      <c r="BZ36" s="167" t="s">
        <v>1546</v>
      </c>
      <c r="CA36" s="168" t="s">
        <v>1966</v>
      </c>
      <c r="CB36" s="168">
        <v>13</v>
      </c>
      <c r="CC36" s="168" t="s">
        <v>226</v>
      </c>
      <c r="CD36" s="171">
        <v>2022</v>
      </c>
      <c r="CF36" s="171" t="s">
        <v>611</v>
      </c>
      <c r="CG36" s="171" t="s">
        <v>1808</v>
      </c>
      <c r="CH36" s="171" t="s">
        <v>1965</v>
      </c>
      <c r="CI36" s="171">
        <v>7</v>
      </c>
      <c r="CJ36" s="171" t="s">
        <v>717</v>
      </c>
      <c r="CK36" s="171">
        <v>2024</v>
      </c>
      <c r="CL36" s="168"/>
      <c r="EW36" s="171" t="s">
        <v>1062</v>
      </c>
      <c r="EX36" s="171" t="s">
        <v>1972</v>
      </c>
      <c r="EY36" s="171">
        <v>1</v>
      </c>
      <c r="EZ36" s="171" t="s">
        <v>1200</v>
      </c>
      <c r="FA36" s="171">
        <v>2024</v>
      </c>
      <c r="FB36" s="168"/>
    </row>
    <row r="37" spans="1:158">
      <c r="A37" s="995">
        <v>33</v>
      </c>
      <c r="B37" s="167" t="s">
        <v>1096</v>
      </c>
      <c r="C37" s="168" t="s">
        <v>1538</v>
      </c>
      <c r="D37" s="168" t="s">
        <v>2037</v>
      </c>
      <c r="E37" s="169" t="s">
        <v>2062</v>
      </c>
      <c r="F37" s="169" t="s">
        <v>1265</v>
      </c>
      <c r="G37" s="168">
        <v>2022</v>
      </c>
      <c r="H37" s="168"/>
      <c r="I37" s="168" t="s">
        <v>502</v>
      </c>
      <c r="J37" s="168" t="s">
        <v>1484</v>
      </c>
      <c r="K37" s="168" t="s">
        <v>2005</v>
      </c>
      <c r="L37" s="168">
        <v>10</v>
      </c>
      <c r="M37" s="168" t="s">
        <v>165</v>
      </c>
      <c r="N37" s="168">
        <v>2022</v>
      </c>
      <c r="O37" s="168"/>
      <c r="AR37" s="168" t="s">
        <v>650</v>
      </c>
      <c r="AS37" s="168" t="s">
        <v>2086</v>
      </c>
      <c r="AT37" s="168" t="s">
        <v>1993</v>
      </c>
      <c r="AU37" s="176" t="s">
        <v>1265</v>
      </c>
      <c r="AV37" s="168">
        <v>2022</v>
      </c>
      <c r="AW37" s="168"/>
      <c r="AX37" s="171" t="s">
        <v>990</v>
      </c>
      <c r="AY37" s="171" t="s">
        <v>2087</v>
      </c>
      <c r="AZ37" s="171" t="s">
        <v>1957</v>
      </c>
      <c r="BA37" s="171" t="s">
        <v>1229</v>
      </c>
      <c r="BB37" s="171" t="s">
        <v>2088</v>
      </c>
      <c r="BC37" s="171">
        <v>2024</v>
      </c>
      <c r="BD37" s="171"/>
      <c r="BE37" s="168" t="s">
        <v>804</v>
      </c>
      <c r="BF37" s="168" t="s">
        <v>1663</v>
      </c>
      <c r="BG37" s="168" t="s">
        <v>1981</v>
      </c>
      <c r="BH37" s="168">
        <v>5</v>
      </c>
      <c r="BI37" s="168" t="s">
        <v>835</v>
      </c>
      <c r="BJ37" s="171">
        <v>2022</v>
      </c>
      <c r="BL37" s="168" t="s">
        <v>804</v>
      </c>
      <c r="BM37" s="168" t="s">
        <v>1337</v>
      </c>
      <c r="BN37" s="168" t="s">
        <v>1958</v>
      </c>
      <c r="BO37" s="168" t="s">
        <v>835</v>
      </c>
      <c r="BP37" s="171">
        <v>2023</v>
      </c>
      <c r="BR37" s="168" t="s">
        <v>717</v>
      </c>
      <c r="BS37" s="168" t="s">
        <v>1642</v>
      </c>
      <c r="BT37" s="168" t="s">
        <v>1972</v>
      </c>
      <c r="BU37" s="169" t="s">
        <v>2089</v>
      </c>
      <c r="BV37" s="168" t="s">
        <v>539</v>
      </c>
      <c r="BW37" s="171">
        <v>2022</v>
      </c>
      <c r="BY37" s="171" t="s">
        <v>1096</v>
      </c>
      <c r="BZ37" s="167" t="s">
        <v>1538</v>
      </c>
      <c r="CA37" s="168" t="s">
        <v>1966</v>
      </c>
      <c r="CB37" s="168">
        <v>13</v>
      </c>
      <c r="CC37" s="168" t="s">
        <v>1139</v>
      </c>
      <c r="CD37" s="171">
        <v>2022</v>
      </c>
      <c r="CF37" s="171" t="s">
        <v>1171</v>
      </c>
      <c r="CG37" s="171" t="s">
        <v>1467</v>
      </c>
      <c r="CH37" s="171" t="s">
        <v>2010</v>
      </c>
      <c r="CI37" s="171">
        <v>7</v>
      </c>
      <c r="CJ37" s="171" t="s">
        <v>1229</v>
      </c>
      <c r="CK37" s="171">
        <v>2024</v>
      </c>
      <c r="CL37" s="168"/>
      <c r="DG37" s="174"/>
      <c r="DH37" s="174"/>
      <c r="DI37" s="174"/>
      <c r="DJ37" s="174"/>
      <c r="DK37" s="174"/>
      <c r="EW37" s="171" t="s">
        <v>869</v>
      </c>
      <c r="EX37" s="171" t="s">
        <v>1984</v>
      </c>
      <c r="EY37" s="171">
        <v>1</v>
      </c>
      <c r="EZ37" s="171" t="s">
        <v>1062</v>
      </c>
      <c r="FA37" s="171">
        <v>2024</v>
      </c>
      <c r="FB37" s="168"/>
    </row>
    <row r="38" spans="1:158">
      <c r="A38" s="995">
        <v>34</v>
      </c>
      <c r="B38" s="167" t="s">
        <v>429</v>
      </c>
      <c r="C38" s="168" t="s">
        <v>1423</v>
      </c>
      <c r="D38" s="168" t="s">
        <v>1955</v>
      </c>
      <c r="E38" s="169" t="s">
        <v>2062</v>
      </c>
      <c r="F38" s="169" t="s">
        <v>226</v>
      </c>
      <c r="G38" s="168">
        <v>2022</v>
      </c>
      <c r="H38" s="168"/>
      <c r="I38" s="168" t="s">
        <v>1139</v>
      </c>
      <c r="J38" s="168" t="s">
        <v>1499</v>
      </c>
      <c r="K38" s="168" t="s">
        <v>2005</v>
      </c>
      <c r="L38" s="168">
        <v>10</v>
      </c>
      <c r="M38" s="168" t="s">
        <v>717</v>
      </c>
      <c r="N38" s="168">
        <v>2022</v>
      </c>
      <c r="O38" s="168"/>
      <c r="AR38" s="168" t="s">
        <v>266</v>
      </c>
      <c r="AS38" s="168" t="s">
        <v>1515</v>
      </c>
      <c r="AT38" s="168" t="s">
        <v>1985</v>
      </c>
      <c r="AU38" s="176" t="s">
        <v>165</v>
      </c>
      <c r="AV38" s="168">
        <v>2022</v>
      </c>
      <c r="AW38" s="168"/>
      <c r="AX38" s="168" t="s">
        <v>903</v>
      </c>
      <c r="AY38" s="168" t="s">
        <v>2090</v>
      </c>
      <c r="AZ38" s="168" t="s">
        <v>2003</v>
      </c>
      <c r="BA38" s="168" t="s">
        <v>990</v>
      </c>
      <c r="BB38" s="168" t="s">
        <v>2091</v>
      </c>
      <c r="BC38" s="171">
        <v>2022</v>
      </c>
      <c r="BD38" s="171"/>
      <c r="BE38" s="168" t="s">
        <v>869</v>
      </c>
      <c r="BF38" s="168" t="s">
        <v>1324</v>
      </c>
      <c r="BG38" s="168" t="s">
        <v>2029</v>
      </c>
      <c r="BH38" s="168">
        <v>5</v>
      </c>
      <c r="BI38" s="168" t="s">
        <v>1096</v>
      </c>
      <c r="BJ38" s="171">
        <v>2022</v>
      </c>
      <c r="BL38" s="168" t="s">
        <v>394</v>
      </c>
      <c r="BM38" s="168" t="s">
        <v>1359</v>
      </c>
      <c r="BN38" s="168" t="s">
        <v>1959</v>
      </c>
      <c r="BO38" s="168" t="s">
        <v>539</v>
      </c>
      <c r="BP38" s="171">
        <v>2023</v>
      </c>
      <c r="BR38" s="168" t="s">
        <v>990</v>
      </c>
      <c r="BS38" s="168" t="s">
        <v>1461</v>
      </c>
      <c r="BT38" s="168" t="s">
        <v>1984</v>
      </c>
      <c r="BU38" s="169" t="s">
        <v>2089</v>
      </c>
      <c r="BV38" s="168" t="s">
        <v>1229</v>
      </c>
      <c r="BW38" s="171">
        <v>2022</v>
      </c>
      <c r="BY38" s="171" t="s">
        <v>952</v>
      </c>
      <c r="BZ38" s="167" t="s">
        <v>1498</v>
      </c>
      <c r="CA38" s="168" t="s">
        <v>1990</v>
      </c>
      <c r="CB38" s="168">
        <v>13</v>
      </c>
      <c r="CC38" s="168" t="s">
        <v>1200</v>
      </c>
      <c r="CD38" s="171">
        <v>2022</v>
      </c>
      <c r="EW38" s="171" t="s">
        <v>1171</v>
      </c>
      <c r="EX38" s="171" t="s">
        <v>1966</v>
      </c>
      <c r="EY38" s="171">
        <v>1</v>
      </c>
      <c r="EZ38" s="171" t="s">
        <v>1025</v>
      </c>
      <c r="FA38" s="171">
        <v>2024</v>
      </c>
    </row>
    <row r="39" spans="1:158">
      <c r="A39" s="995">
        <v>35</v>
      </c>
      <c r="B39" s="167" t="s">
        <v>869</v>
      </c>
      <c r="C39" s="168" t="s">
        <v>2092</v>
      </c>
      <c r="D39" s="168" t="s">
        <v>1976</v>
      </c>
      <c r="E39" s="169" t="s">
        <v>2062</v>
      </c>
      <c r="F39" s="169" t="s">
        <v>903</v>
      </c>
      <c r="G39" s="168">
        <v>2022</v>
      </c>
      <c r="H39" s="168"/>
      <c r="I39" s="168" t="s">
        <v>429</v>
      </c>
      <c r="J39" s="168" t="s">
        <v>1319</v>
      </c>
      <c r="K39" s="168" t="s">
        <v>1985</v>
      </c>
      <c r="L39" s="168">
        <v>10</v>
      </c>
      <c r="M39" s="168" t="s">
        <v>502</v>
      </c>
      <c r="N39" s="168">
        <v>2022</v>
      </c>
      <c r="O39" s="168"/>
      <c r="AR39" s="168" t="s">
        <v>266</v>
      </c>
      <c r="AS39" s="168" t="s">
        <v>2093</v>
      </c>
      <c r="AT39" s="168" t="s">
        <v>1985</v>
      </c>
      <c r="AU39" s="176" t="s">
        <v>165</v>
      </c>
      <c r="AV39" s="168">
        <v>2022</v>
      </c>
      <c r="AW39" s="168"/>
      <c r="AX39" s="168" t="s">
        <v>990</v>
      </c>
      <c r="AY39" s="168" t="s">
        <v>2076</v>
      </c>
      <c r="AZ39" s="168" t="s">
        <v>2043</v>
      </c>
      <c r="BA39" s="168" t="s">
        <v>952</v>
      </c>
      <c r="BB39" s="168" t="s">
        <v>2091</v>
      </c>
      <c r="BC39" s="171">
        <v>2022</v>
      </c>
      <c r="BD39" s="171"/>
      <c r="BE39" s="168" t="s">
        <v>1139</v>
      </c>
      <c r="BF39" s="168" t="s">
        <v>1696</v>
      </c>
      <c r="BG39" s="168" t="s">
        <v>2029</v>
      </c>
      <c r="BH39" s="168">
        <v>5</v>
      </c>
      <c r="BI39" s="168" t="s">
        <v>804</v>
      </c>
      <c r="BJ39" s="171">
        <v>2022</v>
      </c>
      <c r="BL39" s="168" t="s">
        <v>835</v>
      </c>
      <c r="BM39" s="168" t="s">
        <v>1661</v>
      </c>
      <c r="BN39" s="168" t="s">
        <v>1978</v>
      </c>
      <c r="BO39" s="168" t="s">
        <v>1096</v>
      </c>
      <c r="BP39" s="171">
        <v>2023</v>
      </c>
      <c r="BR39" s="168" t="s">
        <v>903</v>
      </c>
      <c r="BS39" s="168" t="s">
        <v>1819</v>
      </c>
      <c r="BT39" s="168" t="s">
        <v>1990</v>
      </c>
      <c r="BU39" s="169" t="s">
        <v>2089</v>
      </c>
      <c r="BV39" s="168" t="s">
        <v>1229</v>
      </c>
      <c r="BW39" s="171">
        <v>2022</v>
      </c>
      <c r="BY39" s="171" t="s">
        <v>685</v>
      </c>
      <c r="BZ39" s="167" t="s">
        <v>1340</v>
      </c>
      <c r="CA39" s="168" t="s">
        <v>1971</v>
      </c>
      <c r="CB39" s="168">
        <v>13</v>
      </c>
      <c r="CC39" s="168" t="s">
        <v>339</v>
      </c>
      <c r="CD39" s="171">
        <v>2022</v>
      </c>
      <c r="CE39" s="168"/>
      <c r="EW39" s="171" t="s">
        <v>869</v>
      </c>
      <c r="EX39" s="171" t="s">
        <v>1999</v>
      </c>
      <c r="EY39" s="171">
        <v>1</v>
      </c>
      <c r="EZ39" s="171" t="s">
        <v>990</v>
      </c>
      <c r="FA39" s="171">
        <v>2024</v>
      </c>
    </row>
    <row r="40" spans="1:158">
      <c r="A40" s="995">
        <v>36</v>
      </c>
      <c r="B40" s="167" t="s">
        <v>770</v>
      </c>
      <c r="C40" s="168" t="s">
        <v>1654</v>
      </c>
      <c r="D40" s="168" t="s">
        <v>1976</v>
      </c>
      <c r="E40" s="169" t="s">
        <v>2062</v>
      </c>
      <c r="F40" s="169" t="s">
        <v>835</v>
      </c>
      <c r="G40" s="168">
        <v>2022</v>
      </c>
      <c r="H40" s="168"/>
      <c r="I40" s="168" t="s">
        <v>1062</v>
      </c>
      <c r="J40" s="168" t="s">
        <v>1497</v>
      </c>
      <c r="K40" s="168" t="s">
        <v>2043</v>
      </c>
      <c r="L40" s="168">
        <v>10</v>
      </c>
      <c r="M40" s="168" t="s">
        <v>1025</v>
      </c>
      <c r="N40" s="168">
        <v>2022</v>
      </c>
      <c r="O40" s="168"/>
      <c r="AR40" s="168" t="s">
        <v>1200</v>
      </c>
      <c r="AS40" s="168" t="s">
        <v>1505</v>
      </c>
      <c r="AT40" s="168" t="s">
        <v>1985</v>
      </c>
      <c r="AU40" s="176" t="s">
        <v>1139</v>
      </c>
      <c r="AV40" s="168">
        <v>2022</v>
      </c>
      <c r="AW40" s="168"/>
      <c r="AX40" s="168" t="s">
        <v>394</v>
      </c>
      <c r="AY40" s="168" t="s">
        <v>1646</v>
      </c>
      <c r="AZ40" s="168" t="s">
        <v>1967</v>
      </c>
      <c r="BA40" s="168" t="s">
        <v>611</v>
      </c>
      <c r="BB40" s="168" t="s">
        <v>2091</v>
      </c>
      <c r="BC40" s="171">
        <v>2023</v>
      </c>
      <c r="BD40" s="171"/>
      <c r="BE40" s="168" t="s">
        <v>165</v>
      </c>
      <c r="BF40" s="168" t="s">
        <v>1317</v>
      </c>
      <c r="BG40" s="168" t="s">
        <v>1975</v>
      </c>
      <c r="BH40" s="168">
        <v>5</v>
      </c>
      <c r="BI40" s="168" t="s">
        <v>650</v>
      </c>
      <c r="BJ40" s="171">
        <v>2022</v>
      </c>
      <c r="BK40" s="171"/>
      <c r="BL40" s="168" t="s">
        <v>165</v>
      </c>
      <c r="BM40" s="168" t="s">
        <v>1317</v>
      </c>
      <c r="BN40" s="168" t="s">
        <v>1975</v>
      </c>
      <c r="BO40" s="168" t="s">
        <v>539</v>
      </c>
      <c r="BP40" s="171">
        <v>2023</v>
      </c>
      <c r="BR40" s="168" t="s">
        <v>1139</v>
      </c>
      <c r="BS40" s="168" t="s">
        <v>1431</v>
      </c>
      <c r="BT40" s="168" t="s">
        <v>1971</v>
      </c>
      <c r="BU40" s="169" t="s">
        <v>2089</v>
      </c>
      <c r="BV40" s="168" t="s">
        <v>869</v>
      </c>
      <c r="BW40" s="171">
        <v>2022</v>
      </c>
      <c r="BY40" s="171" t="s">
        <v>685</v>
      </c>
      <c r="BZ40" s="167" t="s">
        <v>1344</v>
      </c>
      <c r="CA40" s="168" t="s">
        <v>2010</v>
      </c>
      <c r="CB40" s="168">
        <v>13</v>
      </c>
      <c r="CC40" s="168" t="s">
        <v>650</v>
      </c>
      <c r="CD40" s="171">
        <v>2022</v>
      </c>
      <c r="EW40" s="537" t="s">
        <v>300</v>
      </c>
      <c r="EX40" s="537" t="s">
        <v>2070</v>
      </c>
      <c r="EY40" s="537">
        <v>1</v>
      </c>
      <c r="EZ40" s="537" t="s">
        <v>580</v>
      </c>
      <c r="FA40" s="537">
        <v>2024</v>
      </c>
      <c r="FB40" s="168"/>
    </row>
    <row r="41" spans="1:158">
      <c r="A41" s="995">
        <v>37</v>
      </c>
      <c r="B41" s="167" t="s">
        <v>611</v>
      </c>
      <c r="C41" s="168" t="s">
        <v>2094</v>
      </c>
      <c r="D41" s="168" t="s">
        <v>2005</v>
      </c>
      <c r="E41" s="169" t="s">
        <v>2062</v>
      </c>
      <c r="F41" s="169" t="s">
        <v>650</v>
      </c>
      <c r="G41" s="168">
        <v>2022</v>
      </c>
      <c r="H41" s="168"/>
      <c r="I41" s="168" t="s">
        <v>1096</v>
      </c>
      <c r="J41" s="168" t="s">
        <v>1386</v>
      </c>
      <c r="K41" s="168" t="s">
        <v>2027</v>
      </c>
      <c r="L41" s="168">
        <v>10</v>
      </c>
      <c r="M41" s="168" t="s">
        <v>903</v>
      </c>
      <c r="N41" s="168">
        <v>2022</v>
      </c>
      <c r="O41" s="168"/>
      <c r="AR41" s="175" t="s">
        <v>770</v>
      </c>
      <c r="AS41" s="175" t="s">
        <v>1542</v>
      </c>
      <c r="AT41" s="175" t="s">
        <v>1994</v>
      </c>
      <c r="AU41" s="482" t="s">
        <v>1062</v>
      </c>
      <c r="AV41" s="168">
        <v>2022</v>
      </c>
      <c r="AW41" s="168"/>
      <c r="AX41" s="168" t="s">
        <v>804</v>
      </c>
      <c r="AY41" s="168" t="s">
        <v>1502</v>
      </c>
      <c r="AZ41" s="168" t="s">
        <v>1968</v>
      </c>
      <c r="BA41" s="168" t="s">
        <v>770</v>
      </c>
      <c r="BB41" s="168" t="s">
        <v>2091</v>
      </c>
      <c r="BC41" s="168">
        <v>2024</v>
      </c>
      <c r="BD41" s="171"/>
      <c r="BE41" s="168" t="s">
        <v>1171</v>
      </c>
      <c r="BF41" s="168" t="s">
        <v>1328</v>
      </c>
      <c r="BG41" s="168" t="s">
        <v>1975</v>
      </c>
      <c r="BH41" s="168">
        <v>5</v>
      </c>
      <c r="BI41" s="168" t="s">
        <v>952</v>
      </c>
      <c r="BJ41" s="171">
        <v>2022</v>
      </c>
      <c r="BL41" s="168" t="s">
        <v>1200</v>
      </c>
      <c r="BM41" s="168" t="s">
        <v>1331</v>
      </c>
      <c r="BN41" s="168" t="s">
        <v>1975</v>
      </c>
      <c r="BO41" s="168" t="s">
        <v>903</v>
      </c>
      <c r="BP41" s="171">
        <v>2023</v>
      </c>
      <c r="BR41" s="168" t="s">
        <v>539</v>
      </c>
      <c r="BS41" s="168" t="s">
        <v>1536</v>
      </c>
      <c r="BT41" s="168" t="s">
        <v>1965</v>
      </c>
      <c r="BU41" s="169" t="s">
        <v>2089</v>
      </c>
      <c r="BV41" s="168" t="s">
        <v>429</v>
      </c>
      <c r="BW41" s="171">
        <v>2022</v>
      </c>
      <c r="BX41" s="168"/>
      <c r="BY41" s="171" t="s">
        <v>770</v>
      </c>
      <c r="BZ41" s="167" t="s">
        <v>1332</v>
      </c>
      <c r="CA41" s="168" t="s">
        <v>1989</v>
      </c>
      <c r="CB41" s="168">
        <v>13</v>
      </c>
      <c r="CC41" s="168" t="s">
        <v>869</v>
      </c>
      <c r="CD41" s="171">
        <v>2022</v>
      </c>
      <c r="CE41" s="168"/>
    </row>
    <row r="42" spans="1:158">
      <c r="A42" s="995">
        <v>38</v>
      </c>
      <c r="B42" s="167" t="s">
        <v>650</v>
      </c>
      <c r="C42" s="168" t="s">
        <v>1422</v>
      </c>
      <c r="D42" s="168" t="s">
        <v>2005</v>
      </c>
      <c r="E42" s="169" t="s">
        <v>2062</v>
      </c>
      <c r="F42" s="169" t="s">
        <v>611</v>
      </c>
      <c r="G42" s="168">
        <v>2022</v>
      </c>
      <c r="H42" s="168"/>
      <c r="I42" s="168" t="s">
        <v>611</v>
      </c>
      <c r="J42" s="168" t="s">
        <v>1334</v>
      </c>
      <c r="K42" s="168" t="s">
        <v>1970</v>
      </c>
      <c r="L42" s="168">
        <v>10</v>
      </c>
      <c r="M42" s="168" t="s">
        <v>685</v>
      </c>
      <c r="N42" s="168">
        <v>2023</v>
      </c>
      <c r="O42" s="168"/>
      <c r="AR42" s="175" t="s">
        <v>580</v>
      </c>
      <c r="AS42" s="175" t="s">
        <v>1476</v>
      </c>
      <c r="AT42" s="175" t="s">
        <v>2095</v>
      </c>
      <c r="AU42" s="482" t="s">
        <v>685</v>
      </c>
      <c r="AV42" s="168">
        <v>2022</v>
      </c>
      <c r="AW42" s="168"/>
      <c r="AX42" s="171" t="s">
        <v>226</v>
      </c>
      <c r="AY42" s="171" t="s">
        <v>1463</v>
      </c>
      <c r="AZ42" s="171" t="s">
        <v>1981</v>
      </c>
      <c r="BA42" s="171" t="s">
        <v>165</v>
      </c>
      <c r="BB42" s="171" t="s">
        <v>2091</v>
      </c>
      <c r="BC42" s="171">
        <v>2024</v>
      </c>
      <c r="BD42" s="171"/>
      <c r="BE42" s="168" t="s">
        <v>165</v>
      </c>
      <c r="BF42" s="168" t="s">
        <v>1667</v>
      </c>
      <c r="BG42" s="168" t="s">
        <v>1977</v>
      </c>
      <c r="BH42" s="168">
        <v>5</v>
      </c>
      <c r="BI42" s="168" t="s">
        <v>339</v>
      </c>
      <c r="BJ42" s="171">
        <v>2022</v>
      </c>
      <c r="BL42" s="168" t="s">
        <v>165</v>
      </c>
      <c r="BM42" s="168" t="s">
        <v>1317</v>
      </c>
      <c r="BN42" s="168" t="s">
        <v>1995</v>
      </c>
      <c r="BO42" s="168" t="s">
        <v>266</v>
      </c>
      <c r="BP42" s="171">
        <v>2023</v>
      </c>
      <c r="BR42" s="168" t="s">
        <v>300</v>
      </c>
      <c r="BS42" s="168" t="s">
        <v>1617</v>
      </c>
      <c r="BT42" s="168" t="s">
        <v>2010</v>
      </c>
      <c r="BU42" s="169" t="s">
        <v>2089</v>
      </c>
      <c r="BV42" s="168" t="s">
        <v>226</v>
      </c>
      <c r="BW42" s="171">
        <v>2022</v>
      </c>
      <c r="BX42" s="168"/>
      <c r="BY42" s="171" t="s">
        <v>685</v>
      </c>
      <c r="BZ42" s="167" t="s">
        <v>1340</v>
      </c>
      <c r="CA42" s="168" t="s">
        <v>1990</v>
      </c>
      <c r="CB42" s="168">
        <v>13</v>
      </c>
      <c r="CC42" s="168" t="s">
        <v>463</v>
      </c>
      <c r="CD42" s="171">
        <v>2023</v>
      </c>
    </row>
    <row r="43" spans="1:158">
      <c r="A43" s="995">
        <v>39</v>
      </c>
      <c r="B43" s="167" t="s">
        <v>869</v>
      </c>
      <c r="C43" s="168" t="s">
        <v>2096</v>
      </c>
      <c r="D43" s="168" t="s">
        <v>2005</v>
      </c>
      <c r="E43" s="169" t="s">
        <v>2062</v>
      </c>
      <c r="F43" s="169" t="s">
        <v>903</v>
      </c>
      <c r="G43" s="168">
        <v>2022</v>
      </c>
      <c r="H43" s="168"/>
      <c r="I43" s="177" t="s">
        <v>394</v>
      </c>
      <c r="J43" s="177" t="s">
        <v>2097</v>
      </c>
      <c r="K43" s="177" t="s">
        <v>1956</v>
      </c>
      <c r="L43" s="178" t="s">
        <v>58</v>
      </c>
      <c r="M43" s="177" t="s">
        <v>463</v>
      </c>
      <c r="N43" s="177">
        <v>2023</v>
      </c>
      <c r="O43" s="168"/>
      <c r="AR43" s="168" t="s">
        <v>770</v>
      </c>
      <c r="AS43" s="168" t="s">
        <v>1599</v>
      </c>
      <c r="AT43" s="168" t="s">
        <v>1959</v>
      </c>
      <c r="AU43" s="176" t="s">
        <v>869</v>
      </c>
      <c r="AV43" s="168">
        <v>2023</v>
      </c>
      <c r="AW43" s="168"/>
      <c r="AX43" s="171" t="s">
        <v>1265</v>
      </c>
      <c r="AY43" s="171" t="s">
        <v>2098</v>
      </c>
      <c r="AZ43" s="171" t="s">
        <v>1997</v>
      </c>
      <c r="BA43" s="171" t="s">
        <v>903</v>
      </c>
      <c r="BB43" s="171" t="s">
        <v>2091</v>
      </c>
      <c r="BC43" s="171">
        <v>2024</v>
      </c>
      <c r="BE43" s="168" t="s">
        <v>1265</v>
      </c>
      <c r="BF43" s="168" t="s">
        <v>1684</v>
      </c>
      <c r="BG43" s="168" t="s">
        <v>1985</v>
      </c>
      <c r="BH43" s="168">
        <v>5</v>
      </c>
      <c r="BI43" s="168" t="s">
        <v>650</v>
      </c>
      <c r="BJ43" s="171">
        <v>2022</v>
      </c>
      <c r="BK43" s="171"/>
      <c r="BL43" s="168" t="s">
        <v>165</v>
      </c>
      <c r="BM43" s="168" t="s">
        <v>1317</v>
      </c>
      <c r="BN43" s="168" t="s">
        <v>1993</v>
      </c>
      <c r="BO43" s="168" t="s">
        <v>300</v>
      </c>
      <c r="BP43" s="171">
        <v>2023</v>
      </c>
      <c r="BQ43" s="171"/>
      <c r="BR43" s="168" t="s">
        <v>903</v>
      </c>
      <c r="BS43" s="168" t="s">
        <v>1529</v>
      </c>
      <c r="BT43" s="168" t="s">
        <v>1988</v>
      </c>
      <c r="BU43" s="169" t="s">
        <v>2089</v>
      </c>
      <c r="BV43" s="168" t="s">
        <v>770</v>
      </c>
      <c r="BW43" s="171">
        <v>2022</v>
      </c>
      <c r="BX43" s="168"/>
      <c r="BY43" s="171" t="s">
        <v>952</v>
      </c>
      <c r="BZ43" s="167" t="s">
        <v>2099</v>
      </c>
      <c r="CA43" s="168" t="s">
        <v>2013</v>
      </c>
      <c r="CB43" s="168">
        <v>13</v>
      </c>
      <c r="CC43" s="168" t="s">
        <v>869</v>
      </c>
      <c r="CD43" s="171">
        <v>2023</v>
      </c>
      <c r="CE43" s="168"/>
    </row>
    <row r="44" spans="1:158">
      <c r="A44" s="995">
        <v>40</v>
      </c>
      <c r="B44" s="167" t="s">
        <v>835</v>
      </c>
      <c r="C44" s="168" t="s">
        <v>1510</v>
      </c>
      <c r="D44" s="168" t="s">
        <v>2005</v>
      </c>
      <c r="E44" s="169" t="s">
        <v>2062</v>
      </c>
      <c r="F44" s="169" t="s">
        <v>770</v>
      </c>
      <c r="G44" s="168">
        <v>2022</v>
      </c>
      <c r="H44" s="168"/>
      <c r="I44" s="168" t="s">
        <v>770</v>
      </c>
      <c r="J44" s="168" t="s">
        <v>1599</v>
      </c>
      <c r="K44" s="168" t="s">
        <v>1960</v>
      </c>
      <c r="L44" s="168">
        <v>10</v>
      </c>
      <c r="M44" s="168" t="s">
        <v>903</v>
      </c>
      <c r="N44" s="168">
        <v>2023</v>
      </c>
      <c r="O44" s="168"/>
      <c r="AR44" s="168" t="s">
        <v>1139</v>
      </c>
      <c r="AS44" s="168" t="s">
        <v>1431</v>
      </c>
      <c r="AT44" s="168" t="s">
        <v>1959</v>
      </c>
      <c r="AU44" s="176" t="s">
        <v>717</v>
      </c>
      <c r="AV44" s="168">
        <v>2023</v>
      </c>
      <c r="AW44" s="168"/>
      <c r="AX44" s="537" t="s">
        <v>835</v>
      </c>
      <c r="AY44" s="537" t="s">
        <v>1979</v>
      </c>
      <c r="AZ44" s="537" t="s">
        <v>2095</v>
      </c>
      <c r="BA44" s="537" t="s">
        <v>1171</v>
      </c>
      <c r="BB44" s="537" t="s">
        <v>2091</v>
      </c>
      <c r="BC44" s="537">
        <v>2024</v>
      </c>
      <c r="BD44" s="171"/>
      <c r="BE44" s="175" t="s">
        <v>1139</v>
      </c>
      <c r="BF44" s="175" t="s">
        <v>1600</v>
      </c>
      <c r="BG44" s="175" t="s">
        <v>2100</v>
      </c>
      <c r="BH44" s="175">
        <v>5</v>
      </c>
      <c r="BI44" s="175" t="s">
        <v>952</v>
      </c>
      <c r="BJ44" s="171">
        <v>2022</v>
      </c>
      <c r="BK44" s="171"/>
      <c r="BL44" s="168" t="s">
        <v>1171</v>
      </c>
      <c r="BM44" s="168" t="s">
        <v>1328</v>
      </c>
      <c r="BN44" s="168" t="s">
        <v>1993</v>
      </c>
      <c r="BO44" s="168" t="s">
        <v>1229</v>
      </c>
      <c r="BP44" s="171">
        <v>2023</v>
      </c>
      <c r="BR44" s="168" t="s">
        <v>429</v>
      </c>
      <c r="BS44" s="168" t="s">
        <v>1319</v>
      </c>
      <c r="BT44" s="168" t="s">
        <v>2033</v>
      </c>
      <c r="BU44" s="169" t="s">
        <v>2089</v>
      </c>
      <c r="BV44" s="168" t="s">
        <v>502</v>
      </c>
      <c r="BW44" s="171">
        <v>2022</v>
      </c>
      <c r="BY44" s="171" t="s">
        <v>804</v>
      </c>
      <c r="BZ44" s="167" t="s">
        <v>1339</v>
      </c>
      <c r="CA44" s="168" t="s">
        <v>1965</v>
      </c>
      <c r="CB44" s="168">
        <v>13</v>
      </c>
      <c r="CC44" s="168" t="s">
        <v>835</v>
      </c>
      <c r="CD44" s="171">
        <v>2023</v>
      </c>
      <c r="CE44" s="168"/>
    </row>
    <row r="45" spans="1:158">
      <c r="A45" s="995">
        <v>41</v>
      </c>
      <c r="B45" s="167" t="s">
        <v>952</v>
      </c>
      <c r="C45" s="168" t="s">
        <v>1435</v>
      </c>
      <c r="D45" s="168" t="s">
        <v>1995</v>
      </c>
      <c r="E45" s="169" t="s">
        <v>2062</v>
      </c>
      <c r="F45" s="169" t="s">
        <v>1096</v>
      </c>
      <c r="G45" s="168">
        <v>2022</v>
      </c>
      <c r="H45" s="168"/>
      <c r="I45" s="168" t="s">
        <v>1265</v>
      </c>
      <c r="J45" s="168" t="s">
        <v>2101</v>
      </c>
      <c r="K45" s="168" t="s">
        <v>1968</v>
      </c>
      <c r="L45" s="168">
        <v>10</v>
      </c>
      <c r="M45" s="168" t="s">
        <v>650</v>
      </c>
      <c r="N45" s="168">
        <v>2023</v>
      </c>
      <c r="O45" s="168"/>
      <c r="AR45" s="168" t="s">
        <v>226</v>
      </c>
      <c r="AS45" s="168" t="s">
        <v>1338</v>
      </c>
      <c r="AT45" s="168" t="s">
        <v>1968</v>
      </c>
      <c r="AU45" s="176" t="s">
        <v>300</v>
      </c>
      <c r="AV45" s="168">
        <v>2023</v>
      </c>
      <c r="AW45" s="168"/>
      <c r="AX45" s="168" t="s">
        <v>1062</v>
      </c>
      <c r="AY45" s="168" t="s">
        <v>1585</v>
      </c>
      <c r="AZ45" s="168" t="s">
        <v>1959</v>
      </c>
      <c r="BA45" s="168" t="s">
        <v>1096</v>
      </c>
      <c r="BB45" s="168" t="s">
        <v>2102</v>
      </c>
      <c r="BC45" s="171">
        <v>2022</v>
      </c>
      <c r="BE45" s="168" t="s">
        <v>1200</v>
      </c>
      <c r="BF45" s="168" t="s">
        <v>1331</v>
      </c>
      <c r="BG45" s="168" t="s">
        <v>1960</v>
      </c>
      <c r="BH45" s="168">
        <v>5</v>
      </c>
      <c r="BI45" s="168" t="s">
        <v>1171</v>
      </c>
      <c r="BJ45" s="171">
        <v>2023</v>
      </c>
      <c r="BK45" s="171"/>
      <c r="BL45" s="168" t="s">
        <v>903</v>
      </c>
      <c r="BM45" s="168" t="s">
        <v>1718</v>
      </c>
      <c r="BN45" s="168" t="s">
        <v>2027</v>
      </c>
      <c r="BO45" s="168" t="s">
        <v>804</v>
      </c>
      <c r="BP45" s="171">
        <v>2023</v>
      </c>
      <c r="BR45" s="168" t="s">
        <v>869</v>
      </c>
      <c r="BS45" s="168" t="s">
        <v>1433</v>
      </c>
      <c r="BT45" s="168" t="s">
        <v>2033</v>
      </c>
      <c r="BU45" s="169" t="s">
        <v>2089</v>
      </c>
      <c r="BV45" s="168" t="s">
        <v>1025</v>
      </c>
      <c r="BW45" s="171">
        <v>2022</v>
      </c>
      <c r="BX45" s="168"/>
      <c r="BY45" s="171" t="s">
        <v>1229</v>
      </c>
      <c r="BZ45" s="167" t="s">
        <v>1472</v>
      </c>
      <c r="CA45" s="168" t="s">
        <v>2010</v>
      </c>
      <c r="CB45" s="168">
        <v>13</v>
      </c>
      <c r="CC45" s="168" t="s">
        <v>1265</v>
      </c>
      <c r="CD45" s="171">
        <v>2023</v>
      </c>
      <c r="CE45" s="168"/>
    </row>
    <row r="46" spans="1:158">
      <c r="A46" s="995">
        <v>42</v>
      </c>
      <c r="B46" s="167" t="s">
        <v>539</v>
      </c>
      <c r="C46" s="168" t="s">
        <v>1490</v>
      </c>
      <c r="D46" s="168" t="s">
        <v>1993</v>
      </c>
      <c r="E46" s="169" t="s">
        <v>2062</v>
      </c>
      <c r="F46" s="169" t="s">
        <v>463</v>
      </c>
      <c r="G46" s="168">
        <v>2022</v>
      </c>
      <c r="H46" s="168"/>
      <c r="I46" s="168" t="s">
        <v>394</v>
      </c>
      <c r="J46" s="168" t="s">
        <v>1564</v>
      </c>
      <c r="K46" s="168" t="s">
        <v>1969</v>
      </c>
      <c r="L46" s="168">
        <v>10</v>
      </c>
      <c r="M46" s="168" t="s">
        <v>580</v>
      </c>
      <c r="N46" s="168">
        <v>2023</v>
      </c>
      <c r="O46" s="168"/>
      <c r="AR46" s="168" t="s">
        <v>429</v>
      </c>
      <c r="AS46" s="168" t="s">
        <v>1352</v>
      </c>
      <c r="AT46" s="168" t="s">
        <v>1992</v>
      </c>
      <c r="AU46" s="176" t="s">
        <v>502</v>
      </c>
      <c r="AV46" s="168">
        <v>2023</v>
      </c>
      <c r="AW46" s="168"/>
      <c r="AX46" s="168" t="s">
        <v>1229</v>
      </c>
      <c r="AY46" s="168" t="s">
        <v>2082</v>
      </c>
      <c r="AZ46" s="168" t="s">
        <v>2017</v>
      </c>
      <c r="BA46" s="168" t="s">
        <v>1200</v>
      </c>
      <c r="BB46" s="168" t="s">
        <v>2102</v>
      </c>
      <c r="BC46" s="171">
        <v>2022</v>
      </c>
      <c r="BE46" s="168" t="s">
        <v>611</v>
      </c>
      <c r="BF46" s="168" t="s">
        <v>1362</v>
      </c>
      <c r="BG46" s="168" t="s">
        <v>2024</v>
      </c>
      <c r="BH46" s="168">
        <v>5</v>
      </c>
      <c r="BI46" s="168" t="s">
        <v>502</v>
      </c>
      <c r="BJ46" s="171">
        <v>2023</v>
      </c>
      <c r="BL46" s="171" t="s">
        <v>990</v>
      </c>
      <c r="BM46" s="171" t="s">
        <v>1698</v>
      </c>
      <c r="BN46" s="171" t="s">
        <v>1959</v>
      </c>
      <c r="BO46" s="171" t="s">
        <v>1025</v>
      </c>
      <c r="BP46" s="171">
        <v>2024</v>
      </c>
      <c r="BQ46" s="171"/>
      <c r="BR46" s="168" t="s">
        <v>952</v>
      </c>
      <c r="BS46" s="168" t="s">
        <v>1438</v>
      </c>
      <c r="BT46" s="168" t="s">
        <v>1989</v>
      </c>
      <c r="BU46" s="169" t="s">
        <v>2089</v>
      </c>
      <c r="BV46" s="168" t="s">
        <v>990</v>
      </c>
      <c r="BW46" s="171">
        <v>2022</v>
      </c>
      <c r="BX46" s="168"/>
      <c r="BY46" s="171" t="s">
        <v>611</v>
      </c>
      <c r="BZ46" s="171" t="s">
        <v>1551</v>
      </c>
      <c r="CA46" s="171" t="s">
        <v>1962</v>
      </c>
      <c r="CB46" s="171">
        <v>13</v>
      </c>
      <c r="CC46" s="171" t="s">
        <v>685</v>
      </c>
      <c r="CD46" s="171">
        <v>2024</v>
      </c>
    </row>
    <row r="47" spans="1:158">
      <c r="A47" s="995">
        <v>43</v>
      </c>
      <c r="B47" s="167" t="s">
        <v>1139</v>
      </c>
      <c r="C47" s="168" t="s">
        <v>1447</v>
      </c>
      <c r="D47" s="168" t="s">
        <v>1993</v>
      </c>
      <c r="E47" s="169" t="s">
        <v>2062</v>
      </c>
      <c r="F47" s="169" t="s">
        <v>1200</v>
      </c>
      <c r="G47" s="168">
        <v>2022</v>
      </c>
      <c r="H47" s="168"/>
      <c r="I47" s="168" t="s">
        <v>685</v>
      </c>
      <c r="J47" s="168" t="s">
        <v>2049</v>
      </c>
      <c r="K47" s="168" t="s">
        <v>2005</v>
      </c>
      <c r="L47" s="168">
        <v>10</v>
      </c>
      <c r="M47" s="168" t="s">
        <v>717</v>
      </c>
      <c r="N47" s="168">
        <v>2023</v>
      </c>
      <c r="O47" s="168"/>
      <c r="AR47" s="168" t="s">
        <v>1025</v>
      </c>
      <c r="AS47" s="168" t="s">
        <v>1548</v>
      </c>
      <c r="AT47" s="168" t="s">
        <v>2018</v>
      </c>
      <c r="AU47" s="176" t="s">
        <v>1062</v>
      </c>
      <c r="AV47" s="168">
        <v>2023</v>
      </c>
      <c r="AW47" s="168"/>
      <c r="AX47" s="171" t="s">
        <v>580</v>
      </c>
      <c r="AY47" s="171" t="s">
        <v>1547</v>
      </c>
      <c r="AZ47" s="171" t="s">
        <v>1997</v>
      </c>
      <c r="BA47" s="171" t="s">
        <v>394</v>
      </c>
      <c r="BB47" s="171" t="s">
        <v>2102</v>
      </c>
      <c r="BC47" s="171">
        <v>2024</v>
      </c>
      <c r="BE47" s="168" t="s">
        <v>300</v>
      </c>
      <c r="BF47" s="168" t="s">
        <v>1673</v>
      </c>
      <c r="BG47" s="168" t="s">
        <v>1980</v>
      </c>
      <c r="BH47" s="168">
        <v>5</v>
      </c>
      <c r="BI47" s="168" t="s">
        <v>685</v>
      </c>
      <c r="BJ47" s="171">
        <v>2023</v>
      </c>
      <c r="BK47" s="171"/>
      <c r="BL47" s="171" t="s">
        <v>165</v>
      </c>
      <c r="BM47" s="171" t="s">
        <v>1317</v>
      </c>
      <c r="BN47" s="171" t="s">
        <v>2024</v>
      </c>
      <c r="BO47" s="171" t="s">
        <v>685</v>
      </c>
      <c r="BP47" s="171">
        <v>2024</v>
      </c>
      <c r="BQ47" s="171"/>
      <c r="BR47" s="168" t="s">
        <v>165</v>
      </c>
      <c r="BS47" s="168" t="s">
        <v>1506</v>
      </c>
      <c r="BT47" s="168" t="s">
        <v>1973</v>
      </c>
      <c r="BU47" s="169" t="s">
        <v>2089</v>
      </c>
      <c r="BV47" s="168" t="s">
        <v>226</v>
      </c>
      <c r="BW47" s="171">
        <v>2023</v>
      </c>
      <c r="BX47" s="168"/>
      <c r="BY47" s="171" t="s">
        <v>339</v>
      </c>
      <c r="BZ47" s="171" t="s">
        <v>1432</v>
      </c>
      <c r="CA47" s="171" t="s">
        <v>2020</v>
      </c>
      <c r="CB47" s="171">
        <v>13</v>
      </c>
      <c r="CC47" s="171" t="s">
        <v>685</v>
      </c>
      <c r="CD47" s="171">
        <v>2024</v>
      </c>
    </row>
    <row r="48" spans="1:158">
      <c r="A48" s="995">
        <v>44</v>
      </c>
      <c r="B48" s="167" t="s">
        <v>952</v>
      </c>
      <c r="C48" s="168" t="s">
        <v>1438</v>
      </c>
      <c r="D48" s="168" t="s">
        <v>2043</v>
      </c>
      <c r="E48" s="169" t="s">
        <v>2062</v>
      </c>
      <c r="F48" s="169" t="s">
        <v>990</v>
      </c>
      <c r="G48" s="168">
        <v>2022</v>
      </c>
      <c r="H48" s="168"/>
      <c r="I48" s="168" t="s">
        <v>580</v>
      </c>
      <c r="J48" s="168" t="s">
        <v>1325</v>
      </c>
      <c r="K48" s="168" t="s">
        <v>2015</v>
      </c>
      <c r="L48" s="168">
        <v>10</v>
      </c>
      <c r="M48" s="168" t="s">
        <v>611</v>
      </c>
      <c r="N48" s="168">
        <v>2023</v>
      </c>
      <c r="O48" s="168"/>
      <c r="AR48" s="168" t="s">
        <v>300</v>
      </c>
      <c r="AS48" s="168" t="s">
        <v>1392</v>
      </c>
      <c r="AT48" s="168" t="s">
        <v>2024</v>
      </c>
      <c r="AU48" s="176" t="s">
        <v>429</v>
      </c>
      <c r="AV48" s="168">
        <v>2023</v>
      </c>
      <c r="AW48" s="168"/>
      <c r="AX48" s="168" t="s">
        <v>502</v>
      </c>
      <c r="AY48" s="168" t="s">
        <v>1478</v>
      </c>
      <c r="AZ48" s="168" t="s">
        <v>1970</v>
      </c>
      <c r="BA48" s="168" t="s">
        <v>429</v>
      </c>
      <c r="BB48" s="168" t="s">
        <v>2103</v>
      </c>
      <c r="BC48" s="171">
        <v>2022</v>
      </c>
      <c r="BE48" s="168" t="s">
        <v>1025</v>
      </c>
      <c r="BF48" s="168" t="s">
        <v>1351</v>
      </c>
      <c r="BG48" s="168" t="s">
        <v>2024</v>
      </c>
      <c r="BH48" s="168">
        <v>5</v>
      </c>
      <c r="BI48" s="168" t="s">
        <v>1265</v>
      </c>
      <c r="BJ48" s="171">
        <v>2023</v>
      </c>
      <c r="BK48" s="171"/>
      <c r="BL48" s="171" t="s">
        <v>952</v>
      </c>
      <c r="BM48" s="171" t="s">
        <v>2074</v>
      </c>
      <c r="BN48" s="171" t="s">
        <v>1957</v>
      </c>
      <c r="BO48" s="171" t="s">
        <v>1265</v>
      </c>
      <c r="BP48" s="171">
        <v>2024</v>
      </c>
      <c r="BQ48" s="171"/>
      <c r="BR48" s="168" t="s">
        <v>539</v>
      </c>
      <c r="BS48" s="168" t="s">
        <v>1357</v>
      </c>
      <c r="BT48" s="168" t="s">
        <v>2012</v>
      </c>
      <c r="BU48" s="169" t="s">
        <v>2089</v>
      </c>
      <c r="BV48" s="168" t="s">
        <v>463</v>
      </c>
      <c r="BW48" s="171">
        <v>2023</v>
      </c>
      <c r="BX48" s="168"/>
      <c r="BY48" s="171" t="s">
        <v>770</v>
      </c>
      <c r="BZ48" s="171" t="s">
        <v>1332</v>
      </c>
      <c r="CA48" s="171" t="s">
        <v>2020</v>
      </c>
      <c r="CB48" s="171">
        <v>13</v>
      </c>
      <c r="CC48" s="171" t="s">
        <v>952</v>
      </c>
      <c r="CD48" s="171">
        <v>2024</v>
      </c>
      <c r="CE48" s="168"/>
    </row>
    <row r="49" spans="1:83">
      <c r="A49" s="995">
        <v>45</v>
      </c>
      <c r="B49" s="167" t="s">
        <v>1229</v>
      </c>
      <c r="C49" s="168" t="s">
        <v>2104</v>
      </c>
      <c r="D49" s="168" t="s">
        <v>2027</v>
      </c>
      <c r="E49" s="169" t="s">
        <v>2062</v>
      </c>
      <c r="F49" s="169" t="s">
        <v>611</v>
      </c>
      <c r="G49" s="168">
        <v>2022</v>
      </c>
      <c r="H49" s="168"/>
      <c r="I49" s="168" t="s">
        <v>804</v>
      </c>
      <c r="J49" s="168" t="s">
        <v>1502</v>
      </c>
      <c r="K49" s="168" t="s">
        <v>2047</v>
      </c>
      <c r="L49" s="168">
        <v>10</v>
      </c>
      <c r="M49" s="168" t="s">
        <v>990</v>
      </c>
      <c r="N49" s="168">
        <v>2024</v>
      </c>
      <c r="O49" s="168"/>
      <c r="AR49" s="168" t="s">
        <v>1229</v>
      </c>
      <c r="AS49" s="168" t="s">
        <v>1534</v>
      </c>
      <c r="AT49" s="168" t="s">
        <v>2004</v>
      </c>
      <c r="AU49" s="176" t="s">
        <v>952</v>
      </c>
      <c r="AV49" s="168">
        <v>2023</v>
      </c>
      <c r="AW49" s="168"/>
      <c r="AX49" s="168" t="s">
        <v>952</v>
      </c>
      <c r="AY49" s="168" t="s">
        <v>1342</v>
      </c>
      <c r="AZ49" s="168" t="s">
        <v>1968</v>
      </c>
      <c r="BA49" s="168" t="s">
        <v>990</v>
      </c>
      <c r="BB49" s="168" t="s">
        <v>2103</v>
      </c>
      <c r="BC49" s="171">
        <v>2022</v>
      </c>
      <c r="BE49" s="168" t="s">
        <v>339</v>
      </c>
      <c r="BF49" s="168" t="s">
        <v>1845</v>
      </c>
      <c r="BG49" s="168" t="s">
        <v>2037</v>
      </c>
      <c r="BH49" s="168">
        <v>5</v>
      </c>
      <c r="BI49" s="168" t="s">
        <v>903</v>
      </c>
      <c r="BJ49" s="171">
        <v>2023</v>
      </c>
      <c r="BL49" s="171" t="s">
        <v>770</v>
      </c>
      <c r="BM49" s="171" t="s">
        <v>1601</v>
      </c>
      <c r="BN49" s="171" t="s">
        <v>2048</v>
      </c>
      <c r="BO49" s="171" t="s">
        <v>1171</v>
      </c>
      <c r="BP49" s="171">
        <v>2024</v>
      </c>
      <c r="BQ49" s="171"/>
      <c r="BR49" s="168" t="s">
        <v>650</v>
      </c>
      <c r="BS49" s="168" t="s">
        <v>2086</v>
      </c>
      <c r="BT49" s="168" t="s">
        <v>2020</v>
      </c>
      <c r="BU49" s="169" t="s">
        <v>2089</v>
      </c>
      <c r="BV49" s="168" t="s">
        <v>266</v>
      </c>
      <c r="BW49" s="171">
        <v>2023</v>
      </c>
      <c r="BX49" s="168"/>
      <c r="BY49" s="171" t="s">
        <v>580</v>
      </c>
      <c r="BZ49" s="171" t="s">
        <v>1429</v>
      </c>
      <c r="CA49" s="171" t="s">
        <v>1972</v>
      </c>
      <c r="CB49" s="171">
        <v>13</v>
      </c>
      <c r="CC49" s="171" t="s">
        <v>429</v>
      </c>
      <c r="CD49" s="171">
        <v>2024</v>
      </c>
      <c r="CE49" s="168"/>
    </row>
    <row r="50" spans="1:83">
      <c r="A50" s="995">
        <v>46</v>
      </c>
      <c r="B50" s="174" t="s">
        <v>226</v>
      </c>
      <c r="C50" s="175" t="s">
        <v>1592</v>
      </c>
      <c r="D50" s="175" t="s">
        <v>2054</v>
      </c>
      <c r="E50" s="184" t="s">
        <v>2062</v>
      </c>
      <c r="F50" s="175" t="s">
        <v>685</v>
      </c>
      <c r="G50" s="168">
        <v>2022</v>
      </c>
      <c r="H50" s="168"/>
      <c r="I50" s="171" t="s">
        <v>611</v>
      </c>
      <c r="J50" s="171" t="s">
        <v>1334</v>
      </c>
      <c r="K50" s="171" t="s">
        <v>1987</v>
      </c>
      <c r="L50" s="171">
        <v>10</v>
      </c>
      <c r="M50" s="171" t="s">
        <v>463</v>
      </c>
      <c r="N50" s="171">
        <v>2024</v>
      </c>
      <c r="AR50" s="168" t="s">
        <v>463</v>
      </c>
      <c r="AS50" s="168" t="s">
        <v>1448</v>
      </c>
      <c r="AT50" s="168" t="s">
        <v>1967</v>
      </c>
      <c r="AU50" s="176" t="s">
        <v>580</v>
      </c>
      <c r="AV50" s="168">
        <v>2023</v>
      </c>
      <c r="AW50" s="168"/>
      <c r="AX50" s="168" t="s">
        <v>539</v>
      </c>
      <c r="AY50" s="168" t="s">
        <v>1643</v>
      </c>
      <c r="AZ50" s="168" t="s">
        <v>2029</v>
      </c>
      <c r="BA50" s="168" t="s">
        <v>650</v>
      </c>
      <c r="BB50" s="168" t="s">
        <v>2103</v>
      </c>
      <c r="BC50" s="171">
        <v>2022</v>
      </c>
      <c r="BE50" s="168" t="s">
        <v>165</v>
      </c>
      <c r="BF50" s="168" t="s">
        <v>1317</v>
      </c>
      <c r="BG50" s="168" t="s">
        <v>1993</v>
      </c>
      <c r="BH50" s="168">
        <v>5</v>
      </c>
      <c r="BI50" s="168" t="s">
        <v>300</v>
      </c>
      <c r="BJ50" s="171">
        <v>2023</v>
      </c>
      <c r="BK50" s="168"/>
      <c r="BL50" s="171" t="s">
        <v>1200</v>
      </c>
      <c r="BM50" s="171" t="s">
        <v>2105</v>
      </c>
      <c r="BN50" s="171" t="s">
        <v>2006</v>
      </c>
      <c r="BO50" s="171" t="s">
        <v>952</v>
      </c>
      <c r="BP50" s="171">
        <v>2024</v>
      </c>
      <c r="BQ50" s="171"/>
      <c r="BR50" s="168" t="s">
        <v>650</v>
      </c>
      <c r="BS50" s="168" t="s">
        <v>2086</v>
      </c>
      <c r="BT50" s="168" t="s">
        <v>1966</v>
      </c>
      <c r="BU50" s="169" t="s">
        <v>2089</v>
      </c>
      <c r="BV50" s="168" t="s">
        <v>539</v>
      </c>
      <c r="BW50" s="171">
        <v>2023</v>
      </c>
      <c r="BX50" s="168"/>
      <c r="BY50" s="171" t="s">
        <v>266</v>
      </c>
      <c r="BZ50" s="171" t="s">
        <v>1466</v>
      </c>
      <c r="CA50" s="171" t="s">
        <v>1984</v>
      </c>
      <c r="CB50" s="171">
        <v>13</v>
      </c>
      <c r="CC50" s="171" t="s">
        <v>717</v>
      </c>
      <c r="CD50" s="171">
        <v>2024</v>
      </c>
    </row>
    <row r="51" spans="1:83">
      <c r="A51" s="995">
        <v>47</v>
      </c>
      <c r="B51" s="174" t="s">
        <v>539</v>
      </c>
      <c r="C51" s="175" t="s">
        <v>1489</v>
      </c>
      <c r="D51" s="175" t="s">
        <v>2054</v>
      </c>
      <c r="E51" s="184" t="s">
        <v>2062</v>
      </c>
      <c r="F51" s="175" t="s">
        <v>580</v>
      </c>
      <c r="G51" s="168">
        <v>2022</v>
      </c>
      <c r="H51" s="168"/>
      <c r="I51" s="171" t="s">
        <v>165</v>
      </c>
      <c r="J51" s="171" t="s">
        <v>1354</v>
      </c>
      <c r="K51" s="171" t="s">
        <v>2006</v>
      </c>
      <c r="L51" s="171">
        <v>10</v>
      </c>
      <c r="M51" s="171" t="s">
        <v>717</v>
      </c>
      <c r="N51" s="171">
        <v>2024</v>
      </c>
      <c r="AR51" s="168" t="s">
        <v>1171</v>
      </c>
      <c r="AS51" s="168" t="s">
        <v>1420</v>
      </c>
      <c r="AT51" s="168" t="s">
        <v>2029</v>
      </c>
      <c r="AU51" s="176" t="s">
        <v>1096</v>
      </c>
      <c r="AV51" s="168">
        <v>2023</v>
      </c>
      <c r="AW51" s="168"/>
      <c r="AX51" s="168" t="s">
        <v>539</v>
      </c>
      <c r="AY51" s="168" t="s">
        <v>1490</v>
      </c>
      <c r="AZ51" s="168" t="s">
        <v>1975</v>
      </c>
      <c r="BA51" s="168" t="s">
        <v>266</v>
      </c>
      <c r="BB51" s="168" t="s">
        <v>2103</v>
      </c>
      <c r="BC51" s="171">
        <v>2022</v>
      </c>
      <c r="BE51" s="168" t="s">
        <v>580</v>
      </c>
      <c r="BF51" s="168" t="s">
        <v>1721</v>
      </c>
      <c r="BG51" s="168" t="s">
        <v>2027</v>
      </c>
      <c r="BH51" s="168">
        <v>5</v>
      </c>
      <c r="BI51" s="168" t="s">
        <v>685</v>
      </c>
      <c r="BJ51" s="171">
        <v>2023</v>
      </c>
      <c r="BK51" s="171"/>
      <c r="BL51" s="171" t="s">
        <v>2106</v>
      </c>
      <c r="BM51" s="171" t="s">
        <v>1331</v>
      </c>
      <c r="BN51" s="171" t="s">
        <v>2029</v>
      </c>
      <c r="BO51" s="171" t="s">
        <v>770</v>
      </c>
      <c r="BP51" s="171">
        <v>2024</v>
      </c>
      <c r="BQ51" s="171"/>
      <c r="BR51" s="168" t="s">
        <v>952</v>
      </c>
      <c r="BS51" s="168" t="s">
        <v>1435</v>
      </c>
      <c r="BT51" s="168" t="s">
        <v>1966</v>
      </c>
      <c r="BU51" s="169" t="s">
        <v>2089</v>
      </c>
      <c r="BV51" s="168" t="s">
        <v>770</v>
      </c>
      <c r="BW51" s="171">
        <v>2023</v>
      </c>
      <c r="BX51" s="168"/>
      <c r="BY51" s="171" t="s">
        <v>463</v>
      </c>
      <c r="BZ51" s="171" t="s">
        <v>1427</v>
      </c>
      <c r="CA51" s="171" t="s">
        <v>1999</v>
      </c>
      <c r="CB51" s="171">
        <v>13</v>
      </c>
      <c r="CC51" s="171" t="s">
        <v>717</v>
      </c>
      <c r="CD51" s="171">
        <v>2024</v>
      </c>
    </row>
    <row r="52" spans="1:83">
      <c r="A52" s="995">
        <v>48</v>
      </c>
      <c r="B52" s="174" t="s">
        <v>770</v>
      </c>
      <c r="C52" s="175" t="s">
        <v>2046</v>
      </c>
      <c r="D52" s="175" t="s">
        <v>2038</v>
      </c>
      <c r="E52" s="184" t="s">
        <v>2062</v>
      </c>
      <c r="F52" s="175" t="s">
        <v>1062</v>
      </c>
      <c r="G52" s="168">
        <v>2022</v>
      </c>
      <c r="H52" s="168"/>
      <c r="I52" s="171" t="s">
        <v>539</v>
      </c>
      <c r="J52" s="171" t="s">
        <v>1536</v>
      </c>
      <c r="K52" s="171" t="s">
        <v>2003</v>
      </c>
      <c r="L52" s="171">
        <v>10</v>
      </c>
      <c r="M52" s="171" t="s">
        <v>685</v>
      </c>
      <c r="N52" s="171">
        <v>2024</v>
      </c>
      <c r="AR52" s="168" t="s">
        <v>165</v>
      </c>
      <c r="AS52" s="168" t="s">
        <v>1341</v>
      </c>
      <c r="AT52" s="168" t="s">
        <v>1952</v>
      </c>
      <c r="AU52" s="176" t="s">
        <v>717</v>
      </c>
      <c r="AV52" s="168">
        <v>2023</v>
      </c>
      <c r="AW52" s="168"/>
      <c r="AX52" s="168" t="s">
        <v>1200</v>
      </c>
      <c r="AY52" s="168" t="s">
        <v>1469</v>
      </c>
      <c r="AZ52" s="168" t="s">
        <v>1975</v>
      </c>
      <c r="BA52" s="168" t="s">
        <v>1096</v>
      </c>
      <c r="BB52" s="168" t="s">
        <v>2103</v>
      </c>
      <c r="BC52" s="171">
        <v>2022</v>
      </c>
      <c r="BE52" s="168" t="s">
        <v>1139</v>
      </c>
      <c r="BF52" s="168" t="s">
        <v>1665</v>
      </c>
      <c r="BG52" s="168" t="s">
        <v>2027</v>
      </c>
      <c r="BH52" s="168">
        <v>5</v>
      </c>
      <c r="BI52" s="168" t="s">
        <v>1229</v>
      </c>
      <c r="BJ52" s="171">
        <v>2023</v>
      </c>
      <c r="BL52" s="171" t="s">
        <v>339</v>
      </c>
      <c r="BM52" s="171" t="s">
        <v>1323</v>
      </c>
      <c r="BN52" s="171" t="s">
        <v>1993</v>
      </c>
      <c r="BO52" s="171" t="s">
        <v>266</v>
      </c>
      <c r="BP52" s="171">
        <v>2024</v>
      </c>
      <c r="BQ52" s="171"/>
      <c r="BR52" s="168" t="s">
        <v>952</v>
      </c>
      <c r="BS52" s="168" t="s">
        <v>2099</v>
      </c>
      <c r="BT52" s="168" t="s">
        <v>2013</v>
      </c>
      <c r="BU52" s="169" t="s">
        <v>2089</v>
      </c>
      <c r="BV52" s="168" t="s">
        <v>869</v>
      </c>
      <c r="BW52" s="171">
        <v>2023</v>
      </c>
      <c r="BX52" s="168"/>
      <c r="BY52" s="171" t="s">
        <v>300</v>
      </c>
      <c r="BZ52" s="171" t="s">
        <v>1540</v>
      </c>
      <c r="CA52" s="171" t="s">
        <v>2001</v>
      </c>
      <c r="CB52" s="171">
        <v>13</v>
      </c>
      <c r="CC52" s="171" t="s">
        <v>685</v>
      </c>
      <c r="CD52" s="171">
        <v>2024</v>
      </c>
    </row>
    <row r="53" spans="1:83">
      <c r="A53" s="995">
        <v>49</v>
      </c>
      <c r="B53" s="167" t="s">
        <v>165</v>
      </c>
      <c r="C53" s="168" t="s">
        <v>2107</v>
      </c>
      <c r="D53" s="168" t="s">
        <v>1958</v>
      </c>
      <c r="E53" s="169" t="s">
        <v>2062</v>
      </c>
      <c r="F53" s="168" t="s">
        <v>226</v>
      </c>
      <c r="G53" s="168">
        <v>2023</v>
      </c>
      <c r="H53" s="168"/>
      <c r="I53" s="171" t="s">
        <v>300</v>
      </c>
      <c r="J53" s="171" t="s">
        <v>1392</v>
      </c>
      <c r="K53" s="171" t="s">
        <v>1977</v>
      </c>
      <c r="L53" s="171">
        <v>10</v>
      </c>
      <c r="M53" s="171" t="s">
        <v>266</v>
      </c>
      <c r="N53" s="171">
        <v>2024</v>
      </c>
      <c r="O53" s="168"/>
      <c r="AR53" s="168" t="s">
        <v>869</v>
      </c>
      <c r="AS53" s="168" t="s">
        <v>1824</v>
      </c>
      <c r="AT53" s="168" t="s">
        <v>1952</v>
      </c>
      <c r="AU53" s="176" t="s">
        <v>1265</v>
      </c>
      <c r="AV53" s="168">
        <v>2023</v>
      </c>
      <c r="AW53" s="168"/>
      <c r="AX53" s="168" t="s">
        <v>1025</v>
      </c>
      <c r="AY53" s="168" t="s">
        <v>1607</v>
      </c>
      <c r="AZ53" s="168" t="s">
        <v>2005</v>
      </c>
      <c r="BA53" s="168" t="s">
        <v>1096</v>
      </c>
      <c r="BB53" s="168" t="s">
        <v>2103</v>
      </c>
      <c r="BC53" s="171">
        <v>2022</v>
      </c>
      <c r="BE53" s="168" t="s">
        <v>952</v>
      </c>
      <c r="BF53" s="168" t="s">
        <v>1669</v>
      </c>
      <c r="BG53" s="168" t="s">
        <v>1958</v>
      </c>
      <c r="BH53" s="168">
        <v>5</v>
      </c>
      <c r="BI53" s="168" t="s">
        <v>1062</v>
      </c>
      <c r="BJ53" s="168">
        <v>2024</v>
      </c>
      <c r="BK53" s="168"/>
      <c r="BL53" s="171" t="s">
        <v>804</v>
      </c>
      <c r="BM53" s="171" t="s">
        <v>1337</v>
      </c>
      <c r="BN53" s="171" t="s">
        <v>1993</v>
      </c>
      <c r="BO53" s="171" t="s">
        <v>869</v>
      </c>
      <c r="BP53" s="171">
        <v>2024</v>
      </c>
      <c r="BQ53" s="171"/>
      <c r="BR53" s="168" t="s">
        <v>1025</v>
      </c>
      <c r="BS53" s="168" t="s">
        <v>1361</v>
      </c>
      <c r="BT53" s="168" t="s">
        <v>1965</v>
      </c>
      <c r="BU53" s="169" t="s">
        <v>2089</v>
      </c>
      <c r="BV53" s="168" t="s">
        <v>1062</v>
      </c>
      <c r="BW53" s="171">
        <v>2023</v>
      </c>
      <c r="BY53" s="171" t="s">
        <v>1265</v>
      </c>
      <c r="BZ53" s="171" t="s">
        <v>1326</v>
      </c>
      <c r="CA53" s="171" t="s">
        <v>2010</v>
      </c>
      <c r="CB53" s="171">
        <v>13</v>
      </c>
      <c r="CC53" s="171" t="s">
        <v>1200</v>
      </c>
      <c r="CD53" s="171">
        <v>2024</v>
      </c>
      <c r="CE53" s="168"/>
    </row>
    <row r="54" spans="1:83">
      <c r="A54" s="995">
        <v>50</v>
      </c>
      <c r="B54" s="167" t="s">
        <v>266</v>
      </c>
      <c r="C54" s="168" t="s">
        <v>1462</v>
      </c>
      <c r="D54" s="168" t="s">
        <v>1958</v>
      </c>
      <c r="E54" s="169" t="s">
        <v>2062</v>
      </c>
      <c r="F54" s="168" t="s">
        <v>300</v>
      </c>
      <c r="G54" s="168">
        <v>2023</v>
      </c>
      <c r="H54" s="168"/>
      <c r="I54" s="171" t="s">
        <v>226</v>
      </c>
      <c r="J54" s="171" t="s">
        <v>1338</v>
      </c>
      <c r="K54" s="171" t="s">
        <v>1977</v>
      </c>
      <c r="L54" s="171">
        <v>10</v>
      </c>
      <c r="M54" s="171" t="s">
        <v>339</v>
      </c>
      <c r="N54" s="171">
        <v>2024</v>
      </c>
      <c r="O54" s="168"/>
      <c r="AR54" s="168" t="s">
        <v>539</v>
      </c>
      <c r="AS54" s="168" t="s">
        <v>1563</v>
      </c>
      <c r="AT54" s="168" t="s">
        <v>1997</v>
      </c>
      <c r="AU54" s="176" t="s">
        <v>580</v>
      </c>
      <c r="AV54" s="168">
        <v>2023</v>
      </c>
      <c r="AW54" s="168"/>
      <c r="AX54" s="168" t="s">
        <v>1139</v>
      </c>
      <c r="AY54" s="168" t="s">
        <v>1447</v>
      </c>
      <c r="AZ54" s="168" t="s">
        <v>2017</v>
      </c>
      <c r="BA54" s="168" t="s">
        <v>1265</v>
      </c>
      <c r="BB54" s="168" t="s">
        <v>2103</v>
      </c>
      <c r="BC54" s="171">
        <v>2022</v>
      </c>
      <c r="BE54" s="171" t="s">
        <v>835</v>
      </c>
      <c r="BF54" s="171" t="s">
        <v>1318</v>
      </c>
      <c r="BG54" s="171" t="s">
        <v>2024</v>
      </c>
      <c r="BH54" s="171">
        <v>5</v>
      </c>
      <c r="BI54" s="171" t="s">
        <v>1025</v>
      </c>
      <c r="BJ54" s="171">
        <v>2024</v>
      </c>
      <c r="BK54" s="168"/>
      <c r="BL54" s="171" t="s">
        <v>1096</v>
      </c>
      <c r="BM54" s="171" t="s">
        <v>1692</v>
      </c>
      <c r="BN54" s="171" t="s">
        <v>1993</v>
      </c>
      <c r="BO54" s="171" t="s">
        <v>1062</v>
      </c>
      <c r="BP54" s="171">
        <v>2024</v>
      </c>
      <c r="BQ54" s="171"/>
      <c r="BR54" s="168" t="s">
        <v>717</v>
      </c>
      <c r="BS54" s="171" t="s">
        <v>1804</v>
      </c>
      <c r="BT54" s="171" t="s">
        <v>2012</v>
      </c>
      <c r="BU54" s="169" t="s">
        <v>2089</v>
      </c>
      <c r="BV54" s="168" t="s">
        <v>650</v>
      </c>
      <c r="BW54" s="168">
        <v>2024</v>
      </c>
      <c r="BX54" s="171"/>
      <c r="BY54" s="171" t="s">
        <v>1171</v>
      </c>
      <c r="BZ54" s="171" t="s">
        <v>1420</v>
      </c>
      <c r="CA54" s="171" t="s">
        <v>2010</v>
      </c>
      <c r="CB54" s="171">
        <v>13</v>
      </c>
      <c r="CC54" s="171" t="s">
        <v>1229</v>
      </c>
      <c r="CD54" s="171">
        <v>2024</v>
      </c>
      <c r="CE54" s="168"/>
    </row>
    <row r="55" spans="1:83">
      <c r="A55" s="995">
        <v>51</v>
      </c>
      <c r="B55" s="180" t="s">
        <v>502</v>
      </c>
      <c r="C55" s="177" t="s">
        <v>1554</v>
      </c>
      <c r="D55" s="177" t="s">
        <v>1959</v>
      </c>
      <c r="E55" s="178" t="s">
        <v>2062</v>
      </c>
      <c r="F55" s="177" t="s">
        <v>339</v>
      </c>
      <c r="G55" s="177">
        <v>2023</v>
      </c>
      <c r="H55" s="168"/>
      <c r="I55" s="171" t="s">
        <v>1265</v>
      </c>
      <c r="J55" s="171" t="s">
        <v>1326</v>
      </c>
      <c r="K55" s="171" t="s">
        <v>1977</v>
      </c>
      <c r="L55" s="171">
        <v>10</v>
      </c>
      <c r="M55" s="171" t="s">
        <v>1200</v>
      </c>
      <c r="N55" s="171">
        <v>2024</v>
      </c>
      <c r="O55" s="168"/>
      <c r="AR55" s="168" t="s">
        <v>502</v>
      </c>
      <c r="AS55" s="168" t="s">
        <v>1329</v>
      </c>
      <c r="AT55" s="168" t="s">
        <v>2032</v>
      </c>
      <c r="AU55" s="176" t="s">
        <v>300</v>
      </c>
      <c r="AV55" s="168">
        <v>2023</v>
      </c>
      <c r="AW55" s="168"/>
      <c r="AX55" s="168" t="s">
        <v>580</v>
      </c>
      <c r="AY55" s="168" t="s">
        <v>1325</v>
      </c>
      <c r="AZ55" s="168" t="s">
        <v>1959</v>
      </c>
      <c r="BA55" s="168" t="s">
        <v>611</v>
      </c>
      <c r="BB55" s="168" t="s">
        <v>2103</v>
      </c>
      <c r="BC55" s="171">
        <v>2023</v>
      </c>
      <c r="BE55" s="171" t="s">
        <v>1200</v>
      </c>
      <c r="BF55" s="171" t="s">
        <v>2105</v>
      </c>
      <c r="BG55" s="171" t="s">
        <v>2006</v>
      </c>
      <c r="BH55" s="171">
        <v>5</v>
      </c>
      <c r="BI55" s="171" t="s">
        <v>952</v>
      </c>
      <c r="BJ55" s="171">
        <v>2024</v>
      </c>
      <c r="BK55" s="168"/>
      <c r="BL55" s="537" t="s">
        <v>394</v>
      </c>
      <c r="BM55" s="537" t="s">
        <v>1359</v>
      </c>
      <c r="BN55" s="537" t="s">
        <v>1994</v>
      </c>
      <c r="BO55" s="537" t="s">
        <v>165</v>
      </c>
      <c r="BP55" s="537">
        <v>2024</v>
      </c>
      <c r="BQ55" s="171"/>
      <c r="BR55" s="171" t="s">
        <v>463</v>
      </c>
      <c r="BS55" s="171" t="s">
        <v>1480</v>
      </c>
      <c r="BT55" s="171" t="s">
        <v>1962</v>
      </c>
      <c r="BU55" s="169" t="s">
        <v>2089</v>
      </c>
      <c r="BV55" s="171" t="s">
        <v>539</v>
      </c>
      <c r="BW55" s="171">
        <v>2024</v>
      </c>
    </row>
    <row r="56" spans="1:83" ht="17" thickBot="1">
      <c r="A56" s="995">
        <v>52</v>
      </c>
      <c r="B56" s="180" t="s">
        <v>266</v>
      </c>
      <c r="C56" s="177" t="s">
        <v>1466</v>
      </c>
      <c r="D56" s="177" t="s">
        <v>1970</v>
      </c>
      <c r="E56" s="178" t="s">
        <v>2062</v>
      </c>
      <c r="F56" s="177" t="s">
        <v>165</v>
      </c>
      <c r="G56" s="177">
        <v>2023</v>
      </c>
      <c r="H56" s="168"/>
      <c r="I56" s="171" t="s">
        <v>685</v>
      </c>
      <c r="J56" s="171" t="s">
        <v>1340</v>
      </c>
      <c r="K56" s="171" t="s">
        <v>2017</v>
      </c>
      <c r="L56" s="171">
        <v>10</v>
      </c>
      <c r="M56" s="171" t="s">
        <v>650</v>
      </c>
      <c r="N56" s="171">
        <v>2024</v>
      </c>
      <c r="O56" s="168"/>
      <c r="AR56" s="168" t="s">
        <v>1096</v>
      </c>
      <c r="AS56" s="168" t="s">
        <v>1445</v>
      </c>
      <c r="AT56" s="168" t="s">
        <v>2032</v>
      </c>
      <c r="AU56" s="176" t="s">
        <v>804</v>
      </c>
      <c r="AV56" s="168">
        <v>2023</v>
      </c>
      <c r="AW56" s="168"/>
      <c r="AX56" s="168" t="s">
        <v>394</v>
      </c>
      <c r="AY56" s="168" t="s">
        <v>1509</v>
      </c>
      <c r="AZ56" s="168" t="s">
        <v>1970</v>
      </c>
      <c r="BA56" s="168" t="s">
        <v>502</v>
      </c>
      <c r="BB56" s="168" t="s">
        <v>2103</v>
      </c>
      <c r="BC56" s="171">
        <v>2023</v>
      </c>
      <c r="BE56" s="171" t="s">
        <v>611</v>
      </c>
      <c r="BF56" s="171" t="s">
        <v>1336</v>
      </c>
      <c r="BG56" s="171" t="s">
        <v>1976</v>
      </c>
      <c r="BH56" s="171">
        <v>5</v>
      </c>
      <c r="BI56" s="171" t="s">
        <v>717</v>
      </c>
      <c r="BJ56" s="171">
        <v>2024</v>
      </c>
      <c r="BR56" s="171" t="s">
        <v>339</v>
      </c>
      <c r="BS56" s="171" t="s">
        <v>1432</v>
      </c>
      <c r="BT56" s="171" t="s">
        <v>2020</v>
      </c>
      <c r="BU56" s="169" t="s">
        <v>2089</v>
      </c>
      <c r="BV56" s="171" t="s">
        <v>685</v>
      </c>
      <c r="BW56" s="171">
        <v>2024</v>
      </c>
    </row>
    <row r="57" spans="1:83" ht="17" thickBot="1">
      <c r="A57" s="995">
        <v>53</v>
      </c>
      <c r="B57" s="180" t="s">
        <v>394</v>
      </c>
      <c r="C57" s="177" t="s">
        <v>2097</v>
      </c>
      <c r="D57" s="177" t="s">
        <v>1956</v>
      </c>
      <c r="E57" s="178" t="s">
        <v>2062</v>
      </c>
      <c r="F57" s="177" t="s">
        <v>463</v>
      </c>
      <c r="G57" s="177">
        <v>2023</v>
      </c>
      <c r="H57" s="168"/>
      <c r="I57" s="171" t="s">
        <v>1096</v>
      </c>
      <c r="J57" s="171" t="s">
        <v>1386</v>
      </c>
      <c r="K57" s="171" t="s">
        <v>1968</v>
      </c>
      <c r="L57" s="171">
        <v>10</v>
      </c>
      <c r="M57" s="171" t="s">
        <v>903</v>
      </c>
      <c r="N57" s="171">
        <v>2024</v>
      </c>
      <c r="O57" s="168"/>
      <c r="AR57" s="168" t="s">
        <v>1096</v>
      </c>
      <c r="AS57" s="168" t="s">
        <v>2108</v>
      </c>
      <c r="AT57" s="168" t="s">
        <v>1969</v>
      </c>
      <c r="AU57" s="176" t="s">
        <v>804</v>
      </c>
      <c r="AV57" s="168">
        <v>2023</v>
      </c>
      <c r="AW57" s="168"/>
      <c r="AX57" s="168" t="s">
        <v>165</v>
      </c>
      <c r="AY57" s="168" t="s">
        <v>1341</v>
      </c>
      <c r="AZ57" s="168" t="s">
        <v>1960</v>
      </c>
      <c r="BA57" s="168" t="s">
        <v>394</v>
      </c>
      <c r="BB57" s="168" t="s">
        <v>2103</v>
      </c>
      <c r="BC57" s="171">
        <v>2023</v>
      </c>
      <c r="BE57" s="171" t="s">
        <v>339</v>
      </c>
      <c r="BF57" s="171" t="s">
        <v>1323</v>
      </c>
      <c r="BG57" s="171" t="s">
        <v>1993</v>
      </c>
      <c r="BH57" s="171">
        <v>5</v>
      </c>
      <c r="BI57" s="171" t="s">
        <v>266</v>
      </c>
      <c r="BJ57" s="171">
        <v>2024</v>
      </c>
      <c r="BL57" s="1099" t="s">
        <v>2109</v>
      </c>
      <c r="BM57" s="1100"/>
      <c r="BN57" s="1100"/>
      <c r="BO57" s="1100"/>
      <c r="BP57" s="1101"/>
      <c r="BR57" s="171" t="s">
        <v>650</v>
      </c>
      <c r="BS57" s="171" t="s">
        <v>1487</v>
      </c>
      <c r="BT57" s="171" t="s">
        <v>2020</v>
      </c>
      <c r="BU57" s="169" t="s">
        <v>2089</v>
      </c>
      <c r="BV57" s="171" t="s">
        <v>394</v>
      </c>
      <c r="BW57" s="171">
        <v>2024</v>
      </c>
      <c r="BX57" s="168"/>
    </row>
    <row r="58" spans="1:83">
      <c r="A58" s="995">
        <v>54</v>
      </c>
      <c r="B58" s="167" t="s">
        <v>580</v>
      </c>
      <c r="C58" s="168" t="s">
        <v>1570</v>
      </c>
      <c r="D58" s="168" t="s">
        <v>1981</v>
      </c>
      <c r="E58" s="169" t="s">
        <v>2062</v>
      </c>
      <c r="F58" s="168" t="s">
        <v>650</v>
      </c>
      <c r="G58" s="168">
        <v>2023</v>
      </c>
      <c r="H58" s="168"/>
      <c r="AR58" s="168" t="s">
        <v>339</v>
      </c>
      <c r="AS58" s="168" t="s">
        <v>1616</v>
      </c>
      <c r="AT58" s="168" t="s">
        <v>2037</v>
      </c>
      <c r="AU58" s="176" t="s">
        <v>903</v>
      </c>
      <c r="AV58" s="168">
        <v>2023</v>
      </c>
      <c r="AW58" s="168"/>
      <c r="AX58" s="168" t="s">
        <v>300</v>
      </c>
      <c r="AY58" s="168" t="s">
        <v>1540</v>
      </c>
      <c r="AZ58" s="168" t="s">
        <v>1986</v>
      </c>
      <c r="BA58" s="168" t="s">
        <v>539</v>
      </c>
      <c r="BB58" s="168" t="s">
        <v>2103</v>
      </c>
      <c r="BC58" s="171">
        <v>2023</v>
      </c>
      <c r="BE58" s="171" t="s">
        <v>539</v>
      </c>
      <c r="BF58" s="171" t="s">
        <v>1835</v>
      </c>
      <c r="BG58" s="171" t="s">
        <v>1993</v>
      </c>
      <c r="BH58" s="171">
        <v>5</v>
      </c>
      <c r="BI58" s="171" t="s">
        <v>226</v>
      </c>
      <c r="BJ58" s="171">
        <v>2024</v>
      </c>
      <c r="BL58" s="165" t="s">
        <v>1945</v>
      </c>
      <c r="BM58" s="165" t="s">
        <v>2110</v>
      </c>
      <c r="BN58" s="165" t="s">
        <v>1947</v>
      </c>
      <c r="BO58" s="165" t="s">
        <v>1948</v>
      </c>
      <c r="BP58" s="185" t="s">
        <v>1949</v>
      </c>
      <c r="BR58" s="171" t="s">
        <v>952</v>
      </c>
      <c r="BS58" s="171" t="s">
        <v>1316</v>
      </c>
      <c r="BT58" s="171" t="s">
        <v>1972</v>
      </c>
      <c r="BU58" s="439" t="s">
        <v>2089</v>
      </c>
      <c r="BV58" s="171" t="s">
        <v>1229</v>
      </c>
      <c r="BW58" s="171">
        <v>2024</v>
      </c>
      <c r="BX58" s="168"/>
    </row>
    <row r="59" spans="1:83">
      <c r="A59" s="995">
        <v>55</v>
      </c>
      <c r="B59" s="167" t="s">
        <v>835</v>
      </c>
      <c r="C59" s="168" t="s">
        <v>1401</v>
      </c>
      <c r="D59" s="168" t="s">
        <v>1987</v>
      </c>
      <c r="E59" s="169" t="s">
        <v>2062</v>
      </c>
      <c r="F59" s="168" t="s">
        <v>1025</v>
      </c>
      <c r="G59" s="168">
        <v>2023</v>
      </c>
      <c r="H59" s="168"/>
      <c r="AR59" s="168" t="s">
        <v>611</v>
      </c>
      <c r="AS59" s="168" t="s">
        <v>1385</v>
      </c>
      <c r="AT59" s="168" t="s">
        <v>1955</v>
      </c>
      <c r="AU59" s="176" t="s">
        <v>300</v>
      </c>
      <c r="AV59" s="168">
        <v>2023</v>
      </c>
      <c r="AW59" s="168"/>
      <c r="AX59" s="168" t="s">
        <v>300</v>
      </c>
      <c r="AY59" s="168" t="s">
        <v>1540</v>
      </c>
      <c r="AZ59" s="168" t="s">
        <v>1987</v>
      </c>
      <c r="BA59" s="168" t="s">
        <v>539</v>
      </c>
      <c r="BB59" s="168" t="s">
        <v>2103</v>
      </c>
      <c r="BC59" s="171">
        <v>2023</v>
      </c>
      <c r="BE59" s="168" t="s">
        <v>1200</v>
      </c>
      <c r="BF59" s="168" t="s">
        <v>1331</v>
      </c>
      <c r="BG59" s="168" t="s">
        <v>1958</v>
      </c>
      <c r="BH59" s="168">
        <v>6</v>
      </c>
      <c r="BI59" s="168" t="s">
        <v>1229</v>
      </c>
      <c r="BJ59" s="171">
        <v>2022</v>
      </c>
      <c r="BL59" s="443" t="s">
        <v>502</v>
      </c>
      <c r="BM59" s="443" t="s">
        <v>2111</v>
      </c>
      <c r="BN59" s="443" t="s">
        <v>1986</v>
      </c>
      <c r="BO59" s="443" t="s">
        <v>717</v>
      </c>
      <c r="BP59" s="447">
        <v>2023</v>
      </c>
      <c r="BR59" s="171" t="s">
        <v>952</v>
      </c>
      <c r="BS59" s="171" t="s">
        <v>1316</v>
      </c>
      <c r="BT59" s="171" t="s">
        <v>1984</v>
      </c>
      <c r="BU59" s="439" t="s">
        <v>2089</v>
      </c>
      <c r="BV59" s="171" t="s">
        <v>1265</v>
      </c>
      <c r="BW59" s="171">
        <v>2024</v>
      </c>
    </row>
    <row r="60" spans="1:83">
      <c r="A60" s="995">
        <v>56</v>
      </c>
      <c r="B60" s="167" t="s">
        <v>1171</v>
      </c>
      <c r="C60" s="168" t="s">
        <v>1525</v>
      </c>
      <c r="D60" s="168" t="s">
        <v>2024</v>
      </c>
      <c r="E60" s="169" t="s">
        <v>2062</v>
      </c>
      <c r="F60" s="168" t="s">
        <v>869</v>
      </c>
      <c r="G60" s="168">
        <v>2023</v>
      </c>
      <c r="H60" s="168"/>
      <c r="AR60" s="168" t="s">
        <v>502</v>
      </c>
      <c r="AS60" s="168" t="s">
        <v>1329</v>
      </c>
      <c r="AT60" s="168" t="s">
        <v>2005</v>
      </c>
      <c r="AU60" s="176" t="s">
        <v>539</v>
      </c>
      <c r="AV60" s="168">
        <v>2023</v>
      </c>
      <c r="AW60" s="168"/>
      <c r="AX60" s="168" t="s">
        <v>1096</v>
      </c>
      <c r="AY60" s="168" t="s">
        <v>1445</v>
      </c>
      <c r="AZ60" s="168" t="s">
        <v>2006</v>
      </c>
      <c r="BA60" s="168" t="s">
        <v>1139</v>
      </c>
      <c r="BB60" s="168" t="s">
        <v>2103</v>
      </c>
      <c r="BC60" s="171">
        <v>2023</v>
      </c>
      <c r="BD60" s="171"/>
      <c r="BE60" s="168" t="s">
        <v>835</v>
      </c>
      <c r="BF60" s="168" t="s">
        <v>1883</v>
      </c>
      <c r="BG60" s="168" t="s">
        <v>1992</v>
      </c>
      <c r="BH60" s="168">
        <v>6</v>
      </c>
      <c r="BI60" s="168" t="s">
        <v>903</v>
      </c>
      <c r="BJ60" s="171">
        <v>2022</v>
      </c>
      <c r="BL60" s="171" t="s">
        <v>539</v>
      </c>
      <c r="BM60" s="171" t="s">
        <v>2112</v>
      </c>
      <c r="BN60" s="171" t="s">
        <v>2018</v>
      </c>
      <c r="BO60" s="171" t="s">
        <v>429</v>
      </c>
      <c r="BP60" s="171">
        <v>2024</v>
      </c>
      <c r="BR60" s="171" t="s">
        <v>1200</v>
      </c>
      <c r="BS60" s="171" t="s">
        <v>1469</v>
      </c>
      <c r="BT60" s="171" t="s">
        <v>2001</v>
      </c>
      <c r="BU60" s="439" t="s">
        <v>2089</v>
      </c>
      <c r="BV60" s="171" t="s">
        <v>990</v>
      </c>
      <c r="BW60" s="171">
        <v>2024</v>
      </c>
      <c r="BX60" s="168"/>
    </row>
    <row r="61" spans="1:83">
      <c r="A61" s="995">
        <v>57</v>
      </c>
      <c r="B61" s="167" t="s">
        <v>339</v>
      </c>
      <c r="C61" s="168" t="s">
        <v>1460</v>
      </c>
      <c r="D61" s="168" t="s">
        <v>2029</v>
      </c>
      <c r="E61" s="169" t="s">
        <v>2062</v>
      </c>
      <c r="F61" s="168" t="s">
        <v>611</v>
      </c>
      <c r="G61" s="168">
        <v>2023</v>
      </c>
      <c r="H61" s="168"/>
      <c r="AR61" s="168" t="s">
        <v>1229</v>
      </c>
      <c r="AS61" s="168" t="s">
        <v>1520</v>
      </c>
      <c r="AT61" s="168" t="s">
        <v>2005</v>
      </c>
      <c r="AU61" s="176" t="s">
        <v>611</v>
      </c>
      <c r="AV61" s="168">
        <v>2023</v>
      </c>
      <c r="AW61" s="168"/>
      <c r="AX61" s="168" t="s">
        <v>903</v>
      </c>
      <c r="AY61" s="168" t="s">
        <v>1470</v>
      </c>
      <c r="AZ61" s="168" t="s">
        <v>2032</v>
      </c>
      <c r="BA61" s="168" t="s">
        <v>1265</v>
      </c>
      <c r="BB61" s="168" t="s">
        <v>2103</v>
      </c>
      <c r="BC61" s="171">
        <v>2023</v>
      </c>
      <c r="BD61" s="171"/>
      <c r="BE61" s="168" t="s">
        <v>611</v>
      </c>
      <c r="BF61" s="168" t="s">
        <v>1844</v>
      </c>
      <c r="BG61" s="168" t="s">
        <v>1981</v>
      </c>
      <c r="BH61" s="168">
        <v>6</v>
      </c>
      <c r="BI61" s="168" t="s">
        <v>650</v>
      </c>
      <c r="BJ61" s="171">
        <v>2022</v>
      </c>
      <c r="BL61" s="168" t="s">
        <v>717</v>
      </c>
      <c r="BM61" s="168" t="s">
        <v>2113</v>
      </c>
      <c r="BN61" s="168" t="s">
        <v>1957</v>
      </c>
      <c r="BO61" s="168" t="s">
        <v>429</v>
      </c>
      <c r="BP61" s="171">
        <v>2023</v>
      </c>
      <c r="BR61" s="171" t="s">
        <v>226</v>
      </c>
      <c r="BS61" s="171" t="s">
        <v>1383</v>
      </c>
      <c r="BT61" s="171" t="s">
        <v>1965</v>
      </c>
      <c r="BU61" s="439" t="s">
        <v>2089</v>
      </c>
      <c r="BV61" s="171" t="s">
        <v>266</v>
      </c>
      <c r="BW61" s="171">
        <v>2024</v>
      </c>
      <c r="BX61" s="168"/>
    </row>
    <row r="62" spans="1:83">
      <c r="A62" s="995">
        <v>58</v>
      </c>
      <c r="B62" s="167" t="s">
        <v>429</v>
      </c>
      <c r="C62" s="168" t="s">
        <v>1641</v>
      </c>
      <c r="D62" s="168" t="s">
        <v>2032</v>
      </c>
      <c r="E62" s="169" t="s">
        <v>2062</v>
      </c>
      <c r="F62" s="168" t="s">
        <v>580</v>
      </c>
      <c r="G62" s="168">
        <v>2023</v>
      </c>
      <c r="H62" s="168"/>
      <c r="AR62" s="168" t="s">
        <v>685</v>
      </c>
      <c r="AS62" s="168" t="s">
        <v>1316</v>
      </c>
      <c r="AT62" s="168" t="s">
        <v>1995</v>
      </c>
      <c r="AU62" s="176" t="s">
        <v>1171</v>
      </c>
      <c r="AV62" s="168">
        <v>2023</v>
      </c>
      <c r="AW62" s="168"/>
      <c r="AX62" s="168" t="s">
        <v>804</v>
      </c>
      <c r="AY62" s="168" t="s">
        <v>1339</v>
      </c>
      <c r="AZ62" s="168" t="s">
        <v>1969</v>
      </c>
      <c r="BA62" s="168" t="s">
        <v>1096</v>
      </c>
      <c r="BB62" s="168" t="s">
        <v>2103</v>
      </c>
      <c r="BC62" s="171">
        <v>2023</v>
      </c>
      <c r="BD62" s="171"/>
      <c r="BE62" s="168" t="s">
        <v>903</v>
      </c>
      <c r="BF62" s="168" t="s">
        <v>1347</v>
      </c>
      <c r="BG62" s="168" t="s">
        <v>2024</v>
      </c>
      <c r="BH62" s="168">
        <v>6</v>
      </c>
      <c r="BI62" s="168" t="s">
        <v>1025</v>
      </c>
      <c r="BJ62" s="171">
        <v>2022</v>
      </c>
      <c r="BL62" s="537" t="s">
        <v>770</v>
      </c>
      <c r="BM62" s="537" t="s">
        <v>2113</v>
      </c>
      <c r="BN62" s="537" t="s">
        <v>2100</v>
      </c>
      <c r="BO62" s="537" t="s">
        <v>1171</v>
      </c>
      <c r="BP62" s="537">
        <v>2024</v>
      </c>
      <c r="BQ62" s="171"/>
      <c r="BR62" s="171" t="s">
        <v>903</v>
      </c>
      <c r="BS62" s="171" t="s">
        <v>2064</v>
      </c>
      <c r="BT62" s="171" t="s">
        <v>2010</v>
      </c>
      <c r="BU62" s="439" t="s">
        <v>2089</v>
      </c>
      <c r="BV62" s="171" t="s">
        <v>835</v>
      </c>
      <c r="BW62" s="171">
        <v>2024</v>
      </c>
    </row>
    <row r="63" spans="1:83">
      <c r="A63" s="995">
        <v>59</v>
      </c>
      <c r="B63" s="167" t="s">
        <v>1171</v>
      </c>
      <c r="C63" s="168" t="s">
        <v>1467</v>
      </c>
      <c r="D63" s="168" t="s">
        <v>1985</v>
      </c>
      <c r="E63" s="169" t="s">
        <v>2062</v>
      </c>
      <c r="F63" s="168" t="s">
        <v>1229</v>
      </c>
      <c r="G63" s="168">
        <v>2023</v>
      </c>
      <c r="H63" s="168"/>
      <c r="AR63" s="168" t="s">
        <v>804</v>
      </c>
      <c r="AS63" s="168" t="s">
        <v>1813</v>
      </c>
      <c r="AT63" s="168" t="s">
        <v>2015</v>
      </c>
      <c r="AU63" s="176" t="s">
        <v>952</v>
      </c>
      <c r="AV63" s="168">
        <v>2023</v>
      </c>
      <c r="AW63" s="168"/>
      <c r="AX63" s="168" t="s">
        <v>463</v>
      </c>
      <c r="AY63" s="168" t="s">
        <v>1480</v>
      </c>
      <c r="AZ63" s="168" t="s">
        <v>1975</v>
      </c>
      <c r="BA63" s="168" t="s">
        <v>717</v>
      </c>
      <c r="BB63" s="168" t="s">
        <v>2103</v>
      </c>
      <c r="BC63" s="171">
        <v>2023</v>
      </c>
      <c r="BD63" s="171"/>
      <c r="BE63" s="168" t="s">
        <v>1139</v>
      </c>
      <c r="BF63" s="168" t="s">
        <v>1600</v>
      </c>
      <c r="BG63" s="168" t="s">
        <v>2060</v>
      </c>
      <c r="BH63" s="168">
        <v>6</v>
      </c>
      <c r="BI63" s="168" t="s">
        <v>835</v>
      </c>
      <c r="BJ63" s="171">
        <v>2022</v>
      </c>
      <c r="BK63" s="168"/>
      <c r="BL63" s="168" t="s">
        <v>611</v>
      </c>
      <c r="BM63" s="168" t="s">
        <v>2114</v>
      </c>
      <c r="BN63" s="168" t="s">
        <v>1992</v>
      </c>
      <c r="BO63" s="168" t="s">
        <v>650</v>
      </c>
      <c r="BP63" s="171">
        <v>2023</v>
      </c>
      <c r="BR63" s="171" t="s">
        <v>952</v>
      </c>
      <c r="BS63" s="171" t="s">
        <v>2115</v>
      </c>
      <c r="BT63" s="171" t="s">
        <v>2010</v>
      </c>
      <c r="BU63" s="439" t="s">
        <v>2089</v>
      </c>
      <c r="BV63" s="171" t="s">
        <v>804</v>
      </c>
      <c r="BW63" s="171">
        <v>2024</v>
      </c>
    </row>
    <row r="64" spans="1:83">
      <c r="A64" s="995">
        <v>60</v>
      </c>
      <c r="B64" s="167" t="s">
        <v>1229</v>
      </c>
      <c r="C64" s="168" t="s">
        <v>1817</v>
      </c>
      <c r="D64" s="168" t="s">
        <v>2043</v>
      </c>
      <c r="E64" s="169" t="s">
        <v>2062</v>
      </c>
      <c r="F64" s="168" t="s">
        <v>1139</v>
      </c>
      <c r="G64" s="168">
        <v>2023</v>
      </c>
      <c r="H64" s="168"/>
      <c r="AR64" s="168" t="s">
        <v>502</v>
      </c>
      <c r="AS64" s="168" t="s">
        <v>2116</v>
      </c>
      <c r="AT64" s="168" t="s">
        <v>1993</v>
      </c>
      <c r="AU64" s="176" t="s">
        <v>394</v>
      </c>
      <c r="AV64" s="168">
        <v>2023</v>
      </c>
      <c r="AW64" s="168"/>
      <c r="AX64" s="168" t="s">
        <v>685</v>
      </c>
      <c r="AY64" s="168" t="s">
        <v>1344</v>
      </c>
      <c r="AZ64" s="168" t="s">
        <v>1975</v>
      </c>
      <c r="BA64" s="168" t="s">
        <v>394</v>
      </c>
      <c r="BB64" s="168" t="s">
        <v>2103</v>
      </c>
      <c r="BC64" s="171">
        <v>2023</v>
      </c>
      <c r="BE64" s="168" t="s">
        <v>580</v>
      </c>
      <c r="BF64" s="168" t="s">
        <v>1721</v>
      </c>
      <c r="BG64" s="168" t="s">
        <v>1969</v>
      </c>
      <c r="BH64" s="168">
        <v>6</v>
      </c>
      <c r="BI64" s="168" t="s">
        <v>394</v>
      </c>
      <c r="BJ64" s="171">
        <v>2022</v>
      </c>
      <c r="BK64" s="168"/>
      <c r="BL64" s="168" t="s">
        <v>1096</v>
      </c>
      <c r="BM64" s="168" t="s">
        <v>2117</v>
      </c>
      <c r="BN64" s="168" t="s">
        <v>2018</v>
      </c>
      <c r="BO64" s="168" t="s">
        <v>952</v>
      </c>
      <c r="BP64" s="171">
        <v>2024</v>
      </c>
      <c r="BR64" s="171" t="s">
        <v>300</v>
      </c>
      <c r="BS64" s="171" t="s">
        <v>1392</v>
      </c>
      <c r="BT64" s="171" t="s">
        <v>2033</v>
      </c>
      <c r="BU64" s="439" t="s">
        <v>2089</v>
      </c>
      <c r="BV64" s="171" t="s">
        <v>165</v>
      </c>
      <c r="BW64" s="171">
        <v>2024</v>
      </c>
      <c r="BX64" s="168"/>
    </row>
    <row r="65" spans="1:76" ht="17" thickBot="1">
      <c r="A65" s="995">
        <v>61</v>
      </c>
      <c r="B65" s="167" t="s">
        <v>835</v>
      </c>
      <c r="C65" s="168" t="s">
        <v>1425</v>
      </c>
      <c r="D65" s="168" t="s">
        <v>2027</v>
      </c>
      <c r="E65" s="169" t="s">
        <v>2062</v>
      </c>
      <c r="F65" s="168" t="s">
        <v>835</v>
      </c>
      <c r="G65" s="168">
        <v>2023</v>
      </c>
      <c r="H65" s="168"/>
      <c r="AR65" s="168" t="s">
        <v>429</v>
      </c>
      <c r="AS65" s="168" t="s">
        <v>1319</v>
      </c>
      <c r="AT65" s="168" t="s">
        <v>2043</v>
      </c>
      <c r="AU65" s="176" t="s">
        <v>539</v>
      </c>
      <c r="AV65" s="168">
        <v>2023</v>
      </c>
      <c r="AW65" s="168"/>
      <c r="AX65" s="168" t="s">
        <v>611</v>
      </c>
      <c r="AY65" s="168" t="s">
        <v>1444</v>
      </c>
      <c r="AZ65" s="168" t="s">
        <v>1976</v>
      </c>
      <c r="BA65" s="168" t="s">
        <v>1229</v>
      </c>
      <c r="BB65" s="168" t="s">
        <v>2103</v>
      </c>
      <c r="BC65" s="171">
        <v>2023</v>
      </c>
      <c r="BD65" s="171"/>
      <c r="BE65" s="168" t="s">
        <v>770</v>
      </c>
      <c r="BF65" s="168" t="s">
        <v>1333</v>
      </c>
      <c r="BG65" s="168" t="s">
        <v>1975</v>
      </c>
      <c r="BH65" s="168">
        <v>6</v>
      </c>
      <c r="BI65" s="168" t="s">
        <v>990</v>
      </c>
      <c r="BJ65" s="171">
        <v>2022</v>
      </c>
      <c r="BK65" s="168"/>
      <c r="BR65" s="168" t="s">
        <v>165</v>
      </c>
      <c r="BS65" s="168" t="s">
        <v>1471</v>
      </c>
      <c r="BT65" s="168" t="s">
        <v>1991</v>
      </c>
      <c r="BU65" s="169" t="s">
        <v>2118</v>
      </c>
      <c r="BV65" s="168" t="s">
        <v>300</v>
      </c>
      <c r="BW65" s="171">
        <v>2022</v>
      </c>
    </row>
    <row r="66" spans="1:76" ht="17" thickBot="1">
      <c r="A66" s="995">
        <v>62</v>
      </c>
      <c r="B66" s="167" t="s">
        <v>1139</v>
      </c>
      <c r="C66" s="168" t="s">
        <v>1499</v>
      </c>
      <c r="D66" s="168" t="s">
        <v>2065</v>
      </c>
      <c r="E66" s="169" t="s">
        <v>2062</v>
      </c>
      <c r="F66" s="168" t="s">
        <v>1025</v>
      </c>
      <c r="G66" s="169" t="s">
        <v>1954</v>
      </c>
      <c r="H66" s="168"/>
      <c r="AR66" s="175" t="s">
        <v>1171</v>
      </c>
      <c r="AS66" s="175" t="s">
        <v>1602</v>
      </c>
      <c r="AT66" s="175" t="s">
        <v>2054</v>
      </c>
      <c r="AU66" s="482" t="s">
        <v>804</v>
      </c>
      <c r="AV66" s="175">
        <v>2023</v>
      </c>
      <c r="AW66" s="168"/>
      <c r="AX66" s="168" t="s">
        <v>990</v>
      </c>
      <c r="AY66" s="168" t="s">
        <v>1330</v>
      </c>
      <c r="AZ66" s="168" t="s">
        <v>1976</v>
      </c>
      <c r="BA66" s="168" t="s">
        <v>952</v>
      </c>
      <c r="BB66" s="168" t="s">
        <v>2103</v>
      </c>
      <c r="BC66" s="171">
        <v>2023</v>
      </c>
      <c r="BD66" s="171"/>
      <c r="BE66" s="168" t="s">
        <v>1025</v>
      </c>
      <c r="BF66" s="168" t="s">
        <v>1709</v>
      </c>
      <c r="BG66" s="168" t="s">
        <v>1955</v>
      </c>
      <c r="BH66" s="168">
        <v>6</v>
      </c>
      <c r="BI66" s="168" t="s">
        <v>1229</v>
      </c>
      <c r="BJ66" s="171">
        <v>2022</v>
      </c>
      <c r="BK66" s="168"/>
      <c r="BL66" s="1099" t="s">
        <v>2119</v>
      </c>
      <c r="BM66" s="1100"/>
      <c r="BN66" s="1100"/>
      <c r="BO66" s="1100"/>
      <c r="BP66" s="1101"/>
      <c r="BQ66" s="168"/>
      <c r="BR66" s="168" t="s">
        <v>804</v>
      </c>
      <c r="BS66" s="168" t="s">
        <v>1459</v>
      </c>
      <c r="BT66" s="168" t="s">
        <v>1991</v>
      </c>
      <c r="BU66" s="169" t="s">
        <v>2118</v>
      </c>
      <c r="BV66" s="168" t="s">
        <v>869</v>
      </c>
      <c r="BW66" s="171">
        <v>2022</v>
      </c>
      <c r="BX66" s="168"/>
    </row>
    <row r="67" spans="1:76">
      <c r="A67" s="995">
        <v>63</v>
      </c>
      <c r="B67" s="991" t="s">
        <v>611</v>
      </c>
      <c r="C67" s="171" t="s">
        <v>1385</v>
      </c>
      <c r="D67" s="171" t="s">
        <v>1992</v>
      </c>
      <c r="E67" s="439" t="s">
        <v>2062</v>
      </c>
      <c r="F67" s="171" t="s">
        <v>685</v>
      </c>
      <c r="G67" s="171">
        <v>2024</v>
      </c>
      <c r="H67" s="168"/>
      <c r="AR67" s="175" t="s">
        <v>429</v>
      </c>
      <c r="AS67" s="175" t="s">
        <v>2016</v>
      </c>
      <c r="AT67" s="175" t="s">
        <v>2021</v>
      </c>
      <c r="AU67" s="482" t="s">
        <v>611</v>
      </c>
      <c r="AV67" s="175">
        <v>2023</v>
      </c>
      <c r="AW67" s="168"/>
      <c r="AX67" s="168" t="s">
        <v>835</v>
      </c>
      <c r="AY67" s="168" t="s">
        <v>2120</v>
      </c>
      <c r="AZ67" s="168" t="s">
        <v>1995</v>
      </c>
      <c r="BA67" s="168" t="s">
        <v>990</v>
      </c>
      <c r="BB67" s="168" t="s">
        <v>2103</v>
      </c>
      <c r="BC67" s="171">
        <v>2023</v>
      </c>
      <c r="BD67" s="171"/>
      <c r="BE67" s="168" t="s">
        <v>300</v>
      </c>
      <c r="BF67" s="168" t="s">
        <v>1739</v>
      </c>
      <c r="BG67" s="168" t="s">
        <v>1993</v>
      </c>
      <c r="BH67" s="168">
        <v>6</v>
      </c>
      <c r="BI67" s="168" t="s">
        <v>394</v>
      </c>
      <c r="BJ67" s="171">
        <v>2022</v>
      </c>
      <c r="BK67" s="168"/>
      <c r="BL67" s="185" t="s">
        <v>1945</v>
      </c>
      <c r="BM67" s="185" t="s">
        <v>1946</v>
      </c>
      <c r="BN67" s="185" t="s">
        <v>1947</v>
      </c>
      <c r="BO67" s="185" t="s">
        <v>1948</v>
      </c>
      <c r="BP67" s="166" t="s">
        <v>1949</v>
      </c>
      <c r="BR67" s="168" t="s">
        <v>611</v>
      </c>
      <c r="BS67" s="168" t="s">
        <v>1385</v>
      </c>
      <c r="BT67" s="168" t="s">
        <v>1966</v>
      </c>
      <c r="BU67" s="169" t="s">
        <v>2118</v>
      </c>
      <c r="BV67" s="168" t="s">
        <v>429</v>
      </c>
      <c r="BW67" s="171">
        <v>2022</v>
      </c>
    </row>
    <row r="68" spans="1:76">
      <c r="A68" s="995">
        <v>64</v>
      </c>
      <c r="B68" s="991" t="s">
        <v>770</v>
      </c>
      <c r="C68" s="171" t="s">
        <v>1443</v>
      </c>
      <c r="D68" s="171" t="s">
        <v>1992</v>
      </c>
      <c r="E68" s="439" t="s">
        <v>2062</v>
      </c>
      <c r="F68" s="167" t="s">
        <v>903</v>
      </c>
      <c r="G68" s="171">
        <v>2024</v>
      </c>
      <c r="H68" s="168"/>
      <c r="AR68" s="175" t="s">
        <v>226</v>
      </c>
      <c r="AS68" s="175" t="s">
        <v>1550</v>
      </c>
      <c r="AT68" s="175" t="s">
        <v>2100</v>
      </c>
      <c r="AU68" s="482" t="s">
        <v>394</v>
      </c>
      <c r="AV68" s="175">
        <v>2023</v>
      </c>
      <c r="AW68" s="168"/>
      <c r="AX68" s="168" t="s">
        <v>539</v>
      </c>
      <c r="AY68" s="168" t="s">
        <v>2121</v>
      </c>
      <c r="AZ68" s="168" t="s">
        <v>1993</v>
      </c>
      <c r="BA68" s="168" t="s">
        <v>463</v>
      </c>
      <c r="BB68" s="168" t="s">
        <v>2103</v>
      </c>
      <c r="BC68" s="171">
        <v>2023</v>
      </c>
      <c r="BE68" s="168" t="s">
        <v>539</v>
      </c>
      <c r="BF68" s="168" t="s">
        <v>1839</v>
      </c>
      <c r="BG68" s="168" t="s">
        <v>1960</v>
      </c>
      <c r="BH68" s="168">
        <v>6</v>
      </c>
      <c r="BI68" s="168" t="s">
        <v>429</v>
      </c>
      <c r="BJ68" s="171">
        <v>2023</v>
      </c>
      <c r="BL68" s="447" t="s">
        <v>990</v>
      </c>
      <c r="BM68" s="447" t="s">
        <v>1330</v>
      </c>
      <c r="BN68" s="447" t="s">
        <v>1955</v>
      </c>
      <c r="BO68" s="447" t="s">
        <v>804</v>
      </c>
      <c r="BP68" s="447">
        <v>2023</v>
      </c>
      <c r="BQ68" s="168"/>
      <c r="BR68" s="168" t="s">
        <v>1096</v>
      </c>
      <c r="BS68" s="168" t="s">
        <v>1553</v>
      </c>
      <c r="BT68" s="168" t="s">
        <v>2033</v>
      </c>
      <c r="BU68" s="169" t="s">
        <v>2118</v>
      </c>
      <c r="BV68" s="168" t="s">
        <v>990</v>
      </c>
      <c r="BW68" s="171">
        <v>2022</v>
      </c>
    </row>
    <row r="69" spans="1:76" ht="17" thickBot="1">
      <c r="A69" s="995">
        <v>65</v>
      </c>
      <c r="B69" s="991" t="s">
        <v>1200</v>
      </c>
      <c r="C69" s="171" t="s">
        <v>1609</v>
      </c>
      <c r="D69" s="171" t="s">
        <v>2018</v>
      </c>
      <c r="E69" s="439" t="s">
        <v>2062</v>
      </c>
      <c r="F69" s="171" t="s">
        <v>1171</v>
      </c>
      <c r="G69" s="171">
        <v>2024</v>
      </c>
      <c r="H69" s="168"/>
      <c r="AR69" s="175" t="s">
        <v>266</v>
      </c>
      <c r="AS69" s="175" t="s">
        <v>1462</v>
      </c>
      <c r="AT69" s="175" t="s">
        <v>2100</v>
      </c>
      <c r="AU69" s="482" t="s">
        <v>429</v>
      </c>
      <c r="AV69" s="175">
        <v>2023</v>
      </c>
      <c r="AW69" s="168"/>
      <c r="AX69" s="168" t="s">
        <v>1171</v>
      </c>
      <c r="AY69" s="168" t="s">
        <v>1525</v>
      </c>
      <c r="AZ69" s="168" t="s">
        <v>2021</v>
      </c>
      <c r="BA69" s="168" t="s">
        <v>804</v>
      </c>
      <c r="BB69" s="168" t="s">
        <v>2103</v>
      </c>
      <c r="BC69" s="171">
        <v>2023</v>
      </c>
      <c r="BD69" s="171"/>
      <c r="BE69" s="168" t="s">
        <v>266</v>
      </c>
      <c r="BF69" s="168" t="s">
        <v>1350</v>
      </c>
      <c r="BG69" s="168" t="s">
        <v>1958</v>
      </c>
      <c r="BH69" s="168">
        <v>6</v>
      </c>
      <c r="BI69" s="168" t="s">
        <v>300</v>
      </c>
      <c r="BJ69" s="171">
        <v>2023</v>
      </c>
      <c r="BK69" s="168"/>
      <c r="BQ69" s="171"/>
      <c r="BR69" s="168" t="s">
        <v>339</v>
      </c>
      <c r="BS69" s="168" t="s">
        <v>1360</v>
      </c>
      <c r="BT69" s="168" t="s">
        <v>1989</v>
      </c>
      <c r="BU69" s="169" t="s">
        <v>2118</v>
      </c>
      <c r="BV69" s="168" t="s">
        <v>463</v>
      </c>
      <c r="BW69" s="171">
        <v>2022</v>
      </c>
      <c r="BX69" s="168"/>
    </row>
    <row r="70" spans="1:76" ht="17" thickBot="1">
      <c r="A70" s="995">
        <v>66</v>
      </c>
      <c r="B70" s="991" t="s">
        <v>685</v>
      </c>
      <c r="C70" s="171" t="s">
        <v>1344</v>
      </c>
      <c r="D70" s="171" t="s">
        <v>1981</v>
      </c>
      <c r="E70" s="439" t="s">
        <v>2062</v>
      </c>
      <c r="F70" s="167" t="s">
        <v>580</v>
      </c>
      <c r="G70" s="171">
        <v>2024</v>
      </c>
      <c r="H70" s="168"/>
      <c r="AR70" s="175" t="s">
        <v>1139</v>
      </c>
      <c r="AS70" s="175" t="s">
        <v>2122</v>
      </c>
      <c r="AT70" s="175" t="s">
        <v>2123</v>
      </c>
      <c r="AU70" s="482" t="s">
        <v>1025</v>
      </c>
      <c r="AV70" s="175">
        <v>2023</v>
      </c>
      <c r="AW70" s="168"/>
      <c r="AX70" s="175" t="s">
        <v>1171</v>
      </c>
      <c r="AY70" s="175" t="s">
        <v>1537</v>
      </c>
      <c r="AZ70" s="175" t="s">
        <v>2065</v>
      </c>
      <c r="BA70" s="175" t="s">
        <v>835</v>
      </c>
      <c r="BB70" s="175" t="s">
        <v>2103</v>
      </c>
      <c r="BC70" s="173">
        <v>2023</v>
      </c>
      <c r="BD70" s="171"/>
      <c r="BE70" s="168" t="s">
        <v>990</v>
      </c>
      <c r="BF70" s="168" t="s">
        <v>2124</v>
      </c>
      <c r="BG70" s="168" t="s">
        <v>1968</v>
      </c>
      <c r="BH70" s="168">
        <v>6</v>
      </c>
      <c r="BI70" s="168" t="s">
        <v>1062</v>
      </c>
      <c r="BJ70" s="171">
        <v>2023</v>
      </c>
      <c r="BK70" s="168"/>
      <c r="BL70" s="1099" t="s">
        <v>2125</v>
      </c>
      <c r="BM70" s="1100"/>
      <c r="BN70" s="1100"/>
      <c r="BO70" s="1100"/>
      <c r="BP70" s="1101"/>
      <c r="BR70" s="168" t="s">
        <v>266</v>
      </c>
      <c r="BS70" s="168" t="s">
        <v>1462</v>
      </c>
      <c r="BT70" s="168" t="s">
        <v>1991</v>
      </c>
      <c r="BU70" s="169" t="s">
        <v>2118</v>
      </c>
      <c r="BV70" s="168" t="s">
        <v>339</v>
      </c>
      <c r="BW70" s="171">
        <v>2023</v>
      </c>
      <c r="BX70" s="168"/>
    </row>
    <row r="71" spans="1:76">
      <c r="A71" s="995">
        <v>67</v>
      </c>
      <c r="B71" s="991" t="s">
        <v>1200</v>
      </c>
      <c r="C71" s="171" t="s">
        <v>1609</v>
      </c>
      <c r="D71" s="171" t="s">
        <v>1986</v>
      </c>
      <c r="E71" s="439" t="s">
        <v>2062</v>
      </c>
      <c r="F71" s="171" t="s">
        <v>835</v>
      </c>
      <c r="G71" s="171">
        <v>2024</v>
      </c>
      <c r="H71" s="168"/>
      <c r="AR71" s="183" t="s">
        <v>1139</v>
      </c>
      <c r="AS71" s="183" t="s">
        <v>1499</v>
      </c>
      <c r="AT71" s="183" t="s">
        <v>2126</v>
      </c>
      <c r="AU71" s="483" t="s">
        <v>266</v>
      </c>
      <c r="AV71" s="183">
        <v>2023</v>
      </c>
      <c r="AW71" s="168"/>
      <c r="AX71" s="175" t="s">
        <v>226</v>
      </c>
      <c r="AY71" s="175" t="s">
        <v>1550</v>
      </c>
      <c r="AZ71" s="175" t="s">
        <v>2041</v>
      </c>
      <c r="BA71" s="175" t="s">
        <v>266</v>
      </c>
      <c r="BB71" s="175" t="s">
        <v>2103</v>
      </c>
      <c r="BC71" s="173">
        <v>2023</v>
      </c>
      <c r="BD71" s="171"/>
      <c r="BE71" s="168" t="s">
        <v>339</v>
      </c>
      <c r="BF71" s="168" t="s">
        <v>1845</v>
      </c>
      <c r="BG71" s="168" t="s">
        <v>1987</v>
      </c>
      <c r="BH71" s="168">
        <v>6</v>
      </c>
      <c r="BI71" s="168" t="s">
        <v>685</v>
      </c>
      <c r="BJ71" s="171">
        <v>2023</v>
      </c>
      <c r="BL71" s="185" t="s">
        <v>1945</v>
      </c>
      <c r="BM71" s="185" t="s">
        <v>1946</v>
      </c>
      <c r="BN71" s="185" t="s">
        <v>1947</v>
      </c>
      <c r="BO71" s="185" t="s">
        <v>1948</v>
      </c>
      <c r="BP71" s="166" t="s">
        <v>1949</v>
      </c>
      <c r="BR71" s="168" t="s">
        <v>580</v>
      </c>
      <c r="BS71" s="168" t="s">
        <v>1468</v>
      </c>
      <c r="BT71" s="168" t="s">
        <v>2011</v>
      </c>
      <c r="BU71" s="169" t="s">
        <v>2118</v>
      </c>
      <c r="BV71" s="168" t="s">
        <v>650</v>
      </c>
      <c r="BW71" s="171">
        <v>2023</v>
      </c>
      <c r="BX71" s="168"/>
    </row>
    <row r="72" spans="1:76">
      <c r="A72" s="995">
        <v>68</v>
      </c>
      <c r="B72" s="991" t="s">
        <v>1171</v>
      </c>
      <c r="C72" s="171" t="s">
        <v>1355</v>
      </c>
      <c r="D72" s="171" t="s">
        <v>2004</v>
      </c>
      <c r="E72" s="439" t="s">
        <v>2062</v>
      </c>
      <c r="F72" s="171" t="s">
        <v>804</v>
      </c>
      <c r="G72" s="171">
        <v>2024</v>
      </c>
      <c r="H72" s="168"/>
      <c r="AR72" s="171" t="s">
        <v>835</v>
      </c>
      <c r="AS72" s="171" t="s">
        <v>1473</v>
      </c>
      <c r="AT72" s="171" t="s">
        <v>1958</v>
      </c>
      <c r="AU72" s="484" t="s">
        <v>770</v>
      </c>
      <c r="AV72" s="171">
        <v>2024</v>
      </c>
      <c r="AW72" s="171"/>
      <c r="AX72" s="183" t="s">
        <v>266</v>
      </c>
      <c r="AY72" s="183" t="s">
        <v>1560</v>
      </c>
      <c r="AZ72" s="183" t="s">
        <v>2127</v>
      </c>
      <c r="BA72" s="183" t="s">
        <v>1139</v>
      </c>
      <c r="BB72" s="183" t="s">
        <v>2103</v>
      </c>
      <c r="BC72" s="181">
        <v>2023</v>
      </c>
      <c r="BE72" s="168" t="s">
        <v>1171</v>
      </c>
      <c r="BF72" s="168" t="s">
        <v>1678</v>
      </c>
      <c r="BG72" s="168" t="s">
        <v>1986</v>
      </c>
      <c r="BH72" s="168">
        <v>6</v>
      </c>
      <c r="BI72" s="168" t="s">
        <v>903</v>
      </c>
      <c r="BJ72" s="171">
        <v>2023</v>
      </c>
      <c r="BK72" s="168"/>
      <c r="BL72" s="447" t="s">
        <v>717</v>
      </c>
      <c r="BM72" s="447" t="s">
        <v>2128</v>
      </c>
      <c r="BN72" s="447" t="s">
        <v>1970</v>
      </c>
      <c r="BO72" s="447" t="s">
        <v>650</v>
      </c>
      <c r="BP72" s="447">
        <v>2024</v>
      </c>
      <c r="BR72" s="168" t="s">
        <v>804</v>
      </c>
      <c r="BS72" s="168" t="s">
        <v>1828</v>
      </c>
      <c r="BT72" s="168" t="s">
        <v>1984</v>
      </c>
      <c r="BU72" s="169" t="s">
        <v>2118</v>
      </c>
      <c r="BV72" s="168" t="s">
        <v>165</v>
      </c>
      <c r="BW72" s="171">
        <v>2023</v>
      </c>
    </row>
    <row r="73" spans="1:76">
      <c r="A73" s="995">
        <v>69</v>
      </c>
      <c r="B73" s="991" t="s">
        <v>580</v>
      </c>
      <c r="C73" s="171" t="s">
        <v>1325</v>
      </c>
      <c r="D73" s="171" t="s">
        <v>2048</v>
      </c>
      <c r="E73" s="439" t="s">
        <v>2062</v>
      </c>
      <c r="F73" s="171" t="s">
        <v>339</v>
      </c>
      <c r="G73" s="171">
        <v>2024</v>
      </c>
      <c r="H73" s="168"/>
      <c r="AR73" s="171" t="s">
        <v>300</v>
      </c>
      <c r="AS73" s="171" t="s">
        <v>1636</v>
      </c>
      <c r="AT73" s="171" t="s">
        <v>1970</v>
      </c>
      <c r="AU73" s="484" t="s">
        <v>266</v>
      </c>
      <c r="AV73" s="171">
        <v>2024</v>
      </c>
      <c r="AW73" s="171"/>
      <c r="AX73" s="168" t="s">
        <v>952</v>
      </c>
      <c r="AY73" s="168" t="s">
        <v>1349</v>
      </c>
      <c r="AZ73" s="168" t="s">
        <v>1958</v>
      </c>
      <c r="BA73" s="168" t="s">
        <v>1062</v>
      </c>
      <c r="BB73" s="168" t="s">
        <v>2103</v>
      </c>
      <c r="BC73" s="168">
        <v>2024</v>
      </c>
      <c r="BD73" s="171"/>
      <c r="BE73" s="168" t="s">
        <v>804</v>
      </c>
      <c r="BF73" s="168" t="s">
        <v>2129</v>
      </c>
      <c r="BG73" s="168" t="s">
        <v>1987</v>
      </c>
      <c r="BH73" s="168">
        <v>6</v>
      </c>
      <c r="BI73" s="168" t="s">
        <v>1200</v>
      </c>
      <c r="BJ73" s="171">
        <v>2023</v>
      </c>
      <c r="BK73" s="168"/>
      <c r="BL73" s="168" t="s">
        <v>1139</v>
      </c>
      <c r="BM73" s="168" t="s">
        <v>2130</v>
      </c>
      <c r="BN73" s="168" t="s">
        <v>2018</v>
      </c>
      <c r="BO73" s="168" t="s">
        <v>1229</v>
      </c>
      <c r="BP73" s="168">
        <v>2024</v>
      </c>
      <c r="BR73" s="168" t="s">
        <v>804</v>
      </c>
      <c r="BS73" s="168" t="s">
        <v>1565</v>
      </c>
      <c r="BT73" s="168" t="s">
        <v>1999</v>
      </c>
      <c r="BU73" s="169" t="s">
        <v>2118</v>
      </c>
      <c r="BV73" s="168" t="s">
        <v>1229</v>
      </c>
      <c r="BW73" s="171">
        <v>2023</v>
      </c>
    </row>
    <row r="74" spans="1:76">
      <c r="A74" s="995">
        <v>70</v>
      </c>
      <c r="B74" s="991" t="s">
        <v>717</v>
      </c>
      <c r="C74" s="171" t="s">
        <v>1517</v>
      </c>
      <c r="D74" s="171" t="s">
        <v>2048</v>
      </c>
      <c r="E74" s="439" t="s">
        <v>2062</v>
      </c>
      <c r="F74" s="171" t="s">
        <v>226</v>
      </c>
      <c r="G74" s="171">
        <v>2024</v>
      </c>
      <c r="H74" s="168"/>
      <c r="AR74" s="171" t="s">
        <v>429</v>
      </c>
      <c r="AS74" s="171" t="s">
        <v>1539</v>
      </c>
      <c r="AT74" s="171" t="s">
        <v>1968</v>
      </c>
      <c r="AU74" s="484" t="s">
        <v>339</v>
      </c>
      <c r="AV74" s="171">
        <v>2024</v>
      </c>
      <c r="AW74" s="171"/>
      <c r="AX74" s="168" t="s">
        <v>394</v>
      </c>
      <c r="AY74" s="171" t="s">
        <v>1646</v>
      </c>
      <c r="AZ74" s="171" t="s">
        <v>1987</v>
      </c>
      <c r="BA74" s="171" t="s">
        <v>650</v>
      </c>
      <c r="BB74" s="168" t="s">
        <v>2103</v>
      </c>
      <c r="BC74" s="168">
        <v>2024</v>
      </c>
      <c r="BD74" s="171"/>
      <c r="BE74" s="168" t="s">
        <v>804</v>
      </c>
      <c r="BF74" s="168" t="s">
        <v>1411</v>
      </c>
      <c r="BG74" s="168" t="s">
        <v>2006</v>
      </c>
      <c r="BH74" s="168">
        <v>6</v>
      </c>
      <c r="BI74" s="168" t="s">
        <v>1062</v>
      </c>
      <c r="BJ74" s="171">
        <v>2023</v>
      </c>
      <c r="BR74" s="168" t="s">
        <v>580</v>
      </c>
      <c r="BS74" s="168" t="s">
        <v>1348</v>
      </c>
      <c r="BT74" s="168" t="s">
        <v>1988</v>
      </c>
      <c r="BU74" s="169" t="s">
        <v>2118</v>
      </c>
      <c r="BV74" s="168" t="s">
        <v>611</v>
      </c>
      <c r="BW74" s="171">
        <v>2023</v>
      </c>
    </row>
    <row r="75" spans="1:76">
      <c r="A75" s="995">
        <v>71</v>
      </c>
      <c r="B75" s="991" t="s">
        <v>463</v>
      </c>
      <c r="C75" s="171" t="s">
        <v>1557</v>
      </c>
      <c r="D75" s="171" t="s">
        <v>1967</v>
      </c>
      <c r="E75" s="439" t="s">
        <v>2062</v>
      </c>
      <c r="F75" s="171" t="s">
        <v>226</v>
      </c>
      <c r="G75" s="171">
        <v>2024</v>
      </c>
      <c r="H75" s="168"/>
      <c r="AR75" s="171" t="s">
        <v>990</v>
      </c>
      <c r="AS75" s="171" t="s">
        <v>2131</v>
      </c>
      <c r="AT75" s="171" t="s">
        <v>2018</v>
      </c>
      <c r="AU75" s="484" t="s">
        <v>1062</v>
      </c>
      <c r="AV75" s="171">
        <v>2024</v>
      </c>
      <c r="AW75" s="171"/>
      <c r="AX75" s="171" t="s">
        <v>804</v>
      </c>
      <c r="AY75" s="171" t="s">
        <v>1459</v>
      </c>
      <c r="AZ75" s="171" t="s">
        <v>1978</v>
      </c>
      <c r="BA75" s="171" t="s">
        <v>1025</v>
      </c>
      <c r="BB75" s="171" t="s">
        <v>2103</v>
      </c>
      <c r="BC75" s="171">
        <v>2024</v>
      </c>
      <c r="BD75" s="171"/>
      <c r="BE75" s="168" t="s">
        <v>1171</v>
      </c>
      <c r="BF75" s="168" t="s">
        <v>1328</v>
      </c>
      <c r="BG75" s="168" t="s">
        <v>1978</v>
      </c>
      <c r="BH75" s="168">
        <v>6</v>
      </c>
      <c r="BI75" s="168" t="s">
        <v>770</v>
      </c>
      <c r="BJ75" s="171">
        <v>2023</v>
      </c>
      <c r="BK75" s="168"/>
      <c r="BR75" s="168" t="s">
        <v>869</v>
      </c>
      <c r="BS75" s="168" t="s">
        <v>1439</v>
      </c>
      <c r="BT75" s="168" t="s">
        <v>1989</v>
      </c>
      <c r="BU75" s="169" t="s">
        <v>2118</v>
      </c>
      <c r="BV75" s="168" t="s">
        <v>1025</v>
      </c>
      <c r="BW75" s="171">
        <v>2023</v>
      </c>
    </row>
    <row r="76" spans="1:76">
      <c r="A76" s="995">
        <v>72</v>
      </c>
      <c r="B76" s="167" t="s">
        <v>226</v>
      </c>
      <c r="C76" s="168" t="s">
        <v>1383</v>
      </c>
      <c r="D76" s="171" t="s">
        <v>1967</v>
      </c>
      <c r="E76" s="439" t="s">
        <v>2062</v>
      </c>
      <c r="F76" s="168" t="s">
        <v>463</v>
      </c>
      <c r="G76" s="168">
        <v>2024</v>
      </c>
      <c r="H76" s="168"/>
      <c r="AR76" s="171" t="s">
        <v>1139</v>
      </c>
      <c r="AS76" s="171" t="s">
        <v>1447</v>
      </c>
      <c r="AT76" s="171" t="s">
        <v>2018</v>
      </c>
      <c r="AU76" s="484" t="s">
        <v>1229</v>
      </c>
      <c r="AV76" s="171">
        <v>2024</v>
      </c>
      <c r="AW76" s="171"/>
      <c r="AX76" s="167" t="s">
        <v>463</v>
      </c>
      <c r="AY76" s="171" t="s">
        <v>2132</v>
      </c>
      <c r="AZ76" s="171" t="s">
        <v>2017</v>
      </c>
      <c r="BA76" s="171" t="s">
        <v>339</v>
      </c>
      <c r="BB76" s="171" t="s">
        <v>2103</v>
      </c>
      <c r="BC76" s="171">
        <v>2024</v>
      </c>
      <c r="BD76" s="171"/>
      <c r="BE76" s="168" t="s">
        <v>394</v>
      </c>
      <c r="BF76" s="168" t="s">
        <v>1735</v>
      </c>
      <c r="BG76" s="168" t="s">
        <v>2037</v>
      </c>
      <c r="BH76" s="168">
        <v>6</v>
      </c>
      <c r="BI76" s="168" t="s">
        <v>580</v>
      </c>
      <c r="BJ76" s="171">
        <v>2023</v>
      </c>
      <c r="BR76" s="171" t="s">
        <v>1062</v>
      </c>
      <c r="BS76" s="171" t="s">
        <v>1479</v>
      </c>
      <c r="BT76" s="171" t="s">
        <v>1966</v>
      </c>
      <c r="BU76" s="439" t="s">
        <v>2118</v>
      </c>
      <c r="BV76" s="171" t="s">
        <v>1265</v>
      </c>
      <c r="BW76" s="171">
        <v>2024</v>
      </c>
    </row>
    <row r="77" spans="1:76">
      <c r="A77" s="995">
        <v>73</v>
      </c>
      <c r="B77" s="991" t="s">
        <v>1171</v>
      </c>
      <c r="C77" s="171" t="s">
        <v>1467</v>
      </c>
      <c r="D77" s="171" t="s">
        <v>2029</v>
      </c>
      <c r="E77" s="439" t="s">
        <v>2062</v>
      </c>
      <c r="F77" s="171" t="s">
        <v>1096</v>
      </c>
      <c r="G77" s="171">
        <v>2024</v>
      </c>
      <c r="AR77" s="171" t="s">
        <v>1139</v>
      </c>
      <c r="AS77" s="171" t="s">
        <v>1647</v>
      </c>
      <c r="AT77" s="171" t="s">
        <v>1981</v>
      </c>
      <c r="AU77" s="484" t="s">
        <v>1229</v>
      </c>
      <c r="AV77" s="171">
        <v>2024</v>
      </c>
      <c r="AW77" s="171"/>
      <c r="AX77" s="171" t="s">
        <v>835</v>
      </c>
      <c r="AY77" s="171" t="s">
        <v>1510</v>
      </c>
      <c r="AZ77" s="171" t="s">
        <v>2017</v>
      </c>
      <c r="BA77" s="171" t="s">
        <v>869</v>
      </c>
      <c r="BB77" s="171" t="s">
        <v>2103</v>
      </c>
      <c r="BC77" s="171">
        <v>2024</v>
      </c>
      <c r="BE77" s="168" t="s">
        <v>1139</v>
      </c>
      <c r="BF77" s="168" t="s">
        <v>1666</v>
      </c>
      <c r="BG77" s="168" t="s">
        <v>1975</v>
      </c>
      <c r="BH77" s="168">
        <v>6</v>
      </c>
      <c r="BI77" s="168" t="s">
        <v>1096</v>
      </c>
      <c r="BJ77" s="171">
        <v>2023</v>
      </c>
      <c r="BK77" s="168"/>
      <c r="BR77" s="171" t="s">
        <v>903</v>
      </c>
      <c r="BS77" s="171" t="s">
        <v>2064</v>
      </c>
      <c r="BT77" s="171" t="s">
        <v>1971</v>
      </c>
      <c r="BU77" s="439" t="s">
        <v>2118</v>
      </c>
      <c r="BV77" s="171" t="s">
        <v>1025</v>
      </c>
      <c r="BW77" s="171">
        <v>2024</v>
      </c>
    </row>
    <row r="78" spans="1:76">
      <c r="A78" s="995">
        <v>74</v>
      </c>
      <c r="B78" s="991" t="s">
        <v>300</v>
      </c>
      <c r="C78" s="171" t="s">
        <v>2133</v>
      </c>
      <c r="D78" s="171" t="s">
        <v>1952</v>
      </c>
      <c r="E78" s="439" t="s">
        <v>2062</v>
      </c>
      <c r="F78" s="171" t="s">
        <v>650</v>
      </c>
      <c r="G78" s="171">
        <v>2024</v>
      </c>
      <c r="H78" s="168"/>
      <c r="AR78" s="171" t="s">
        <v>611</v>
      </c>
      <c r="AS78" s="171" t="s">
        <v>2134</v>
      </c>
      <c r="AT78" s="171" t="s">
        <v>1986</v>
      </c>
      <c r="AU78" s="484" t="s">
        <v>463</v>
      </c>
      <c r="AV78" s="171">
        <v>2024</v>
      </c>
      <c r="AW78" s="171"/>
      <c r="AX78" s="171" t="s">
        <v>717</v>
      </c>
      <c r="AY78" s="171" t="s">
        <v>2135</v>
      </c>
      <c r="AZ78" s="171" t="s">
        <v>2043</v>
      </c>
      <c r="BA78" s="171" t="s">
        <v>685</v>
      </c>
      <c r="BB78" s="171" t="s">
        <v>2103</v>
      </c>
      <c r="BC78" s="171">
        <v>2024</v>
      </c>
      <c r="BD78" s="171"/>
      <c r="BE78" s="168" t="s">
        <v>165</v>
      </c>
      <c r="BF78" s="168" t="s">
        <v>1317</v>
      </c>
      <c r="BG78" s="168" t="s">
        <v>1995</v>
      </c>
      <c r="BH78" s="168">
        <v>6</v>
      </c>
      <c r="BI78" s="168" t="s">
        <v>266</v>
      </c>
      <c r="BJ78" s="171">
        <v>2023</v>
      </c>
      <c r="BR78" s="171" t="s">
        <v>685</v>
      </c>
      <c r="BS78" s="171" t="s">
        <v>1340</v>
      </c>
      <c r="BT78" s="171" t="s">
        <v>2001</v>
      </c>
      <c r="BU78" s="439" t="s">
        <v>2118</v>
      </c>
      <c r="BV78" s="171" t="s">
        <v>300</v>
      </c>
      <c r="BW78" s="171">
        <v>2024</v>
      </c>
      <c r="BX78" s="168"/>
    </row>
    <row r="79" spans="1:76">
      <c r="A79" s="995">
        <v>75</v>
      </c>
      <c r="B79" s="991" t="s">
        <v>266</v>
      </c>
      <c r="C79" s="171" t="s">
        <v>1466</v>
      </c>
      <c r="D79" s="171" t="s">
        <v>1952</v>
      </c>
      <c r="E79" s="439" t="s">
        <v>2062</v>
      </c>
      <c r="F79" s="171" t="s">
        <v>580</v>
      </c>
      <c r="G79" s="171">
        <v>2024</v>
      </c>
      <c r="H79" s="168"/>
      <c r="AR79" s="171" t="s">
        <v>1265</v>
      </c>
      <c r="AS79" s="171" t="s">
        <v>1326</v>
      </c>
      <c r="AT79" s="171" t="s">
        <v>1986</v>
      </c>
      <c r="AU79" s="484" t="s">
        <v>1025</v>
      </c>
      <c r="AV79" s="171">
        <v>2024</v>
      </c>
      <c r="AW79" s="171"/>
      <c r="AX79" s="167" t="s">
        <v>804</v>
      </c>
      <c r="AY79" s="168" t="s">
        <v>1339</v>
      </c>
      <c r="AZ79" s="168" t="s">
        <v>2027</v>
      </c>
      <c r="BA79" s="168" t="s">
        <v>835</v>
      </c>
      <c r="BB79" s="168" t="s">
        <v>2103</v>
      </c>
      <c r="BC79" s="168">
        <v>2024</v>
      </c>
      <c r="BD79" s="1009"/>
      <c r="BE79" s="167" t="s">
        <v>903</v>
      </c>
      <c r="BF79" s="168" t="s">
        <v>1347</v>
      </c>
      <c r="BG79" s="168" t="s">
        <v>1995</v>
      </c>
      <c r="BH79" s="168">
        <v>6</v>
      </c>
      <c r="BI79" s="168" t="s">
        <v>869</v>
      </c>
      <c r="BJ79" s="171">
        <v>2023</v>
      </c>
      <c r="BR79" s="171" t="s">
        <v>394</v>
      </c>
      <c r="BS79" s="171" t="s">
        <v>1400</v>
      </c>
      <c r="BT79" s="171" t="s">
        <v>2001</v>
      </c>
      <c r="BU79" s="439" t="s">
        <v>2118</v>
      </c>
      <c r="BV79" s="171" t="s">
        <v>611</v>
      </c>
      <c r="BW79" s="171">
        <v>2024</v>
      </c>
    </row>
    <row r="80" spans="1:76">
      <c r="A80" s="995">
        <v>76</v>
      </c>
      <c r="B80" s="991" t="s">
        <v>165</v>
      </c>
      <c r="C80" s="171" t="s">
        <v>1471</v>
      </c>
      <c r="D80" s="171" t="s">
        <v>2037</v>
      </c>
      <c r="E80" s="439" t="s">
        <v>2062</v>
      </c>
      <c r="F80" s="171" t="s">
        <v>580</v>
      </c>
      <c r="G80" s="171">
        <v>2024</v>
      </c>
      <c r="H80" s="168"/>
      <c r="AR80" s="171" t="s">
        <v>717</v>
      </c>
      <c r="AS80" s="171" t="s">
        <v>1342</v>
      </c>
      <c r="AT80" s="171" t="s">
        <v>2024</v>
      </c>
      <c r="AU80" s="484" t="s">
        <v>339</v>
      </c>
      <c r="AV80" s="171">
        <v>2024</v>
      </c>
      <c r="AW80" s="171"/>
      <c r="AX80" s="168" t="s">
        <v>770</v>
      </c>
      <c r="AY80" s="168" t="s">
        <v>1527</v>
      </c>
      <c r="AZ80" s="168" t="s">
        <v>1957</v>
      </c>
      <c r="BA80" s="168" t="s">
        <v>266</v>
      </c>
      <c r="BB80" s="168" t="s">
        <v>2136</v>
      </c>
      <c r="BC80" s="171">
        <v>2022</v>
      </c>
      <c r="BD80" s="171"/>
      <c r="BE80" s="168" t="s">
        <v>903</v>
      </c>
      <c r="BF80" s="168" t="s">
        <v>1695</v>
      </c>
      <c r="BG80" s="168" t="s">
        <v>1985</v>
      </c>
      <c r="BH80" s="168">
        <v>6</v>
      </c>
      <c r="BI80" s="168" t="s">
        <v>835</v>
      </c>
      <c r="BJ80" s="171">
        <v>2023</v>
      </c>
      <c r="BK80" s="168"/>
      <c r="BR80" s="171" t="s">
        <v>539</v>
      </c>
      <c r="BS80" s="171" t="s">
        <v>1536</v>
      </c>
      <c r="BT80" s="171" t="s">
        <v>1988</v>
      </c>
      <c r="BU80" s="439" t="s">
        <v>2118</v>
      </c>
      <c r="BV80" s="171" t="s">
        <v>394</v>
      </c>
      <c r="BW80" s="171">
        <v>2024</v>
      </c>
      <c r="BX80" s="168"/>
    </row>
    <row r="81" spans="1:75">
      <c r="A81" s="995">
        <v>77</v>
      </c>
      <c r="B81" s="991" t="s">
        <v>429</v>
      </c>
      <c r="C81" s="171" t="s">
        <v>2137</v>
      </c>
      <c r="D81" s="171" t="s">
        <v>2015</v>
      </c>
      <c r="E81" s="439" t="s">
        <v>2062</v>
      </c>
      <c r="F81" s="171" t="s">
        <v>502</v>
      </c>
      <c r="G81" s="171">
        <v>2024</v>
      </c>
      <c r="H81" s="168"/>
      <c r="AR81" s="171" t="s">
        <v>1139</v>
      </c>
      <c r="AS81" s="171" t="s">
        <v>1645</v>
      </c>
      <c r="AT81" s="171" t="s">
        <v>2024</v>
      </c>
      <c r="AU81" s="484" t="s">
        <v>903</v>
      </c>
      <c r="AV81" s="171">
        <v>2024</v>
      </c>
      <c r="AW81" s="171"/>
      <c r="AX81" s="168" t="s">
        <v>804</v>
      </c>
      <c r="AY81" s="168" t="s">
        <v>1502</v>
      </c>
      <c r="AZ81" s="168" t="s">
        <v>2018</v>
      </c>
      <c r="BA81" s="168" t="s">
        <v>903</v>
      </c>
      <c r="BB81" s="168" t="s">
        <v>2136</v>
      </c>
      <c r="BC81" s="171">
        <v>2023</v>
      </c>
      <c r="BE81" s="168" t="s">
        <v>903</v>
      </c>
      <c r="BF81" s="168" t="s">
        <v>1718</v>
      </c>
      <c r="BG81" s="168" t="s">
        <v>2027</v>
      </c>
      <c r="BH81" s="168">
        <v>6</v>
      </c>
      <c r="BI81" s="168" t="s">
        <v>804</v>
      </c>
      <c r="BJ81" s="171">
        <v>2023</v>
      </c>
      <c r="BR81" s="171" t="s">
        <v>1139</v>
      </c>
      <c r="BS81" s="171" t="s">
        <v>1431</v>
      </c>
      <c r="BT81" s="171" t="s">
        <v>1988</v>
      </c>
      <c r="BU81" s="439" t="s">
        <v>2118</v>
      </c>
      <c r="BV81" s="171" t="s">
        <v>1200</v>
      </c>
      <c r="BW81" s="171">
        <v>2024</v>
      </c>
    </row>
    <row r="82" spans="1:75">
      <c r="A82" s="995">
        <v>78</v>
      </c>
      <c r="B82" s="167" t="s">
        <v>165</v>
      </c>
      <c r="C82" s="168" t="s">
        <v>1500</v>
      </c>
      <c r="D82" s="168" t="s">
        <v>2017</v>
      </c>
      <c r="E82" s="439" t="s">
        <v>2062</v>
      </c>
      <c r="F82" s="168" t="s">
        <v>266</v>
      </c>
      <c r="G82" s="168">
        <v>2024</v>
      </c>
      <c r="H82" s="1008"/>
      <c r="AR82" s="171" t="s">
        <v>165</v>
      </c>
      <c r="AS82" s="171" t="s">
        <v>1580</v>
      </c>
      <c r="AT82" s="171" t="s">
        <v>1978</v>
      </c>
      <c r="AU82" s="484" t="s">
        <v>394</v>
      </c>
      <c r="AV82" s="171">
        <v>2024</v>
      </c>
      <c r="AW82" s="171"/>
      <c r="AX82" s="168" t="s">
        <v>1200</v>
      </c>
      <c r="AY82" s="168" t="s">
        <v>1454</v>
      </c>
      <c r="AZ82" s="168" t="s">
        <v>2005</v>
      </c>
      <c r="BA82" s="168" t="s">
        <v>1265</v>
      </c>
      <c r="BB82" s="168" t="s">
        <v>2136</v>
      </c>
      <c r="BC82" s="171">
        <v>2023</v>
      </c>
      <c r="BE82" s="168" t="s">
        <v>835</v>
      </c>
      <c r="BF82" s="168" t="s">
        <v>1318</v>
      </c>
      <c r="BG82" s="168" t="s">
        <v>1958</v>
      </c>
      <c r="BH82" s="168">
        <v>6</v>
      </c>
      <c r="BI82" s="168" t="s">
        <v>770</v>
      </c>
      <c r="BJ82" s="168">
        <v>2024</v>
      </c>
      <c r="BK82" s="1008"/>
      <c r="BR82" s="168" t="s">
        <v>394</v>
      </c>
      <c r="BS82" s="168" t="s">
        <v>2138</v>
      </c>
      <c r="BT82" s="168" t="s">
        <v>2011</v>
      </c>
      <c r="BU82" s="169" t="s">
        <v>2139</v>
      </c>
      <c r="BV82" s="168" t="s">
        <v>463</v>
      </c>
      <c r="BW82" s="171">
        <v>2022</v>
      </c>
    </row>
    <row r="83" spans="1:75">
      <c r="A83" s="995">
        <v>79</v>
      </c>
      <c r="B83" s="991" t="s">
        <v>266</v>
      </c>
      <c r="C83" s="171" t="s">
        <v>2093</v>
      </c>
      <c r="D83" s="171" t="s">
        <v>2017</v>
      </c>
      <c r="E83" s="439" t="s">
        <v>2062</v>
      </c>
      <c r="F83" s="171" t="s">
        <v>165</v>
      </c>
      <c r="G83" s="171">
        <v>2024</v>
      </c>
      <c r="H83" s="168"/>
      <c r="AR83" s="171" t="s">
        <v>463</v>
      </c>
      <c r="AS83" s="171" t="s">
        <v>2140</v>
      </c>
      <c r="AT83" s="171" t="s">
        <v>1978</v>
      </c>
      <c r="AU83" s="484" t="s">
        <v>1096</v>
      </c>
      <c r="AV83" s="171">
        <v>2024</v>
      </c>
      <c r="AW83" s="171"/>
      <c r="AX83" s="171" t="s">
        <v>804</v>
      </c>
      <c r="AY83" s="171" t="s">
        <v>1828</v>
      </c>
      <c r="AZ83" s="171" t="s">
        <v>2043</v>
      </c>
      <c r="BA83" s="171" t="s">
        <v>835</v>
      </c>
      <c r="BB83" s="171" t="s">
        <v>2136</v>
      </c>
      <c r="BC83" s="171">
        <v>2024</v>
      </c>
      <c r="BE83" s="171" t="s">
        <v>990</v>
      </c>
      <c r="BF83" s="171" t="s">
        <v>1698</v>
      </c>
      <c r="BG83" s="171" t="s">
        <v>1959</v>
      </c>
      <c r="BH83" s="171">
        <v>6</v>
      </c>
      <c r="BI83" s="168" t="s">
        <v>1025</v>
      </c>
      <c r="BJ83" s="171">
        <v>2024</v>
      </c>
    </row>
    <row r="84" spans="1:75">
      <c r="A84" s="995">
        <v>80</v>
      </c>
      <c r="B84" s="992" t="s">
        <v>394</v>
      </c>
      <c r="C84" s="537" t="s">
        <v>1646</v>
      </c>
      <c r="D84" s="537" t="s">
        <v>2081</v>
      </c>
      <c r="E84" s="538" t="s">
        <v>2062</v>
      </c>
      <c r="F84" s="537" t="s">
        <v>226</v>
      </c>
      <c r="G84" s="537">
        <v>2024</v>
      </c>
      <c r="AR84" s="171" t="s">
        <v>1265</v>
      </c>
      <c r="AS84" s="171" t="s">
        <v>1820</v>
      </c>
      <c r="AT84" s="171" t="s">
        <v>2048</v>
      </c>
      <c r="AU84" s="484" t="s">
        <v>990</v>
      </c>
      <c r="AV84" s="171">
        <v>2024</v>
      </c>
      <c r="AW84" s="171"/>
      <c r="AX84" s="168" t="s">
        <v>869</v>
      </c>
      <c r="AY84" s="168" t="s">
        <v>2141</v>
      </c>
      <c r="AZ84" s="168" t="s">
        <v>1959</v>
      </c>
      <c r="BA84" s="168" t="s">
        <v>903</v>
      </c>
      <c r="BB84" s="168" t="s">
        <v>2142</v>
      </c>
      <c r="BC84" s="171">
        <v>2022</v>
      </c>
      <c r="BE84" s="171" t="s">
        <v>165</v>
      </c>
      <c r="BF84" s="171" t="s">
        <v>1317</v>
      </c>
      <c r="BG84" s="171" t="s">
        <v>2018</v>
      </c>
      <c r="BH84" s="171">
        <v>6</v>
      </c>
      <c r="BI84" s="171" t="s">
        <v>226</v>
      </c>
      <c r="BJ84" s="171">
        <v>2024</v>
      </c>
    </row>
    <row r="85" spans="1:75">
      <c r="A85" s="995">
        <v>81</v>
      </c>
      <c r="G85" s="167"/>
      <c r="AR85" s="171" t="s">
        <v>1171</v>
      </c>
      <c r="AS85" s="171" t="s">
        <v>1420</v>
      </c>
      <c r="AT85" s="171" t="s">
        <v>2029</v>
      </c>
      <c r="AU85" s="484" t="s">
        <v>1096</v>
      </c>
      <c r="AV85" s="171">
        <v>2024</v>
      </c>
      <c r="AW85" s="171"/>
      <c r="AX85" s="168" t="s">
        <v>804</v>
      </c>
      <c r="AY85" s="168" t="s">
        <v>1459</v>
      </c>
      <c r="AZ85" s="168" t="s">
        <v>1960</v>
      </c>
      <c r="BA85" s="168" t="s">
        <v>869</v>
      </c>
      <c r="BB85" s="168" t="s">
        <v>2142</v>
      </c>
      <c r="BC85" s="171">
        <v>2022</v>
      </c>
      <c r="BE85" s="171" t="s">
        <v>165</v>
      </c>
      <c r="BF85" s="171" t="s">
        <v>1317</v>
      </c>
      <c r="BG85" s="171" t="s">
        <v>2024</v>
      </c>
      <c r="BH85" s="171">
        <v>6</v>
      </c>
      <c r="BI85" s="171" t="s">
        <v>685</v>
      </c>
      <c r="BJ85" s="171">
        <v>2024</v>
      </c>
      <c r="BK85" s="168"/>
    </row>
    <row r="86" spans="1:75">
      <c r="A86" s="995">
        <v>82</v>
      </c>
      <c r="G86" s="167"/>
      <c r="AR86" s="171" t="s">
        <v>580</v>
      </c>
      <c r="AS86" s="171" t="s">
        <v>1547</v>
      </c>
      <c r="AT86" s="171" t="s">
        <v>2060</v>
      </c>
      <c r="AU86" s="484" t="s">
        <v>394</v>
      </c>
      <c r="AV86" s="171">
        <v>2024</v>
      </c>
      <c r="AW86" s="171"/>
      <c r="AX86" s="168" t="s">
        <v>580</v>
      </c>
      <c r="AY86" s="168" t="s">
        <v>1429</v>
      </c>
      <c r="AZ86" s="168" t="s">
        <v>1986</v>
      </c>
      <c r="BA86" s="168" t="s">
        <v>165</v>
      </c>
      <c r="BB86" s="168" t="s">
        <v>2142</v>
      </c>
      <c r="BC86" s="171">
        <v>2022</v>
      </c>
      <c r="BE86" s="171" t="s">
        <v>1265</v>
      </c>
      <c r="BF86" s="171" t="s">
        <v>1693</v>
      </c>
      <c r="BG86" s="171" t="s">
        <v>2004</v>
      </c>
      <c r="BH86" s="171">
        <v>6</v>
      </c>
      <c r="BI86" s="171" t="s">
        <v>1096</v>
      </c>
      <c r="BJ86" s="171">
        <v>2024</v>
      </c>
      <c r="BK86" s="168"/>
    </row>
    <row r="87" spans="1:75">
      <c r="A87" s="995">
        <v>83</v>
      </c>
      <c r="G87" s="167"/>
      <c r="AR87" s="171" t="s">
        <v>1200</v>
      </c>
      <c r="AS87" s="171" t="s">
        <v>1482</v>
      </c>
      <c r="AT87" s="171" t="s">
        <v>1997</v>
      </c>
      <c r="AU87" s="484" t="s">
        <v>1025</v>
      </c>
      <c r="AV87" s="171">
        <v>2024</v>
      </c>
      <c r="AW87" s="171"/>
      <c r="AX87" s="168" t="s">
        <v>300</v>
      </c>
      <c r="AY87" s="168" t="s">
        <v>2133</v>
      </c>
      <c r="AZ87" s="168" t="s">
        <v>2006</v>
      </c>
      <c r="BA87" s="168" t="s">
        <v>539</v>
      </c>
      <c r="BB87" s="168" t="s">
        <v>2142</v>
      </c>
      <c r="BC87" s="171">
        <v>2022</v>
      </c>
      <c r="BE87" s="171" t="s">
        <v>770</v>
      </c>
      <c r="BF87" s="171" t="s">
        <v>2143</v>
      </c>
      <c r="BG87" s="171" t="s">
        <v>1957</v>
      </c>
      <c r="BH87" s="171">
        <v>6</v>
      </c>
      <c r="BI87" s="171" t="s">
        <v>1139</v>
      </c>
      <c r="BJ87" s="171">
        <v>2024</v>
      </c>
    </row>
    <row r="88" spans="1:75">
      <c r="A88" s="995">
        <v>84</v>
      </c>
      <c r="G88" s="167"/>
      <c r="AR88" s="171" t="s">
        <v>1062</v>
      </c>
      <c r="AS88" s="171" t="s">
        <v>1814</v>
      </c>
      <c r="AT88" s="171" t="s">
        <v>2032</v>
      </c>
      <c r="AU88" s="484" t="s">
        <v>429</v>
      </c>
      <c r="AV88" s="171">
        <v>2024</v>
      </c>
      <c r="AW88" s="171"/>
      <c r="AX88" s="168" t="s">
        <v>835</v>
      </c>
      <c r="AY88" s="168" t="s">
        <v>1566</v>
      </c>
      <c r="AZ88" s="168" t="s">
        <v>1967</v>
      </c>
      <c r="BA88" s="168" t="s">
        <v>1025</v>
      </c>
      <c r="BB88" s="168" t="s">
        <v>2142</v>
      </c>
      <c r="BC88" s="171">
        <v>2022</v>
      </c>
      <c r="BE88" s="171" t="s">
        <v>1200</v>
      </c>
      <c r="BF88" s="171" t="s">
        <v>1331</v>
      </c>
      <c r="BG88" s="171" t="s">
        <v>1978</v>
      </c>
      <c r="BH88" s="171">
        <v>6</v>
      </c>
      <c r="BI88" s="171" t="s">
        <v>903</v>
      </c>
      <c r="BJ88" s="171">
        <v>2024</v>
      </c>
    </row>
    <row r="89" spans="1:75">
      <c r="A89" s="993"/>
      <c r="E89" s="186"/>
      <c r="F89" s="186"/>
      <c r="G89" s="167"/>
      <c r="AR89" s="171" t="s">
        <v>226</v>
      </c>
      <c r="AS89" s="171" t="s">
        <v>2144</v>
      </c>
      <c r="AT89" s="171" t="s">
        <v>2003</v>
      </c>
      <c r="AU89" s="484" t="s">
        <v>611</v>
      </c>
      <c r="AV89" s="171">
        <v>2024</v>
      </c>
      <c r="AW89" s="171"/>
      <c r="AX89" s="168" t="s">
        <v>990</v>
      </c>
      <c r="AY89" s="168" t="s">
        <v>1599</v>
      </c>
      <c r="AZ89" s="168" t="s">
        <v>2017</v>
      </c>
      <c r="BA89" s="168" t="s">
        <v>835</v>
      </c>
      <c r="BB89" s="168" t="s">
        <v>2142</v>
      </c>
      <c r="BC89" s="171">
        <v>2022</v>
      </c>
      <c r="BE89" s="171" t="s">
        <v>1062</v>
      </c>
      <c r="BF89" s="171" t="s">
        <v>1356</v>
      </c>
      <c r="BG89" s="171" t="s">
        <v>2048</v>
      </c>
      <c r="BH89" s="171">
        <v>6</v>
      </c>
      <c r="BI89" s="171" t="s">
        <v>1229</v>
      </c>
      <c r="BJ89" s="171">
        <v>2024</v>
      </c>
    </row>
    <row r="90" spans="1:75">
      <c r="A90" s="993"/>
      <c r="AR90" s="171" t="s">
        <v>502</v>
      </c>
      <c r="AS90" s="171" t="s">
        <v>1626</v>
      </c>
      <c r="AT90" s="171" t="s">
        <v>2003</v>
      </c>
      <c r="AU90" s="484" t="s">
        <v>717</v>
      </c>
      <c r="AV90" s="171">
        <v>2024</v>
      </c>
      <c r="AW90" s="171"/>
      <c r="AX90" s="168" t="s">
        <v>1062</v>
      </c>
      <c r="AY90" s="168" t="s">
        <v>1451</v>
      </c>
      <c r="AZ90" s="168" t="s">
        <v>2027</v>
      </c>
      <c r="BA90" s="168" t="s">
        <v>1025</v>
      </c>
      <c r="BB90" s="168" t="s">
        <v>2142</v>
      </c>
      <c r="BC90" s="171">
        <v>2022</v>
      </c>
      <c r="BE90" s="171" t="s">
        <v>835</v>
      </c>
      <c r="BF90" s="171" t="s">
        <v>1318</v>
      </c>
      <c r="BG90" s="171" t="s">
        <v>1995</v>
      </c>
      <c r="BH90" s="171">
        <v>6</v>
      </c>
      <c r="BI90" s="171" t="s">
        <v>903</v>
      </c>
      <c r="BJ90" s="171">
        <v>2024</v>
      </c>
      <c r="BK90" s="168"/>
    </row>
    <row r="91" spans="1:75">
      <c r="A91" s="993"/>
      <c r="AR91" s="171" t="s">
        <v>1062</v>
      </c>
      <c r="AS91" s="171" t="s">
        <v>1814</v>
      </c>
      <c r="AT91" s="171" t="s">
        <v>2032</v>
      </c>
      <c r="AU91" s="484" t="s">
        <v>429</v>
      </c>
      <c r="AV91" s="171">
        <v>2024</v>
      </c>
      <c r="AW91" s="171"/>
      <c r="AX91" s="168" t="s">
        <v>1062</v>
      </c>
      <c r="AY91" s="168" t="s">
        <v>1497</v>
      </c>
      <c r="AZ91" s="168" t="s">
        <v>1957</v>
      </c>
      <c r="BA91" s="168" t="s">
        <v>1139</v>
      </c>
      <c r="BB91" s="168" t="s">
        <v>2142</v>
      </c>
      <c r="BC91" s="171">
        <v>2023</v>
      </c>
      <c r="BD91" s="171"/>
      <c r="BE91" s="168" t="s">
        <v>611</v>
      </c>
      <c r="BF91" s="168" t="s">
        <v>1362</v>
      </c>
      <c r="BG91" s="168" t="s">
        <v>1960</v>
      </c>
      <c r="BH91" s="168">
        <v>7</v>
      </c>
      <c r="BI91" s="168" t="s">
        <v>1229</v>
      </c>
      <c r="BJ91" s="171">
        <v>2022</v>
      </c>
    </row>
    <row r="92" spans="1:75">
      <c r="A92" s="993"/>
      <c r="AR92" s="171" t="s">
        <v>463</v>
      </c>
      <c r="AS92" s="171" t="s">
        <v>1513</v>
      </c>
      <c r="AT92" s="171" t="s">
        <v>1975</v>
      </c>
      <c r="AU92" s="484" t="s">
        <v>165</v>
      </c>
      <c r="AV92" s="171">
        <v>2024</v>
      </c>
      <c r="AW92" s="171"/>
      <c r="AX92" s="168" t="s">
        <v>300</v>
      </c>
      <c r="AY92" s="168" t="s">
        <v>1591</v>
      </c>
      <c r="AZ92" s="168" t="s">
        <v>1977</v>
      </c>
      <c r="BA92" s="168" t="s">
        <v>339</v>
      </c>
      <c r="BB92" s="168" t="s">
        <v>2142</v>
      </c>
      <c r="BC92" s="171">
        <v>2023</v>
      </c>
      <c r="BE92" s="168" t="s">
        <v>1139</v>
      </c>
      <c r="BF92" s="168" t="s">
        <v>1665</v>
      </c>
      <c r="BG92" s="168" t="s">
        <v>1956</v>
      </c>
      <c r="BH92" s="168">
        <v>7</v>
      </c>
      <c r="BI92" s="168" t="s">
        <v>1229</v>
      </c>
      <c r="BJ92" s="171">
        <v>2022</v>
      </c>
      <c r="BK92" s="168"/>
    </row>
    <row r="93" spans="1:75">
      <c r="A93" s="993"/>
      <c r="AR93" s="171" t="s">
        <v>266</v>
      </c>
      <c r="AS93" s="171" t="s">
        <v>1560</v>
      </c>
      <c r="AT93" s="171" t="s">
        <v>1955</v>
      </c>
      <c r="AU93" s="484" t="s">
        <v>650</v>
      </c>
      <c r="AV93" s="171">
        <v>2024</v>
      </c>
      <c r="AW93" s="171"/>
      <c r="AX93" s="168" t="s">
        <v>685</v>
      </c>
      <c r="AY93" s="168" t="s">
        <v>1526</v>
      </c>
      <c r="AZ93" s="168" t="s">
        <v>1977</v>
      </c>
      <c r="BA93" s="168" t="s">
        <v>1171</v>
      </c>
      <c r="BB93" s="168" t="s">
        <v>2142</v>
      </c>
      <c r="BC93" s="171">
        <v>2023</v>
      </c>
      <c r="BE93" s="168" t="s">
        <v>869</v>
      </c>
      <c r="BF93" s="168" t="s">
        <v>1343</v>
      </c>
      <c r="BG93" s="168" t="s">
        <v>2048</v>
      </c>
      <c r="BH93" s="168">
        <v>7</v>
      </c>
      <c r="BI93" s="168" t="s">
        <v>1200</v>
      </c>
      <c r="BJ93" s="171">
        <v>2022</v>
      </c>
      <c r="BK93" s="168"/>
    </row>
    <row r="94" spans="1:75">
      <c r="A94" s="993"/>
      <c r="AR94" s="171" t="s">
        <v>580</v>
      </c>
      <c r="AS94" s="171" t="s">
        <v>1429</v>
      </c>
      <c r="AT94" s="171" t="s">
        <v>1955</v>
      </c>
      <c r="AU94" s="484" t="s">
        <v>539</v>
      </c>
      <c r="AV94" s="171">
        <v>2024</v>
      </c>
      <c r="AW94" s="171"/>
      <c r="AX94" s="168" t="s">
        <v>1229</v>
      </c>
      <c r="AY94" s="168" t="s">
        <v>2145</v>
      </c>
      <c r="AZ94" s="168" t="s">
        <v>2043</v>
      </c>
      <c r="BA94" s="168" t="s">
        <v>1139</v>
      </c>
      <c r="BB94" s="168" t="s">
        <v>2142</v>
      </c>
      <c r="BC94" s="171">
        <v>2023</v>
      </c>
      <c r="BD94" s="171"/>
      <c r="BE94" s="168" t="s">
        <v>835</v>
      </c>
      <c r="BF94" s="168" t="s">
        <v>1883</v>
      </c>
      <c r="BG94" s="168" t="s">
        <v>2006</v>
      </c>
      <c r="BH94" s="168">
        <v>7</v>
      </c>
      <c r="BI94" s="168" t="s">
        <v>1025</v>
      </c>
      <c r="BJ94" s="171">
        <v>2022</v>
      </c>
    </row>
    <row r="95" spans="1:75">
      <c r="A95" s="993"/>
      <c r="AR95" s="171" t="s">
        <v>300</v>
      </c>
      <c r="AS95" s="171" t="s">
        <v>1315</v>
      </c>
      <c r="AT95" s="171" t="s">
        <v>1976</v>
      </c>
      <c r="AU95" s="484" t="s">
        <v>394</v>
      </c>
      <c r="AV95" s="171">
        <v>2024</v>
      </c>
      <c r="AW95" s="171"/>
      <c r="AX95" s="175" t="s">
        <v>226</v>
      </c>
      <c r="AY95" s="175" t="s">
        <v>1482</v>
      </c>
      <c r="AZ95" s="175" t="s">
        <v>2021</v>
      </c>
      <c r="BA95" s="175" t="s">
        <v>300</v>
      </c>
      <c r="BB95" s="175" t="s">
        <v>2142</v>
      </c>
      <c r="BC95" s="173">
        <v>2023</v>
      </c>
      <c r="BD95" s="171"/>
      <c r="BE95" s="168" t="s">
        <v>1229</v>
      </c>
      <c r="BF95" s="168" t="s">
        <v>2067</v>
      </c>
      <c r="BG95" s="168" t="s">
        <v>2006</v>
      </c>
      <c r="BH95" s="168">
        <v>7</v>
      </c>
      <c r="BI95" s="168" t="s">
        <v>1062</v>
      </c>
      <c r="BJ95" s="171">
        <v>2022</v>
      </c>
    </row>
    <row r="96" spans="1:75">
      <c r="A96" s="993"/>
      <c r="AR96" s="171" t="s">
        <v>835</v>
      </c>
      <c r="AS96" s="171" t="s">
        <v>2146</v>
      </c>
      <c r="AT96" s="171" t="s">
        <v>1976</v>
      </c>
      <c r="AU96" s="484" t="s">
        <v>770</v>
      </c>
      <c r="AV96" s="171">
        <v>2024</v>
      </c>
      <c r="AW96" s="171"/>
      <c r="AX96" s="171" t="s">
        <v>300</v>
      </c>
      <c r="AY96" s="171" t="s">
        <v>1315</v>
      </c>
      <c r="AZ96" s="171" t="s">
        <v>1958</v>
      </c>
      <c r="BA96" s="171" t="s">
        <v>463</v>
      </c>
      <c r="BB96" s="171" t="s">
        <v>2142</v>
      </c>
      <c r="BC96" s="171">
        <v>2024</v>
      </c>
      <c r="BD96" s="171"/>
      <c r="BE96" s="168" t="s">
        <v>1200</v>
      </c>
      <c r="BF96" s="168" t="s">
        <v>1671</v>
      </c>
      <c r="BG96" s="168" t="s">
        <v>1969</v>
      </c>
      <c r="BH96" s="168">
        <v>7</v>
      </c>
      <c r="BI96" s="168" t="s">
        <v>1025</v>
      </c>
      <c r="BJ96" s="171">
        <v>2022</v>
      </c>
    </row>
    <row r="97" spans="1:63">
      <c r="A97" s="993"/>
      <c r="AR97" s="171" t="s">
        <v>1229</v>
      </c>
      <c r="AS97" s="171" t="s">
        <v>1496</v>
      </c>
      <c r="AT97" s="171" t="s">
        <v>1976</v>
      </c>
      <c r="AU97" s="484" t="s">
        <v>1139</v>
      </c>
      <c r="AV97" s="171">
        <v>2024</v>
      </c>
      <c r="AW97" s="171"/>
      <c r="AX97" s="171" t="s">
        <v>650</v>
      </c>
      <c r="AY97" s="171" t="s">
        <v>1422</v>
      </c>
      <c r="AZ97" s="171" t="s">
        <v>1956</v>
      </c>
      <c r="BA97" s="171" t="s">
        <v>580</v>
      </c>
      <c r="BB97" s="171" t="s">
        <v>2142</v>
      </c>
      <c r="BC97" s="171">
        <v>2024</v>
      </c>
      <c r="BD97" s="171"/>
      <c r="BE97" s="168" t="s">
        <v>1171</v>
      </c>
      <c r="BF97" s="168" t="s">
        <v>1668</v>
      </c>
      <c r="BG97" s="168" t="s">
        <v>2037</v>
      </c>
      <c r="BH97" s="168">
        <v>7</v>
      </c>
      <c r="BI97" s="168" t="s">
        <v>903</v>
      </c>
      <c r="BJ97" s="171">
        <v>2022</v>
      </c>
      <c r="BK97" s="168"/>
    </row>
    <row r="98" spans="1:63">
      <c r="A98" s="993"/>
      <c r="AR98" s="171" t="s">
        <v>463</v>
      </c>
      <c r="AS98" s="171" t="s">
        <v>1480</v>
      </c>
      <c r="AT98" s="171" t="s">
        <v>2015</v>
      </c>
      <c r="AU98" s="484" t="s">
        <v>339</v>
      </c>
      <c r="AV98" s="171">
        <v>2024</v>
      </c>
      <c r="AW98" s="171"/>
      <c r="AX98" s="171" t="s">
        <v>903</v>
      </c>
      <c r="AY98" s="171" t="s">
        <v>2147</v>
      </c>
      <c r="AZ98" s="171" t="s">
        <v>2018</v>
      </c>
      <c r="BA98" s="171" t="s">
        <v>869</v>
      </c>
      <c r="BB98" s="171" t="s">
        <v>2142</v>
      </c>
      <c r="BC98" s="171">
        <v>2024</v>
      </c>
      <c r="BD98" s="171"/>
      <c r="BE98" s="168" t="s">
        <v>394</v>
      </c>
      <c r="BF98" s="168" t="s">
        <v>1682</v>
      </c>
      <c r="BG98" s="168" t="s">
        <v>1955</v>
      </c>
      <c r="BH98" s="168">
        <v>7</v>
      </c>
      <c r="BI98" s="168" t="s">
        <v>611</v>
      </c>
      <c r="BJ98" s="171">
        <v>2022</v>
      </c>
    </row>
    <row r="99" spans="1:63">
      <c r="A99" s="993"/>
      <c r="AR99" s="171" t="s">
        <v>1229</v>
      </c>
      <c r="AS99" s="171" t="s">
        <v>1520</v>
      </c>
      <c r="AT99" s="171" t="s">
        <v>1985</v>
      </c>
      <c r="AU99" s="484" t="s">
        <v>1200</v>
      </c>
      <c r="AV99" s="171">
        <v>2024</v>
      </c>
      <c r="AW99" s="171"/>
      <c r="AX99" s="171" t="s">
        <v>165</v>
      </c>
      <c r="AY99" s="171" t="s">
        <v>1593</v>
      </c>
      <c r="AZ99" s="171" t="s">
        <v>2005</v>
      </c>
      <c r="BA99" s="171" t="s">
        <v>339</v>
      </c>
      <c r="BB99" s="171" t="s">
        <v>2142</v>
      </c>
      <c r="BC99" s="171">
        <v>2024</v>
      </c>
      <c r="BD99" s="171"/>
      <c r="BE99" s="168" t="s">
        <v>770</v>
      </c>
      <c r="BF99" s="168" t="s">
        <v>1670</v>
      </c>
      <c r="BG99" s="168" t="s">
        <v>1976</v>
      </c>
      <c r="BH99" s="168">
        <v>7</v>
      </c>
      <c r="BI99" s="168" t="s">
        <v>835</v>
      </c>
      <c r="BJ99" s="171">
        <v>2022</v>
      </c>
      <c r="BK99" s="168"/>
    </row>
    <row r="100" spans="1:63">
      <c r="A100" s="993"/>
      <c r="AR100" s="171" t="s">
        <v>611</v>
      </c>
      <c r="AS100" s="171" t="s">
        <v>1601</v>
      </c>
      <c r="AT100" s="171" t="s">
        <v>2043</v>
      </c>
      <c r="AU100" s="484" t="s">
        <v>650</v>
      </c>
      <c r="AV100" s="171">
        <v>2024</v>
      </c>
      <c r="AW100" s="171"/>
      <c r="AX100" s="171" t="s">
        <v>1096</v>
      </c>
      <c r="AY100" s="171" t="s">
        <v>1386</v>
      </c>
      <c r="AZ100" s="171" t="s">
        <v>2017</v>
      </c>
      <c r="BA100" s="171" t="s">
        <v>903</v>
      </c>
      <c r="BB100" s="171" t="s">
        <v>2142</v>
      </c>
      <c r="BC100" s="171">
        <v>2024</v>
      </c>
      <c r="BD100" s="171"/>
      <c r="BE100" s="168" t="s">
        <v>990</v>
      </c>
      <c r="BF100" s="168" t="s">
        <v>1698</v>
      </c>
      <c r="BG100" s="168" t="s">
        <v>2005</v>
      </c>
      <c r="BH100" s="168">
        <v>7</v>
      </c>
      <c r="BI100" s="168" t="s">
        <v>1062</v>
      </c>
      <c r="BJ100" s="171">
        <v>2022</v>
      </c>
    </row>
    <row r="101" spans="1:63">
      <c r="A101" s="993"/>
      <c r="AR101" s="168" t="s">
        <v>611</v>
      </c>
      <c r="AS101" s="168" t="s">
        <v>2148</v>
      </c>
      <c r="AT101" s="168" t="s">
        <v>2027</v>
      </c>
      <c r="AU101" s="176" t="s">
        <v>650</v>
      </c>
      <c r="AV101" s="171">
        <v>2024</v>
      </c>
      <c r="AW101" s="171"/>
      <c r="AX101" s="549" t="s">
        <v>165</v>
      </c>
      <c r="AY101" s="550" t="s">
        <v>1506</v>
      </c>
      <c r="AZ101" s="550" t="s">
        <v>2149</v>
      </c>
      <c r="BA101" s="550" t="s">
        <v>1171</v>
      </c>
      <c r="BB101" s="550" t="s">
        <v>2142</v>
      </c>
      <c r="BC101" s="550">
        <v>2024</v>
      </c>
      <c r="BD101" s="171"/>
      <c r="BE101" s="168" t="s">
        <v>770</v>
      </c>
      <c r="BF101" s="168" t="s">
        <v>1333</v>
      </c>
      <c r="BG101" s="168" t="s">
        <v>1995</v>
      </c>
      <c r="BH101" s="168">
        <v>7</v>
      </c>
      <c r="BI101" s="168" t="s">
        <v>1062</v>
      </c>
      <c r="BJ101" s="171">
        <v>2022</v>
      </c>
    </row>
    <row r="102" spans="1:63">
      <c r="A102" s="993"/>
      <c r="AX102" s="168" t="s">
        <v>300</v>
      </c>
      <c r="AY102" s="168" t="s">
        <v>1617</v>
      </c>
      <c r="AZ102" s="168" t="s">
        <v>2047</v>
      </c>
      <c r="BA102" s="168" t="s">
        <v>226</v>
      </c>
      <c r="BB102" s="168" t="s">
        <v>2150</v>
      </c>
      <c r="BC102" s="171">
        <v>2022</v>
      </c>
      <c r="BD102" s="171"/>
      <c r="BE102" s="168" t="s">
        <v>1139</v>
      </c>
      <c r="BF102" s="168" t="s">
        <v>1696</v>
      </c>
      <c r="BG102" s="168" t="s">
        <v>1993</v>
      </c>
      <c r="BH102" s="168">
        <v>7</v>
      </c>
      <c r="BI102" s="168" t="s">
        <v>1200</v>
      </c>
      <c r="BJ102" s="171">
        <v>2022</v>
      </c>
      <c r="BK102" s="168"/>
    </row>
    <row r="103" spans="1:63">
      <c r="A103" s="993"/>
      <c r="AX103" s="168" t="s">
        <v>835</v>
      </c>
      <c r="AY103" s="168" t="s">
        <v>1555</v>
      </c>
      <c r="AZ103" s="168" t="s">
        <v>1968</v>
      </c>
      <c r="BA103" s="168" t="s">
        <v>1096</v>
      </c>
      <c r="BB103" s="168" t="s">
        <v>2150</v>
      </c>
      <c r="BC103" s="171">
        <v>2022</v>
      </c>
      <c r="BD103" s="171"/>
      <c r="BE103" s="168" t="s">
        <v>300</v>
      </c>
      <c r="BF103" s="168" t="s">
        <v>1739</v>
      </c>
      <c r="BG103" s="168" t="s">
        <v>1960</v>
      </c>
      <c r="BH103" s="168">
        <v>7</v>
      </c>
      <c r="BI103" s="168" t="s">
        <v>226</v>
      </c>
      <c r="BJ103" s="171">
        <v>2023</v>
      </c>
      <c r="BK103" s="168"/>
    </row>
    <row r="104" spans="1:63">
      <c r="A104" s="993"/>
      <c r="AX104" s="168" t="s">
        <v>903</v>
      </c>
      <c r="AY104" s="168" t="s">
        <v>1826</v>
      </c>
      <c r="AZ104" s="168" t="s">
        <v>2018</v>
      </c>
      <c r="BA104" s="168" t="s">
        <v>952</v>
      </c>
      <c r="BB104" s="168" t="s">
        <v>2150</v>
      </c>
      <c r="BC104" s="171">
        <v>2022</v>
      </c>
      <c r="BD104" s="171"/>
      <c r="BE104" s="168" t="s">
        <v>1062</v>
      </c>
      <c r="BF104" s="168" t="s">
        <v>1683</v>
      </c>
      <c r="BG104" s="168" t="s">
        <v>1960</v>
      </c>
      <c r="BH104" s="168">
        <v>7</v>
      </c>
      <c r="BI104" s="168" t="s">
        <v>990</v>
      </c>
      <c r="BJ104" s="171">
        <v>2023</v>
      </c>
      <c r="BK104" s="168"/>
    </row>
    <row r="105" spans="1:63">
      <c r="A105" s="993"/>
      <c r="AX105" s="168" t="s">
        <v>1229</v>
      </c>
      <c r="AY105" s="168" t="s">
        <v>1520</v>
      </c>
      <c r="AZ105" s="168" t="s">
        <v>1986</v>
      </c>
      <c r="BA105" s="168" t="s">
        <v>869</v>
      </c>
      <c r="BB105" s="168" t="s">
        <v>2150</v>
      </c>
      <c r="BC105" s="171">
        <v>2022</v>
      </c>
      <c r="BD105" s="171"/>
      <c r="BE105" s="168" t="s">
        <v>539</v>
      </c>
      <c r="BF105" s="168" t="s">
        <v>1603</v>
      </c>
      <c r="BG105" s="168" t="s">
        <v>1980</v>
      </c>
      <c r="BH105" s="168">
        <v>7</v>
      </c>
      <c r="BI105" s="168" t="s">
        <v>611</v>
      </c>
      <c r="BJ105" s="171">
        <v>2023</v>
      </c>
    </row>
    <row r="106" spans="1:63">
      <c r="A106" s="993"/>
      <c r="AX106" s="168" t="s">
        <v>394</v>
      </c>
      <c r="AY106" s="168" t="s">
        <v>1509</v>
      </c>
      <c r="AZ106" s="168" t="s">
        <v>2004</v>
      </c>
      <c r="BA106" s="168" t="s">
        <v>339</v>
      </c>
      <c r="BB106" s="168" t="s">
        <v>2150</v>
      </c>
      <c r="BC106" s="171">
        <v>2022</v>
      </c>
      <c r="BD106" s="171"/>
      <c r="BE106" s="168" t="s">
        <v>685</v>
      </c>
      <c r="BF106" s="168" t="s">
        <v>1340</v>
      </c>
      <c r="BG106" s="168" t="s">
        <v>1975</v>
      </c>
      <c r="BH106" s="168">
        <v>7</v>
      </c>
      <c r="BI106" s="168" t="s">
        <v>394</v>
      </c>
      <c r="BJ106" s="171">
        <v>2023</v>
      </c>
      <c r="BK106" s="168"/>
    </row>
    <row r="107" spans="1:63">
      <c r="A107" s="993"/>
      <c r="AX107" s="168" t="s">
        <v>1062</v>
      </c>
      <c r="AY107" s="168" t="s">
        <v>1516</v>
      </c>
      <c r="AZ107" s="168" t="s">
        <v>1967</v>
      </c>
      <c r="BA107" s="168" t="s">
        <v>1229</v>
      </c>
      <c r="BB107" s="168" t="s">
        <v>2150</v>
      </c>
      <c r="BC107" s="171">
        <v>2022</v>
      </c>
      <c r="BD107" s="171"/>
      <c r="BE107" s="168" t="s">
        <v>717</v>
      </c>
      <c r="BF107" s="168" t="s">
        <v>2151</v>
      </c>
      <c r="BG107" s="168" t="s">
        <v>1955</v>
      </c>
      <c r="BH107" s="168">
        <v>7</v>
      </c>
      <c r="BI107" s="168" t="s">
        <v>463</v>
      </c>
      <c r="BJ107" s="171">
        <v>2023</v>
      </c>
    </row>
    <row r="108" spans="1:63">
      <c r="A108" s="993"/>
      <c r="AX108" s="168" t="s">
        <v>1139</v>
      </c>
      <c r="AY108" s="168" t="s">
        <v>1653</v>
      </c>
      <c r="AZ108" s="168" t="s">
        <v>1975</v>
      </c>
      <c r="BA108" s="168" t="s">
        <v>903</v>
      </c>
      <c r="BB108" s="168" t="s">
        <v>2150</v>
      </c>
      <c r="BC108" s="171">
        <v>2022</v>
      </c>
      <c r="BD108" s="171"/>
      <c r="BE108" s="168" t="s">
        <v>1139</v>
      </c>
      <c r="BF108" s="168" t="s">
        <v>1600</v>
      </c>
      <c r="BG108" s="168" t="s">
        <v>2015</v>
      </c>
      <c r="BH108" s="168">
        <v>7</v>
      </c>
      <c r="BI108" s="168" t="s">
        <v>717</v>
      </c>
      <c r="BJ108" s="171">
        <v>2023</v>
      </c>
      <c r="BK108" s="168"/>
    </row>
    <row r="109" spans="1:63">
      <c r="A109" s="993"/>
      <c r="AX109" s="168" t="s">
        <v>266</v>
      </c>
      <c r="AY109" s="168" t="s">
        <v>1528</v>
      </c>
      <c r="AZ109" s="168" t="s">
        <v>1976</v>
      </c>
      <c r="BA109" s="168" t="s">
        <v>226</v>
      </c>
      <c r="BB109" s="168" t="s">
        <v>2150</v>
      </c>
      <c r="BC109" s="171">
        <v>2022</v>
      </c>
      <c r="BD109" s="171"/>
      <c r="BE109" s="168" t="s">
        <v>804</v>
      </c>
      <c r="BF109" s="168" t="s">
        <v>1337</v>
      </c>
      <c r="BG109" s="168" t="s">
        <v>1993</v>
      </c>
      <c r="BH109" s="168">
        <v>7</v>
      </c>
      <c r="BI109" s="168" t="s">
        <v>869</v>
      </c>
      <c r="BJ109" s="171">
        <v>2023</v>
      </c>
    </row>
    <row r="110" spans="1:63">
      <c r="A110" s="993"/>
      <c r="AX110" s="175" t="s">
        <v>770</v>
      </c>
      <c r="AY110" s="175" t="s">
        <v>1542</v>
      </c>
      <c r="AZ110" s="175" t="s">
        <v>2038</v>
      </c>
      <c r="BA110" s="175" t="s">
        <v>1062</v>
      </c>
      <c r="BB110" s="175" t="s">
        <v>2150</v>
      </c>
      <c r="BC110" s="171">
        <v>2022</v>
      </c>
      <c r="BD110" s="171"/>
      <c r="BE110" s="183" t="s">
        <v>1139</v>
      </c>
      <c r="BF110" s="183" t="s">
        <v>1600</v>
      </c>
      <c r="BG110" s="183" t="s">
        <v>2127</v>
      </c>
      <c r="BH110" s="183">
        <v>7</v>
      </c>
      <c r="BI110" s="183" t="s">
        <v>266</v>
      </c>
      <c r="BJ110" s="181">
        <v>2023</v>
      </c>
    </row>
    <row r="111" spans="1:63">
      <c r="A111" s="993"/>
      <c r="AX111" s="175" t="s">
        <v>1139</v>
      </c>
      <c r="AY111" s="175" t="s">
        <v>1645</v>
      </c>
      <c r="AZ111" s="175" t="s">
        <v>2152</v>
      </c>
      <c r="BA111" s="175" t="s">
        <v>770</v>
      </c>
      <c r="BB111" s="175" t="s">
        <v>2150</v>
      </c>
      <c r="BC111" s="171">
        <v>2022</v>
      </c>
      <c r="BE111" s="168" t="s">
        <v>611</v>
      </c>
      <c r="BF111" s="168" t="s">
        <v>2153</v>
      </c>
      <c r="BG111" s="168" t="s">
        <v>1959</v>
      </c>
      <c r="BH111" s="168">
        <v>7</v>
      </c>
      <c r="BI111" s="168" t="s">
        <v>1229</v>
      </c>
      <c r="BJ111" s="168">
        <v>2024</v>
      </c>
      <c r="BK111" s="168"/>
    </row>
    <row r="112" spans="1:63">
      <c r="A112" s="993"/>
      <c r="AX112" s="168" t="s">
        <v>463</v>
      </c>
      <c r="AY112" s="168" t="s">
        <v>1480</v>
      </c>
      <c r="AZ112" s="168" t="s">
        <v>1968</v>
      </c>
      <c r="BA112" s="168" t="s">
        <v>502</v>
      </c>
      <c r="BB112" s="168" t="s">
        <v>2150</v>
      </c>
      <c r="BC112" s="171">
        <v>2023</v>
      </c>
      <c r="BE112" s="168" t="s">
        <v>990</v>
      </c>
      <c r="BF112" s="168" t="s">
        <v>1736</v>
      </c>
      <c r="BG112" s="168" t="s">
        <v>1978</v>
      </c>
      <c r="BH112" s="168">
        <v>8</v>
      </c>
      <c r="BI112" s="168" t="s">
        <v>539</v>
      </c>
      <c r="BJ112" s="171">
        <v>2022</v>
      </c>
    </row>
    <row r="113" spans="1:63">
      <c r="A113" s="993"/>
      <c r="AX113" s="168" t="s">
        <v>1025</v>
      </c>
      <c r="AY113" s="168" t="s">
        <v>2154</v>
      </c>
      <c r="AZ113" s="168" t="s">
        <v>1981</v>
      </c>
      <c r="BA113" s="168" t="s">
        <v>1062</v>
      </c>
      <c r="BB113" s="168" t="s">
        <v>2150</v>
      </c>
      <c r="BC113" s="171">
        <v>2023</v>
      </c>
      <c r="BD113" s="171"/>
      <c r="BE113" s="168" t="s">
        <v>165</v>
      </c>
      <c r="BF113" s="168" t="s">
        <v>1667</v>
      </c>
      <c r="BG113" s="168" t="s">
        <v>2003</v>
      </c>
      <c r="BH113" s="168">
        <v>8</v>
      </c>
      <c r="BI113" s="168" t="s">
        <v>611</v>
      </c>
      <c r="BJ113" s="171">
        <v>2022</v>
      </c>
      <c r="BK113" s="168"/>
    </row>
    <row r="114" spans="1:63">
      <c r="A114" s="993"/>
      <c r="AX114" s="168" t="s">
        <v>226</v>
      </c>
      <c r="AY114" s="168" t="s">
        <v>1321</v>
      </c>
      <c r="AZ114" s="168" t="s">
        <v>1952</v>
      </c>
      <c r="BA114" s="168" t="s">
        <v>717</v>
      </c>
      <c r="BB114" s="168" t="s">
        <v>2150</v>
      </c>
      <c r="BC114" s="171">
        <v>2023</v>
      </c>
      <c r="BE114" s="168" t="s">
        <v>339</v>
      </c>
      <c r="BF114" s="168" t="s">
        <v>1323</v>
      </c>
      <c r="BG114" s="168" t="s">
        <v>1995</v>
      </c>
      <c r="BH114" s="168">
        <v>8</v>
      </c>
      <c r="BI114" s="168" t="s">
        <v>165</v>
      </c>
      <c r="BJ114" s="171">
        <v>2022</v>
      </c>
      <c r="BK114" s="168"/>
    </row>
    <row r="115" spans="1:63">
      <c r="A115" s="993"/>
      <c r="AX115" s="168" t="s">
        <v>394</v>
      </c>
      <c r="AY115" s="168" t="s">
        <v>2138</v>
      </c>
      <c r="AZ115" s="168" t="s">
        <v>2060</v>
      </c>
      <c r="BA115" s="168" t="s">
        <v>1025</v>
      </c>
      <c r="BB115" s="168" t="s">
        <v>2150</v>
      </c>
      <c r="BC115" s="171">
        <v>2023</v>
      </c>
      <c r="BE115" s="168" t="s">
        <v>770</v>
      </c>
      <c r="BF115" s="168" t="s">
        <v>1886</v>
      </c>
      <c r="BG115" s="168" t="s">
        <v>2017</v>
      </c>
      <c r="BH115" s="168">
        <v>8</v>
      </c>
      <c r="BI115" s="168" t="s">
        <v>903</v>
      </c>
      <c r="BJ115" s="171">
        <v>2022</v>
      </c>
      <c r="BK115" s="168"/>
    </row>
    <row r="116" spans="1:63">
      <c r="A116" s="993"/>
      <c r="AX116" s="168" t="s">
        <v>539</v>
      </c>
      <c r="AY116" s="168" t="s">
        <v>1357</v>
      </c>
      <c r="AZ116" s="168" t="s">
        <v>2032</v>
      </c>
      <c r="BA116" s="168" t="s">
        <v>685</v>
      </c>
      <c r="BB116" s="168" t="s">
        <v>2150</v>
      </c>
      <c r="BC116" s="171">
        <v>2023</v>
      </c>
      <c r="BD116" s="171"/>
      <c r="BE116" s="168" t="s">
        <v>165</v>
      </c>
      <c r="BF116" s="168" t="s">
        <v>1667</v>
      </c>
      <c r="BG116" s="168" t="s">
        <v>2047</v>
      </c>
      <c r="BH116" s="168">
        <v>8</v>
      </c>
      <c r="BI116" s="168" t="s">
        <v>266</v>
      </c>
      <c r="BJ116" s="171">
        <v>2023</v>
      </c>
      <c r="BK116" s="168"/>
    </row>
    <row r="117" spans="1:63">
      <c r="A117" s="993"/>
      <c r="AX117" s="168" t="s">
        <v>1025</v>
      </c>
      <c r="AY117" s="168" t="s">
        <v>1361</v>
      </c>
      <c r="AZ117" s="168" t="s">
        <v>2032</v>
      </c>
      <c r="BA117" s="168" t="s">
        <v>394</v>
      </c>
      <c r="BB117" s="168" t="s">
        <v>2150</v>
      </c>
      <c r="BC117" s="171">
        <v>2023</v>
      </c>
      <c r="BD117" s="171"/>
      <c r="BE117" s="168" t="s">
        <v>165</v>
      </c>
      <c r="BF117" s="168" t="s">
        <v>1790</v>
      </c>
      <c r="BG117" s="168" t="s">
        <v>2004</v>
      </c>
      <c r="BH117" s="168">
        <v>8</v>
      </c>
      <c r="BI117" s="168" t="s">
        <v>685</v>
      </c>
      <c r="BJ117" s="171">
        <v>2023</v>
      </c>
      <c r="BK117" s="168"/>
    </row>
    <row r="118" spans="1:63">
      <c r="A118" s="993"/>
      <c r="AX118" s="168" t="s">
        <v>770</v>
      </c>
      <c r="AY118" s="168" t="s">
        <v>1443</v>
      </c>
      <c r="AZ118" s="168" t="s">
        <v>1955</v>
      </c>
      <c r="BA118" s="168" t="s">
        <v>266</v>
      </c>
      <c r="BB118" s="168" t="s">
        <v>2142</v>
      </c>
      <c r="BC118" s="171">
        <v>2023</v>
      </c>
      <c r="BD118" s="171"/>
      <c r="BE118" s="168" t="s">
        <v>835</v>
      </c>
      <c r="BF118" s="171" t="s">
        <v>1318</v>
      </c>
      <c r="BG118" s="168" t="s">
        <v>2004</v>
      </c>
      <c r="BH118" s="168">
        <v>8</v>
      </c>
      <c r="BI118" s="168" t="s">
        <v>1200</v>
      </c>
      <c r="BJ118" s="168">
        <v>2023</v>
      </c>
      <c r="BK118" s="168"/>
    </row>
    <row r="119" spans="1:63">
      <c r="A119" s="993"/>
      <c r="AX119" s="168" t="s">
        <v>226</v>
      </c>
      <c r="AY119" s="168" t="s">
        <v>1338</v>
      </c>
      <c r="AZ119" s="168" t="s">
        <v>1976</v>
      </c>
      <c r="BA119" s="168" t="s">
        <v>165</v>
      </c>
      <c r="BB119" s="168" t="s">
        <v>2150</v>
      </c>
      <c r="BC119" s="171">
        <v>2023</v>
      </c>
      <c r="BE119" s="168" t="s">
        <v>580</v>
      </c>
      <c r="BF119" s="168" t="s">
        <v>1327</v>
      </c>
      <c r="BG119" s="168" t="s">
        <v>2029</v>
      </c>
      <c r="BH119" s="168">
        <v>8</v>
      </c>
      <c r="BI119" s="168" t="s">
        <v>502</v>
      </c>
      <c r="BJ119" s="171">
        <v>2023</v>
      </c>
    </row>
    <row r="120" spans="1:63">
      <c r="A120" s="993"/>
      <c r="AX120" s="168" t="s">
        <v>835</v>
      </c>
      <c r="AY120" s="168" t="s">
        <v>1590</v>
      </c>
      <c r="AZ120" s="168" t="s">
        <v>1970</v>
      </c>
      <c r="BA120" s="168" t="s">
        <v>903</v>
      </c>
      <c r="BB120" s="168" t="s">
        <v>2150</v>
      </c>
      <c r="BC120" s="168">
        <v>2024</v>
      </c>
      <c r="BD120" s="1009"/>
      <c r="BE120" s="167" t="s">
        <v>869</v>
      </c>
      <c r="BF120" s="168" t="s">
        <v>1343</v>
      </c>
      <c r="BG120" s="168" t="s">
        <v>1952</v>
      </c>
      <c r="BH120" s="168">
        <v>8</v>
      </c>
      <c r="BI120" s="168" t="s">
        <v>1265</v>
      </c>
      <c r="BJ120" s="171">
        <v>2023</v>
      </c>
      <c r="BK120" s="168"/>
    </row>
    <row r="121" spans="1:63">
      <c r="A121" s="993"/>
      <c r="AX121" s="168" t="s">
        <v>1025</v>
      </c>
      <c r="AY121" s="168" t="s">
        <v>2154</v>
      </c>
      <c r="AZ121" s="168" t="s">
        <v>1960</v>
      </c>
      <c r="BA121" s="168" t="s">
        <v>1096</v>
      </c>
      <c r="BB121" s="168" t="s">
        <v>2150</v>
      </c>
      <c r="BC121" s="168">
        <v>2024</v>
      </c>
      <c r="BD121" s="171"/>
      <c r="BE121" s="168" t="s">
        <v>903</v>
      </c>
      <c r="BF121" s="168" t="s">
        <v>1347</v>
      </c>
      <c r="BG121" s="168" t="s">
        <v>2029</v>
      </c>
      <c r="BH121" s="168">
        <v>8</v>
      </c>
      <c r="BI121" s="168" t="s">
        <v>1229</v>
      </c>
      <c r="BJ121" s="171">
        <v>2023</v>
      </c>
      <c r="BK121" s="168"/>
    </row>
    <row r="122" spans="1:63">
      <c r="A122" s="993"/>
      <c r="AX122" s="168" t="s">
        <v>580</v>
      </c>
      <c r="AY122" s="168" t="s">
        <v>2155</v>
      </c>
      <c r="AZ122" s="168" t="s">
        <v>1981</v>
      </c>
      <c r="BA122" s="168" t="s">
        <v>685</v>
      </c>
      <c r="BB122" s="168" t="s">
        <v>2150</v>
      </c>
      <c r="BC122" s="168">
        <v>2024</v>
      </c>
      <c r="BD122" s="1009"/>
      <c r="BE122" s="167" t="s">
        <v>1139</v>
      </c>
      <c r="BF122" s="168" t="s">
        <v>1665</v>
      </c>
      <c r="BG122" s="168" t="s">
        <v>2017</v>
      </c>
      <c r="BH122" s="168">
        <v>8</v>
      </c>
      <c r="BI122" s="168" t="s">
        <v>717</v>
      </c>
      <c r="BJ122" s="171">
        <v>2023</v>
      </c>
      <c r="BK122" s="168"/>
    </row>
    <row r="123" spans="1:63">
      <c r="A123" s="993"/>
      <c r="AX123" s="171" t="s">
        <v>1096</v>
      </c>
      <c r="AY123" s="171" t="s">
        <v>1508</v>
      </c>
      <c r="AZ123" s="171" t="s">
        <v>2018</v>
      </c>
      <c r="BA123" s="171" t="s">
        <v>952</v>
      </c>
      <c r="BB123" s="171" t="s">
        <v>2150</v>
      </c>
      <c r="BC123" s="171">
        <v>2024</v>
      </c>
      <c r="BE123" s="168" t="s">
        <v>1139</v>
      </c>
      <c r="BF123" s="168" t="s">
        <v>1696</v>
      </c>
      <c r="BG123" s="171" t="s">
        <v>1959</v>
      </c>
      <c r="BH123" s="168">
        <v>8</v>
      </c>
      <c r="BI123" s="168" t="s">
        <v>1200</v>
      </c>
      <c r="BJ123" s="168">
        <v>2024</v>
      </c>
      <c r="BK123" s="168"/>
    </row>
    <row r="124" spans="1:63">
      <c r="A124" s="993"/>
      <c r="AX124" s="171" t="s">
        <v>1096</v>
      </c>
      <c r="AY124" s="171" t="s">
        <v>1508</v>
      </c>
      <c r="AZ124" s="171" t="s">
        <v>1981</v>
      </c>
      <c r="BA124" s="171" t="s">
        <v>952</v>
      </c>
      <c r="BB124" s="171" t="s">
        <v>2150</v>
      </c>
      <c r="BC124" s="171">
        <v>2024</v>
      </c>
      <c r="BE124" s="171" t="s">
        <v>685</v>
      </c>
      <c r="BF124" s="171" t="s">
        <v>1579</v>
      </c>
      <c r="BG124" s="171" t="s">
        <v>1981</v>
      </c>
      <c r="BH124" s="171">
        <v>8</v>
      </c>
      <c r="BI124" s="171" t="s">
        <v>1200</v>
      </c>
      <c r="BJ124" s="171">
        <v>2024</v>
      </c>
    </row>
    <row r="125" spans="1:63">
      <c r="A125" s="993"/>
      <c r="AX125" s="171" t="s">
        <v>1171</v>
      </c>
      <c r="AY125" s="171" t="s">
        <v>1507</v>
      </c>
      <c r="AZ125" s="171" t="s">
        <v>2024</v>
      </c>
      <c r="BA125" s="171" t="s">
        <v>804</v>
      </c>
      <c r="BB125" s="171" t="s">
        <v>2150</v>
      </c>
      <c r="BC125" s="171">
        <v>2024</v>
      </c>
      <c r="BE125" s="171" t="s">
        <v>770</v>
      </c>
      <c r="BF125" s="171" t="s">
        <v>1694</v>
      </c>
      <c r="BG125" s="171" t="s">
        <v>1987</v>
      </c>
      <c r="BH125" s="171">
        <v>8</v>
      </c>
      <c r="BI125" s="171" t="s">
        <v>952</v>
      </c>
      <c r="BJ125" s="171">
        <v>2024</v>
      </c>
      <c r="BK125" s="168"/>
    </row>
    <row r="126" spans="1:63">
      <c r="A126" s="993"/>
      <c r="AX126" s="171" t="s">
        <v>502</v>
      </c>
      <c r="AY126" s="171" t="s">
        <v>1329</v>
      </c>
      <c r="AZ126" s="171" t="s">
        <v>2006</v>
      </c>
      <c r="BA126" s="171" t="s">
        <v>580</v>
      </c>
      <c r="BB126" s="171" t="s">
        <v>2150</v>
      </c>
      <c r="BC126" s="171">
        <v>2024</v>
      </c>
      <c r="BE126" s="171" t="s">
        <v>1265</v>
      </c>
      <c r="BF126" s="171" t="s">
        <v>1697</v>
      </c>
      <c r="BG126" s="171" t="s">
        <v>1978</v>
      </c>
      <c r="BH126" s="171">
        <v>8</v>
      </c>
      <c r="BI126" s="171" t="s">
        <v>990</v>
      </c>
      <c r="BJ126" s="171">
        <v>2024</v>
      </c>
    </row>
    <row r="127" spans="1:63">
      <c r="A127" s="993"/>
      <c r="AX127" s="171" t="s">
        <v>165</v>
      </c>
      <c r="AY127" s="171" t="s">
        <v>1500</v>
      </c>
      <c r="AZ127" s="171" t="s">
        <v>1997</v>
      </c>
      <c r="BA127" s="171" t="s">
        <v>611</v>
      </c>
      <c r="BB127" s="171" t="s">
        <v>2150</v>
      </c>
      <c r="BC127" s="171">
        <v>2024</v>
      </c>
      <c r="BE127" s="171" t="s">
        <v>903</v>
      </c>
      <c r="BF127" s="171" t="s">
        <v>1718</v>
      </c>
      <c r="BG127" s="171" t="s">
        <v>1967</v>
      </c>
      <c r="BH127" s="171">
        <v>8</v>
      </c>
      <c r="BI127" s="171" t="s">
        <v>990</v>
      </c>
      <c r="BJ127" s="171">
        <v>2024</v>
      </c>
      <c r="BK127" s="168"/>
    </row>
    <row r="128" spans="1:63">
      <c r="A128" s="993"/>
      <c r="AX128" s="171" t="s">
        <v>611</v>
      </c>
      <c r="AY128" s="171" t="s">
        <v>1551</v>
      </c>
      <c r="AZ128" s="171" t="s">
        <v>2032</v>
      </c>
      <c r="BA128" s="171" t="s">
        <v>226</v>
      </c>
      <c r="BB128" s="171" t="s">
        <v>2150</v>
      </c>
      <c r="BC128" s="171">
        <v>2024</v>
      </c>
      <c r="BE128" s="171" t="s">
        <v>1025</v>
      </c>
      <c r="BF128" s="171" t="s">
        <v>1351</v>
      </c>
      <c r="BG128" s="171" t="s">
        <v>1975</v>
      </c>
      <c r="BH128" s="171">
        <v>8</v>
      </c>
      <c r="BI128" s="171" t="s">
        <v>1229</v>
      </c>
      <c r="BJ128" s="171">
        <v>2024</v>
      </c>
    </row>
    <row r="129" spans="1:63">
      <c r="A129" s="993"/>
      <c r="AX129" s="171" t="s">
        <v>266</v>
      </c>
      <c r="AY129" s="171" t="s">
        <v>1466</v>
      </c>
      <c r="AZ129" s="171" t="s">
        <v>2032</v>
      </c>
      <c r="BA129" s="171" t="s">
        <v>463</v>
      </c>
      <c r="BB129" s="171" t="s">
        <v>2150</v>
      </c>
      <c r="BC129" s="171">
        <v>2024</v>
      </c>
      <c r="BE129" s="168" t="s">
        <v>952</v>
      </c>
      <c r="BF129" s="168" t="s">
        <v>1669</v>
      </c>
      <c r="BG129" s="168" t="s">
        <v>1981</v>
      </c>
      <c r="BH129" s="168">
        <v>9</v>
      </c>
      <c r="BI129" s="168" t="s">
        <v>903</v>
      </c>
      <c r="BJ129" s="171">
        <v>2022</v>
      </c>
    </row>
    <row r="130" spans="1:63">
      <c r="A130" s="993"/>
      <c r="AX130" s="171" t="s">
        <v>903</v>
      </c>
      <c r="AY130" s="171" t="s">
        <v>1449</v>
      </c>
      <c r="AZ130" s="171" t="s">
        <v>2037</v>
      </c>
      <c r="BA130" s="171" t="s">
        <v>1025</v>
      </c>
      <c r="BB130" s="171" t="s">
        <v>2150</v>
      </c>
      <c r="BC130" s="171">
        <v>2024</v>
      </c>
      <c r="BD130" s="171"/>
      <c r="BE130" s="168" t="s">
        <v>611</v>
      </c>
      <c r="BF130" s="168" t="s">
        <v>1675</v>
      </c>
      <c r="BG130" s="168" t="s">
        <v>1987</v>
      </c>
      <c r="BH130" s="168">
        <v>9</v>
      </c>
      <c r="BI130" s="168" t="s">
        <v>300</v>
      </c>
      <c r="BJ130" s="171">
        <v>2022</v>
      </c>
    </row>
    <row r="131" spans="1:63">
      <c r="A131" s="993"/>
      <c r="AX131" s="171" t="s">
        <v>770</v>
      </c>
      <c r="AY131" s="171" t="s">
        <v>2156</v>
      </c>
      <c r="AZ131" s="171" t="s">
        <v>2005</v>
      </c>
      <c r="BA131" s="171" t="s">
        <v>835</v>
      </c>
      <c r="BB131" s="171" t="s">
        <v>2150</v>
      </c>
      <c r="BC131" s="171">
        <v>2024</v>
      </c>
      <c r="BD131" s="171"/>
      <c r="BE131" s="168" t="s">
        <v>869</v>
      </c>
      <c r="BF131" s="168" t="s">
        <v>1324</v>
      </c>
      <c r="BG131" s="168" t="s">
        <v>2024</v>
      </c>
      <c r="BH131" s="168">
        <v>9</v>
      </c>
      <c r="BI131" s="168" t="s">
        <v>952</v>
      </c>
      <c r="BJ131" s="171">
        <v>2022</v>
      </c>
      <c r="BK131" s="168"/>
    </row>
    <row r="132" spans="1:63">
      <c r="A132" s="993"/>
      <c r="AX132" s="537" t="s">
        <v>1171</v>
      </c>
      <c r="AY132" s="537" t="s">
        <v>1355</v>
      </c>
      <c r="AZ132" s="537" t="s">
        <v>2038</v>
      </c>
      <c r="BA132" s="537" t="s">
        <v>770</v>
      </c>
      <c r="BB132" s="537" t="s">
        <v>2150</v>
      </c>
      <c r="BC132" s="537">
        <v>2024</v>
      </c>
      <c r="BD132" s="171"/>
      <c r="BE132" s="168" t="s">
        <v>339</v>
      </c>
      <c r="BF132" s="168" t="s">
        <v>1745</v>
      </c>
      <c r="BG132" s="168" t="s">
        <v>1967</v>
      </c>
      <c r="BH132" s="168">
        <v>9</v>
      </c>
      <c r="BI132" s="168" t="s">
        <v>903</v>
      </c>
      <c r="BJ132" s="171">
        <v>2022</v>
      </c>
      <c r="BK132" s="168"/>
    </row>
    <row r="133" spans="1:63">
      <c r="A133" s="993"/>
      <c r="AX133" s="537" t="s">
        <v>1171</v>
      </c>
      <c r="AY133" s="537" t="s">
        <v>1420</v>
      </c>
      <c r="AZ133" s="537" t="s">
        <v>1994</v>
      </c>
      <c r="BA133" s="537" t="s">
        <v>770</v>
      </c>
      <c r="BB133" s="537" t="s">
        <v>2150</v>
      </c>
      <c r="BC133" s="537">
        <v>2024</v>
      </c>
      <c r="BE133" s="168" t="s">
        <v>903</v>
      </c>
      <c r="BF133" s="168" t="s">
        <v>1901</v>
      </c>
      <c r="BG133" s="168" t="s">
        <v>2060</v>
      </c>
      <c r="BH133" s="168">
        <v>9</v>
      </c>
      <c r="BI133" s="168" t="s">
        <v>339</v>
      </c>
      <c r="BJ133" s="171">
        <v>2022</v>
      </c>
      <c r="BK133" s="168"/>
    </row>
    <row r="134" spans="1:63">
      <c r="A134" s="993"/>
      <c r="AX134" s="537" t="s">
        <v>770</v>
      </c>
      <c r="AY134" s="537" t="s">
        <v>2156</v>
      </c>
      <c r="AZ134" s="537" t="s">
        <v>2065</v>
      </c>
      <c r="BA134" s="537" t="s">
        <v>1171</v>
      </c>
      <c r="BB134" s="537" t="s">
        <v>2150</v>
      </c>
      <c r="BC134" s="537">
        <v>2024</v>
      </c>
      <c r="BE134" s="168" t="s">
        <v>339</v>
      </c>
      <c r="BF134" s="168" t="s">
        <v>1323</v>
      </c>
      <c r="BG134" s="168" t="s">
        <v>2032</v>
      </c>
      <c r="BH134" s="168">
        <v>9</v>
      </c>
      <c r="BI134" s="168" t="s">
        <v>539</v>
      </c>
      <c r="BJ134" s="171">
        <v>2022</v>
      </c>
    </row>
    <row r="135" spans="1:63">
      <c r="A135" s="993"/>
      <c r="AX135" s="168" t="s">
        <v>611</v>
      </c>
      <c r="AY135" s="168" t="s">
        <v>1567</v>
      </c>
      <c r="AZ135" s="168" t="s">
        <v>1992</v>
      </c>
      <c r="BA135" s="168" t="s">
        <v>650</v>
      </c>
      <c r="BB135" s="168" t="s">
        <v>2157</v>
      </c>
      <c r="BC135" s="171">
        <v>2023</v>
      </c>
      <c r="BE135" s="168" t="s">
        <v>463</v>
      </c>
      <c r="BF135" s="168" t="s">
        <v>2158</v>
      </c>
      <c r="BG135" s="168" t="s">
        <v>1977</v>
      </c>
      <c r="BH135" s="168">
        <v>9</v>
      </c>
      <c r="BI135" s="168" t="s">
        <v>502</v>
      </c>
      <c r="BJ135" s="171">
        <v>2022</v>
      </c>
      <c r="BK135" s="168"/>
    </row>
    <row r="136" spans="1:63">
      <c r="A136" s="993"/>
      <c r="AX136" s="168" t="s">
        <v>2035</v>
      </c>
      <c r="AY136" s="168" t="s">
        <v>1616</v>
      </c>
      <c r="AZ136" s="168" t="s">
        <v>1952</v>
      </c>
      <c r="BA136" s="168" t="s">
        <v>611</v>
      </c>
      <c r="BB136" s="168" t="s">
        <v>2159</v>
      </c>
      <c r="BC136" s="171">
        <v>2022</v>
      </c>
      <c r="BE136" s="168" t="s">
        <v>502</v>
      </c>
      <c r="BF136" s="168" t="s">
        <v>1734</v>
      </c>
      <c r="BG136" s="168" t="s">
        <v>1981</v>
      </c>
      <c r="BH136" s="168">
        <v>9</v>
      </c>
      <c r="BI136" s="168" t="s">
        <v>539</v>
      </c>
      <c r="BJ136" s="171">
        <v>2023</v>
      </c>
    </row>
    <row r="137" spans="1:63">
      <c r="A137" s="993"/>
      <c r="AX137" s="168" t="s">
        <v>869</v>
      </c>
      <c r="AY137" s="168" t="s">
        <v>1556</v>
      </c>
      <c r="AZ137" s="168" t="s">
        <v>2005</v>
      </c>
      <c r="BA137" s="168" t="s">
        <v>770</v>
      </c>
      <c r="BB137" s="168" t="s">
        <v>2159</v>
      </c>
      <c r="BC137" s="171">
        <v>2023</v>
      </c>
      <c r="BD137" s="171"/>
      <c r="BE137" s="168" t="s">
        <v>1171</v>
      </c>
      <c r="BF137" s="168" t="s">
        <v>1579</v>
      </c>
      <c r="BG137" s="168" t="s">
        <v>2024</v>
      </c>
      <c r="BH137" s="168">
        <v>9</v>
      </c>
      <c r="BI137" s="168" t="s">
        <v>804</v>
      </c>
      <c r="BJ137" s="171">
        <v>2023</v>
      </c>
    </row>
    <row r="138" spans="1:63">
      <c r="A138" s="993"/>
      <c r="AX138" s="168" t="s">
        <v>650</v>
      </c>
      <c r="AY138" s="168" t="s">
        <v>2160</v>
      </c>
      <c r="AZ138" s="168" t="s">
        <v>2015</v>
      </c>
      <c r="BA138" s="168" t="s">
        <v>685</v>
      </c>
      <c r="BB138" s="168" t="s">
        <v>2159</v>
      </c>
      <c r="BC138" s="171">
        <v>2023</v>
      </c>
      <c r="BE138" s="168" t="s">
        <v>539</v>
      </c>
      <c r="BF138" s="168" t="s">
        <v>1603</v>
      </c>
      <c r="BG138" s="168" t="s">
        <v>2006</v>
      </c>
      <c r="BH138" s="168">
        <v>9</v>
      </c>
      <c r="BI138" s="168" t="s">
        <v>650</v>
      </c>
      <c r="BJ138" s="171">
        <v>2023</v>
      </c>
    </row>
    <row r="139" spans="1:63">
      <c r="A139" s="993"/>
      <c r="AX139" s="171" t="s">
        <v>869</v>
      </c>
      <c r="AY139" s="171" t="s">
        <v>1556</v>
      </c>
      <c r="AZ139" s="171" t="s">
        <v>1952</v>
      </c>
      <c r="BA139" s="171" t="s">
        <v>1265</v>
      </c>
      <c r="BB139" s="171" t="s">
        <v>2159</v>
      </c>
      <c r="BC139" s="171">
        <v>2024</v>
      </c>
      <c r="BE139" s="168" t="s">
        <v>1025</v>
      </c>
      <c r="BF139" s="168" t="s">
        <v>1351</v>
      </c>
      <c r="BG139" s="168" t="s">
        <v>2029</v>
      </c>
      <c r="BH139" s="168">
        <v>9</v>
      </c>
      <c r="BI139" s="168" t="s">
        <v>770</v>
      </c>
      <c r="BJ139" s="171">
        <v>2023</v>
      </c>
    </row>
    <row r="140" spans="1:63">
      <c r="A140" s="993"/>
      <c r="AX140" s="537" t="s">
        <v>770</v>
      </c>
      <c r="AY140" s="537" t="s">
        <v>1545</v>
      </c>
      <c r="AZ140" s="537" t="s">
        <v>2100</v>
      </c>
      <c r="BA140" s="537" t="s">
        <v>1171</v>
      </c>
      <c r="BB140" s="537" t="s">
        <v>2159</v>
      </c>
      <c r="BC140" s="537">
        <v>2024</v>
      </c>
      <c r="BE140" s="168" t="s">
        <v>990</v>
      </c>
      <c r="BF140" s="168" t="s">
        <v>1698</v>
      </c>
      <c r="BG140" s="168" t="s">
        <v>2060</v>
      </c>
      <c r="BH140" s="168">
        <v>9</v>
      </c>
      <c r="BI140" s="168" t="s">
        <v>1200</v>
      </c>
      <c r="BJ140" s="171">
        <v>2023</v>
      </c>
    </row>
    <row r="141" spans="1:63">
      <c r="A141" s="993"/>
      <c r="BE141" s="171" t="s">
        <v>835</v>
      </c>
      <c r="BF141" s="171" t="s">
        <v>1661</v>
      </c>
      <c r="BG141" s="171" t="s">
        <v>2004</v>
      </c>
      <c r="BH141" s="171">
        <v>9</v>
      </c>
      <c r="BI141" s="171" t="s">
        <v>1025</v>
      </c>
      <c r="BJ141" s="171">
        <v>2024</v>
      </c>
    </row>
    <row r="142" spans="1:63">
      <c r="A142" s="993"/>
      <c r="BE142" s="171" t="s">
        <v>611</v>
      </c>
      <c r="BF142" s="171" t="s">
        <v>1362</v>
      </c>
      <c r="BG142" s="171" t="s">
        <v>1978</v>
      </c>
      <c r="BH142" s="171">
        <v>9</v>
      </c>
      <c r="BI142" s="171" t="s">
        <v>429</v>
      </c>
      <c r="BJ142" s="171">
        <v>2024</v>
      </c>
    </row>
    <row r="143" spans="1:63">
      <c r="A143" s="993"/>
      <c r="BE143" s="168" t="s">
        <v>580</v>
      </c>
      <c r="BF143" s="168" t="s">
        <v>1788</v>
      </c>
      <c r="BG143" s="168" t="s">
        <v>1981</v>
      </c>
      <c r="BH143" s="168">
        <v>10</v>
      </c>
      <c r="BI143" s="168" t="s">
        <v>685</v>
      </c>
      <c r="BJ143" s="171">
        <v>2022</v>
      </c>
    </row>
    <row r="144" spans="1:63">
      <c r="A144" s="993"/>
      <c r="BE144" s="168" t="s">
        <v>1265</v>
      </c>
      <c r="BF144" s="168" t="s">
        <v>1737</v>
      </c>
      <c r="BG144" s="168" t="s">
        <v>1975</v>
      </c>
      <c r="BH144" s="168">
        <v>10</v>
      </c>
      <c r="BI144" s="168" t="s">
        <v>804</v>
      </c>
      <c r="BJ144" s="171">
        <v>2022</v>
      </c>
    </row>
    <row r="145" spans="1:63">
      <c r="A145" s="993"/>
      <c r="BE145" s="168" t="s">
        <v>1200</v>
      </c>
      <c r="BF145" s="168" t="s">
        <v>1723</v>
      </c>
      <c r="BG145" s="168" t="s">
        <v>1968</v>
      </c>
      <c r="BH145" s="168">
        <v>10</v>
      </c>
      <c r="BI145" s="168" t="s">
        <v>1171</v>
      </c>
      <c r="BJ145" s="171">
        <v>2023</v>
      </c>
    </row>
    <row r="146" spans="1:63">
      <c r="A146" s="993"/>
      <c r="BE146" s="168" t="s">
        <v>394</v>
      </c>
      <c r="BF146" s="168" t="s">
        <v>1682</v>
      </c>
      <c r="BG146" s="168" t="s">
        <v>2024</v>
      </c>
      <c r="BH146" s="168">
        <v>10</v>
      </c>
      <c r="BI146" s="168" t="s">
        <v>650</v>
      </c>
      <c r="BJ146" s="171">
        <v>2023</v>
      </c>
    </row>
    <row r="147" spans="1:63">
      <c r="A147" s="993"/>
      <c r="BE147" s="168" t="s">
        <v>266</v>
      </c>
      <c r="BF147" s="168" t="s">
        <v>1350</v>
      </c>
      <c r="BG147" s="168" t="s">
        <v>1975</v>
      </c>
      <c r="BH147" s="168">
        <v>10</v>
      </c>
      <c r="BI147" s="168" t="s">
        <v>770</v>
      </c>
      <c r="BJ147" s="171">
        <v>2023</v>
      </c>
    </row>
    <row r="148" spans="1:63">
      <c r="A148" s="993"/>
      <c r="BE148" s="168" t="s">
        <v>1096</v>
      </c>
      <c r="BF148" s="168" t="s">
        <v>1705</v>
      </c>
      <c r="BG148" s="168" t="s">
        <v>2043</v>
      </c>
      <c r="BH148" s="168">
        <v>10</v>
      </c>
      <c r="BI148" s="168" t="s">
        <v>952</v>
      </c>
      <c r="BJ148" s="171">
        <v>2023</v>
      </c>
    </row>
    <row r="149" spans="1:63">
      <c r="A149" s="993"/>
      <c r="BE149" s="168" t="s">
        <v>1171</v>
      </c>
      <c r="BF149" s="168" t="s">
        <v>1328</v>
      </c>
      <c r="BG149" s="168" t="s">
        <v>1958</v>
      </c>
      <c r="BH149" s="168">
        <v>10</v>
      </c>
      <c r="BI149" s="168" t="s">
        <v>1265</v>
      </c>
      <c r="BJ149" s="168">
        <v>2024</v>
      </c>
      <c r="BK149" s="168"/>
    </row>
    <row r="150" spans="1:63">
      <c r="A150" s="993"/>
      <c r="BE150" s="171" t="s">
        <v>685</v>
      </c>
      <c r="BF150" s="171" t="s">
        <v>1340</v>
      </c>
      <c r="BG150" s="171" t="s">
        <v>1978</v>
      </c>
      <c r="BH150" s="171">
        <v>10</v>
      </c>
      <c r="BI150" s="171" t="s">
        <v>266</v>
      </c>
      <c r="BJ150" s="171">
        <v>2024</v>
      </c>
    </row>
    <row r="151" spans="1:63">
      <c r="A151" s="993"/>
      <c r="BE151" s="171" t="s">
        <v>952</v>
      </c>
      <c r="BF151" s="171" t="s">
        <v>1669</v>
      </c>
      <c r="BG151" s="171" t="s">
        <v>1978</v>
      </c>
      <c r="BH151" s="171">
        <v>10</v>
      </c>
      <c r="BI151" s="168" t="s">
        <v>869</v>
      </c>
      <c r="BJ151" s="171">
        <v>2024</v>
      </c>
    </row>
    <row r="152" spans="1:63">
      <c r="A152" s="993"/>
      <c r="BE152" s="168" t="s">
        <v>1025</v>
      </c>
      <c r="BF152" s="168" t="s">
        <v>1351</v>
      </c>
      <c r="BG152" s="168" t="s">
        <v>1958</v>
      </c>
      <c r="BH152" s="168">
        <v>11</v>
      </c>
      <c r="BI152" s="168" t="s">
        <v>952</v>
      </c>
      <c r="BJ152" s="171">
        <v>2022</v>
      </c>
    </row>
    <row r="153" spans="1:63">
      <c r="A153" s="993"/>
      <c r="BE153" s="168" t="s">
        <v>717</v>
      </c>
      <c r="BF153" s="168" t="s">
        <v>2151</v>
      </c>
      <c r="BG153" s="168" t="s">
        <v>1959</v>
      </c>
      <c r="BH153" s="168">
        <v>11</v>
      </c>
      <c r="BI153" s="168" t="s">
        <v>650</v>
      </c>
      <c r="BJ153" s="171">
        <v>2022</v>
      </c>
      <c r="BK153" s="168"/>
    </row>
    <row r="154" spans="1:63">
      <c r="A154" s="993"/>
      <c r="BE154" s="168" t="s">
        <v>429</v>
      </c>
      <c r="BF154" s="168" t="s">
        <v>1662</v>
      </c>
      <c r="BG154" s="168" t="s">
        <v>2004</v>
      </c>
      <c r="BH154" s="168">
        <v>11</v>
      </c>
      <c r="BI154" s="168" t="s">
        <v>685</v>
      </c>
      <c r="BJ154" s="171">
        <v>2022</v>
      </c>
    </row>
    <row r="155" spans="1:63">
      <c r="A155" s="993"/>
      <c r="BE155" s="168" t="s">
        <v>717</v>
      </c>
      <c r="BF155" s="168" t="s">
        <v>1849</v>
      </c>
      <c r="BG155" s="168" t="s">
        <v>1960</v>
      </c>
      <c r="BH155" s="168">
        <v>12</v>
      </c>
      <c r="BI155" s="168" t="s">
        <v>685</v>
      </c>
      <c r="BJ155" s="171">
        <v>2022</v>
      </c>
    </row>
    <row r="156" spans="1:63">
      <c r="A156" s="993"/>
      <c r="BE156" s="168" t="s">
        <v>770</v>
      </c>
      <c r="BF156" s="168" t="s">
        <v>1670</v>
      </c>
      <c r="BG156" s="168" t="s">
        <v>1986</v>
      </c>
      <c r="BH156" s="168">
        <v>12</v>
      </c>
      <c r="BI156" s="168" t="s">
        <v>1096</v>
      </c>
      <c r="BJ156" s="171">
        <v>2022</v>
      </c>
    </row>
    <row r="157" spans="1:63">
      <c r="A157" s="993"/>
      <c r="BE157" s="168" t="s">
        <v>339</v>
      </c>
      <c r="BF157" s="168" t="s">
        <v>1706</v>
      </c>
      <c r="BG157" s="168" t="s">
        <v>1976</v>
      </c>
      <c r="BH157" s="168">
        <v>12</v>
      </c>
      <c r="BI157" s="168" t="s">
        <v>300</v>
      </c>
      <c r="BJ157" s="171">
        <v>2022</v>
      </c>
    </row>
    <row r="158" spans="1:63">
      <c r="A158" s="993"/>
      <c r="BE158" s="168" t="s">
        <v>650</v>
      </c>
      <c r="BF158" s="168" t="s">
        <v>1719</v>
      </c>
      <c r="BG158" s="168" t="s">
        <v>2005</v>
      </c>
      <c r="BH158" s="168">
        <v>12</v>
      </c>
      <c r="BI158" s="168" t="s">
        <v>611</v>
      </c>
      <c r="BJ158" s="171">
        <v>2022</v>
      </c>
    </row>
    <row r="159" spans="1:63">
      <c r="A159" s="993"/>
      <c r="BE159" s="168" t="s">
        <v>869</v>
      </c>
      <c r="BF159" s="168" t="s">
        <v>1343</v>
      </c>
      <c r="BG159" s="168" t="s">
        <v>1977</v>
      </c>
      <c r="BH159" s="168">
        <v>12</v>
      </c>
      <c r="BI159" s="168" t="s">
        <v>835</v>
      </c>
      <c r="BJ159" s="171">
        <v>2022</v>
      </c>
    </row>
    <row r="160" spans="1:63">
      <c r="A160" s="993"/>
      <c r="BE160" s="168" t="s">
        <v>1229</v>
      </c>
      <c r="BF160" s="168" t="s">
        <v>1703</v>
      </c>
      <c r="BG160" s="168" t="s">
        <v>1956</v>
      </c>
      <c r="BH160" s="168">
        <v>12</v>
      </c>
      <c r="BI160" s="168" t="s">
        <v>1265</v>
      </c>
      <c r="BJ160" s="171">
        <v>2023</v>
      </c>
    </row>
    <row r="161" spans="1:62">
      <c r="A161" s="993"/>
      <c r="BE161" s="171" t="s">
        <v>339</v>
      </c>
      <c r="BF161" s="171" t="s">
        <v>1752</v>
      </c>
      <c r="BG161" s="171" t="s">
        <v>2006</v>
      </c>
      <c r="BH161" s="171">
        <v>12</v>
      </c>
      <c r="BI161" s="171" t="s">
        <v>539</v>
      </c>
      <c r="BJ161" s="171">
        <v>2024</v>
      </c>
    </row>
    <row r="162" spans="1:62">
      <c r="A162" s="993"/>
      <c r="BE162" s="171" t="s">
        <v>1139</v>
      </c>
      <c r="BF162" s="171" t="s">
        <v>1666</v>
      </c>
      <c r="BG162" s="171" t="s">
        <v>2029</v>
      </c>
      <c r="BH162" s="171">
        <v>12</v>
      </c>
      <c r="BI162" s="171" t="s">
        <v>1025</v>
      </c>
      <c r="BJ162" s="171">
        <v>2024</v>
      </c>
    </row>
    <row r="163" spans="1:62">
      <c r="A163" s="993"/>
      <c r="BE163" s="168" t="s">
        <v>2161</v>
      </c>
      <c r="BF163" s="168" t="s">
        <v>1356</v>
      </c>
      <c r="BG163" s="168" t="s">
        <v>1952</v>
      </c>
      <c r="BH163" s="168">
        <v>13</v>
      </c>
      <c r="BI163" s="168" t="s">
        <v>429</v>
      </c>
      <c r="BJ163" s="171">
        <v>2023</v>
      </c>
    </row>
    <row r="164" spans="1:62">
      <c r="A164" s="993"/>
      <c r="BE164" s="168" t="s">
        <v>685</v>
      </c>
      <c r="BF164" s="168" t="s">
        <v>1674</v>
      </c>
      <c r="BG164" s="168" t="s">
        <v>2005</v>
      </c>
      <c r="BH164" s="168">
        <v>15</v>
      </c>
      <c r="BI164" s="168" t="s">
        <v>580</v>
      </c>
      <c r="BJ164" s="171">
        <v>2022</v>
      </c>
    </row>
    <row r="165" spans="1:62">
      <c r="A165" s="993"/>
    </row>
    <row r="166" spans="1:62">
      <c r="A166" s="993"/>
    </row>
    <row r="167" spans="1:62">
      <c r="A167" s="993"/>
    </row>
    <row r="168" spans="1:62">
      <c r="A168" s="993"/>
    </row>
    <row r="169" spans="1:62">
      <c r="A169" s="993"/>
    </row>
    <row r="170" spans="1:62">
      <c r="A170" s="993"/>
    </row>
    <row r="171" spans="1:62">
      <c r="A171" s="993"/>
    </row>
    <row r="172" spans="1:62">
      <c r="A172" s="993"/>
    </row>
    <row r="173" spans="1:62">
      <c r="A173" s="993"/>
    </row>
    <row r="174" spans="1:62">
      <c r="A174" s="993"/>
    </row>
    <row r="175" spans="1:62">
      <c r="A175" s="993"/>
    </row>
    <row r="176" spans="1:62">
      <c r="A176" s="993"/>
    </row>
    <row r="177" spans="1:1">
      <c r="A177" s="993"/>
    </row>
    <row r="178" spans="1:1">
      <c r="A178" s="993"/>
    </row>
    <row r="179" spans="1:1">
      <c r="A179" s="993"/>
    </row>
    <row r="180" spans="1:1">
      <c r="A180" s="993"/>
    </row>
    <row r="181" spans="1:1">
      <c r="A181" s="993"/>
    </row>
    <row r="182" spans="1:1">
      <c r="A182" s="993"/>
    </row>
    <row r="183" spans="1:1">
      <c r="A183" s="993"/>
    </row>
    <row r="184" spans="1:1">
      <c r="A184" s="993"/>
    </row>
    <row r="185" spans="1:1">
      <c r="A185" s="993"/>
    </row>
    <row r="186" spans="1:1">
      <c r="A186" s="993"/>
    </row>
    <row r="187" spans="1:1">
      <c r="A187" s="993"/>
    </row>
    <row r="188" spans="1:1">
      <c r="A188" s="993"/>
    </row>
    <row r="189" spans="1:1">
      <c r="A189" s="993"/>
    </row>
    <row r="190" spans="1:1">
      <c r="A190" s="993"/>
    </row>
    <row r="191" spans="1:1">
      <c r="A191" s="993"/>
    </row>
    <row r="192" spans="1:1">
      <c r="A192" s="993"/>
    </row>
    <row r="193" spans="1:1">
      <c r="A193" s="993"/>
    </row>
    <row r="194" spans="1:1">
      <c r="A194" s="993"/>
    </row>
    <row r="195" spans="1:1">
      <c r="A195" s="993"/>
    </row>
    <row r="196" spans="1:1">
      <c r="A196" s="993"/>
    </row>
    <row r="197" spans="1:1">
      <c r="A197" s="993"/>
    </row>
    <row r="198" spans="1:1">
      <c r="A198" s="993"/>
    </row>
    <row r="199" spans="1:1">
      <c r="A199" s="993"/>
    </row>
    <row r="200" spans="1:1">
      <c r="A200" s="993"/>
    </row>
    <row r="201" spans="1:1">
      <c r="A201" s="993"/>
    </row>
    <row r="202" spans="1:1">
      <c r="A202" s="993"/>
    </row>
    <row r="203" spans="1:1">
      <c r="A203" s="993"/>
    </row>
    <row r="204" spans="1:1">
      <c r="A204" s="993"/>
    </row>
    <row r="205" spans="1:1">
      <c r="A205" s="993"/>
    </row>
    <row r="206" spans="1:1">
      <c r="A206" s="993"/>
    </row>
    <row r="207" spans="1:1">
      <c r="A207" s="993"/>
    </row>
    <row r="208" spans="1:1">
      <c r="A208" s="993"/>
    </row>
    <row r="209" spans="1:1">
      <c r="A209" s="993"/>
    </row>
    <row r="210" spans="1:1">
      <c r="A210" s="993"/>
    </row>
    <row r="211" spans="1:1">
      <c r="A211" s="993"/>
    </row>
    <row r="212" spans="1:1">
      <c r="A212" s="993"/>
    </row>
    <row r="213" spans="1:1">
      <c r="A213" s="993"/>
    </row>
    <row r="214" spans="1:1">
      <c r="A214" s="993"/>
    </row>
    <row r="215" spans="1:1">
      <c r="A215" s="993"/>
    </row>
    <row r="216" spans="1:1">
      <c r="A216" s="993"/>
    </row>
    <row r="217" spans="1:1">
      <c r="A217" s="993"/>
    </row>
    <row r="218" spans="1:1">
      <c r="A218" s="993"/>
    </row>
    <row r="219" spans="1:1">
      <c r="A219" s="993"/>
    </row>
    <row r="220" spans="1:1">
      <c r="A220" s="993"/>
    </row>
    <row r="221" spans="1:1">
      <c r="A221" s="993"/>
    </row>
    <row r="222" spans="1:1">
      <c r="A222" s="993"/>
    </row>
    <row r="223" spans="1:1">
      <c r="A223" s="993"/>
    </row>
    <row r="224" spans="1:1">
      <c r="A224" s="993"/>
    </row>
    <row r="225" spans="1:1">
      <c r="A225" s="993"/>
    </row>
    <row r="226" spans="1:1">
      <c r="A226" s="993"/>
    </row>
    <row r="227" spans="1:1">
      <c r="A227" s="993"/>
    </row>
    <row r="228" spans="1:1">
      <c r="A228" s="993"/>
    </row>
    <row r="229" spans="1:1">
      <c r="A229" s="993"/>
    </row>
    <row r="230" spans="1:1">
      <c r="A230" s="993"/>
    </row>
    <row r="231" spans="1:1">
      <c r="A231" s="993"/>
    </row>
    <row r="232" spans="1:1">
      <c r="A232" s="993"/>
    </row>
    <row r="233" spans="1:1">
      <c r="A233" s="993"/>
    </row>
    <row r="234" spans="1:1">
      <c r="A234" s="993"/>
    </row>
    <row r="235" spans="1:1">
      <c r="A235" s="993"/>
    </row>
    <row r="236" spans="1:1">
      <c r="A236" s="993"/>
    </row>
    <row r="237" spans="1:1">
      <c r="A237" s="993"/>
    </row>
    <row r="238" spans="1:1">
      <c r="A238" s="993"/>
    </row>
    <row r="239" spans="1:1">
      <c r="A239" s="993"/>
    </row>
    <row r="240" spans="1:1">
      <c r="A240" s="993"/>
    </row>
    <row r="241" spans="1:1">
      <c r="A241" s="993"/>
    </row>
    <row r="242" spans="1:1">
      <c r="A242" s="993"/>
    </row>
    <row r="243" spans="1:1">
      <c r="A243" s="993"/>
    </row>
    <row r="244" spans="1:1">
      <c r="A244" s="993"/>
    </row>
    <row r="245" spans="1:1">
      <c r="A245" s="993"/>
    </row>
    <row r="246" spans="1:1">
      <c r="A246" s="993"/>
    </row>
    <row r="247" spans="1:1">
      <c r="A247" s="993"/>
    </row>
    <row r="248" spans="1:1">
      <c r="A248" s="993"/>
    </row>
    <row r="249" spans="1:1">
      <c r="A249" s="993"/>
    </row>
    <row r="250" spans="1:1">
      <c r="A250" s="993"/>
    </row>
    <row r="251" spans="1:1">
      <c r="A251" s="993"/>
    </row>
    <row r="252" spans="1:1">
      <c r="A252" s="993"/>
    </row>
    <row r="253" spans="1:1">
      <c r="A253" s="993"/>
    </row>
    <row r="254" spans="1:1">
      <c r="A254" s="993"/>
    </row>
    <row r="255" spans="1:1">
      <c r="A255" s="993"/>
    </row>
    <row r="256" spans="1:1">
      <c r="A256" s="993"/>
    </row>
    <row r="257" spans="1:1">
      <c r="A257" s="993"/>
    </row>
    <row r="258" spans="1:1">
      <c r="A258" s="993"/>
    </row>
    <row r="259" spans="1:1">
      <c r="A259" s="993"/>
    </row>
    <row r="260" spans="1:1">
      <c r="A260" s="993"/>
    </row>
    <row r="261" spans="1:1">
      <c r="A261" s="993"/>
    </row>
    <row r="262" spans="1:1">
      <c r="A262" s="993"/>
    </row>
  </sheetData>
  <mergeCells count="46">
    <mergeCell ref="FO3:FS3"/>
    <mergeCell ref="BL30:BP30"/>
    <mergeCell ref="BL57:BP57"/>
    <mergeCell ref="BL66:BP66"/>
    <mergeCell ref="FC3:FG3"/>
    <mergeCell ref="FI3:FM3"/>
    <mergeCell ref="BY3:CD3"/>
    <mergeCell ref="BL12:BP12"/>
    <mergeCell ref="BL18:BP18"/>
    <mergeCell ref="DS3:DW3"/>
    <mergeCell ref="DY3:EC3"/>
    <mergeCell ref="EE3:EI3"/>
    <mergeCell ref="CF3:CK3"/>
    <mergeCell ref="CM3:CR3"/>
    <mergeCell ref="CT3:CY3"/>
    <mergeCell ref="DA3:DE3"/>
    <mergeCell ref="BL8:BP8"/>
    <mergeCell ref="EK3:EO3"/>
    <mergeCell ref="EQ3:EU3"/>
    <mergeCell ref="EW3:FA3"/>
    <mergeCell ref="P3:U3"/>
    <mergeCell ref="W3:AB3"/>
    <mergeCell ref="AD3:AI3"/>
    <mergeCell ref="AR3:AV3"/>
    <mergeCell ref="AX3:BC3"/>
    <mergeCell ref="DM3:DQ3"/>
    <mergeCell ref="BE3:BJ3"/>
    <mergeCell ref="BL3:BP3"/>
    <mergeCell ref="BR3:BW3"/>
    <mergeCell ref="DG3:DK3"/>
    <mergeCell ref="BL70:BP70"/>
    <mergeCell ref="DY2:EU2"/>
    <mergeCell ref="EW2:FS2"/>
    <mergeCell ref="B1:AI1"/>
    <mergeCell ref="AK1:BP1"/>
    <mergeCell ref="BR1:CY1"/>
    <mergeCell ref="DA1:DW1"/>
    <mergeCell ref="DY1:EU1"/>
    <mergeCell ref="EW1:FS1"/>
    <mergeCell ref="AK3:AP3"/>
    <mergeCell ref="B2:AI2"/>
    <mergeCell ref="AK2:BP2"/>
    <mergeCell ref="BR2:CY2"/>
    <mergeCell ref="DA2:DW2"/>
    <mergeCell ref="B3:G3"/>
    <mergeCell ref="I3:N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B1:DT87"/>
  <sheetViews>
    <sheetView zoomScale="110" zoomScaleNormal="110" workbookViewId="0">
      <selection activeCell="DE75" sqref="DE75"/>
    </sheetView>
  </sheetViews>
  <sheetFormatPr baseColWidth="10" defaultRowHeight="16"/>
  <cols>
    <col min="1" max="1" width="3.1640625" customWidth="1"/>
    <col min="2" max="2" width="5.5" customWidth="1"/>
    <col min="3" max="3" width="6.83203125" customWidth="1"/>
    <col min="4" max="4" width="12" customWidth="1"/>
    <col min="5" max="5" width="6.5" customWidth="1"/>
    <col min="6" max="7" width="7.6640625" customWidth="1"/>
    <col min="8" max="8" width="5.1640625" customWidth="1"/>
    <col min="9" max="9" width="6.5" customWidth="1"/>
    <col min="10" max="11" width="5.1640625" customWidth="1"/>
    <col min="12" max="13" width="6" customWidth="1"/>
    <col min="14" max="14" width="6.6640625" customWidth="1"/>
    <col min="15" max="15" width="7.33203125" customWidth="1"/>
    <col min="16" max="16" width="6.33203125" customWidth="1"/>
    <col min="17" max="17" width="5.1640625" customWidth="1"/>
    <col min="18" max="18" width="6.1640625" customWidth="1"/>
    <col min="19" max="20" width="6.33203125" customWidth="1"/>
    <col min="21" max="21" width="7.6640625" customWidth="1"/>
    <col min="22" max="23" width="4.6640625" customWidth="1"/>
    <col min="24" max="24" width="3.1640625" customWidth="1"/>
    <col min="25" max="25" width="5.5" customWidth="1"/>
    <col min="26" max="26" width="6.83203125" customWidth="1"/>
    <col min="27" max="27" width="13.1640625" customWidth="1"/>
    <col min="28" max="28" width="8" customWidth="1"/>
    <col min="29" max="29" width="5.6640625" customWidth="1"/>
    <col min="30" max="30" width="5" customWidth="1"/>
    <col min="31" max="31" width="5.1640625" customWidth="1"/>
    <col min="32" max="32" width="5.6640625" customWidth="1"/>
    <col min="33" max="34" width="5.1640625" customWidth="1"/>
    <col min="35" max="37" width="6.33203125" customWidth="1"/>
    <col min="38" max="38" width="7.1640625" customWidth="1"/>
    <col min="39" max="39" width="6.6640625" customWidth="1"/>
    <col min="40" max="40" width="6.33203125" style="123" customWidth="1"/>
    <col min="41" max="41" width="4.6640625" customWidth="1"/>
    <col min="42" max="42" width="3.1640625" customWidth="1"/>
    <col min="43" max="43" width="5.5" customWidth="1"/>
    <col min="44" max="44" width="6.83203125" customWidth="1"/>
    <col min="45" max="45" width="14" customWidth="1"/>
    <col min="46" max="46" width="6.5" customWidth="1"/>
    <col min="47" max="48" width="7.6640625" customWidth="1"/>
    <col min="49" max="49" width="5.1640625" customWidth="1"/>
    <col min="50" max="50" width="6.5" customWidth="1"/>
    <col min="51" max="52" width="5.1640625" customWidth="1"/>
    <col min="53" max="54" width="6" customWidth="1"/>
    <col min="55" max="55" width="6.6640625" customWidth="1"/>
    <col min="56" max="56" width="7.33203125" customWidth="1"/>
    <col min="57" max="57" width="6.33203125" customWidth="1"/>
    <col min="58" max="58" width="5.1640625" customWidth="1"/>
    <col min="59" max="59" width="6.1640625" customWidth="1"/>
    <col min="60" max="61" width="6.33203125" customWidth="1"/>
    <col min="62" max="62" width="7.6640625" customWidth="1"/>
    <col min="63" max="64" width="4.6640625" customWidth="1"/>
    <col min="65" max="65" width="3.1640625" customWidth="1"/>
    <col min="66" max="66" width="5.5" customWidth="1"/>
    <col min="67" max="67" width="6.83203125" customWidth="1"/>
    <col min="68" max="68" width="12" customWidth="1"/>
    <col min="69" max="69" width="8" customWidth="1"/>
    <col min="70" max="70" width="5.6640625" customWidth="1"/>
    <col min="71" max="71" width="5" customWidth="1"/>
    <col min="72" max="72" width="5.1640625" customWidth="1"/>
    <col min="73" max="73" width="5.6640625" customWidth="1"/>
    <col min="74" max="75" width="5.1640625" customWidth="1"/>
    <col min="76" max="78" width="6.33203125" customWidth="1"/>
    <col min="79" max="79" width="7.1640625" customWidth="1"/>
    <col min="80" max="80" width="6.6640625" customWidth="1"/>
    <col min="81" max="81" width="6.33203125" customWidth="1"/>
    <col min="82" max="82" width="4.6640625" customWidth="1"/>
    <col min="83" max="84" width="3.1640625" customWidth="1"/>
    <col min="85" max="85" width="5.5" customWidth="1"/>
    <col min="86" max="86" width="6.83203125" customWidth="1"/>
    <col min="87" max="87" width="13.6640625" customWidth="1"/>
    <col min="88" max="88" width="6.5" customWidth="1"/>
    <col min="89" max="90" width="7.6640625" customWidth="1"/>
    <col min="91" max="91" width="5.1640625" customWidth="1"/>
    <col min="92" max="92" width="6.5" customWidth="1"/>
    <col min="93" max="94" width="5.1640625" customWidth="1"/>
    <col min="95" max="96" width="6" customWidth="1"/>
    <col min="97" max="97" width="6.6640625" customWidth="1"/>
    <col min="98" max="98" width="7.33203125" customWidth="1"/>
    <col min="99" max="99" width="6.33203125" customWidth="1"/>
    <col min="100" max="100" width="5.1640625" customWidth="1"/>
    <col min="101" max="101" width="6.1640625" customWidth="1"/>
    <col min="102" max="103" width="6.33203125" customWidth="1"/>
    <col min="104" max="104" width="7.6640625" customWidth="1"/>
    <col min="105" max="106" width="4.6640625" customWidth="1"/>
    <col min="107" max="107" width="3.1640625" customWidth="1"/>
    <col min="108" max="108" width="5.5" customWidth="1"/>
    <col min="109" max="109" width="6.83203125" customWidth="1"/>
    <col min="110" max="110" width="12" customWidth="1"/>
    <col min="111" max="111" width="8" customWidth="1"/>
    <col min="112" max="112" width="5.6640625" customWidth="1"/>
    <col min="113" max="113" width="5" customWidth="1"/>
    <col min="114" max="114" width="5.1640625" customWidth="1"/>
    <col min="115" max="115" width="5.6640625" customWidth="1"/>
    <col min="116" max="117" width="5.1640625" customWidth="1"/>
    <col min="118" max="120" width="6.33203125" customWidth="1"/>
    <col min="121" max="121" width="7.1640625" customWidth="1"/>
    <col min="122" max="122" width="6.6640625" customWidth="1"/>
    <col min="123" max="123" width="6.33203125" customWidth="1"/>
    <col min="124" max="124" width="4.6640625" customWidth="1"/>
    <col min="125" max="125" width="3.1640625" customWidth="1"/>
  </cols>
  <sheetData>
    <row r="1" spans="2:124" ht="31" thickBot="1">
      <c r="B1" s="1113" t="s">
        <v>1912</v>
      </c>
      <c r="C1" s="1114"/>
      <c r="D1" s="1114"/>
      <c r="E1" s="1114"/>
      <c r="F1" s="1114"/>
      <c r="G1" s="1114"/>
      <c r="H1" s="1114"/>
      <c r="I1" s="1114"/>
      <c r="J1" s="1114"/>
      <c r="K1" s="1114"/>
      <c r="L1" s="1114"/>
      <c r="M1" s="1114"/>
      <c r="N1" s="1114"/>
      <c r="O1" s="1114"/>
      <c r="P1" s="1114"/>
      <c r="Q1" s="1114"/>
      <c r="R1" s="1114"/>
      <c r="S1" s="1114"/>
      <c r="T1" s="1114"/>
      <c r="U1" s="1114"/>
      <c r="V1" s="1114"/>
      <c r="W1" s="1115"/>
      <c r="Y1" s="1113" t="s">
        <v>1912</v>
      </c>
      <c r="Z1" s="1114"/>
      <c r="AA1" s="1114"/>
      <c r="AB1" s="1114"/>
      <c r="AC1" s="1114"/>
      <c r="AD1" s="1114"/>
      <c r="AE1" s="1114"/>
      <c r="AF1" s="1114"/>
      <c r="AG1" s="1114"/>
      <c r="AH1" s="1114"/>
      <c r="AI1" s="1114"/>
      <c r="AJ1" s="1114"/>
      <c r="AK1" s="1114"/>
      <c r="AL1" s="1114"/>
      <c r="AM1" s="1114"/>
      <c r="AN1" s="1114"/>
      <c r="AO1" s="1115"/>
      <c r="AQ1" s="1113" t="s">
        <v>1913</v>
      </c>
      <c r="AR1" s="1114"/>
      <c r="AS1" s="1114"/>
      <c r="AT1" s="1114"/>
      <c r="AU1" s="1114"/>
      <c r="AV1" s="1114"/>
      <c r="AW1" s="1114"/>
      <c r="AX1" s="1114"/>
      <c r="AY1" s="1114"/>
      <c r="AZ1" s="1114"/>
      <c r="BA1" s="1114"/>
      <c r="BB1" s="1114"/>
      <c r="BC1" s="1114"/>
      <c r="BD1" s="1114"/>
      <c r="BE1" s="1114"/>
      <c r="BF1" s="1114"/>
      <c r="BG1" s="1114"/>
      <c r="BH1" s="1114"/>
      <c r="BI1" s="1114"/>
      <c r="BJ1" s="1114"/>
      <c r="BK1" s="1114"/>
      <c r="BL1" s="1115"/>
      <c r="BN1" s="1113" t="s">
        <v>1913</v>
      </c>
      <c r="BO1" s="1114"/>
      <c r="BP1" s="1114"/>
      <c r="BQ1" s="1114"/>
      <c r="BR1" s="1114"/>
      <c r="BS1" s="1114"/>
      <c r="BT1" s="1114"/>
      <c r="BU1" s="1114"/>
      <c r="BV1" s="1114"/>
      <c r="BW1" s="1114"/>
      <c r="BX1" s="1114"/>
      <c r="BY1" s="1114"/>
      <c r="BZ1" s="1114"/>
      <c r="CA1" s="1114"/>
      <c r="CB1" s="1114"/>
      <c r="CC1" s="1114"/>
      <c r="CD1" s="1115"/>
      <c r="CG1" s="1113" t="s">
        <v>1914</v>
      </c>
      <c r="CH1" s="1114"/>
      <c r="CI1" s="1114"/>
      <c r="CJ1" s="1114"/>
      <c r="CK1" s="1114"/>
      <c r="CL1" s="1114"/>
      <c r="CM1" s="1114"/>
      <c r="CN1" s="1114"/>
      <c r="CO1" s="1114"/>
      <c r="CP1" s="1114"/>
      <c r="CQ1" s="1114"/>
      <c r="CR1" s="1114"/>
      <c r="CS1" s="1114"/>
      <c r="CT1" s="1114"/>
      <c r="CU1" s="1114"/>
      <c r="CV1" s="1114"/>
      <c r="CW1" s="1114"/>
      <c r="CX1" s="1114"/>
      <c r="CY1" s="1114"/>
      <c r="CZ1" s="1114"/>
      <c r="DA1" s="1114"/>
      <c r="DB1" s="1115"/>
      <c r="DD1" s="1113" t="s">
        <v>1914</v>
      </c>
      <c r="DE1" s="1114"/>
      <c r="DF1" s="1114"/>
      <c r="DG1" s="1114"/>
      <c r="DH1" s="1114"/>
      <c r="DI1" s="1114"/>
      <c r="DJ1" s="1114"/>
      <c r="DK1" s="1114"/>
      <c r="DL1" s="1114"/>
      <c r="DM1" s="1114"/>
      <c r="DN1" s="1114"/>
      <c r="DO1" s="1114"/>
      <c r="DP1" s="1114"/>
      <c r="DQ1" s="1114"/>
      <c r="DR1" s="1114"/>
      <c r="DS1" s="1114"/>
      <c r="DT1" s="1115"/>
    </row>
    <row r="2" spans="2:124" s="28" customFormat="1" ht="17" thickBot="1">
      <c r="B2" s="711" t="s">
        <v>144</v>
      </c>
      <c r="C2" s="600" t="s">
        <v>143</v>
      </c>
      <c r="D2" s="600" t="s">
        <v>1314</v>
      </c>
      <c r="E2" s="600" t="s">
        <v>146</v>
      </c>
      <c r="F2" s="600" t="s">
        <v>147</v>
      </c>
      <c r="G2" s="600" t="s">
        <v>148</v>
      </c>
      <c r="H2" s="600" t="s">
        <v>149</v>
      </c>
      <c r="I2" s="600" t="s">
        <v>150</v>
      </c>
      <c r="J2" s="600" t="s">
        <v>151</v>
      </c>
      <c r="K2" s="600" t="s">
        <v>152</v>
      </c>
      <c r="L2" s="600" t="s">
        <v>153</v>
      </c>
      <c r="M2" s="600" t="s">
        <v>154</v>
      </c>
      <c r="N2" s="600" t="s">
        <v>155</v>
      </c>
      <c r="O2" s="600" t="s">
        <v>156</v>
      </c>
      <c r="P2" s="600" t="s">
        <v>157</v>
      </c>
      <c r="Q2" s="600" t="s">
        <v>158</v>
      </c>
      <c r="R2" s="600" t="s">
        <v>159</v>
      </c>
      <c r="S2" s="600" t="s">
        <v>16</v>
      </c>
      <c r="T2" s="600" t="s">
        <v>161</v>
      </c>
      <c r="U2" s="600" t="s">
        <v>162</v>
      </c>
      <c r="V2" s="600" t="s">
        <v>163</v>
      </c>
      <c r="W2" s="779" t="s">
        <v>164</v>
      </c>
      <c r="Y2" s="711" t="s">
        <v>144</v>
      </c>
      <c r="Z2" s="600" t="s">
        <v>143</v>
      </c>
      <c r="AA2" s="600" t="s">
        <v>1314</v>
      </c>
      <c r="AB2" s="600" t="s">
        <v>196</v>
      </c>
      <c r="AC2" s="600" t="s">
        <v>197</v>
      </c>
      <c r="AD2" s="600" t="s">
        <v>198</v>
      </c>
      <c r="AE2" s="600" t="s">
        <v>149</v>
      </c>
      <c r="AF2" s="600" t="s">
        <v>199</v>
      </c>
      <c r="AG2" s="600" t="s">
        <v>152</v>
      </c>
      <c r="AH2" s="600" t="s">
        <v>151</v>
      </c>
      <c r="AI2" s="600" t="s">
        <v>157</v>
      </c>
      <c r="AJ2" s="600" t="s">
        <v>1631</v>
      </c>
      <c r="AK2" s="600" t="s">
        <v>200</v>
      </c>
      <c r="AL2" s="600" t="s">
        <v>201</v>
      </c>
      <c r="AM2" s="600" t="s">
        <v>203</v>
      </c>
      <c r="AN2" s="744" t="s">
        <v>205</v>
      </c>
      <c r="AO2" s="779" t="s">
        <v>164</v>
      </c>
      <c r="AQ2" s="711" t="s">
        <v>144</v>
      </c>
      <c r="AR2" s="600" t="s">
        <v>143</v>
      </c>
      <c r="AS2" s="600" t="s">
        <v>1314</v>
      </c>
      <c r="AT2" s="600" t="s">
        <v>146</v>
      </c>
      <c r="AU2" s="600" t="s">
        <v>147</v>
      </c>
      <c r="AV2" s="600" t="s">
        <v>148</v>
      </c>
      <c r="AW2" s="600" t="s">
        <v>149</v>
      </c>
      <c r="AX2" s="600" t="s">
        <v>150</v>
      </c>
      <c r="AY2" s="600" t="s">
        <v>151</v>
      </c>
      <c r="AZ2" s="600" t="s">
        <v>152</v>
      </c>
      <c r="BA2" s="600" t="s">
        <v>153</v>
      </c>
      <c r="BB2" s="600" t="s">
        <v>154</v>
      </c>
      <c r="BC2" s="600" t="s">
        <v>155</v>
      </c>
      <c r="BD2" s="600" t="s">
        <v>156</v>
      </c>
      <c r="BE2" s="600" t="s">
        <v>157</v>
      </c>
      <c r="BF2" s="600" t="s">
        <v>158</v>
      </c>
      <c r="BG2" s="600" t="s">
        <v>159</v>
      </c>
      <c r="BH2" s="600" t="s">
        <v>16</v>
      </c>
      <c r="BI2" s="600" t="s">
        <v>161</v>
      </c>
      <c r="BJ2" s="600" t="s">
        <v>162</v>
      </c>
      <c r="BK2" s="600" t="s">
        <v>163</v>
      </c>
      <c r="BL2" s="779" t="s">
        <v>164</v>
      </c>
      <c r="BN2" s="711" t="s">
        <v>144</v>
      </c>
      <c r="BO2" s="600" t="s">
        <v>143</v>
      </c>
      <c r="BP2" s="600" t="s">
        <v>1314</v>
      </c>
      <c r="BQ2" s="600" t="s">
        <v>196</v>
      </c>
      <c r="BR2" s="600" t="s">
        <v>197</v>
      </c>
      <c r="BS2" s="600" t="s">
        <v>198</v>
      </c>
      <c r="BT2" s="600" t="s">
        <v>149</v>
      </c>
      <c r="BU2" s="600" t="s">
        <v>199</v>
      </c>
      <c r="BV2" s="600" t="s">
        <v>152</v>
      </c>
      <c r="BW2" s="600" t="s">
        <v>151</v>
      </c>
      <c r="BX2" s="600" t="s">
        <v>157</v>
      </c>
      <c r="BY2" s="600" t="s">
        <v>1631</v>
      </c>
      <c r="BZ2" s="600" t="s">
        <v>200</v>
      </c>
      <c r="CA2" s="600" t="s">
        <v>201</v>
      </c>
      <c r="CB2" s="600" t="s">
        <v>203</v>
      </c>
      <c r="CC2" s="744" t="s">
        <v>205</v>
      </c>
      <c r="CD2" s="779" t="s">
        <v>164</v>
      </c>
      <c r="CG2" s="711" t="s">
        <v>144</v>
      </c>
      <c r="CH2" s="600" t="s">
        <v>143</v>
      </c>
      <c r="CI2" s="600" t="s">
        <v>1314</v>
      </c>
      <c r="CJ2" s="600" t="s">
        <v>146</v>
      </c>
      <c r="CK2" s="600" t="s">
        <v>147</v>
      </c>
      <c r="CL2" s="600" t="s">
        <v>148</v>
      </c>
      <c r="CM2" s="600" t="s">
        <v>149</v>
      </c>
      <c r="CN2" s="600" t="s">
        <v>150</v>
      </c>
      <c r="CO2" s="600" t="s">
        <v>151</v>
      </c>
      <c r="CP2" s="600" t="s">
        <v>152</v>
      </c>
      <c r="CQ2" s="600" t="s">
        <v>153</v>
      </c>
      <c r="CR2" s="600" t="s">
        <v>154</v>
      </c>
      <c r="CS2" s="600" t="s">
        <v>155</v>
      </c>
      <c r="CT2" s="600" t="s">
        <v>156</v>
      </c>
      <c r="CU2" s="600" t="s">
        <v>157</v>
      </c>
      <c r="CV2" s="600" t="s">
        <v>158</v>
      </c>
      <c r="CW2" s="600" t="s">
        <v>159</v>
      </c>
      <c r="CX2" s="600" t="s">
        <v>16</v>
      </c>
      <c r="CY2" s="600" t="s">
        <v>161</v>
      </c>
      <c r="CZ2" s="600" t="s">
        <v>162</v>
      </c>
      <c r="DA2" s="600" t="s">
        <v>163</v>
      </c>
      <c r="DB2" s="779" t="s">
        <v>164</v>
      </c>
      <c r="DD2" s="711" t="s">
        <v>144</v>
      </c>
      <c r="DE2" s="600" t="s">
        <v>143</v>
      </c>
      <c r="DF2" s="600" t="s">
        <v>1314</v>
      </c>
      <c r="DG2" s="600" t="s">
        <v>196</v>
      </c>
      <c r="DH2" s="600" t="s">
        <v>197</v>
      </c>
      <c r="DI2" s="600" t="s">
        <v>198</v>
      </c>
      <c r="DJ2" s="600" t="s">
        <v>149</v>
      </c>
      <c r="DK2" s="600" t="s">
        <v>199</v>
      </c>
      <c r="DL2" s="600" t="s">
        <v>152</v>
      </c>
      <c r="DM2" s="600" t="s">
        <v>151</v>
      </c>
      <c r="DN2" s="600" t="s">
        <v>157</v>
      </c>
      <c r="DO2" s="600" t="s">
        <v>1631</v>
      </c>
      <c r="DP2" s="600" t="s">
        <v>200</v>
      </c>
      <c r="DQ2" s="600" t="s">
        <v>201</v>
      </c>
      <c r="DR2" s="600" t="s">
        <v>203</v>
      </c>
      <c r="DS2" s="600" t="s">
        <v>205</v>
      </c>
      <c r="DT2" s="779" t="s">
        <v>164</v>
      </c>
    </row>
    <row r="3" spans="2:124">
      <c r="B3" s="711" t="s">
        <v>179</v>
      </c>
      <c r="C3" s="673" t="s">
        <v>339</v>
      </c>
      <c r="D3" s="673" t="s">
        <v>346</v>
      </c>
      <c r="E3" s="706">
        <v>0.29729729729729731</v>
      </c>
      <c r="F3" s="598">
        <v>0.36585365853658536</v>
      </c>
      <c r="G3" s="598">
        <v>0.60810810810810811</v>
      </c>
      <c r="H3" s="673">
        <v>20</v>
      </c>
      <c r="I3" s="600">
        <v>74</v>
      </c>
      <c r="J3" s="600">
        <v>14</v>
      </c>
      <c r="K3" s="600">
        <v>22</v>
      </c>
      <c r="L3" s="600">
        <v>2</v>
      </c>
      <c r="M3" s="600">
        <v>0</v>
      </c>
      <c r="N3" s="600">
        <v>7</v>
      </c>
      <c r="O3" s="600">
        <v>17</v>
      </c>
      <c r="P3" s="600">
        <v>8</v>
      </c>
      <c r="Q3" s="600">
        <v>27</v>
      </c>
      <c r="R3" s="673">
        <v>0</v>
      </c>
      <c r="S3" s="600">
        <v>7</v>
      </c>
      <c r="T3" s="673">
        <v>45</v>
      </c>
      <c r="U3" s="598">
        <v>0.97396176664469347</v>
      </c>
      <c r="V3" s="600">
        <v>1</v>
      </c>
      <c r="W3" s="614">
        <v>1</v>
      </c>
      <c r="Y3" s="711" t="s">
        <v>206</v>
      </c>
      <c r="Z3" s="673" t="s">
        <v>580</v>
      </c>
      <c r="AA3" s="673" t="s">
        <v>597</v>
      </c>
      <c r="AB3" s="934">
        <v>1.3277600196705188</v>
      </c>
      <c r="AC3" s="673">
        <v>5</v>
      </c>
      <c r="AD3" s="600">
        <v>0</v>
      </c>
      <c r="AE3" s="673">
        <v>5</v>
      </c>
      <c r="AF3" s="630">
        <v>40.67</v>
      </c>
      <c r="AG3" s="600">
        <v>17</v>
      </c>
      <c r="AH3" s="600">
        <v>6</v>
      </c>
      <c r="AI3" s="600">
        <v>9</v>
      </c>
      <c r="AJ3" s="600">
        <v>48</v>
      </c>
      <c r="AK3" s="600">
        <v>0</v>
      </c>
      <c r="AL3" s="935">
        <v>0.64</v>
      </c>
      <c r="AM3" s="673">
        <v>4</v>
      </c>
      <c r="AN3" s="600">
        <v>1</v>
      </c>
      <c r="AO3" s="614">
        <v>1</v>
      </c>
      <c r="AQ3" s="711" t="s">
        <v>179</v>
      </c>
      <c r="AR3" s="673" t="s">
        <v>502</v>
      </c>
      <c r="AS3" s="673" t="s">
        <v>504</v>
      </c>
      <c r="AT3" s="706">
        <v>0.2289156626506024</v>
      </c>
      <c r="AU3" s="598">
        <v>0.27272727272727271</v>
      </c>
      <c r="AV3" s="598">
        <v>0.53012048192771088</v>
      </c>
      <c r="AW3" s="673">
        <v>20</v>
      </c>
      <c r="AX3" s="600">
        <v>83</v>
      </c>
      <c r="AY3" s="600">
        <v>11</v>
      </c>
      <c r="AZ3" s="600">
        <v>19</v>
      </c>
      <c r="BA3" s="600">
        <v>4</v>
      </c>
      <c r="BB3" s="600">
        <v>0</v>
      </c>
      <c r="BC3" s="600">
        <v>7</v>
      </c>
      <c r="BD3" s="600">
        <v>17</v>
      </c>
      <c r="BE3" s="600">
        <v>5</v>
      </c>
      <c r="BF3" s="600">
        <v>18</v>
      </c>
      <c r="BG3" s="673">
        <v>0</v>
      </c>
      <c r="BH3" s="600">
        <v>5</v>
      </c>
      <c r="BI3" s="673">
        <v>44</v>
      </c>
      <c r="BJ3" s="598">
        <v>0.80284775465498359</v>
      </c>
      <c r="BK3" s="600">
        <v>1</v>
      </c>
      <c r="BL3" s="614">
        <v>1</v>
      </c>
      <c r="BM3" s="28"/>
      <c r="BN3" s="711" t="s">
        <v>206</v>
      </c>
      <c r="BO3" s="673" t="s">
        <v>266</v>
      </c>
      <c r="BP3" s="673" t="s">
        <v>284</v>
      </c>
      <c r="BQ3" s="934">
        <v>1.7027027027027026</v>
      </c>
      <c r="BR3" s="673">
        <v>5</v>
      </c>
      <c r="BS3" s="600">
        <v>0</v>
      </c>
      <c r="BT3" s="673">
        <v>5</v>
      </c>
      <c r="BU3" s="630">
        <v>37</v>
      </c>
      <c r="BV3" s="600">
        <v>26</v>
      </c>
      <c r="BW3" s="600">
        <v>7</v>
      </c>
      <c r="BX3" s="600">
        <v>7</v>
      </c>
      <c r="BY3" s="600">
        <v>41</v>
      </c>
      <c r="BZ3" s="600">
        <v>0</v>
      </c>
      <c r="CA3" s="935">
        <v>0.89189189189189189</v>
      </c>
      <c r="CB3" s="673">
        <v>3</v>
      </c>
      <c r="CC3" s="600">
        <v>1</v>
      </c>
      <c r="CD3" s="614">
        <v>1</v>
      </c>
      <c r="CG3" s="711" t="s">
        <v>179</v>
      </c>
      <c r="CH3" s="673" t="s">
        <v>502</v>
      </c>
      <c r="CI3" s="673" t="s">
        <v>504</v>
      </c>
      <c r="CJ3" s="706">
        <v>0.30399999999999999</v>
      </c>
      <c r="CK3" s="598">
        <v>0.35299999999999998</v>
      </c>
      <c r="CL3" s="598">
        <v>0.69599999999999995</v>
      </c>
      <c r="CM3" s="673">
        <v>20</v>
      </c>
      <c r="CN3" s="600">
        <v>79</v>
      </c>
      <c r="CO3" s="600">
        <v>12</v>
      </c>
      <c r="CP3" s="600">
        <v>24</v>
      </c>
      <c r="CQ3" s="600">
        <v>4</v>
      </c>
      <c r="CR3" s="600">
        <v>0</v>
      </c>
      <c r="CS3" s="600">
        <v>9</v>
      </c>
      <c r="CT3" s="600">
        <v>17</v>
      </c>
      <c r="CU3" s="600">
        <v>6</v>
      </c>
      <c r="CV3" s="600">
        <v>23</v>
      </c>
      <c r="CW3" s="673">
        <v>0</v>
      </c>
      <c r="CX3" s="604">
        <v>6</v>
      </c>
      <c r="CY3" s="600">
        <v>55</v>
      </c>
      <c r="CZ3" s="598">
        <v>1.0489999999999999</v>
      </c>
      <c r="DA3" s="600">
        <v>1</v>
      </c>
      <c r="DB3" s="614">
        <v>1</v>
      </c>
      <c r="DC3" s="28"/>
      <c r="DD3" s="711" t="s">
        <v>206</v>
      </c>
      <c r="DE3" s="673" t="s">
        <v>226</v>
      </c>
      <c r="DF3" s="673" t="s">
        <v>249</v>
      </c>
      <c r="DG3" s="934">
        <v>1.19</v>
      </c>
      <c r="DH3" s="673">
        <v>5</v>
      </c>
      <c r="DI3" s="600">
        <v>0</v>
      </c>
      <c r="DJ3" s="673">
        <v>5</v>
      </c>
      <c r="DK3" s="630">
        <v>37.67</v>
      </c>
      <c r="DL3" s="600">
        <v>21</v>
      </c>
      <c r="DM3" s="600">
        <v>5</v>
      </c>
      <c r="DN3" s="600">
        <v>11</v>
      </c>
      <c r="DO3" s="600">
        <v>50</v>
      </c>
      <c r="DP3" s="600">
        <v>0</v>
      </c>
      <c r="DQ3" s="631">
        <v>0.85</v>
      </c>
      <c r="DR3" s="600">
        <v>1</v>
      </c>
      <c r="DS3" s="600">
        <v>1</v>
      </c>
      <c r="DT3" s="614">
        <v>1</v>
      </c>
    </row>
    <row r="4" spans="2:124">
      <c r="B4" s="712" t="s">
        <v>177</v>
      </c>
      <c r="C4" s="77" t="s">
        <v>300</v>
      </c>
      <c r="D4" s="77" t="s">
        <v>301</v>
      </c>
      <c r="E4" s="130">
        <v>0.36585365853658536</v>
      </c>
      <c r="F4" s="72">
        <v>0.4157303370786517</v>
      </c>
      <c r="G4" s="72">
        <v>0.62195121951219512</v>
      </c>
      <c r="H4" s="77">
        <v>20</v>
      </c>
      <c r="I4" s="28">
        <v>82</v>
      </c>
      <c r="J4" s="28">
        <v>14</v>
      </c>
      <c r="K4" s="28">
        <v>30</v>
      </c>
      <c r="L4" s="28">
        <v>6</v>
      </c>
      <c r="M4" s="28">
        <v>0</v>
      </c>
      <c r="N4" s="28">
        <v>5</v>
      </c>
      <c r="O4" s="28">
        <v>16</v>
      </c>
      <c r="P4" s="28">
        <v>7</v>
      </c>
      <c r="Q4" s="28">
        <v>16</v>
      </c>
      <c r="R4" s="77">
        <v>0</v>
      </c>
      <c r="S4" s="28">
        <v>11</v>
      </c>
      <c r="T4" s="77">
        <v>51</v>
      </c>
      <c r="U4" s="72">
        <v>1.0376815565908468</v>
      </c>
      <c r="V4" s="28">
        <v>6</v>
      </c>
      <c r="W4" s="615">
        <v>2</v>
      </c>
      <c r="X4" s="28"/>
      <c r="Y4" s="712" t="s">
        <v>206</v>
      </c>
      <c r="Z4" s="77" t="s">
        <v>165</v>
      </c>
      <c r="AA4" s="77" t="s">
        <v>207</v>
      </c>
      <c r="AB4" s="135">
        <v>1.1842105263157894</v>
      </c>
      <c r="AC4" s="77">
        <v>4</v>
      </c>
      <c r="AD4" s="28">
        <v>0</v>
      </c>
      <c r="AE4" s="77">
        <v>5</v>
      </c>
      <c r="AF4" s="584">
        <v>38</v>
      </c>
      <c r="AG4" s="28">
        <v>26</v>
      </c>
      <c r="AH4" s="28">
        <v>5</v>
      </c>
      <c r="AI4" s="28">
        <v>10</v>
      </c>
      <c r="AJ4" s="28">
        <v>46</v>
      </c>
      <c r="AK4" s="28">
        <v>0</v>
      </c>
      <c r="AL4" s="566">
        <v>0.95</v>
      </c>
      <c r="AM4" s="77">
        <v>4</v>
      </c>
      <c r="AN4" s="28">
        <v>2</v>
      </c>
      <c r="AO4" s="615">
        <v>2</v>
      </c>
      <c r="AQ4" s="712" t="s">
        <v>177</v>
      </c>
      <c r="AR4" s="77" t="s">
        <v>650</v>
      </c>
      <c r="AS4" s="77" t="s">
        <v>652</v>
      </c>
      <c r="AT4" s="130">
        <v>0.35443037974683544</v>
      </c>
      <c r="AU4" s="72">
        <v>0.39285714285714285</v>
      </c>
      <c r="AV4" s="72">
        <v>0.65822784810126578</v>
      </c>
      <c r="AW4" s="77">
        <v>19</v>
      </c>
      <c r="AX4" s="28">
        <v>79</v>
      </c>
      <c r="AY4" s="28">
        <v>11</v>
      </c>
      <c r="AZ4" s="28">
        <v>28</v>
      </c>
      <c r="BA4" s="28">
        <v>4</v>
      </c>
      <c r="BB4" s="28">
        <v>1</v>
      </c>
      <c r="BC4" s="28">
        <v>6</v>
      </c>
      <c r="BD4" s="28">
        <v>13</v>
      </c>
      <c r="BE4" s="28">
        <v>5</v>
      </c>
      <c r="BF4" s="28">
        <v>23</v>
      </c>
      <c r="BG4" s="77">
        <v>0</v>
      </c>
      <c r="BH4" s="28">
        <v>14</v>
      </c>
      <c r="BI4" s="77">
        <v>52</v>
      </c>
      <c r="BJ4" s="72">
        <v>1.0510849909584086</v>
      </c>
      <c r="BK4" s="28">
        <v>1</v>
      </c>
      <c r="BL4" s="615">
        <v>2</v>
      </c>
      <c r="BM4" s="28"/>
      <c r="BN4" s="712" t="s">
        <v>206</v>
      </c>
      <c r="BO4" s="77" t="s">
        <v>539</v>
      </c>
      <c r="BP4" s="77" t="s">
        <v>557</v>
      </c>
      <c r="BQ4" s="135">
        <v>2.1502521900716749</v>
      </c>
      <c r="BR4" s="77">
        <v>3</v>
      </c>
      <c r="BS4" s="28">
        <v>1</v>
      </c>
      <c r="BT4" s="77">
        <v>5</v>
      </c>
      <c r="BU4" s="584">
        <v>37.67</v>
      </c>
      <c r="BV4" s="28">
        <v>21</v>
      </c>
      <c r="BW4" s="28">
        <v>9</v>
      </c>
      <c r="BX4" s="28">
        <v>18</v>
      </c>
      <c r="BY4" s="28">
        <v>45</v>
      </c>
      <c r="BZ4" s="28">
        <v>0</v>
      </c>
      <c r="CA4" s="566">
        <v>1.0353066100345101</v>
      </c>
      <c r="CB4" s="77">
        <v>3</v>
      </c>
      <c r="CC4" s="28">
        <v>2</v>
      </c>
      <c r="CD4" s="615">
        <v>2</v>
      </c>
      <c r="CG4" s="712" t="s">
        <v>177</v>
      </c>
      <c r="CH4" s="77" t="s">
        <v>539</v>
      </c>
      <c r="CI4" s="77" t="s">
        <v>542</v>
      </c>
      <c r="CJ4" s="130">
        <v>0.34599999999999997</v>
      </c>
      <c r="CK4" s="72">
        <v>0.38400000000000001</v>
      </c>
      <c r="CL4" s="72">
        <v>0.66700000000000004</v>
      </c>
      <c r="CM4" s="77">
        <v>20</v>
      </c>
      <c r="CN4" s="28">
        <v>81</v>
      </c>
      <c r="CO4" s="28">
        <v>15</v>
      </c>
      <c r="CP4" s="28">
        <v>28</v>
      </c>
      <c r="CQ4" s="28">
        <v>5</v>
      </c>
      <c r="CR4" s="28">
        <v>0</v>
      </c>
      <c r="CS4" s="28">
        <v>7</v>
      </c>
      <c r="CT4" s="28">
        <v>14</v>
      </c>
      <c r="CU4" s="28">
        <v>5</v>
      </c>
      <c r="CV4" s="28">
        <v>19</v>
      </c>
      <c r="CW4" s="77">
        <v>0</v>
      </c>
      <c r="CX4" s="74">
        <v>7</v>
      </c>
      <c r="CY4" s="28">
        <v>54</v>
      </c>
      <c r="CZ4" s="72">
        <v>1.05</v>
      </c>
      <c r="DA4" s="28">
        <v>1</v>
      </c>
      <c r="DB4" s="615">
        <v>2</v>
      </c>
      <c r="DC4" s="28"/>
      <c r="DD4" s="712" t="s">
        <v>206</v>
      </c>
      <c r="DE4" s="77" t="s">
        <v>685</v>
      </c>
      <c r="DF4" s="77" t="s">
        <v>687</v>
      </c>
      <c r="DG4" s="135">
        <v>1.87</v>
      </c>
      <c r="DH4" s="77">
        <v>3</v>
      </c>
      <c r="DI4" s="28">
        <v>2</v>
      </c>
      <c r="DJ4" s="77">
        <v>5</v>
      </c>
      <c r="DK4" s="584">
        <v>33.67</v>
      </c>
      <c r="DL4" s="28">
        <v>22</v>
      </c>
      <c r="DM4" s="28">
        <v>7</v>
      </c>
      <c r="DN4" s="28">
        <v>16</v>
      </c>
      <c r="DO4" s="28">
        <v>44</v>
      </c>
      <c r="DP4" s="28">
        <v>0</v>
      </c>
      <c r="DQ4" s="89">
        <v>1.1299999999999999</v>
      </c>
      <c r="DR4" s="28">
        <v>0</v>
      </c>
      <c r="DS4" s="28">
        <v>0</v>
      </c>
      <c r="DT4" s="615">
        <v>2</v>
      </c>
    </row>
    <row r="5" spans="2:124">
      <c r="B5" s="712" t="s">
        <v>153</v>
      </c>
      <c r="C5" s="77" t="s">
        <v>611</v>
      </c>
      <c r="D5" s="77" t="s">
        <v>612</v>
      </c>
      <c r="E5" s="130">
        <v>0.36046511627906974</v>
      </c>
      <c r="F5" s="72">
        <v>0.38202247191011235</v>
      </c>
      <c r="G5" s="72">
        <v>0.67441860465116277</v>
      </c>
      <c r="H5" s="77">
        <v>20</v>
      </c>
      <c r="I5" s="28">
        <v>86</v>
      </c>
      <c r="J5" s="28">
        <v>20</v>
      </c>
      <c r="K5" s="28">
        <v>31</v>
      </c>
      <c r="L5" s="28">
        <v>9</v>
      </c>
      <c r="M5" s="28">
        <v>0</v>
      </c>
      <c r="N5" s="28">
        <v>6</v>
      </c>
      <c r="O5" s="28">
        <v>12</v>
      </c>
      <c r="P5" s="28">
        <v>3</v>
      </c>
      <c r="Q5" s="28">
        <v>16</v>
      </c>
      <c r="R5" s="77">
        <v>0</v>
      </c>
      <c r="S5" s="28">
        <v>6</v>
      </c>
      <c r="T5" s="77">
        <v>58</v>
      </c>
      <c r="U5" s="72">
        <v>1.0564410765612751</v>
      </c>
      <c r="V5" s="28">
        <v>2</v>
      </c>
      <c r="W5" s="615">
        <v>3</v>
      </c>
      <c r="X5" s="28"/>
      <c r="Y5" s="712" t="s">
        <v>206</v>
      </c>
      <c r="Z5" s="77" t="s">
        <v>611</v>
      </c>
      <c r="AA5" s="77" t="s">
        <v>630</v>
      </c>
      <c r="AB5" s="135">
        <v>2</v>
      </c>
      <c r="AC5" s="77">
        <v>1</v>
      </c>
      <c r="AD5" s="28">
        <v>2</v>
      </c>
      <c r="AE5" s="77">
        <v>5</v>
      </c>
      <c r="AF5" s="584">
        <v>36</v>
      </c>
      <c r="AG5" s="28">
        <v>40</v>
      </c>
      <c r="AH5" s="28">
        <v>8</v>
      </c>
      <c r="AI5" s="28">
        <v>10</v>
      </c>
      <c r="AJ5" s="28">
        <v>31</v>
      </c>
      <c r="AK5" s="28">
        <v>0</v>
      </c>
      <c r="AL5" s="567">
        <v>1.39</v>
      </c>
      <c r="AM5" s="77">
        <v>4</v>
      </c>
      <c r="AN5" s="28">
        <v>1</v>
      </c>
      <c r="AO5" s="615">
        <v>3</v>
      </c>
      <c r="AQ5" s="712" t="s">
        <v>153</v>
      </c>
      <c r="AR5" s="77" t="s">
        <v>611</v>
      </c>
      <c r="AS5" s="77" t="s">
        <v>612</v>
      </c>
      <c r="AT5" s="130">
        <v>0.37777777777777777</v>
      </c>
      <c r="AU5" s="72">
        <v>0.41052631578947368</v>
      </c>
      <c r="AV5" s="72">
        <v>0.6333333333333333</v>
      </c>
      <c r="AW5" s="77">
        <v>20</v>
      </c>
      <c r="AX5" s="28">
        <v>90</v>
      </c>
      <c r="AY5" s="28">
        <v>17</v>
      </c>
      <c r="AZ5" s="28">
        <v>34</v>
      </c>
      <c r="BA5" s="28">
        <v>5</v>
      </c>
      <c r="BB5" s="28">
        <v>0</v>
      </c>
      <c r="BC5" s="28">
        <v>6</v>
      </c>
      <c r="BD5" s="28">
        <v>14</v>
      </c>
      <c r="BE5" s="28">
        <v>5</v>
      </c>
      <c r="BF5" s="28">
        <v>13</v>
      </c>
      <c r="BG5" s="77">
        <v>0</v>
      </c>
      <c r="BH5" s="28">
        <v>9</v>
      </c>
      <c r="BI5" s="77">
        <v>57</v>
      </c>
      <c r="BJ5" s="72">
        <v>1.0438596491228069</v>
      </c>
      <c r="BK5" s="28">
        <v>2</v>
      </c>
      <c r="BL5" s="615">
        <v>3</v>
      </c>
      <c r="BM5" s="28"/>
      <c r="BN5" s="712" t="s">
        <v>206</v>
      </c>
      <c r="BO5" s="77" t="s">
        <v>611</v>
      </c>
      <c r="BP5" s="77" t="s">
        <v>630</v>
      </c>
      <c r="BQ5" s="135">
        <v>1.8619084561675716</v>
      </c>
      <c r="BR5" s="77">
        <v>2</v>
      </c>
      <c r="BS5" s="28">
        <v>2</v>
      </c>
      <c r="BT5" s="77">
        <v>5</v>
      </c>
      <c r="BU5" s="584">
        <v>38.67</v>
      </c>
      <c r="BV5" s="28">
        <v>26</v>
      </c>
      <c r="BW5" s="28">
        <v>8</v>
      </c>
      <c r="BX5" s="28">
        <v>9</v>
      </c>
      <c r="BY5" s="28">
        <v>31</v>
      </c>
      <c r="BZ5" s="28">
        <v>0</v>
      </c>
      <c r="CA5" s="567">
        <v>0.90509438841479184</v>
      </c>
      <c r="CB5" s="77">
        <v>4</v>
      </c>
      <c r="CC5" s="28">
        <v>1</v>
      </c>
      <c r="CD5" s="615">
        <v>3</v>
      </c>
      <c r="CG5" s="712" t="s">
        <v>153</v>
      </c>
      <c r="CH5" s="77" t="s">
        <v>226</v>
      </c>
      <c r="CI5" s="77" t="s">
        <v>232</v>
      </c>
      <c r="CJ5" s="130">
        <v>0.435</v>
      </c>
      <c r="CK5" s="72">
        <v>0.46100000000000002</v>
      </c>
      <c r="CL5" s="72">
        <v>0.61199999999999999</v>
      </c>
      <c r="CM5" s="77">
        <v>20</v>
      </c>
      <c r="CN5" s="28">
        <v>85</v>
      </c>
      <c r="CO5" s="28">
        <v>18</v>
      </c>
      <c r="CP5" s="28">
        <v>37</v>
      </c>
      <c r="CQ5" s="28">
        <v>9</v>
      </c>
      <c r="CR5" s="28">
        <v>0</v>
      </c>
      <c r="CS5" s="28">
        <v>2</v>
      </c>
      <c r="CT5" s="28">
        <v>10</v>
      </c>
      <c r="CU5" s="28">
        <v>4</v>
      </c>
      <c r="CV5" s="28">
        <v>9</v>
      </c>
      <c r="CW5" s="77">
        <v>0</v>
      </c>
      <c r="CX5" s="74">
        <v>16</v>
      </c>
      <c r="CY5" s="28">
        <v>52</v>
      </c>
      <c r="CZ5" s="72">
        <v>1.0720000000000001</v>
      </c>
      <c r="DA5" s="28">
        <v>3</v>
      </c>
      <c r="DB5" s="615">
        <v>3</v>
      </c>
      <c r="DC5" s="28"/>
      <c r="DD5" s="712" t="s">
        <v>206</v>
      </c>
      <c r="DE5" s="77" t="s">
        <v>580</v>
      </c>
      <c r="DF5" s="77" t="s">
        <v>597</v>
      </c>
      <c r="DG5" s="135">
        <v>2.15</v>
      </c>
      <c r="DH5" s="77">
        <v>3</v>
      </c>
      <c r="DI5" s="28">
        <v>1</v>
      </c>
      <c r="DJ5" s="77">
        <v>5</v>
      </c>
      <c r="DK5" s="584">
        <v>37.67</v>
      </c>
      <c r="DL5" s="28">
        <v>17</v>
      </c>
      <c r="DM5" s="28">
        <v>9</v>
      </c>
      <c r="DN5" s="28">
        <v>7</v>
      </c>
      <c r="DO5" s="28">
        <v>43</v>
      </c>
      <c r="DP5" s="28">
        <v>0</v>
      </c>
      <c r="DQ5" s="89">
        <v>0.64</v>
      </c>
      <c r="DR5" s="28">
        <v>1</v>
      </c>
      <c r="DS5" s="28">
        <v>1</v>
      </c>
      <c r="DT5" s="615">
        <v>3</v>
      </c>
    </row>
    <row r="6" spans="2:124">
      <c r="B6" s="712" t="s">
        <v>172</v>
      </c>
      <c r="C6" s="77" t="s">
        <v>502</v>
      </c>
      <c r="D6" s="77" t="s">
        <v>503</v>
      </c>
      <c r="E6" s="130">
        <v>0.32911392405063289</v>
      </c>
      <c r="F6" s="72">
        <v>0.39772727272727271</v>
      </c>
      <c r="G6" s="72">
        <v>0.64556962025316456</v>
      </c>
      <c r="H6" s="77">
        <v>20</v>
      </c>
      <c r="I6" s="28">
        <v>79</v>
      </c>
      <c r="J6" s="28">
        <v>13</v>
      </c>
      <c r="K6" s="28">
        <v>26</v>
      </c>
      <c r="L6" s="28">
        <v>11</v>
      </c>
      <c r="M6" s="28">
        <v>1</v>
      </c>
      <c r="N6" s="28">
        <v>4</v>
      </c>
      <c r="O6" s="28">
        <v>15</v>
      </c>
      <c r="P6" s="28">
        <v>9</v>
      </c>
      <c r="Q6" s="28">
        <v>13</v>
      </c>
      <c r="R6" s="77">
        <v>3</v>
      </c>
      <c r="S6" s="28">
        <v>4</v>
      </c>
      <c r="T6" s="77">
        <v>51</v>
      </c>
      <c r="U6" s="72">
        <v>1.0432968929804374</v>
      </c>
      <c r="V6" s="28">
        <v>3</v>
      </c>
      <c r="W6" s="615">
        <v>4</v>
      </c>
      <c r="X6" s="28"/>
      <c r="Y6" s="712" t="s">
        <v>206</v>
      </c>
      <c r="Z6" s="77" t="s">
        <v>611</v>
      </c>
      <c r="AA6" s="77" t="s">
        <v>631</v>
      </c>
      <c r="AB6" s="135">
        <v>2.097290999126129</v>
      </c>
      <c r="AC6" s="77">
        <v>4</v>
      </c>
      <c r="AD6" s="28">
        <v>1</v>
      </c>
      <c r="AE6" s="77">
        <v>5</v>
      </c>
      <c r="AF6" s="584">
        <v>34.33</v>
      </c>
      <c r="AG6" s="28">
        <v>26</v>
      </c>
      <c r="AH6" s="28">
        <v>8</v>
      </c>
      <c r="AI6" s="28">
        <v>11</v>
      </c>
      <c r="AJ6" s="28">
        <v>32</v>
      </c>
      <c r="AK6" s="28">
        <v>0</v>
      </c>
      <c r="AL6" s="566">
        <v>1.08</v>
      </c>
      <c r="AM6" s="77">
        <v>2</v>
      </c>
      <c r="AN6" s="28">
        <v>1</v>
      </c>
      <c r="AO6" s="615">
        <v>4</v>
      </c>
      <c r="AQ6" s="712" t="s">
        <v>172</v>
      </c>
      <c r="AR6" s="77" t="s">
        <v>266</v>
      </c>
      <c r="AS6" s="77" t="s">
        <v>268</v>
      </c>
      <c r="AT6" s="130">
        <v>0.31325301204819278</v>
      </c>
      <c r="AU6" s="72">
        <v>0.35227272727272729</v>
      </c>
      <c r="AV6" s="72">
        <v>0.74698795180722888</v>
      </c>
      <c r="AW6" s="77">
        <v>20</v>
      </c>
      <c r="AX6" s="28">
        <v>83</v>
      </c>
      <c r="AY6" s="28">
        <v>18</v>
      </c>
      <c r="AZ6" s="28">
        <v>26</v>
      </c>
      <c r="BA6" s="28">
        <v>6</v>
      </c>
      <c r="BB6" s="28">
        <v>0</v>
      </c>
      <c r="BC6" s="28">
        <v>10</v>
      </c>
      <c r="BD6" s="28">
        <v>20</v>
      </c>
      <c r="BE6" s="28">
        <v>5</v>
      </c>
      <c r="BF6" s="28">
        <v>24</v>
      </c>
      <c r="BG6" s="77">
        <v>1</v>
      </c>
      <c r="BH6" s="28">
        <v>5</v>
      </c>
      <c r="BI6" s="77">
        <v>62</v>
      </c>
      <c r="BJ6" s="72">
        <v>1.0992606790799562</v>
      </c>
      <c r="BK6" s="28">
        <v>4</v>
      </c>
      <c r="BL6" s="615">
        <v>4</v>
      </c>
      <c r="BM6" s="28"/>
      <c r="BN6" s="712" t="s">
        <v>206</v>
      </c>
      <c r="BO6" s="77" t="s">
        <v>300</v>
      </c>
      <c r="BP6" s="77" t="s">
        <v>324</v>
      </c>
      <c r="BQ6" s="135">
        <v>1.7180256340332696</v>
      </c>
      <c r="BR6" s="77">
        <v>2</v>
      </c>
      <c r="BS6" s="28">
        <v>0</v>
      </c>
      <c r="BT6" s="77">
        <v>5</v>
      </c>
      <c r="BU6" s="584">
        <v>36.67</v>
      </c>
      <c r="BV6" s="28">
        <v>21</v>
      </c>
      <c r="BW6" s="28">
        <v>7</v>
      </c>
      <c r="BX6" s="28">
        <v>11</v>
      </c>
      <c r="BY6" s="28">
        <v>33</v>
      </c>
      <c r="BZ6" s="28">
        <v>0</v>
      </c>
      <c r="CA6" s="566">
        <v>0.87264794109626398</v>
      </c>
      <c r="CB6" s="77">
        <v>4</v>
      </c>
      <c r="CC6" s="28">
        <v>1</v>
      </c>
      <c r="CD6" s="615">
        <v>4</v>
      </c>
      <c r="CG6" s="712" t="s">
        <v>172</v>
      </c>
      <c r="CH6" s="77" t="s">
        <v>429</v>
      </c>
      <c r="CI6" s="77" t="s">
        <v>435</v>
      </c>
      <c r="CJ6" s="130">
        <v>0.42299999999999999</v>
      </c>
      <c r="CK6" s="72">
        <v>0.45800000000000002</v>
      </c>
      <c r="CL6" s="72">
        <v>0.71799999999999997</v>
      </c>
      <c r="CM6" s="77">
        <v>20</v>
      </c>
      <c r="CN6" s="28">
        <v>78</v>
      </c>
      <c r="CO6" s="28">
        <v>15</v>
      </c>
      <c r="CP6" s="28">
        <v>33</v>
      </c>
      <c r="CQ6" s="28">
        <v>6</v>
      </c>
      <c r="CR6" s="28">
        <v>1</v>
      </c>
      <c r="CS6" s="28">
        <v>5</v>
      </c>
      <c r="CT6" s="28">
        <v>15</v>
      </c>
      <c r="CU6" s="28">
        <v>5</v>
      </c>
      <c r="CV6" s="28">
        <v>18</v>
      </c>
      <c r="CW6" s="77">
        <v>0</v>
      </c>
      <c r="CX6" s="74">
        <v>10</v>
      </c>
      <c r="CY6" s="28">
        <v>56</v>
      </c>
      <c r="CZ6" s="72">
        <v>1.1759999999999999</v>
      </c>
      <c r="DA6" s="28">
        <v>2</v>
      </c>
      <c r="DB6" s="615">
        <v>4</v>
      </c>
      <c r="DC6" s="28"/>
      <c r="DD6" s="712" t="s">
        <v>206</v>
      </c>
      <c r="DE6" s="77" t="s">
        <v>611</v>
      </c>
      <c r="DF6" s="77" t="s">
        <v>630</v>
      </c>
      <c r="DG6" s="135">
        <v>2.61</v>
      </c>
      <c r="DH6" s="77">
        <v>3</v>
      </c>
      <c r="DI6" s="28">
        <v>2</v>
      </c>
      <c r="DJ6" s="77">
        <v>5</v>
      </c>
      <c r="DK6" s="584">
        <v>38</v>
      </c>
      <c r="DL6" s="28">
        <v>30</v>
      </c>
      <c r="DM6" s="28">
        <v>11</v>
      </c>
      <c r="DN6" s="28">
        <v>10</v>
      </c>
      <c r="DO6" s="28">
        <v>41</v>
      </c>
      <c r="DP6" s="28">
        <v>0</v>
      </c>
      <c r="DQ6" s="89">
        <v>1.05</v>
      </c>
      <c r="DR6" s="28">
        <v>2</v>
      </c>
      <c r="DS6" s="28">
        <v>2</v>
      </c>
      <c r="DT6" s="615">
        <v>4</v>
      </c>
    </row>
    <row r="7" spans="2:124">
      <c r="B7" s="712" t="s">
        <v>154</v>
      </c>
      <c r="C7" s="77" t="s">
        <v>394</v>
      </c>
      <c r="D7" s="77" t="s">
        <v>399</v>
      </c>
      <c r="E7" s="130">
        <v>0.29487179487179488</v>
      </c>
      <c r="F7" s="72">
        <v>0.39560439560439559</v>
      </c>
      <c r="G7" s="72">
        <v>0.5641025641025641</v>
      </c>
      <c r="H7" s="77">
        <v>20</v>
      </c>
      <c r="I7" s="28">
        <v>78</v>
      </c>
      <c r="J7" s="28">
        <v>15</v>
      </c>
      <c r="K7" s="28">
        <v>23</v>
      </c>
      <c r="L7" s="28">
        <v>3</v>
      </c>
      <c r="M7" s="28">
        <v>0</v>
      </c>
      <c r="N7" s="28">
        <v>6</v>
      </c>
      <c r="O7" s="28">
        <v>10</v>
      </c>
      <c r="P7" s="28">
        <v>13</v>
      </c>
      <c r="Q7" s="28">
        <v>12</v>
      </c>
      <c r="R7" s="77">
        <v>6</v>
      </c>
      <c r="S7" s="28">
        <v>4</v>
      </c>
      <c r="T7" s="77">
        <v>44</v>
      </c>
      <c r="U7" s="72">
        <v>0.95970695970695963</v>
      </c>
      <c r="V7" s="28">
        <v>3</v>
      </c>
      <c r="W7" s="615">
        <v>5</v>
      </c>
      <c r="X7" s="28"/>
      <c r="Y7" s="712" t="s">
        <v>206</v>
      </c>
      <c r="Z7" s="77" t="s">
        <v>539</v>
      </c>
      <c r="AA7" s="77" t="s">
        <v>557</v>
      </c>
      <c r="AB7" s="135">
        <v>2.8418061256709817</v>
      </c>
      <c r="AC7" s="77">
        <v>4</v>
      </c>
      <c r="AD7" s="28">
        <v>0</v>
      </c>
      <c r="AE7" s="77">
        <v>5</v>
      </c>
      <c r="AF7" s="584">
        <v>31.67</v>
      </c>
      <c r="AG7" s="28">
        <v>24</v>
      </c>
      <c r="AH7" s="28">
        <v>10</v>
      </c>
      <c r="AI7" s="28">
        <v>15</v>
      </c>
      <c r="AJ7" s="28">
        <v>35</v>
      </c>
      <c r="AK7" s="28">
        <v>0</v>
      </c>
      <c r="AL7" s="567">
        <v>1.23</v>
      </c>
      <c r="AM7" s="77">
        <v>2</v>
      </c>
      <c r="AN7" s="28">
        <v>0</v>
      </c>
      <c r="AO7" s="615">
        <v>5</v>
      </c>
      <c r="AQ7" s="712" t="s">
        <v>154</v>
      </c>
      <c r="AR7" s="77" t="s">
        <v>717</v>
      </c>
      <c r="AS7" s="77" t="s">
        <v>719</v>
      </c>
      <c r="AT7" s="130">
        <v>0.2857142857142857</v>
      </c>
      <c r="AU7" s="72">
        <v>0.36842105263157893</v>
      </c>
      <c r="AV7" s="72">
        <v>0.66666666666666663</v>
      </c>
      <c r="AW7" s="77">
        <v>20</v>
      </c>
      <c r="AX7" s="28">
        <v>84</v>
      </c>
      <c r="AY7" s="28">
        <v>11</v>
      </c>
      <c r="AZ7" s="28">
        <v>24</v>
      </c>
      <c r="BA7" s="28">
        <v>6</v>
      </c>
      <c r="BB7" s="28">
        <v>1</v>
      </c>
      <c r="BC7" s="28">
        <v>8</v>
      </c>
      <c r="BD7" s="28">
        <v>18</v>
      </c>
      <c r="BE7" s="28">
        <v>11</v>
      </c>
      <c r="BF7" s="28">
        <v>15</v>
      </c>
      <c r="BG7" s="77">
        <v>0</v>
      </c>
      <c r="BH7" s="28">
        <v>7</v>
      </c>
      <c r="BI7" s="77">
        <v>56</v>
      </c>
      <c r="BJ7" s="72">
        <v>1.0350877192982455</v>
      </c>
      <c r="BK7" s="28">
        <v>4</v>
      </c>
      <c r="BL7" s="615">
        <v>5</v>
      </c>
      <c r="BM7" s="28"/>
      <c r="BN7" s="712" t="s">
        <v>206</v>
      </c>
      <c r="BO7" s="77" t="s">
        <v>539</v>
      </c>
      <c r="BP7" s="77" t="s">
        <v>558</v>
      </c>
      <c r="BQ7" s="135">
        <v>2.189189189189189</v>
      </c>
      <c r="BR7" s="77">
        <v>3</v>
      </c>
      <c r="BS7" s="28">
        <v>1</v>
      </c>
      <c r="BT7" s="77">
        <v>5</v>
      </c>
      <c r="BU7" s="584">
        <v>37</v>
      </c>
      <c r="BV7" s="28">
        <v>23</v>
      </c>
      <c r="BW7" s="28">
        <v>9</v>
      </c>
      <c r="BX7" s="28">
        <v>8</v>
      </c>
      <c r="BY7" s="28">
        <v>45</v>
      </c>
      <c r="BZ7" s="28">
        <v>0</v>
      </c>
      <c r="CA7" s="567">
        <v>0.83783783783783783</v>
      </c>
      <c r="CB7" s="77">
        <v>2</v>
      </c>
      <c r="CC7" s="28">
        <v>2</v>
      </c>
      <c r="CD7" s="615">
        <v>5</v>
      </c>
      <c r="CG7" s="712" t="s">
        <v>154</v>
      </c>
      <c r="CH7" s="77" t="s">
        <v>266</v>
      </c>
      <c r="CI7" s="77" t="s">
        <v>274</v>
      </c>
      <c r="CJ7" s="130">
        <v>0.32</v>
      </c>
      <c r="CK7" s="72">
        <v>0.378</v>
      </c>
      <c r="CL7" s="72">
        <v>0.65300000000000002</v>
      </c>
      <c r="CM7" s="77">
        <v>20</v>
      </c>
      <c r="CN7" s="28">
        <v>75</v>
      </c>
      <c r="CO7" s="28">
        <v>14</v>
      </c>
      <c r="CP7" s="28">
        <v>24</v>
      </c>
      <c r="CQ7" s="28">
        <v>5</v>
      </c>
      <c r="CR7" s="28">
        <v>1</v>
      </c>
      <c r="CS7" s="28">
        <v>6</v>
      </c>
      <c r="CT7" s="28">
        <v>17</v>
      </c>
      <c r="CU7" s="28">
        <v>7</v>
      </c>
      <c r="CV7" s="28">
        <v>20</v>
      </c>
      <c r="CW7" s="77">
        <v>0</v>
      </c>
      <c r="CX7" s="74">
        <v>7</v>
      </c>
      <c r="CY7" s="28">
        <v>49</v>
      </c>
      <c r="CZ7" s="72">
        <v>1.0309999999999999</v>
      </c>
      <c r="DA7" s="28">
        <v>1</v>
      </c>
      <c r="DB7" s="615">
        <v>5</v>
      </c>
      <c r="DC7" s="28"/>
      <c r="DD7" s="712" t="s">
        <v>206</v>
      </c>
      <c r="DE7" s="77" t="s">
        <v>539</v>
      </c>
      <c r="DF7" s="77" t="s">
        <v>558</v>
      </c>
      <c r="DG7" s="135">
        <v>2.12</v>
      </c>
      <c r="DH7" s="77">
        <v>3</v>
      </c>
      <c r="DI7" s="28">
        <v>1</v>
      </c>
      <c r="DJ7" s="77">
        <v>5</v>
      </c>
      <c r="DK7" s="584">
        <v>34</v>
      </c>
      <c r="DL7" s="28">
        <v>32</v>
      </c>
      <c r="DM7" s="28">
        <v>8</v>
      </c>
      <c r="DN7" s="28">
        <v>12</v>
      </c>
      <c r="DO7" s="28">
        <v>39</v>
      </c>
      <c r="DP7" s="28">
        <v>0</v>
      </c>
      <c r="DQ7" s="89">
        <v>1.29</v>
      </c>
      <c r="DR7" s="28">
        <v>0</v>
      </c>
      <c r="DS7" s="28">
        <v>0</v>
      </c>
      <c r="DT7" s="615">
        <v>5</v>
      </c>
    </row>
    <row r="8" spans="2:124">
      <c r="B8" s="712" t="s">
        <v>174</v>
      </c>
      <c r="C8" s="77" t="s">
        <v>580</v>
      </c>
      <c r="D8" s="77" t="s">
        <v>581</v>
      </c>
      <c r="E8" s="130">
        <v>0.36708860759493672</v>
      </c>
      <c r="F8" s="72">
        <v>0.44444444444444442</v>
      </c>
      <c r="G8" s="72">
        <v>0.810126582278481</v>
      </c>
      <c r="H8" s="77">
        <v>20</v>
      </c>
      <c r="I8" s="28">
        <v>79</v>
      </c>
      <c r="J8" s="28">
        <v>20</v>
      </c>
      <c r="K8" s="28">
        <v>29</v>
      </c>
      <c r="L8" s="28">
        <v>5</v>
      </c>
      <c r="M8" s="28">
        <v>0</v>
      </c>
      <c r="N8" s="28">
        <v>10</v>
      </c>
      <c r="O8" s="28">
        <v>24</v>
      </c>
      <c r="P8" s="28">
        <v>11</v>
      </c>
      <c r="Q8" s="28">
        <v>18</v>
      </c>
      <c r="R8" s="77">
        <v>0</v>
      </c>
      <c r="S8" s="28">
        <v>10</v>
      </c>
      <c r="T8" s="77">
        <v>64</v>
      </c>
      <c r="U8" s="72">
        <v>1.2545710267229255</v>
      </c>
      <c r="V8" s="28">
        <v>5</v>
      </c>
      <c r="W8" s="615">
        <v>6</v>
      </c>
      <c r="X8" s="28"/>
      <c r="Y8" s="712" t="s">
        <v>206</v>
      </c>
      <c r="Z8" s="77" t="s">
        <v>650</v>
      </c>
      <c r="AA8" s="77" t="s">
        <v>251</v>
      </c>
      <c r="AB8" s="135">
        <v>2.3594523740168949</v>
      </c>
      <c r="AC8" s="77">
        <v>3</v>
      </c>
      <c r="AD8" s="28">
        <v>1</v>
      </c>
      <c r="AE8" s="77">
        <v>5</v>
      </c>
      <c r="AF8" s="584">
        <v>34.33</v>
      </c>
      <c r="AG8" s="28">
        <v>32</v>
      </c>
      <c r="AH8" s="28">
        <v>9</v>
      </c>
      <c r="AI8" s="28">
        <v>7</v>
      </c>
      <c r="AJ8" s="28">
        <v>30</v>
      </c>
      <c r="AK8" s="28">
        <v>0</v>
      </c>
      <c r="AL8" s="566">
        <v>1.1399999999999999</v>
      </c>
      <c r="AM8" s="77">
        <v>3</v>
      </c>
      <c r="AN8" s="28">
        <v>0</v>
      </c>
      <c r="AO8" s="615">
        <v>6</v>
      </c>
      <c r="AQ8" s="712" t="s">
        <v>174</v>
      </c>
      <c r="AR8" s="77" t="s">
        <v>539</v>
      </c>
      <c r="AS8" s="77" t="s">
        <v>541</v>
      </c>
      <c r="AT8" s="130">
        <v>0.3253012048192771</v>
      </c>
      <c r="AU8" s="72">
        <v>0.35632183908045978</v>
      </c>
      <c r="AV8" s="72">
        <v>0.6506024096385542</v>
      </c>
      <c r="AW8" s="77">
        <v>20</v>
      </c>
      <c r="AX8" s="28">
        <v>83</v>
      </c>
      <c r="AY8" s="28">
        <v>13</v>
      </c>
      <c r="AZ8" s="28">
        <v>27</v>
      </c>
      <c r="BA8" s="28">
        <v>6</v>
      </c>
      <c r="BB8" s="28">
        <v>0</v>
      </c>
      <c r="BC8" s="28">
        <v>7</v>
      </c>
      <c r="BD8" s="28">
        <v>13</v>
      </c>
      <c r="BE8" s="28">
        <v>4</v>
      </c>
      <c r="BF8" s="28">
        <v>24</v>
      </c>
      <c r="BG8" s="77">
        <v>0</v>
      </c>
      <c r="BH8" s="28">
        <v>9</v>
      </c>
      <c r="BI8" s="77">
        <v>54</v>
      </c>
      <c r="BJ8" s="72">
        <v>1.006924248719014</v>
      </c>
      <c r="BK8" s="28">
        <v>2</v>
      </c>
      <c r="BL8" s="615">
        <v>6</v>
      </c>
      <c r="BM8" s="28"/>
      <c r="BN8" s="712" t="s">
        <v>206</v>
      </c>
      <c r="BO8" s="77" t="s">
        <v>685</v>
      </c>
      <c r="BP8" s="77" t="s">
        <v>687</v>
      </c>
      <c r="BQ8" s="135">
        <v>2.3891691000796387</v>
      </c>
      <c r="BR8" s="77">
        <v>2</v>
      </c>
      <c r="BS8" s="28">
        <v>2</v>
      </c>
      <c r="BT8" s="77">
        <v>5</v>
      </c>
      <c r="BU8" s="584">
        <v>37.67</v>
      </c>
      <c r="BV8" s="28">
        <v>35</v>
      </c>
      <c r="BW8" s="28">
        <v>10</v>
      </c>
      <c r="BX8" s="28">
        <v>6</v>
      </c>
      <c r="BY8" s="28">
        <v>46</v>
      </c>
      <c r="BZ8" s="28">
        <v>0</v>
      </c>
      <c r="CA8" s="566">
        <v>1.0883992567029466</v>
      </c>
      <c r="CB8" s="77">
        <v>4</v>
      </c>
      <c r="CC8" s="28">
        <v>0</v>
      </c>
      <c r="CD8" s="615">
        <v>6</v>
      </c>
      <c r="CG8" s="712" t="s">
        <v>174</v>
      </c>
      <c r="CH8" s="77" t="s">
        <v>266</v>
      </c>
      <c r="CI8" s="77" t="s">
        <v>271</v>
      </c>
      <c r="CJ8" s="130">
        <v>0.36799999999999999</v>
      </c>
      <c r="CK8" s="72">
        <v>0.4</v>
      </c>
      <c r="CL8" s="72">
        <v>0.69699999999999995</v>
      </c>
      <c r="CM8" s="77">
        <v>19</v>
      </c>
      <c r="CN8" s="28">
        <v>76</v>
      </c>
      <c r="CO8" s="28">
        <v>11</v>
      </c>
      <c r="CP8" s="28">
        <v>28</v>
      </c>
      <c r="CQ8" s="28">
        <v>7</v>
      </c>
      <c r="CR8" s="28">
        <v>0</v>
      </c>
      <c r="CS8" s="28">
        <v>6</v>
      </c>
      <c r="CT8" s="28">
        <v>14</v>
      </c>
      <c r="CU8" s="28">
        <v>4</v>
      </c>
      <c r="CV8" s="28">
        <v>15</v>
      </c>
      <c r="CW8" s="77">
        <v>0</v>
      </c>
      <c r="CX8" s="74">
        <v>5</v>
      </c>
      <c r="CY8" s="28">
        <v>53</v>
      </c>
      <c r="CZ8" s="72">
        <v>1.097</v>
      </c>
      <c r="DA8" s="28">
        <v>0</v>
      </c>
      <c r="DB8" s="615">
        <v>6</v>
      </c>
      <c r="DC8" s="28"/>
      <c r="DD8" s="712" t="s">
        <v>206</v>
      </c>
      <c r="DE8" s="77" t="s">
        <v>429</v>
      </c>
      <c r="DF8" s="77" t="s">
        <v>289</v>
      </c>
      <c r="DG8" s="135">
        <v>2.4500000000000002</v>
      </c>
      <c r="DH8" s="77">
        <v>5</v>
      </c>
      <c r="DI8" s="28">
        <v>0</v>
      </c>
      <c r="DJ8" s="77">
        <v>5</v>
      </c>
      <c r="DK8" s="584">
        <v>33</v>
      </c>
      <c r="DL8" s="28">
        <v>27</v>
      </c>
      <c r="DM8" s="28">
        <v>9</v>
      </c>
      <c r="DN8" s="28">
        <v>10</v>
      </c>
      <c r="DO8" s="28">
        <v>30</v>
      </c>
      <c r="DP8" s="28">
        <v>0</v>
      </c>
      <c r="DQ8" s="89">
        <v>1.1200000000000001</v>
      </c>
      <c r="DR8" s="28">
        <v>1</v>
      </c>
      <c r="DS8" s="28">
        <v>1</v>
      </c>
      <c r="DT8" s="615">
        <v>6</v>
      </c>
    </row>
    <row r="9" spans="2:124">
      <c r="B9" s="712" t="s">
        <v>181</v>
      </c>
      <c r="C9" s="77" t="s">
        <v>685</v>
      </c>
      <c r="D9" s="77" t="s">
        <v>686</v>
      </c>
      <c r="E9" s="130">
        <v>0.375</v>
      </c>
      <c r="F9" s="72">
        <v>0.43820224719101125</v>
      </c>
      <c r="G9" s="72">
        <v>0.7</v>
      </c>
      <c r="H9" s="77">
        <v>20</v>
      </c>
      <c r="I9" s="28">
        <v>80</v>
      </c>
      <c r="J9" s="28">
        <v>16</v>
      </c>
      <c r="K9" s="28">
        <v>30</v>
      </c>
      <c r="L9" s="28">
        <v>3</v>
      </c>
      <c r="M9" s="28">
        <v>1</v>
      </c>
      <c r="N9" s="28">
        <v>7</v>
      </c>
      <c r="O9" s="28">
        <v>14</v>
      </c>
      <c r="P9" s="28">
        <v>9</v>
      </c>
      <c r="Q9" s="28">
        <v>22</v>
      </c>
      <c r="R9" s="77">
        <v>3</v>
      </c>
      <c r="S9" s="28">
        <v>8</v>
      </c>
      <c r="T9" s="77">
        <v>56</v>
      </c>
      <c r="U9" s="72">
        <v>1.1382022471910112</v>
      </c>
      <c r="V9" s="28">
        <v>2</v>
      </c>
      <c r="W9" s="615">
        <v>7</v>
      </c>
      <c r="X9" s="28"/>
      <c r="Y9" s="712" t="s">
        <v>212</v>
      </c>
      <c r="Z9" s="77" t="s">
        <v>717</v>
      </c>
      <c r="AA9" s="77" t="s">
        <v>755</v>
      </c>
      <c r="AB9" s="135">
        <v>1</v>
      </c>
      <c r="AC9" s="77">
        <v>0</v>
      </c>
      <c r="AD9" s="28">
        <v>1</v>
      </c>
      <c r="AE9" s="77">
        <v>15</v>
      </c>
      <c r="AF9" s="584">
        <v>18</v>
      </c>
      <c r="AG9" s="28">
        <v>12</v>
      </c>
      <c r="AH9" s="28">
        <v>2</v>
      </c>
      <c r="AI9" s="28">
        <v>5</v>
      </c>
      <c r="AJ9" s="28">
        <v>20</v>
      </c>
      <c r="AK9" s="28">
        <v>2</v>
      </c>
      <c r="AL9" s="567">
        <v>0.94</v>
      </c>
      <c r="AM9" s="77">
        <v>0</v>
      </c>
      <c r="AN9" s="28">
        <v>0</v>
      </c>
      <c r="AO9" s="615">
        <v>7</v>
      </c>
      <c r="AQ9" s="712" t="s">
        <v>181</v>
      </c>
      <c r="AR9" s="77" t="s">
        <v>226</v>
      </c>
      <c r="AS9" s="77" t="s">
        <v>229</v>
      </c>
      <c r="AT9" s="130">
        <v>0.375</v>
      </c>
      <c r="AU9" s="72">
        <v>0.47674418604651164</v>
      </c>
      <c r="AV9" s="72">
        <v>0.65277777777777779</v>
      </c>
      <c r="AW9" s="77">
        <v>20</v>
      </c>
      <c r="AX9" s="28">
        <v>72</v>
      </c>
      <c r="AY9" s="28">
        <v>21</v>
      </c>
      <c r="AZ9" s="28">
        <v>27</v>
      </c>
      <c r="BA9" s="28">
        <v>2</v>
      </c>
      <c r="BB9" s="28">
        <v>0</v>
      </c>
      <c r="BC9" s="28">
        <v>6</v>
      </c>
      <c r="BD9" s="28">
        <v>14</v>
      </c>
      <c r="BE9" s="28">
        <v>14</v>
      </c>
      <c r="BF9" s="28">
        <v>6</v>
      </c>
      <c r="BG9" s="77">
        <v>0</v>
      </c>
      <c r="BH9" s="28">
        <v>8</v>
      </c>
      <c r="BI9" s="77">
        <v>47</v>
      </c>
      <c r="BJ9" s="72">
        <v>1.1295219638242895</v>
      </c>
      <c r="BK9" s="28">
        <v>2</v>
      </c>
      <c r="BL9" s="615">
        <v>7</v>
      </c>
      <c r="BM9" s="28"/>
      <c r="BN9" s="712" t="s">
        <v>206</v>
      </c>
      <c r="BO9" s="77" t="s">
        <v>165</v>
      </c>
      <c r="BP9" s="77" t="s">
        <v>207</v>
      </c>
      <c r="BQ9" s="135">
        <v>2.3891691000796387</v>
      </c>
      <c r="BR9" s="77">
        <v>1</v>
      </c>
      <c r="BS9" s="28">
        <v>2</v>
      </c>
      <c r="BT9" s="77">
        <v>5</v>
      </c>
      <c r="BU9" s="584">
        <v>37.67</v>
      </c>
      <c r="BV9" s="28">
        <v>27</v>
      </c>
      <c r="BW9" s="28">
        <v>10</v>
      </c>
      <c r="BX9" s="28">
        <v>10</v>
      </c>
      <c r="BY9" s="28">
        <v>42</v>
      </c>
      <c r="BZ9" s="28">
        <v>0</v>
      </c>
      <c r="CA9" s="567">
        <v>0.98221396336607381</v>
      </c>
      <c r="CB9" s="77">
        <v>2</v>
      </c>
      <c r="CC9" s="28">
        <v>0</v>
      </c>
      <c r="CD9" s="615">
        <v>7</v>
      </c>
      <c r="CG9" s="712" t="s">
        <v>181</v>
      </c>
      <c r="CH9" s="77" t="s">
        <v>717</v>
      </c>
      <c r="CI9" s="77" t="s">
        <v>723</v>
      </c>
      <c r="CJ9" s="130">
        <v>0.376</v>
      </c>
      <c r="CK9" s="72">
        <v>0.436</v>
      </c>
      <c r="CL9" s="72">
        <v>0.57599999999999996</v>
      </c>
      <c r="CM9" s="77">
        <v>20</v>
      </c>
      <c r="CN9" s="28">
        <v>85</v>
      </c>
      <c r="CO9" s="28">
        <v>17</v>
      </c>
      <c r="CP9" s="28">
        <v>32</v>
      </c>
      <c r="CQ9" s="28">
        <v>6</v>
      </c>
      <c r="CR9" s="28">
        <v>1</v>
      </c>
      <c r="CS9" s="28">
        <v>3</v>
      </c>
      <c r="CT9" s="28">
        <v>11</v>
      </c>
      <c r="CU9" s="28">
        <v>9</v>
      </c>
      <c r="CV9" s="28">
        <v>15</v>
      </c>
      <c r="CW9" s="77">
        <v>12</v>
      </c>
      <c r="CX9" s="74">
        <v>6</v>
      </c>
      <c r="CY9" s="28">
        <v>49</v>
      </c>
      <c r="CZ9" s="72">
        <v>1.0129999999999999</v>
      </c>
      <c r="DA9" s="28">
        <v>1</v>
      </c>
      <c r="DB9" s="615">
        <v>7</v>
      </c>
      <c r="DC9" s="28"/>
      <c r="DD9" s="712" t="s">
        <v>212</v>
      </c>
      <c r="DE9" s="77" t="s">
        <v>266</v>
      </c>
      <c r="DF9" s="77" t="s">
        <v>296</v>
      </c>
      <c r="DG9" s="135">
        <v>3</v>
      </c>
      <c r="DH9" s="77">
        <v>0</v>
      </c>
      <c r="DI9" s="28">
        <v>1</v>
      </c>
      <c r="DJ9" s="77">
        <v>12</v>
      </c>
      <c r="DK9" s="584">
        <v>15</v>
      </c>
      <c r="DL9" s="28">
        <v>9</v>
      </c>
      <c r="DM9" s="28">
        <v>5</v>
      </c>
      <c r="DN9" s="28">
        <v>5</v>
      </c>
      <c r="DO9" s="28">
        <v>24</v>
      </c>
      <c r="DP9" s="28">
        <v>5</v>
      </c>
      <c r="DQ9" s="89">
        <v>0.93</v>
      </c>
      <c r="DR9" s="28">
        <v>0</v>
      </c>
      <c r="DS9" s="28">
        <v>0</v>
      </c>
      <c r="DT9" s="615">
        <v>7</v>
      </c>
    </row>
    <row r="10" spans="2:124">
      <c r="B10" s="712" t="s">
        <v>166</v>
      </c>
      <c r="C10" s="77" t="s">
        <v>165</v>
      </c>
      <c r="D10" s="77" t="s">
        <v>167</v>
      </c>
      <c r="E10" s="130">
        <v>0.26190476190476192</v>
      </c>
      <c r="F10" s="72">
        <v>0.32608695652173914</v>
      </c>
      <c r="G10" s="72">
        <v>0.63095238095238093</v>
      </c>
      <c r="H10" s="77">
        <v>20</v>
      </c>
      <c r="I10" s="28">
        <v>84</v>
      </c>
      <c r="J10" s="28">
        <v>16</v>
      </c>
      <c r="K10" s="28">
        <v>22</v>
      </c>
      <c r="L10" s="28">
        <v>4</v>
      </c>
      <c r="M10" s="28">
        <v>0</v>
      </c>
      <c r="N10" s="28">
        <v>9</v>
      </c>
      <c r="O10" s="28">
        <v>17</v>
      </c>
      <c r="P10" s="28">
        <v>8</v>
      </c>
      <c r="Q10" s="28">
        <v>32</v>
      </c>
      <c r="R10" s="77">
        <v>0</v>
      </c>
      <c r="S10" s="28">
        <v>8</v>
      </c>
      <c r="T10" s="77">
        <v>53</v>
      </c>
      <c r="U10" s="72">
        <v>0.95703933747412007</v>
      </c>
      <c r="V10" s="28">
        <v>4</v>
      </c>
      <c r="W10" s="615">
        <v>8</v>
      </c>
      <c r="X10" s="28"/>
      <c r="Y10" s="712" t="s">
        <v>212</v>
      </c>
      <c r="Z10" s="77" t="s">
        <v>611</v>
      </c>
      <c r="AA10" s="77" t="s">
        <v>644</v>
      </c>
      <c r="AB10" s="135">
        <v>1.7612524461839529</v>
      </c>
      <c r="AC10" s="77">
        <v>0</v>
      </c>
      <c r="AD10" s="28">
        <v>0</v>
      </c>
      <c r="AE10" s="77">
        <v>13</v>
      </c>
      <c r="AF10" s="584">
        <v>15.33</v>
      </c>
      <c r="AG10" s="28">
        <v>8</v>
      </c>
      <c r="AH10" s="28">
        <v>3</v>
      </c>
      <c r="AI10" s="28">
        <v>10</v>
      </c>
      <c r="AJ10" s="28">
        <v>17</v>
      </c>
      <c r="AK10" s="28">
        <v>6</v>
      </c>
      <c r="AL10" s="566">
        <v>1.17</v>
      </c>
      <c r="AM10" s="77">
        <v>0</v>
      </c>
      <c r="AN10" s="28">
        <v>0</v>
      </c>
      <c r="AO10" s="615">
        <v>8</v>
      </c>
      <c r="AQ10" s="712" t="s">
        <v>166</v>
      </c>
      <c r="AR10" s="77" t="s">
        <v>429</v>
      </c>
      <c r="AS10" s="77" t="s">
        <v>431</v>
      </c>
      <c r="AT10" s="130">
        <v>0.26595744680851063</v>
      </c>
      <c r="AU10" s="72">
        <v>0.31</v>
      </c>
      <c r="AV10" s="72">
        <v>0.6063829787234043</v>
      </c>
      <c r="AW10" s="77">
        <v>20</v>
      </c>
      <c r="AX10" s="28">
        <v>94</v>
      </c>
      <c r="AY10" s="28">
        <v>23</v>
      </c>
      <c r="AZ10" s="28">
        <v>25</v>
      </c>
      <c r="BA10" s="28">
        <v>6</v>
      </c>
      <c r="BB10" s="28">
        <v>1</v>
      </c>
      <c r="BC10" s="28">
        <v>8</v>
      </c>
      <c r="BD10" s="28">
        <v>16</v>
      </c>
      <c r="BE10" s="28">
        <v>6</v>
      </c>
      <c r="BF10" s="28">
        <v>32</v>
      </c>
      <c r="BG10" s="77">
        <v>5</v>
      </c>
      <c r="BH10" s="28">
        <v>7</v>
      </c>
      <c r="BI10" s="77">
        <v>57</v>
      </c>
      <c r="BJ10" s="72">
        <v>0.91638297872340435</v>
      </c>
      <c r="BK10" s="28">
        <v>2</v>
      </c>
      <c r="BL10" s="615">
        <v>8</v>
      </c>
      <c r="BM10" s="28"/>
      <c r="BN10" s="712" t="s">
        <v>206</v>
      </c>
      <c r="BO10" s="77" t="s">
        <v>580</v>
      </c>
      <c r="BP10" s="77" t="s">
        <v>597</v>
      </c>
      <c r="BQ10" s="135">
        <v>2.3142857142857145</v>
      </c>
      <c r="BR10" s="77">
        <v>2</v>
      </c>
      <c r="BS10" s="28">
        <v>1</v>
      </c>
      <c r="BT10" s="77">
        <v>5</v>
      </c>
      <c r="BU10" s="584">
        <v>35</v>
      </c>
      <c r="BV10" s="28">
        <v>23</v>
      </c>
      <c r="BW10" s="28">
        <v>9</v>
      </c>
      <c r="BX10" s="28">
        <v>12</v>
      </c>
      <c r="BY10" s="28">
        <v>40</v>
      </c>
      <c r="BZ10" s="28">
        <v>0</v>
      </c>
      <c r="CA10" s="566">
        <v>1</v>
      </c>
      <c r="CB10" s="77">
        <v>2</v>
      </c>
      <c r="CC10" s="28">
        <v>0</v>
      </c>
      <c r="CD10" s="615">
        <v>8</v>
      </c>
      <c r="CG10" s="712" t="s">
        <v>166</v>
      </c>
      <c r="CH10" s="77" t="s">
        <v>429</v>
      </c>
      <c r="CI10" s="77" t="s">
        <v>431</v>
      </c>
      <c r="CJ10" s="130">
        <v>0.26100000000000001</v>
      </c>
      <c r="CK10" s="72">
        <v>0.29299999999999998</v>
      </c>
      <c r="CL10" s="72">
        <v>0.75</v>
      </c>
      <c r="CM10" s="77">
        <v>20</v>
      </c>
      <c r="CN10" s="28">
        <v>88</v>
      </c>
      <c r="CO10" s="28">
        <v>16</v>
      </c>
      <c r="CP10" s="28">
        <v>23</v>
      </c>
      <c r="CQ10" s="28">
        <v>5</v>
      </c>
      <c r="CR10" s="28">
        <v>1</v>
      </c>
      <c r="CS10" s="28">
        <v>12</v>
      </c>
      <c r="CT10" s="28">
        <v>24</v>
      </c>
      <c r="CU10" s="28">
        <v>4</v>
      </c>
      <c r="CV10" s="28">
        <v>31</v>
      </c>
      <c r="CW10" s="77">
        <v>0</v>
      </c>
      <c r="CX10" s="74">
        <v>8</v>
      </c>
      <c r="CY10" s="28">
        <v>66</v>
      </c>
      <c r="CZ10" s="72">
        <v>1.0429999999999999</v>
      </c>
      <c r="DA10" s="28">
        <v>3</v>
      </c>
      <c r="DB10" s="615">
        <v>8</v>
      </c>
      <c r="DC10" s="28"/>
      <c r="DD10" s="712" t="s">
        <v>212</v>
      </c>
      <c r="DE10" s="77" t="s">
        <v>165</v>
      </c>
      <c r="DF10" s="77" t="s">
        <v>222</v>
      </c>
      <c r="DG10" s="135">
        <v>0.71</v>
      </c>
      <c r="DH10" s="77">
        <v>0</v>
      </c>
      <c r="DI10" s="28">
        <v>1</v>
      </c>
      <c r="DJ10" s="77">
        <v>12</v>
      </c>
      <c r="DK10" s="584">
        <v>12.7</v>
      </c>
      <c r="DL10" s="28">
        <v>5</v>
      </c>
      <c r="DM10" s="28">
        <v>1</v>
      </c>
      <c r="DN10" s="28">
        <v>8</v>
      </c>
      <c r="DO10" s="28">
        <v>20</v>
      </c>
      <c r="DP10" s="28">
        <v>2</v>
      </c>
      <c r="DQ10" s="89">
        <v>1.03</v>
      </c>
      <c r="DR10" s="28">
        <v>0</v>
      </c>
      <c r="DS10" s="28">
        <v>0</v>
      </c>
      <c r="DT10" s="615">
        <v>8</v>
      </c>
    </row>
    <row r="11" spans="2:124">
      <c r="B11" s="712" t="s">
        <v>168</v>
      </c>
      <c r="C11" s="77" t="s">
        <v>539</v>
      </c>
      <c r="D11" s="77" t="s">
        <v>540</v>
      </c>
      <c r="E11" s="130">
        <v>0.36842105263157893</v>
      </c>
      <c r="F11" s="72">
        <v>0.46666666666666667</v>
      </c>
      <c r="G11" s="72">
        <v>0.67105263157894735</v>
      </c>
      <c r="H11" s="77">
        <v>20</v>
      </c>
      <c r="I11" s="28">
        <v>76</v>
      </c>
      <c r="J11" s="28">
        <v>15</v>
      </c>
      <c r="K11" s="28">
        <v>28</v>
      </c>
      <c r="L11" s="28">
        <v>8</v>
      </c>
      <c r="M11" s="28">
        <v>0</v>
      </c>
      <c r="N11" s="28">
        <v>5</v>
      </c>
      <c r="O11" s="28">
        <v>17</v>
      </c>
      <c r="P11" s="28">
        <v>14</v>
      </c>
      <c r="Q11" s="28">
        <v>13</v>
      </c>
      <c r="R11" s="77">
        <v>0</v>
      </c>
      <c r="S11" s="28">
        <v>8</v>
      </c>
      <c r="T11" s="77">
        <v>51</v>
      </c>
      <c r="U11" s="72">
        <v>1.1377192982456141</v>
      </c>
      <c r="V11" s="74">
        <v>1</v>
      </c>
      <c r="W11" s="615">
        <v>9</v>
      </c>
      <c r="X11" s="28"/>
      <c r="Y11" s="712" t="s">
        <v>212</v>
      </c>
      <c r="Z11" s="77" t="s">
        <v>429</v>
      </c>
      <c r="AA11" s="77" t="s">
        <v>227</v>
      </c>
      <c r="AB11" s="135">
        <v>1.8</v>
      </c>
      <c r="AC11" s="77">
        <v>0</v>
      </c>
      <c r="AD11" s="28">
        <v>1</v>
      </c>
      <c r="AE11" s="77">
        <v>13</v>
      </c>
      <c r="AF11" s="584">
        <v>15</v>
      </c>
      <c r="AG11" s="28">
        <v>14</v>
      </c>
      <c r="AH11" s="28">
        <v>3</v>
      </c>
      <c r="AI11" s="28">
        <v>3</v>
      </c>
      <c r="AJ11" s="28">
        <v>19</v>
      </c>
      <c r="AK11" s="28">
        <v>7</v>
      </c>
      <c r="AL11" s="567">
        <v>1.1299999999999999</v>
      </c>
      <c r="AM11" s="77">
        <v>0</v>
      </c>
      <c r="AN11" s="28">
        <v>0</v>
      </c>
      <c r="AO11" s="615">
        <v>9</v>
      </c>
      <c r="AQ11" s="712" t="s">
        <v>168</v>
      </c>
      <c r="AR11" s="77" t="s">
        <v>226</v>
      </c>
      <c r="AS11" s="77" t="s">
        <v>230</v>
      </c>
      <c r="AT11" s="130">
        <v>0.31578947368421051</v>
      </c>
      <c r="AU11" s="72">
        <v>0.42857142857142855</v>
      </c>
      <c r="AV11" s="72">
        <v>0.67105263157894735</v>
      </c>
      <c r="AW11" s="77">
        <v>20</v>
      </c>
      <c r="AX11" s="28">
        <v>76</v>
      </c>
      <c r="AY11" s="28">
        <v>15</v>
      </c>
      <c r="AZ11" s="28">
        <v>24</v>
      </c>
      <c r="BA11" s="28">
        <v>6</v>
      </c>
      <c r="BB11" s="28">
        <v>0</v>
      </c>
      <c r="BC11" s="28">
        <v>7</v>
      </c>
      <c r="BD11" s="28">
        <v>22</v>
      </c>
      <c r="BE11" s="28">
        <v>15</v>
      </c>
      <c r="BF11" s="28">
        <v>15</v>
      </c>
      <c r="BG11" s="77">
        <v>0</v>
      </c>
      <c r="BH11" s="28">
        <v>7</v>
      </c>
      <c r="BI11" s="77">
        <v>51</v>
      </c>
      <c r="BJ11" s="72">
        <v>1.0996240601503759</v>
      </c>
      <c r="BK11" s="28">
        <v>3</v>
      </c>
      <c r="BL11" s="615">
        <v>9</v>
      </c>
      <c r="BM11" s="28"/>
      <c r="BN11" s="712" t="s">
        <v>212</v>
      </c>
      <c r="BO11" s="77" t="s">
        <v>226</v>
      </c>
      <c r="BP11" s="77" t="s">
        <v>262</v>
      </c>
      <c r="BQ11" s="135">
        <v>3.4460753031269942</v>
      </c>
      <c r="BR11" s="77">
        <v>0</v>
      </c>
      <c r="BS11" s="28">
        <v>0</v>
      </c>
      <c r="BT11" s="77">
        <v>13</v>
      </c>
      <c r="BU11" s="584">
        <v>15.67</v>
      </c>
      <c r="BV11" s="28">
        <v>15</v>
      </c>
      <c r="BW11" s="28">
        <v>6</v>
      </c>
      <c r="BX11" s="28">
        <v>2</v>
      </c>
      <c r="BY11" s="28">
        <v>24</v>
      </c>
      <c r="BZ11" s="28">
        <v>6</v>
      </c>
      <c r="CA11" s="567">
        <v>1.0848755583918315</v>
      </c>
      <c r="CB11" s="77">
        <v>0</v>
      </c>
      <c r="CC11" s="28">
        <v>0</v>
      </c>
      <c r="CD11" s="615">
        <v>9</v>
      </c>
      <c r="CG11" s="712" t="s">
        <v>168</v>
      </c>
      <c r="CH11" s="77" t="s">
        <v>394</v>
      </c>
      <c r="CI11" s="77" t="s">
        <v>395</v>
      </c>
      <c r="CJ11" s="130">
        <v>0.29099999999999998</v>
      </c>
      <c r="CK11" s="72">
        <v>0.36399999999999999</v>
      </c>
      <c r="CL11" s="72">
        <v>0.69599999999999995</v>
      </c>
      <c r="CM11" s="77">
        <v>20</v>
      </c>
      <c r="CN11" s="28">
        <v>79</v>
      </c>
      <c r="CO11" s="28">
        <v>13</v>
      </c>
      <c r="CP11" s="28">
        <v>23</v>
      </c>
      <c r="CQ11" s="28">
        <v>5</v>
      </c>
      <c r="CR11" s="28">
        <v>0</v>
      </c>
      <c r="CS11" s="28">
        <v>9</v>
      </c>
      <c r="CT11" s="28">
        <v>19</v>
      </c>
      <c r="CU11" s="28">
        <v>9</v>
      </c>
      <c r="CV11" s="28">
        <v>21</v>
      </c>
      <c r="CW11" s="77">
        <v>0</v>
      </c>
      <c r="CX11" s="74">
        <v>11</v>
      </c>
      <c r="CY11" s="28">
        <v>55</v>
      </c>
      <c r="CZ11" s="72">
        <v>1.06</v>
      </c>
      <c r="DA11" s="28">
        <v>3</v>
      </c>
      <c r="DB11" s="615">
        <v>9</v>
      </c>
      <c r="DC11" s="28"/>
      <c r="DD11" s="712" t="s">
        <v>212</v>
      </c>
      <c r="DE11" s="77" t="s">
        <v>580</v>
      </c>
      <c r="DF11" s="77" t="s">
        <v>607</v>
      </c>
      <c r="DG11" s="135">
        <v>0.82</v>
      </c>
      <c r="DH11" s="77">
        <v>1</v>
      </c>
      <c r="DI11" s="28">
        <v>1</v>
      </c>
      <c r="DJ11" s="77">
        <v>11</v>
      </c>
      <c r="DK11" s="584">
        <v>11</v>
      </c>
      <c r="DL11" s="28">
        <v>8</v>
      </c>
      <c r="DM11" s="28">
        <v>1</v>
      </c>
      <c r="DN11" s="28">
        <v>4</v>
      </c>
      <c r="DO11" s="28">
        <v>13</v>
      </c>
      <c r="DP11" s="28">
        <v>6</v>
      </c>
      <c r="DQ11" s="89">
        <v>1.0900000000000001</v>
      </c>
      <c r="DR11" s="28">
        <v>0</v>
      </c>
      <c r="DS11" s="28">
        <v>0</v>
      </c>
      <c r="DT11" s="615">
        <v>9</v>
      </c>
    </row>
    <row r="12" spans="2:124">
      <c r="B12" s="712" t="s">
        <v>1915</v>
      </c>
      <c r="C12" s="77" t="s">
        <v>463</v>
      </c>
      <c r="D12" s="77" t="s">
        <v>472</v>
      </c>
      <c r="E12" s="130">
        <v>0.379746835443038</v>
      </c>
      <c r="F12" s="72">
        <v>0.45555555555555555</v>
      </c>
      <c r="G12" s="72">
        <v>0.49367088607594939</v>
      </c>
      <c r="H12" s="77">
        <v>20</v>
      </c>
      <c r="I12" s="28">
        <v>79</v>
      </c>
      <c r="J12" s="28">
        <v>9</v>
      </c>
      <c r="K12" s="28">
        <v>30</v>
      </c>
      <c r="L12" s="28">
        <v>6</v>
      </c>
      <c r="M12" s="28">
        <v>0</v>
      </c>
      <c r="N12" s="28">
        <v>1</v>
      </c>
      <c r="O12" s="28">
        <v>10</v>
      </c>
      <c r="P12" s="28">
        <v>11</v>
      </c>
      <c r="Q12" s="28">
        <v>13</v>
      </c>
      <c r="R12" s="77">
        <v>0</v>
      </c>
      <c r="S12" s="28">
        <v>6</v>
      </c>
      <c r="T12" s="77">
        <v>39</v>
      </c>
      <c r="U12" s="72">
        <v>0.94922644163150494</v>
      </c>
      <c r="V12" s="74">
        <v>1</v>
      </c>
      <c r="W12" s="615">
        <v>10</v>
      </c>
      <c r="X12" s="28"/>
      <c r="Y12" s="712" t="s">
        <v>212</v>
      </c>
      <c r="Z12" s="77" t="s">
        <v>394</v>
      </c>
      <c r="AA12" s="77" t="s">
        <v>425</v>
      </c>
      <c r="AB12" s="135">
        <v>1.3967925504397312</v>
      </c>
      <c r="AC12" s="77">
        <v>2</v>
      </c>
      <c r="AD12" s="28">
        <v>0</v>
      </c>
      <c r="AE12" s="77">
        <v>16</v>
      </c>
      <c r="AF12" s="584">
        <v>19.329999999999998</v>
      </c>
      <c r="AG12" s="28">
        <v>17</v>
      </c>
      <c r="AH12" s="28">
        <v>3</v>
      </c>
      <c r="AI12" s="28">
        <v>1</v>
      </c>
      <c r="AJ12" s="28">
        <v>19</v>
      </c>
      <c r="AK12" s="28">
        <v>5</v>
      </c>
      <c r="AL12" s="566">
        <v>0.93</v>
      </c>
      <c r="AM12" s="77">
        <v>0</v>
      </c>
      <c r="AN12" s="28">
        <v>0</v>
      </c>
      <c r="AO12" s="615">
        <v>10</v>
      </c>
      <c r="AQ12" s="712" t="s">
        <v>1915</v>
      </c>
      <c r="AR12" s="77" t="s">
        <v>394</v>
      </c>
      <c r="AS12" s="77" t="s">
        <v>404</v>
      </c>
      <c r="AT12" s="130">
        <v>0.31578947368421051</v>
      </c>
      <c r="AU12" s="72">
        <v>0.37349397590361444</v>
      </c>
      <c r="AV12" s="72">
        <v>0.53947368421052633</v>
      </c>
      <c r="AW12" s="77">
        <v>20</v>
      </c>
      <c r="AX12" s="28">
        <v>76</v>
      </c>
      <c r="AY12" s="28">
        <v>12</v>
      </c>
      <c r="AZ12" s="28">
        <v>24</v>
      </c>
      <c r="BA12" s="28">
        <v>5</v>
      </c>
      <c r="BB12" s="28">
        <v>0</v>
      </c>
      <c r="BC12" s="28">
        <v>4</v>
      </c>
      <c r="BD12" s="28">
        <v>11</v>
      </c>
      <c r="BE12" s="28">
        <v>7</v>
      </c>
      <c r="BF12" s="28">
        <v>20</v>
      </c>
      <c r="BG12" s="77">
        <v>0</v>
      </c>
      <c r="BH12" s="28">
        <v>9</v>
      </c>
      <c r="BI12" s="77">
        <v>41</v>
      </c>
      <c r="BJ12" s="72">
        <v>0.91296766011414077</v>
      </c>
      <c r="BK12" s="28">
        <v>1</v>
      </c>
      <c r="BL12" s="615">
        <v>10</v>
      </c>
      <c r="BM12" s="28"/>
      <c r="BN12" s="712" t="s">
        <v>212</v>
      </c>
      <c r="BO12" s="77" t="s">
        <v>429</v>
      </c>
      <c r="BP12" s="77" t="s">
        <v>227</v>
      </c>
      <c r="BQ12" s="135">
        <v>3.2028469750889679</v>
      </c>
      <c r="BR12" s="77">
        <v>2</v>
      </c>
      <c r="BS12" s="28">
        <v>2</v>
      </c>
      <c r="BT12" s="77">
        <v>16</v>
      </c>
      <c r="BU12" s="584">
        <v>19.670000000000002</v>
      </c>
      <c r="BV12" s="28">
        <v>15</v>
      </c>
      <c r="BW12" s="28">
        <v>7</v>
      </c>
      <c r="BX12" s="28">
        <v>6</v>
      </c>
      <c r="BY12" s="28">
        <v>21</v>
      </c>
      <c r="BZ12" s="28">
        <v>6</v>
      </c>
      <c r="CA12" s="566">
        <v>1.0676156583629892</v>
      </c>
      <c r="CB12" s="77">
        <v>0</v>
      </c>
      <c r="CC12" s="28">
        <v>0</v>
      </c>
      <c r="CD12" s="615">
        <v>10</v>
      </c>
      <c r="CG12" s="712" t="s">
        <v>1915</v>
      </c>
      <c r="CH12" s="77" t="s">
        <v>429</v>
      </c>
      <c r="CI12" s="77" t="s">
        <v>436</v>
      </c>
      <c r="CJ12" s="130">
        <v>0.34399999999999997</v>
      </c>
      <c r="CK12" s="72">
        <v>0.437</v>
      </c>
      <c r="CL12" s="72">
        <v>0.67200000000000004</v>
      </c>
      <c r="CM12" s="77">
        <v>18</v>
      </c>
      <c r="CN12" s="28">
        <v>61</v>
      </c>
      <c r="CO12" s="28">
        <v>13</v>
      </c>
      <c r="CP12" s="28">
        <v>21</v>
      </c>
      <c r="CQ12" s="28">
        <v>3</v>
      </c>
      <c r="CR12" s="28">
        <v>1</v>
      </c>
      <c r="CS12" s="28">
        <v>5</v>
      </c>
      <c r="CT12" s="28">
        <v>10</v>
      </c>
      <c r="CU12" s="28">
        <v>10</v>
      </c>
      <c r="CV12" s="28">
        <v>13</v>
      </c>
      <c r="CW12" s="77">
        <v>0</v>
      </c>
      <c r="CX12" s="74">
        <v>5</v>
      </c>
      <c r="CY12" s="28">
        <v>41</v>
      </c>
      <c r="CZ12" s="72">
        <v>1.109</v>
      </c>
      <c r="DA12" s="28">
        <v>0</v>
      </c>
      <c r="DB12" s="615">
        <v>10</v>
      </c>
      <c r="DC12" s="28"/>
      <c r="DD12" s="712" t="s">
        <v>212</v>
      </c>
      <c r="DE12" s="77" t="s">
        <v>502</v>
      </c>
      <c r="DF12" s="77" t="s">
        <v>535</v>
      </c>
      <c r="DG12" s="135">
        <v>0.84</v>
      </c>
      <c r="DH12" s="77">
        <v>1</v>
      </c>
      <c r="DI12" s="28">
        <v>0</v>
      </c>
      <c r="DJ12" s="77">
        <v>11</v>
      </c>
      <c r="DK12" s="584">
        <v>10.7</v>
      </c>
      <c r="DL12" s="28">
        <v>7</v>
      </c>
      <c r="DM12" s="28">
        <v>1</v>
      </c>
      <c r="DN12" s="28">
        <v>2</v>
      </c>
      <c r="DO12" s="28">
        <v>12</v>
      </c>
      <c r="DP12" s="28">
        <v>6</v>
      </c>
      <c r="DQ12" s="89">
        <v>0.84</v>
      </c>
      <c r="DR12" s="28">
        <v>0</v>
      </c>
      <c r="DS12" s="28">
        <v>0</v>
      </c>
      <c r="DT12" s="615">
        <v>10</v>
      </c>
    </row>
    <row r="13" spans="2:124">
      <c r="B13" s="712" t="s">
        <v>1916</v>
      </c>
      <c r="C13" s="77" t="s">
        <v>717</v>
      </c>
      <c r="D13" s="77" t="s">
        <v>724</v>
      </c>
      <c r="E13" s="130">
        <v>0.25352112676056338</v>
      </c>
      <c r="F13" s="72">
        <v>0.4044943820224719</v>
      </c>
      <c r="G13" s="72">
        <v>0.54929577464788737</v>
      </c>
      <c r="H13" s="77">
        <v>20</v>
      </c>
      <c r="I13" s="28">
        <v>71</v>
      </c>
      <c r="J13" s="28">
        <v>13</v>
      </c>
      <c r="K13" s="28">
        <v>18</v>
      </c>
      <c r="L13" s="28">
        <v>3</v>
      </c>
      <c r="M13" s="28">
        <v>0</v>
      </c>
      <c r="N13" s="28">
        <v>6</v>
      </c>
      <c r="O13" s="28">
        <v>15</v>
      </c>
      <c r="P13" s="28">
        <v>18</v>
      </c>
      <c r="Q13" s="28">
        <v>15</v>
      </c>
      <c r="R13" s="77">
        <v>0</v>
      </c>
      <c r="S13" s="28">
        <v>5</v>
      </c>
      <c r="T13" s="77">
        <v>39</v>
      </c>
      <c r="U13" s="72">
        <v>0.95379015667035927</v>
      </c>
      <c r="V13" s="28">
        <v>1</v>
      </c>
      <c r="W13" s="615">
        <v>11</v>
      </c>
      <c r="X13" s="28"/>
      <c r="Y13" s="712" t="s">
        <v>212</v>
      </c>
      <c r="Z13" s="77" t="s">
        <v>539</v>
      </c>
      <c r="AA13" s="77" t="s">
        <v>569</v>
      </c>
      <c r="AB13" s="135">
        <v>1.884159106769016</v>
      </c>
      <c r="AC13" s="77">
        <v>1</v>
      </c>
      <c r="AD13" s="28">
        <v>0</v>
      </c>
      <c r="AE13" s="77">
        <v>12</v>
      </c>
      <c r="AF13" s="584">
        <v>14.33</v>
      </c>
      <c r="AG13" s="28">
        <v>8</v>
      </c>
      <c r="AH13" s="28">
        <v>3</v>
      </c>
      <c r="AI13" s="28">
        <v>3</v>
      </c>
      <c r="AJ13" s="28">
        <v>20</v>
      </c>
      <c r="AK13" s="28">
        <v>5</v>
      </c>
      <c r="AL13" s="567">
        <v>0.77</v>
      </c>
      <c r="AM13" s="77">
        <v>0</v>
      </c>
      <c r="AN13" s="28">
        <v>0</v>
      </c>
      <c r="AO13" s="615">
        <v>11</v>
      </c>
      <c r="AQ13" s="712" t="s">
        <v>1916</v>
      </c>
      <c r="AR13" s="77" t="s">
        <v>300</v>
      </c>
      <c r="AS13" s="77" t="s">
        <v>301</v>
      </c>
      <c r="AT13" s="130">
        <v>0.31645569620253167</v>
      </c>
      <c r="AU13" s="72">
        <v>0.4</v>
      </c>
      <c r="AV13" s="72">
        <v>0.50632911392405067</v>
      </c>
      <c r="AW13" s="77">
        <v>20</v>
      </c>
      <c r="AX13" s="28">
        <v>79</v>
      </c>
      <c r="AY13" s="28">
        <v>13</v>
      </c>
      <c r="AZ13" s="28">
        <v>25</v>
      </c>
      <c r="BA13" s="28">
        <v>3</v>
      </c>
      <c r="BB13" s="28">
        <v>0</v>
      </c>
      <c r="BC13" s="28">
        <v>4</v>
      </c>
      <c r="BD13" s="28">
        <v>12</v>
      </c>
      <c r="BE13" s="28">
        <v>11</v>
      </c>
      <c r="BF13" s="28">
        <v>14</v>
      </c>
      <c r="BG13" s="77">
        <v>0</v>
      </c>
      <c r="BH13" s="28">
        <v>7</v>
      </c>
      <c r="BI13" s="77">
        <v>40</v>
      </c>
      <c r="BJ13" s="72">
        <v>0.90632911392405069</v>
      </c>
      <c r="BK13" s="28">
        <v>1</v>
      </c>
      <c r="BL13" s="615">
        <v>11</v>
      </c>
      <c r="BM13" s="28"/>
      <c r="BN13" s="712" t="s">
        <v>212</v>
      </c>
      <c r="BO13" s="77" t="s">
        <v>717</v>
      </c>
      <c r="BP13" s="77" t="s">
        <v>755</v>
      </c>
      <c r="BQ13" s="135">
        <v>4.5</v>
      </c>
      <c r="BR13" s="77">
        <v>0</v>
      </c>
      <c r="BS13" s="28">
        <v>0</v>
      </c>
      <c r="BT13" s="77">
        <v>12</v>
      </c>
      <c r="BU13" s="584">
        <v>14</v>
      </c>
      <c r="BV13" s="28">
        <v>10</v>
      </c>
      <c r="BW13" s="28">
        <v>7</v>
      </c>
      <c r="BX13" s="28">
        <v>5</v>
      </c>
      <c r="BY13" s="28">
        <v>21</v>
      </c>
      <c r="BZ13" s="28">
        <v>5</v>
      </c>
      <c r="CA13" s="567">
        <v>1.0714285714285714</v>
      </c>
      <c r="CB13" s="77">
        <v>0</v>
      </c>
      <c r="CC13" s="28">
        <v>0</v>
      </c>
      <c r="CD13" s="615">
        <v>11</v>
      </c>
      <c r="CG13" s="712" t="s">
        <v>1916</v>
      </c>
      <c r="CH13" s="77" t="s">
        <v>717</v>
      </c>
      <c r="CI13" s="77" t="s">
        <v>720</v>
      </c>
      <c r="CJ13" s="130">
        <v>0.309</v>
      </c>
      <c r="CK13" s="72">
        <v>0.371</v>
      </c>
      <c r="CL13" s="72">
        <v>0.56799999999999995</v>
      </c>
      <c r="CM13" s="77">
        <v>20</v>
      </c>
      <c r="CN13" s="28">
        <v>81</v>
      </c>
      <c r="CO13" s="28">
        <v>10</v>
      </c>
      <c r="CP13" s="28">
        <v>25</v>
      </c>
      <c r="CQ13" s="28">
        <v>6</v>
      </c>
      <c r="CR13" s="28">
        <v>0</v>
      </c>
      <c r="CS13" s="28">
        <v>5</v>
      </c>
      <c r="CT13" s="28">
        <v>22</v>
      </c>
      <c r="CU13" s="28">
        <v>8</v>
      </c>
      <c r="CV13" s="28">
        <v>21</v>
      </c>
      <c r="CW13" s="77">
        <v>0</v>
      </c>
      <c r="CX13" s="74">
        <v>7</v>
      </c>
      <c r="CY13" s="28">
        <v>46</v>
      </c>
      <c r="CZ13" s="72">
        <v>0.93899999999999995</v>
      </c>
      <c r="DA13" s="28">
        <v>2</v>
      </c>
      <c r="DB13" s="615">
        <v>11</v>
      </c>
      <c r="DC13" s="28"/>
      <c r="DD13" s="712" t="s">
        <v>212</v>
      </c>
      <c r="DE13" s="77" t="s">
        <v>394</v>
      </c>
      <c r="DF13" s="77" t="s">
        <v>425</v>
      </c>
      <c r="DG13" s="135">
        <v>0.55000000000000004</v>
      </c>
      <c r="DH13" s="77">
        <v>3</v>
      </c>
      <c r="DI13" s="28">
        <v>0</v>
      </c>
      <c r="DJ13" s="77">
        <v>15</v>
      </c>
      <c r="DK13" s="584">
        <v>16.3</v>
      </c>
      <c r="DL13" s="28">
        <v>10</v>
      </c>
      <c r="DM13" s="28">
        <v>1</v>
      </c>
      <c r="DN13" s="28">
        <v>3</v>
      </c>
      <c r="DO13" s="28">
        <v>15</v>
      </c>
      <c r="DP13" s="28">
        <v>5</v>
      </c>
      <c r="DQ13" s="89">
        <v>0.8</v>
      </c>
      <c r="DR13" s="28">
        <v>0</v>
      </c>
      <c r="DS13" s="28">
        <v>0</v>
      </c>
      <c r="DT13" s="615">
        <v>11</v>
      </c>
    </row>
    <row r="14" spans="2:124" ht="17" thickBot="1">
      <c r="B14" s="712" t="s">
        <v>1917</v>
      </c>
      <c r="C14" s="77" t="s">
        <v>580</v>
      </c>
      <c r="D14" s="77" t="s">
        <v>583</v>
      </c>
      <c r="E14" s="130">
        <v>0.35897435897435898</v>
      </c>
      <c r="F14" s="72">
        <v>0.43181818181818182</v>
      </c>
      <c r="G14" s="72">
        <v>0.60256410256410253</v>
      </c>
      <c r="H14" s="77">
        <v>20</v>
      </c>
      <c r="I14" s="28">
        <v>78</v>
      </c>
      <c r="J14" s="28">
        <v>14</v>
      </c>
      <c r="K14" s="28">
        <v>28</v>
      </c>
      <c r="L14" s="28">
        <v>4</v>
      </c>
      <c r="M14" s="28">
        <v>0</v>
      </c>
      <c r="N14" s="28">
        <v>5</v>
      </c>
      <c r="O14" s="28">
        <v>12</v>
      </c>
      <c r="P14" s="28">
        <v>10</v>
      </c>
      <c r="Q14" s="28">
        <v>13</v>
      </c>
      <c r="R14" s="77">
        <v>1</v>
      </c>
      <c r="S14" s="28">
        <v>10</v>
      </c>
      <c r="T14" s="77">
        <v>47</v>
      </c>
      <c r="U14" s="72">
        <v>1.0343822843822843</v>
      </c>
      <c r="V14" s="28">
        <v>1</v>
      </c>
      <c r="W14" s="615">
        <v>12</v>
      </c>
      <c r="X14" s="28"/>
      <c r="Y14" s="714" t="s">
        <v>212</v>
      </c>
      <c r="Z14" s="636" t="s">
        <v>717</v>
      </c>
      <c r="AA14" s="636" t="s">
        <v>756</v>
      </c>
      <c r="AB14" s="936">
        <v>0.5625</v>
      </c>
      <c r="AC14" s="636">
        <v>2</v>
      </c>
      <c r="AD14" s="612">
        <v>0</v>
      </c>
      <c r="AE14" s="636">
        <v>14</v>
      </c>
      <c r="AF14" s="637">
        <v>16</v>
      </c>
      <c r="AG14" s="612">
        <v>7</v>
      </c>
      <c r="AH14" s="612">
        <v>1</v>
      </c>
      <c r="AI14" s="612">
        <v>2</v>
      </c>
      <c r="AJ14" s="612">
        <v>28</v>
      </c>
      <c r="AK14" s="612">
        <v>2</v>
      </c>
      <c r="AL14" s="937">
        <v>0.5625</v>
      </c>
      <c r="AM14" s="636">
        <v>0</v>
      </c>
      <c r="AN14" s="612">
        <v>0</v>
      </c>
      <c r="AO14" s="616">
        <v>12</v>
      </c>
      <c r="AQ14" s="712" t="s">
        <v>1917</v>
      </c>
      <c r="AR14" s="77" t="s">
        <v>580</v>
      </c>
      <c r="AS14" s="77" t="s">
        <v>583</v>
      </c>
      <c r="AT14" s="130">
        <v>0.2988505747126437</v>
      </c>
      <c r="AU14" s="72">
        <v>0.35106382978723405</v>
      </c>
      <c r="AV14" s="72">
        <v>0.48275862068965519</v>
      </c>
      <c r="AW14" s="77">
        <v>20</v>
      </c>
      <c r="AX14" s="28">
        <v>87</v>
      </c>
      <c r="AY14" s="28">
        <v>16</v>
      </c>
      <c r="AZ14" s="28">
        <v>26</v>
      </c>
      <c r="BA14" s="28">
        <v>10</v>
      </c>
      <c r="BB14" s="28">
        <v>0</v>
      </c>
      <c r="BC14" s="28">
        <v>2</v>
      </c>
      <c r="BD14" s="28">
        <v>5</v>
      </c>
      <c r="BE14" s="28">
        <v>7</v>
      </c>
      <c r="BF14" s="28">
        <v>21</v>
      </c>
      <c r="BG14" s="77">
        <v>5</v>
      </c>
      <c r="BH14" s="28">
        <v>5</v>
      </c>
      <c r="BI14" s="77">
        <v>42</v>
      </c>
      <c r="BJ14" s="72">
        <v>0.83382245047688919</v>
      </c>
      <c r="BK14" s="28">
        <v>2</v>
      </c>
      <c r="BL14" s="615">
        <v>12</v>
      </c>
      <c r="BM14" s="28"/>
      <c r="BN14" s="714" t="s">
        <v>212</v>
      </c>
      <c r="BO14" s="636" t="s">
        <v>339</v>
      </c>
      <c r="BP14" s="636" t="s">
        <v>375</v>
      </c>
      <c r="BQ14" s="936">
        <v>1.350337584396099</v>
      </c>
      <c r="BR14" s="636">
        <v>0</v>
      </c>
      <c r="BS14" s="612">
        <v>0</v>
      </c>
      <c r="BT14" s="636">
        <v>12</v>
      </c>
      <c r="BU14" s="637">
        <v>13.33</v>
      </c>
      <c r="BV14" s="612">
        <v>6</v>
      </c>
      <c r="BW14" s="612">
        <v>2</v>
      </c>
      <c r="BX14" s="612">
        <v>7</v>
      </c>
      <c r="BY14" s="612">
        <v>19</v>
      </c>
      <c r="BZ14" s="612">
        <v>5</v>
      </c>
      <c r="CA14" s="937">
        <v>0.97524381095273815</v>
      </c>
      <c r="CB14" s="636">
        <v>0</v>
      </c>
      <c r="CC14" s="612">
        <v>0</v>
      </c>
      <c r="CD14" s="616">
        <v>12</v>
      </c>
      <c r="CG14" s="712" t="s">
        <v>1917</v>
      </c>
      <c r="CH14" s="77" t="s">
        <v>165</v>
      </c>
      <c r="CI14" s="77" t="s">
        <v>175</v>
      </c>
      <c r="CJ14" s="130">
        <v>0.34799999999999998</v>
      </c>
      <c r="CK14" s="72">
        <v>0.438</v>
      </c>
      <c r="CL14" s="72">
        <v>0.623</v>
      </c>
      <c r="CM14" s="77">
        <v>19</v>
      </c>
      <c r="CN14" s="28">
        <v>69</v>
      </c>
      <c r="CO14" s="28">
        <v>15</v>
      </c>
      <c r="CP14" s="28">
        <v>24</v>
      </c>
      <c r="CQ14" s="28">
        <v>5</v>
      </c>
      <c r="CR14" s="28">
        <v>1</v>
      </c>
      <c r="CS14" s="28">
        <v>4</v>
      </c>
      <c r="CT14" s="28">
        <v>9</v>
      </c>
      <c r="CU14" s="28">
        <v>11</v>
      </c>
      <c r="CV14" s="28">
        <v>15</v>
      </c>
      <c r="CW14" s="77">
        <v>0</v>
      </c>
      <c r="CX14" s="74">
        <v>8</v>
      </c>
      <c r="CY14" s="28">
        <v>43</v>
      </c>
      <c r="CZ14" s="72">
        <v>1.0609999999999999</v>
      </c>
      <c r="DA14" s="28">
        <v>1</v>
      </c>
      <c r="DB14" s="615">
        <v>12</v>
      </c>
      <c r="DC14" s="28"/>
      <c r="DD14" s="714" t="s">
        <v>212</v>
      </c>
      <c r="DE14" s="636" t="s">
        <v>539</v>
      </c>
      <c r="DF14" s="636" t="s">
        <v>569</v>
      </c>
      <c r="DG14" s="936">
        <v>0</v>
      </c>
      <c r="DH14" s="636">
        <v>1</v>
      </c>
      <c r="DI14" s="612">
        <v>0</v>
      </c>
      <c r="DJ14" s="636">
        <v>15</v>
      </c>
      <c r="DK14" s="637">
        <v>16.3</v>
      </c>
      <c r="DL14" s="612">
        <v>8</v>
      </c>
      <c r="DM14" s="612">
        <v>0</v>
      </c>
      <c r="DN14" s="612">
        <v>3</v>
      </c>
      <c r="DO14" s="612">
        <v>24</v>
      </c>
      <c r="DP14" s="612">
        <v>7</v>
      </c>
      <c r="DQ14" s="638">
        <v>0.67</v>
      </c>
      <c r="DR14" s="612">
        <v>0</v>
      </c>
      <c r="DS14" s="612">
        <v>0</v>
      </c>
      <c r="DT14" s="616">
        <v>12</v>
      </c>
    </row>
    <row r="15" spans="2:124">
      <c r="B15" s="712" t="s">
        <v>1918</v>
      </c>
      <c r="C15" s="77" t="s">
        <v>539</v>
      </c>
      <c r="D15" s="77" t="s">
        <v>544</v>
      </c>
      <c r="E15" s="130">
        <v>0.28723404255319152</v>
      </c>
      <c r="F15" s="72">
        <v>0.30927835051546393</v>
      </c>
      <c r="G15" s="72">
        <v>0.54255319148936165</v>
      </c>
      <c r="H15" s="77">
        <v>20</v>
      </c>
      <c r="I15" s="28">
        <v>94</v>
      </c>
      <c r="J15" s="28">
        <v>14</v>
      </c>
      <c r="K15" s="28">
        <v>27</v>
      </c>
      <c r="L15" s="28">
        <v>6</v>
      </c>
      <c r="M15" s="28">
        <v>0</v>
      </c>
      <c r="N15" s="28">
        <v>6</v>
      </c>
      <c r="O15" s="28">
        <v>12</v>
      </c>
      <c r="P15" s="28">
        <v>3</v>
      </c>
      <c r="Q15" s="28">
        <v>25</v>
      </c>
      <c r="R15" s="77">
        <v>1</v>
      </c>
      <c r="S15" s="28">
        <v>9</v>
      </c>
      <c r="T15" s="77">
        <v>51</v>
      </c>
      <c r="U15" s="72">
        <v>0.85183154200482558</v>
      </c>
      <c r="V15" s="28">
        <v>2</v>
      </c>
      <c r="W15" s="615">
        <v>13</v>
      </c>
      <c r="X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Q15" s="712" t="s">
        <v>1918</v>
      </c>
      <c r="AR15" s="77" t="s">
        <v>502</v>
      </c>
      <c r="AS15" s="77" t="s">
        <v>503</v>
      </c>
      <c r="AT15" s="130">
        <v>0.28048780487804881</v>
      </c>
      <c r="AU15" s="72">
        <v>0.31395348837209303</v>
      </c>
      <c r="AV15" s="72">
        <v>0.56097560975609762</v>
      </c>
      <c r="AW15" s="77">
        <v>20</v>
      </c>
      <c r="AX15" s="28">
        <v>82</v>
      </c>
      <c r="AY15" s="28">
        <v>11</v>
      </c>
      <c r="AZ15" s="28">
        <v>23</v>
      </c>
      <c r="BA15" s="28">
        <v>6</v>
      </c>
      <c r="BB15" s="28">
        <v>1</v>
      </c>
      <c r="BC15" s="28">
        <v>5</v>
      </c>
      <c r="BD15" s="28">
        <v>15</v>
      </c>
      <c r="BE15" s="28">
        <v>4</v>
      </c>
      <c r="BF15" s="28">
        <v>23</v>
      </c>
      <c r="BG15" s="77">
        <v>4</v>
      </c>
      <c r="BH15" s="28">
        <v>6</v>
      </c>
      <c r="BI15" s="77">
        <v>46</v>
      </c>
      <c r="BJ15" s="72">
        <v>0.87492909812819064</v>
      </c>
      <c r="BK15" s="28">
        <v>1</v>
      </c>
      <c r="BL15" s="615">
        <v>13</v>
      </c>
      <c r="BM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CC15" s="123"/>
      <c r="CG15" s="712" t="s">
        <v>1918</v>
      </c>
      <c r="CH15" s="77" t="s">
        <v>502</v>
      </c>
      <c r="CI15" s="77" t="s">
        <v>503</v>
      </c>
      <c r="CJ15" s="130">
        <v>0.26100000000000001</v>
      </c>
      <c r="CK15" s="72">
        <v>0.34599999999999997</v>
      </c>
      <c r="CL15" s="72">
        <v>0.55100000000000005</v>
      </c>
      <c r="CM15" s="77">
        <v>20</v>
      </c>
      <c r="CN15" s="28">
        <v>69</v>
      </c>
      <c r="CO15" s="28">
        <v>17</v>
      </c>
      <c r="CP15" s="28">
        <v>18</v>
      </c>
      <c r="CQ15" s="28">
        <v>2</v>
      </c>
      <c r="CR15" s="28">
        <v>0</v>
      </c>
      <c r="CS15" s="28">
        <v>6</v>
      </c>
      <c r="CT15" s="28">
        <v>16</v>
      </c>
      <c r="CU15" s="28">
        <v>9</v>
      </c>
      <c r="CV15" s="28">
        <v>20</v>
      </c>
      <c r="CW15" s="77">
        <v>1</v>
      </c>
      <c r="CX15" s="74">
        <v>7</v>
      </c>
      <c r="CY15" s="28">
        <v>38</v>
      </c>
      <c r="CZ15" s="72">
        <v>0.89700000000000002</v>
      </c>
      <c r="DA15" s="28">
        <v>3</v>
      </c>
      <c r="DB15" s="615">
        <v>13</v>
      </c>
      <c r="DC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</row>
    <row r="16" spans="2:124">
      <c r="B16" s="712" t="s">
        <v>1919</v>
      </c>
      <c r="C16" s="77" t="s">
        <v>580</v>
      </c>
      <c r="D16" s="77" t="s">
        <v>582</v>
      </c>
      <c r="E16" s="130">
        <v>0.30769230769230771</v>
      </c>
      <c r="F16" s="72">
        <v>0.41935483870967744</v>
      </c>
      <c r="G16" s="72">
        <v>0.55128205128205132</v>
      </c>
      <c r="H16" s="77">
        <v>20</v>
      </c>
      <c r="I16" s="28">
        <v>78</v>
      </c>
      <c r="J16" s="28">
        <v>8</v>
      </c>
      <c r="K16" s="28">
        <v>24</v>
      </c>
      <c r="L16" s="28">
        <v>8</v>
      </c>
      <c r="M16" s="28">
        <v>4</v>
      </c>
      <c r="N16" s="28">
        <v>1</v>
      </c>
      <c r="O16" s="28">
        <v>10</v>
      </c>
      <c r="P16" s="28">
        <v>15</v>
      </c>
      <c r="Q16" s="28">
        <v>13</v>
      </c>
      <c r="R16" s="77">
        <v>0</v>
      </c>
      <c r="S16" s="28">
        <v>3</v>
      </c>
      <c r="T16" s="77">
        <v>43</v>
      </c>
      <c r="U16" s="72">
        <v>0.97063688999172881</v>
      </c>
      <c r="V16" s="28">
        <v>1</v>
      </c>
      <c r="W16" s="615">
        <v>14</v>
      </c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Q16" s="712" t="s">
        <v>1919</v>
      </c>
      <c r="AR16" s="77" t="s">
        <v>580</v>
      </c>
      <c r="AS16" s="77" t="s">
        <v>582</v>
      </c>
      <c r="AT16" s="130">
        <v>0.29268292682926828</v>
      </c>
      <c r="AU16" s="72">
        <v>0.36956521739130432</v>
      </c>
      <c r="AV16" s="72">
        <v>0.6097560975609756</v>
      </c>
      <c r="AW16" s="77">
        <v>20</v>
      </c>
      <c r="AX16" s="28">
        <v>82</v>
      </c>
      <c r="AY16" s="28">
        <v>12</v>
      </c>
      <c r="AZ16" s="28">
        <v>24</v>
      </c>
      <c r="BA16" s="28">
        <v>3</v>
      </c>
      <c r="BB16" s="28">
        <v>1</v>
      </c>
      <c r="BC16" s="28">
        <v>7</v>
      </c>
      <c r="BD16" s="28">
        <v>14</v>
      </c>
      <c r="BE16" s="28">
        <v>10</v>
      </c>
      <c r="BF16" s="28">
        <v>17</v>
      </c>
      <c r="BG16" s="77">
        <v>0</v>
      </c>
      <c r="BH16" s="28">
        <v>5</v>
      </c>
      <c r="BI16" s="77">
        <v>50</v>
      </c>
      <c r="BJ16" s="72">
        <v>0.97932131495227992</v>
      </c>
      <c r="BK16" s="28">
        <v>1</v>
      </c>
      <c r="BL16" s="615">
        <v>14</v>
      </c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CC16" s="123"/>
      <c r="CG16" s="712" t="s">
        <v>1919</v>
      </c>
      <c r="CH16" s="77" t="s">
        <v>394</v>
      </c>
      <c r="CI16" s="77" t="s">
        <v>399</v>
      </c>
      <c r="CJ16" s="130">
        <v>0.29899999999999999</v>
      </c>
      <c r="CK16" s="72">
        <v>0.33700000000000002</v>
      </c>
      <c r="CL16" s="72">
        <v>0.55200000000000005</v>
      </c>
      <c r="CM16" s="77">
        <v>20</v>
      </c>
      <c r="CN16" s="28">
        <v>87</v>
      </c>
      <c r="CO16" s="28">
        <v>18</v>
      </c>
      <c r="CP16" s="28">
        <v>26</v>
      </c>
      <c r="CQ16" s="28">
        <v>8</v>
      </c>
      <c r="CR16" s="28">
        <v>1</v>
      </c>
      <c r="CS16" s="28">
        <v>4</v>
      </c>
      <c r="CT16" s="28">
        <v>14</v>
      </c>
      <c r="CU16" s="28">
        <v>5</v>
      </c>
      <c r="CV16" s="28">
        <v>19</v>
      </c>
      <c r="CW16" s="77">
        <v>2</v>
      </c>
      <c r="CX16" s="74">
        <v>5</v>
      </c>
      <c r="CY16" s="28">
        <v>48</v>
      </c>
      <c r="CZ16" s="72">
        <v>0.88900000000000001</v>
      </c>
      <c r="DA16" s="28">
        <v>1</v>
      </c>
      <c r="DB16" s="615">
        <v>14</v>
      </c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</row>
    <row r="17" spans="2:124">
      <c r="B17" s="712" t="s">
        <v>1920</v>
      </c>
      <c r="C17" s="77" t="s">
        <v>300</v>
      </c>
      <c r="D17" s="77" t="s">
        <v>304</v>
      </c>
      <c r="E17" s="130">
        <v>0.27906976744186046</v>
      </c>
      <c r="F17" s="72">
        <v>0.31111111111111112</v>
      </c>
      <c r="G17" s="72">
        <v>0.54651162790697672</v>
      </c>
      <c r="H17" s="77">
        <v>20</v>
      </c>
      <c r="I17" s="28">
        <v>86</v>
      </c>
      <c r="J17" s="28">
        <v>13</v>
      </c>
      <c r="K17" s="28">
        <v>24</v>
      </c>
      <c r="L17" s="28">
        <v>5</v>
      </c>
      <c r="M17" s="28">
        <v>0</v>
      </c>
      <c r="N17" s="28">
        <v>6</v>
      </c>
      <c r="O17" s="28">
        <v>18</v>
      </c>
      <c r="P17" s="28">
        <v>4</v>
      </c>
      <c r="Q17" s="28">
        <v>24</v>
      </c>
      <c r="R17" s="77">
        <v>0</v>
      </c>
      <c r="S17" s="28">
        <v>5</v>
      </c>
      <c r="T17" s="77">
        <v>47</v>
      </c>
      <c r="U17" s="72">
        <v>0.85762273901808783</v>
      </c>
      <c r="V17" s="28">
        <v>3</v>
      </c>
      <c r="W17" s="615">
        <v>15</v>
      </c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Q17" s="712" t="s">
        <v>1920</v>
      </c>
      <c r="AR17" s="77" t="s">
        <v>339</v>
      </c>
      <c r="AS17" s="77" t="s">
        <v>340</v>
      </c>
      <c r="AT17" s="130">
        <v>0.35365853658536583</v>
      </c>
      <c r="AU17" s="72">
        <v>0.39772727272727271</v>
      </c>
      <c r="AV17" s="72">
        <v>0.57317073170731703</v>
      </c>
      <c r="AW17" s="77">
        <v>20</v>
      </c>
      <c r="AX17" s="28">
        <v>82</v>
      </c>
      <c r="AY17" s="28">
        <v>11</v>
      </c>
      <c r="AZ17" s="28">
        <v>29</v>
      </c>
      <c r="BA17" s="28">
        <v>5</v>
      </c>
      <c r="BB17" s="28">
        <v>2</v>
      </c>
      <c r="BC17" s="28">
        <v>3</v>
      </c>
      <c r="BD17" s="28">
        <v>15</v>
      </c>
      <c r="BE17" s="28">
        <v>6</v>
      </c>
      <c r="BF17" s="28">
        <v>24</v>
      </c>
      <c r="BG17" s="77">
        <v>2</v>
      </c>
      <c r="BH17" s="28">
        <v>10</v>
      </c>
      <c r="BI17" s="77">
        <v>47</v>
      </c>
      <c r="BJ17" s="72">
        <v>0.97089800443458973</v>
      </c>
      <c r="BK17" s="28">
        <v>2</v>
      </c>
      <c r="BL17" s="615">
        <v>15</v>
      </c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CC17" s="123"/>
      <c r="CG17" s="712" t="s">
        <v>1920</v>
      </c>
      <c r="CH17" s="77" t="s">
        <v>394</v>
      </c>
      <c r="CI17" s="77" t="s">
        <v>396</v>
      </c>
      <c r="CJ17" s="130">
        <v>0.314</v>
      </c>
      <c r="CK17" s="72">
        <v>0.33700000000000002</v>
      </c>
      <c r="CL17" s="72">
        <v>0.628</v>
      </c>
      <c r="CM17" s="77">
        <v>20</v>
      </c>
      <c r="CN17" s="28">
        <v>86</v>
      </c>
      <c r="CO17" s="28">
        <v>14</v>
      </c>
      <c r="CP17" s="28">
        <v>27</v>
      </c>
      <c r="CQ17" s="28">
        <v>6</v>
      </c>
      <c r="CR17" s="28">
        <v>0</v>
      </c>
      <c r="CS17" s="28">
        <v>7</v>
      </c>
      <c r="CT17" s="28">
        <v>19</v>
      </c>
      <c r="CU17" s="28">
        <v>3</v>
      </c>
      <c r="CV17" s="28">
        <v>26</v>
      </c>
      <c r="CW17" s="77">
        <v>0</v>
      </c>
      <c r="CX17" s="74">
        <v>8</v>
      </c>
      <c r="CY17" s="28">
        <v>54</v>
      </c>
      <c r="CZ17" s="72">
        <v>0.96499999999999997</v>
      </c>
      <c r="DA17" s="28">
        <v>4</v>
      </c>
      <c r="DB17" s="615">
        <v>15</v>
      </c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</row>
    <row r="18" spans="2:124">
      <c r="B18" s="712" t="s">
        <v>1921</v>
      </c>
      <c r="C18" s="77" t="s">
        <v>611</v>
      </c>
      <c r="D18" s="77" t="s">
        <v>614</v>
      </c>
      <c r="E18" s="130">
        <v>0.30769230769230771</v>
      </c>
      <c r="F18" s="72">
        <v>0.4</v>
      </c>
      <c r="G18" s="72">
        <v>0.61538461538461542</v>
      </c>
      <c r="H18" s="77">
        <v>20</v>
      </c>
      <c r="I18" s="28">
        <v>78</v>
      </c>
      <c r="J18" s="28">
        <v>16</v>
      </c>
      <c r="K18" s="28">
        <v>24</v>
      </c>
      <c r="L18" s="28">
        <v>6</v>
      </c>
      <c r="M18" s="28">
        <v>0</v>
      </c>
      <c r="N18" s="28">
        <v>6</v>
      </c>
      <c r="O18" s="28">
        <v>21</v>
      </c>
      <c r="P18" s="28">
        <v>12</v>
      </c>
      <c r="Q18" s="28">
        <v>15</v>
      </c>
      <c r="R18" s="77">
        <v>0</v>
      </c>
      <c r="S18" s="28">
        <v>5</v>
      </c>
      <c r="T18" s="77">
        <v>48</v>
      </c>
      <c r="U18" s="72">
        <v>1.0153846153846153</v>
      </c>
      <c r="V18" s="28">
        <v>2</v>
      </c>
      <c r="W18" s="615">
        <v>16</v>
      </c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Q18" s="712" t="s">
        <v>1921</v>
      </c>
      <c r="AR18" s="77" t="s">
        <v>429</v>
      </c>
      <c r="AS18" s="77" t="s">
        <v>430</v>
      </c>
      <c r="AT18" s="130">
        <v>0.3</v>
      </c>
      <c r="AU18" s="72">
        <v>0.35632183908045978</v>
      </c>
      <c r="AV18" s="72">
        <v>0.61250000000000004</v>
      </c>
      <c r="AW18" s="77">
        <v>20</v>
      </c>
      <c r="AX18" s="28">
        <v>80</v>
      </c>
      <c r="AY18" s="28">
        <v>12</v>
      </c>
      <c r="AZ18" s="28">
        <v>24</v>
      </c>
      <c r="BA18" s="28">
        <v>5</v>
      </c>
      <c r="BB18" s="28">
        <v>1</v>
      </c>
      <c r="BC18" s="28">
        <v>6</v>
      </c>
      <c r="BD18" s="28">
        <v>15</v>
      </c>
      <c r="BE18" s="28">
        <v>7</v>
      </c>
      <c r="BF18" s="28">
        <v>19</v>
      </c>
      <c r="BG18" s="77">
        <v>0</v>
      </c>
      <c r="BH18" s="28">
        <v>4</v>
      </c>
      <c r="BI18" s="77">
        <v>49</v>
      </c>
      <c r="BJ18" s="72">
        <v>0.96882183908045982</v>
      </c>
      <c r="BK18" s="28">
        <v>0</v>
      </c>
      <c r="BL18" s="615">
        <v>16</v>
      </c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CC18" s="123"/>
      <c r="CG18" s="712" t="s">
        <v>1921</v>
      </c>
      <c r="CH18" s="77" t="s">
        <v>611</v>
      </c>
      <c r="CI18" s="77" t="s">
        <v>614</v>
      </c>
      <c r="CJ18" s="130">
        <v>0.34699999999999998</v>
      </c>
      <c r="CK18" s="72">
        <v>0.41699999999999998</v>
      </c>
      <c r="CL18" s="72">
        <v>0.58699999999999997</v>
      </c>
      <c r="CM18" s="77">
        <v>20</v>
      </c>
      <c r="CN18" s="28">
        <v>75</v>
      </c>
      <c r="CO18" s="28">
        <v>11</v>
      </c>
      <c r="CP18" s="28">
        <v>26</v>
      </c>
      <c r="CQ18" s="28">
        <v>3</v>
      </c>
      <c r="CR18" s="28">
        <v>0</v>
      </c>
      <c r="CS18" s="28">
        <v>5</v>
      </c>
      <c r="CT18" s="28">
        <v>15</v>
      </c>
      <c r="CU18" s="28">
        <v>9</v>
      </c>
      <c r="CV18" s="28">
        <v>13</v>
      </c>
      <c r="CW18" s="77">
        <v>1</v>
      </c>
      <c r="CX18" s="74">
        <v>6</v>
      </c>
      <c r="CY18" s="28">
        <v>44</v>
      </c>
      <c r="CZ18" s="72">
        <v>1.0029999999999999</v>
      </c>
      <c r="DA18" s="28">
        <v>4</v>
      </c>
      <c r="DB18" s="615">
        <v>16</v>
      </c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</row>
    <row r="19" spans="2:124">
      <c r="B19" s="712" t="s">
        <v>1922</v>
      </c>
      <c r="C19" s="77" t="s">
        <v>580</v>
      </c>
      <c r="D19" s="77" t="s">
        <v>586</v>
      </c>
      <c r="E19" s="130">
        <v>0.29761904761904762</v>
      </c>
      <c r="F19" s="72">
        <v>0.34444444444444444</v>
      </c>
      <c r="G19" s="72">
        <v>0.58333333333333337</v>
      </c>
      <c r="H19" s="77">
        <v>20</v>
      </c>
      <c r="I19" s="28">
        <v>84</v>
      </c>
      <c r="J19" s="28">
        <v>11</v>
      </c>
      <c r="K19" s="28">
        <v>25</v>
      </c>
      <c r="L19" s="28">
        <v>7</v>
      </c>
      <c r="M19" s="28">
        <v>1</v>
      </c>
      <c r="N19" s="28">
        <v>5</v>
      </c>
      <c r="O19" s="28">
        <v>14</v>
      </c>
      <c r="P19" s="28">
        <v>6</v>
      </c>
      <c r="Q19" s="28">
        <v>18</v>
      </c>
      <c r="R19" s="77">
        <v>0</v>
      </c>
      <c r="S19" s="28">
        <v>10</v>
      </c>
      <c r="T19" s="77">
        <v>49</v>
      </c>
      <c r="U19" s="72">
        <v>0.92777777777777781</v>
      </c>
      <c r="V19" s="28">
        <v>1</v>
      </c>
      <c r="W19" s="615">
        <v>17</v>
      </c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Q19" s="712" t="s">
        <v>1922</v>
      </c>
      <c r="AR19" s="77" t="s">
        <v>685</v>
      </c>
      <c r="AS19" s="77" t="s">
        <v>687</v>
      </c>
      <c r="AT19" s="130">
        <v>0.31395348837209303</v>
      </c>
      <c r="AU19" s="72">
        <v>0.34444444444444444</v>
      </c>
      <c r="AV19" s="72">
        <v>0.54651162790697672</v>
      </c>
      <c r="AW19" s="77">
        <v>20</v>
      </c>
      <c r="AX19" s="28">
        <v>86</v>
      </c>
      <c r="AY19" s="28">
        <v>9</v>
      </c>
      <c r="AZ19" s="28">
        <v>27</v>
      </c>
      <c r="BA19" s="28">
        <v>9</v>
      </c>
      <c r="BB19" s="28">
        <v>1</v>
      </c>
      <c r="BC19" s="28">
        <v>3</v>
      </c>
      <c r="BD19" s="28">
        <v>14</v>
      </c>
      <c r="BE19" s="28">
        <v>4</v>
      </c>
      <c r="BF19" s="28">
        <v>24</v>
      </c>
      <c r="BG19" s="77">
        <v>2</v>
      </c>
      <c r="BH19" s="28">
        <v>11</v>
      </c>
      <c r="BI19" s="77">
        <v>47</v>
      </c>
      <c r="BJ19" s="72">
        <v>0.89095607235142116</v>
      </c>
      <c r="BK19" s="28">
        <v>1</v>
      </c>
      <c r="BL19" s="615">
        <v>17</v>
      </c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CC19" s="123"/>
      <c r="CG19" s="712" t="s">
        <v>1922</v>
      </c>
      <c r="CH19" s="77" t="s">
        <v>580</v>
      </c>
      <c r="CI19" s="77" t="s">
        <v>586</v>
      </c>
      <c r="CJ19" s="130">
        <v>0.371</v>
      </c>
      <c r="CK19" s="72">
        <v>0.435</v>
      </c>
      <c r="CL19" s="72">
        <v>0.66100000000000003</v>
      </c>
      <c r="CM19" s="77">
        <v>18</v>
      </c>
      <c r="CN19" s="28">
        <v>62</v>
      </c>
      <c r="CO19" s="28">
        <v>12</v>
      </c>
      <c r="CP19" s="28">
        <v>23</v>
      </c>
      <c r="CQ19" s="28">
        <v>7</v>
      </c>
      <c r="CR19" s="28">
        <v>1</v>
      </c>
      <c r="CS19" s="28">
        <v>3</v>
      </c>
      <c r="CT19" s="28">
        <v>14</v>
      </c>
      <c r="CU19" s="28">
        <v>7</v>
      </c>
      <c r="CV19" s="28">
        <v>11</v>
      </c>
      <c r="CW19" s="77">
        <v>1</v>
      </c>
      <c r="CX19" s="74">
        <v>7</v>
      </c>
      <c r="CY19" s="28">
        <v>41</v>
      </c>
      <c r="CZ19" s="72">
        <v>1.0960000000000001</v>
      </c>
      <c r="DA19" s="28">
        <v>1</v>
      </c>
      <c r="DB19" s="615">
        <v>17</v>
      </c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</row>
    <row r="20" spans="2:124" s="28" customFormat="1" ht="17" thickBot="1">
      <c r="B20" s="714" t="s">
        <v>1923</v>
      </c>
      <c r="C20" s="636" t="s">
        <v>165</v>
      </c>
      <c r="D20" s="636" t="s">
        <v>169</v>
      </c>
      <c r="E20" s="710">
        <v>0.30555555555555558</v>
      </c>
      <c r="F20" s="611">
        <v>0.41176470588235292</v>
      </c>
      <c r="G20" s="611">
        <v>0.63888888888888884</v>
      </c>
      <c r="H20" s="636">
        <v>20</v>
      </c>
      <c r="I20" s="612">
        <v>72</v>
      </c>
      <c r="J20" s="612">
        <v>13</v>
      </c>
      <c r="K20" s="612">
        <v>22</v>
      </c>
      <c r="L20" s="612">
        <v>3</v>
      </c>
      <c r="M20" s="612">
        <v>0</v>
      </c>
      <c r="N20" s="612">
        <v>7</v>
      </c>
      <c r="O20" s="612">
        <v>13</v>
      </c>
      <c r="P20" s="612">
        <v>13</v>
      </c>
      <c r="Q20" s="612">
        <v>25</v>
      </c>
      <c r="R20" s="636">
        <v>0</v>
      </c>
      <c r="S20" s="612">
        <v>7</v>
      </c>
      <c r="T20" s="636">
        <v>46</v>
      </c>
      <c r="U20" s="611">
        <v>1.0506535947712417</v>
      </c>
      <c r="V20" s="612">
        <v>5</v>
      </c>
      <c r="W20" s="616">
        <v>18</v>
      </c>
      <c r="AN20" s="106"/>
      <c r="AQ20" s="714" t="s">
        <v>1923</v>
      </c>
      <c r="AR20" s="636" t="s">
        <v>611</v>
      </c>
      <c r="AS20" s="636" t="s">
        <v>613</v>
      </c>
      <c r="AT20" s="710">
        <v>0.4</v>
      </c>
      <c r="AU20" s="611">
        <v>0.45161290322580644</v>
      </c>
      <c r="AV20" s="611">
        <v>0.56470588235294117</v>
      </c>
      <c r="AW20" s="636">
        <v>20</v>
      </c>
      <c r="AX20" s="612">
        <v>85</v>
      </c>
      <c r="AY20" s="612">
        <v>12</v>
      </c>
      <c r="AZ20" s="612">
        <v>34</v>
      </c>
      <c r="BA20" s="612">
        <v>8</v>
      </c>
      <c r="BB20" s="612">
        <v>0</v>
      </c>
      <c r="BC20" s="612">
        <v>2</v>
      </c>
      <c r="BD20" s="612">
        <v>15</v>
      </c>
      <c r="BE20" s="612">
        <v>8</v>
      </c>
      <c r="BF20" s="612">
        <v>9</v>
      </c>
      <c r="BG20" s="636">
        <v>0</v>
      </c>
      <c r="BH20" s="612">
        <v>11</v>
      </c>
      <c r="BI20" s="636">
        <v>48</v>
      </c>
      <c r="BJ20" s="611">
        <v>1.0163187855787477</v>
      </c>
      <c r="BK20" s="612">
        <v>2</v>
      </c>
      <c r="BL20" s="616">
        <v>18</v>
      </c>
      <c r="CC20" s="106"/>
      <c r="CG20" s="714" t="s">
        <v>1923</v>
      </c>
      <c r="CH20" s="636" t="s">
        <v>339</v>
      </c>
      <c r="CI20" s="636" t="s">
        <v>341</v>
      </c>
      <c r="CJ20" s="710">
        <v>0.29599999999999999</v>
      </c>
      <c r="CK20" s="611">
        <v>0.34499999999999997</v>
      </c>
      <c r="CL20" s="611">
        <v>0.66700000000000004</v>
      </c>
      <c r="CM20" s="636">
        <v>20</v>
      </c>
      <c r="CN20" s="612">
        <v>81</v>
      </c>
      <c r="CO20" s="612">
        <v>15</v>
      </c>
      <c r="CP20" s="612">
        <v>24</v>
      </c>
      <c r="CQ20" s="612">
        <v>6</v>
      </c>
      <c r="CR20" s="612">
        <v>0</v>
      </c>
      <c r="CS20" s="612">
        <v>8</v>
      </c>
      <c r="CT20" s="612">
        <v>18</v>
      </c>
      <c r="CU20" s="612">
        <v>6</v>
      </c>
      <c r="CV20" s="612">
        <v>15</v>
      </c>
      <c r="CW20" s="636">
        <v>0</v>
      </c>
      <c r="CX20" s="613">
        <v>9</v>
      </c>
      <c r="CY20" s="612">
        <v>54</v>
      </c>
      <c r="CZ20" s="611">
        <v>1.0109999999999999</v>
      </c>
      <c r="DA20" s="612">
        <v>1</v>
      </c>
      <c r="DB20" s="616">
        <v>18</v>
      </c>
    </row>
    <row r="21" spans="2:124">
      <c r="CC21" s="123"/>
    </row>
    <row r="22" spans="2:124" ht="17" thickBot="1">
      <c r="CC22" s="123"/>
    </row>
    <row r="23" spans="2:124" ht="31" thickBot="1">
      <c r="B23" s="1113" t="s">
        <v>1924</v>
      </c>
      <c r="C23" s="1114"/>
      <c r="D23" s="1114"/>
      <c r="E23" s="1114"/>
      <c r="F23" s="1114"/>
      <c r="G23" s="1114"/>
      <c r="H23" s="1114"/>
      <c r="I23" s="1114"/>
      <c r="J23" s="1114"/>
      <c r="K23" s="1114"/>
      <c r="L23" s="1114"/>
      <c r="M23" s="1114"/>
      <c r="N23" s="1114"/>
      <c r="O23" s="1114"/>
      <c r="P23" s="1114"/>
      <c r="Q23" s="1114"/>
      <c r="R23" s="1114"/>
      <c r="S23" s="1114"/>
      <c r="T23" s="1114"/>
      <c r="U23" s="1114"/>
      <c r="V23" s="1114"/>
      <c r="W23" s="1115"/>
      <c r="Y23" s="1113" t="s">
        <v>1924</v>
      </c>
      <c r="Z23" s="1114"/>
      <c r="AA23" s="1114"/>
      <c r="AB23" s="1114"/>
      <c r="AC23" s="1114"/>
      <c r="AD23" s="1114"/>
      <c r="AE23" s="1114"/>
      <c r="AF23" s="1114"/>
      <c r="AG23" s="1114"/>
      <c r="AH23" s="1114"/>
      <c r="AI23" s="1114"/>
      <c r="AJ23" s="1114"/>
      <c r="AK23" s="1114"/>
      <c r="AL23" s="1114"/>
      <c r="AM23" s="1114"/>
      <c r="AN23" s="1114"/>
      <c r="AO23" s="1115"/>
      <c r="AQ23" s="1113" t="s">
        <v>1925</v>
      </c>
      <c r="AR23" s="1114"/>
      <c r="AS23" s="1114"/>
      <c r="AT23" s="1114"/>
      <c r="AU23" s="1114"/>
      <c r="AV23" s="1114"/>
      <c r="AW23" s="1114"/>
      <c r="AX23" s="1114"/>
      <c r="AY23" s="1114"/>
      <c r="AZ23" s="1114"/>
      <c r="BA23" s="1114"/>
      <c r="BB23" s="1114"/>
      <c r="BC23" s="1114"/>
      <c r="BD23" s="1114"/>
      <c r="BE23" s="1114"/>
      <c r="BF23" s="1114"/>
      <c r="BG23" s="1114"/>
      <c r="BH23" s="1114"/>
      <c r="BI23" s="1114"/>
      <c r="BJ23" s="1114"/>
      <c r="BK23" s="1114"/>
      <c r="BL23" s="1115"/>
      <c r="BN23" s="1113" t="s">
        <v>1925</v>
      </c>
      <c r="BO23" s="1114"/>
      <c r="BP23" s="1114"/>
      <c r="BQ23" s="1114"/>
      <c r="BR23" s="1114"/>
      <c r="BS23" s="1114"/>
      <c r="BT23" s="1114"/>
      <c r="BU23" s="1114"/>
      <c r="BV23" s="1114"/>
      <c r="BW23" s="1114"/>
      <c r="BX23" s="1114"/>
      <c r="BY23" s="1114"/>
      <c r="BZ23" s="1114"/>
      <c r="CA23" s="1114"/>
      <c r="CB23" s="1114"/>
      <c r="CC23" s="1114"/>
      <c r="CD23" s="1115"/>
      <c r="CG23" s="1113" t="s">
        <v>1926</v>
      </c>
      <c r="CH23" s="1114"/>
      <c r="CI23" s="1114"/>
      <c r="CJ23" s="1114"/>
      <c r="CK23" s="1114"/>
      <c r="CL23" s="1114"/>
      <c r="CM23" s="1114"/>
      <c r="CN23" s="1114"/>
      <c r="CO23" s="1114"/>
      <c r="CP23" s="1114"/>
      <c r="CQ23" s="1114"/>
      <c r="CR23" s="1114"/>
      <c r="CS23" s="1114"/>
      <c r="CT23" s="1114"/>
      <c r="CU23" s="1114"/>
      <c r="CV23" s="1114"/>
      <c r="CW23" s="1114"/>
      <c r="CX23" s="1114"/>
      <c r="CY23" s="1114"/>
      <c r="CZ23" s="1114"/>
      <c r="DA23" s="1114"/>
      <c r="DB23" s="1115"/>
      <c r="DD23" s="1113" t="s">
        <v>1926</v>
      </c>
      <c r="DE23" s="1114"/>
      <c r="DF23" s="1114"/>
      <c r="DG23" s="1114"/>
      <c r="DH23" s="1114"/>
      <c r="DI23" s="1114"/>
      <c r="DJ23" s="1114"/>
      <c r="DK23" s="1114"/>
      <c r="DL23" s="1114"/>
      <c r="DM23" s="1114"/>
      <c r="DN23" s="1114"/>
      <c r="DO23" s="1114"/>
      <c r="DP23" s="1114"/>
      <c r="DQ23" s="1114"/>
      <c r="DR23" s="1114"/>
      <c r="DS23" s="1114"/>
      <c r="DT23" s="1115"/>
    </row>
    <row r="24" spans="2:124" ht="17" thickBot="1">
      <c r="B24" s="711" t="s">
        <v>144</v>
      </c>
      <c r="C24" s="600" t="s">
        <v>143</v>
      </c>
      <c r="D24" s="600" t="s">
        <v>1314</v>
      </c>
      <c r="E24" s="600" t="s">
        <v>146</v>
      </c>
      <c r="F24" s="600" t="s">
        <v>147</v>
      </c>
      <c r="G24" s="600" t="s">
        <v>148</v>
      </c>
      <c r="H24" s="600" t="s">
        <v>149</v>
      </c>
      <c r="I24" s="600" t="s">
        <v>150</v>
      </c>
      <c r="J24" s="600" t="s">
        <v>151</v>
      </c>
      <c r="K24" s="600" t="s">
        <v>152</v>
      </c>
      <c r="L24" s="600" t="s">
        <v>153</v>
      </c>
      <c r="M24" s="600" t="s">
        <v>154</v>
      </c>
      <c r="N24" s="600" t="s">
        <v>155</v>
      </c>
      <c r="O24" s="600" t="s">
        <v>156</v>
      </c>
      <c r="P24" s="600" t="s">
        <v>157</v>
      </c>
      <c r="Q24" s="600" t="s">
        <v>158</v>
      </c>
      <c r="R24" s="600" t="s">
        <v>159</v>
      </c>
      <c r="S24" s="600" t="s">
        <v>16</v>
      </c>
      <c r="T24" s="600" t="s">
        <v>161</v>
      </c>
      <c r="U24" s="600" t="s">
        <v>162</v>
      </c>
      <c r="V24" s="600" t="s">
        <v>163</v>
      </c>
      <c r="W24" s="779" t="s">
        <v>164</v>
      </c>
      <c r="Y24" s="711" t="s">
        <v>144</v>
      </c>
      <c r="Z24" s="600" t="s">
        <v>143</v>
      </c>
      <c r="AA24" s="600" t="s">
        <v>1314</v>
      </c>
      <c r="AB24" s="600" t="s">
        <v>196</v>
      </c>
      <c r="AC24" s="600" t="s">
        <v>197</v>
      </c>
      <c r="AD24" s="600" t="s">
        <v>198</v>
      </c>
      <c r="AE24" s="600" t="s">
        <v>149</v>
      </c>
      <c r="AF24" s="600" t="s">
        <v>199</v>
      </c>
      <c r="AG24" s="600" t="s">
        <v>152</v>
      </c>
      <c r="AH24" s="600" t="s">
        <v>151</v>
      </c>
      <c r="AI24" s="600" t="s">
        <v>157</v>
      </c>
      <c r="AJ24" s="600" t="s">
        <v>1631</v>
      </c>
      <c r="AK24" s="600" t="s">
        <v>200</v>
      </c>
      <c r="AL24" s="600" t="s">
        <v>201</v>
      </c>
      <c r="AM24" s="600" t="s">
        <v>203</v>
      </c>
      <c r="AN24" s="744" t="s">
        <v>205</v>
      </c>
      <c r="AO24" s="779" t="s">
        <v>164</v>
      </c>
      <c r="AQ24" s="711" t="s">
        <v>144</v>
      </c>
      <c r="AR24" s="600" t="s">
        <v>143</v>
      </c>
      <c r="AS24" s="600" t="s">
        <v>1314</v>
      </c>
      <c r="AT24" s="600" t="s">
        <v>146</v>
      </c>
      <c r="AU24" s="600" t="s">
        <v>147</v>
      </c>
      <c r="AV24" s="600" t="s">
        <v>148</v>
      </c>
      <c r="AW24" s="600" t="s">
        <v>149</v>
      </c>
      <c r="AX24" s="600" t="s">
        <v>150</v>
      </c>
      <c r="AY24" s="600" t="s">
        <v>151</v>
      </c>
      <c r="AZ24" s="600" t="s">
        <v>152</v>
      </c>
      <c r="BA24" s="600" t="s">
        <v>153</v>
      </c>
      <c r="BB24" s="600" t="s">
        <v>154</v>
      </c>
      <c r="BC24" s="600" t="s">
        <v>155</v>
      </c>
      <c r="BD24" s="600" t="s">
        <v>156</v>
      </c>
      <c r="BE24" s="600" t="s">
        <v>157</v>
      </c>
      <c r="BF24" s="600" t="s">
        <v>158</v>
      </c>
      <c r="BG24" s="600" t="s">
        <v>159</v>
      </c>
      <c r="BH24" s="600" t="s">
        <v>16</v>
      </c>
      <c r="BI24" s="600" t="s">
        <v>161</v>
      </c>
      <c r="BJ24" s="600" t="s">
        <v>162</v>
      </c>
      <c r="BK24" s="600" t="s">
        <v>163</v>
      </c>
      <c r="BL24" s="779" t="s">
        <v>164</v>
      </c>
      <c r="BN24" s="711" t="s">
        <v>144</v>
      </c>
      <c r="BO24" s="600" t="s">
        <v>143</v>
      </c>
      <c r="BP24" s="600" t="s">
        <v>1314</v>
      </c>
      <c r="BQ24" s="600" t="s">
        <v>196</v>
      </c>
      <c r="BR24" s="600" t="s">
        <v>197</v>
      </c>
      <c r="BS24" s="600" t="s">
        <v>198</v>
      </c>
      <c r="BT24" s="600" t="s">
        <v>149</v>
      </c>
      <c r="BU24" s="600" t="s">
        <v>199</v>
      </c>
      <c r="BV24" s="600" t="s">
        <v>152</v>
      </c>
      <c r="BW24" s="600" t="s">
        <v>151</v>
      </c>
      <c r="BX24" s="600" t="s">
        <v>157</v>
      </c>
      <c r="BY24" s="600" t="s">
        <v>1631</v>
      </c>
      <c r="BZ24" s="600" t="s">
        <v>200</v>
      </c>
      <c r="CA24" s="600" t="s">
        <v>201</v>
      </c>
      <c r="CB24" s="600" t="s">
        <v>203</v>
      </c>
      <c r="CC24" s="744" t="s">
        <v>205</v>
      </c>
      <c r="CD24" s="779" t="s">
        <v>164</v>
      </c>
      <c r="CG24" s="711" t="s">
        <v>144</v>
      </c>
      <c r="CH24" s="600" t="s">
        <v>143</v>
      </c>
      <c r="CI24" s="600" t="s">
        <v>1314</v>
      </c>
      <c r="CJ24" s="600" t="s">
        <v>146</v>
      </c>
      <c r="CK24" s="600" t="s">
        <v>147</v>
      </c>
      <c r="CL24" s="600" t="s">
        <v>148</v>
      </c>
      <c r="CM24" s="600" t="s">
        <v>149</v>
      </c>
      <c r="CN24" s="600" t="s">
        <v>150</v>
      </c>
      <c r="CO24" s="600" t="s">
        <v>151</v>
      </c>
      <c r="CP24" s="600" t="s">
        <v>152</v>
      </c>
      <c r="CQ24" s="600" t="s">
        <v>153</v>
      </c>
      <c r="CR24" s="600" t="s">
        <v>154</v>
      </c>
      <c r="CS24" s="600" t="s">
        <v>155</v>
      </c>
      <c r="CT24" s="600" t="s">
        <v>156</v>
      </c>
      <c r="CU24" s="600" t="s">
        <v>157</v>
      </c>
      <c r="CV24" s="600" t="s">
        <v>158</v>
      </c>
      <c r="CW24" s="600" t="s">
        <v>159</v>
      </c>
      <c r="CX24" s="600" t="s">
        <v>16</v>
      </c>
      <c r="CY24" s="600" t="s">
        <v>161</v>
      </c>
      <c r="CZ24" s="600" t="s">
        <v>162</v>
      </c>
      <c r="DA24" s="600" t="s">
        <v>163</v>
      </c>
      <c r="DB24" s="779" t="s">
        <v>164</v>
      </c>
      <c r="DD24" s="711" t="s">
        <v>144</v>
      </c>
      <c r="DE24" s="600" t="s">
        <v>143</v>
      </c>
      <c r="DF24" s="600" t="s">
        <v>1314</v>
      </c>
      <c r="DG24" s="600" t="s">
        <v>196</v>
      </c>
      <c r="DH24" s="600" t="s">
        <v>197</v>
      </c>
      <c r="DI24" s="600" t="s">
        <v>198</v>
      </c>
      <c r="DJ24" s="600" t="s">
        <v>149</v>
      </c>
      <c r="DK24" s="600" t="s">
        <v>199</v>
      </c>
      <c r="DL24" s="600" t="s">
        <v>152</v>
      </c>
      <c r="DM24" s="600" t="s">
        <v>151</v>
      </c>
      <c r="DN24" s="600" t="s">
        <v>157</v>
      </c>
      <c r="DO24" s="600" t="s">
        <v>1631</v>
      </c>
      <c r="DP24" s="600" t="s">
        <v>200</v>
      </c>
      <c r="DQ24" s="600" t="s">
        <v>201</v>
      </c>
      <c r="DR24" s="600" t="s">
        <v>203</v>
      </c>
      <c r="DS24" s="600" t="s">
        <v>205</v>
      </c>
      <c r="DT24" s="779" t="s">
        <v>164</v>
      </c>
    </row>
    <row r="25" spans="2:124">
      <c r="B25" s="711" t="s">
        <v>179</v>
      </c>
      <c r="C25" s="597" t="s">
        <v>952</v>
      </c>
      <c r="D25" s="938" t="s">
        <v>958</v>
      </c>
      <c r="E25" s="939">
        <v>0.34200000000000003</v>
      </c>
      <c r="F25" s="939">
        <v>0.36</v>
      </c>
      <c r="G25" s="939">
        <v>0.438</v>
      </c>
      <c r="H25" s="940">
        <v>19</v>
      </c>
      <c r="I25" s="941">
        <v>73</v>
      </c>
      <c r="J25" s="941">
        <v>5</v>
      </c>
      <c r="K25" s="941">
        <v>25</v>
      </c>
      <c r="L25" s="941">
        <v>4</v>
      </c>
      <c r="M25" s="941">
        <v>0</v>
      </c>
      <c r="N25" s="941">
        <v>1</v>
      </c>
      <c r="O25" s="941">
        <v>8</v>
      </c>
      <c r="P25" s="941">
        <v>2</v>
      </c>
      <c r="Q25" s="941">
        <v>12</v>
      </c>
      <c r="R25" s="940">
        <v>0</v>
      </c>
      <c r="S25" s="604">
        <v>7</v>
      </c>
      <c r="T25" s="600">
        <v>32</v>
      </c>
      <c r="U25" s="598">
        <v>0.79835616438356161</v>
      </c>
      <c r="V25" s="604">
        <v>1</v>
      </c>
      <c r="W25" s="614">
        <v>1</v>
      </c>
      <c r="Y25" s="711" t="s">
        <v>206</v>
      </c>
      <c r="Z25" s="673" t="s">
        <v>952</v>
      </c>
      <c r="AA25" s="673" t="s">
        <v>972</v>
      </c>
      <c r="AB25" s="946">
        <v>0.47368421052631576</v>
      </c>
      <c r="AC25" s="890">
        <v>3</v>
      </c>
      <c r="AD25" s="888">
        <v>0</v>
      </c>
      <c r="AE25" s="673">
        <v>5</v>
      </c>
      <c r="AF25" s="630">
        <v>38</v>
      </c>
      <c r="AG25" s="600">
        <v>35</v>
      </c>
      <c r="AH25" s="600">
        <v>2</v>
      </c>
      <c r="AI25" s="600">
        <v>6</v>
      </c>
      <c r="AJ25" s="600">
        <v>29</v>
      </c>
      <c r="AK25" s="600">
        <v>0</v>
      </c>
      <c r="AL25" s="947">
        <v>1.08</v>
      </c>
      <c r="AM25" s="600">
        <v>4</v>
      </c>
      <c r="AN25" s="600">
        <v>2</v>
      </c>
      <c r="AO25" s="614">
        <v>1</v>
      </c>
      <c r="AQ25" s="711" t="s">
        <v>179</v>
      </c>
      <c r="AR25" s="673" t="s">
        <v>1171</v>
      </c>
      <c r="AS25" s="673" t="s">
        <v>864</v>
      </c>
      <c r="AT25" s="706">
        <v>0.27027027027027029</v>
      </c>
      <c r="AU25" s="598">
        <v>0.30769230769230771</v>
      </c>
      <c r="AV25" s="598">
        <v>0.56756756756756754</v>
      </c>
      <c r="AW25" s="673">
        <v>20</v>
      </c>
      <c r="AX25" s="600">
        <v>74</v>
      </c>
      <c r="AY25" s="600">
        <v>8</v>
      </c>
      <c r="AZ25" s="600">
        <v>20</v>
      </c>
      <c r="BA25" s="600">
        <v>2</v>
      </c>
      <c r="BB25" s="600">
        <v>1</v>
      </c>
      <c r="BC25" s="600">
        <v>6</v>
      </c>
      <c r="BD25" s="600">
        <v>12</v>
      </c>
      <c r="BE25" s="600">
        <v>4</v>
      </c>
      <c r="BF25" s="600">
        <v>22</v>
      </c>
      <c r="BG25" s="673">
        <v>0</v>
      </c>
      <c r="BH25" s="604">
        <v>9</v>
      </c>
      <c r="BI25" s="600">
        <v>42</v>
      </c>
      <c r="BJ25" s="598">
        <v>0.87525987525987525</v>
      </c>
      <c r="BK25" s="600">
        <v>1</v>
      </c>
      <c r="BL25" s="614">
        <v>1</v>
      </c>
      <c r="BN25" s="711" t="s">
        <v>206</v>
      </c>
      <c r="BO25" s="673" t="s">
        <v>835</v>
      </c>
      <c r="BP25" s="673" t="s">
        <v>853</v>
      </c>
      <c r="BQ25" s="946">
        <v>0.94736842105263153</v>
      </c>
      <c r="BR25" s="890">
        <v>4</v>
      </c>
      <c r="BS25" s="888">
        <v>0</v>
      </c>
      <c r="BT25" s="673">
        <v>5</v>
      </c>
      <c r="BU25" s="630">
        <v>38</v>
      </c>
      <c r="BV25" s="600">
        <v>19</v>
      </c>
      <c r="BW25" s="600">
        <v>4</v>
      </c>
      <c r="BX25" s="600">
        <v>16</v>
      </c>
      <c r="BY25" s="600">
        <v>60</v>
      </c>
      <c r="BZ25" s="600">
        <v>0</v>
      </c>
      <c r="CA25" s="935">
        <v>0.92105263157894735</v>
      </c>
      <c r="CB25" s="673">
        <v>5</v>
      </c>
      <c r="CC25" s="600">
        <v>1</v>
      </c>
      <c r="CD25" s="614">
        <v>1</v>
      </c>
      <c r="CG25" s="711" t="s">
        <v>179</v>
      </c>
      <c r="CH25" s="673" t="s">
        <v>804</v>
      </c>
      <c r="CI25" s="673" t="s">
        <v>807</v>
      </c>
      <c r="CJ25" s="706">
        <v>0.30499999999999999</v>
      </c>
      <c r="CK25" s="598">
        <v>0.38700000000000001</v>
      </c>
      <c r="CL25" s="598">
        <v>0.64600000000000002</v>
      </c>
      <c r="CM25" s="673">
        <v>20</v>
      </c>
      <c r="CN25" s="600">
        <v>82</v>
      </c>
      <c r="CO25" s="600">
        <v>20</v>
      </c>
      <c r="CP25" s="600">
        <v>25</v>
      </c>
      <c r="CQ25" s="600">
        <v>7</v>
      </c>
      <c r="CR25" s="600">
        <v>0</v>
      </c>
      <c r="CS25" s="600">
        <v>7</v>
      </c>
      <c r="CT25" s="600">
        <v>19</v>
      </c>
      <c r="CU25" s="600">
        <v>11</v>
      </c>
      <c r="CV25" s="600">
        <v>12</v>
      </c>
      <c r="CW25" s="673">
        <v>0</v>
      </c>
      <c r="CX25" s="600">
        <v>4</v>
      </c>
      <c r="CY25" s="673">
        <v>53</v>
      </c>
      <c r="CZ25" s="598">
        <v>1.0329999999999999</v>
      </c>
      <c r="DA25" s="600">
        <v>5</v>
      </c>
      <c r="DB25" s="614">
        <v>1</v>
      </c>
      <c r="DD25" s="711" t="s">
        <v>206</v>
      </c>
      <c r="DE25" s="673" t="s">
        <v>804</v>
      </c>
      <c r="DF25" s="673" t="s">
        <v>820</v>
      </c>
      <c r="DG25" s="946">
        <v>2.11</v>
      </c>
      <c r="DH25" s="890">
        <v>1</v>
      </c>
      <c r="DI25" s="888">
        <v>1</v>
      </c>
      <c r="DJ25" s="673">
        <v>5</v>
      </c>
      <c r="DK25" s="630">
        <v>38.299999999999997</v>
      </c>
      <c r="DL25" s="600">
        <v>22</v>
      </c>
      <c r="DM25" s="600">
        <v>9</v>
      </c>
      <c r="DN25" s="600">
        <v>10</v>
      </c>
      <c r="DO25" s="600">
        <v>56</v>
      </c>
      <c r="DP25" s="600">
        <v>0</v>
      </c>
      <c r="DQ25" s="948">
        <v>0.83</v>
      </c>
      <c r="DR25" s="673">
        <v>1</v>
      </c>
      <c r="DS25" s="600">
        <v>1</v>
      </c>
      <c r="DT25" s="614">
        <v>1</v>
      </c>
    </row>
    <row r="26" spans="2:124">
      <c r="B26" s="712" t="s">
        <v>177</v>
      </c>
      <c r="C26" s="77" t="s">
        <v>804</v>
      </c>
      <c r="D26" s="77" t="s">
        <v>806</v>
      </c>
      <c r="E26" s="130">
        <v>0.32051282051282054</v>
      </c>
      <c r="F26" s="72">
        <v>0.37647058823529411</v>
      </c>
      <c r="G26" s="72">
        <v>0.67948717948717952</v>
      </c>
      <c r="H26" s="77">
        <v>20</v>
      </c>
      <c r="I26" s="28">
        <v>78</v>
      </c>
      <c r="J26" s="28">
        <v>13</v>
      </c>
      <c r="K26" s="28">
        <v>25</v>
      </c>
      <c r="L26" s="28">
        <v>7</v>
      </c>
      <c r="M26" s="28">
        <v>0</v>
      </c>
      <c r="N26" s="28">
        <v>7</v>
      </c>
      <c r="O26" s="28">
        <v>21</v>
      </c>
      <c r="P26" s="28">
        <v>7</v>
      </c>
      <c r="Q26" s="28">
        <v>25</v>
      </c>
      <c r="R26" s="77">
        <v>0</v>
      </c>
      <c r="S26" s="74">
        <v>4</v>
      </c>
      <c r="T26" s="28">
        <v>53</v>
      </c>
      <c r="U26" s="72">
        <v>1.0559577677224736</v>
      </c>
      <c r="V26" s="74">
        <v>3</v>
      </c>
      <c r="W26" s="615">
        <v>2</v>
      </c>
      <c r="Y26" s="712" t="s">
        <v>206</v>
      </c>
      <c r="Z26" s="77" t="s">
        <v>1171</v>
      </c>
      <c r="AA26" s="77" t="s">
        <v>1184</v>
      </c>
      <c r="AB26" s="147">
        <v>0.94736842105263153</v>
      </c>
      <c r="AC26" s="146">
        <v>2</v>
      </c>
      <c r="AD26" s="32">
        <v>1</v>
      </c>
      <c r="AE26" s="77">
        <v>5</v>
      </c>
      <c r="AF26" s="584">
        <v>38</v>
      </c>
      <c r="AG26" s="28">
        <v>32</v>
      </c>
      <c r="AH26" s="28">
        <v>4</v>
      </c>
      <c r="AI26" s="28">
        <v>7</v>
      </c>
      <c r="AJ26" s="28">
        <v>42</v>
      </c>
      <c r="AK26" s="28">
        <v>0</v>
      </c>
      <c r="AL26" s="89">
        <v>1.03</v>
      </c>
      <c r="AM26" s="28">
        <v>4</v>
      </c>
      <c r="AN26" s="28">
        <v>2</v>
      </c>
      <c r="AO26" s="615">
        <v>2</v>
      </c>
      <c r="AQ26" s="712" t="s">
        <v>177</v>
      </c>
      <c r="AR26" s="77" t="s">
        <v>869</v>
      </c>
      <c r="AS26" s="77" t="s">
        <v>871</v>
      </c>
      <c r="AT26" s="130">
        <v>0.26250000000000001</v>
      </c>
      <c r="AU26" s="72">
        <v>0.34444444444444444</v>
      </c>
      <c r="AV26" s="72">
        <v>0.57499999999999996</v>
      </c>
      <c r="AW26" s="77">
        <v>20</v>
      </c>
      <c r="AX26" s="28">
        <v>80</v>
      </c>
      <c r="AY26" s="28">
        <v>11</v>
      </c>
      <c r="AZ26" s="28">
        <v>21</v>
      </c>
      <c r="BA26" s="28">
        <v>7</v>
      </c>
      <c r="BB26" s="28">
        <v>0</v>
      </c>
      <c r="BC26" s="28">
        <v>6</v>
      </c>
      <c r="BD26" s="28">
        <v>17</v>
      </c>
      <c r="BE26" s="28">
        <v>10</v>
      </c>
      <c r="BF26" s="28">
        <v>22</v>
      </c>
      <c r="BG26" s="77">
        <v>0</v>
      </c>
      <c r="BH26" s="74">
        <v>7</v>
      </c>
      <c r="BI26" s="28">
        <v>46</v>
      </c>
      <c r="BJ26" s="72">
        <v>0.9194444444444444</v>
      </c>
      <c r="BK26" s="28">
        <v>2</v>
      </c>
      <c r="BL26" s="615">
        <v>2</v>
      </c>
      <c r="BN26" s="712" t="s">
        <v>206</v>
      </c>
      <c r="BO26" s="77" t="s">
        <v>1025</v>
      </c>
      <c r="BP26" s="77" t="s">
        <v>1045</v>
      </c>
      <c r="BQ26" s="147">
        <v>1.35</v>
      </c>
      <c r="BR26" s="146">
        <v>5</v>
      </c>
      <c r="BS26" s="32">
        <v>0</v>
      </c>
      <c r="BT26" s="77">
        <v>5</v>
      </c>
      <c r="BU26" s="584">
        <v>40</v>
      </c>
      <c r="BV26" s="28">
        <v>23</v>
      </c>
      <c r="BW26" s="28">
        <v>6</v>
      </c>
      <c r="BX26" s="28">
        <v>13</v>
      </c>
      <c r="BY26" s="28">
        <v>39</v>
      </c>
      <c r="BZ26" s="28">
        <v>0</v>
      </c>
      <c r="CA26" s="566">
        <v>0.9</v>
      </c>
      <c r="CB26" s="77">
        <v>4</v>
      </c>
      <c r="CC26" s="28">
        <v>1</v>
      </c>
      <c r="CD26" s="615">
        <v>2</v>
      </c>
      <c r="CG26" s="712" t="s">
        <v>177</v>
      </c>
      <c r="CH26" s="77" t="s">
        <v>835</v>
      </c>
      <c r="CI26" s="77" t="s">
        <v>838</v>
      </c>
      <c r="CJ26" s="130">
        <v>0.25900000000000001</v>
      </c>
      <c r="CK26" s="72">
        <v>0.34799999999999998</v>
      </c>
      <c r="CL26" s="72">
        <v>0.49399999999999999</v>
      </c>
      <c r="CM26" s="77">
        <v>20</v>
      </c>
      <c r="CN26" s="28">
        <v>81</v>
      </c>
      <c r="CO26" s="28">
        <v>13</v>
      </c>
      <c r="CP26" s="28">
        <v>21</v>
      </c>
      <c r="CQ26" s="28">
        <v>1</v>
      </c>
      <c r="CR26" s="28">
        <v>0</v>
      </c>
      <c r="CS26" s="28">
        <v>6</v>
      </c>
      <c r="CT26" s="28">
        <v>10</v>
      </c>
      <c r="CU26" s="28">
        <v>11</v>
      </c>
      <c r="CV26" s="28">
        <v>17</v>
      </c>
      <c r="CW26" s="77">
        <v>0</v>
      </c>
      <c r="CX26" s="28">
        <v>3</v>
      </c>
      <c r="CY26" s="77">
        <v>40</v>
      </c>
      <c r="CZ26" s="72">
        <v>0.84199999999999997</v>
      </c>
      <c r="DA26" s="28">
        <v>2</v>
      </c>
      <c r="DB26" s="615">
        <v>2</v>
      </c>
      <c r="DD26" s="712" t="s">
        <v>206</v>
      </c>
      <c r="DE26" s="77" t="s">
        <v>869</v>
      </c>
      <c r="DF26" s="77" t="s">
        <v>889</v>
      </c>
      <c r="DG26" s="147">
        <v>1.42</v>
      </c>
      <c r="DH26" s="146">
        <v>3</v>
      </c>
      <c r="DI26" s="32">
        <v>0</v>
      </c>
      <c r="DJ26" s="77">
        <v>5</v>
      </c>
      <c r="DK26" s="584">
        <v>38</v>
      </c>
      <c r="DL26" s="28">
        <v>29</v>
      </c>
      <c r="DM26" s="28">
        <v>6</v>
      </c>
      <c r="DN26" s="28">
        <v>10</v>
      </c>
      <c r="DO26" s="28">
        <v>41</v>
      </c>
      <c r="DP26" s="28">
        <v>0</v>
      </c>
      <c r="DQ26" s="569">
        <v>1.03</v>
      </c>
      <c r="DR26" s="77">
        <v>2</v>
      </c>
      <c r="DS26" s="28">
        <v>1</v>
      </c>
      <c r="DT26" s="615">
        <v>2</v>
      </c>
    </row>
    <row r="27" spans="2:124">
      <c r="B27" s="712" t="s">
        <v>153</v>
      </c>
      <c r="C27" s="77" t="s">
        <v>1265</v>
      </c>
      <c r="D27" s="77" t="s">
        <v>1266</v>
      </c>
      <c r="E27" s="130">
        <v>0.38271604938271603</v>
      </c>
      <c r="F27" s="72">
        <v>0.46808510638297873</v>
      </c>
      <c r="G27" s="72">
        <v>0.60493827160493829</v>
      </c>
      <c r="H27" s="77">
        <v>20</v>
      </c>
      <c r="I27" s="28">
        <v>81</v>
      </c>
      <c r="J27" s="28">
        <v>14</v>
      </c>
      <c r="K27" s="28">
        <v>31</v>
      </c>
      <c r="L27" s="28">
        <v>7</v>
      </c>
      <c r="M27" s="28">
        <v>1</v>
      </c>
      <c r="N27" s="28">
        <v>3</v>
      </c>
      <c r="O27" s="28">
        <v>20</v>
      </c>
      <c r="P27" s="28">
        <v>13</v>
      </c>
      <c r="Q27" s="28">
        <v>14</v>
      </c>
      <c r="R27" s="77">
        <v>0</v>
      </c>
      <c r="S27" s="74">
        <v>6</v>
      </c>
      <c r="T27" s="28">
        <v>49</v>
      </c>
      <c r="U27" s="72">
        <v>1.073023377987917</v>
      </c>
      <c r="V27" s="74">
        <v>1</v>
      </c>
      <c r="W27" s="615">
        <v>3</v>
      </c>
      <c r="Y27" s="712" t="s">
        <v>206</v>
      </c>
      <c r="Z27" s="77" t="s">
        <v>835</v>
      </c>
      <c r="AA27" s="77" t="s">
        <v>853</v>
      </c>
      <c r="AB27" s="147">
        <v>1.7027027027027026</v>
      </c>
      <c r="AC27" s="146">
        <v>2</v>
      </c>
      <c r="AD27" s="32">
        <v>2</v>
      </c>
      <c r="AE27" s="77">
        <v>5</v>
      </c>
      <c r="AF27" s="584">
        <v>37</v>
      </c>
      <c r="AG27" s="28">
        <v>24</v>
      </c>
      <c r="AH27" s="28">
        <v>7</v>
      </c>
      <c r="AI27" s="28">
        <v>11</v>
      </c>
      <c r="AJ27" s="28">
        <v>55</v>
      </c>
      <c r="AK27" s="28">
        <v>0</v>
      </c>
      <c r="AL27" s="568">
        <v>0.95</v>
      </c>
      <c r="AM27" s="28">
        <v>2</v>
      </c>
      <c r="AN27" s="28">
        <v>2</v>
      </c>
      <c r="AO27" s="615">
        <v>3</v>
      </c>
      <c r="AQ27" s="712" t="s">
        <v>153</v>
      </c>
      <c r="AR27" s="77" t="s">
        <v>952</v>
      </c>
      <c r="AS27" s="77" t="s">
        <v>959</v>
      </c>
      <c r="AT27" s="130">
        <v>0.32432432432432434</v>
      </c>
      <c r="AU27" s="72">
        <v>0.35064935064935066</v>
      </c>
      <c r="AV27" s="72">
        <v>0.58108108108108103</v>
      </c>
      <c r="AW27" s="77">
        <v>20</v>
      </c>
      <c r="AX27" s="28">
        <v>74</v>
      </c>
      <c r="AY27" s="28">
        <v>10</v>
      </c>
      <c r="AZ27" s="28">
        <v>24</v>
      </c>
      <c r="BA27" s="28">
        <v>2</v>
      </c>
      <c r="BB27" s="28">
        <v>1</v>
      </c>
      <c r="BC27" s="28">
        <v>5</v>
      </c>
      <c r="BD27" s="28">
        <v>10</v>
      </c>
      <c r="BE27" s="28">
        <v>3</v>
      </c>
      <c r="BF27" s="28">
        <v>8</v>
      </c>
      <c r="BG27" s="77">
        <v>0</v>
      </c>
      <c r="BH27" s="74">
        <v>10</v>
      </c>
      <c r="BI27" s="28">
        <v>43</v>
      </c>
      <c r="BJ27" s="72">
        <v>0.93173043173043169</v>
      </c>
      <c r="BK27" s="28">
        <v>1</v>
      </c>
      <c r="BL27" s="615">
        <v>3</v>
      </c>
      <c r="BN27" s="712" t="s">
        <v>206</v>
      </c>
      <c r="BO27" s="77" t="s">
        <v>804</v>
      </c>
      <c r="BP27" s="77" t="s">
        <v>820</v>
      </c>
      <c r="BQ27" s="147">
        <v>1.079913606911447</v>
      </c>
      <c r="BR27" s="146">
        <v>2</v>
      </c>
      <c r="BS27" s="32">
        <v>1</v>
      </c>
      <c r="BT27" s="77">
        <v>5</v>
      </c>
      <c r="BU27" s="584">
        <v>41.67</v>
      </c>
      <c r="BV27" s="28">
        <v>18</v>
      </c>
      <c r="BW27" s="28">
        <v>5</v>
      </c>
      <c r="BX27" s="28">
        <v>6</v>
      </c>
      <c r="BY27" s="28">
        <v>43</v>
      </c>
      <c r="BZ27" s="28">
        <v>0</v>
      </c>
      <c r="CA27" s="567">
        <v>0.57999999999999996</v>
      </c>
      <c r="CB27" s="77">
        <v>3</v>
      </c>
      <c r="CC27" s="28">
        <v>1</v>
      </c>
      <c r="CD27" s="615">
        <v>3</v>
      </c>
      <c r="CG27" s="712" t="s">
        <v>153</v>
      </c>
      <c r="CH27" s="77" t="s">
        <v>804</v>
      </c>
      <c r="CI27" s="77" t="s">
        <v>811</v>
      </c>
      <c r="CJ27" s="130">
        <v>0.313</v>
      </c>
      <c r="CK27" s="72">
        <v>0.34499999999999997</v>
      </c>
      <c r="CL27" s="72">
        <v>0.48799999999999999</v>
      </c>
      <c r="CM27" s="77">
        <v>20</v>
      </c>
      <c r="CN27" s="28">
        <v>80</v>
      </c>
      <c r="CO27" s="28">
        <v>12</v>
      </c>
      <c r="CP27" s="28">
        <v>25</v>
      </c>
      <c r="CQ27" s="28">
        <v>6</v>
      </c>
      <c r="CR27" s="28">
        <v>1</v>
      </c>
      <c r="CS27" s="28">
        <v>2</v>
      </c>
      <c r="CT27" s="28">
        <v>18</v>
      </c>
      <c r="CU27" s="28">
        <v>4</v>
      </c>
      <c r="CV27" s="28">
        <v>14</v>
      </c>
      <c r="CW27" s="77">
        <v>0</v>
      </c>
      <c r="CX27" s="28">
        <v>6</v>
      </c>
      <c r="CY27" s="77">
        <v>39</v>
      </c>
      <c r="CZ27" s="72">
        <v>0.83299999999999996</v>
      </c>
      <c r="DA27" s="28">
        <v>0</v>
      </c>
      <c r="DB27" s="615">
        <v>3</v>
      </c>
      <c r="DD27" s="712" t="s">
        <v>206</v>
      </c>
      <c r="DE27" s="77" t="s">
        <v>1200</v>
      </c>
      <c r="DF27" s="77" t="s">
        <v>1215</v>
      </c>
      <c r="DG27" s="147">
        <v>1.54</v>
      </c>
      <c r="DH27" s="146">
        <v>3</v>
      </c>
      <c r="DI27" s="32">
        <v>1</v>
      </c>
      <c r="DJ27" s="77">
        <v>5</v>
      </c>
      <c r="DK27" s="584">
        <v>35</v>
      </c>
      <c r="DL27" s="28">
        <v>24</v>
      </c>
      <c r="DM27" s="28">
        <v>6</v>
      </c>
      <c r="DN27" s="28">
        <v>13</v>
      </c>
      <c r="DO27" s="28">
        <v>47</v>
      </c>
      <c r="DP27" s="28">
        <v>0</v>
      </c>
      <c r="DQ27" s="570">
        <v>1.06</v>
      </c>
      <c r="DR27" s="77">
        <v>1</v>
      </c>
      <c r="DS27" s="28">
        <v>1</v>
      </c>
      <c r="DT27" s="615">
        <v>3</v>
      </c>
    </row>
    <row r="28" spans="2:124">
      <c r="B28" s="712" t="s">
        <v>172</v>
      </c>
      <c r="C28" s="77" t="s">
        <v>804</v>
      </c>
      <c r="D28" s="77" t="s">
        <v>805</v>
      </c>
      <c r="E28" s="130">
        <v>0.31521739130434784</v>
      </c>
      <c r="F28" s="72">
        <v>0.35714285714285715</v>
      </c>
      <c r="G28" s="72">
        <v>0.56521739130434778</v>
      </c>
      <c r="H28" s="77">
        <v>20</v>
      </c>
      <c r="I28" s="28">
        <v>92</v>
      </c>
      <c r="J28" s="28">
        <v>15</v>
      </c>
      <c r="K28" s="28">
        <v>29</v>
      </c>
      <c r="L28" s="28">
        <v>3</v>
      </c>
      <c r="M28" s="28">
        <v>1</v>
      </c>
      <c r="N28" s="28">
        <v>6</v>
      </c>
      <c r="O28" s="28">
        <v>16</v>
      </c>
      <c r="P28" s="28">
        <v>6</v>
      </c>
      <c r="Q28" s="28">
        <v>15</v>
      </c>
      <c r="R28" s="77">
        <v>0</v>
      </c>
      <c r="S28" s="74">
        <v>8</v>
      </c>
      <c r="T28" s="28">
        <v>52</v>
      </c>
      <c r="U28" s="72">
        <v>0.92236024844720488</v>
      </c>
      <c r="V28" s="74">
        <v>3</v>
      </c>
      <c r="W28" s="615">
        <v>4</v>
      </c>
      <c r="Y28" s="712" t="s">
        <v>206</v>
      </c>
      <c r="Z28" s="77" t="s">
        <v>804</v>
      </c>
      <c r="AA28" s="77" t="s">
        <v>820</v>
      </c>
      <c r="AB28" s="147">
        <v>1.8619084561675716</v>
      </c>
      <c r="AC28" s="146">
        <v>3</v>
      </c>
      <c r="AD28" s="32">
        <v>1</v>
      </c>
      <c r="AE28" s="77">
        <v>5</v>
      </c>
      <c r="AF28" s="584">
        <v>38.67</v>
      </c>
      <c r="AG28" s="28">
        <v>23</v>
      </c>
      <c r="AH28" s="28">
        <v>8</v>
      </c>
      <c r="AI28" s="28">
        <v>6</v>
      </c>
      <c r="AJ28" s="28">
        <v>55</v>
      </c>
      <c r="AK28" s="28">
        <v>0</v>
      </c>
      <c r="AL28" s="89">
        <v>0.75</v>
      </c>
      <c r="AM28" s="28">
        <v>3</v>
      </c>
      <c r="AN28" s="28">
        <v>1</v>
      </c>
      <c r="AO28" s="615">
        <v>4</v>
      </c>
      <c r="AQ28" s="712" t="s">
        <v>172</v>
      </c>
      <c r="AR28" s="77" t="s">
        <v>1229</v>
      </c>
      <c r="AS28" s="77" t="s">
        <v>1231</v>
      </c>
      <c r="AT28" s="130">
        <v>0.29761904761904762</v>
      </c>
      <c r="AU28" s="72">
        <v>0.36559139784946237</v>
      </c>
      <c r="AV28" s="72">
        <v>0.52380952380952384</v>
      </c>
      <c r="AW28" s="77">
        <v>20</v>
      </c>
      <c r="AX28" s="28">
        <v>84</v>
      </c>
      <c r="AY28" s="28">
        <v>17</v>
      </c>
      <c r="AZ28" s="28">
        <v>25</v>
      </c>
      <c r="BA28" s="28">
        <v>7</v>
      </c>
      <c r="BB28" s="28">
        <v>0</v>
      </c>
      <c r="BC28" s="28">
        <v>4</v>
      </c>
      <c r="BD28" s="28">
        <v>7</v>
      </c>
      <c r="BE28" s="28">
        <v>9</v>
      </c>
      <c r="BF28" s="28">
        <v>24</v>
      </c>
      <c r="BG28" s="77">
        <v>5</v>
      </c>
      <c r="BH28" s="74">
        <v>10</v>
      </c>
      <c r="BI28" s="28">
        <v>44</v>
      </c>
      <c r="BJ28" s="72">
        <v>0.88940092165898621</v>
      </c>
      <c r="BK28" s="28">
        <v>0</v>
      </c>
      <c r="BL28" s="615">
        <v>4</v>
      </c>
      <c r="BN28" s="712" t="s">
        <v>206</v>
      </c>
      <c r="BO28" s="77" t="s">
        <v>1171</v>
      </c>
      <c r="BP28" s="77" t="s">
        <v>1184</v>
      </c>
      <c r="BQ28" s="147">
        <v>1.2386457473162675</v>
      </c>
      <c r="BR28" s="146">
        <v>3</v>
      </c>
      <c r="BS28" s="32">
        <v>1</v>
      </c>
      <c r="BT28" s="77">
        <v>5</v>
      </c>
      <c r="BU28" s="584">
        <v>36.33</v>
      </c>
      <c r="BV28" s="28">
        <v>24</v>
      </c>
      <c r="BW28" s="28">
        <v>5</v>
      </c>
      <c r="BX28" s="28">
        <v>8</v>
      </c>
      <c r="BY28" s="28">
        <v>22</v>
      </c>
      <c r="BZ28" s="28">
        <v>0</v>
      </c>
      <c r="CA28" s="566">
        <v>0.88</v>
      </c>
      <c r="CB28" s="77">
        <v>4</v>
      </c>
      <c r="CC28" s="28">
        <v>1</v>
      </c>
      <c r="CD28" s="615">
        <v>4</v>
      </c>
      <c r="CG28" s="712" t="s">
        <v>172</v>
      </c>
      <c r="CH28" s="77" t="s">
        <v>1265</v>
      </c>
      <c r="CI28" s="77" t="s">
        <v>1267</v>
      </c>
      <c r="CJ28" s="130">
        <v>0.316</v>
      </c>
      <c r="CK28" s="72">
        <v>0.36499999999999999</v>
      </c>
      <c r="CL28" s="72">
        <v>0.72199999999999998</v>
      </c>
      <c r="CM28" s="77">
        <v>18</v>
      </c>
      <c r="CN28" s="28">
        <v>79</v>
      </c>
      <c r="CO28" s="28">
        <v>13</v>
      </c>
      <c r="CP28" s="28">
        <v>25</v>
      </c>
      <c r="CQ28" s="28">
        <v>6</v>
      </c>
      <c r="CR28" s="28">
        <v>1</v>
      </c>
      <c r="CS28" s="28">
        <v>8</v>
      </c>
      <c r="CT28" s="28">
        <v>18</v>
      </c>
      <c r="CU28" s="28">
        <v>6</v>
      </c>
      <c r="CV28" s="28">
        <v>14</v>
      </c>
      <c r="CW28" s="77">
        <v>1</v>
      </c>
      <c r="CX28" s="28">
        <v>14</v>
      </c>
      <c r="CY28" s="77">
        <v>57</v>
      </c>
      <c r="CZ28" s="72">
        <v>1.0860000000000001</v>
      </c>
      <c r="DA28" s="28">
        <v>2</v>
      </c>
      <c r="DB28" s="615">
        <v>4</v>
      </c>
      <c r="DD28" s="712" t="s">
        <v>206</v>
      </c>
      <c r="DE28" s="77" t="s">
        <v>903</v>
      </c>
      <c r="DF28" s="77" t="s">
        <v>923</v>
      </c>
      <c r="DG28" s="147">
        <v>1.81</v>
      </c>
      <c r="DH28" s="146">
        <v>3</v>
      </c>
      <c r="DI28" s="32">
        <v>1</v>
      </c>
      <c r="DJ28" s="77">
        <v>5</v>
      </c>
      <c r="DK28" s="584">
        <v>39.700000000000003</v>
      </c>
      <c r="DL28" s="28">
        <v>28</v>
      </c>
      <c r="DM28" s="28">
        <v>8</v>
      </c>
      <c r="DN28" s="28">
        <v>8</v>
      </c>
      <c r="DO28" s="28">
        <v>45</v>
      </c>
      <c r="DP28" s="28">
        <v>0</v>
      </c>
      <c r="DQ28" s="569">
        <v>0.91</v>
      </c>
      <c r="DR28" s="77">
        <v>1</v>
      </c>
      <c r="DS28" s="28">
        <v>1</v>
      </c>
      <c r="DT28" s="615">
        <v>4</v>
      </c>
    </row>
    <row r="29" spans="2:124">
      <c r="B29" s="712" t="s">
        <v>154</v>
      </c>
      <c r="C29" s="77" t="s">
        <v>770</v>
      </c>
      <c r="D29" s="77" t="s">
        <v>771</v>
      </c>
      <c r="E29" s="130">
        <v>0.31578947368421051</v>
      </c>
      <c r="F29" s="72">
        <v>0.37349397590361444</v>
      </c>
      <c r="G29" s="72">
        <v>0.59210526315789469</v>
      </c>
      <c r="H29" s="77">
        <v>20</v>
      </c>
      <c r="I29" s="28">
        <v>76</v>
      </c>
      <c r="J29" s="28">
        <v>12</v>
      </c>
      <c r="K29" s="28">
        <v>24</v>
      </c>
      <c r="L29" s="28">
        <v>3</v>
      </c>
      <c r="M29" s="28">
        <v>0</v>
      </c>
      <c r="N29" s="28">
        <v>6</v>
      </c>
      <c r="O29" s="28">
        <v>13</v>
      </c>
      <c r="P29" s="28">
        <v>7</v>
      </c>
      <c r="Q29" s="28">
        <v>17</v>
      </c>
      <c r="R29" s="77">
        <v>0</v>
      </c>
      <c r="S29" s="74">
        <v>8</v>
      </c>
      <c r="T29" s="28">
        <v>45</v>
      </c>
      <c r="U29" s="72">
        <v>0.96559923906150913</v>
      </c>
      <c r="V29" s="74">
        <v>1</v>
      </c>
      <c r="W29" s="615">
        <v>5</v>
      </c>
      <c r="Y29" s="712" t="s">
        <v>206</v>
      </c>
      <c r="Z29" s="77" t="s">
        <v>1139</v>
      </c>
      <c r="AA29" s="77" t="s">
        <v>559</v>
      </c>
      <c r="AB29" s="147">
        <v>2.07672339198154</v>
      </c>
      <c r="AC29" s="146">
        <v>3</v>
      </c>
      <c r="AD29" s="32">
        <v>0</v>
      </c>
      <c r="AE29" s="77">
        <v>5</v>
      </c>
      <c r="AF29" s="584">
        <v>34.67</v>
      </c>
      <c r="AG29" s="28">
        <v>23</v>
      </c>
      <c r="AH29" s="28">
        <v>8</v>
      </c>
      <c r="AI29" s="28">
        <v>12</v>
      </c>
      <c r="AJ29" s="28">
        <v>39</v>
      </c>
      <c r="AK29" s="28">
        <v>0</v>
      </c>
      <c r="AL29" s="568">
        <v>1.01</v>
      </c>
      <c r="AM29" s="28">
        <v>4</v>
      </c>
      <c r="AN29" s="28">
        <v>0</v>
      </c>
      <c r="AO29" s="615">
        <v>5</v>
      </c>
      <c r="AQ29" s="712" t="s">
        <v>154</v>
      </c>
      <c r="AR29" s="77" t="s">
        <v>1139</v>
      </c>
      <c r="AS29" s="77" t="s">
        <v>1141</v>
      </c>
      <c r="AT29" s="130">
        <v>0.26190476190476192</v>
      </c>
      <c r="AU29" s="72">
        <v>0.30337078651685395</v>
      </c>
      <c r="AV29" s="72">
        <v>0.6071428571428571</v>
      </c>
      <c r="AW29" s="77">
        <v>20</v>
      </c>
      <c r="AX29" s="28">
        <v>84</v>
      </c>
      <c r="AY29" s="28">
        <v>15</v>
      </c>
      <c r="AZ29" s="28">
        <v>22</v>
      </c>
      <c r="BA29" s="28">
        <v>2</v>
      </c>
      <c r="BB29" s="28">
        <v>0</v>
      </c>
      <c r="BC29" s="28">
        <v>9</v>
      </c>
      <c r="BD29" s="28">
        <v>20</v>
      </c>
      <c r="BE29" s="28">
        <v>5</v>
      </c>
      <c r="BF29" s="28">
        <v>21</v>
      </c>
      <c r="BG29" s="77">
        <v>0</v>
      </c>
      <c r="BH29" s="74">
        <v>5</v>
      </c>
      <c r="BI29" s="28">
        <v>51</v>
      </c>
      <c r="BJ29" s="72">
        <v>0.91051364365971099</v>
      </c>
      <c r="BK29" s="28">
        <v>3</v>
      </c>
      <c r="BL29" s="615">
        <v>5</v>
      </c>
      <c r="BN29" s="712" t="s">
        <v>206</v>
      </c>
      <c r="BO29" s="77" t="s">
        <v>1200</v>
      </c>
      <c r="BP29" s="77" t="s">
        <v>1215</v>
      </c>
      <c r="BQ29" s="147">
        <v>1.8947368421052631</v>
      </c>
      <c r="BR29" s="146">
        <v>3</v>
      </c>
      <c r="BS29" s="32">
        <v>0</v>
      </c>
      <c r="BT29" s="77">
        <v>5</v>
      </c>
      <c r="BU29" s="584">
        <v>38</v>
      </c>
      <c r="BV29" s="28">
        <v>24</v>
      </c>
      <c r="BW29" s="28">
        <v>8</v>
      </c>
      <c r="BX29" s="28">
        <v>12</v>
      </c>
      <c r="BY29" s="28">
        <v>51</v>
      </c>
      <c r="BZ29" s="28">
        <v>0</v>
      </c>
      <c r="CA29" s="567">
        <v>0.95</v>
      </c>
      <c r="CB29" s="77">
        <v>3</v>
      </c>
      <c r="CC29" s="28">
        <v>1</v>
      </c>
      <c r="CD29" s="615">
        <v>5</v>
      </c>
      <c r="CG29" s="712" t="s">
        <v>154</v>
      </c>
      <c r="CH29" s="77" t="s">
        <v>1200</v>
      </c>
      <c r="CI29" s="77" t="s">
        <v>1202</v>
      </c>
      <c r="CJ29" s="130">
        <v>0.32</v>
      </c>
      <c r="CK29" s="72">
        <v>0.38600000000000001</v>
      </c>
      <c r="CL29" s="72">
        <v>0.6</v>
      </c>
      <c r="CM29" s="77">
        <v>20</v>
      </c>
      <c r="CN29" s="28">
        <v>75</v>
      </c>
      <c r="CO29" s="28">
        <v>17</v>
      </c>
      <c r="CP29" s="28">
        <v>24</v>
      </c>
      <c r="CQ29" s="28">
        <v>9</v>
      </c>
      <c r="CR29" s="28">
        <v>0</v>
      </c>
      <c r="CS29" s="28">
        <v>4</v>
      </c>
      <c r="CT29" s="28">
        <v>17</v>
      </c>
      <c r="CU29" s="28">
        <v>8</v>
      </c>
      <c r="CV29" s="28">
        <v>17</v>
      </c>
      <c r="CW29" s="77">
        <v>0</v>
      </c>
      <c r="CX29" s="28">
        <v>5</v>
      </c>
      <c r="CY29" s="77">
        <v>45</v>
      </c>
      <c r="CZ29" s="72">
        <v>0.98599999999999999</v>
      </c>
      <c r="DA29" s="28">
        <v>3</v>
      </c>
      <c r="DB29" s="615">
        <v>5</v>
      </c>
      <c r="DD29" s="712" t="s">
        <v>206</v>
      </c>
      <c r="DE29" s="77" t="s">
        <v>869</v>
      </c>
      <c r="DF29" s="77" t="s">
        <v>821</v>
      </c>
      <c r="DG29" s="147">
        <v>1.66</v>
      </c>
      <c r="DH29" s="146">
        <v>3</v>
      </c>
      <c r="DI29" s="32">
        <v>1</v>
      </c>
      <c r="DJ29" s="77">
        <v>5</v>
      </c>
      <c r="DK29" s="584">
        <v>38</v>
      </c>
      <c r="DL29" s="28">
        <v>25</v>
      </c>
      <c r="DM29" s="28">
        <v>7</v>
      </c>
      <c r="DN29" s="28">
        <v>14</v>
      </c>
      <c r="DO29" s="28">
        <v>35</v>
      </c>
      <c r="DP29" s="28">
        <v>0</v>
      </c>
      <c r="DQ29" s="570">
        <v>1.03</v>
      </c>
      <c r="DR29" s="77">
        <v>1</v>
      </c>
      <c r="DS29" s="28">
        <v>1</v>
      </c>
      <c r="DT29" s="615">
        <v>5</v>
      </c>
    </row>
    <row r="30" spans="2:124">
      <c r="B30" s="712" t="s">
        <v>174</v>
      </c>
      <c r="C30" s="77" t="s">
        <v>1229</v>
      </c>
      <c r="D30" s="77" t="s">
        <v>997</v>
      </c>
      <c r="E30" s="130">
        <v>0.32926829268292684</v>
      </c>
      <c r="F30" s="72">
        <v>0.375</v>
      </c>
      <c r="G30" s="72">
        <v>0.58536585365853655</v>
      </c>
      <c r="H30" s="77">
        <v>20</v>
      </c>
      <c r="I30" s="28">
        <v>82</v>
      </c>
      <c r="J30" s="28">
        <v>9</v>
      </c>
      <c r="K30" s="28">
        <v>27</v>
      </c>
      <c r="L30" s="28">
        <v>7</v>
      </c>
      <c r="M30" s="28">
        <v>1</v>
      </c>
      <c r="N30" s="28">
        <v>4</v>
      </c>
      <c r="O30" s="28">
        <v>12</v>
      </c>
      <c r="P30" s="28">
        <v>6</v>
      </c>
      <c r="Q30" s="28">
        <v>15</v>
      </c>
      <c r="R30" s="77">
        <v>0</v>
      </c>
      <c r="S30" s="74">
        <v>12</v>
      </c>
      <c r="T30" s="28">
        <v>48</v>
      </c>
      <c r="U30" s="72">
        <v>0.96036585365853655</v>
      </c>
      <c r="V30" s="74">
        <v>2</v>
      </c>
      <c r="W30" s="615">
        <v>6</v>
      </c>
      <c r="Y30" s="712" t="s">
        <v>206</v>
      </c>
      <c r="Z30" s="77" t="s">
        <v>1265</v>
      </c>
      <c r="AA30" s="77" t="s">
        <v>1285</v>
      </c>
      <c r="AB30" s="147">
        <v>1.75</v>
      </c>
      <c r="AC30" s="146">
        <v>4</v>
      </c>
      <c r="AD30" s="32">
        <v>1</v>
      </c>
      <c r="AE30" s="77">
        <v>5</v>
      </c>
      <c r="AF30" s="584">
        <v>36</v>
      </c>
      <c r="AG30" s="28">
        <v>26</v>
      </c>
      <c r="AH30" s="28">
        <v>7</v>
      </c>
      <c r="AI30" s="28">
        <v>7</v>
      </c>
      <c r="AJ30" s="28">
        <v>34</v>
      </c>
      <c r="AK30" s="28">
        <v>0</v>
      </c>
      <c r="AL30" s="89">
        <v>0.92</v>
      </c>
      <c r="AM30" s="28">
        <v>2</v>
      </c>
      <c r="AN30" s="28">
        <v>2</v>
      </c>
      <c r="AO30" s="615">
        <v>6</v>
      </c>
      <c r="AQ30" s="712" t="s">
        <v>174</v>
      </c>
      <c r="AR30" s="77" t="s">
        <v>1062</v>
      </c>
      <c r="AS30" s="77" t="s">
        <v>1063</v>
      </c>
      <c r="AT30" s="130">
        <v>0.27058823529411763</v>
      </c>
      <c r="AU30" s="72">
        <v>0.31868131868131866</v>
      </c>
      <c r="AV30" s="72">
        <v>0.61176470588235299</v>
      </c>
      <c r="AW30" s="77">
        <v>20</v>
      </c>
      <c r="AX30" s="28">
        <v>85</v>
      </c>
      <c r="AY30" s="28">
        <v>11</v>
      </c>
      <c r="AZ30" s="28">
        <v>23</v>
      </c>
      <c r="BA30" s="28">
        <v>6</v>
      </c>
      <c r="BB30" s="28">
        <v>1</v>
      </c>
      <c r="BC30" s="28">
        <v>7</v>
      </c>
      <c r="BD30" s="28">
        <v>17</v>
      </c>
      <c r="BE30" s="28">
        <v>6</v>
      </c>
      <c r="BF30" s="28">
        <v>18</v>
      </c>
      <c r="BG30" s="77">
        <v>0</v>
      </c>
      <c r="BH30" s="74">
        <v>5</v>
      </c>
      <c r="BI30" s="28">
        <v>52</v>
      </c>
      <c r="BJ30" s="72">
        <v>0.93044602456367165</v>
      </c>
      <c r="BK30" s="28">
        <v>1</v>
      </c>
      <c r="BL30" s="615">
        <v>6</v>
      </c>
      <c r="BN30" s="712" t="s">
        <v>206</v>
      </c>
      <c r="BO30" s="77" t="s">
        <v>990</v>
      </c>
      <c r="BP30" s="77" t="s">
        <v>1008</v>
      </c>
      <c r="BQ30" s="147">
        <v>1.7341040462427746</v>
      </c>
      <c r="BR30" s="146">
        <v>4</v>
      </c>
      <c r="BS30" s="32">
        <v>1</v>
      </c>
      <c r="BT30" s="77">
        <v>5</v>
      </c>
      <c r="BU30" s="584">
        <v>36.33</v>
      </c>
      <c r="BV30" s="28">
        <v>28</v>
      </c>
      <c r="BW30" s="28">
        <v>7</v>
      </c>
      <c r="BX30" s="28">
        <v>8</v>
      </c>
      <c r="BY30" s="28">
        <v>25</v>
      </c>
      <c r="BZ30" s="28">
        <v>0</v>
      </c>
      <c r="CA30" s="566">
        <v>0.99</v>
      </c>
      <c r="CB30" s="77">
        <v>2</v>
      </c>
      <c r="CC30" s="28">
        <v>1</v>
      </c>
      <c r="CD30" s="615">
        <v>6</v>
      </c>
      <c r="CG30" s="712" t="s">
        <v>174</v>
      </c>
      <c r="CH30" s="77" t="s">
        <v>1139</v>
      </c>
      <c r="CI30" s="77" t="s">
        <v>1142</v>
      </c>
      <c r="CJ30" s="130">
        <v>0.31900000000000001</v>
      </c>
      <c r="CK30" s="72">
        <v>0.47199999999999998</v>
      </c>
      <c r="CL30" s="72">
        <v>0.72499999999999998</v>
      </c>
      <c r="CM30" s="77">
        <v>20</v>
      </c>
      <c r="CN30" s="28">
        <v>69</v>
      </c>
      <c r="CO30" s="28">
        <v>16</v>
      </c>
      <c r="CP30" s="28">
        <v>22</v>
      </c>
      <c r="CQ30" s="28">
        <v>1</v>
      </c>
      <c r="CR30" s="28">
        <v>0</v>
      </c>
      <c r="CS30" s="28">
        <v>9</v>
      </c>
      <c r="CT30" s="28">
        <v>25</v>
      </c>
      <c r="CU30" s="28">
        <v>20</v>
      </c>
      <c r="CV30" s="28">
        <v>13</v>
      </c>
      <c r="CW30" s="77">
        <v>0</v>
      </c>
      <c r="CX30" s="28">
        <v>5</v>
      </c>
      <c r="CY30" s="77">
        <v>50</v>
      </c>
      <c r="CZ30" s="72">
        <v>1.1970000000000001</v>
      </c>
      <c r="DA30" s="28">
        <v>4</v>
      </c>
      <c r="DB30" s="615">
        <v>6</v>
      </c>
      <c r="DD30" s="712" t="s">
        <v>206</v>
      </c>
      <c r="DE30" s="77" t="s">
        <v>990</v>
      </c>
      <c r="DF30" s="77" t="s">
        <v>1010</v>
      </c>
      <c r="DG30" s="147">
        <v>1.57</v>
      </c>
      <c r="DH30" s="146">
        <v>4</v>
      </c>
      <c r="DI30" s="32">
        <v>0</v>
      </c>
      <c r="DJ30" s="77">
        <v>5</v>
      </c>
      <c r="DK30" s="584">
        <v>34.299999999999997</v>
      </c>
      <c r="DL30" s="28">
        <v>24</v>
      </c>
      <c r="DM30" s="28">
        <v>6</v>
      </c>
      <c r="DN30" s="28">
        <v>10</v>
      </c>
      <c r="DO30" s="28">
        <v>34</v>
      </c>
      <c r="DP30" s="28">
        <v>0</v>
      </c>
      <c r="DQ30" s="569">
        <v>0.99</v>
      </c>
      <c r="DR30" s="77">
        <v>1</v>
      </c>
      <c r="DS30" s="28">
        <v>1</v>
      </c>
      <c r="DT30" s="615">
        <v>6</v>
      </c>
    </row>
    <row r="31" spans="2:124">
      <c r="B31" s="712" t="s">
        <v>181</v>
      </c>
      <c r="C31" s="77" t="s">
        <v>1229</v>
      </c>
      <c r="D31" s="77" t="s">
        <v>1230</v>
      </c>
      <c r="E31" s="130">
        <v>0.32941176470588235</v>
      </c>
      <c r="F31" s="72">
        <v>0.38043478260869568</v>
      </c>
      <c r="G31" s="72">
        <v>0.6</v>
      </c>
      <c r="H31" s="77">
        <v>20</v>
      </c>
      <c r="I31" s="28">
        <v>85</v>
      </c>
      <c r="J31" s="28">
        <v>13</v>
      </c>
      <c r="K31" s="28">
        <v>28</v>
      </c>
      <c r="L31" s="28">
        <v>6</v>
      </c>
      <c r="M31" s="28">
        <v>1</v>
      </c>
      <c r="N31" s="28">
        <v>5</v>
      </c>
      <c r="O31" s="28">
        <v>16</v>
      </c>
      <c r="P31" s="28">
        <v>7</v>
      </c>
      <c r="Q31" s="28">
        <v>19</v>
      </c>
      <c r="R31" s="77">
        <v>0</v>
      </c>
      <c r="S31" s="74">
        <v>8</v>
      </c>
      <c r="T31" s="28">
        <v>51</v>
      </c>
      <c r="U31" s="72">
        <v>0.98043478260869565</v>
      </c>
      <c r="V31" s="74">
        <v>1</v>
      </c>
      <c r="W31" s="615">
        <v>7</v>
      </c>
      <c r="Y31" s="712" t="s">
        <v>206</v>
      </c>
      <c r="Z31" s="77" t="s">
        <v>903</v>
      </c>
      <c r="AA31" s="77" t="s">
        <v>923</v>
      </c>
      <c r="AB31" s="147">
        <v>1.9634578674665939</v>
      </c>
      <c r="AC31" s="146">
        <v>1</v>
      </c>
      <c r="AD31" s="32">
        <v>3</v>
      </c>
      <c r="AE31" s="77">
        <v>5</v>
      </c>
      <c r="AF31" s="584">
        <v>36.67</v>
      </c>
      <c r="AG31" s="28">
        <v>28</v>
      </c>
      <c r="AH31" s="28">
        <v>8</v>
      </c>
      <c r="AI31" s="28">
        <v>8</v>
      </c>
      <c r="AJ31" s="28">
        <v>39</v>
      </c>
      <c r="AK31" s="28">
        <v>0</v>
      </c>
      <c r="AL31" s="568">
        <v>0.98</v>
      </c>
      <c r="AM31" s="28">
        <v>3</v>
      </c>
      <c r="AN31" s="28">
        <v>0</v>
      </c>
      <c r="AO31" s="615">
        <v>7</v>
      </c>
      <c r="AQ31" s="712" t="s">
        <v>181</v>
      </c>
      <c r="AR31" s="77" t="s">
        <v>1025</v>
      </c>
      <c r="AS31" s="77" t="s">
        <v>1029</v>
      </c>
      <c r="AT31" s="130">
        <v>0.31707317073170732</v>
      </c>
      <c r="AU31" s="72">
        <v>0.39130434782608697</v>
      </c>
      <c r="AV31" s="72">
        <v>0.62195121951219512</v>
      </c>
      <c r="AW31" s="77">
        <v>20</v>
      </c>
      <c r="AX31" s="28">
        <v>82</v>
      </c>
      <c r="AY31" s="28">
        <v>16</v>
      </c>
      <c r="AZ31" s="28">
        <v>26</v>
      </c>
      <c r="BA31" s="28">
        <v>5</v>
      </c>
      <c r="BB31" s="28">
        <v>1</v>
      </c>
      <c r="BC31" s="28">
        <v>6</v>
      </c>
      <c r="BD31" s="28">
        <v>20</v>
      </c>
      <c r="BE31" s="28">
        <v>10</v>
      </c>
      <c r="BF31" s="28">
        <v>21</v>
      </c>
      <c r="BG31" s="77">
        <v>7</v>
      </c>
      <c r="BH31" s="74">
        <v>9</v>
      </c>
      <c r="BI31" s="28">
        <v>51</v>
      </c>
      <c r="BJ31" s="72">
        <v>1.0132555673382821</v>
      </c>
      <c r="BK31" s="28">
        <v>5</v>
      </c>
      <c r="BL31" s="615">
        <v>7</v>
      </c>
      <c r="BN31" s="712" t="s">
        <v>206</v>
      </c>
      <c r="BO31" s="77" t="s">
        <v>869</v>
      </c>
      <c r="BP31" s="77" t="s">
        <v>821</v>
      </c>
      <c r="BQ31" s="147">
        <v>2.5231286795626575</v>
      </c>
      <c r="BR31" s="146">
        <v>3</v>
      </c>
      <c r="BS31" s="32">
        <v>2</v>
      </c>
      <c r="BT31" s="77">
        <v>5</v>
      </c>
      <c r="BU31" s="584">
        <v>35.67</v>
      </c>
      <c r="BV31" s="28">
        <v>27</v>
      </c>
      <c r="BW31" s="28">
        <v>10</v>
      </c>
      <c r="BX31" s="28">
        <v>9</v>
      </c>
      <c r="BY31" s="28">
        <v>44</v>
      </c>
      <c r="BZ31" s="28">
        <v>0</v>
      </c>
      <c r="CA31" s="567">
        <v>1.01</v>
      </c>
      <c r="CB31" s="77">
        <v>4</v>
      </c>
      <c r="CC31" s="28">
        <v>0</v>
      </c>
      <c r="CD31" s="615">
        <v>7</v>
      </c>
      <c r="CG31" s="712" t="s">
        <v>181</v>
      </c>
      <c r="CH31" s="77" t="s">
        <v>1229</v>
      </c>
      <c r="CI31" s="77" t="s">
        <v>1230</v>
      </c>
      <c r="CJ31" s="130">
        <v>0.34599999999999997</v>
      </c>
      <c r="CK31" s="72">
        <v>0.4</v>
      </c>
      <c r="CL31" s="72">
        <v>0.59</v>
      </c>
      <c r="CM31" s="77">
        <v>20</v>
      </c>
      <c r="CN31" s="28">
        <v>78</v>
      </c>
      <c r="CO31" s="28">
        <v>10</v>
      </c>
      <c r="CP31" s="28">
        <v>27</v>
      </c>
      <c r="CQ31" s="28">
        <v>2</v>
      </c>
      <c r="CR31" s="28">
        <v>1</v>
      </c>
      <c r="CS31" s="28">
        <v>5</v>
      </c>
      <c r="CT31" s="28">
        <v>16</v>
      </c>
      <c r="CU31" s="28">
        <v>7</v>
      </c>
      <c r="CV31" s="28">
        <v>19</v>
      </c>
      <c r="CW31" s="77">
        <v>1</v>
      </c>
      <c r="CX31" s="28">
        <v>11</v>
      </c>
      <c r="CY31" s="77">
        <v>46</v>
      </c>
      <c r="CZ31" s="72">
        <v>0.99</v>
      </c>
      <c r="DA31" s="28">
        <v>2</v>
      </c>
      <c r="DB31" s="615">
        <v>7</v>
      </c>
      <c r="DD31" s="712" t="s">
        <v>212</v>
      </c>
      <c r="DE31" s="77" t="s">
        <v>1200</v>
      </c>
      <c r="DF31" s="77" t="s">
        <v>1224</v>
      </c>
      <c r="DG31" s="147">
        <v>2.7</v>
      </c>
      <c r="DH31" s="146">
        <v>0</v>
      </c>
      <c r="DI31" s="32">
        <v>0</v>
      </c>
      <c r="DJ31" s="77">
        <v>17</v>
      </c>
      <c r="DK31" s="584">
        <v>16.670000000000002</v>
      </c>
      <c r="DL31" s="28">
        <v>14</v>
      </c>
      <c r="DM31" s="28">
        <v>5</v>
      </c>
      <c r="DN31" s="28">
        <v>8</v>
      </c>
      <c r="DO31" s="28">
        <v>24</v>
      </c>
      <c r="DP31" s="28">
        <v>8</v>
      </c>
      <c r="DQ31" s="570">
        <v>1.32</v>
      </c>
      <c r="DR31" s="77">
        <v>0</v>
      </c>
      <c r="DS31" s="28">
        <v>0</v>
      </c>
      <c r="DT31" s="615">
        <v>7</v>
      </c>
    </row>
    <row r="32" spans="2:124">
      <c r="B32" s="712" t="s">
        <v>166</v>
      </c>
      <c r="C32" s="77" t="s">
        <v>1265</v>
      </c>
      <c r="D32" s="77" t="s">
        <v>1269</v>
      </c>
      <c r="E32" s="130">
        <v>0.30337078651685395</v>
      </c>
      <c r="F32" s="72">
        <v>0.3473684210526316</v>
      </c>
      <c r="G32" s="72">
        <v>0.5168539325842697</v>
      </c>
      <c r="H32" s="77">
        <v>20</v>
      </c>
      <c r="I32" s="28">
        <v>89</v>
      </c>
      <c r="J32" s="28">
        <v>17</v>
      </c>
      <c r="K32" s="28">
        <v>27</v>
      </c>
      <c r="L32" s="28">
        <v>4</v>
      </c>
      <c r="M32" s="28">
        <v>3</v>
      </c>
      <c r="N32" s="28">
        <v>3</v>
      </c>
      <c r="O32" s="28">
        <v>15</v>
      </c>
      <c r="P32" s="28">
        <v>6</v>
      </c>
      <c r="Q32" s="28">
        <v>24</v>
      </c>
      <c r="R32" s="77">
        <v>11</v>
      </c>
      <c r="S32" s="74">
        <v>9</v>
      </c>
      <c r="T32" s="28">
        <v>46</v>
      </c>
      <c r="U32" s="72">
        <v>0.86422235363690136</v>
      </c>
      <c r="V32" s="74">
        <v>1</v>
      </c>
      <c r="W32" s="615">
        <v>8</v>
      </c>
      <c r="Y32" s="712" t="s">
        <v>206</v>
      </c>
      <c r="Z32" s="77" t="s">
        <v>835</v>
      </c>
      <c r="AA32" s="77" t="s">
        <v>855</v>
      </c>
      <c r="AB32" s="147">
        <v>1.3636363636363635</v>
      </c>
      <c r="AC32" s="146">
        <v>3</v>
      </c>
      <c r="AD32" s="32">
        <v>1</v>
      </c>
      <c r="AE32" s="77">
        <v>5</v>
      </c>
      <c r="AF32" s="584">
        <v>33</v>
      </c>
      <c r="AG32" s="28">
        <v>32</v>
      </c>
      <c r="AH32" s="28">
        <v>5</v>
      </c>
      <c r="AI32" s="28">
        <v>11</v>
      </c>
      <c r="AJ32" s="28">
        <v>33</v>
      </c>
      <c r="AK32" s="28">
        <v>0</v>
      </c>
      <c r="AL32" s="89">
        <v>1.3</v>
      </c>
      <c r="AM32" s="28">
        <v>0</v>
      </c>
      <c r="AN32" s="28">
        <v>0</v>
      </c>
      <c r="AO32" s="615">
        <v>8</v>
      </c>
      <c r="AQ32" s="712" t="s">
        <v>166</v>
      </c>
      <c r="AR32" s="77" t="s">
        <v>952</v>
      </c>
      <c r="AS32" s="77" t="s">
        <v>953</v>
      </c>
      <c r="AT32" s="130">
        <v>0.3108108108108108</v>
      </c>
      <c r="AU32" s="72">
        <v>0.37804878048780488</v>
      </c>
      <c r="AV32" s="72">
        <v>0.67567567567567566</v>
      </c>
      <c r="AW32" s="77">
        <v>20</v>
      </c>
      <c r="AX32" s="28">
        <v>74</v>
      </c>
      <c r="AY32" s="28">
        <v>16</v>
      </c>
      <c r="AZ32" s="28">
        <v>23</v>
      </c>
      <c r="BA32" s="28">
        <v>3</v>
      </c>
      <c r="BB32" s="28">
        <v>3</v>
      </c>
      <c r="BC32" s="28">
        <v>6</v>
      </c>
      <c r="BD32" s="28">
        <v>16</v>
      </c>
      <c r="BE32" s="28">
        <v>8</v>
      </c>
      <c r="BF32" s="28">
        <v>15</v>
      </c>
      <c r="BG32" s="77">
        <v>0</v>
      </c>
      <c r="BH32" s="74">
        <v>4</v>
      </c>
      <c r="BI32" s="28">
        <v>50</v>
      </c>
      <c r="BJ32" s="72">
        <v>1.0537244561634806</v>
      </c>
      <c r="BK32" s="28">
        <v>2</v>
      </c>
      <c r="BL32" s="615">
        <v>8</v>
      </c>
      <c r="BN32" s="712" t="s">
        <v>206</v>
      </c>
      <c r="BO32" s="77" t="s">
        <v>1096</v>
      </c>
      <c r="BP32" s="77" t="s">
        <v>1117</v>
      </c>
      <c r="BQ32" s="147">
        <v>1.7341040462427746</v>
      </c>
      <c r="BR32" s="146">
        <v>2</v>
      </c>
      <c r="BS32" s="32">
        <v>0</v>
      </c>
      <c r="BT32" s="77">
        <v>5</v>
      </c>
      <c r="BU32" s="584">
        <v>36.33</v>
      </c>
      <c r="BV32" s="28">
        <v>25</v>
      </c>
      <c r="BW32" s="28">
        <v>7</v>
      </c>
      <c r="BX32" s="28">
        <v>18</v>
      </c>
      <c r="BY32" s="28">
        <v>32</v>
      </c>
      <c r="BZ32" s="28">
        <v>0</v>
      </c>
      <c r="CA32" s="566">
        <v>1.18</v>
      </c>
      <c r="CB32" s="77">
        <v>4</v>
      </c>
      <c r="CC32" s="28">
        <v>0</v>
      </c>
      <c r="CD32" s="615">
        <v>8</v>
      </c>
      <c r="CG32" s="712" t="s">
        <v>166</v>
      </c>
      <c r="CH32" s="77" t="s">
        <v>1025</v>
      </c>
      <c r="CI32" s="77" t="s">
        <v>1028</v>
      </c>
      <c r="CJ32" s="130">
        <v>0.34899999999999998</v>
      </c>
      <c r="CK32" s="72">
        <v>0.39300000000000002</v>
      </c>
      <c r="CL32" s="72">
        <v>0.627</v>
      </c>
      <c r="CM32" s="77">
        <v>20</v>
      </c>
      <c r="CN32" s="28">
        <v>83</v>
      </c>
      <c r="CO32" s="28">
        <v>11</v>
      </c>
      <c r="CP32" s="28">
        <v>29</v>
      </c>
      <c r="CQ32" s="28">
        <v>5</v>
      </c>
      <c r="CR32" s="28">
        <v>0</v>
      </c>
      <c r="CS32" s="28">
        <v>6</v>
      </c>
      <c r="CT32" s="28">
        <v>16</v>
      </c>
      <c r="CU32" s="28">
        <v>6</v>
      </c>
      <c r="CV32" s="28">
        <v>18</v>
      </c>
      <c r="CW32" s="77">
        <v>0</v>
      </c>
      <c r="CX32" s="28">
        <v>5</v>
      </c>
      <c r="CY32" s="77">
        <v>52</v>
      </c>
      <c r="CZ32" s="72">
        <v>1.02</v>
      </c>
      <c r="DA32" s="28">
        <v>2</v>
      </c>
      <c r="DB32" s="615">
        <v>8</v>
      </c>
      <c r="DD32" s="712" t="s">
        <v>212</v>
      </c>
      <c r="DE32" s="77" t="s">
        <v>1171</v>
      </c>
      <c r="DF32" s="77" t="s">
        <v>1196</v>
      </c>
      <c r="DG32" s="147">
        <v>0.9</v>
      </c>
      <c r="DH32" s="146">
        <v>0</v>
      </c>
      <c r="DI32" s="32">
        <v>0</v>
      </c>
      <c r="DJ32" s="77">
        <v>10</v>
      </c>
      <c r="DK32" s="584">
        <v>10</v>
      </c>
      <c r="DL32" s="28">
        <v>7</v>
      </c>
      <c r="DM32" s="28">
        <v>1</v>
      </c>
      <c r="DN32" s="28">
        <v>4</v>
      </c>
      <c r="DO32" s="28">
        <v>7</v>
      </c>
      <c r="DP32" s="28">
        <v>6</v>
      </c>
      <c r="DQ32" s="569">
        <v>1.1000000000000001</v>
      </c>
      <c r="DR32" s="77">
        <v>0</v>
      </c>
      <c r="DS32" s="28">
        <v>0</v>
      </c>
      <c r="DT32" s="615">
        <v>8</v>
      </c>
    </row>
    <row r="33" spans="2:124">
      <c r="B33" s="712" t="s">
        <v>168</v>
      </c>
      <c r="C33" s="77" t="s">
        <v>952</v>
      </c>
      <c r="D33" s="77" t="s">
        <v>688</v>
      </c>
      <c r="E33" s="130">
        <v>0.33734939759036142</v>
      </c>
      <c r="F33" s="72">
        <v>0.3888888888888889</v>
      </c>
      <c r="G33" s="72">
        <v>0.73493975903614461</v>
      </c>
      <c r="H33" s="77">
        <v>20</v>
      </c>
      <c r="I33" s="28">
        <v>83</v>
      </c>
      <c r="J33" s="28">
        <v>14</v>
      </c>
      <c r="K33" s="28">
        <v>28</v>
      </c>
      <c r="L33" s="28">
        <v>7</v>
      </c>
      <c r="M33" s="28">
        <v>1</v>
      </c>
      <c r="N33" s="28">
        <v>8</v>
      </c>
      <c r="O33" s="28">
        <v>25</v>
      </c>
      <c r="P33" s="28">
        <v>7</v>
      </c>
      <c r="Q33" s="28">
        <v>12</v>
      </c>
      <c r="R33" s="77">
        <v>0</v>
      </c>
      <c r="S33" s="74">
        <v>5</v>
      </c>
      <c r="T33" s="28">
        <v>61</v>
      </c>
      <c r="U33" s="72">
        <v>1.1238286479250335</v>
      </c>
      <c r="V33" s="74">
        <v>4</v>
      </c>
      <c r="W33" s="615">
        <v>9</v>
      </c>
      <c r="Y33" s="712" t="s">
        <v>212</v>
      </c>
      <c r="Z33" s="77" t="s">
        <v>869</v>
      </c>
      <c r="AA33" s="77" t="s">
        <v>900</v>
      </c>
      <c r="AB33" s="147">
        <v>0.67516879219804948</v>
      </c>
      <c r="AC33" s="146">
        <v>1</v>
      </c>
      <c r="AD33" s="32">
        <v>0</v>
      </c>
      <c r="AE33" s="77">
        <v>13</v>
      </c>
      <c r="AF33" s="584">
        <v>13.33</v>
      </c>
      <c r="AG33" s="28">
        <v>4</v>
      </c>
      <c r="AH33" s="28">
        <v>1</v>
      </c>
      <c r="AI33" s="28">
        <v>5</v>
      </c>
      <c r="AJ33" s="28">
        <v>23</v>
      </c>
      <c r="AK33" s="28">
        <v>0</v>
      </c>
      <c r="AL33" s="568">
        <v>0.68</v>
      </c>
      <c r="AM33" s="28">
        <v>0</v>
      </c>
      <c r="AN33" s="28">
        <v>0</v>
      </c>
      <c r="AO33" s="615">
        <v>9</v>
      </c>
      <c r="AQ33" s="712" t="s">
        <v>168</v>
      </c>
      <c r="AR33" s="77" t="s">
        <v>804</v>
      </c>
      <c r="AS33" s="77" t="s">
        <v>806</v>
      </c>
      <c r="AT33" s="130">
        <v>0.28000000000000003</v>
      </c>
      <c r="AU33" s="72">
        <v>0.3493975903614458</v>
      </c>
      <c r="AV33" s="72">
        <v>0.61333333333333329</v>
      </c>
      <c r="AW33" s="77">
        <v>20</v>
      </c>
      <c r="AX33" s="28">
        <v>75</v>
      </c>
      <c r="AY33" s="28">
        <v>9</v>
      </c>
      <c r="AZ33" s="28">
        <v>21</v>
      </c>
      <c r="BA33" s="28">
        <v>7</v>
      </c>
      <c r="BB33" s="28">
        <v>0</v>
      </c>
      <c r="BC33" s="28">
        <v>6</v>
      </c>
      <c r="BD33" s="28">
        <v>16</v>
      </c>
      <c r="BE33" s="28">
        <v>8</v>
      </c>
      <c r="BF33" s="28">
        <v>25</v>
      </c>
      <c r="BG33" s="77">
        <v>0</v>
      </c>
      <c r="BH33" s="74">
        <v>4</v>
      </c>
      <c r="BI33" s="28">
        <v>46</v>
      </c>
      <c r="BJ33" s="72">
        <v>0.96273092369477908</v>
      </c>
      <c r="BK33" s="28">
        <v>2</v>
      </c>
      <c r="BL33" s="615">
        <v>9</v>
      </c>
      <c r="BN33" s="712" t="s">
        <v>212</v>
      </c>
      <c r="BO33" s="77" t="s">
        <v>1062</v>
      </c>
      <c r="BP33" s="77" t="s">
        <v>1091</v>
      </c>
      <c r="BQ33" s="147">
        <v>1.9639934533551557</v>
      </c>
      <c r="BR33" s="146">
        <v>0</v>
      </c>
      <c r="BS33" s="32">
        <v>0</v>
      </c>
      <c r="BT33" s="77">
        <v>13</v>
      </c>
      <c r="BU33" s="584">
        <v>18.329999999999998</v>
      </c>
      <c r="BV33" s="28">
        <v>13</v>
      </c>
      <c r="BW33" s="28">
        <v>4</v>
      </c>
      <c r="BX33" s="28">
        <v>9</v>
      </c>
      <c r="BY33" s="28">
        <v>34</v>
      </c>
      <c r="BZ33" s="28">
        <v>0</v>
      </c>
      <c r="CA33" s="567">
        <v>1.2</v>
      </c>
      <c r="CB33" s="77">
        <v>0</v>
      </c>
      <c r="CC33" s="28">
        <v>0</v>
      </c>
      <c r="CD33" s="615">
        <v>9</v>
      </c>
      <c r="CG33" s="712" t="s">
        <v>168</v>
      </c>
      <c r="CH33" s="77" t="s">
        <v>952</v>
      </c>
      <c r="CI33" s="77" t="s">
        <v>724</v>
      </c>
      <c r="CJ33" s="130">
        <v>0.246</v>
      </c>
      <c r="CK33" s="72">
        <v>0.38800000000000001</v>
      </c>
      <c r="CL33" s="72">
        <v>0.623</v>
      </c>
      <c r="CM33" s="77">
        <v>20</v>
      </c>
      <c r="CN33" s="28">
        <v>69</v>
      </c>
      <c r="CO33" s="28">
        <v>16</v>
      </c>
      <c r="CP33" s="28">
        <v>17</v>
      </c>
      <c r="CQ33" s="28">
        <v>2</v>
      </c>
      <c r="CR33" s="28">
        <v>0</v>
      </c>
      <c r="CS33" s="28">
        <v>8</v>
      </c>
      <c r="CT33" s="28">
        <v>15</v>
      </c>
      <c r="CU33" s="28">
        <v>16</v>
      </c>
      <c r="CV33" s="28">
        <v>22</v>
      </c>
      <c r="CW33" s="77">
        <v>0</v>
      </c>
      <c r="CX33" s="28">
        <v>7</v>
      </c>
      <c r="CY33" s="77">
        <v>43</v>
      </c>
      <c r="CZ33" s="72">
        <v>1.0109999999999999</v>
      </c>
      <c r="DA33" s="28">
        <v>1</v>
      </c>
      <c r="DB33" s="615">
        <v>9</v>
      </c>
      <c r="DD33" s="712" t="s">
        <v>212</v>
      </c>
      <c r="DE33" s="77" t="s">
        <v>804</v>
      </c>
      <c r="DF33" s="77" t="s">
        <v>831</v>
      </c>
      <c r="DG33" s="147">
        <v>2.4</v>
      </c>
      <c r="DH33" s="146">
        <v>1</v>
      </c>
      <c r="DI33" s="32">
        <v>1</v>
      </c>
      <c r="DJ33" s="77">
        <v>14</v>
      </c>
      <c r="DK33" s="584">
        <v>15</v>
      </c>
      <c r="DL33" s="28">
        <v>10</v>
      </c>
      <c r="DM33" s="28">
        <v>4</v>
      </c>
      <c r="DN33" s="28">
        <v>6</v>
      </c>
      <c r="DO33" s="28">
        <v>24</v>
      </c>
      <c r="DP33" s="28">
        <v>3</v>
      </c>
      <c r="DQ33" s="570">
        <v>1.07</v>
      </c>
      <c r="DR33" s="77">
        <v>0</v>
      </c>
      <c r="DS33" s="28">
        <v>0</v>
      </c>
      <c r="DT33" s="615">
        <v>9</v>
      </c>
    </row>
    <row r="34" spans="2:124">
      <c r="B34" s="712" t="s">
        <v>1915</v>
      </c>
      <c r="C34" s="77" t="s">
        <v>770</v>
      </c>
      <c r="D34" s="77" t="s">
        <v>779</v>
      </c>
      <c r="E34" s="130">
        <v>0.24657534246575341</v>
      </c>
      <c r="F34" s="72">
        <v>0.2857142857142857</v>
      </c>
      <c r="G34" s="72">
        <v>0.52054794520547942</v>
      </c>
      <c r="H34" s="77">
        <v>20</v>
      </c>
      <c r="I34" s="28">
        <v>73</v>
      </c>
      <c r="J34" s="28">
        <v>11</v>
      </c>
      <c r="K34" s="28">
        <v>18</v>
      </c>
      <c r="L34" s="28">
        <v>4</v>
      </c>
      <c r="M34" s="28">
        <v>2</v>
      </c>
      <c r="N34" s="28">
        <v>4</v>
      </c>
      <c r="O34" s="28">
        <v>5</v>
      </c>
      <c r="P34" s="28">
        <v>4</v>
      </c>
      <c r="Q34" s="28">
        <v>17</v>
      </c>
      <c r="R34" s="77">
        <v>0</v>
      </c>
      <c r="S34" s="74">
        <v>5</v>
      </c>
      <c r="T34" s="28">
        <v>38</v>
      </c>
      <c r="U34" s="72">
        <v>0.80626223091976512</v>
      </c>
      <c r="V34" s="74">
        <v>0</v>
      </c>
      <c r="W34" s="615">
        <v>10</v>
      </c>
      <c r="Y34" s="712" t="s">
        <v>212</v>
      </c>
      <c r="Z34" s="77" t="s">
        <v>1171</v>
      </c>
      <c r="AA34" s="77" t="s">
        <v>1196</v>
      </c>
      <c r="AB34" s="147">
        <v>2.7006751687921979</v>
      </c>
      <c r="AC34" s="146">
        <v>1</v>
      </c>
      <c r="AD34" s="32">
        <v>0</v>
      </c>
      <c r="AE34" s="77">
        <v>13</v>
      </c>
      <c r="AF34" s="584">
        <v>13.33</v>
      </c>
      <c r="AG34" s="28">
        <v>7</v>
      </c>
      <c r="AH34" s="28">
        <v>4</v>
      </c>
      <c r="AI34" s="28">
        <v>7</v>
      </c>
      <c r="AJ34" s="28">
        <v>16</v>
      </c>
      <c r="AK34" s="28">
        <v>5</v>
      </c>
      <c r="AL34" s="89">
        <v>1.05</v>
      </c>
      <c r="AM34" s="28">
        <v>0</v>
      </c>
      <c r="AN34" s="28">
        <v>0</v>
      </c>
      <c r="AO34" s="615">
        <v>10</v>
      </c>
      <c r="AQ34" s="712" t="s">
        <v>1915</v>
      </c>
      <c r="AR34" s="77" t="s">
        <v>1139</v>
      </c>
      <c r="AS34" s="77" t="s">
        <v>1147</v>
      </c>
      <c r="AT34" s="130">
        <v>0.25609756097560976</v>
      </c>
      <c r="AU34" s="72">
        <v>0.32222222222222224</v>
      </c>
      <c r="AV34" s="72">
        <v>0.48780487804878048</v>
      </c>
      <c r="AW34" s="77">
        <v>20</v>
      </c>
      <c r="AX34" s="28">
        <v>82</v>
      </c>
      <c r="AY34" s="28">
        <v>10</v>
      </c>
      <c r="AZ34" s="28">
        <v>21</v>
      </c>
      <c r="BA34" s="28">
        <v>4</v>
      </c>
      <c r="BB34" s="28">
        <v>0</v>
      </c>
      <c r="BC34" s="28">
        <v>5</v>
      </c>
      <c r="BD34" s="28">
        <v>16</v>
      </c>
      <c r="BE34" s="28">
        <v>8</v>
      </c>
      <c r="BF34" s="28">
        <v>15</v>
      </c>
      <c r="BG34" s="77">
        <v>0</v>
      </c>
      <c r="BH34" s="74">
        <v>9</v>
      </c>
      <c r="BI34" s="28">
        <v>40</v>
      </c>
      <c r="BJ34" s="72">
        <v>0.81002710027100266</v>
      </c>
      <c r="BK34" s="28">
        <v>3</v>
      </c>
      <c r="BL34" s="615">
        <v>10</v>
      </c>
      <c r="BN34" s="712" t="s">
        <v>212</v>
      </c>
      <c r="BO34" s="77" t="s">
        <v>1200</v>
      </c>
      <c r="BP34" s="77" t="s">
        <v>1225</v>
      </c>
      <c r="BQ34" s="147">
        <v>1.55799192152337</v>
      </c>
      <c r="BR34" s="146">
        <v>1</v>
      </c>
      <c r="BS34" s="32">
        <v>0</v>
      </c>
      <c r="BT34" s="77">
        <v>12</v>
      </c>
      <c r="BU34" s="584">
        <v>17.329999999999998</v>
      </c>
      <c r="BV34" s="28">
        <v>8</v>
      </c>
      <c r="BW34" s="28">
        <v>3</v>
      </c>
      <c r="BX34" s="28">
        <v>5</v>
      </c>
      <c r="BY34" s="28">
        <v>25</v>
      </c>
      <c r="BZ34" s="28">
        <v>1</v>
      </c>
      <c r="CA34" s="566">
        <v>0.75</v>
      </c>
      <c r="CB34" s="77">
        <v>0</v>
      </c>
      <c r="CC34" s="28">
        <v>0</v>
      </c>
      <c r="CD34" s="615">
        <v>10</v>
      </c>
      <c r="CG34" s="712" t="s">
        <v>1915</v>
      </c>
      <c r="CH34" s="77" t="s">
        <v>1025</v>
      </c>
      <c r="CI34" s="77" t="s">
        <v>1031</v>
      </c>
      <c r="CJ34" s="130">
        <v>0.25800000000000001</v>
      </c>
      <c r="CK34" s="72">
        <v>0.35199999999999998</v>
      </c>
      <c r="CL34" s="72">
        <v>0.59699999999999998</v>
      </c>
      <c r="CM34" s="77">
        <v>18</v>
      </c>
      <c r="CN34" s="28">
        <v>62</v>
      </c>
      <c r="CO34" s="28">
        <v>9</v>
      </c>
      <c r="CP34" s="28">
        <v>16</v>
      </c>
      <c r="CQ34" s="28">
        <v>6</v>
      </c>
      <c r="CR34" s="28">
        <v>0</v>
      </c>
      <c r="CS34" s="28">
        <v>5</v>
      </c>
      <c r="CT34" s="28">
        <v>11</v>
      </c>
      <c r="CU34" s="28">
        <v>9</v>
      </c>
      <c r="CV34" s="28">
        <v>15</v>
      </c>
      <c r="CW34" s="77">
        <v>0</v>
      </c>
      <c r="CX34" s="28">
        <v>4</v>
      </c>
      <c r="CY34" s="77">
        <v>37</v>
      </c>
      <c r="CZ34" s="72">
        <v>0.94899999999999995</v>
      </c>
      <c r="DA34" s="28">
        <v>2</v>
      </c>
      <c r="DB34" s="615">
        <v>10</v>
      </c>
      <c r="DD34" s="712" t="s">
        <v>212</v>
      </c>
      <c r="DE34" s="77" t="s">
        <v>1062</v>
      </c>
      <c r="DF34" s="77" t="s">
        <v>1092</v>
      </c>
      <c r="DG34" s="147">
        <v>3.18</v>
      </c>
      <c r="DH34" s="146">
        <v>1</v>
      </c>
      <c r="DI34" s="32">
        <v>0</v>
      </c>
      <c r="DJ34" s="77">
        <v>15</v>
      </c>
      <c r="DK34" s="584">
        <v>17</v>
      </c>
      <c r="DL34" s="28">
        <v>11</v>
      </c>
      <c r="DM34" s="28">
        <v>6</v>
      </c>
      <c r="DN34" s="28">
        <v>8</v>
      </c>
      <c r="DO34" s="28">
        <v>25</v>
      </c>
      <c r="DP34" s="28">
        <v>6</v>
      </c>
      <c r="DQ34" s="569">
        <v>1.1200000000000001</v>
      </c>
      <c r="DR34" s="77">
        <v>0</v>
      </c>
      <c r="DS34" s="28">
        <v>0</v>
      </c>
      <c r="DT34" s="615">
        <v>10</v>
      </c>
    </row>
    <row r="35" spans="2:124">
      <c r="B35" s="712" t="s">
        <v>1916</v>
      </c>
      <c r="C35" s="77" t="s">
        <v>770</v>
      </c>
      <c r="D35" s="77" t="s">
        <v>773</v>
      </c>
      <c r="E35" s="130">
        <v>0.28767123287671231</v>
      </c>
      <c r="F35" s="72">
        <v>0.34177215189873417</v>
      </c>
      <c r="G35" s="72">
        <v>0.64383561643835618</v>
      </c>
      <c r="H35" s="77">
        <v>19</v>
      </c>
      <c r="I35" s="28">
        <v>73</v>
      </c>
      <c r="J35" s="28">
        <v>13</v>
      </c>
      <c r="K35" s="28">
        <v>21</v>
      </c>
      <c r="L35" s="28">
        <v>5</v>
      </c>
      <c r="M35" s="28">
        <v>0</v>
      </c>
      <c r="N35" s="28">
        <v>7</v>
      </c>
      <c r="O35" s="28">
        <v>18</v>
      </c>
      <c r="P35" s="28">
        <v>6</v>
      </c>
      <c r="Q35" s="28">
        <v>13</v>
      </c>
      <c r="R35" s="77">
        <v>0</v>
      </c>
      <c r="S35" s="74">
        <v>4</v>
      </c>
      <c r="T35" s="28">
        <v>47</v>
      </c>
      <c r="U35" s="72">
        <v>0.9856077683370903</v>
      </c>
      <c r="V35" s="74">
        <v>4</v>
      </c>
      <c r="W35" s="615">
        <v>11</v>
      </c>
      <c r="Y35" s="712" t="s">
        <v>212</v>
      </c>
      <c r="Z35" s="77" t="s">
        <v>804</v>
      </c>
      <c r="AA35" s="77" t="s">
        <v>831</v>
      </c>
      <c r="AB35" s="147">
        <v>2.7692307692307692</v>
      </c>
      <c r="AC35" s="146">
        <v>1</v>
      </c>
      <c r="AD35" s="32">
        <v>0</v>
      </c>
      <c r="AE35" s="77">
        <v>11</v>
      </c>
      <c r="AF35" s="584">
        <v>13</v>
      </c>
      <c r="AG35" s="28">
        <v>8</v>
      </c>
      <c r="AH35" s="28">
        <v>4</v>
      </c>
      <c r="AI35" s="28">
        <v>5</v>
      </c>
      <c r="AJ35" s="28">
        <v>18</v>
      </c>
      <c r="AK35" s="28">
        <v>6</v>
      </c>
      <c r="AL35" s="568">
        <v>1</v>
      </c>
      <c r="AM35" s="28">
        <v>0</v>
      </c>
      <c r="AN35" s="28">
        <v>0</v>
      </c>
      <c r="AO35" s="615">
        <v>11</v>
      </c>
      <c r="AQ35" s="712" t="s">
        <v>1916</v>
      </c>
      <c r="AR35" s="77" t="s">
        <v>990</v>
      </c>
      <c r="AS35" s="77" t="s">
        <v>991</v>
      </c>
      <c r="AT35" s="130">
        <v>0.33750000000000002</v>
      </c>
      <c r="AU35" s="72">
        <v>0.4044943820224719</v>
      </c>
      <c r="AV35" s="72">
        <v>0.58750000000000002</v>
      </c>
      <c r="AW35" s="77">
        <v>20</v>
      </c>
      <c r="AX35" s="28">
        <v>80</v>
      </c>
      <c r="AY35" s="28">
        <v>11</v>
      </c>
      <c r="AZ35" s="28">
        <v>27</v>
      </c>
      <c r="BA35" s="28">
        <v>8</v>
      </c>
      <c r="BB35" s="28">
        <v>0</v>
      </c>
      <c r="BC35" s="28">
        <v>4</v>
      </c>
      <c r="BD35" s="28">
        <v>11</v>
      </c>
      <c r="BE35" s="28">
        <v>9</v>
      </c>
      <c r="BF35" s="28">
        <v>17</v>
      </c>
      <c r="BG35" s="77">
        <v>0</v>
      </c>
      <c r="BH35" s="74">
        <v>11</v>
      </c>
      <c r="BI35" s="28">
        <v>47</v>
      </c>
      <c r="BJ35" s="72">
        <v>0.99199438202247192</v>
      </c>
      <c r="BK35" s="28">
        <v>0</v>
      </c>
      <c r="BL35" s="615">
        <v>11</v>
      </c>
      <c r="BN35" s="712" t="s">
        <v>212</v>
      </c>
      <c r="BO35" s="77" t="s">
        <v>1139</v>
      </c>
      <c r="BP35" s="77" t="s">
        <v>1167</v>
      </c>
      <c r="BQ35" s="147">
        <v>1.6533986527862832</v>
      </c>
      <c r="BR35" s="146">
        <v>1</v>
      </c>
      <c r="BS35" s="32">
        <v>0</v>
      </c>
      <c r="BT35" s="77">
        <v>15</v>
      </c>
      <c r="BU35" s="584">
        <v>16.329999999999998</v>
      </c>
      <c r="BV35" s="28">
        <v>14</v>
      </c>
      <c r="BW35" s="28">
        <v>3</v>
      </c>
      <c r="BX35" s="28">
        <v>5</v>
      </c>
      <c r="BY35" s="28">
        <v>19</v>
      </c>
      <c r="BZ35" s="28">
        <v>6</v>
      </c>
      <c r="CA35" s="567">
        <v>1.1599999999999999</v>
      </c>
      <c r="CB35" s="77">
        <v>0</v>
      </c>
      <c r="CC35" s="28">
        <v>0</v>
      </c>
      <c r="CD35" s="615">
        <v>11</v>
      </c>
      <c r="CG35" s="712" t="s">
        <v>1916</v>
      </c>
      <c r="CH35" s="77" t="s">
        <v>952</v>
      </c>
      <c r="CI35" s="77" t="s">
        <v>957</v>
      </c>
      <c r="CJ35" s="130">
        <v>0.26500000000000001</v>
      </c>
      <c r="CK35" s="72">
        <v>0.315</v>
      </c>
      <c r="CL35" s="72">
        <v>0.50600000000000001</v>
      </c>
      <c r="CM35" s="77">
        <v>20</v>
      </c>
      <c r="CN35" s="28">
        <v>83</v>
      </c>
      <c r="CO35" s="28">
        <v>11</v>
      </c>
      <c r="CP35" s="28">
        <v>22</v>
      </c>
      <c r="CQ35" s="28">
        <v>5</v>
      </c>
      <c r="CR35" s="28">
        <v>0</v>
      </c>
      <c r="CS35" s="28">
        <v>5</v>
      </c>
      <c r="CT35" s="28">
        <v>11</v>
      </c>
      <c r="CU35" s="28">
        <v>6</v>
      </c>
      <c r="CV35" s="28">
        <v>31</v>
      </c>
      <c r="CW35" s="77">
        <v>0</v>
      </c>
      <c r="CX35" s="28">
        <v>7</v>
      </c>
      <c r="CY35" s="77">
        <v>42</v>
      </c>
      <c r="CZ35" s="72">
        <v>0.82099999999999995</v>
      </c>
      <c r="DA35" s="28">
        <v>2</v>
      </c>
      <c r="DB35" s="615">
        <v>11</v>
      </c>
      <c r="DD35" s="712" t="s">
        <v>212</v>
      </c>
      <c r="DE35" s="77" t="s">
        <v>835</v>
      </c>
      <c r="DF35" s="77" t="s">
        <v>865</v>
      </c>
      <c r="DG35" s="147">
        <v>1.2</v>
      </c>
      <c r="DH35" s="146">
        <v>4</v>
      </c>
      <c r="DI35" s="32">
        <v>0</v>
      </c>
      <c r="DJ35" s="77">
        <v>12</v>
      </c>
      <c r="DK35" s="584">
        <v>15</v>
      </c>
      <c r="DL35" s="28">
        <v>7</v>
      </c>
      <c r="DM35" s="28">
        <v>2</v>
      </c>
      <c r="DN35" s="28">
        <v>6</v>
      </c>
      <c r="DO35" s="28">
        <v>28</v>
      </c>
      <c r="DP35" s="28">
        <v>3</v>
      </c>
      <c r="DQ35" s="570">
        <v>0.87</v>
      </c>
      <c r="DR35" s="77">
        <v>0</v>
      </c>
      <c r="DS35" s="28">
        <v>0</v>
      </c>
      <c r="DT35" s="615">
        <v>11</v>
      </c>
    </row>
    <row r="36" spans="2:124" ht="17" thickBot="1">
      <c r="B36" s="712" t="s">
        <v>1917</v>
      </c>
      <c r="C36" s="77" t="s">
        <v>770</v>
      </c>
      <c r="D36" s="77" t="s">
        <v>777</v>
      </c>
      <c r="E36" s="130">
        <v>0.38636363636363635</v>
      </c>
      <c r="F36" s="72">
        <v>0.42553191489361702</v>
      </c>
      <c r="G36" s="72">
        <v>0.56818181818181823</v>
      </c>
      <c r="H36" s="77">
        <v>20</v>
      </c>
      <c r="I36" s="28">
        <v>88</v>
      </c>
      <c r="J36" s="28">
        <v>14</v>
      </c>
      <c r="K36" s="28">
        <v>34</v>
      </c>
      <c r="L36" s="28">
        <v>3</v>
      </c>
      <c r="M36" s="28">
        <v>2</v>
      </c>
      <c r="N36" s="28">
        <v>3</v>
      </c>
      <c r="O36" s="28">
        <v>14</v>
      </c>
      <c r="P36" s="28">
        <v>6</v>
      </c>
      <c r="Q36" s="28">
        <v>17</v>
      </c>
      <c r="R36" s="77">
        <v>5</v>
      </c>
      <c r="S36" s="74">
        <v>14</v>
      </c>
      <c r="T36" s="28">
        <v>50</v>
      </c>
      <c r="U36" s="72">
        <v>0.99371373307543531</v>
      </c>
      <c r="V36" s="74">
        <v>1</v>
      </c>
      <c r="W36" s="615">
        <v>12</v>
      </c>
      <c r="Y36" s="714" t="s">
        <v>212</v>
      </c>
      <c r="Z36" s="636" t="s">
        <v>1062</v>
      </c>
      <c r="AA36" s="636" t="s">
        <v>1092</v>
      </c>
      <c r="AB36" s="912">
        <v>1.9292604501607717</v>
      </c>
      <c r="AC36" s="896">
        <v>0</v>
      </c>
      <c r="AD36" s="897">
        <v>1</v>
      </c>
      <c r="AE36" s="636">
        <v>9</v>
      </c>
      <c r="AF36" s="637">
        <v>9.33</v>
      </c>
      <c r="AG36" s="612">
        <v>3</v>
      </c>
      <c r="AH36" s="612">
        <v>2</v>
      </c>
      <c r="AI36" s="612">
        <v>3</v>
      </c>
      <c r="AJ36" s="612">
        <v>14</v>
      </c>
      <c r="AK36" s="612">
        <v>2</v>
      </c>
      <c r="AL36" s="638">
        <v>0.64</v>
      </c>
      <c r="AM36" s="612">
        <v>0</v>
      </c>
      <c r="AN36" s="612">
        <v>0</v>
      </c>
      <c r="AO36" s="616">
        <v>12</v>
      </c>
      <c r="AQ36" s="712" t="s">
        <v>1917</v>
      </c>
      <c r="AR36" s="77" t="s">
        <v>990</v>
      </c>
      <c r="AS36" s="77" t="s">
        <v>995</v>
      </c>
      <c r="AT36" s="130">
        <v>0.28409090909090912</v>
      </c>
      <c r="AU36" s="72">
        <v>0.35051546391752575</v>
      </c>
      <c r="AV36" s="72">
        <v>0.46590909090909088</v>
      </c>
      <c r="AW36" s="77">
        <v>20</v>
      </c>
      <c r="AX36" s="28">
        <v>88</v>
      </c>
      <c r="AY36" s="28">
        <v>8</v>
      </c>
      <c r="AZ36" s="28">
        <v>25</v>
      </c>
      <c r="BA36" s="28">
        <v>5</v>
      </c>
      <c r="BB36" s="28">
        <v>1</v>
      </c>
      <c r="BC36" s="28">
        <v>3</v>
      </c>
      <c r="BD36" s="28">
        <v>9</v>
      </c>
      <c r="BE36" s="28">
        <v>9</v>
      </c>
      <c r="BF36" s="28">
        <v>14</v>
      </c>
      <c r="BG36" s="77">
        <v>2</v>
      </c>
      <c r="BH36" s="74">
        <v>8</v>
      </c>
      <c r="BI36" s="28">
        <v>41</v>
      </c>
      <c r="BJ36" s="72">
        <v>0.81642455482661669</v>
      </c>
      <c r="BK36" s="28">
        <v>2</v>
      </c>
      <c r="BL36" s="615">
        <v>12</v>
      </c>
      <c r="BN36" s="714" t="s">
        <v>212</v>
      </c>
      <c r="BO36" s="636" t="s">
        <v>1025</v>
      </c>
      <c r="BP36" s="636" t="s">
        <v>1058</v>
      </c>
      <c r="BQ36" s="912">
        <v>0.61349693251533743</v>
      </c>
      <c r="BR36" s="896">
        <v>1</v>
      </c>
      <c r="BS36" s="897">
        <v>0</v>
      </c>
      <c r="BT36" s="636">
        <v>14</v>
      </c>
      <c r="BU36" s="637">
        <v>14.67</v>
      </c>
      <c r="BV36" s="612">
        <v>10</v>
      </c>
      <c r="BW36" s="612">
        <v>1</v>
      </c>
      <c r="BX36" s="612">
        <v>4</v>
      </c>
      <c r="BY36" s="612">
        <v>14</v>
      </c>
      <c r="BZ36" s="612">
        <v>9</v>
      </c>
      <c r="CA36" s="937">
        <v>0.95</v>
      </c>
      <c r="CB36" s="636">
        <v>0</v>
      </c>
      <c r="CC36" s="612">
        <v>0</v>
      </c>
      <c r="CD36" s="616">
        <v>12</v>
      </c>
      <c r="CG36" s="712" t="s">
        <v>1917</v>
      </c>
      <c r="CH36" s="77" t="s">
        <v>903</v>
      </c>
      <c r="CI36" s="77" t="s">
        <v>905</v>
      </c>
      <c r="CJ36" s="130">
        <v>0.29899999999999999</v>
      </c>
      <c r="CK36" s="72">
        <v>0.34100000000000003</v>
      </c>
      <c r="CL36" s="72">
        <v>0.40300000000000002</v>
      </c>
      <c r="CM36" s="77">
        <v>19</v>
      </c>
      <c r="CN36" s="28">
        <v>77</v>
      </c>
      <c r="CO36" s="28">
        <v>10</v>
      </c>
      <c r="CP36" s="28">
        <v>23</v>
      </c>
      <c r="CQ36" s="28">
        <v>2</v>
      </c>
      <c r="CR36" s="28">
        <v>0</v>
      </c>
      <c r="CS36" s="28">
        <v>2</v>
      </c>
      <c r="CT36" s="28">
        <v>16</v>
      </c>
      <c r="CU36" s="28">
        <v>5</v>
      </c>
      <c r="CV36" s="28">
        <v>18</v>
      </c>
      <c r="CW36" s="77">
        <v>7</v>
      </c>
      <c r="CX36" s="28">
        <v>6</v>
      </c>
      <c r="CY36" s="77">
        <v>31</v>
      </c>
      <c r="CZ36" s="72">
        <v>0.74399999999999999</v>
      </c>
      <c r="DA36" s="28">
        <v>1</v>
      </c>
      <c r="DB36" s="615">
        <v>12</v>
      </c>
      <c r="DD36" s="714" t="s">
        <v>212</v>
      </c>
      <c r="DE36" s="636" t="s">
        <v>770</v>
      </c>
      <c r="DF36" s="636" t="s">
        <v>800</v>
      </c>
      <c r="DG36" s="912">
        <v>0</v>
      </c>
      <c r="DH36" s="896">
        <v>2</v>
      </c>
      <c r="DI36" s="897">
        <v>0</v>
      </c>
      <c r="DJ36" s="636">
        <v>12</v>
      </c>
      <c r="DK36" s="637">
        <v>14.67</v>
      </c>
      <c r="DL36" s="612">
        <v>5</v>
      </c>
      <c r="DM36" s="612">
        <v>0</v>
      </c>
      <c r="DN36" s="612">
        <v>3</v>
      </c>
      <c r="DO36" s="612">
        <v>16</v>
      </c>
      <c r="DP36" s="612">
        <v>6</v>
      </c>
      <c r="DQ36" s="949">
        <v>0.55000000000000004</v>
      </c>
      <c r="DR36" s="636">
        <v>0</v>
      </c>
      <c r="DS36" s="612">
        <v>0</v>
      </c>
      <c r="DT36" s="616">
        <v>12</v>
      </c>
    </row>
    <row r="37" spans="2:124">
      <c r="B37" s="712" t="s">
        <v>1918</v>
      </c>
      <c r="C37" s="77" t="s">
        <v>869</v>
      </c>
      <c r="D37" s="77" t="s">
        <v>870</v>
      </c>
      <c r="E37" s="130">
        <v>0.3783783783783784</v>
      </c>
      <c r="F37" s="72">
        <v>0.41025641025641024</v>
      </c>
      <c r="G37" s="72">
        <v>0.51351351351351349</v>
      </c>
      <c r="H37" s="77">
        <v>19</v>
      </c>
      <c r="I37" s="28">
        <v>74</v>
      </c>
      <c r="J37" s="28">
        <v>7</v>
      </c>
      <c r="K37" s="28">
        <v>28</v>
      </c>
      <c r="L37" s="28">
        <v>8</v>
      </c>
      <c r="M37" s="28">
        <v>1</v>
      </c>
      <c r="N37" s="28">
        <v>0</v>
      </c>
      <c r="O37" s="28">
        <v>8</v>
      </c>
      <c r="P37" s="28">
        <v>4</v>
      </c>
      <c r="Q37" s="28">
        <v>19</v>
      </c>
      <c r="R37" s="77">
        <v>7</v>
      </c>
      <c r="S37" s="74">
        <v>10</v>
      </c>
      <c r="T37" s="28">
        <v>38</v>
      </c>
      <c r="U37" s="72">
        <v>0.92376992376992373</v>
      </c>
      <c r="V37" s="74">
        <v>2</v>
      </c>
      <c r="W37" s="615">
        <v>13</v>
      </c>
      <c r="AQ37" s="712" t="s">
        <v>1918</v>
      </c>
      <c r="AR37" s="77" t="s">
        <v>804</v>
      </c>
      <c r="AS37" s="77" t="s">
        <v>805</v>
      </c>
      <c r="AT37" s="130">
        <v>0.27906976744186046</v>
      </c>
      <c r="AU37" s="72">
        <v>0.32608695652173914</v>
      </c>
      <c r="AV37" s="72">
        <v>0.51162790697674421</v>
      </c>
      <c r="AW37" s="77">
        <v>20</v>
      </c>
      <c r="AX37" s="28">
        <v>86</v>
      </c>
      <c r="AY37" s="28">
        <v>15</v>
      </c>
      <c r="AZ37" s="28">
        <v>24</v>
      </c>
      <c r="BA37" s="28">
        <v>3</v>
      </c>
      <c r="BB37" s="28">
        <v>1</v>
      </c>
      <c r="BC37" s="28">
        <v>5</v>
      </c>
      <c r="BD37" s="28">
        <v>10</v>
      </c>
      <c r="BE37" s="28">
        <v>6</v>
      </c>
      <c r="BF37" s="28">
        <v>15</v>
      </c>
      <c r="BG37" s="77">
        <v>0</v>
      </c>
      <c r="BH37" s="74">
        <v>10</v>
      </c>
      <c r="BI37" s="28">
        <v>44</v>
      </c>
      <c r="BJ37" s="72">
        <v>0.83771486349848334</v>
      </c>
      <c r="BK37" s="28">
        <v>0</v>
      </c>
      <c r="BL37" s="615">
        <v>13</v>
      </c>
      <c r="CC37" s="123"/>
      <c r="CG37" s="712" t="s">
        <v>1918</v>
      </c>
      <c r="CH37" s="77" t="s">
        <v>1062</v>
      </c>
      <c r="CI37" s="77" t="s">
        <v>1067</v>
      </c>
      <c r="CJ37" s="130">
        <v>0.29199999999999998</v>
      </c>
      <c r="CK37" s="72">
        <v>0.315</v>
      </c>
      <c r="CL37" s="72">
        <v>0.58399999999999996</v>
      </c>
      <c r="CM37" s="77">
        <v>20</v>
      </c>
      <c r="CN37" s="28">
        <v>89</v>
      </c>
      <c r="CO37" s="28">
        <v>11</v>
      </c>
      <c r="CP37" s="28">
        <v>26</v>
      </c>
      <c r="CQ37" s="28">
        <v>2</v>
      </c>
      <c r="CR37" s="28">
        <v>3</v>
      </c>
      <c r="CS37" s="28">
        <v>6</v>
      </c>
      <c r="CT37" s="28">
        <v>19</v>
      </c>
      <c r="CU37" s="28">
        <v>3</v>
      </c>
      <c r="CV37" s="28">
        <v>14</v>
      </c>
      <c r="CW37" s="77">
        <v>0</v>
      </c>
      <c r="CX37" s="28">
        <v>8</v>
      </c>
      <c r="CY37" s="77">
        <v>52</v>
      </c>
      <c r="CZ37" s="72">
        <v>0.89900000000000002</v>
      </c>
      <c r="DA37" s="28">
        <v>1</v>
      </c>
      <c r="DB37" s="615">
        <v>13</v>
      </c>
    </row>
    <row r="38" spans="2:124">
      <c r="B38" s="712" t="s">
        <v>1919</v>
      </c>
      <c r="C38" s="77" t="s">
        <v>804</v>
      </c>
      <c r="D38" s="77" t="s">
        <v>808</v>
      </c>
      <c r="E38" s="130">
        <v>0.25925925925925924</v>
      </c>
      <c r="F38" s="72">
        <v>0.34782608695652173</v>
      </c>
      <c r="G38" s="72">
        <v>0.50617283950617287</v>
      </c>
      <c r="H38" s="77">
        <v>20</v>
      </c>
      <c r="I38" s="28">
        <v>81</v>
      </c>
      <c r="J38" s="28">
        <v>21</v>
      </c>
      <c r="K38" s="28">
        <v>21</v>
      </c>
      <c r="L38" s="28">
        <v>5</v>
      </c>
      <c r="M38" s="28">
        <v>0</v>
      </c>
      <c r="N38" s="28">
        <v>5</v>
      </c>
      <c r="O38" s="28">
        <v>10</v>
      </c>
      <c r="P38" s="28">
        <v>11</v>
      </c>
      <c r="Q38" s="28">
        <v>23</v>
      </c>
      <c r="R38" s="77">
        <v>0</v>
      </c>
      <c r="S38" s="74">
        <v>6</v>
      </c>
      <c r="T38" s="28">
        <v>41</v>
      </c>
      <c r="U38" s="72">
        <v>0.8539989264626946</v>
      </c>
      <c r="V38" s="74">
        <v>2</v>
      </c>
      <c r="W38" s="615">
        <v>14</v>
      </c>
      <c r="AQ38" s="712" t="s">
        <v>1919</v>
      </c>
      <c r="AR38" s="77" t="s">
        <v>952</v>
      </c>
      <c r="AS38" s="77" t="s">
        <v>954</v>
      </c>
      <c r="AT38" s="130">
        <v>0.33333333333333331</v>
      </c>
      <c r="AU38" s="72">
        <v>0.34090909090909088</v>
      </c>
      <c r="AV38" s="72">
        <v>0.58620689655172409</v>
      </c>
      <c r="AW38" s="77">
        <v>20</v>
      </c>
      <c r="AX38" s="28">
        <v>87</v>
      </c>
      <c r="AY38" s="28">
        <v>12</v>
      </c>
      <c r="AZ38" s="28">
        <v>29</v>
      </c>
      <c r="BA38" s="28">
        <v>6</v>
      </c>
      <c r="BB38" s="28">
        <v>2</v>
      </c>
      <c r="BC38" s="28">
        <v>4</v>
      </c>
      <c r="BD38" s="28">
        <v>13</v>
      </c>
      <c r="BE38" s="28">
        <v>1</v>
      </c>
      <c r="BF38" s="28">
        <v>17</v>
      </c>
      <c r="BG38" s="77">
        <v>0</v>
      </c>
      <c r="BH38" s="74">
        <v>4</v>
      </c>
      <c r="BI38" s="28">
        <v>51</v>
      </c>
      <c r="BJ38" s="72">
        <v>0.92711598746081503</v>
      </c>
      <c r="BK38" s="28">
        <v>2</v>
      </c>
      <c r="BL38" s="615">
        <v>14</v>
      </c>
      <c r="CC38" s="123"/>
      <c r="CG38" s="712" t="s">
        <v>1919</v>
      </c>
      <c r="CH38" s="77" t="s">
        <v>952</v>
      </c>
      <c r="CI38" s="77" t="s">
        <v>954</v>
      </c>
      <c r="CJ38" s="130">
        <v>0.309</v>
      </c>
      <c r="CK38" s="72">
        <v>0.34899999999999998</v>
      </c>
      <c r="CL38" s="72">
        <v>0.61699999999999999</v>
      </c>
      <c r="CM38" s="77">
        <v>20</v>
      </c>
      <c r="CN38" s="28">
        <v>81</v>
      </c>
      <c r="CO38" s="28">
        <v>16</v>
      </c>
      <c r="CP38" s="28">
        <v>25</v>
      </c>
      <c r="CQ38" s="28">
        <v>7</v>
      </c>
      <c r="CR38" s="28">
        <v>0</v>
      </c>
      <c r="CS38" s="28">
        <v>6</v>
      </c>
      <c r="CT38" s="28">
        <v>14</v>
      </c>
      <c r="CU38" s="28">
        <v>5</v>
      </c>
      <c r="CV38" s="28">
        <v>16</v>
      </c>
      <c r="CW38" s="77">
        <v>0</v>
      </c>
      <c r="CX38" s="28">
        <v>4</v>
      </c>
      <c r="CY38" s="77">
        <v>50</v>
      </c>
      <c r="CZ38" s="72">
        <v>0.96599999999999997</v>
      </c>
      <c r="DA38" s="28">
        <v>2</v>
      </c>
      <c r="DB38" s="615">
        <v>14</v>
      </c>
    </row>
    <row r="39" spans="2:124">
      <c r="B39" s="712" t="s">
        <v>1920</v>
      </c>
      <c r="C39" s="77" t="s">
        <v>1096</v>
      </c>
      <c r="D39" s="77" t="s">
        <v>1098</v>
      </c>
      <c r="E39" s="130">
        <v>0.32098765432098764</v>
      </c>
      <c r="F39" s="72">
        <v>0.38202247191011235</v>
      </c>
      <c r="G39" s="72">
        <v>0.50617283950617287</v>
      </c>
      <c r="H39" s="77">
        <v>20</v>
      </c>
      <c r="I39" s="28">
        <v>81</v>
      </c>
      <c r="J39" s="28">
        <v>11</v>
      </c>
      <c r="K39" s="28">
        <v>26</v>
      </c>
      <c r="L39" s="28">
        <v>3</v>
      </c>
      <c r="M39" s="28">
        <v>0</v>
      </c>
      <c r="N39" s="28">
        <v>4</v>
      </c>
      <c r="O39" s="28">
        <v>15</v>
      </c>
      <c r="P39" s="28">
        <v>8</v>
      </c>
      <c r="Q39" s="28">
        <v>17</v>
      </c>
      <c r="R39" s="77">
        <v>0</v>
      </c>
      <c r="S39" s="74">
        <v>9</v>
      </c>
      <c r="T39" s="28">
        <v>41</v>
      </c>
      <c r="U39" s="72">
        <v>0.88819531141628527</v>
      </c>
      <c r="V39" s="74">
        <v>4</v>
      </c>
      <c r="W39" s="615">
        <v>15</v>
      </c>
      <c r="AQ39" s="712" t="s">
        <v>1920</v>
      </c>
      <c r="AR39" s="77" t="s">
        <v>1096</v>
      </c>
      <c r="AS39" s="77" t="s">
        <v>1098</v>
      </c>
      <c r="AT39" s="130">
        <v>0.33333333333333331</v>
      </c>
      <c r="AU39" s="72">
        <v>0.40229885057471265</v>
      </c>
      <c r="AV39" s="72">
        <v>0.53846153846153844</v>
      </c>
      <c r="AW39" s="77">
        <v>20</v>
      </c>
      <c r="AX39" s="28">
        <v>78</v>
      </c>
      <c r="AY39" s="28">
        <v>10</v>
      </c>
      <c r="AZ39" s="28">
        <v>26</v>
      </c>
      <c r="BA39" s="28">
        <v>7</v>
      </c>
      <c r="BB39" s="28">
        <v>0</v>
      </c>
      <c r="BC39" s="28">
        <v>3</v>
      </c>
      <c r="BD39" s="28">
        <v>12</v>
      </c>
      <c r="BE39" s="28">
        <v>9</v>
      </c>
      <c r="BF39" s="28">
        <v>17</v>
      </c>
      <c r="BG39" s="77">
        <v>0</v>
      </c>
      <c r="BH39" s="74">
        <v>14</v>
      </c>
      <c r="BI39" s="28">
        <v>42</v>
      </c>
      <c r="BJ39" s="72">
        <v>0.94076038903625103</v>
      </c>
      <c r="BK39" s="28">
        <v>1</v>
      </c>
      <c r="BL39" s="615">
        <v>15</v>
      </c>
      <c r="CC39" s="123"/>
      <c r="CG39" s="712" t="s">
        <v>1920</v>
      </c>
      <c r="CH39" s="77" t="s">
        <v>1096</v>
      </c>
      <c r="CI39" s="77" t="s">
        <v>1098</v>
      </c>
      <c r="CJ39" s="130">
        <v>0.28000000000000003</v>
      </c>
      <c r="CK39" s="72">
        <v>0.33700000000000002</v>
      </c>
      <c r="CL39" s="72">
        <v>0.53800000000000003</v>
      </c>
      <c r="CM39" s="77">
        <v>20</v>
      </c>
      <c r="CN39" s="28">
        <v>93</v>
      </c>
      <c r="CO39" s="28">
        <v>18</v>
      </c>
      <c r="CP39" s="28">
        <v>26</v>
      </c>
      <c r="CQ39" s="28">
        <v>6</v>
      </c>
      <c r="CR39" s="28">
        <v>0</v>
      </c>
      <c r="CS39" s="28">
        <v>6</v>
      </c>
      <c r="CT39" s="28">
        <v>14</v>
      </c>
      <c r="CU39" s="28">
        <v>8</v>
      </c>
      <c r="CV39" s="28">
        <v>8</v>
      </c>
      <c r="CW39" s="77">
        <v>0</v>
      </c>
      <c r="CX39" s="28">
        <v>11</v>
      </c>
      <c r="CY39" s="77">
        <v>50</v>
      </c>
      <c r="CZ39" s="72">
        <v>0.874</v>
      </c>
      <c r="DA39" s="28">
        <v>1</v>
      </c>
      <c r="DB39" s="615">
        <v>15</v>
      </c>
    </row>
    <row r="40" spans="2:124">
      <c r="B40" s="712" t="s">
        <v>1921</v>
      </c>
      <c r="C40" s="77" t="s">
        <v>1265</v>
      </c>
      <c r="D40" s="77" t="s">
        <v>1274</v>
      </c>
      <c r="E40" s="130">
        <v>0.34666666666666668</v>
      </c>
      <c r="F40" s="72">
        <v>0.39506172839506171</v>
      </c>
      <c r="G40" s="72">
        <v>0.46666666666666667</v>
      </c>
      <c r="H40" s="77">
        <v>20</v>
      </c>
      <c r="I40" s="28">
        <v>75</v>
      </c>
      <c r="J40" s="28">
        <v>14</v>
      </c>
      <c r="K40" s="28">
        <v>26</v>
      </c>
      <c r="L40" s="28">
        <v>2</v>
      </c>
      <c r="M40" s="28">
        <v>2</v>
      </c>
      <c r="N40" s="28">
        <v>1</v>
      </c>
      <c r="O40" s="28">
        <v>11</v>
      </c>
      <c r="P40" s="28">
        <v>6</v>
      </c>
      <c r="Q40" s="28">
        <v>18</v>
      </c>
      <c r="R40" s="77">
        <v>1</v>
      </c>
      <c r="S40" s="74">
        <v>9</v>
      </c>
      <c r="T40" s="28">
        <v>35</v>
      </c>
      <c r="U40" s="72">
        <v>0.86172839506172838</v>
      </c>
      <c r="V40" s="74">
        <v>1</v>
      </c>
      <c r="W40" s="615">
        <v>16</v>
      </c>
      <c r="AQ40" s="712" t="s">
        <v>1921</v>
      </c>
      <c r="AR40" s="77" t="s">
        <v>1139</v>
      </c>
      <c r="AS40" s="77" t="s">
        <v>1143</v>
      </c>
      <c r="AT40" s="130">
        <v>0.32876712328767121</v>
      </c>
      <c r="AU40" s="72">
        <v>0.43023255813953487</v>
      </c>
      <c r="AV40" s="72">
        <v>0.57534246575342463</v>
      </c>
      <c r="AW40" s="77">
        <v>19</v>
      </c>
      <c r="AX40" s="28">
        <v>73</v>
      </c>
      <c r="AY40" s="28">
        <v>13</v>
      </c>
      <c r="AZ40" s="28">
        <v>24</v>
      </c>
      <c r="BA40" s="28">
        <v>6</v>
      </c>
      <c r="BB40" s="28">
        <v>0</v>
      </c>
      <c r="BC40" s="28">
        <v>4</v>
      </c>
      <c r="BD40" s="28">
        <v>13</v>
      </c>
      <c r="BE40" s="28">
        <v>13</v>
      </c>
      <c r="BF40" s="28">
        <v>21</v>
      </c>
      <c r="BG40" s="77">
        <v>0</v>
      </c>
      <c r="BH40" s="74">
        <v>8</v>
      </c>
      <c r="BI40" s="28">
        <v>42</v>
      </c>
      <c r="BJ40" s="72">
        <v>1.0055750238929595</v>
      </c>
      <c r="BK40" s="28">
        <v>2</v>
      </c>
      <c r="BL40" s="615">
        <v>16</v>
      </c>
      <c r="CC40" s="123"/>
      <c r="CG40" s="712" t="s">
        <v>1921</v>
      </c>
      <c r="CH40" s="77" t="s">
        <v>770</v>
      </c>
      <c r="CI40" s="77" t="s">
        <v>776</v>
      </c>
      <c r="CJ40" s="130">
        <v>0.36299999999999999</v>
      </c>
      <c r="CK40" s="72">
        <v>0.40799999999999997</v>
      </c>
      <c r="CL40" s="72">
        <v>0.505</v>
      </c>
      <c r="CM40" s="77">
        <v>20</v>
      </c>
      <c r="CN40" s="28">
        <v>91</v>
      </c>
      <c r="CO40" s="28">
        <v>17</v>
      </c>
      <c r="CP40" s="28">
        <v>33</v>
      </c>
      <c r="CQ40" s="28">
        <v>7</v>
      </c>
      <c r="CR40" s="28">
        <v>0</v>
      </c>
      <c r="CS40" s="28">
        <v>2</v>
      </c>
      <c r="CT40" s="28">
        <v>6</v>
      </c>
      <c r="CU40" s="28">
        <v>7</v>
      </c>
      <c r="CV40" s="28">
        <v>14</v>
      </c>
      <c r="CW40" s="77">
        <v>6</v>
      </c>
      <c r="CX40" s="28">
        <v>9</v>
      </c>
      <c r="CY40" s="77">
        <v>46</v>
      </c>
      <c r="CZ40" s="72">
        <v>0.91400000000000003</v>
      </c>
      <c r="DA40" s="28">
        <v>2</v>
      </c>
      <c r="DB40" s="615">
        <v>16</v>
      </c>
    </row>
    <row r="41" spans="2:124">
      <c r="B41" s="712" t="s">
        <v>1922</v>
      </c>
      <c r="C41" s="77" t="s">
        <v>1096</v>
      </c>
      <c r="D41" s="77" t="s">
        <v>1100</v>
      </c>
      <c r="E41" s="130">
        <v>0.30952380952380953</v>
      </c>
      <c r="F41" s="72">
        <v>0.34831460674157305</v>
      </c>
      <c r="G41" s="72">
        <v>0.5</v>
      </c>
      <c r="H41" s="77">
        <v>20</v>
      </c>
      <c r="I41" s="28">
        <v>84</v>
      </c>
      <c r="J41" s="28">
        <v>12</v>
      </c>
      <c r="K41" s="28">
        <v>26</v>
      </c>
      <c r="L41" s="28">
        <v>5</v>
      </c>
      <c r="M41" s="28">
        <v>1</v>
      </c>
      <c r="N41" s="28">
        <v>3</v>
      </c>
      <c r="O41" s="28">
        <v>12</v>
      </c>
      <c r="P41" s="28">
        <v>5</v>
      </c>
      <c r="Q41" s="28">
        <v>17</v>
      </c>
      <c r="R41" s="77">
        <v>0</v>
      </c>
      <c r="S41" s="74">
        <v>10</v>
      </c>
      <c r="T41" s="28">
        <v>42</v>
      </c>
      <c r="U41" s="72">
        <v>0.848314606741573</v>
      </c>
      <c r="V41" s="74">
        <v>1</v>
      </c>
      <c r="W41" s="615">
        <v>17</v>
      </c>
      <c r="AQ41" s="712" t="s">
        <v>1922</v>
      </c>
      <c r="AR41" s="77" t="s">
        <v>990</v>
      </c>
      <c r="AS41" s="77" t="s">
        <v>992</v>
      </c>
      <c r="AT41" s="130">
        <v>0.23749999999999999</v>
      </c>
      <c r="AU41" s="72">
        <v>0.3146067415730337</v>
      </c>
      <c r="AV41" s="72">
        <v>0.61250000000000004</v>
      </c>
      <c r="AW41" s="77">
        <v>20</v>
      </c>
      <c r="AX41" s="28">
        <v>80</v>
      </c>
      <c r="AY41" s="28">
        <v>10</v>
      </c>
      <c r="AZ41" s="28">
        <v>19</v>
      </c>
      <c r="BA41" s="28">
        <v>3</v>
      </c>
      <c r="BB41" s="28">
        <v>0</v>
      </c>
      <c r="BC41" s="28">
        <v>9</v>
      </c>
      <c r="BD41" s="28">
        <v>11</v>
      </c>
      <c r="BE41" s="28">
        <v>9</v>
      </c>
      <c r="BF41" s="28">
        <v>19</v>
      </c>
      <c r="BG41" s="77">
        <v>0</v>
      </c>
      <c r="BH41" s="74">
        <v>6</v>
      </c>
      <c r="BI41" s="28">
        <v>49</v>
      </c>
      <c r="BJ41" s="72">
        <v>0.92710674157303374</v>
      </c>
      <c r="BK41" s="28">
        <v>2</v>
      </c>
      <c r="BL41" s="615">
        <v>17</v>
      </c>
      <c r="CC41" s="123"/>
      <c r="CG41" s="712" t="s">
        <v>1922</v>
      </c>
      <c r="CH41" s="77" t="s">
        <v>1096</v>
      </c>
      <c r="CI41" s="77" t="s">
        <v>1099</v>
      </c>
      <c r="CJ41" s="130">
        <v>0.247</v>
      </c>
      <c r="CK41" s="72">
        <v>0.29499999999999998</v>
      </c>
      <c r="CL41" s="72">
        <v>0.55100000000000005</v>
      </c>
      <c r="CM41" s="77">
        <v>20</v>
      </c>
      <c r="CN41" s="28">
        <v>89</v>
      </c>
      <c r="CO41" s="28">
        <v>12</v>
      </c>
      <c r="CP41" s="28">
        <v>22</v>
      </c>
      <c r="CQ41" s="28">
        <v>2</v>
      </c>
      <c r="CR41" s="28">
        <v>2</v>
      </c>
      <c r="CS41" s="28">
        <v>7</v>
      </c>
      <c r="CT41" s="28">
        <v>19</v>
      </c>
      <c r="CU41" s="28">
        <v>6</v>
      </c>
      <c r="CV41" s="28">
        <v>10</v>
      </c>
      <c r="CW41" s="77">
        <v>0</v>
      </c>
      <c r="CX41" s="28">
        <v>7</v>
      </c>
      <c r="CY41" s="77">
        <v>49</v>
      </c>
      <c r="CZ41" s="72">
        <v>0.84499999999999997</v>
      </c>
      <c r="DA41" s="28">
        <v>0</v>
      </c>
      <c r="DB41" s="615">
        <v>17</v>
      </c>
    </row>
    <row r="42" spans="2:124" ht="17" thickBot="1">
      <c r="B42" s="714" t="s">
        <v>1923</v>
      </c>
      <c r="C42" s="610" t="s">
        <v>804</v>
      </c>
      <c r="D42" s="942" t="s">
        <v>807</v>
      </c>
      <c r="E42" s="943">
        <v>0.32400000000000001</v>
      </c>
      <c r="F42" s="943">
        <v>0.41199999999999998</v>
      </c>
      <c r="G42" s="943">
        <v>0.52700000000000002</v>
      </c>
      <c r="H42" s="944">
        <v>20</v>
      </c>
      <c r="I42" s="945">
        <v>74</v>
      </c>
      <c r="J42" s="945">
        <v>16</v>
      </c>
      <c r="K42" s="945">
        <v>24</v>
      </c>
      <c r="L42" s="945">
        <v>3</v>
      </c>
      <c r="M42" s="945">
        <v>0</v>
      </c>
      <c r="N42" s="945">
        <v>4</v>
      </c>
      <c r="O42" s="945">
        <v>10</v>
      </c>
      <c r="P42" s="945">
        <v>11</v>
      </c>
      <c r="Q42" s="945">
        <v>17</v>
      </c>
      <c r="R42" s="944">
        <v>0</v>
      </c>
      <c r="S42" s="613">
        <v>4</v>
      </c>
      <c r="T42" s="612">
        <v>39</v>
      </c>
      <c r="U42" s="611">
        <v>0.93879173290937989</v>
      </c>
      <c r="V42" s="613">
        <v>2</v>
      </c>
      <c r="W42" s="616">
        <v>18</v>
      </c>
      <c r="AQ42" s="714" t="s">
        <v>1923</v>
      </c>
      <c r="AR42" s="636" t="s">
        <v>835</v>
      </c>
      <c r="AS42" s="636" t="s">
        <v>837</v>
      </c>
      <c r="AT42" s="710">
        <v>0.26250000000000001</v>
      </c>
      <c r="AU42" s="611">
        <v>0.33707865168539325</v>
      </c>
      <c r="AV42" s="611">
        <v>0.6</v>
      </c>
      <c r="AW42" s="636">
        <v>20</v>
      </c>
      <c r="AX42" s="612">
        <v>80</v>
      </c>
      <c r="AY42" s="612">
        <v>12</v>
      </c>
      <c r="AZ42" s="612">
        <v>21</v>
      </c>
      <c r="BA42" s="612">
        <v>6</v>
      </c>
      <c r="BB42" s="612">
        <v>0</v>
      </c>
      <c r="BC42" s="612">
        <v>7</v>
      </c>
      <c r="BD42" s="612">
        <v>15</v>
      </c>
      <c r="BE42" s="612">
        <v>9</v>
      </c>
      <c r="BF42" s="612">
        <v>28</v>
      </c>
      <c r="BG42" s="636">
        <v>0</v>
      </c>
      <c r="BH42" s="613">
        <v>3</v>
      </c>
      <c r="BI42" s="612">
        <v>48</v>
      </c>
      <c r="BJ42" s="611">
        <v>0.93707865168539328</v>
      </c>
      <c r="BK42" s="612">
        <v>3</v>
      </c>
      <c r="BL42" s="616">
        <v>18</v>
      </c>
      <c r="CC42" s="123"/>
      <c r="CG42" s="714" t="s">
        <v>1923</v>
      </c>
      <c r="CH42" s="636" t="s">
        <v>1062</v>
      </c>
      <c r="CI42" s="636" t="s">
        <v>1063</v>
      </c>
      <c r="CJ42" s="710">
        <v>0.27600000000000002</v>
      </c>
      <c r="CK42" s="611">
        <v>0.36799999999999999</v>
      </c>
      <c r="CL42" s="611">
        <v>0.59199999999999997</v>
      </c>
      <c r="CM42" s="636">
        <v>20</v>
      </c>
      <c r="CN42" s="612">
        <v>76</v>
      </c>
      <c r="CO42" s="612">
        <v>14</v>
      </c>
      <c r="CP42" s="612">
        <v>21</v>
      </c>
      <c r="CQ42" s="612">
        <v>4</v>
      </c>
      <c r="CR42" s="612">
        <v>1</v>
      </c>
      <c r="CS42" s="612">
        <v>6</v>
      </c>
      <c r="CT42" s="612">
        <v>15</v>
      </c>
      <c r="CU42" s="612">
        <v>11</v>
      </c>
      <c r="CV42" s="612">
        <v>15</v>
      </c>
      <c r="CW42" s="636">
        <v>1</v>
      </c>
      <c r="CX42" s="612">
        <v>7</v>
      </c>
      <c r="CY42" s="636">
        <v>45</v>
      </c>
      <c r="CZ42" s="611">
        <v>0.96</v>
      </c>
      <c r="DA42" s="612">
        <v>3</v>
      </c>
      <c r="DB42" s="616">
        <v>18</v>
      </c>
    </row>
    <row r="43" spans="2:124">
      <c r="CC43" s="123"/>
    </row>
    <row r="44" spans="2:124" ht="17" thickBot="1">
      <c r="CC44" s="123"/>
    </row>
    <row r="45" spans="2:124" ht="31" thickBot="1">
      <c r="B45" s="1113" t="s">
        <v>1927</v>
      </c>
      <c r="C45" s="1114"/>
      <c r="D45" s="1114"/>
      <c r="E45" s="1114"/>
      <c r="F45" s="1114"/>
      <c r="G45" s="1114"/>
      <c r="H45" s="1114"/>
      <c r="I45" s="1114"/>
      <c r="J45" s="1114"/>
      <c r="K45" s="1114"/>
      <c r="L45" s="1114"/>
      <c r="M45" s="1114"/>
      <c r="N45" s="1114"/>
      <c r="O45" s="1114"/>
      <c r="P45" s="1114"/>
      <c r="Q45" s="1114"/>
      <c r="R45" s="1114"/>
      <c r="S45" s="1114"/>
      <c r="T45" s="1114"/>
      <c r="U45" s="1114"/>
      <c r="V45" s="1114"/>
      <c r="W45" s="1115"/>
      <c r="Y45" s="1113" t="s">
        <v>1927</v>
      </c>
      <c r="Z45" s="1114"/>
      <c r="AA45" s="1114"/>
      <c r="AB45" s="1114"/>
      <c r="AC45" s="1114"/>
      <c r="AD45" s="1114"/>
      <c r="AE45" s="1114"/>
      <c r="AF45" s="1114"/>
      <c r="AG45" s="1114"/>
      <c r="AH45" s="1114"/>
      <c r="AI45" s="1114"/>
      <c r="AJ45" s="1114"/>
      <c r="AK45" s="1114"/>
      <c r="AL45" s="1114"/>
      <c r="AM45" s="1114"/>
      <c r="AN45" s="1114"/>
      <c r="AO45" s="1115"/>
      <c r="AQ45" s="1113" t="s">
        <v>1928</v>
      </c>
      <c r="AR45" s="1114"/>
      <c r="AS45" s="1114"/>
      <c r="AT45" s="1114"/>
      <c r="AU45" s="1114"/>
      <c r="AV45" s="1114"/>
      <c r="AW45" s="1114"/>
      <c r="AX45" s="1114"/>
      <c r="AY45" s="1114"/>
      <c r="AZ45" s="1114"/>
      <c r="BA45" s="1114"/>
      <c r="BB45" s="1114"/>
      <c r="BC45" s="1114"/>
      <c r="BD45" s="1114"/>
      <c r="BE45" s="1114"/>
      <c r="BF45" s="1114"/>
      <c r="BG45" s="1114"/>
      <c r="BH45" s="1114"/>
      <c r="BI45" s="1114"/>
      <c r="BJ45" s="1114"/>
      <c r="BK45" s="1114"/>
      <c r="BL45" s="1115"/>
      <c r="BN45" s="1113" t="s">
        <v>1928</v>
      </c>
      <c r="BO45" s="1114"/>
      <c r="BP45" s="1114"/>
      <c r="BQ45" s="1114"/>
      <c r="BR45" s="1114"/>
      <c r="BS45" s="1114"/>
      <c r="BT45" s="1114"/>
      <c r="BU45" s="1114"/>
      <c r="BV45" s="1114"/>
      <c r="BW45" s="1114"/>
      <c r="BX45" s="1114"/>
      <c r="BY45" s="1114"/>
      <c r="BZ45" s="1114"/>
      <c r="CA45" s="1114"/>
      <c r="CB45" s="1114"/>
      <c r="CC45" s="1114"/>
      <c r="CD45" s="1115"/>
      <c r="CG45" s="1113" t="s">
        <v>1929</v>
      </c>
      <c r="CH45" s="1114"/>
      <c r="CI45" s="1114"/>
      <c r="CJ45" s="1114"/>
      <c r="CK45" s="1114"/>
      <c r="CL45" s="1114"/>
      <c r="CM45" s="1114"/>
      <c r="CN45" s="1114"/>
      <c r="CO45" s="1114"/>
      <c r="CP45" s="1114"/>
      <c r="CQ45" s="1114"/>
      <c r="CR45" s="1114"/>
      <c r="CS45" s="1114"/>
      <c r="CT45" s="1114"/>
      <c r="CU45" s="1114"/>
      <c r="CV45" s="1114"/>
      <c r="CW45" s="1114"/>
      <c r="CX45" s="1114"/>
      <c r="CY45" s="1114"/>
      <c r="CZ45" s="1114"/>
      <c r="DA45" s="1114"/>
      <c r="DB45" s="1115"/>
      <c r="DD45" s="1113" t="s">
        <v>1929</v>
      </c>
      <c r="DE45" s="1114"/>
      <c r="DF45" s="1114"/>
      <c r="DG45" s="1114"/>
      <c r="DH45" s="1114"/>
      <c r="DI45" s="1114"/>
      <c r="DJ45" s="1114"/>
      <c r="DK45" s="1114"/>
      <c r="DL45" s="1114"/>
      <c r="DM45" s="1114"/>
      <c r="DN45" s="1114"/>
      <c r="DO45" s="1114"/>
      <c r="DP45" s="1114"/>
      <c r="DQ45" s="1114"/>
      <c r="DR45" s="1114"/>
      <c r="DS45" s="1114"/>
      <c r="DT45" s="1115"/>
    </row>
    <row r="46" spans="2:124" ht="17" thickBot="1">
      <c r="B46" s="711" t="s">
        <v>144</v>
      </c>
      <c r="C46" s="600" t="s">
        <v>143</v>
      </c>
      <c r="D46" s="600" t="s">
        <v>1314</v>
      </c>
      <c r="E46" s="600" t="s">
        <v>146</v>
      </c>
      <c r="F46" s="600" t="s">
        <v>147</v>
      </c>
      <c r="G46" s="600" t="s">
        <v>148</v>
      </c>
      <c r="H46" s="600" t="s">
        <v>149</v>
      </c>
      <c r="I46" s="600" t="s">
        <v>150</v>
      </c>
      <c r="J46" s="600" t="s">
        <v>151</v>
      </c>
      <c r="K46" s="600" t="s">
        <v>152</v>
      </c>
      <c r="L46" s="600" t="s">
        <v>153</v>
      </c>
      <c r="M46" s="600" t="s">
        <v>154</v>
      </c>
      <c r="N46" s="600" t="s">
        <v>155</v>
      </c>
      <c r="O46" s="600" t="s">
        <v>156</v>
      </c>
      <c r="P46" s="600" t="s">
        <v>157</v>
      </c>
      <c r="Q46" s="600" t="s">
        <v>158</v>
      </c>
      <c r="R46" s="600" t="s">
        <v>159</v>
      </c>
      <c r="S46" s="600" t="s">
        <v>160</v>
      </c>
      <c r="T46" s="600" t="s">
        <v>161</v>
      </c>
      <c r="U46" s="600" t="s">
        <v>162</v>
      </c>
      <c r="V46" s="600" t="s">
        <v>163</v>
      </c>
      <c r="W46" s="779" t="s">
        <v>164</v>
      </c>
      <c r="Y46" s="711" t="s">
        <v>144</v>
      </c>
      <c r="Z46" s="600" t="s">
        <v>143</v>
      </c>
      <c r="AA46" s="600" t="s">
        <v>1314</v>
      </c>
      <c r="AB46" s="600" t="s">
        <v>196</v>
      </c>
      <c r="AC46" s="600" t="s">
        <v>197</v>
      </c>
      <c r="AD46" s="600" t="s">
        <v>198</v>
      </c>
      <c r="AE46" s="600" t="s">
        <v>149</v>
      </c>
      <c r="AF46" s="600" t="s">
        <v>199</v>
      </c>
      <c r="AG46" s="600" t="s">
        <v>152</v>
      </c>
      <c r="AH46" s="600" t="s">
        <v>151</v>
      </c>
      <c r="AI46" s="600" t="s">
        <v>157</v>
      </c>
      <c r="AJ46" s="600" t="s">
        <v>1631</v>
      </c>
      <c r="AK46" s="600" t="s">
        <v>200</v>
      </c>
      <c r="AL46" s="600" t="s">
        <v>201</v>
      </c>
      <c r="AM46" s="600" t="s">
        <v>203</v>
      </c>
      <c r="AN46" s="744" t="s">
        <v>205</v>
      </c>
      <c r="AO46" s="779" t="s">
        <v>164</v>
      </c>
      <c r="AQ46" s="711" t="s">
        <v>144</v>
      </c>
      <c r="AR46" s="600" t="s">
        <v>143</v>
      </c>
      <c r="AS46" s="600" t="s">
        <v>1314</v>
      </c>
      <c r="AT46" s="600" t="s">
        <v>146</v>
      </c>
      <c r="AU46" s="600" t="s">
        <v>147</v>
      </c>
      <c r="AV46" s="600" t="s">
        <v>148</v>
      </c>
      <c r="AW46" s="600" t="s">
        <v>149</v>
      </c>
      <c r="AX46" s="600" t="s">
        <v>150</v>
      </c>
      <c r="AY46" s="600" t="s">
        <v>151</v>
      </c>
      <c r="AZ46" s="600" t="s">
        <v>152</v>
      </c>
      <c r="BA46" s="600" t="s">
        <v>153</v>
      </c>
      <c r="BB46" s="600" t="s">
        <v>154</v>
      </c>
      <c r="BC46" s="600" t="s">
        <v>155</v>
      </c>
      <c r="BD46" s="600" t="s">
        <v>156</v>
      </c>
      <c r="BE46" s="600" t="s">
        <v>157</v>
      </c>
      <c r="BF46" s="600" t="s">
        <v>158</v>
      </c>
      <c r="BG46" s="600" t="s">
        <v>159</v>
      </c>
      <c r="BH46" s="600" t="s">
        <v>160</v>
      </c>
      <c r="BI46" s="600" t="s">
        <v>161</v>
      </c>
      <c r="BJ46" s="600" t="s">
        <v>162</v>
      </c>
      <c r="BK46" s="600" t="s">
        <v>163</v>
      </c>
      <c r="BL46" s="779" t="s">
        <v>164</v>
      </c>
      <c r="BN46" s="711" t="s">
        <v>144</v>
      </c>
      <c r="BO46" s="600" t="s">
        <v>143</v>
      </c>
      <c r="BP46" s="600" t="s">
        <v>1314</v>
      </c>
      <c r="BQ46" s="600" t="s">
        <v>196</v>
      </c>
      <c r="BR46" s="600" t="s">
        <v>197</v>
      </c>
      <c r="BS46" s="600" t="s">
        <v>198</v>
      </c>
      <c r="BT46" s="600" t="s">
        <v>149</v>
      </c>
      <c r="BU46" s="600" t="s">
        <v>199</v>
      </c>
      <c r="BV46" s="600" t="s">
        <v>152</v>
      </c>
      <c r="BW46" s="600" t="s">
        <v>151</v>
      </c>
      <c r="BX46" s="600" t="s">
        <v>157</v>
      </c>
      <c r="BY46" s="600" t="s">
        <v>1631</v>
      </c>
      <c r="BZ46" s="600" t="s">
        <v>200</v>
      </c>
      <c r="CA46" s="600" t="s">
        <v>201</v>
      </c>
      <c r="CB46" s="600" t="s">
        <v>203</v>
      </c>
      <c r="CC46" s="744" t="s">
        <v>205</v>
      </c>
      <c r="CD46" s="779" t="s">
        <v>164</v>
      </c>
      <c r="CG46" s="711" t="s">
        <v>144</v>
      </c>
      <c r="CH46" s="600" t="s">
        <v>143</v>
      </c>
      <c r="CI46" s="600" t="s">
        <v>1314</v>
      </c>
      <c r="CJ46" s="600" t="s">
        <v>146</v>
      </c>
      <c r="CK46" s="600" t="s">
        <v>147</v>
      </c>
      <c r="CL46" s="600" t="s">
        <v>148</v>
      </c>
      <c r="CM46" s="600" t="s">
        <v>149</v>
      </c>
      <c r="CN46" s="600" t="s">
        <v>150</v>
      </c>
      <c r="CO46" s="600" t="s">
        <v>151</v>
      </c>
      <c r="CP46" s="600" t="s">
        <v>152</v>
      </c>
      <c r="CQ46" s="600" t="s">
        <v>153</v>
      </c>
      <c r="CR46" s="600" t="s">
        <v>154</v>
      </c>
      <c r="CS46" s="600" t="s">
        <v>155</v>
      </c>
      <c r="CT46" s="600" t="s">
        <v>156</v>
      </c>
      <c r="CU46" s="600" t="s">
        <v>157</v>
      </c>
      <c r="CV46" s="600" t="s">
        <v>158</v>
      </c>
      <c r="CW46" s="600" t="s">
        <v>159</v>
      </c>
      <c r="CX46" s="600" t="s">
        <v>160</v>
      </c>
      <c r="CY46" s="600" t="s">
        <v>161</v>
      </c>
      <c r="CZ46" s="600" t="s">
        <v>162</v>
      </c>
      <c r="DA46" s="600" t="s">
        <v>163</v>
      </c>
      <c r="DB46" s="779" t="s">
        <v>164</v>
      </c>
      <c r="DD46" s="711" t="s">
        <v>144</v>
      </c>
      <c r="DE46" s="600" t="s">
        <v>143</v>
      </c>
      <c r="DF46" s="600" t="s">
        <v>1314</v>
      </c>
      <c r="DG46" s="600" t="s">
        <v>196</v>
      </c>
      <c r="DH46" s="600" t="s">
        <v>197</v>
      </c>
      <c r="DI46" s="600" t="s">
        <v>198</v>
      </c>
      <c r="DJ46" s="600" t="s">
        <v>149</v>
      </c>
      <c r="DK46" s="600" t="s">
        <v>199</v>
      </c>
      <c r="DL46" s="600" t="s">
        <v>152</v>
      </c>
      <c r="DM46" s="600" t="s">
        <v>151</v>
      </c>
      <c r="DN46" s="600" t="s">
        <v>157</v>
      </c>
      <c r="DO46" s="600" t="s">
        <v>1631</v>
      </c>
      <c r="DP46" s="600" t="s">
        <v>200</v>
      </c>
      <c r="DQ46" s="600" t="s">
        <v>201</v>
      </c>
      <c r="DR46" s="600" t="s">
        <v>203</v>
      </c>
      <c r="DS46" s="600" t="s">
        <v>205</v>
      </c>
      <c r="DT46" s="779" t="s">
        <v>164</v>
      </c>
    </row>
    <row r="47" spans="2:124">
      <c r="B47" s="711" t="s">
        <v>181</v>
      </c>
      <c r="C47" s="597" t="s">
        <v>685</v>
      </c>
      <c r="D47" s="600" t="s">
        <v>686</v>
      </c>
      <c r="E47" s="706">
        <v>0</v>
      </c>
      <c r="F47" s="598">
        <v>0</v>
      </c>
      <c r="G47" s="598">
        <v>0</v>
      </c>
      <c r="H47" s="673">
        <v>1</v>
      </c>
      <c r="I47" s="600">
        <v>3</v>
      </c>
      <c r="J47" s="600">
        <v>0</v>
      </c>
      <c r="K47" s="600">
        <v>0</v>
      </c>
      <c r="L47" s="600">
        <v>0</v>
      </c>
      <c r="M47" s="600">
        <v>0</v>
      </c>
      <c r="N47" s="600">
        <v>0</v>
      </c>
      <c r="O47" s="600">
        <v>0</v>
      </c>
      <c r="P47" s="600">
        <v>0</v>
      </c>
      <c r="Q47" s="600">
        <v>1</v>
      </c>
      <c r="R47" s="673">
        <v>0</v>
      </c>
      <c r="S47" s="600">
        <v>0</v>
      </c>
      <c r="T47" s="673">
        <v>0</v>
      </c>
      <c r="U47" s="598">
        <v>0</v>
      </c>
      <c r="V47" s="604">
        <v>0</v>
      </c>
      <c r="W47" s="779">
        <v>1</v>
      </c>
      <c r="Y47" s="711" t="s">
        <v>206</v>
      </c>
      <c r="Z47" s="597" t="s">
        <v>580</v>
      </c>
      <c r="AA47" s="600" t="s">
        <v>597</v>
      </c>
      <c r="AB47" s="946">
        <v>0</v>
      </c>
      <c r="AC47" s="890">
        <v>0</v>
      </c>
      <c r="AD47" s="888">
        <v>0</v>
      </c>
      <c r="AE47" s="673">
        <v>1</v>
      </c>
      <c r="AF47" s="630">
        <v>3</v>
      </c>
      <c r="AG47" s="600">
        <v>2</v>
      </c>
      <c r="AH47" s="600">
        <v>0</v>
      </c>
      <c r="AI47" s="600">
        <v>0</v>
      </c>
      <c r="AJ47" s="600">
        <v>6</v>
      </c>
      <c r="AK47" s="600">
        <v>0</v>
      </c>
      <c r="AL47" s="631">
        <v>0.66666666666666663</v>
      </c>
      <c r="AM47" s="600">
        <v>0</v>
      </c>
      <c r="AN47" s="600">
        <v>0</v>
      </c>
      <c r="AO47" s="614">
        <v>1</v>
      </c>
      <c r="AQ47" s="711" t="s">
        <v>166</v>
      </c>
      <c r="AR47" s="597" t="s">
        <v>429</v>
      </c>
      <c r="AS47" s="600" t="s">
        <v>431</v>
      </c>
      <c r="AT47" s="706">
        <v>0</v>
      </c>
      <c r="AU47" s="598">
        <v>0.25</v>
      </c>
      <c r="AV47" s="598">
        <v>0</v>
      </c>
      <c r="AW47" s="673">
        <v>1</v>
      </c>
      <c r="AX47" s="600">
        <v>3</v>
      </c>
      <c r="AY47" s="600">
        <v>0</v>
      </c>
      <c r="AZ47" s="600">
        <v>0</v>
      </c>
      <c r="BA47" s="600">
        <v>0</v>
      </c>
      <c r="BB47" s="600">
        <v>0</v>
      </c>
      <c r="BC47" s="600">
        <v>0</v>
      </c>
      <c r="BD47" s="600">
        <v>0</v>
      </c>
      <c r="BE47" s="600">
        <v>1</v>
      </c>
      <c r="BF47" s="600">
        <v>2</v>
      </c>
      <c r="BG47" s="673">
        <v>0</v>
      </c>
      <c r="BH47" s="604">
        <v>0</v>
      </c>
      <c r="BI47" s="600">
        <v>0</v>
      </c>
      <c r="BJ47" s="598">
        <v>0.25</v>
      </c>
      <c r="BK47" s="604">
        <v>0</v>
      </c>
      <c r="BL47" s="779">
        <v>1</v>
      </c>
      <c r="BN47" s="711" t="s">
        <v>206</v>
      </c>
      <c r="BO47" s="597" t="s">
        <v>266</v>
      </c>
      <c r="BP47" s="600" t="s">
        <v>284</v>
      </c>
      <c r="BQ47" s="946">
        <v>0</v>
      </c>
      <c r="BR47" s="890">
        <v>1</v>
      </c>
      <c r="BS47" s="888">
        <v>0</v>
      </c>
      <c r="BT47" s="673">
        <v>1</v>
      </c>
      <c r="BU47" s="630">
        <v>3</v>
      </c>
      <c r="BV47" s="600">
        <v>1</v>
      </c>
      <c r="BW47" s="600">
        <v>0</v>
      </c>
      <c r="BX47" s="600">
        <v>0</v>
      </c>
      <c r="BY47" s="600">
        <v>5</v>
      </c>
      <c r="BZ47" s="600">
        <v>0</v>
      </c>
      <c r="CA47" s="744">
        <v>0.33333333333333331</v>
      </c>
      <c r="CB47" s="673">
        <v>0</v>
      </c>
      <c r="CC47" s="600">
        <v>0</v>
      </c>
      <c r="CD47" s="614">
        <v>1</v>
      </c>
      <c r="CG47" s="711" t="s">
        <v>179</v>
      </c>
      <c r="CH47" s="597" t="s">
        <v>502</v>
      </c>
      <c r="CI47" s="600" t="s">
        <v>504</v>
      </c>
      <c r="CJ47" s="706">
        <v>0.2</v>
      </c>
      <c r="CK47" s="598">
        <v>0.2</v>
      </c>
      <c r="CL47" s="598">
        <v>0.8</v>
      </c>
      <c r="CM47" s="673">
        <v>1</v>
      </c>
      <c r="CN47" s="600">
        <v>5</v>
      </c>
      <c r="CO47" s="600">
        <v>1</v>
      </c>
      <c r="CP47" s="600">
        <v>1</v>
      </c>
      <c r="CQ47" s="600">
        <v>0</v>
      </c>
      <c r="CR47" s="600">
        <v>0</v>
      </c>
      <c r="CS47" s="600">
        <v>1</v>
      </c>
      <c r="CT47" s="600">
        <v>2</v>
      </c>
      <c r="CU47" s="600">
        <v>0</v>
      </c>
      <c r="CV47" s="600">
        <v>3</v>
      </c>
      <c r="CW47" s="673">
        <v>0</v>
      </c>
      <c r="CX47" s="600">
        <v>1</v>
      </c>
      <c r="CY47" s="673">
        <v>4</v>
      </c>
      <c r="CZ47" s="598">
        <v>1</v>
      </c>
      <c r="DA47" s="604">
        <v>1</v>
      </c>
      <c r="DB47" s="779">
        <v>1</v>
      </c>
      <c r="DD47" s="711" t="s">
        <v>206</v>
      </c>
      <c r="DE47" s="597" t="s">
        <v>226</v>
      </c>
      <c r="DF47" s="600" t="s">
        <v>249</v>
      </c>
      <c r="DG47" s="946">
        <v>6</v>
      </c>
      <c r="DH47" s="890">
        <v>0</v>
      </c>
      <c r="DI47" s="888">
        <v>0</v>
      </c>
      <c r="DJ47" s="673">
        <v>1</v>
      </c>
      <c r="DK47" s="630">
        <v>3</v>
      </c>
      <c r="DL47" s="600">
        <v>6</v>
      </c>
      <c r="DM47" s="600">
        <v>2</v>
      </c>
      <c r="DN47" s="600">
        <v>2</v>
      </c>
      <c r="DO47" s="600">
        <v>3</v>
      </c>
      <c r="DP47" s="600">
        <v>0</v>
      </c>
      <c r="DQ47" s="935">
        <v>2.6666666666666665</v>
      </c>
      <c r="DR47" s="673">
        <v>0</v>
      </c>
      <c r="DS47" s="600">
        <v>0</v>
      </c>
      <c r="DT47" s="614">
        <v>1</v>
      </c>
    </row>
    <row r="48" spans="2:124">
      <c r="B48" s="712" t="s">
        <v>166</v>
      </c>
      <c r="C48" s="71" t="s">
        <v>165</v>
      </c>
      <c r="D48" s="28" t="s">
        <v>167</v>
      </c>
      <c r="E48" s="130">
        <v>0</v>
      </c>
      <c r="F48" s="72">
        <v>0</v>
      </c>
      <c r="G48" s="72">
        <v>0</v>
      </c>
      <c r="H48" s="77">
        <v>1</v>
      </c>
      <c r="I48" s="28">
        <v>4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1</v>
      </c>
      <c r="R48" s="77">
        <v>0</v>
      </c>
      <c r="S48" s="28">
        <v>1</v>
      </c>
      <c r="T48" s="77">
        <v>0</v>
      </c>
      <c r="U48" s="72">
        <v>0</v>
      </c>
      <c r="V48" s="74">
        <v>0</v>
      </c>
      <c r="W48" s="780">
        <v>2</v>
      </c>
      <c r="Y48" s="712" t="s">
        <v>206</v>
      </c>
      <c r="Z48" s="71" t="s">
        <v>165</v>
      </c>
      <c r="AA48" s="28" t="s">
        <v>207</v>
      </c>
      <c r="AB48" s="147">
        <v>0</v>
      </c>
      <c r="AC48" s="146">
        <v>0</v>
      </c>
      <c r="AD48" s="32">
        <v>0</v>
      </c>
      <c r="AE48" s="77">
        <v>1</v>
      </c>
      <c r="AF48" s="584">
        <v>3</v>
      </c>
      <c r="AG48" s="28">
        <v>2</v>
      </c>
      <c r="AH48" s="28">
        <v>0</v>
      </c>
      <c r="AI48" s="28">
        <v>0</v>
      </c>
      <c r="AJ48" s="28">
        <v>4</v>
      </c>
      <c r="AK48" s="28">
        <v>0</v>
      </c>
      <c r="AL48" s="89">
        <v>0.66666666666666663</v>
      </c>
      <c r="AM48" s="28">
        <v>0</v>
      </c>
      <c r="AN48" s="28">
        <v>0</v>
      </c>
      <c r="AO48" s="615">
        <v>2</v>
      </c>
      <c r="AQ48" s="712" t="s">
        <v>172</v>
      </c>
      <c r="AR48" s="71" t="s">
        <v>266</v>
      </c>
      <c r="AS48" s="28" t="s">
        <v>268</v>
      </c>
      <c r="AT48" s="130">
        <v>0.33333333333333331</v>
      </c>
      <c r="AU48" s="72">
        <v>0.5</v>
      </c>
      <c r="AV48" s="72">
        <v>0.33333333333333331</v>
      </c>
      <c r="AW48" s="77">
        <v>1</v>
      </c>
      <c r="AX48" s="28">
        <v>3</v>
      </c>
      <c r="AY48" s="28">
        <v>0</v>
      </c>
      <c r="AZ48" s="28">
        <v>1</v>
      </c>
      <c r="BA48" s="28">
        <v>0</v>
      </c>
      <c r="BB48" s="28">
        <v>0</v>
      </c>
      <c r="BC48" s="28">
        <v>0</v>
      </c>
      <c r="BD48" s="28">
        <v>0</v>
      </c>
      <c r="BE48" s="28">
        <v>1</v>
      </c>
      <c r="BF48" s="28">
        <v>1</v>
      </c>
      <c r="BG48" s="77">
        <v>0</v>
      </c>
      <c r="BH48" s="74">
        <v>1</v>
      </c>
      <c r="BI48" s="28">
        <v>1</v>
      </c>
      <c r="BJ48" s="72">
        <v>0.83333333333333326</v>
      </c>
      <c r="BK48" s="74">
        <v>0</v>
      </c>
      <c r="BL48" s="780">
        <v>2</v>
      </c>
      <c r="BN48" s="712" t="s">
        <v>206</v>
      </c>
      <c r="BO48" s="71" t="s">
        <v>539</v>
      </c>
      <c r="BP48" s="28" t="s">
        <v>557</v>
      </c>
      <c r="BQ48" s="147">
        <v>13.5</v>
      </c>
      <c r="BR48" s="146">
        <v>0</v>
      </c>
      <c r="BS48" s="32">
        <v>1</v>
      </c>
      <c r="BT48" s="77">
        <v>1</v>
      </c>
      <c r="BU48" s="584">
        <v>2</v>
      </c>
      <c r="BV48" s="28">
        <v>4</v>
      </c>
      <c r="BW48" s="28">
        <v>3</v>
      </c>
      <c r="BX48" s="28">
        <v>0</v>
      </c>
      <c r="BY48" s="28">
        <v>4</v>
      </c>
      <c r="BZ48" s="28">
        <v>0</v>
      </c>
      <c r="CA48" s="106">
        <v>2</v>
      </c>
      <c r="CB48" s="77">
        <v>0</v>
      </c>
      <c r="CC48" s="28">
        <v>0</v>
      </c>
      <c r="CD48" s="615">
        <v>2</v>
      </c>
      <c r="CG48" s="712" t="s">
        <v>177</v>
      </c>
      <c r="CH48" s="71" t="s">
        <v>539</v>
      </c>
      <c r="CI48" s="28" t="s">
        <v>542</v>
      </c>
      <c r="CJ48" s="130">
        <v>0</v>
      </c>
      <c r="CK48" s="72">
        <v>0</v>
      </c>
      <c r="CL48" s="72">
        <v>0</v>
      </c>
      <c r="CM48" s="77">
        <v>1</v>
      </c>
      <c r="CN48" s="28">
        <v>5</v>
      </c>
      <c r="CO48" s="28">
        <v>0</v>
      </c>
      <c r="CP48" s="28">
        <v>0</v>
      </c>
      <c r="CQ48" s="28">
        <v>0</v>
      </c>
      <c r="CR48" s="28">
        <v>0</v>
      </c>
      <c r="CS48" s="28">
        <v>0</v>
      </c>
      <c r="CT48" s="28">
        <v>0</v>
      </c>
      <c r="CU48" s="28">
        <v>0</v>
      </c>
      <c r="CV48" s="28">
        <v>2</v>
      </c>
      <c r="CW48" s="77">
        <v>0</v>
      </c>
      <c r="CX48" s="28">
        <v>0</v>
      </c>
      <c r="CY48" s="77">
        <v>0</v>
      </c>
      <c r="CZ48" s="72">
        <v>0</v>
      </c>
      <c r="DA48" s="74">
        <v>0</v>
      </c>
      <c r="DB48" s="780">
        <v>2</v>
      </c>
      <c r="DD48" s="712" t="s">
        <v>206</v>
      </c>
      <c r="DE48" s="71" t="s">
        <v>685</v>
      </c>
      <c r="DF48" s="28" t="s">
        <v>687</v>
      </c>
      <c r="DG48" s="147">
        <v>6</v>
      </c>
      <c r="DH48" s="146">
        <v>0</v>
      </c>
      <c r="DI48" s="32">
        <v>0</v>
      </c>
      <c r="DJ48" s="77">
        <v>1</v>
      </c>
      <c r="DK48" s="584">
        <v>3</v>
      </c>
      <c r="DL48" s="28">
        <v>3</v>
      </c>
      <c r="DM48" s="28">
        <v>2</v>
      </c>
      <c r="DN48" s="28">
        <v>2</v>
      </c>
      <c r="DO48" s="28">
        <v>5</v>
      </c>
      <c r="DP48" s="28">
        <v>0</v>
      </c>
      <c r="DQ48" s="566">
        <v>1.6666666666666667</v>
      </c>
      <c r="DR48" s="77">
        <v>0</v>
      </c>
      <c r="DS48" s="28">
        <v>0</v>
      </c>
      <c r="DT48" s="615">
        <v>2</v>
      </c>
    </row>
    <row r="49" spans="2:124">
      <c r="B49" s="712" t="s">
        <v>177</v>
      </c>
      <c r="C49" s="71" t="s">
        <v>300</v>
      </c>
      <c r="D49" s="28" t="s">
        <v>301</v>
      </c>
      <c r="E49" s="130">
        <v>0</v>
      </c>
      <c r="F49" s="72">
        <v>0</v>
      </c>
      <c r="G49" s="72">
        <v>0</v>
      </c>
      <c r="H49" s="77">
        <v>1</v>
      </c>
      <c r="I49" s="28">
        <v>4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77">
        <v>0</v>
      </c>
      <c r="S49" s="28">
        <v>1</v>
      </c>
      <c r="T49" s="77">
        <v>0</v>
      </c>
      <c r="U49" s="72">
        <v>0</v>
      </c>
      <c r="V49" s="74">
        <v>0</v>
      </c>
      <c r="W49" s="780">
        <v>3</v>
      </c>
      <c r="Y49" s="712" t="s">
        <v>206</v>
      </c>
      <c r="Z49" s="71" t="s">
        <v>611</v>
      </c>
      <c r="AA49" s="28" t="s">
        <v>630</v>
      </c>
      <c r="AB49" s="147">
        <v>31.5</v>
      </c>
      <c r="AC49" s="146">
        <v>0</v>
      </c>
      <c r="AD49" s="32">
        <v>0</v>
      </c>
      <c r="AE49" s="77">
        <v>1</v>
      </c>
      <c r="AF49" s="584">
        <v>2</v>
      </c>
      <c r="AG49" s="28">
        <v>6</v>
      </c>
      <c r="AH49" s="28">
        <v>7</v>
      </c>
      <c r="AI49" s="28">
        <v>2</v>
      </c>
      <c r="AJ49" s="28">
        <v>1</v>
      </c>
      <c r="AK49" s="28">
        <v>0</v>
      </c>
      <c r="AL49" s="89">
        <v>4</v>
      </c>
      <c r="AM49" s="28">
        <v>0</v>
      </c>
      <c r="AN49" s="28">
        <v>0</v>
      </c>
      <c r="AO49" s="615">
        <v>3</v>
      </c>
      <c r="AQ49" s="712" t="s">
        <v>154</v>
      </c>
      <c r="AR49" s="71" t="s">
        <v>717</v>
      </c>
      <c r="AS49" s="28" t="s">
        <v>719</v>
      </c>
      <c r="AT49" s="130">
        <v>0.25</v>
      </c>
      <c r="AU49" s="72">
        <v>0.25</v>
      </c>
      <c r="AV49" s="72">
        <v>0.25</v>
      </c>
      <c r="AW49" s="77">
        <v>1</v>
      </c>
      <c r="AX49" s="28">
        <v>4</v>
      </c>
      <c r="AY49" s="28">
        <v>0</v>
      </c>
      <c r="AZ49" s="28">
        <v>1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77">
        <v>0</v>
      </c>
      <c r="BH49" s="74">
        <v>1</v>
      </c>
      <c r="BI49" s="28">
        <v>1</v>
      </c>
      <c r="BJ49" s="72">
        <v>0.5</v>
      </c>
      <c r="BK49" s="74">
        <v>0</v>
      </c>
      <c r="BL49" s="780">
        <v>3</v>
      </c>
      <c r="BN49" s="712" t="s">
        <v>206</v>
      </c>
      <c r="BO49" s="71" t="s">
        <v>611</v>
      </c>
      <c r="BP49" s="28" t="s">
        <v>630</v>
      </c>
      <c r="BQ49" s="147">
        <v>0</v>
      </c>
      <c r="BR49" s="146">
        <v>0</v>
      </c>
      <c r="BS49" s="32">
        <v>0</v>
      </c>
      <c r="BT49" s="77">
        <v>1</v>
      </c>
      <c r="BU49" s="584">
        <v>2</v>
      </c>
      <c r="BV49" s="28">
        <v>0</v>
      </c>
      <c r="BW49" s="28">
        <v>0</v>
      </c>
      <c r="BX49" s="28">
        <v>0</v>
      </c>
      <c r="BY49" s="28">
        <v>1</v>
      </c>
      <c r="BZ49" s="28">
        <v>0</v>
      </c>
      <c r="CA49" s="106">
        <v>0</v>
      </c>
      <c r="CB49" s="77">
        <v>0</v>
      </c>
      <c r="CC49" s="28">
        <v>0</v>
      </c>
      <c r="CD49" s="615">
        <v>3</v>
      </c>
      <c r="CG49" s="712" t="s">
        <v>153</v>
      </c>
      <c r="CH49" s="71" t="s">
        <v>226</v>
      </c>
      <c r="CI49" s="28" t="s">
        <v>232</v>
      </c>
      <c r="CJ49" s="130">
        <v>0</v>
      </c>
      <c r="CK49" s="72">
        <v>0.2</v>
      </c>
      <c r="CL49" s="72">
        <v>0</v>
      </c>
      <c r="CM49" s="77">
        <v>1</v>
      </c>
      <c r="CN49" s="28">
        <v>4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1</v>
      </c>
      <c r="CV49" s="28">
        <v>1</v>
      </c>
      <c r="CW49" s="77">
        <v>0</v>
      </c>
      <c r="CX49" s="28">
        <v>0</v>
      </c>
      <c r="CY49" s="77">
        <v>0</v>
      </c>
      <c r="CZ49" s="72">
        <v>0.2</v>
      </c>
      <c r="DA49" s="74">
        <v>0</v>
      </c>
      <c r="DB49" s="780">
        <v>3</v>
      </c>
      <c r="DD49" s="712" t="s">
        <v>206</v>
      </c>
      <c r="DE49" s="71" t="s">
        <v>580</v>
      </c>
      <c r="DF49" s="28" t="s">
        <v>597</v>
      </c>
      <c r="DG49" s="147">
        <v>0</v>
      </c>
      <c r="DH49" s="146">
        <v>0</v>
      </c>
      <c r="DI49" s="32">
        <v>0</v>
      </c>
      <c r="DJ49" s="77">
        <v>1</v>
      </c>
      <c r="DK49" s="584">
        <v>2</v>
      </c>
      <c r="DL49" s="28">
        <v>1</v>
      </c>
      <c r="DM49" s="28">
        <v>0</v>
      </c>
      <c r="DN49" s="28">
        <v>1</v>
      </c>
      <c r="DO49" s="28">
        <v>1</v>
      </c>
      <c r="DP49" s="28">
        <v>0</v>
      </c>
      <c r="DQ49" s="567">
        <v>1</v>
      </c>
      <c r="DR49" s="77">
        <v>0</v>
      </c>
      <c r="DS49" s="28">
        <v>0</v>
      </c>
      <c r="DT49" s="615">
        <v>3</v>
      </c>
    </row>
    <row r="50" spans="2:124">
      <c r="B50" s="712" t="s">
        <v>168</v>
      </c>
      <c r="C50" s="71" t="s">
        <v>539</v>
      </c>
      <c r="D50" s="28" t="s">
        <v>540</v>
      </c>
      <c r="E50" s="130">
        <v>0.75</v>
      </c>
      <c r="F50" s="72">
        <v>0.75</v>
      </c>
      <c r="G50" s="72">
        <v>1.5</v>
      </c>
      <c r="H50" s="77">
        <v>1</v>
      </c>
      <c r="I50" s="28">
        <v>4</v>
      </c>
      <c r="J50" s="28">
        <v>1</v>
      </c>
      <c r="K50" s="28">
        <v>3</v>
      </c>
      <c r="L50" s="28">
        <v>0</v>
      </c>
      <c r="M50" s="28">
        <v>0</v>
      </c>
      <c r="N50" s="28">
        <v>1</v>
      </c>
      <c r="O50" s="28">
        <v>1</v>
      </c>
      <c r="P50" s="28">
        <v>0</v>
      </c>
      <c r="Q50" s="28">
        <v>1</v>
      </c>
      <c r="R50" s="77">
        <v>0</v>
      </c>
      <c r="S50" s="28">
        <v>1</v>
      </c>
      <c r="T50" s="77">
        <v>6</v>
      </c>
      <c r="U50" s="72">
        <v>2.25</v>
      </c>
      <c r="V50" s="74">
        <v>0</v>
      </c>
      <c r="W50" s="780">
        <v>4</v>
      </c>
      <c r="Y50" s="712" t="s">
        <v>206</v>
      </c>
      <c r="Z50" s="71" t="s">
        <v>611</v>
      </c>
      <c r="AA50" s="28" t="s">
        <v>631</v>
      </c>
      <c r="AB50" s="147">
        <v>0</v>
      </c>
      <c r="AC50" s="146">
        <v>0</v>
      </c>
      <c r="AD50" s="32">
        <v>0</v>
      </c>
      <c r="AE50" s="77">
        <v>1</v>
      </c>
      <c r="AF50" s="584">
        <v>2</v>
      </c>
      <c r="AG50" s="28">
        <v>1</v>
      </c>
      <c r="AH50" s="28">
        <v>0</v>
      </c>
      <c r="AI50" s="28">
        <v>1</v>
      </c>
      <c r="AJ50" s="28">
        <v>1</v>
      </c>
      <c r="AK50" s="28">
        <v>0</v>
      </c>
      <c r="AL50" s="89">
        <v>1</v>
      </c>
      <c r="AM50" s="28">
        <v>0</v>
      </c>
      <c r="AN50" s="28">
        <v>0</v>
      </c>
      <c r="AO50" s="615">
        <v>4</v>
      </c>
      <c r="AQ50" s="712" t="s">
        <v>168</v>
      </c>
      <c r="AR50" s="71" t="s">
        <v>226</v>
      </c>
      <c r="AS50" s="28" t="s">
        <v>230</v>
      </c>
      <c r="AT50" s="130">
        <v>0.5</v>
      </c>
      <c r="AU50" s="72">
        <v>0.5</v>
      </c>
      <c r="AV50" s="72">
        <v>0.5</v>
      </c>
      <c r="AW50" s="77">
        <v>1</v>
      </c>
      <c r="AX50" s="28">
        <v>4</v>
      </c>
      <c r="AY50" s="28">
        <v>0</v>
      </c>
      <c r="AZ50" s="28">
        <v>2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1</v>
      </c>
      <c r="BG50" s="77">
        <v>0</v>
      </c>
      <c r="BH50" s="74">
        <v>1</v>
      </c>
      <c r="BI50" s="28">
        <v>2</v>
      </c>
      <c r="BJ50" s="72">
        <v>1</v>
      </c>
      <c r="BK50" s="74">
        <v>0</v>
      </c>
      <c r="BL50" s="780">
        <v>4</v>
      </c>
      <c r="BN50" s="712" t="s">
        <v>206</v>
      </c>
      <c r="BO50" s="71" t="s">
        <v>300</v>
      </c>
      <c r="BP50" s="28" t="s">
        <v>324</v>
      </c>
      <c r="BQ50" s="147">
        <v>0</v>
      </c>
      <c r="BR50" s="146">
        <v>0</v>
      </c>
      <c r="BS50" s="32">
        <v>0</v>
      </c>
      <c r="BT50" s="77">
        <v>1</v>
      </c>
      <c r="BU50" s="584">
        <v>1</v>
      </c>
      <c r="BV50" s="28">
        <v>1</v>
      </c>
      <c r="BW50" s="28">
        <v>0</v>
      </c>
      <c r="BX50" s="28">
        <v>0</v>
      </c>
      <c r="BY50" s="28">
        <v>1</v>
      </c>
      <c r="BZ50" s="28">
        <v>0</v>
      </c>
      <c r="CA50" s="106">
        <v>1</v>
      </c>
      <c r="CB50" s="77">
        <v>0</v>
      </c>
      <c r="CC50" s="28">
        <v>0</v>
      </c>
      <c r="CD50" s="615">
        <v>4</v>
      </c>
      <c r="CG50" s="712" t="s">
        <v>172</v>
      </c>
      <c r="CH50" s="71" t="s">
        <v>429</v>
      </c>
      <c r="CI50" s="28" t="s">
        <v>435</v>
      </c>
      <c r="CJ50" s="130">
        <v>0</v>
      </c>
      <c r="CK50" s="72">
        <v>0</v>
      </c>
      <c r="CL50" s="72">
        <v>0</v>
      </c>
      <c r="CM50" s="77">
        <v>1</v>
      </c>
      <c r="CN50" s="28">
        <v>4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2</v>
      </c>
      <c r="CW50" s="77">
        <v>0</v>
      </c>
      <c r="CX50" s="28">
        <v>0</v>
      </c>
      <c r="CY50" s="77">
        <v>0</v>
      </c>
      <c r="CZ50" s="72">
        <v>0</v>
      </c>
      <c r="DA50" s="74">
        <v>0</v>
      </c>
      <c r="DB50" s="780">
        <v>4</v>
      </c>
      <c r="DD50" s="712" t="s">
        <v>206</v>
      </c>
      <c r="DE50" s="71" t="s">
        <v>611</v>
      </c>
      <c r="DF50" s="28" t="s">
        <v>630</v>
      </c>
      <c r="DG50" s="147">
        <v>0</v>
      </c>
      <c r="DH50" s="146">
        <v>1</v>
      </c>
      <c r="DI50" s="32">
        <v>0</v>
      </c>
      <c r="DJ50" s="77">
        <v>1</v>
      </c>
      <c r="DK50" s="584">
        <v>3</v>
      </c>
      <c r="DL50" s="28">
        <v>2</v>
      </c>
      <c r="DM50" s="28">
        <v>0</v>
      </c>
      <c r="DN50" s="28">
        <v>1</v>
      </c>
      <c r="DO50" s="28">
        <v>7</v>
      </c>
      <c r="DP50" s="28">
        <v>0</v>
      </c>
      <c r="DQ50" s="566">
        <v>1</v>
      </c>
      <c r="DR50" s="77">
        <v>0</v>
      </c>
      <c r="DS50" s="28">
        <v>0</v>
      </c>
      <c r="DT50" s="615">
        <v>4</v>
      </c>
    </row>
    <row r="51" spans="2:124">
      <c r="B51" s="712" t="s">
        <v>174</v>
      </c>
      <c r="C51" s="71" t="s">
        <v>580</v>
      </c>
      <c r="D51" s="28" t="s">
        <v>581</v>
      </c>
      <c r="E51" s="130">
        <v>0</v>
      </c>
      <c r="F51" s="72">
        <v>0</v>
      </c>
      <c r="G51" s="72">
        <v>0</v>
      </c>
      <c r="H51" s="77">
        <v>1</v>
      </c>
      <c r="I51" s="28">
        <v>3</v>
      </c>
      <c r="J51" s="28">
        <v>1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1</v>
      </c>
      <c r="R51" s="77">
        <v>0</v>
      </c>
      <c r="S51" s="28">
        <v>1</v>
      </c>
      <c r="T51" s="77">
        <v>0</v>
      </c>
      <c r="U51" s="72">
        <v>0</v>
      </c>
      <c r="V51" s="74">
        <v>0</v>
      </c>
      <c r="W51" s="780">
        <v>5</v>
      </c>
      <c r="Y51" s="712" t="s">
        <v>206</v>
      </c>
      <c r="Z51" s="71" t="s">
        <v>539</v>
      </c>
      <c r="AA51" s="28" t="s">
        <v>557</v>
      </c>
      <c r="AB51" s="147">
        <v>9</v>
      </c>
      <c r="AC51" s="146">
        <v>0</v>
      </c>
      <c r="AD51" s="32">
        <v>0</v>
      </c>
      <c r="AE51" s="77">
        <v>1</v>
      </c>
      <c r="AF51" s="584">
        <v>1</v>
      </c>
      <c r="AG51" s="28">
        <v>1</v>
      </c>
      <c r="AH51" s="28">
        <v>1</v>
      </c>
      <c r="AI51" s="28">
        <v>0</v>
      </c>
      <c r="AJ51" s="28">
        <v>1</v>
      </c>
      <c r="AK51" s="28">
        <v>0</v>
      </c>
      <c r="AL51" s="89">
        <v>1</v>
      </c>
      <c r="AM51" s="28">
        <v>0</v>
      </c>
      <c r="AN51" s="28">
        <v>0</v>
      </c>
      <c r="AO51" s="615">
        <v>5</v>
      </c>
      <c r="AQ51" s="712" t="s">
        <v>174</v>
      </c>
      <c r="AR51" s="71" t="s">
        <v>539</v>
      </c>
      <c r="AS51" s="28" t="s">
        <v>541</v>
      </c>
      <c r="AT51" s="130">
        <v>0</v>
      </c>
      <c r="AU51" s="72">
        <v>0</v>
      </c>
      <c r="AV51" s="72">
        <v>0</v>
      </c>
      <c r="AW51" s="77">
        <v>1</v>
      </c>
      <c r="AX51" s="28">
        <v>4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3</v>
      </c>
      <c r="BG51" s="77">
        <v>0</v>
      </c>
      <c r="BH51" s="74">
        <v>0</v>
      </c>
      <c r="BI51" s="28">
        <v>0</v>
      </c>
      <c r="BJ51" s="72">
        <v>0</v>
      </c>
      <c r="BK51" s="74">
        <v>0</v>
      </c>
      <c r="BL51" s="780">
        <v>5</v>
      </c>
      <c r="BN51" s="712" t="s">
        <v>206</v>
      </c>
      <c r="BO51" s="71" t="s">
        <v>539</v>
      </c>
      <c r="BP51" s="28" t="s">
        <v>558</v>
      </c>
      <c r="BQ51" s="147">
        <v>4.5</v>
      </c>
      <c r="BR51" s="146">
        <v>0</v>
      </c>
      <c r="BS51" s="32">
        <v>0</v>
      </c>
      <c r="BT51" s="77">
        <v>1</v>
      </c>
      <c r="BU51" s="584">
        <v>2</v>
      </c>
      <c r="BV51" s="28">
        <v>3</v>
      </c>
      <c r="BW51" s="28">
        <v>1</v>
      </c>
      <c r="BX51" s="28">
        <v>0</v>
      </c>
      <c r="BY51" s="28">
        <v>0</v>
      </c>
      <c r="BZ51" s="28">
        <v>0</v>
      </c>
      <c r="CA51" s="106">
        <v>1.5</v>
      </c>
      <c r="CB51" s="77">
        <v>0</v>
      </c>
      <c r="CC51" s="28">
        <v>0</v>
      </c>
      <c r="CD51" s="615">
        <v>5</v>
      </c>
      <c r="CG51" s="712" t="s">
        <v>154</v>
      </c>
      <c r="CH51" s="71" t="s">
        <v>266</v>
      </c>
      <c r="CI51" s="28" t="s">
        <v>274</v>
      </c>
      <c r="CJ51" s="130">
        <v>0.75</v>
      </c>
      <c r="CK51" s="72">
        <v>0.75</v>
      </c>
      <c r="CL51" s="72">
        <v>1.5</v>
      </c>
      <c r="CM51" s="77">
        <v>1</v>
      </c>
      <c r="CN51" s="28">
        <v>4</v>
      </c>
      <c r="CO51" s="28">
        <v>1</v>
      </c>
      <c r="CP51" s="28">
        <v>3</v>
      </c>
      <c r="CQ51" s="28">
        <v>0</v>
      </c>
      <c r="CR51" s="28">
        <v>0</v>
      </c>
      <c r="CS51" s="28">
        <v>1</v>
      </c>
      <c r="CT51" s="28">
        <v>1</v>
      </c>
      <c r="CU51" s="28">
        <v>0</v>
      </c>
      <c r="CV51" s="28">
        <v>0</v>
      </c>
      <c r="CW51" s="77">
        <v>0</v>
      </c>
      <c r="CX51" s="28">
        <v>1</v>
      </c>
      <c r="CY51" s="77">
        <v>6</v>
      </c>
      <c r="CZ51" s="72">
        <v>2.25</v>
      </c>
      <c r="DA51" s="74">
        <v>0</v>
      </c>
      <c r="DB51" s="780">
        <v>5</v>
      </c>
      <c r="DD51" s="712" t="s">
        <v>206</v>
      </c>
      <c r="DE51" s="71" t="s">
        <v>539</v>
      </c>
      <c r="DF51" s="28" t="s">
        <v>558</v>
      </c>
      <c r="DG51" s="147">
        <v>0</v>
      </c>
      <c r="DH51" s="146">
        <v>0</v>
      </c>
      <c r="DI51" s="32">
        <v>0</v>
      </c>
      <c r="DJ51" s="77">
        <v>1</v>
      </c>
      <c r="DK51" s="584">
        <v>1</v>
      </c>
      <c r="DL51" s="28">
        <v>0</v>
      </c>
      <c r="DM51" s="28">
        <v>0</v>
      </c>
      <c r="DN51" s="28">
        <v>0</v>
      </c>
      <c r="DO51" s="28">
        <v>2</v>
      </c>
      <c r="DP51" s="28">
        <v>0</v>
      </c>
      <c r="DQ51" s="567">
        <v>0</v>
      </c>
      <c r="DR51" s="77">
        <v>0</v>
      </c>
      <c r="DS51" s="28">
        <v>0</v>
      </c>
      <c r="DT51" s="615">
        <v>5</v>
      </c>
    </row>
    <row r="52" spans="2:124">
      <c r="B52" s="712" t="s">
        <v>154</v>
      </c>
      <c r="C52" s="71" t="s">
        <v>394</v>
      </c>
      <c r="D52" s="28" t="s">
        <v>399</v>
      </c>
      <c r="E52" s="130">
        <v>0</v>
      </c>
      <c r="F52" s="72">
        <v>0</v>
      </c>
      <c r="G52" s="72">
        <v>0</v>
      </c>
      <c r="H52" s="77">
        <v>1</v>
      </c>
      <c r="I52" s="28">
        <v>4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2</v>
      </c>
      <c r="R52" s="77">
        <v>0</v>
      </c>
      <c r="S52" s="28">
        <v>1</v>
      </c>
      <c r="T52" s="77">
        <v>0</v>
      </c>
      <c r="U52" s="72">
        <v>0</v>
      </c>
      <c r="V52" s="74">
        <v>0</v>
      </c>
      <c r="W52" s="780">
        <v>6</v>
      </c>
      <c r="Y52" s="712" t="s">
        <v>206</v>
      </c>
      <c r="Z52" s="71" t="s">
        <v>650</v>
      </c>
      <c r="AA52" s="28" t="s">
        <v>251</v>
      </c>
      <c r="AB52" s="147">
        <v>0</v>
      </c>
      <c r="AC52" s="146">
        <v>0</v>
      </c>
      <c r="AD52" s="32">
        <v>0</v>
      </c>
      <c r="AE52" s="77">
        <v>1</v>
      </c>
      <c r="AF52" s="584">
        <v>1</v>
      </c>
      <c r="AG52" s="28">
        <v>1</v>
      </c>
      <c r="AH52" s="28">
        <v>0</v>
      </c>
      <c r="AI52" s="28">
        <v>0</v>
      </c>
      <c r="AJ52" s="28">
        <v>1</v>
      </c>
      <c r="AK52" s="28">
        <v>0</v>
      </c>
      <c r="AL52" s="89">
        <v>1</v>
      </c>
      <c r="AM52" s="28">
        <v>0</v>
      </c>
      <c r="AN52" s="28">
        <v>0</v>
      </c>
      <c r="AO52" s="615">
        <v>6</v>
      </c>
      <c r="AQ52" s="712" t="s">
        <v>179</v>
      </c>
      <c r="AR52" s="71" t="s">
        <v>502</v>
      </c>
      <c r="AS52" s="28" t="s">
        <v>504</v>
      </c>
      <c r="AT52" s="130">
        <v>0.66666666666666663</v>
      </c>
      <c r="AU52" s="72">
        <v>0.66666666666666663</v>
      </c>
      <c r="AV52" s="72">
        <v>1</v>
      </c>
      <c r="AW52" s="77">
        <v>1</v>
      </c>
      <c r="AX52" s="28">
        <v>3</v>
      </c>
      <c r="AY52" s="28">
        <v>1</v>
      </c>
      <c r="AZ52" s="28">
        <v>2</v>
      </c>
      <c r="BA52" s="28">
        <v>1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77">
        <v>0</v>
      </c>
      <c r="BH52" s="74">
        <v>1</v>
      </c>
      <c r="BI52" s="28">
        <v>3</v>
      </c>
      <c r="BJ52" s="72">
        <v>1.6666666666666665</v>
      </c>
      <c r="BK52" s="74">
        <v>1</v>
      </c>
      <c r="BL52" s="780">
        <v>6</v>
      </c>
      <c r="BN52" s="712" t="s">
        <v>206</v>
      </c>
      <c r="BO52" s="71" t="s">
        <v>685</v>
      </c>
      <c r="BP52" s="28" t="s">
        <v>687</v>
      </c>
      <c r="BQ52" s="147">
        <v>0</v>
      </c>
      <c r="BR52" s="146">
        <v>0</v>
      </c>
      <c r="BS52" s="32">
        <v>0</v>
      </c>
      <c r="BT52" s="77">
        <v>1</v>
      </c>
      <c r="BU52" s="584">
        <v>2</v>
      </c>
      <c r="BV52" s="28">
        <v>2</v>
      </c>
      <c r="BW52" s="28">
        <v>0</v>
      </c>
      <c r="BX52" s="28">
        <v>1</v>
      </c>
      <c r="BY52" s="28">
        <v>2</v>
      </c>
      <c r="BZ52" s="28">
        <v>0</v>
      </c>
      <c r="CA52" s="106">
        <v>1.5</v>
      </c>
      <c r="CB52" s="77">
        <v>0</v>
      </c>
      <c r="CC52" s="28">
        <v>0</v>
      </c>
      <c r="CD52" s="615">
        <v>6</v>
      </c>
      <c r="CG52" s="712" t="s">
        <v>174</v>
      </c>
      <c r="CH52" s="71" t="s">
        <v>266</v>
      </c>
      <c r="CI52" s="28" t="s">
        <v>271</v>
      </c>
      <c r="CJ52" s="130">
        <v>0.2</v>
      </c>
      <c r="CK52" s="72">
        <v>0.2</v>
      </c>
      <c r="CL52" s="72">
        <v>0.8</v>
      </c>
      <c r="CM52" s="77">
        <v>1</v>
      </c>
      <c r="CN52" s="28">
        <v>5</v>
      </c>
      <c r="CO52" s="28">
        <v>1</v>
      </c>
      <c r="CP52" s="28">
        <v>1</v>
      </c>
      <c r="CQ52" s="28">
        <v>0</v>
      </c>
      <c r="CR52" s="28">
        <v>0</v>
      </c>
      <c r="CS52" s="28">
        <v>1</v>
      </c>
      <c r="CT52" s="28">
        <v>1</v>
      </c>
      <c r="CU52" s="28">
        <v>0</v>
      </c>
      <c r="CV52" s="28">
        <v>1</v>
      </c>
      <c r="CW52" s="77">
        <v>0</v>
      </c>
      <c r="CX52" s="28">
        <v>1</v>
      </c>
      <c r="CY52" s="77">
        <v>4</v>
      </c>
      <c r="CZ52" s="72">
        <v>1</v>
      </c>
      <c r="DA52" s="74">
        <v>0</v>
      </c>
      <c r="DB52" s="780">
        <v>6</v>
      </c>
      <c r="DD52" s="712" t="s">
        <v>206</v>
      </c>
      <c r="DE52" s="71" t="s">
        <v>429</v>
      </c>
      <c r="DF52" s="28" t="s">
        <v>289</v>
      </c>
      <c r="DG52" s="147">
        <v>0</v>
      </c>
      <c r="DH52" s="146">
        <v>0</v>
      </c>
      <c r="DI52" s="32">
        <v>0</v>
      </c>
      <c r="DJ52" s="77">
        <v>1</v>
      </c>
      <c r="DK52" s="584">
        <v>1</v>
      </c>
      <c r="DL52" s="28">
        <v>1</v>
      </c>
      <c r="DM52" s="28">
        <v>0</v>
      </c>
      <c r="DN52" s="28">
        <v>1</v>
      </c>
      <c r="DO52" s="28">
        <v>2</v>
      </c>
      <c r="DP52" s="28">
        <v>0</v>
      </c>
      <c r="DQ52" s="566">
        <v>2</v>
      </c>
      <c r="DR52" s="77">
        <v>0</v>
      </c>
      <c r="DS52" s="28">
        <v>0</v>
      </c>
      <c r="DT52" s="615">
        <v>6</v>
      </c>
    </row>
    <row r="53" spans="2:124">
      <c r="B53" s="712" t="s">
        <v>153</v>
      </c>
      <c r="C53" s="71" t="s">
        <v>611</v>
      </c>
      <c r="D53" s="28" t="s">
        <v>612</v>
      </c>
      <c r="E53" s="130">
        <v>0</v>
      </c>
      <c r="F53" s="72">
        <v>0</v>
      </c>
      <c r="G53" s="72">
        <v>0</v>
      </c>
      <c r="H53" s="77">
        <v>1</v>
      </c>
      <c r="I53" s="28">
        <v>4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77">
        <v>0</v>
      </c>
      <c r="S53" s="28">
        <v>1</v>
      </c>
      <c r="T53" s="77">
        <v>0</v>
      </c>
      <c r="U53" s="72">
        <v>0</v>
      </c>
      <c r="V53" s="74">
        <v>0</v>
      </c>
      <c r="W53" s="780">
        <v>7</v>
      </c>
      <c r="Y53" s="712" t="s">
        <v>212</v>
      </c>
      <c r="Z53" s="71" t="s">
        <v>717</v>
      </c>
      <c r="AA53" s="28" t="s">
        <v>755</v>
      </c>
      <c r="AB53" s="147">
        <v>0</v>
      </c>
      <c r="AC53" s="146">
        <v>0</v>
      </c>
      <c r="AD53" s="32">
        <v>0</v>
      </c>
      <c r="AE53" s="77">
        <v>1</v>
      </c>
      <c r="AF53" s="584">
        <v>1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89">
        <v>0</v>
      </c>
      <c r="AM53" s="28">
        <v>0</v>
      </c>
      <c r="AN53" s="28">
        <v>0</v>
      </c>
      <c r="AO53" s="615">
        <v>7</v>
      </c>
      <c r="AQ53" s="712" t="s">
        <v>153</v>
      </c>
      <c r="AR53" s="71" t="s">
        <v>611</v>
      </c>
      <c r="AS53" s="28" t="s">
        <v>612</v>
      </c>
      <c r="AT53" s="130">
        <v>0.33333333333333331</v>
      </c>
      <c r="AU53" s="72">
        <v>0.33333333333333331</v>
      </c>
      <c r="AV53" s="72">
        <v>0.33333333333333331</v>
      </c>
      <c r="AW53" s="77">
        <v>1</v>
      </c>
      <c r="AX53" s="28">
        <v>3</v>
      </c>
      <c r="AY53" s="28">
        <v>0</v>
      </c>
      <c r="AZ53" s="28">
        <v>1</v>
      </c>
      <c r="BA53" s="28">
        <v>0</v>
      </c>
      <c r="BB53" s="28">
        <v>0</v>
      </c>
      <c r="BC53" s="28">
        <v>0</v>
      </c>
      <c r="BD53" s="28">
        <v>1</v>
      </c>
      <c r="BE53" s="28">
        <v>0</v>
      </c>
      <c r="BF53" s="28">
        <v>0</v>
      </c>
      <c r="BG53" s="77">
        <v>0</v>
      </c>
      <c r="BH53" s="74">
        <v>1</v>
      </c>
      <c r="BI53" s="28">
        <v>1</v>
      </c>
      <c r="BJ53" s="72">
        <v>0.66666666666666663</v>
      </c>
      <c r="BK53" s="74">
        <v>0</v>
      </c>
      <c r="BL53" s="780">
        <v>7</v>
      </c>
      <c r="BN53" s="712" t="s">
        <v>212</v>
      </c>
      <c r="BO53" s="71" t="s">
        <v>165</v>
      </c>
      <c r="BP53" s="28" t="s">
        <v>207</v>
      </c>
      <c r="BQ53" s="147">
        <v>0</v>
      </c>
      <c r="BR53" s="146">
        <v>0</v>
      </c>
      <c r="BS53" s="32">
        <v>0</v>
      </c>
      <c r="BT53" s="77">
        <v>1</v>
      </c>
      <c r="BU53" s="584">
        <v>1</v>
      </c>
      <c r="BV53" s="28">
        <v>1</v>
      </c>
      <c r="BW53" s="28">
        <v>0</v>
      </c>
      <c r="BX53" s="28">
        <v>0</v>
      </c>
      <c r="BY53" s="28">
        <v>0</v>
      </c>
      <c r="BZ53" s="28">
        <v>0</v>
      </c>
      <c r="CA53" s="106">
        <v>1</v>
      </c>
      <c r="CB53" s="77">
        <v>0</v>
      </c>
      <c r="CC53" s="28">
        <v>0</v>
      </c>
      <c r="CD53" s="615">
        <v>7</v>
      </c>
      <c r="CG53" s="712" t="s">
        <v>181</v>
      </c>
      <c r="CH53" s="71" t="s">
        <v>717</v>
      </c>
      <c r="CI53" s="28" t="s">
        <v>723</v>
      </c>
      <c r="CJ53" s="130">
        <v>0.5</v>
      </c>
      <c r="CK53" s="72">
        <v>0.6</v>
      </c>
      <c r="CL53" s="72">
        <v>0.5</v>
      </c>
      <c r="CM53" s="77">
        <v>1</v>
      </c>
      <c r="CN53" s="28">
        <v>4</v>
      </c>
      <c r="CO53" s="28">
        <v>0</v>
      </c>
      <c r="CP53" s="28">
        <v>2</v>
      </c>
      <c r="CQ53" s="28">
        <v>0</v>
      </c>
      <c r="CR53" s="28">
        <v>0</v>
      </c>
      <c r="CS53" s="28">
        <v>0</v>
      </c>
      <c r="CT53" s="28">
        <v>0</v>
      </c>
      <c r="CU53" s="28">
        <v>1</v>
      </c>
      <c r="CV53" s="28">
        <v>1</v>
      </c>
      <c r="CW53" s="77">
        <v>1</v>
      </c>
      <c r="CX53" s="28">
        <v>1</v>
      </c>
      <c r="CY53" s="77">
        <v>2</v>
      </c>
      <c r="CZ53" s="72">
        <v>1.1000000000000001</v>
      </c>
      <c r="DA53" s="74">
        <v>0</v>
      </c>
      <c r="DB53" s="780">
        <v>7</v>
      </c>
      <c r="DD53" s="712" t="s">
        <v>212</v>
      </c>
      <c r="DE53" s="71" t="s">
        <v>266</v>
      </c>
      <c r="DF53" s="28" t="s">
        <v>296</v>
      </c>
      <c r="DG53" s="147">
        <v>0</v>
      </c>
      <c r="DH53" s="146">
        <v>0</v>
      </c>
      <c r="DI53" s="32">
        <v>0</v>
      </c>
      <c r="DJ53" s="77">
        <v>1</v>
      </c>
      <c r="DK53" s="584">
        <v>1</v>
      </c>
      <c r="DL53" s="28">
        <v>1</v>
      </c>
      <c r="DM53" s="28">
        <v>0</v>
      </c>
      <c r="DN53" s="28">
        <v>0</v>
      </c>
      <c r="DO53" s="28">
        <v>1</v>
      </c>
      <c r="DP53" s="28">
        <v>0</v>
      </c>
      <c r="DQ53" s="567">
        <v>1</v>
      </c>
      <c r="DR53" s="77">
        <v>0</v>
      </c>
      <c r="DS53" s="28">
        <v>0</v>
      </c>
      <c r="DT53" s="615">
        <v>7</v>
      </c>
    </row>
    <row r="54" spans="2:124">
      <c r="B54" s="712" t="s">
        <v>172</v>
      </c>
      <c r="C54" s="71" t="s">
        <v>502</v>
      </c>
      <c r="D54" s="28" t="s">
        <v>503</v>
      </c>
      <c r="E54" s="130">
        <v>0.66666666666666663</v>
      </c>
      <c r="F54" s="72">
        <v>0.75</v>
      </c>
      <c r="G54" s="72">
        <v>0.66666666666666663</v>
      </c>
      <c r="H54" s="77">
        <v>1</v>
      </c>
      <c r="I54" s="28">
        <v>3</v>
      </c>
      <c r="J54" s="28">
        <v>0</v>
      </c>
      <c r="K54" s="28">
        <v>2</v>
      </c>
      <c r="L54" s="28">
        <v>0</v>
      </c>
      <c r="M54" s="28">
        <v>0</v>
      </c>
      <c r="N54" s="28">
        <v>0</v>
      </c>
      <c r="O54" s="28">
        <v>1</v>
      </c>
      <c r="P54" s="28">
        <v>1</v>
      </c>
      <c r="Q54" s="28">
        <v>0</v>
      </c>
      <c r="R54" s="77">
        <v>0</v>
      </c>
      <c r="S54" s="28">
        <v>1</v>
      </c>
      <c r="T54" s="77">
        <v>2</v>
      </c>
      <c r="U54" s="72">
        <v>1.4166666666666665</v>
      </c>
      <c r="V54" s="74">
        <v>0</v>
      </c>
      <c r="W54" s="780">
        <v>8</v>
      </c>
      <c r="Y54" s="712" t="s">
        <v>212</v>
      </c>
      <c r="Z54" s="71" t="s">
        <v>611</v>
      </c>
      <c r="AA54" s="28" t="s">
        <v>644</v>
      </c>
      <c r="AB54" s="147">
        <v>0</v>
      </c>
      <c r="AC54" s="146">
        <v>0</v>
      </c>
      <c r="AD54" s="32">
        <v>0</v>
      </c>
      <c r="AE54" s="77">
        <v>1</v>
      </c>
      <c r="AF54" s="584">
        <v>0.3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89">
        <v>0</v>
      </c>
      <c r="AM54" s="28">
        <v>0</v>
      </c>
      <c r="AN54" s="28">
        <v>0</v>
      </c>
      <c r="AO54" s="615">
        <v>8</v>
      </c>
      <c r="AQ54" s="712" t="s">
        <v>177</v>
      </c>
      <c r="AR54" s="71" t="s">
        <v>650</v>
      </c>
      <c r="AS54" s="28" t="s">
        <v>652</v>
      </c>
      <c r="AT54" s="130">
        <v>0</v>
      </c>
      <c r="AU54" s="72">
        <v>0</v>
      </c>
      <c r="AV54" s="72">
        <v>0</v>
      </c>
      <c r="AW54" s="77">
        <v>1</v>
      </c>
      <c r="AX54" s="28">
        <v>3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3</v>
      </c>
      <c r="BG54" s="77">
        <v>0</v>
      </c>
      <c r="BH54" s="74">
        <v>0</v>
      </c>
      <c r="BI54" s="28">
        <v>0</v>
      </c>
      <c r="BJ54" s="72">
        <v>0</v>
      </c>
      <c r="BK54" s="74">
        <v>0</v>
      </c>
      <c r="BL54" s="780">
        <v>8</v>
      </c>
      <c r="BN54" s="712" t="s">
        <v>212</v>
      </c>
      <c r="BO54" s="71" t="s">
        <v>580</v>
      </c>
      <c r="BP54" s="28" t="s">
        <v>597</v>
      </c>
      <c r="BQ54" s="147">
        <v>0</v>
      </c>
      <c r="BR54" s="146">
        <v>0</v>
      </c>
      <c r="BS54" s="32">
        <v>0</v>
      </c>
      <c r="BT54" s="77">
        <v>1</v>
      </c>
      <c r="BU54" s="584">
        <v>1</v>
      </c>
      <c r="BV54" s="28">
        <v>1</v>
      </c>
      <c r="BW54" s="28">
        <v>0</v>
      </c>
      <c r="BX54" s="28">
        <v>0</v>
      </c>
      <c r="BY54" s="28">
        <v>1</v>
      </c>
      <c r="BZ54" s="28">
        <v>2</v>
      </c>
      <c r="CA54" s="106">
        <v>1</v>
      </c>
      <c r="CB54" s="77">
        <v>0</v>
      </c>
      <c r="CC54" s="28">
        <v>0</v>
      </c>
      <c r="CD54" s="615">
        <v>8</v>
      </c>
      <c r="CG54" s="712" t="s">
        <v>166</v>
      </c>
      <c r="CH54" s="71" t="s">
        <v>429</v>
      </c>
      <c r="CI54" s="28" t="s">
        <v>431</v>
      </c>
      <c r="CJ54" s="130">
        <v>0</v>
      </c>
      <c r="CK54" s="72">
        <v>0</v>
      </c>
      <c r="CL54" s="72">
        <v>0</v>
      </c>
      <c r="CM54" s="77">
        <v>1</v>
      </c>
      <c r="CN54" s="28">
        <v>5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2</v>
      </c>
      <c r="CW54" s="77">
        <v>0</v>
      </c>
      <c r="CX54" s="28">
        <v>0</v>
      </c>
      <c r="CY54" s="77">
        <v>0</v>
      </c>
      <c r="CZ54" s="72">
        <v>0</v>
      </c>
      <c r="DA54" s="74">
        <v>0</v>
      </c>
      <c r="DB54" s="780">
        <v>8</v>
      </c>
      <c r="DD54" s="712" t="s">
        <v>212</v>
      </c>
      <c r="DE54" s="71" t="s">
        <v>165</v>
      </c>
      <c r="DF54" s="28" t="s">
        <v>222</v>
      </c>
      <c r="DG54" s="147">
        <v>0</v>
      </c>
      <c r="DH54" s="146">
        <v>0</v>
      </c>
      <c r="DI54" s="32">
        <v>0</v>
      </c>
      <c r="DJ54" s="77">
        <v>1</v>
      </c>
      <c r="DK54" s="584">
        <v>1</v>
      </c>
      <c r="DL54" s="28">
        <v>1</v>
      </c>
      <c r="DM54" s="28">
        <v>0</v>
      </c>
      <c r="DN54" s="28">
        <v>0</v>
      </c>
      <c r="DO54" s="28">
        <v>0</v>
      </c>
      <c r="DP54" s="28">
        <v>1</v>
      </c>
      <c r="DQ54" s="566">
        <v>1</v>
      </c>
      <c r="DR54" s="77">
        <v>0</v>
      </c>
      <c r="DS54" s="28">
        <v>0</v>
      </c>
      <c r="DT54" s="615">
        <v>8</v>
      </c>
    </row>
    <row r="55" spans="2:124">
      <c r="B55" s="712" t="s">
        <v>179</v>
      </c>
      <c r="C55" s="71" t="s">
        <v>339</v>
      </c>
      <c r="D55" s="28" t="s">
        <v>346</v>
      </c>
      <c r="E55" s="130">
        <v>0</v>
      </c>
      <c r="F55" s="72">
        <v>0.25</v>
      </c>
      <c r="G55" s="72">
        <v>0</v>
      </c>
      <c r="H55" s="77">
        <v>1</v>
      </c>
      <c r="I55" s="28">
        <v>3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1</v>
      </c>
      <c r="Q55" s="28">
        <v>2</v>
      </c>
      <c r="R55" s="77">
        <v>0</v>
      </c>
      <c r="S55" s="28">
        <v>0</v>
      </c>
      <c r="T55" s="77">
        <v>0</v>
      </c>
      <c r="U55" s="72">
        <v>0.25</v>
      </c>
      <c r="V55" s="74">
        <v>0</v>
      </c>
      <c r="W55" s="780">
        <v>9</v>
      </c>
      <c r="Y55" s="712" t="s">
        <v>212</v>
      </c>
      <c r="Z55" s="71" t="s">
        <v>429</v>
      </c>
      <c r="AA55" s="28" t="s">
        <v>227</v>
      </c>
      <c r="AB55" s="147">
        <v>18</v>
      </c>
      <c r="AC55" s="146">
        <v>0</v>
      </c>
      <c r="AD55" s="32">
        <v>0</v>
      </c>
      <c r="AE55" s="77">
        <v>1</v>
      </c>
      <c r="AF55" s="584">
        <v>1</v>
      </c>
      <c r="AG55" s="28">
        <v>3</v>
      </c>
      <c r="AH55" s="28">
        <v>2</v>
      </c>
      <c r="AI55" s="28">
        <v>0</v>
      </c>
      <c r="AJ55" s="28">
        <v>3</v>
      </c>
      <c r="AK55" s="28">
        <v>0</v>
      </c>
      <c r="AL55" s="89">
        <v>3</v>
      </c>
      <c r="AM55" s="28">
        <v>0</v>
      </c>
      <c r="AN55" s="28">
        <v>0</v>
      </c>
      <c r="AO55" s="615">
        <v>9</v>
      </c>
      <c r="AQ55" s="712" t="s">
        <v>181</v>
      </c>
      <c r="AR55" s="71" t="s">
        <v>226</v>
      </c>
      <c r="AS55" s="28" t="s">
        <v>229</v>
      </c>
      <c r="AT55" s="130">
        <v>0</v>
      </c>
      <c r="AU55" s="72">
        <v>0</v>
      </c>
      <c r="AV55" s="72">
        <v>0</v>
      </c>
      <c r="AW55" s="77">
        <v>1</v>
      </c>
      <c r="AX55" s="28">
        <v>3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</v>
      </c>
      <c r="BG55" s="77">
        <v>0</v>
      </c>
      <c r="BH55" s="74">
        <v>0</v>
      </c>
      <c r="BI55" s="28">
        <v>0</v>
      </c>
      <c r="BJ55" s="72">
        <v>0</v>
      </c>
      <c r="BK55" s="74">
        <v>0</v>
      </c>
      <c r="BL55" s="780">
        <v>9</v>
      </c>
      <c r="BN55" s="712" t="s">
        <v>212</v>
      </c>
      <c r="BO55" s="71" t="s">
        <v>226</v>
      </c>
      <c r="BP55" s="28" t="s">
        <v>262</v>
      </c>
      <c r="BQ55" s="147">
        <v>0</v>
      </c>
      <c r="BR55" s="146">
        <v>0</v>
      </c>
      <c r="BS55" s="32">
        <v>0</v>
      </c>
      <c r="BT55" s="77">
        <v>1</v>
      </c>
      <c r="BU55" s="584">
        <v>1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106">
        <v>0</v>
      </c>
      <c r="CB55" s="77">
        <v>0</v>
      </c>
      <c r="CC55" s="28">
        <v>0</v>
      </c>
      <c r="CD55" s="615">
        <v>9</v>
      </c>
      <c r="CG55" s="712" t="s">
        <v>168</v>
      </c>
      <c r="CH55" s="71" t="s">
        <v>394</v>
      </c>
      <c r="CI55" s="28" t="s">
        <v>395</v>
      </c>
      <c r="CJ55" s="130">
        <v>0.33333333333333331</v>
      </c>
      <c r="CK55" s="72">
        <v>0.6</v>
      </c>
      <c r="CL55" s="72">
        <v>0.33333333333333331</v>
      </c>
      <c r="CM55" s="77">
        <v>1</v>
      </c>
      <c r="CN55" s="28">
        <v>3</v>
      </c>
      <c r="CO55" s="28">
        <v>1</v>
      </c>
      <c r="CP55" s="28">
        <v>1</v>
      </c>
      <c r="CQ55" s="28">
        <v>0</v>
      </c>
      <c r="CR55" s="28">
        <v>0</v>
      </c>
      <c r="CS55" s="28">
        <v>0</v>
      </c>
      <c r="CT55" s="28">
        <v>0</v>
      </c>
      <c r="CU55" s="28">
        <v>2</v>
      </c>
      <c r="CV55" s="28">
        <v>0</v>
      </c>
      <c r="CW55" s="77">
        <v>0</v>
      </c>
      <c r="CX55" s="28">
        <v>1</v>
      </c>
      <c r="CY55" s="77">
        <v>1</v>
      </c>
      <c r="CZ55" s="72">
        <v>0.93333333333333335</v>
      </c>
      <c r="DA55" s="74">
        <v>0</v>
      </c>
      <c r="DB55" s="780">
        <v>9</v>
      </c>
      <c r="DD55" s="712" t="s">
        <v>212</v>
      </c>
      <c r="DE55" s="71" t="s">
        <v>580</v>
      </c>
      <c r="DF55" s="28" t="s">
        <v>607</v>
      </c>
      <c r="DG55" s="147">
        <v>0</v>
      </c>
      <c r="DH55" s="146">
        <v>0</v>
      </c>
      <c r="DI55" s="32">
        <v>0</v>
      </c>
      <c r="DJ55" s="77">
        <v>1</v>
      </c>
      <c r="DK55" s="584">
        <v>1</v>
      </c>
      <c r="DL55" s="28">
        <v>0</v>
      </c>
      <c r="DM55" s="28">
        <v>0</v>
      </c>
      <c r="DN55" s="28">
        <v>1</v>
      </c>
      <c r="DO55" s="28">
        <v>0</v>
      </c>
      <c r="DP55" s="28">
        <v>0</v>
      </c>
      <c r="DQ55" s="567">
        <v>1</v>
      </c>
      <c r="DR55" s="77">
        <v>0</v>
      </c>
      <c r="DS55" s="28">
        <v>0</v>
      </c>
      <c r="DT55" s="615">
        <v>9</v>
      </c>
    </row>
    <row r="56" spans="2:124">
      <c r="B56" s="712" t="s">
        <v>1917</v>
      </c>
      <c r="C56" s="71" t="s">
        <v>580</v>
      </c>
      <c r="D56" s="28" t="s">
        <v>583</v>
      </c>
      <c r="E56" s="130">
        <v>0.2</v>
      </c>
      <c r="F56" s="72">
        <v>0.33333333333333331</v>
      </c>
      <c r="G56" s="72">
        <v>0.2</v>
      </c>
      <c r="H56" s="77">
        <v>1</v>
      </c>
      <c r="I56" s="28">
        <v>5</v>
      </c>
      <c r="J56" s="28">
        <v>0</v>
      </c>
      <c r="K56" s="28">
        <v>1</v>
      </c>
      <c r="L56" s="28">
        <v>0</v>
      </c>
      <c r="M56" s="28">
        <v>0</v>
      </c>
      <c r="N56" s="28">
        <v>0</v>
      </c>
      <c r="O56" s="28">
        <v>0</v>
      </c>
      <c r="P56" s="28">
        <v>1</v>
      </c>
      <c r="Q56" s="28">
        <v>1</v>
      </c>
      <c r="R56" s="77">
        <v>0</v>
      </c>
      <c r="S56" s="28">
        <v>1</v>
      </c>
      <c r="T56" s="77">
        <v>1</v>
      </c>
      <c r="U56" s="72">
        <v>0.53333333333333333</v>
      </c>
      <c r="V56" s="74">
        <v>0</v>
      </c>
      <c r="W56" s="780">
        <v>10</v>
      </c>
      <c r="Y56" s="712" t="s">
        <v>212</v>
      </c>
      <c r="Z56" s="71" t="s">
        <v>394</v>
      </c>
      <c r="AA56" s="28" t="s">
        <v>425</v>
      </c>
      <c r="AB56" s="147">
        <v>9</v>
      </c>
      <c r="AC56" s="146">
        <v>0</v>
      </c>
      <c r="AD56" s="32">
        <v>0</v>
      </c>
      <c r="AE56" s="77">
        <v>1</v>
      </c>
      <c r="AF56" s="584">
        <v>1</v>
      </c>
      <c r="AG56" s="28">
        <v>2</v>
      </c>
      <c r="AH56" s="28">
        <v>1</v>
      </c>
      <c r="AI56" s="28">
        <v>0</v>
      </c>
      <c r="AJ56" s="28">
        <v>1</v>
      </c>
      <c r="AK56" s="28">
        <v>0</v>
      </c>
      <c r="AL56" s="89">
        <v>2</v>
      </c>
      <c r="AM56" s="28">
        <v>0</v>
      </c>
      <c r="AN56" s="28">
        <v>0</v>
      </c>
      <c r="AO56" s="615">
        <v>10</v>
      </c>
      <c r="AQ56" s="712" t="s">
        <v>1917</v>
      </c>
      <c r="AR56" s="71" t="s">
        <v>580</v>
      </c>
      <c r="AS56" s="28" t="s">
        <v>583</v>
      </c>
      <c r="AT56" s="130">
        <v>0.25</v>
      </c>
      <c r="AU56" s="72">
        <v>0.25</v>
      </c>
      <c r="AV56" s="72">
        <v>0.5</v>
      </c>
      <c r="AW56" s="77">
        <v>1</v>
      </c>
      <c r="AX56" s="28">
        <v>4</v>
      </c>
      <c r="AY56" s="28">
        <v>0</v>
      </c>
      <c r="AZ56" s="28">
        <v>1</v>
      </c>
      <c r="BA56" s="28">
        <v>1</v>
      </c>
      <c r="BB56" s="28">
        <v>0</v>
      </c>
      <c r="BC56" s="28">
        <v>0</v>
      </c>
      <c r="BD56" s="28">
        <v>0</v>
      </c>
      <c r="BE56" s="28">
        <v>0</v>
      </c>
      <c r="BF56" s="28">
        <v>1</v>
      </c>
      <c r="BG56" s="77">
        <v>0</v>
      </c>
      <c r="BH56" s="74">
        <v>1</v>
      </c>
      <c r="BI56" s="28">
        <v>2</v>
      </c>
      <c r="BJ56" s="72">
        <v>0.75</v>
      </c>
      <c r="BK56" s="74">
        <v>0</v>
      </c>
      <c r="BL56" s="780">
        <v>10</v>
      </c>
      <c r="BN56" s="712" t="s">
        <v>212</v>
      </c>
      <c r="BO56" s="71" t="s">
        <v>429</v>
      </c>
      <c r="BP56" s="28" t="s">
        <v>227</v>
      </c>
      <c r="BQ56" s="147">
        <v>0</v>
      </c>
      <c r="BR56" s="146">
        <v>0</v>
      </c>
      <c r="BS56" s="32">
        <v>0</v>
      </c>
      <c r="BT56" s="77">
        <v>1</v>
      </c>
      <c r="BU56" s="584">
        <v>1</v>
      </c>
      <c r="BV56" s="28">
        <v>1</v>
      </c>
      <c r="BW56" s="28">
        <v>0</v>
      </c>
      <c r="BX56" s="28">
        <v>1</v>
      </c>
      <c r="BY56" s="28">
        <v>1</v>
      </c>
      <c r="BZ56" s="28">
        <v>1</v>
      </c>
      <c r="CA56" s="106">
        <v>2</v>
      </c>
      <c r="CB56" s="77">
        <v>0</v>
      </c>
      <c r="CC56" s="28">
        <v>0</v>
      </c>
      <c r="CD56" s="615">
        <v>10</v>
      </c>
      <c r="CG56" s="712" t="s">
        <v>1915</v>
      </c>
      <c r="CH56" s="71" t="s">
        <v>429</v>
      </c>
      <c r="CI56" s="28" t="s">
        <v>436</v>
      </c>
      <c r="CJ56" s="130">
        <v>0.25</v>
      </c>
      <c r="CK56" s="72">
        <v>0.4</v>
      </c>
      <c r="CL56" s="72">
        <v>0.25</v>
      </c>
      <c r="CM56" s="77">
        <v>1</v>
      </c>
      <c r="CN56" s="28">
        <v>4</v>
      </c>
      <c r="CO56" s="28">
        <v>1</v>
      </c>
      <c r="CP56" s="28">
        <v>1</v>
      </c>
      <c r="CQ56" s="28">
        <v>0</v>
      </c>
      <c r="CR56" s="28">
        <v>0</v>
      </c>
      <c r="CS56" s="28">
        <v>0</v>
      </c>
      <c r="CT56" s="28">
        <v>1</v>
      </c>
      <c r="CU56" s="28">
        <v>1</v>
      </c>
      <c r="CV56" s="28">
        <v>1</v>
      </c>
      <c r="CW56" s="77">
        <v>0</v>
      </c>
      <c r="CX56" s="28">
        <v>1</v>
      </c>
      <c r="CY56" s="77">
        <v>1</v>
      </c>
      <c r="CZ56" s="72">
        <v>0.65</v>
      </c>
      <c r="DA56" s="74">
        <v>0</v>
      </c>
      <c r="DB56" s="780">
        <v>10</v>
      </c>
      <c r="DD56" s="712" t="s">
        <v>212</v>
      </c>
      <c r="DE56" s="71" t="s">
        <v>502</v>
      </c>
      <c r="DF56" s="28" t="s">
        <v>535</v>
      </c>
      <c r="DG56" s="147">
        <v>0</v>
      </c>
      <c r="DH56" s="146">
        <v>0</v>
      </c>
      <c r="DI56" s="32">
        <v>0</v>
      </c>
      <c r="DJ56" s="77">
        <v>1</v>
      </c>
      <c r="DK56" s="584">
        <v>1</v>
      </c>
      <c r="DL56" s="28">
        <v>1</v>
      </c>
      <c r="DM56" s="28">
        <v>0</v>
      </c>
      <c r="DN56" s="28">
        <v>1</v>
      </c>
      <c r="DO56" s="28">
        <v>1</v>
      </c>
      <c r="DP56" s="28">
        <v>0</v>
      </c>
      <c r="DQ56" s="566">
        <v>2</v>
      </c>
      <c r="DR56" s="77">
        <v>0</v>
      </c>
      <c r="DS56" s="28">
        <v>0</v>
      </c>
      <c r="DT56" s="615">
        <v>10</v>
      </c>
    </row>
    <row r="57" spans="2:124">
      <c r="B57" s="712" t="s">
        <v>1919</v>
      </c>
      <c r="C57" s="71" t="s">
        <v>580</v>
      </c>
      <c r="D57" s="28" t="s">
        <v>582</v>
      </c>
      <c r="E57" s="130">
        <v>0.4</v>
      </c>
      <c r="F57" s="72">
        <v>0.4</v>
      </c>
      <c r="G57" s="72">
        <v>0.4</v>
      </c>
      <c r="H57" s="77">
        <v>1</v>
      </c>
      <c r="I57" s="28">
        <v>5</v>
      </c>
      <c r="J57" s="28">
        <v>0</v>
      </c>
      <c r="K57" s="28">
        <v>2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1</v>
      </c>
      <c r="R57" s="77">
        <v>0</v>
      </c>
      <c r="S57" s="28">
        <v>0</v>
      </c>
      <c r="T57" s="77">
        <v>2</v>
      </c>
      <c r="U57" s="72">
        <v>0.8</v>
      </c>
      <c r="V57" s="74">
        <v>0</v>
      </c>
      <c r="W57" s="780">
        <v>11</v>
      </c>
      <c r="Y57" s="712" t="s">
        <v>212</v>
      </c>
      <c r="Z57" s="71" t="s">
        <v>539</v>
      </c>
      <c r="AA57" s="28" t="s">
        <v>569</v>
      </c>
      <c r="AB57" s="147">
        <v>13.432835820895521</v>
      </c>
      <c r="AC57" s="146">
        <v>0</v>
      </c>
      <c r="AD57" s="32">
        <v>0</v>
      </c>
      <c r="AE57" s="77">
        <v>1</v>
      </c>
      <c r="AF57" s="584">
        <v>0.67</v>
      </c>
      <c r="AG57" s="28">
        <v>2</v>
      </c>
      <c r="AH57" s="28">
        <v>1</v>
      </c>
      <c r="AI57" s="28">
        <v>0</v>
      </c>
      <c r="AJ57" s="28">
        <v>1</v>
      </c>
      <c r="AK57" s="28">
        <v>0</v>
      </c>
      <c r="AL57" s="89">
        <v>2.9850746268656714</v>
      </c>
      <c r="AM57" s="28">
        <v>0</v>
      </c>
      <c r="AN57" s="28">
        <v>0</v>
      </c>
      <c r="AO57" s="615">
        <v>11</v>
      </c>
      <c r="AQ57" s="712" t="s">
        <v>1919</v>
      </c>
      <c r="AR57" s="71" t="s">
        <v>580</v>
      </c>
      <c r="AS57" s="28" t="s">
        <v>582</v>
      </c>
      <c r="AT57" s="130">
        <v>0</v>
      </c>
      <c r="AU57" s="72">
        <v>0</v>
      </c>
      <c r="AV57" s="72">
        <v>0</v>
      </c>
      <c r="AW57" s="77">
        <v>1</v>
      </c>
      <c r="AX57" s="28">
        <v>4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3</v>
      </c>
      <c r="BG57" s="77">
        <v>0</v>
      </c>
      <c r="BH57" s="74">
        <v>0</v>
      </c>
      <c r="BI57" s="28">
        <v>0</v>
      </c>
      <c r="BJ57" s="72">
        <v>0</v>
      </c>
      <c r="BK57" s="74">
        <v>0</v>
      </c>
      <c r="BL57" s="780">
        <v>11</v>
      </c>
      <c r="BN57" s="712" t="s">
        <v>212</v>
      </c>
      <c r="BO57" s="71" t="s">
        <v>717</v>
      </c>
      <c r="BP57" s="28" t="s">
        <v>755</v>
      </c>
      <c r="BQ57" s="147">
        <v>0</v>
      </c>
      <c r="BR57" s="146">
        <v>0</v>
      </c>
      <c r="BS57" s="32">
        <v>0</v>
      </c>
      <c r="BT57" s="77">
        <v>1</v>
      </c>
      <c r="BU57" s="584">
        <v>1</v>
      </c>
      <c r="BV57" s="28">
        <v>0</v>
      </c>
      <c r="BW57" s="28">
        <v>0</v>
      </c>
      <c r="BX57" s="28">
        <v>0</v>
      </c>
      <c r="BY57" s="28">
        <v>1</v>
      </c>
      <c r="BZ57" s="28">
        <v>0</v>
      </c>
      <c r="CA57" s="106">
        <v>0</v>
      </c>
      <c r="CB57" s="77">
        <v>0</v>
      </c>
      <c r="CC57" s="28">
        <v>0</v>
      </c>
      <c r="CD57" s="615">
        <v>11</v>
      </c>
      <c r="CG57" s="712" t="s">
        <v>1916</v>
      </c>
      <c r="CH57" s="71" t="s">
        <v>717</v>
      </c>
      <c r="CI57" s="28" t="s">
        <v>720</v>
      </c>
      <c r="CJ57" s="130">
        <v>0</v>
      </c>
      <c r="CK57" s="72">
        <v>0.25</v>
      </c>
      <c r="CL57" s="72">
        <v>0</v>
      </c>
      <c r="CM57" s="77">
        <v>1</v>
      </c>
      <c r="CN57" s="28">
        <v>3</v>
      </c>
      <c r="CO57" s="28">
        <v>0</v>
      </c>
      <c r="CP57" s="28">
        <v>0</v>
      </c>
      <c r="CQ57" s="28">
        <v>0</v>
      </c>
      <c r="CR57" s="28">
        <v>0</v>
      </c>
      <c r="CS57" s="28">
        <v>0</v>
      </c>
      <c r="CT57" s="28">
        <v>1</v>
      </c>
      <c r="CU57" s="28">
        <v>1</v>
      </c>
      <c r="CV57" s="28">
        <v>1</v>
      </c>
      <c r="CW57" s="77">
        <v>0</v>
      </c>
      <c r="CX57" s="28">
        <v>0</v>
      </c>
      <c r="CY57" s="77">
        <v>0</v>
      </c>
      <c r="CZ57" s="72">
        <v>0.25</v>
      </c>
      <c r="DA57" s="74">
        <v>0</v>
      </c>
      <c r="DB57" s="780">
        <v>11</v>
      </c>
      <c r="DD57" s="712" t="s">
        <v>212</v>
      </c>
      <c r="DE57" s="71" t="s">
        <v>394</v>
      </c>
      <c r="DF57" s="28" t="s">
        <v>425</v>
      </c>
      <c r="DG57" s="147">
        <v>0</v>
      </c>
      <c r="DH57" s="146">
        <v>0</v>
      </c>
      <c r="DI57" s="32">
        <v>0</v>
      </c>
      <c r="DJ57" s="77">
        <v>1</v>
      </c>
      <c r="DK57" s="584">
        <v>1</v>
      </c>
      <c r="DL57" s="28">
        <v>0</v>
      </c>
      <c r="DM57" s="28">
        <v>0</v>
      </c>
      <c r="DN57" s="28">
        <v>0</v>
      </c>
      <c r="DO57" s="28">
        <v>2</v>
      </c>
      <c r="DP57" s="28">
        <v>1</v>
      </c>
      <c r="DQ57" s="567">
        <v>0</v>
      </c>
      <c r="DR57" s="77">
        <v>0</v>
      </c>
      <c r="DS57" s="28">
        <v>0</v>
      </c>
      <c r="DT57" s="615">
        <v>11</v>
      </c>
    </row>
    <row r="58" spans="2:124" ht="17" thickBot="1">
      <c r="B58" s="712" t="s">
        <v>1921</v>
      </c>
      <c r="C58" s="71" t="s">
        <v>611</v>
      </c>
      <c r="D58" s="28" t="s">
        <v>614</v>
      </c>
      <c r="E58" s="130">
        <v>0.2</v>
      </c>
      <c r="F58" s="72">
        <v>0.2</v>
      </c>
      <c r="G58" s="72">
        <v>0.4</v>
      </c>
      <c r="H58" s="77">
        <v>1</v>
      </c>
      <c r="I58" s="28">
        <v>5</v>
      </c>
      <c r="J58" s="28">
        <v>0</v>
      </c>
      <c r="K58" s="28">
        <v>1</v>
      </c>
      <c r="L58" s="28">
        <v>1</v>
      </c>
      <c r="M58" s="28">
        <v>0</v>
      </c>
      <c r="N58" s="28">
        <v>0</v>
      </c>
      <c r="O58" s="28">
        <v>0</v>
      </c>
      <c r="P58" s="28">
        <v>0</v>
      </c>
      <c r="Q58" s="28">
        <v>2</v>
      </c>
      <c r="R58" s="77">
        <v>0</v>
      </c>
      <c r="S58" s="28">
        <v>0</v>
      </c>
      <c r="T58" s="77">
        <v>2</v>
      </c>
      <c r="U58" s="72">
        <v>0.60000000000000009</v>
      </c>
      <c r="V58" s="74">
        <v>0</v>
      </c>
      <c r="W58" s="780">
        <v>12</v>
      </c>
      <c r="Y58" s="712" t="s">
        <v>212</v>
      </c>
      <c r="Z58" s="78" t="s">
        <v>717</v>
      </c>
      <c r="AA58" s="28" t="s">
        <v>756</v>
      </c>
      <c r="AB58" s="147">
        <v>0</v>
      </c>
      <c r="AC58" s="146">
        <v>0</v>
      </c>
      <c r="AD58" s="32">
        <v>0</v>
      </c>
      <c r="AE58" s="77">
        <v>1</v>
      </c>
      <c r="AF58" s="584">
        <v>1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89">
        <v>0</v>
      </c>
      <c r="AM58" s="28">
        <v>0</v>
      </c>
      <c r="AN58" s="28">
        <v>0</v>
      </c>
      <c r="AO58" s="615">
        <v>12</v>
      </c>
      <c r="AQ58" s="712" t="s">
        <v>1922</v>
      </c>
      <c r="AR58" s="71" t="s">
        <v>685</v>
      </c>
      <c r="AS58" s="28" t="s">
        <v>687</v>
      </c>
      <c r="AT58" s="130">
        <v>0.25</v>
      </c>
      <c r="AU58" s="72">
        <v>0.25</v>
      </c>
      <c r="AV58" s="72">
        <v>0.5</v>
      </c>
      <c r="AW58" s="77">
        <v>1</v>
      </c>
      <c r="AX58" s="28">
        <v>4</v>
      </c>
      <c r="AY58" s="28">
        <v>0</v>
      </c>
      <c r="AZ58" s="28">
        <v>1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77">
        <v>0</v>
      </c>
      <c r="BH58" s="74">
        <v>1</v>
      </c>
      <c r="BI58" s="28">
        <v>2</v>
      </c>
      <c r="BJ58" s="72">
        <v>0.75</v>
      </c>
      <c r="BK58" s="74">
        <v>0</v>
      </c>
      <c r="BL58" s="780">
        <v>12</v>
      </c>
      <c r="BN58" s="712" t="s">
        <v>212</v>
      </c>
      <c r="BO58" s="71" t="s">
        <v>339</v>
      </c>
      <c r="BP58" s="28" t="s">
        <v>375</v>
      </c>
      <c r="BQ58" s="147">
        <v>0</v>
      </c>
      <c r="BR58" s="146">
        <v>0</v>
      </c>
      <c r="BS58" s="32">
        <v>0</v>
      </c>
      <c r="BT58" s="77">
        <v>1</v>
      </c>
      <c r="BU58" s="584">
        <v>1</v>
      </c>
      <c r="BV58" s="28">
        <v>0</v>
      </c>
      <c r="BW58" s="28">
        <v>0</v>
      </c>
      <c r="BX58" s="28">
        <v>1</v>
      </c>
      <c r="BY58" s="28">
        <v>1</v>
      </c>
      <c r="BZ58" s="28">
        <v>0</v>
      </c>
      <c r="CA58" s="106">
        <v>1</v>
      </c>
      <c r="CB58" s="77">
        <v>0</v>
      </c>
      <c r="CC58" s="28">
        <v>0</v>
      </c>
      <c r="CD58" s="615">
        <v>12</v>
      </c>
      <c r="CG58" s="712" t="s">
        <v>1917</v>
      </c>
      <c r="CH58" s="71" t="s">
        <v>165</v>
      </c>
      <c r="CI58" s="28" t="s">
        <v>175</v>
      </c>
      <c r="CJ58" s="130">
        <v>0</v>
      </c>
      <c r="CK58" s="72">
        <v>0</v>
      </c>
      <c r="CL58" s="72">
        <v>0</v>
      </c>
      <c r="CM58" s="77">
        <v>1</v>
      </c>
      <c r="CN58" s="28">
        <v>4</v>
      </c>
      <c r="CO58" s="28">
        <v>0</v>
      </c>
      <c r="CP58" s="28">
        <v>0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77">
        <v>0</v>
      </c>
      <c r="CX58" s="28">
        <v>0</v>
      </c>
      <c r="CY58" s="77">
        <v>0</v>
      </c>
      <c r="CZ58" s="72">
        <v>0</v>
      </c>
      <c r="DA58" s="74">
        <v>0</v>
      </c>
      <c r="DB58" s="780">
        <v>12</v>
      </c>
      <c r="DD58" s="712" t="s">
        <v>212</v>
      </c>
      <c r="DE58" s="78" t="s">
        <v>539</v>
      </c>
      <c r="DF58" s="28" t="s">
        <v>569</v>
      </c>
      <c r="DG58" s="147">
        <v>0</v>
      </c>
      <c r="DH58" s="146">
        <v>1</v>
      </c>
      <c r="DI58" s="32">
        <v>0</v>
      </c>
      <c r="DJ58" s="77">
        <v>1</v>
      </c>
      <c r="DK58" s="584">
        <v>2</v>
      </c>
      <c r="DL58" s="28">
        <v>1</v>
      </c>
      <c r="DM58" s="28">
        <v>0</v>
      </c>
      <c r="DN58" s="28">
        <v>1</v>
      </c>
      <c r="DO58" s="28">
        <v>3</v>
      </c>
      <c r="DP58" s="28">
        <v>0</v>
      </c>
      <c r="DQ58" s="571">
        <v>1</v>
      </c>
      <c r="DR58" s="77">
        <v>0</v>
      </c>
      <c r="DS58" s="28">
        <v>0</v>
      </c>
      <c r="DT58" s="615">
        <v>12</v>
      </c>
    </row>
    <row r="59" spans="2:124" ht="17" thickBot="1">
      <c r="B59" s="712" t="s">
        <v>1916</v>
      </c>
      <c r="C59" s="71" t="s">
        <v>717</v>
      </c>
      <c r="D59" s="28" t="s">
        <v>724</v>
      </c>
      <c r="E59" s="130">
        <v>0</v>
      </c>
      <c r="F59" s="72">
        <v>0.4</v>
      </c>
      <c r="G59" s="72">
        <v>0</v>
      </c>
      <c r="H59" s="77">
        <v>1</v>
      </c>
      <c r="I59" s="28">
        <v>3</v>
      </c>
      <c r="J59" s="28">
        <v>1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2</v>
      </c>
      <c r="Q59" s="28">
        <v>1</v>
      </c>
      <c r="R59" s="77">
        <v>0</v>
      </c>
      <c r="S59" s="28">
        <v>0</v>
      </c>
      <c r="T59" s="77">
        <v>0</v>
      </c>
      <c r="U59" s="72">
        <v>0.4</v>
      </c>
      <c r="V59" s="74">
        <v>0</v>
      </c>
      <c r="W59" s="780">
        <v>13</v>
      </c>
      <c r="Y59" s="958"/>
      <c r="Z59" s="951"/>
      <c r="AA59" s="951"/>
      <c r="AB59" s="959">
        <v>6.3641720683559226</v>
      </c>
      <c r="AC59" s="960">
        <v>0</v>
      </c>
      <c r="AD59" s="961">
        <v>0</v>
      </c>
      <c r="AE59" s="954"/>
      <c r="AF59" s="962">
        <v>16.97</v>
      </c>
      <c r="AG59" s="955">
        <v>20</v>
      </c>
      <c r="AH59" s="955">
        <v>12</v>
      </c>
      <c r="AI59" s="955">
        <v>3</v>
      </c>
      <c r="AJ59" s="955">
        <v>19</v>
      </c>
      <c r="AK59" s="955">
        <v>0</v>
      </c>
      <c r="AL59" s="963">
        <v>1.3553329404832057</v>
      </c>
      <c r="AM59" s="954">
        <v>0</v>
      </c>
      <c r="AN59" s="964">
        <v>0</v>
      </c>
      <c r="AO59" s="965"/>
      <c r="AQ59" s="712" t="s">
        <v>1923</v>
      </c>
      <c r="AR59" s="71" t="s">
        <v>611</v>
      </c>
      <c r="AS59" s="28" t="s">
        <v>613</v>
      </c>
      <c r="AT59" s="130">
        <v>0</v>
      </c>
      <c r="AU59" s="72">
        <v>0</v>
      </c>
      <c r="AV59" s="72">
        <v>0</v>
      </c>
      <c r="AW59" s="77">
        <v>1</v>
      </c>
      <c r="AX59" s="28">
        <v>4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1</v>
      </c>
      <c r="BG59" s="77">
        <v>0</v>
      </c>
      <c r="BH59" s="74">
        <v>0</v>
      </c>
      <c r="BI59" s="28">
        <v>0</v>
      </c>
      <c r="BJ59" s="72">
        <v>0</v>
      </c>
      <c r="BK59" s="74">
        <v>0</v>
      </c>
      <c r="BL59" s="780">
        <v>13</v>
      </c>
      <c r="BN59" s="950"/>
      <c r="BO59" s="951"/>
      <c r="BP59" s="951"/>
      <c r="BQ59" s="959">
        <v>2</v>
      </c>
      <c r="BR59" s="960">
        <v>1</v>
      </c>
      <c r="BS59" s="961">
        <v>1</v>
      </c>
      <c r="BT59" s="954"/>
      <c r="BU59" s="962">
        <v>18</v>
      </c>
      <c r="BV59" s="955">
        <v>14</v>
      </c>
      <c r="BW59" s="955">
        <v>4</v>
      </c>
      <c r="BX59" s="955">
        <v>3</v>
      </c>
      <c r="BY59" s="955">
        <v>17</v>
      </c>
      <c r="BZ59" s="955">
        <v>3</v>
      </c>
      <c r="CA59" s="963">
        <v>0.94444444444444442</v>
      </c>
      <c r="CB59" s="954">
        <v>0</v>
      </c>
      <c r="CC59" s="955">
        <v>0</v>
      </c>
      <c r="CD59" s="965"/>
      <c r="CG59" s="712" t="s">
        <v>1918</v>
      </c>
      <c r="CH59" s="71" t="s">
        <v>502</v>
      </c>
      <c r="CI59" s="28" t="s">
        <v>503</v>
      </c>
      <c r="CJ59" s="130">
        <v>0.25</v>
      </c>
      <c r="CK59" s="72">
        <v>0.25</v>
      </c>
      <c r="CL59" s="72">
        <v>0.25</v>
      </c>
      <c r="CM59" s="77">
        <v>1</v>
      </c>
      <c r="CN59" s="28">
        <v>4</v>
      </c>
      <c r="CO59" s="28">
        <v>1</v>
      </c>
      <c r="CP59" s="28">
        <v>1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77">
        <v>1</v>
      </c>
      <c r="CX59" s="28">
        <v>1</v>
      </c>
      <c r="CY59" s="77">
        <v>1</v>
      </c>
      <c r="CZ59" s="72">
        <v>0.5</v>
      </c>
      <c r="DA59" s="74">
        <v>0</v>
      </c>
      <c r="DB59" s="780">
        <v>13</v>
      </c>
      <c r="DD59" s="950"/>
      <c r="DE59" s="951"/>
      <c r="DF59" s="951"/>
      <c r="DG59" s="959">
        <v>1.8</v>
      </c>
      <c r="DH59" s="960">
        <v>2</v>
      </c>
      <c r="DI59" s="961">
        <v>0</v>
      </c>
      <c r="DJ59" s="954"/>
      <c r="DK59" s="962">
        <v>20</v>
      </c>
      <c r="DL59" s="955">
        <v>17</v>
      </c>
      <c r="DM59" s="955">
        <v>4</v>
      </c>
      <c r="DN59" s="955">
        <v>10</v>
      </c>
      <c r="DO59" s="955">
        <v>27</v>
      </c>
      <c r="DP59" s="955">
        <v>2</v>
      </c>
      <c r="DQ59" s="963">
        <v>1.35</v>
      </c>
      <c r="DR59" s="954">
        <v>0</v>
      </c>
      <c r="DS59" s="967">
        <v>0</v>
      </c>
      <c r="DT59" s="965"/>
    </row>
    <row r="60" spans="2:124">
      <c r="B60" s="712" t="s">
        <v>1923</v>
      </c>
      <c r="C60" s="71" t="s">
        <v>165</v>
      </c>
      <c r="D60" s="28" t="s">
        <v>169</v>
      </c>
      <c r="E60" s="130">
        <v>0</v>
      </c>
      <c r="F60" s="72">
        <v>0.2</v>
      </c>
      <c r="G60" s="72">
        <v>0</v>
      </c>
      <c r="H60" s="77">
        <v>1</v>
      </c>
      <c r="I60" s="28">
        <v>4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1</v>
      </c>
      <c r="Q60" s="28">
        <v>3</v>
      </c>
      <c r="R60" s="77">
        <v>1</v>
      </c>
      <c r="S60" s="28">
        <v>1</v>
      </c>
      <c r="T60" s="77">
        <v>0</v>
      </c>
      <c r="U60" s="72">
        <v>0.2</v>
      </c>
      <c r="V60" s="74">
        <v>0</v>
      </c>
      <c r="W60" s="780">
        <v>14</v>
      </c>
      <c r="AQ60" s="712" t="s">
        <v>1916</v>
      </c>
      <c r="AR60" s="71" t="s">
        <v>300</v>
      </c>
      <c r="AS60" s="28" t="s">
        <v>301</v>
      </c>
      <c r="AT60" s="130">
        <v>0.33333333333333331</v>
      </c>
      <c r="AU60" s="72">
        <v>0.5</v>
      </c>
      <c r="AV60" s="72">
        <v>0.33333333333333331</v>
      </c>
      <c r="AW60" s="77">
        <v>1</v>
      </c>
      <c r="AX60" s="28">
        <v>3</v>
      </c>
      <c r="AY60" s="28">
        <v>0</v>
      </c>
      <c r="AZ60" s="28">
        <v>1</v>
      </c>
      <c r="BA60" s="28">
        <v>0</v>
      </c>
      <c r="BB60" s="28">
        <v>0</v>
      </c>
      <c r="BC60" s="28">
        <v>0</v>
      </c>
      <c r="BD60" s="28">
        <v>0</v>
      </c>
      <c r="BE60" s="28">
        <v>1</v>
      </c>
      <c r="BF60" s="28">
        <v>1</v>
      </c>
      <c r="BG60" s="77">
        <v>0</v>
      </c>
      <c r="BH60" s="74">
        <v>1</v>
      </c>
      <c r="BI60" s="28">
        <v>1</v>
      </c>
      <c r="BJ60" s="72">
        <v>0.83333333333333326</v>
      </c>
      <c r="BK60" s="74">
        <v>0</v>
      </c>
      <c r="BL60" s="780">
        <v>14</v>
      </c>
      <c r="CC60" s="123"/>
      <c r="CG60" s="712" t="s">
        <v>1919</v>
      </c>
      <c r="CH60" s="71" t="s">
        <v>394</v>
      </c>
      <c r="CI60" s="28" t="s">
        <v>399</v>
      </c>
      <c r="CJ60" s="130">
        <v>0.4</v>
      </c>
      <c r="CK60" s="72">
        <v>0.4</v>
      </c>
      <c r="CL60" s="72">
        <v>0.4</v>
      </c>
      <c r="CM60" s="77">
        <v>1</v>
      </c>
      <c r="CN60" s="28">
        <v>5</v>
      </c>
      <c r="CO60" s="28">
        <v>1</v>
      </c>
      <c r="CP60" s="28">
        <v>2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2</v>
      </c>
      <c r="CW60" s="77">
        <v>0</v>
      </c>
      <c r="CX60" s="28">
        <v>1</v>
      </c>
      <c r="CY60" s="77">
        <v>2</v>
      </c>
      <c r="CZ60" s="72">
        <v>0.8</v>
      </c>
      <c r="DA60" s="74">
        <v>0</v>
      </c>
      <c r="DB60" s="780">
        <v>14</v>
      </c>
    </row>
    <row r="61" spans="2:124">
      <c r="B61" s="712" t="s">
        <v>1922</v>
      </c>
      <c r="C61" s="71" t="s">
        <v>580</v>
      </c>
      <c r="D61" s="28" t="s">
        <v>586</v>
      </c>
      <c r="E61" s="130">
        <v>0.4</v>
      </c>
      <c r="F61" s="72">
        <v>0.4</v>
      </c>
      <c r="G61" s="72">
        <v>0.6</v>
      </c>
      <c r="H61" s="77">
        <v>1</v>
      </c>
      <c r="I61" s="28">
        <v>5</v>
      </c>
      <c r="J61" s="28">
        <v>1</v>
      </c>
      <c r="K61" s="28">
        <v>2</v>
      </c>
      <c r="L61" s="28">
        <v>1</v>
      </c>
      <c r="M61" s="28">
        <v>0</v>
      </c>
      <c r="N61" s="28">
        <v>0</v>
      </c>
      <c r="O61" s="28">
        <v>1</v>
      </c>
      <c r="P61" s="28">
        <v>0</v>
      </c>
      <c r="Q61" s="28">
        <v>1</v>
      </c>
      <c r="R61" s="77">
        <v>1</v>
      </c>
      <c r="S61" s="28">
        <v>1</v>
      </c>
      <c r="T61" s="77">
        <v>3</v>
      </c>
      <c r="U61" s="72">
        <v>1</v>
      </c>
      <c r="V61" s="74">
        <v>0</v>
      </c>
      <c r="W61" s="780">
        <v>15</v>
      </c>
      <c r="AQ61" s="712" t="s">
        <v>1920</v>
      </c>
      <c r="AR61" s="71" t="s">
        <v>339</v>
      </c>
      <c r="AS61" s="28" t="s">
        <v>340</v>
      </c>
      <c r="AT61" s="130">
        <v>0</v>
      </c>
      <c r="AU61" s="72">
        <v>0</v>
      </c>
      <c r="AV61" s="72">
        <v>0</v>
      </c>
      <c r="AW61" s="77">
        <v>1</v>
      </c>
      <c r="AX61" s="28">
        <v>3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1</v>
      </c>
      <c r="BG61" s="77">
        <v>0</v>
      </c>
      <c r="BH61" s="74">
        <v>0</v>
      </c>
      <c r="BI61" s="28">
        <v>0</v>
      </c>
      <c r="BJ61" s="72">
        <v>0</v>
      </c>
      <c r="BK61" s="74">
        <v>0</v>
      </c>
      <c r="BL61" s="780">
        <v>15</v>
      </c>
      <c r="CC61" s="123"/>
      <c r="CG61" s="712" t="s">
        <v>1920</v>
      </c>
      <c r="CH61" s="71" t="s">
        <v>394</v>
      </c>
      <c r="CI61" s="28" t="s">
        <v>396</v>
      </c>
      <c r="CJ61" s="130">
        <v>0</v>
      </c>
      <c r="CK61" s="72">
        <v>0.25</v>
      </c>
      <c r="CL61" s="72">
        <v>0</v>
      </c>
      <c r="CM61" s="77">
        <v>1</v>
      </c>
      <c r="CN61" s="28">
        <v>3</v>
      </c>
      <c r="CO61" s="28">
        <v>0</v>
      </c>
      <c r="CP61" s="28">
        <v>0</v>
      </c>
      <c r="CQ61" s="28">
        <v>0</v>
      </c>
      <c r="CR61" s="28">
        <v>0</v>
      </c>
      <c r="CS61" s="28">
        <v>0</v>
      </c>
      <c r="CT61" s="28">
        <v>0</v>
      </c>
      <c r="CU61" s="28">
        <v>1</v>
      </c>
      <c r="CV61" s="28">
        <v>1</v>
      </c>
      <c r="CW61" s="77">
        <v>0</v>
      </c>
      <c r="CX61" s="28">
        <v>0</v>
      </c>
      <c r="CY61" s="77">
        <v>0</v>
      </c>
      <c r="CZ61" s="72">
        <v>0.25</v>
      </c>
      <c r="DA61" s="74">
        <v>0</v>
      </c>
      <c r="DB61" s="780">
        <v>15</v>
      </c>
    </row>
    <row r="62" spans="2:124">
      <c r="B62" s="712" t="s">
        <v>1915</v>
      </c>
      <c r="C62" s="71" t="s">
        <v>463</v>
      </c>
      <c r="D62" s="28" t="s">
        <v>472</v>
      </c>
      <c r="E62" s="130">
        <v>0.2</v>
      </c>
      <c r="F62" s="72">
        <v>0.2</v>
      </c>
      <c r="G62" s="72">
        <v>0.2</v>
      </c>
      <c r="H62" s="77">
        <v>1</v>
      </c>
      <c r="I62" s="28">
        <v>5</v>
      </c>
      <c r="J62" s="28">
        <v>0</v>
      </c>
      <c r="K62" s="28">
        <v>1</v>
      </c>
      <c r="L62" s="28">
        <v>0</v>
      </c>
      <c r="M62" s="28">
        <v>0</v>
      </c>
      <c r="N62" s="28">
        <v>0</v>
      </c>
      <c r="O62" s="28">
        <v>1</v>
      </c>
      <c r="P62" s="28">
        <v>0</v>
      </c>
      <c r="Q62" s="28">
        <v>3</v>
      </c>
      <c r="R62" s="77">
        <v>0</v>
      </c>
      <c r="S62" s="28">
        <v>1</v>
      </c>
      <c r="T62" s="77">
        <v>1</v>
      </c>
      <c r="U62" s="72">
        <v>0.4</v>
      </c>
      <c r="V62" s="74">
        <v>0</v>
      </c>
      <c r="W62" s="780">
        <v>16</v>
      </c>
      <c r="AQ62" s="712" t="s">
        <v>1921</v>
      </c>
      <c r="AR62" s="71" t="s">
        <v>429</v>
      </c>
      <c r="AS62" s="28" t="s">
        <v>430</v>
      </c>
      <c r="AT62" s="130">
        <v>0</v>
      </c>
      <c r="AU62" s="72">
        <v>0</v>
      </c>
      <c r="AV62" s="72">
        <v>0</v>
      </c>
      <c r="AW62" s="77">
        <v>1</v>
      </c>
      <c r="AX62" s="28">
        <v>3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77">
        <v>0</v>
      </c>
      <c r="BH62" s="74">
        <v>0</v>
      </c>
      <c r="BI62" s="28">
        <v>0</v>
      </c>
      <c r="BJ62" s="72">
        <v>0</v>
      </c>
      <c r="BK62" s="74">
        <v>0</v>
      </c>
      <c r="BL62" s="780">
        <v>16</v>
      </c>
      <c r="CC62" s="123"/>
      <c r="CG62" s="712" t="s">
        <v>1921</v>
      </c>
      <c r="CH62" s="71" t="s">
        <v>611</v>
      </c>
      <c r="CI62" s="28" t="s">
        <v>614</v>
      </c>
      <c r="CJ62" s="130">
        <v>0.25</v>
      </c>
      <c r="CK62" s="72">
        <v>0.4</v>
      </c>
      <c r="CL62" s="72">
        <v>0.25</v>
      </c>
      <c r="CM62" s="77">
        <v>1</v>
      </c>
      <c r="CN62" s="28">
        <v>4</v>
      </c>
      <c r="CO62" s="28">
        <v>1</v>
      </c>
      <c r="CP62" s="28">
        <v>1</v>
      </c>
      <c r="CQ62" s="28">
        <v>0</v>
      </c>
      <c r="CR62" s="28">
        <v>0</v>
      </c>
      <c r="CS62" s="28">
        <v>0</v>
      </c>
      <c r="CT62" s="28">
        <v>0</v>
      </c>
      <c r="CU62" s="28">
        <v>1</v>
      </c>
      <c r="CV62" s="28">
        <v>0</v>
      </c>
      <c r="CW62" s="77">
        <v>0</v>
      </c>
      <c r="CX62" s="28">
        <v>1</v>
      </c>
      <c r="CY62" s="77">
        <v>1</v>
      </c>
      <c r="CZ62" s="72">
        <v>0.65</v>
      </c>
      <c r="DA62" s="74">
        <v>0</v>
      </c>
      <c r="DB62" s="780">
        <v>16</v>
      </c>
    </row>
    <row r="63" spans="2:124">
      <c r="B63" s="712" t="s">
        <v>1920</v>
      </c>
      <c r="C63" s="71" t="s">
        <v>300</v>
      </c>
      <c r="D63" s="28" t="s">
        <v>304</v>
      </c>
      <c r="E63" s="130">
        <v>0.4</v>
      </c>
      <c r="F63" s="72">
        <v>0.4</v>
      </c>
      <c r="G63" s="72">
        <v>0.6</v>
      </c>
      <c r="H63" s="77">
        <v>1</v>
      </c>
      <c r="I63" s="28">
        <v>5</v>
      </c>
      <c r="J63" s="28">
        <v>0</v>
      </c>
      <c r="K63" s="28">
        <v>2</v>
      </c>
      <c r="L63" s="28">
        <v>1</v>
      </c>
      <c r="M63" s="28">
        <v>0</v>
      </c>
      <c r="N63" s="28">
        <v>0</v>
      </c>
      <c r="O63" s="28">
        <v>0</v>
      </c>
      <c r="P63" s="28">
        <v>0</v>
      </c>
      <c r="Q63" s="28">
        <v>2</v>
      </c>
      <c r="R63" s="77">
        <v>0</v>
      </c>
      <c r="S63" s="28">
        <v>1</v>
      </c>
      <c r="T63" s="77">
        <v>3</v>
      </c>
      <c r="U63" s="72">
        <v>1</v>
      </c>
      <c r="V63" s="74">
        <v>0</v>
      </c>
      <c r="W63" s="780">
        <v>17</v>
      </c>
      <c r="AQ63" s="712" t="s">
        <v>1918</v>
      </c>
      <c r="AR63" s="71" t="s">
        <v>502</v>
      </c>
      <c r="AS63" s="28" t="s">
        <v>503</v>
      </c>
      <c r="AT63" s="130">
        <v>0.5</v>
      </c>
      <c r="AU63" s="72">
        <v>0.66666666666666663</v>
      </c>
      <c r="AV63" s="72">
        <v>0.5</v>
      </c>
      <c r="AW63" s="77">
        <v>1</v>
      </c>
      <c r="AX63" s="28">
        <v>2</v>
      </c>
      <c r="AY63" s="28">
        <v>0</v>
      </c>
      <c r="AZ63" s="28">
        <v>1</v>
      </c>
      <c r="BA63" s="28">
        <v>0</v>
      </c>
      <c r="BB63" s="28">
        <v>0</v>
      </c>
      <c r="BC63" s="28">
        <v>0</v>
      </c>
      <c r="BD63" s="28">
        <v>0</v>
      </c>
      <c r="BE63" s="28">
        <v>1</v>
      </c>
      <c r="BF63" s="28">
        <v>0</v>
      </c>
      <c r="BG63" s="77">
        <v>0</v>
      </c>
      <c r="BH63" s="74">
        <v>1</v>
      </c>
      <c r="BI63" s="28">
        <v>1</v>
      </c>
      <c r="BJ63" s="72">
        <v>1.1666666666666665</v>
      </c>
      <c r="BK63" s="74">
        <v>0</v>
      </c>
      <c r="BL63" s="780">
        <v>17</v>
      </c>
      <c r="CC63" s="123"/>
      <c r="CG63" s="712" t="s">
        <v>1922</v>
      </c>
      <c r="CH63" s="71" t="s">
        <v>580</v>
      </c>
      <c r="CI63" s="28" t="s">
        <v>586</v>
      </c>
      <c r="CJ63" s="130">
        <v>0</v>
      </c>
      <c r="CK63" s="72">
        <v>0.33333333333333331</v>
      </c>
      <c r="CL63" s="72">
        <v>0</v>
      </c>
      <c r="CM63" s="77">
        <v>1</v>
      </c>
      <c r="CN63" s="28">
        <v>2</v>
      </c>
      <c r="CO63" s="28">
        <v>0</v>
      </c>
      <c r="CP63" s="28">
        <v>0</v>
      </c>
      <c r="CQ63" s="28">
        <v>0</v>
      </c>
      <c r="CR63" s="28">
        <v>0</v>
      </c>
      <c r="CS63" s="28">
        <v>0</v>
      </c>
      <c r="CT63" s="28">
        <v>1</v>
      </c>
      <c r="CU63" s="28">
        <v>1</v>
      </c>
      <c r="CV63" s="28">
        <v>2</v>
      </c>
      <c r="CW63" s="77">
        <v>0</v>
      </c>
      <c r="CX63" s="28">
        <v>0</v>
      </c>
      <c r="CY63" s="77">
        <v>0</v>
      </c>
      <c r="CZ63" s="72">
        <v>0.33333333333333331</v>
      </c>
      <c r="DA63" s="74">
        <v>0</v>
      </c>
      <c r="DB63" s="780">
        <v>17</v>
      </c>
    </row>
    <row r="64" spans="2:124" ht="17" thickBot="1">
      <c r="B64" s="712" t="s">
        <v>1918</v>
      </c>
      <c r="C64" s="71" t="s">
        <v>539</v>
      </c>
      <c r="D64" s="28" t="s">
        <v>544</v>
      </c>
      <c r="E64" s="130">
        <v>0.4</v>
      </c>
      <c r="F64" s="72">
        <v>0.4</v>
      </c>
      <c r="G64" s="72">
        <v>0.4</v>
      </c>
      <c r="H64" s="77">
        <v>1</v>
      </c>
      <c r="I64" s="28">
        <v>5</v>
      </c>
      <c r="J64" s="28">
        <v>0</v>
      </c>
      <c r="K64" s="28">
        <v>2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2</v>
      </c>
      <c r="R64" s="77">
        <v>0</v>
      </c>
      <c r="S64" s="28">
        <v>0</v>
      </c>
      <c r="T64" s="77">
        <v>2</v>
      </c>
      <c r="U64" s="72">
        <v>0.8</v>
      </c>
      <c r="V64" s="74">
        <v>0</v>
      </c>
      <c r="W64" s="780">
        <v>18</v>
      </c>
      <c r="AQ64" s="713" t="s">
        <v>1915</v>
      </c>
      <c r="AR64" s="78" t="s">
        <v>394</v>
      </c>
      <c r="AS64" s="25" t="s">
        <v>404</v>
      </c>
      <c r="AT64" s="131">
        <v>0</v>
      </c>
      <c r="AU64" s="79">
        <v>0</v>
      </c>
      <c r="AV64" s="79">
        <v>0</v>
      </c>
      <c r="AW64" s="103">
        <v>1</v>
      </c>
      <c r="AX64" s="25">
        <v>3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1</v>
      </c>
      <c r="BG64" s="103">
        <v>0</v>
      </c>
      <c r="BH64" s="81">
        <v>0</v>
      </c>
      <c r="BI64" s="25">
        <v>0</v>
      </c>
      <c r="BJ64" s="79">
        <v>0</v>
      </c>
      <c r="BK64" s="81">
        <v>0</v>
      </c>
      <c r="BL64" s="966">
        <v>18</v>
      </c>
      <c r="CC64" s="123"/>
      <c r="CG64" s="712" t="s">
        <v>1923</v>
      </c>
      <c r="CH64" s="71" t="s">
        <v>339</v>
      </c>
      <c r="CI64" s="28" t="s">
        <v>341</v>
      </c>
      <c r="CJ64" s="130">
        <v>0.33333333333333331</v>
      </c>
      <c r="CK64" s="72">
        <v>0.33333333333333331</v>
      </c>
      <c r="CL64" s="72">
        <v>1.3333333333333333</v>
      </c>
      <c r="CM64" s="77">
        <v>1</v>
      </c>
      <c r="CN64" s="28">
        <v>3</v>
      </c>
      <c r="CO64" s="28">
        <v>1</v>
      </c>
      <c r="CP64" s="28">
        <v>1</v>
      </c>
      <c r="CQ64" s="28">
        <v>0</v>
      </c>
      <c r="CR64" s="28">
        <v>0</v>
      </c>
      <c r="CS64" s="28">
        <v>1</v>
      </c>
      <c r="CT64" s="28">
        <v>2</v>
      </c>
      <c r="CU64" s="28">
        <v>0</v>
      </c>
      <c r="CV64" s="28">
        <v>1</v>
      </c>
      <c r="CW64" s="77">
        <v>0</v>
      </c>
      <c r="CX64" s="28">
        <v>1</v>
      </c>
      <c r="CY64" s="77">
        <v>4</v>
      </c>
      <c r="CZ64" s="72">
        <v>1.6666666666666665</v>
      </c>
      <c r="DA64" s="74">
        <v>1</v>
      </c>
      <c r="DB64" s="780">
        <v>18</v>
      </c>
    </row>
    <row r="65" spans="2:124" s="28" customFormat="1" ht="17" thickBot="1">
      <c r="B65" s="950"/>
      <c r="C65" s="951"/>
      <c r="D65" s="951"/>
      <c r="E65" s="952">
        <v>0.21621621621621623</v>
      </c>
      <c r="F65" s="953">
        <v>0.27500000000000002</v>
      </c>
      <c r="G65" s="953">
        <v>0.29729729729729731</v>
      </c>
      <c r="H65" s="954"/>
      <c r="I65" s="955">
        <v>74</v>
      </c>
      <c r="J65" s="955">
        <v>4</v>
      </c>
      <c r="K65" s="955">
        <v>16</v>
      </c>
      <c r="L65" s="955">
        <v>3</v>
      </c>
      <c r="M65" s="955">
        <v>0</v>
      </c>
      <c r="N65" s="955">
        <v>1</v>
      </c>
      <c r="O65" s="955">
        <v>4</v>
      </c>
      <c r="P65" s="955">
        <v>6</v>
      </c>
      <c r="Q65" s="955">
        <v>24</v>
      </c>
      <c r="R65" s="954">
        <v>2</v>
      </c>
      <c r="S65" s="955"/>
      <c r="T65" s="954">
        <v>22</v>
      </c>
      <c r="U65" s="953">
        <v>0.57229729729729728</v>
      </c>
      <c r="V65" s="956">
        <v>0</v>
      </c>
      <c r="W65" s="957"/>
      <c r="AN65" s="106"/>
      <c r="AQ65" s="950"/>
      <c r="AR65" s="951"/>
      <c r="AS65" s="951"/>
      <c r="AT65" s="952">
        <v>0.18333333333333332</v>
      </c>
      <c r="AU65" s="953">
        <v>0.234375</v>
      </c>
      <c r="AV65" s="953">
        <v>0.23333333333333334</v>
      </c>
      <c r="AW65" s="954"/>
      <c r="AX65" s="955">
        <v>60</v>
      </c>
      <c r="AY65" s="955">
        <v>1</v>
      </c>
      <c r="AZ65" s="955">
        <v>11</v>
      </c>
      <c r="BA65" s="955">
        <v>3</v>
      </c>
      <c r="BB65" s="955">
        <v>0</v>
      </c>
      <c r="BC65" s="955">
        <v>0</v>
      </c>
      <c r="BD65" s="955">
        <v>1</v>
      </c>
      <c r="BE65" s="954">
        <v>4</v>
      </c>
      <c r="BF65" s="955">
        <v>19</v>
      </c>
      <c r="BG65" s="954">
        <v>0</v>
      </c>
      <c r="BH65" s="956"/>
      <c r="BI65" s="955">
        <v>14</v>
      </c>
      <c r="BJ65" s="953">
        <v>0.46770833333333334</v>
      </c>
      <c r="BK65" s="956">
        <v>1</v>
      </c>
      <c r="BL65" s="957"/>
      <c r="CC65" s="106"/>
      <c r="CG65" s="950"/>
      <c r="CH65" s="951"/>
      <c r="CI65" s="951"/>
      <c r="CJ65" s="952">
        <v>0.19718309859154928</v>
      </c>
      <c r="CK65" s="953">
        <v>0.28749999999999998</v>
      </c>
      <c r="CL65" s="953">
        <v>0.36619718309859156</v>
      </c>
      <c r="CM65" s="954"/>
      <c r="CN65" s="955">
        <v>71</v>
      </c>
      <c r="CO65" s="955">
        <v>9</v>
      </c>
      <c r="CP65" s="955">
        <v>14</v>
      </c>
      <c r="CQ65" s="955">
        <v>0</v>
      </c>
      <c r="CR65" s="955">
        <v>0</v>
      </c>
      <c r="CS65" s="955">
        <v>4</v>
      </c>
      <c r="CT65" s="955">
        <v>9</v>
      </c>
      <c r="CU65" s="955">
        <v>9</v>
      </c>
      <c r="CV65" s="955">
        <v>20</v>
      </c>
      <c r="CW65" s="954">
        <v>2</v>
      </c>
      <c r="CX65" s="955"/>
      <c r="CY65" s="954">
        <v>26</v>
      </c>
      <c r="CZ65" s="953">
        <v>0.65369718309859159</v>
      </c>
      <c r="DA65" s="956">
        <v>2</v>
      </c>
      <c r="DB65" s="957"/>
    </row>
    <row r="66" spans="2:124" ht="17" thickBot="1">
      <c r="CC66" s="123"/>
    </row>
    <row r="67" spans="2:124" ht="31" thickBot="1">
      <c r="B67" s="1113" t="s">
        <v>1930</v>
      </c>
      <c r="C67" s="1114"/>
      <c r="D67" s="1114"/>
      <c r="E67" s="1114"/>
      <c r="F67" s="1114"/>
      <c r="G67" s="1114"/>
      <c r="H67" s="1114"/>
      <c r="I67" s="1114"/>
      <c r="J67" s="1114"/>
      <c r="K67" s="1114"/>
      <c r="L67" s="1114"/>
      <c r="M67" s="1114"/>
      <c r="N67" s="1114"/>
      <c r="O67" s="1114"/>
      <c r="P67" s="1114"/>
      <c r="Q67" s="1114"/>
      <c r="R67" s="1114"/>
      <c r="S67" s="1114"/>
      <c r="T67" s="1114"/>
      <c r="U67" s="1114"/>
      <c r="V67" s="1114"/>
      <c r="W67" s="1115"/>
      <c r="Y67" s="1113" t="s">
        <v>1930</v>
      </c>
      <c r="Z67" s="1114"/>
      <c r="AA67" s="1114"/>
      <c r="AB67" s="1114"/>
      <c r="AC67" s="1114"/>
      <c r="AD67" s="1114"/>
      <c r="AE67" s="1114"/>
      <c r="AF67" s="1114"/>
      <c r="AG67" s="1114"/>
      <c r="AH67" s="1114"/>
      <c r="AI67" s="1114"/>
      <c r="AJ67" s="1114"/>
      <c r="AK67" s="1114"/>
      <c r="AL67" s="1114"/>
      <c r="AM67" s="1114"/>
      <c r="AN67" s="1114"/>
      <c r="AO67" s="1115"/>
      <c r="AQ67" s="1113" t="s">
        <v>1931</v>
      </c>
      <c r="AR67" s="1114"/>
      <c r="AS67" s="1114"/>
      <c r="AT67" s="1114"/>
      <c r="AU67" s="1114"/>
      <c r="AV67" s="1114"/>
      <c r="AW67" s="1114"/>
      <c r="AX67" s="1114"/>
      <c r="AY67" s="1114"/>
      <c r="AZ67" s="1114"/>
      <c r="BA67" s="1114"/>
      <c r="BB67" s="1114"/>
      <c r="BC67" s="1114"/>
      <c r="BD67" s="1114"/>
      <c r="BE67" s="1114"/>
      <c r="BF67" s="1114"/>
      <c r="BG67" s="1114"/>
      <c r="BH67" s="1114"/>
      <c r="BI67" s="1114"/>
      <c r="BJ67" s="1114"/>
      <c r="BK67" s="1114"/>
      <c r="BL67" s="1115"/>
      <c r="BN67" s="1113" t="s">
        <v>1931</v>
      </c>
      <c r="BO67" s="1114"/>
      <c r="BP67" s="1114"/>
      <c r="BQ67" s="1114"/>
      <c r="BR67" s="1114"/>
      <c r="BS67" s="1114"/>
      <c r="BT67" s="1114"/>
      <c r="BU67" s="1114"/>
      <c r="BV67" s="1114"/>
      <c r="BW67" s="1114"/>
      <c r="BX67" s="1114"/>
      <c r="BY67" s="1114"/>
      <c r="BZ67" s="1114"/>
      <c r="CA67" s="1114"/>
      <c r="CB67" s="1114"/>
      <c r="CC67" s="1114"/>
      <c r="CD67" s="1115"/>
      <c r="CG67" s="1113" t="s">
        <v>1932</v>
      </c>
      <c r="CH67" s="1114"/>
      <c r="CI67" s="1114"/>
      <c r="CJ67" s="1114"/>
      <c r="CK67" s="1114"/>
      <c r="CL67" s="1114"/>
      <c r="CM67" s="1114"/>
      <c r="CN67" s="1114"/>
      <c r="CO67" s="1114"/>
      <c r="CP67" s="1114"/>
      <c r="CQ67" s="1114"/>
      <c r="CR67" s="1114"/>
      <c r="CS67" s="1114"/>
      <c r="CT67" s="1114"/>
      <c r="CU67" s="1114"/>
      <c r="CV67" s="1114"/>
      <c r="CW67" s="1114"/>
      <c r="CX67" s="1114"/>
      <c r="CY67" s="1114"/>
      <c r="CZ67" s="1114"/>
      <c r="DA67" s="1114"/>
      <c r="DB67" s="1115"/>
      <c r="DD67" s="1113" t="s">
        <v>1932</v>
      </c>
      <c r="DE67" s="1114"/>
      <c r="DF67" s="1114"/>
      <c r="DG67" s="1114"/>
      <c r="DH67" s="1114"/>
      <c r="DI67" s="1114"/>
      <c r="DJ67" s="1114"/>
      <c r="DK67" s="1114"/>
      <c r="DL67" s="1114"/>
      <c r="DM67" s="1114"/>
      <c r="DN67" s="1114"/>
      <c r="DO67" s="1114"/>
      <c r="DP67" s="1114"/>
      <c r="DQ67" s="1114"/>
      <c r="DR67" s="1114"/>
      <c r="DS67" s="1114"/>
      <c r="DT67" s="1115"/>
    </row>
    <row r="68" spans="2:124" ht="17" thickBot="1">
      <c r="B68" s="711" t="s">
        <v>144</v>
      </c>
      <c r="C68" s="600" t="s">
        <v>143</v>
      </c>
      <c r="D68" s="600" t="s">
        <v>1314</v>
      </c>
      <c r="E68" s="600" t="s">
        <v>146</v>
      </c>
      <c r="F68" s="600" t="s">
        <v>147</v>
      </c>
      <c r="G68" s="600" t="s">
        <v>148</v>
      </c>
      <c r="H68" s="600" t="s">
        <v>149</v>
      </c>
      <c r="I68" s="600" t="s">
        <v>150</v>
      </c>
      <c r="J68" s="600" t="s">
        <v>151</v>
      </c>
      <c r="K68" s="600" t="s">
        <v>152</v>
      </c>
      <c r="L68" s="600" t="s">
        <v>153</v>
      </c>
      <c r="M68" s="600" t="s">
        <v>154</v>
      </c>
      <c r="N68" s="600" t="s">
        <v>155</v>
      </c>
      <c r="O68" s="600" t="s">
        <v>156</v>
      </c>
      <c r="P68" s="600" t="s">
        <v>157</v>
      </c>
      <c r="Q68" s="600" t="s">
        <v>158</v>
      </c>
      <c r="R68" s="600" t="s">
        <v>159</v>
      </c>
      <c r="S68" s="600" t="s">
        <v>160</v>
      </c>
      <c r="T68" s="600" t="s">
        <v>161</v>
      </c>
      <c r="U68" s="600" t="s">
        <v>162</v>
      </c>
      <c r="V68" s="600" t="s">
        <v>163</v>
      </c>
      <c r="W68" s="779" t="s">
        <v>164</v>
      </c>
      <c r="Y68" s="711" t="s">
        <v>144</v>
      </c>
      <c r="Z68" s="600" t="s">
        <v>143</v>
      </c>
      <c r="AA68" s="600" t="s">
        <v>1314</v>
      </c>
      <c r="AB68" s="600" t="s">
        <v>196</v>
      </c>
      <c r="AC68" s="600" t="s">
        <v>197</v>
      </c>
      <c r="AD68" s="600" t="s">
        <v>198</v>
      </c>
      <c r="AE68" s="600" t="s">
        <v>149</v>
      </c>
      <c r="AF68" s="600" t="s">
        <v>199</v>
      </c>
      <c r="AG68" s="600" t="s">
        <v>152</v>
      </c>
      <c r="AH68" s="600" t="s">
        <v>151</v>
      </c>
      <c r="AI68" s="600" t="s">
        <v>157</v>
      </c>
      <c r="AJ68" s="600" t="s">
        <v>1631</v>
      </c>
      <c r="AK68" s="600" t="s">
        <v>200</v>
      </c>
      <c r="AL68" s="600" t="s">
        <v>201</v>
      </c>
      <c r="AM68" s="600" t="s">
        <v>203</v>
      </c>
      <c r="AN68" s="744" t="s">
        <v>205</v>
      </c>
      <c r="AO68" s="779" t="s">
        <v>164</v>
      </c>
      <c r="AQ68" s="711" t="s">
        <v>144</v>
      </c>
      <c r="AR68" s="600" t="s">
        <v>143</v>
      </c>
      <c r="AS68" s="600" t="s">
        <v>1314</v>
      </c>
      <c r="AT68" s="600" t="s">
        <v>146</v>
      </c>
      <c r="AU68" s="600" t="s">
        <v>147</v>
      </c>
      <c r="AV68" s="600" t="s">
        <v>148</v>
      </c>
      <c r="AW68" s="600" t="s">
        <v>149</v>
      </c>
      <c r="AX68" s="600" t="s">
        <v>150</v>
      </c>
      <c r="AY68" s="600" t="s">
        <v>151</v>
      </c>
      <c r="AZ68" s="600" t="s">
        <v>152</v>
      </c>
      <c r="BA68" s="600" t="s">
        <v>153</v>
      </c>
      <c r="BB68" s="600" t="s">
        <v>154</v>
      </c>
      <c r="BC68" s="600" t="s">
        <v>155</v>
      </c>
      <c r="BD68" s="600" t="s">
        <v>156</v>
      </c>
      <c r="BE68" s="600" t="s">
        <v>157</v>
      </c>
      <c r="BF68" s="600" t="s">
        <v>158</v>
      </c>
      <c r="BG68" s="600" t="s">
        <v>159</v>
      </c>
      <c r="BH68" s="600" t="s">
        <v>160</v>
      </c>
      <c r="BI68" s="600" t="s">
        <v>161</v>
      </c>
      <c r="BJ68" s="600" t="s">
        <v>162</v>
      </c>
      <c r="BK68" s="600" t="s">
        <v>163</v>
      </c>
      <c r="BL68" s="779" t="s">
        <v>164</v>
      </c>
      <c r="BN68" s="711" t="s">
        <v>144</v>
      </c>
      <c r="BO68" s="600" t="s">
        <v>143</v>
      </c>
      <c r="BP68" s="600" t="s">
        <v>1314</v>
      </c>
      <c r="BQ68" s="600" t="s">
        <v>196</v>
      </c>
      <c r="BR68" s="600" t="s">
        <v>197</v>
      </c>
      <c r="BS68" s="600" t="s">
        <v>198</v>
      </c>
      <c r="BT68" s="600" t="s">
        <v>149</v>
      </c>
      <c r="BU68" s="600" t="s">
        <v>199</v>
      </c>
      <c r="BV68" s="600" t="s">
        <v>152</v>
      </c>
      <c r="BW68" s="600" t="s">
        <v>151</v>
      </c>
      <c r="BX68" s="600" t="s">
        <v>157</v>
      </c>
      <c r="BY68" s="600" t="s">
        <v>1631</v>
      </c>
      <c r="BZ68" s="600" t="s">
        <v>200</v>
      </c>
      <c r="CA68" s="600" t="s">
        <v>201</v>
      </c>
      <c r="CB68" s="600" t="s">
        <v>203</v>
      </c>
      <c r="CC68" s="744" t="s">
        <v>205</v>
      </c>
      <c r="CD68" s="779" t="s">
        <v>164</v>
      </c>
      <c r="CG68" s="711" t="s">
        <v>144</v>
      </c>
      <c r="CH68" s="600" t="s">
        <v>143</v>
      </c>
      <c r="CI68" s="600" t="s">
        <v>1314</v>
      </c>
      <c r="CJ68" s="600" t="s">
        <v>146</v>
      </c>
      <c r="CK68" s="600" t="s">
        <v>147</v>
      </c>
      <c r="CL68" s="600" t="s">
        <v>148</v>
      </c>
      <c r="CM68" s="600" t="s">
        <v>149</v>
      </c>
      <c r="CN68" s="600" t="s">
        <v>150</v>
      </c>
      <c r="CO68" s="600" t="s">
        <v>151</v>
      </c>
      <c r="CP68" s="600" t="s">
        <v>152</v>
      </c>
      <c r="CQ68" s="600" t="s">
        <v>153</v>
      </c>
      <c r="CR68" s="600" t="s">
        <v>154</v>
      </c>
      <c r="CS68" s="600" t="s">
        <v>155</v>
      </c>
      <c r="CT68" s="600" t="s">
        <v>156</v>
      </c>
      <c r="CU68" s="600" t="s">
        <v>157</v>
      </c>
      <c r="CV68" s="600" t="s">
        <v>158</v>
      </c>
      <c r="CW68" s="600" t="s">
        <v>159</v>
      </c>
      <c r="CX68" s="600" t="s">
        <v>16</v>
      </c>
      <c r="CY68" s="600" t="s">
        <v>161</v>
      </c>
      <c r="CZ68" s="600" t="s">
        <v>162</v>
      </c>
      <c r="DA68" s="600" t="s">
        <v>163</v>
      </c>
      <c r="DB68" s="779" t="s">
        <v>164</v>
      </c>
      <c r="DD68" s="711" t="s">
        <v>144</v>
      </c>
      <c r="DE68" s="600" t="s">
        <v>143</v>
      </c>
      <c r="DF68" s="600" t="s">
        <v>1314</v>
      </c>
      <c r="DG68" s="600" t="s">
        <v>196</v>
      </c>
      <c r="DH68" s="600" t="s">
        <v>197</v>
      </c>
      <c r="DI68" s="600" t="s">
        <v>198</v>
      </c>
      <c r="DJ68" s="600" t="s">
        <v>149</v>
      </c>
      <c r="DK68" s="600" t="s">
        <v>199</v>
      </c>
      <c r="DL68" s="600" t="s">
        <v>152</v>
      </c>
      <c r="DM68" s="600" t="s">
        <v>151</v>
      </c>
      <c r="DN68" s="600" t="s">
        <v>157</v>
      </c>
      <c r="DO68" s="600" t="s">
        <v>1631</v>
      </c>
      <c r="DP68" s="600" t="s">
        <v>200</v>
      </c>
      <c r="DQ68" s="600" t="s">
        <v>201</v>
      </c>
      <c r="DR68" s="600" t="s">
        <v>203</v>
      </c>
      <c r="DS68" s="600" t="s">
        <v>205</v>
      </c>
      <c r="DT68" s="779" t="s">
        <v>164</v>
      </c>
    </row>
    <row r="69" spans="2:124">
      <c r="B69" s="711" t="s">
        <v>172</v>
      </c>
      <c r="C69" s="597" t="s">
        <v>804</v>
      </c>
      <c r="D69" s="600" t="s">
        <v>805</v>
      </c>
      <c r="E69" s="706">
        <v>0</v>
      </c>
      <c r="F69" s="598">
        <v>0.2</v>
      </c>
      <c r="G69" s="598">
        <v>0</v>
      </c>
      <c r="H69" s="673">
        <v>1</v>
      </c>
      <c r="I69" s="600">
        <v>4</v>
      </c>
      <c r="J69" s="600">
        <v>1</v>
      </c>
      <c r="K69" s="600">
        <v>0</v>
      </c>
      <c r="L69" s="600">
        <v>0</v>
      </c>
      <c r="M69" s="600">
        <v>0</v>
      </c>
      <c r="N69" s="600">
        <v>0</v>
      </c>
      <c r="O69" s="600">
        <v>0</v>
      </c>
      <c r="P69" s="600">
        <v>1</v>
      </c>
      <c r="Q69" s="600">
        <v>2</v>
      </c>
      <c r="R69" s="673">
        <v>0</v>
      </c>
      <c r="S69" s="600">
        <v>0</v>
      </c>
      <c r="T69" s="673">
        <v>0</v>
      </c>
      <c r="U69" s="598">
        <v>0.2</v>
      </c>
      <c r="V69" s="600">
        <v>0</v>
      </c>
      <c r="W69" s="614">
        <v>1</v>
      </c>
      <c r="Y69" s="711" t="s">
        <v>206</v>
      </c>
      <c r="Z69" s="597" t="s">
        <v>952</v>
      </c>
      <c r="AA69" s="600" t="s">
        <v>972</v>
      </c>
      <c r="AB69" s="934">
        <f>Table886346[[#This Row],[R]]*9/Table886346[[#This Row],[IP]]</f>
        <v>3</v>
      </c>
      <c r="AC69" s="673">
        <v>1</v>
      </c>
      <c r="AD69" s="600">
        <v>0</v>
      </c>
      <c r="AE69" s="673">
        <v>1</v>
      </c>
      <c r="AF69" s="630">
        <v>3</v>
      </c>
      <c r="AG69" s="600">
        <v>1</v>
      </c>
      <c r="AH69" s="600">
        <v>1</v>
      </c>
      <c r="AI69" s="600">
        <v>2</v>
      </c>
      <c r="AJ69" s="600">
        <v>2</v>
      </c>
      <c r="AK69" s="600">
        <v>0</v>
      </c>
      <c r="AL69" s="631">
        <f>(Table886346[[#This Row],[BB]]+Table886346[[#This Row],[H]])/Table886346[[#This Row],[IP]]</f>
        <v>1</v>
      </c>
      <c r="AM69" s="600">
        <v>0</v>
      </c>
      <c r="AN69" s="600">
        <v>0</v>
      </c>
      <c r="AO69" s="614">
        <v>1</v>
      </c>
      <c r="AQ69" s="711" t="s">
        <v>172</v>
      </c>
      <c r="AR69" s="597" t="s">
        <v>1229</v>
      </c>
      <c r="AS69" s="600" t="s">
        <v>1231</v>
      </c>
      <c r="AT69" s="706">
        <v>0.25</v>
      </c>
      <c r="AU69" s="598">
        <v>0.25</v>
      </c>
      <c r="AV69" s="598">
        <v>0.25</v>
      </c>
      <c r="AW69" s="673">
        <v>1</v>
      </c>
      <c r="AX69" s="600">
        <v>4</v>
      </c>
      <c r="AY69" s="600">
        <v>0</v>
      </c>
      <c r="AZ69" s="600">
        <v>1</v>
      </c>
      <c r="BA69" s="600">
        <v>0</v>
      </c>
      <c r="BB69" s="600">
        <v>0</v>
      </c>
      <c r="BC69" s="600">
        <v>0</v>
      </c>
      <c r="BD69" s="600">
        <v>0</v>
      </c>
      <c r="BE69" s="600">
        <v>0</v>
      </c>
      <c r="BF69" s="600">
        <v>1</v>
      </c>
      <c r="BG69" s="673">
        <v>0</v>
      </c>
      <c r="BH69" s="604">
        <v>1</v>
      </c>
      <c r="BI69" s="600">
        <v>1</v>
      </c>
      <c r="BJ69" s="598">
        <v>0.5</v>
      </c>
      <c r="BK69" s="600">
        <v>0</v>
      </c>
      <c r="BL69" s="614">
        <v>1</v>
      </c>
      <c r="BN69" s="711" t="s">
        <v>206</v>
      </c>
      <c r="BO69" s="597" t="s">
        <v>835</v>
      </c>
      <c r="BP69" s="600" t="s">
        <v>853</v>
      </c>
      <c r="BQ69" s="934">
        <v>0</v>
      </c>
      <c r="BR69" s="673">
        <v>0</v>
      </c>
      <c r="BS69" s="600">
        <v>0</v>
      </c>
      <c r="BT69" s="673">
        <v>1</v>
      </c>
      <c r="BU69" s="630">
        <v>3</v>
      </c>
      <c r="BV69" s="600">
        <v>1</v>
      </c>
      <c r="BW69" s="600">
        <v>0</v>
      </c>
      <c r="BX69" s="600">
        <v>1</v>
      </c>
      <c r="BY69" s="600">
        <v>3</v>
      </c>
      <c r="BZ69" s="600">
        <v>0</v>
      </c>
      <c r="CA69" s="935">
        <v>0.66666666666666663</v>
      </c>
      <c r="CB69" s="673">
        <v>0</v>
      </c>
      <c r="CC69" s="600">
        <v>0</v>
      </c>
      <c r="CD69" s="614">
        <v>1</v>
      </c>
      <c r="CG69" s="711" t="s">
        <v>179</v>
      </c>
      <c r="CH69" s="597" t="s">
        <v>804</v>
      </c>
      <c r="CI69" s="600" t="s">
        <v>807</v>
      </c>
      <c r="CJ69" s="706">
        <v>0</v>
      </c>
      <c r="CK69" s="598">
        <v>0.2</v>
      </c>
      <c r="CL69" s="598">
        <v>0</v>
      </c>
      <c r="CM69" s="673">
        <v>1</v>
      </c>
      <c r="CN69" s="600">
        <v>4</v>
      </c>
      <c r="CO69" s="600">
        <v>0</v>
      </c>
      <c r="CP69" s="600">
        <v>0</v>
      </c>
      <c r="CQ69" s="600">
        <v>0</v>
      </c>
      <c r="CR69" s="600">
        <v>0</v>
      </c>
      <c r="CS69" s="600">
        <v>0</v>
      </c>
      <c r="CT69" s="600">
        <v>0</v>
      </c>
      <c r="CU69" s="600">
        <v>1</v>
      </c>
      <c r="CV69" s="600">
        <v>2</v>
      </c>
      <c r="CW69" s="673">
        <v>0</v>
      </c>
      <c r="CX69" s="604">
        <v>0</v>
      </c>
      <c r="CY69" s="600">
        <v>0</v>
      </c>
      <c r="CZ69" s="598">
        <v>0.2</v>
      </c>
      <c r="DA69" s="600">
        <v>0</v>
      </c>
      <c r="DB69" s="614">
        <v>1</v>
      </c>
      <c r="DD69" s="711" t="s">
        <v>206</v>
      </c>
      <c r="DE69" s="597" t="s">
        <v>804</v>
      </c>
      <c r="DF69" s="600" t="s">
        <v>820</v>
      </c>
      <c r="DG69" s="663">
        <v>3</v>
      </c>
      <c r="DH69" s="600">
        <v>0</v>
      </c>
      <c r="DI69" s="600">
        <v>0</v>
      </c>
      <c r="DJ69" s="673">
        <v>1</v>
      </c>
      <c r="DK69" s="630">
        <v>3</v>
      </c>
      <c r="DL69" s="600">
        <v>2</v>
      </c>
      <c r="DM69" s="600">
        <v>1</v>
      </c>
      <c r="DN69" s="600">
        <v>2</v>
      </c>
      <c r="DO69" s="600">
        <v>1</v>
      </c>
      <c r="DP69" s="600">
        <v>0</v>
      </c>
      <c r="DQ69" s="972">
        <v>1.3333333333333333</v>
      </c>
      <c r="DR69" s="600">
        <v>0</v>
      </c>
      <c r="DS69" s="604">
        <v>0</v>
      </c>
      <c r="DT69" s="779">
        <v>1</v>
      </c>
    </row>
    <row r="70" spans="2:124">
      <c r="B70" s="712" t="s">
        <v>166</v>
      </c>
      <c r="C70" s="71" t="s">
        <v>1265</v>
      </c>
      <c r="D70" s="28" t="s">
        <v>1269</v>
      </c>
      <c r="E70" s="130">
        <v>0.25</v>
      </c>
      <c r="F70" s="72">
        <v>0.25</v>
      </c>
      <c r="G70" s="72">
        <v>0.25</v>
      </c>
      <c r="H70" s="77">
        <v>1</v>
      </c>
      <c r="I70" s="28">
        <v>4</v>
      </c>
      <c r="J70" s="28">
        <v>1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77">
        <v>0</v>
      </c>
      <c r="S70" s="28">
        <v>1</v>
      </c>
      <c r="T70" s="77">
        <v>1</v>
      </c>
      <c r="U70" s="72">
        <v>0.5</v>
      </c>
      <c r="V70" s="28">
        <v>0</v>
      </c>
      <c r="W70" s="615">
        <v>2</v>
      </c>
      <c r="Y70" s="712" t="s">
        <v>206</v>
      </c>
      <c r="Z70" s="71" t="s">
        <v>1171</v>
      </c>
      <c r="AA70" s="28" t="s">
        <v>1184</v>
      </c>
      <c r="AB70" s="135">
        <f>Table886346[[#This Row],[R]]*9/Table886346[[#This Row],[IP]]</f>
        <v>0</v>
      </c>
      <c r="AC70" s="77">
        <v>0</v>
      </c>
      <c r="AD70" s="28">
        <v>0</v>
      </c>
      <c r="AE70" s="77">
        <v>1</v>
      </c>
      <c r="AF70" s="584">
        <v>3</v>
      </c>
      <c r="AG70" s="28">
        <v>2</v>
      </c>
      <c r="AH70" s="28">
        <v>0</v>
      </c>
      <c r="AI70" s="28">
        <v>0</v>
      </c>
      <c r="AJ70" s="28">
        <v>4</v>
      </c>
      <c r="AK70" s="28">
        <v>0</v>
      </c>
      <c r="AL70" s="89">
        <f>(Table886346[[#This Row],[BB]]+Table886346[[#This Row],[H]])/Table886346[[#This Row],[IP]]</f>
        <v>0.66666666666666663</v>
      </c>
      <c r="AM70" s="28">
        <v>0</v>
      </c>
      <c r="AN70" s="28">
        <v>0</v>
      </c>
      <c r="AO70" s="615">
        <v>2</v>
      </c>
      <c r="AQ70" s="712" t="s">
        <v>181</v>
      </c>
      <c r="AR70" s="71" t="s">
        <v>1025</v>
      </c>
      <c r="AS70" s="28" t="s">
        <v>1029</v>
      </c>
      <c r="AT70" s="130">
        <v>0.25</v>
      </c>
      <c r="AU70" s="72">
        <v>0.25</v>
      </c>
      <c r="AV70" s="72">
        <v>0.25</v>
      </c>
      <c r="AW70" s="77">
        <v>1</v>
      </c>
      <c r="AX70" s="28">
        <v>4</v>
      </c>
      <c r="AY70" s="28">
        <v>0</v>
      </c>
      <c r="AZ70" s="28">
        <v>1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77">
        <v>0</v>
      </c>
      <c r="BH70" s="74">
        <v>1</v>
      </c>
      <c r="BI70" s="28">
        <v>1</v>
      </c>
      <c r="BJ70" s="72">
        <v>0.5</v>
      </c>
      <c r="BK70" s="28">
        <v>0</v>
      </c>
      <c r="BL70" s="615">
        <v>2</v>
      </c>
      <c r="BN70" s="712" t="s">
        <v>206</v>
      </c>
      <c r="BO70" s="71" t="s">
        <v>1025</v>
      </c>
      <c r="BP70" s="28" t="s">
        <v>1045</v>
      </c>
      <c r="BQ70" s="135">
        <v>0</v>
      </c>
      <c r="BR70" s="77">
        <v>1</v>
      </c>
      <c r="BS70" s="28">
        <v>0</v>
      </c>
      <c r="BT70" s="77">
        <v>1</v>
      </c>
      <c r="BU70" s="584">
        <v>3</v>
      </c>
      <c r="BV70" s="28">
        <v>2</v>
      </c>
      <c r="BW70" s="28">
        <v>0</v>
      </c>
      <c r="BX70" s="28">
        <v>1</v>
      </c>
      <c r="BY70" s="28">
        <v>2</v>
      </c>
      <c r="BZ70" s="28">
        <v>0</v>
      </c>
      <c r="CA70" s="566">
        <v>1</v>
      </c>
      <c r="CB70" s="77">
        <v>0</v>
      </c>
      <c r="CC70" s="28">
        <v>0</v>
      </c>
      <c r="CD70" s="615">
        <v>2</v>
      </c>
      <c r="CG70" s="712" t="s">
        <v>177</v>
      </c>
      <c r="CH70" s="71" t="s">
        <v>835</v>
      </c>
      <c r="CI70" s="28" t="s">
        <v>838</v>
      </c>
      <c r="CJ70" s="130">
        <v>0.16666666666666666</v>
      </c>
      <c r="CK70" s="72">
        <v>0.16666666666666666</v>
      </c>
      <c r="CL70" s="72">
        <v>0.33333333333333331</v>
      </c>
      <c r="CM70" s="77">
        <v>1</v>
      </c>
      <c r="CN70" s="28">
        <v>6</v>
      </c>
      <c r="CO70" s="28">
        <v>1</v>
      </c>
      <c r="CP70" s="28">
        <v>1</v>
      </c>
      <c r="CQ70" s="28">
        <v>1</v>
      </c>
      <c r="CR70" s="28">
        <v>0</v>
      </c>
      <c r="CS70" s="28">
        <v>0</v>
      </c>
      <c r="CT70" s="28">
        <v>1</v>
      </c>
      <c r="CU70" s="28">
        <v>0</v>
      </c>
      <c r="CV70" s="28">
        <v>0</v>
      </c>
      <c r="CW70" s="77">
        <v>0</v>
      </c>
      <c r="CX70" s="74">
        <v>1</v>
      </c>
      <c r="CY70" s="28">
        <v>2</v>
      </c>
      <c r="CZ70" s="72">
        <v>0.5</v>
      </c>
      <c r="DA70" s="28">
        <v>0</v>
      </c>
      <c r="DB70" s="615">
        <v>2</v>
      </c>
      <c r="DD70" s="712" t="s">
        <v>206</v>
      </c>
      <c r="DE70" s="71" t="s">
        <v>869</v>
      </c>
      <c r="DF70" s="28" t="s">
        <v>889</v>
      </c>
      <c r="DG70" s="88">
        <v>9</v>
      </c>
      <c r="DH70" s="28">
        <v>0</v>
      </c>
      <c r="DI70" s="28">
        <v>1</v>
      </c>
      <c r="DJ70" s="77">
        <v>1</v>
      </c>
      <c r="DK70" s="584">
        <v>3</v>
      </c>
      <c r="DL70" s="28">
        <v>1</v>
      </c>
      <c r="DM70" s="28">
        <v>3</v>
      </c>
      <c r="DN70" s="28">
        <v>5</v>
      </c>
      <c r="DO70" s="28">
        <v>1</v>
      </c>
      <c r="DP70" s="28">
        <v>0</v>
      </c>
      <c r="DQ70" s="572">
        <v>2</v>
      </c>
      <c r="DR70" s="28">
        <v>0</v>
      </c>
      <c r="DS70" s="74">
        <v>0</v>
      </c>
      <c r="DT70" s="780">
        <v>2</v>
      </c>
    </row>
    <row r="71" spans="2:124">
      <c r="B71" s="712" t="s">
        <v>153</v>
      </c>
      <c r="C71" s="71" t="s">
        <v>1265</v>
      </c>
      <c r="D71" s="28" t="s">
        <v>1266</v>
      </c>
      <c r="E71" s="130">
        <v>0.5</v>
      </c>
      <c r="F71" s="72">
        <v>0.5</v>
      </c>
      <c r="G71" s="72">
        <v>0.5</v>
      </c>
      <c r="H71" s="77">
        <v>1</v>
      </c>
      <c r="I71" s="28">
        <v>4</v>
      </c>
      <c r="J71" s="28">
        <v>0</v>
      </c>
      <c r="K71" s="28">
        <v>2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77">
        <v>0</v>
      </c>
      <c r="S71" s="28">
        <v>1</v>
      </c>
      <c r="T71" s="77">
        <v>2</v>
      </c>
      <c r="U71" s="72">
        <v>1</v>
      </c>
      <c r="V71" s="28">
        <v>0</v>
      </c>
      <c r="W71" s="615">
        <v>3</v>
      </c>
      <c r="Y71" s="712" t="s">
        <v>206</v>
      </c>
      <c r="Z71" s="71" t="s">
        <v>835</v>
      </c>
      <c r="AA71" s="28" t="s">
        <v>853</v>
      </c>
      <c r="AB71" s="135">
        <f>Table886346[[#This Row],[R]]*9/Table886346[[#This Row],[IP]]</f>
        <v>0</v>
      </c>
      <c r="AC71" s="77">
        <v>0</v>
      </c>
      <c r="AD71" s="28">
        <v>0</v>
      </c>
      <c r="AE71" s="77">
        <v>1</v>
      </c>
      <c r="AF71" s="584">
        <v>2</v>
      </c>
      <c r="AG71" s="28">
        <v>1</v>
      </c>
      <c r="AH71" s="28">
        <v>0</v>
      </c>
      <c r="AI71" s="28">
        <v>0</v>
      </c>
      <c r="AJ71" s="28">
        <v>2</v>
      </c>
      <c r="AK71" s="28">
        <v>0</v>
      </c>
      <c r="AL71" s="89">
        <f>(Table886346[[#This Row],[BB]]+Table886346[[#This Row],[H]])/Table886346[[#This Row],[IP]]</f>
        <v>0.5</v>
      </c>
      <c r="AM71" s="28">
        <v>0</v>
      </c>
      <c r="AN71" s="28">
        <v>0</v>
      </c>
      <c r="AO71" s="615">
        <v>3</v>
      </c>
      <c r="AQ71" s="712" t="s">
        <v>174</v>
      </c>
      <c r="AR71" s="71" t="s">
        <v>1062</v>
      </c>
      <c r="AS71" s="28" t="s">
        <v>1063</v>
      </c>
      <c r="AT71" s="130">
        <v>0</v>
      </c>
      <c r="AU71" s="72">
        <v>0.25</v>
      </c>
      <c r="AV71" s="72">
        <v>0</v>
      </c>
      <c r="AW71" s="77">
        <v>1</v>
      </c>
      <c r="AX71" s="28">
        <v>3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1</v>
      </c>
      <c r="BF71" s="28">
        <v>1</v>
      </c>
      <c r="BG71" s="77">
        <v>0</v>
      </c>
      <c r="BH71" s="74">
        <v>0</v>
      </c>
      <c r="BI71" s="28">
        <v>0</v>
      </c>
      <c r="BJ71" s="72">
        <v>0.25</v>
      </c>
      <c r="BK71" s="28">
        <v>0</v>
      </c>
      <c r="BL71" s="615">
        <v>3</v>
      </c>
      <c r="BN71" s="712" t="s">
        <v>206</v>
      </c>
      <c r="BO71" s="71" t="s">
        <v>804</v>
      </c>
      <c r="BP71" s="28" t="s">
        <v>820</v>
      </c>
      <c r="BQ71" s="135">
        <v>0</v>
      </c>
      <c r="BR71" s="77">
        <v>0</v>
      </c>
      <c r="BS71" s="28">
        <v>0</v>
      </c>
      <c r="BT71" s="77">
        <v>1</v>
      </c>
      <c r="BU71" s="584">
        <v>2</v>
      </c>
      <c r="BV71" s="28">
        <v>2</v>
      </c>
      <c r="BW71" s="28">
        <v>0</v>
      </c>
      <c r="BX71" s="28">
        <v>0</v>
      </c>
      <c r="BY71" s="28">
        <v>3</v>
      </c>
      <c r="BZ71" s="28">
        <v>0</v>
      </c>
      <c r="CA71" s="567">
        <v>1</v>
      </c>
      <c r="CB71" s="77">
        <v>0</v>
      </c>
      <c r="CC71" s="28">
        <v>0</v>
      </c>
      <c r="CD71" s="615">
        <v>3</v>
      </c>
      <c r="CG71" s="712" t="s">
        <v>153</v>
      </c>
      <c r="CH71" s="71" t="s">
        <v>804</v>
      </c>
      <c r="CI71" s="28" t="s">
        <v>811</v>
      </c>
      <c r="CJ71" s="130">
        <v>0.2</v>
      </c>
      <c r="CK71" s="72">
        <v>0.2</v>
      </c>
      <c r="CL71" s="72">
        <v>0.2</v>
      </c>
      <c r="CM71" s="77">
        <v>1</v>
      </c>
      <c r="CN71" s="28">
        <v>5</v>
      </c>
      <c r="CO71" s="28">
        <v>0</v>
      </c>
      <c r="CP71" s="28">
        <v>1</v>
      </c>
      <c r="CQ71" s="28">
        <v>0</v>
      </c>
      <c r="CR71" s="28">
        <v>0</v>
      </c>
      <c r="CS71" s="28">
        <v>0</v>
      </c>
      <c r="CT71" s="28">
        <v>0</v>
      </c>
      <c r="CU71" s="28">
        <v>0</v>
      </c>
      <c r="CV71" s="28">
        <v>2</v>
      </c>
      <c r="CW71" s="77">
        <v>0</v>
      </c>
      <c r="CX71" s="74">
        <v>1</v>
      </c>
      <c r="CY71" s="28">
        <v>1</v>
      </c>
      <c r="CZ71" s="72">
        <v>0.4</v>
      </c>
      <c r="DA71" s="28">
        <v>0</v>
      </c>
      <c r="DB71" s="615">
        <v>3</v>
      </c>
      <c r="DD71" s="712" t="s">
        <v>206</v>
      </c>
      <c r="DE71" s="71" t="s">
        <v>1200</v>
      </c>
      <c r="DF71" s="28" t="s">
        <v>1215</v>
      </c>
      <c r="DG71" s="88">
        <v>0</v>
      </c>
      <c r="DH71" s="28">
        <v>0</v>
      </c>
      <c r="DI71" s="28">
        <v>0</v>
      </c>
      <c r="DJ71" s="77">
        <v>1</v>
      </c>
      <c r="DK71" s="584">
        <v>3</v>
      </c>
      <c r="DL71" s="28">
        <v>1</v>
      </c>
      <c r="DM71" s="28">
        <v>0</v>
      </c>
      <c r="DN71" s="28">
        <v>0</v>
      </c>
      <c r="DO71" s="28">
        <v>4</v>
      </c>
      <c r="DP71" s="28">
        <v>0</v>
      </c>
      <c r="DQ71" s="573">
        <v>0.33333333333333331</v>
      </c>
      <c r="DR71" s="28">
        <v>0</v>
      </c>
      <c r="DS71" s="74">
        <v>0</v>
      </c>
      <c r="DT71" s="780">
        <v>3</v>
      </c>
    </row>
    <row r="72" spans="2:124">
      <c r="B72" s="712" t="s">
        <v>168</v>
      </c>
      <c r="C72" s="71" t="s">
        <v>952</v>
      </c>
      <c r="D72" s="28" t="s">
        <v>688</v>
      </c>
      <c r="E72" s="130">
        <v>0.66666666666666663</v>
      </c>
      <c r="F72" s="72">
        <v>0.75</v>
      </c>
      <c r="G72" s="72">
        <v>1.6666666666666667</v>
      </c>
      <c r="H72" s="77">
        <v>1</v>
      </c>
      <c r="I72" s="28">
        <v>3</v>
      </c>
      <c r="J72" s="28">
        <v>3</v>
      </c>
      <c r="K72" s="28">
        <v>2</v>
      </c>
      <c r="L72" s="28">
        <v>0</v>
      </c>
      <c r="M72" s="28">
        <v>0</v>
      </c>
      <c r="N72" s="28">
        <v>1</v>
      </c>
      <c r="O72" s="28">
        <v>2</v>
      </c>
      <c r="P72" s="28">
        <v>1</v>
      </c>
      <c r="Q72" s="28">
        <v>0</v>
      </c>
      <c r="R72" s="77">
        <v>0</v>
      </c>
      <c r="S72" s="28">
        <v>1</v>
      </c>
      <c r="T72" s="77">
        <v>5</v>
      </c>
      <c r="U72" s="72">
        <v>2.416666666666667</v>
      </c>
      <c r="V72" s="28">
        <v>0</v>
      </c>
      <c r="W72" s="615">
        <v>4</v>
      </c>
      <c r="Y72" s="712" t="s">
        <v>206</v>
      </c>
      <c r="Z72" s="71" t="s">
        <v>804</v>
      </c>
      <c r="AA72" s="28" t="s">
        <v>820</v>
      </c>
      <c r="AB72" s="135">
        <f>Table886346[[#This Row],[R]]*9/Table886346[[#This Row],[IP]]</f>
        <v>9</v>
      </c>
      <c r="AC72" s="77">
        <v>0</v>
      </c>
      <c r="AD72" s="28">
        <v>0</v>
      </c>
      <c r="AE72" s="77">
        <v>1</v>
      </c>
      <c r="AF72" s="584">
        <v>2</v>
      </c>
      <c r="AG72" s="28">
        <v>3</v>
      </c>
      <c r="AH72" s="28">
        <v>2</v>
      </c>
      <c r="AI72" s="28">
        <v>1</v>
      </c>
      <c r="AJ72" s="28">
        <v>3</v>
      </c>
      <c r="AK72" s="28">
        <v>0</v>
      </c>
      <c r="AL72" s="89">
        <f>(Table886346[[#This Row],[BB]]+Table886346[[#This Row],[H]])/Table886346[[#This Row],[IP]]</f>
        <v>2</v>
      </c>
      <c r="AM72" s="28">
        <v>0</v>
      </c>
      <c r="AN72" s="28">
        <v>0</v>
      </c>
      <c r="AO72" s="615">
        <v>4</v>
      </c>
      <c r="AQ72" s="712" t="s">
        <v>1915</v>
      </c>
      <c r="AR72" s="71" t="s">
        <v>1139</v>
      </c>
      <c r="AS72" s="28" t="s">
        <v>1147</v>
      </c>
      <c r="AT72" s="130">
        <v>0</v>
      </c>
      <c r="AU72" s="72">
        <v>0</v>
      </c>
      <c r="AV72" s="72">
        <v>0</v>
      </c>
      <c r="AW72" s="77">
        <v>1</v>
      </c>
      <c r="AX72" s="28">
        <v>4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2</v>
      </c>
      <c r="BG72" s="77">
        <v>0</v>
      </c>
      <c r="BH72" s="74">
        <v>0</v>
      </c>
      <c r="BI72" s="28">
        <v>0</v>
      </c>
      <c r="BJ72" s="72">
        <v>0</v>
      </c>
      <c r="BK72" s="28">
        <v>0</v>
      </c>
      <c r="BL72" s="615">
        <v>4</v>
      </c>
      <c r="BN72" s="712" t="s">
        <v>206</v>
      </c>
      <c r="BO72" s="71" t="s">
        <v>1171</v>
      </c>
      <c r="BP72" s="28" t="s">
        <v>1184</v>
      </c>
      <c r="BQ72" s="135">
        <v>0</v>
      </c>
      <c r="BR72" s="77">
        <v>0</v>
      </c>
      <c r="BS72" s="28">
        <v>0</v>
      </c>
      <c r="BT72" s="77">
        <v>1</v>
      </c>
      <c r="BU72" s="584">
        <v>1</v>
      </c>
      <c r="BV72" s="28">
        <v>1</v>
      </c>
      <c r="BW72" s="28">
        <v>0</v>
      </c>
      <c r="BX72" s="28">
        <v>1</v>
      </c>
      <c r="BY72" s="28">
        <v>0</v>
      </c>
      <c r="BZ72" s="28">
        <v>0</v>
      </c>
      <c r="CA72" s="566">
        <v>2</v>
      </c>
      <c r="CB72" s="77">
        <v>0</v>
      </c>
      <c r="CC72" s="28">
        <v>0</v>
      </c>
      <c r="CD72" s="615">
        <v>4</v>
      </c>
      <c r="CG72" s="712" t="s">
        <v>172</v>
      </c>
      <c r="CH72" s="71" t="s">
        <v>1265</v>
      </c>
      <c r="CI72" s="28" t="s">
        <v>1267</v>
      </c>
      <c r="CJ72" s="130">
        <v>0.25</v>
      </c>
      <c r="CK72" s="72">
        <v>0.4</v>
      </c>
      <c r="CL72" s="72">
        <v>0.25</v>
      </c>
      <c r="CM72" s="77">
        <v>1</v>
      </c>
      <c r="CN72" s="28">
        <v>4</v>
      </c>
      <c r="CO72" s="28">
        <v>0</v>
      </c>
      <c r="CP72" s="28">
        <v>1</v>
      </c>
      <c r="CQ72" s="28">
        <v>0</v>
      </c>
      <c r="CR72" s="28">
        <v>0</v>
      </c>
      <c r="CS72" s="28">
        <v>0</v>
      </c>
      <c r="CT72" s="28">
        <v>0</v>
      </c>
      <c r="CU72" s="28">
        <v>1</v>
      </c>
      <c r="CV72" s="28">
        <v>1</v>
      </c>
      <c r="CW72" s="77">
        <v>0</v>
      </c>
      <c r="CX72" s="74">
        <v>1</v>
      </c>
      <c r="CY72" s="28">
        <v>1</v>
      </c>
      <c r="CZ72" s="72">
        <v>0.65</v>
      </c>
      <c r="DA72" s="28">
        <v>0</v>
      </c>
      <c r="DB72" s="615">
        <v>4</v>
      </c>
      <c r="DD72" s="712" t="s">
        <v>206</v>
      </c>
      <c r="DE72" s="71" t="s">
        <v>903</v>
      </c>
      <c r="DF72" s="28" t="s">
        <v>923</v>
      </c>
      <c r="DG72" s="88">
        <v>4.5</v>
      </c>
      <c r="DH72" s="28">
        <v>0</v>
      </c>
      <c r="DI72" s="28">
        <v>0</v>
      </c>
      <c r="DJ72" s="77">
        <v>1</v>
      </c>
      <c r="DK72" s="584">
        <v>2</v>
      </c>
      <c r="DL72" s="28">
        <v>2</v>
      </c>
      <c r="DM72" s="28">
        <v>1</v>
      </c>
      <c r="DN72" s="28">
        <v>0</v>
      </c>
      <c r="DO72" s="28">
        <v>3</v>
      </c>
      <c r="DP72" s="28">
        <v>0</v>
      </c>
      <c r="DQ72" s="572">
        <v>1</v>
      </c>
      <c r="DR72" s="28">
        <v>0</v>
      </c>
      <c r="DS72" s="74">
        <v>0</v>
      </c>
      <c r="DT72" s="780">
        <v>4</v>
      </c>
    </row>
    <row r="73" spans="2:124">
      <c r="B73" s="712" t="s">
        <v>177</v>
      </c>
      <c r="C73" s="71" t="s">
        <v>804</v>
      </c>
      <c r="D73" s="28" t="s">
        <v>806</v>
      </c>
      <c r="E73" s="130">
        <v>0.5</v>
      </c>
      <c r="F73" s="72">
        <v>0.5</v>
      </c>
      <c r="G73" s="72">
        <v>2</v>
      </c>
      <c r="H73" s="77">
        <v>1</v>
      </c>
      <c r="I73" s="28">
        <v>4</v>
      </c>
      <c r="J73" s="28">
        <v>2</v>
      </c>
      <c r="K73" s="28">
        <v>2</v>
      </c>
      <c r="L73" s="28">
        <v>0</v>
      </c>
      <c r="M73" s="28">
        <v>0</v>
      </c>
      <c r="N73" s="28">
        <v>2</v>
      </c>
      <c r="O73" s="28">
        <v>6</v>
      </c>
      <c r="P73" s="28">
        <v>0</v>
      </c>
      <c r="Q73" s="28">
        <v>2</v>
      </c>
      <c r="R73" s="77">
        <v>0</v>
      </c>
      <c r="S73" s="28">
        <v>1</v>
      </c>
      <c r="T73" s="77">
        <v>8</v>
      </c>
      <c r="U73" s="72">
        <v>2.5</v>
      </c>
      <c r="V73" s="28">
        <v>1</v>
      </c>
      <c r="W73" s="615">
        <v>5</v>
      </c>
      <c r="Y73" s="712" t="s">
        <v>206</v>
      </c>
      <c r="Z73" s="71" t="s">
        <v>1139</v>
      </c>
      <c r="AA73" s="28" t="s">
        <v>559</v>
      </c>
      <c r="AB73" s="135">
        <f>Table886346[[#This Row],[R]]*9/Table886346[[#This Row],[IP]]</f>
        <v>0</v>
      </c>
      <c r="AC73" s="77">
        <v>0</v>
      </c>
      <c r="AD73" s="28">
        <v>0</v>
      </c>
      <c r="AE73" s="77">
        <v>1</v>
      </c>
      <c r="AF73" s="584">
        <v>1</v>
      </c>
      <c r="AG73" s="28">
        <v>1</v>
      </c>
      <c r="AH73" s="28">
        <v>0</v>
      </c>
      <c r="AI73" s="28">
        <v>0</v>
      </c>
      <c r="AJ73" s="28">
        <v>2</v>
      </c>
      <c r="AK73" s="28">
        <v>0</v>
      </c>
      <c r="AL73" s="89">
        <f>(Table886346[[#This Row],[BB]]+Table886346[[#This Row],[H]])/Table886346[[#This Row],[IP]]</f>
        <v>1</v>
      </c>
      <c r="AM73" s="28">
        <v>0</v>
      </c>
      <c r="AN73" s="28">
        <v>0</v>
      </c>
      <c r="AO73" s="615">
        <v>5</v>
      </c>
      <c r="AQ73" s="712" t="s">
        <v>168</v>
      </c>
      <c r="AR73" s="71" t="s">
        <v>804</v>
      </c>
      <c r="AS73" s="28" t="s">
        <v>806</v>
      </c>
      <c r="AT73" s="130">
        <v>0</v>
      </c>
      <c r="AU73" s="72">
        <v>0</v>
      </c>
      <c r="AV73" s="72">
        <v>0</v>
      </c>
      <c r="AW73" s="77">
        <v>1</v>
      </c>
      <c r="AX73" s="28">
        <v>3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77">
        <v>0</v>
      </c>
      <c r="BH73" s="74">
        <v>0</v>
      </c>
      <c r="BI73" s="28">
        <v>0</v>
      </c>
      <c r="BJ73" s="72">
        <v>0</v>
      </c>
      <c r="BK73" s="28">
        <v>0</v>
      </c>
      <c r="BL73" s="615">
        <v>5</v>
      </c>
      <c r="BN73" s="712" t="s">
        <v>206</v>
      </c>
      <c r="BO73" s="71" t="s">
        <v>1200</v>
      </c>
      <c r="BP73" s="28" t="s">
        <v>1215</v>
      </c>
      <c r="BQ73" s="135">
        <v>0</v>
      </c>
      <c r="BR73" s="77">
        <v>0</v>
      </c>
      <c r="BS73" s="28">
        <v>0</v>
      </c>
      <c r="BT73" s="77">
        <v>1</v>
      </c>
      <c r="BU73" s="584">
        <v>2</v>
      </c>
      <c r="BV73" s="28">
        <v>1</v>
      </c>
      <c r="BW73" s="28">
        <v>0</v>
      </c>
      <c r="BX73" s="28">
        <v>1</v>
      </c>
      <c r="BY73" s="28">
        <v>1</v>
      </c>
      <c r="BZ73" s="28">
        <v>0</v>
      </c>
      <c r="CA73" s="567">
        <v>1</v>
      </c>
      <c r="CB73" s="77">
        <v>0</v>
      </c>
      <c r="CC73" s="28">
        <v>0</v>
      </c>
      <c r="CD73" s="615">
        <v>5</v>
      </c>
      <c r="CG73" s="712" t="s">
        <v>154</v>
      </c>
      <c r="CH73" s="71" t="s">
        <v>1200</v>
      </c>
      <c r="CI73" s="28" t="s">
        <v>1202</v>
      </c>
      <c r="CJ73" s="130">
        <v>0.25</v>
      </c>
      <c r="CK73" s="72">
        <v>0.25</v>
      </c>
      <c r="CL73" s="72">
        <v>0.25</v>
      </c>
      <c r="CM73" s="77">
        <v>1</v>
      </c>
      <c r="CN73" s="28">
        <v>4</v>
      </c>
      <c r="CO73" s="28">
        <v>0</v>
      </c>
      <c r="CP73" s="28">
        <v>1</v>
      </c>
      <c r="CQ73" s="28">
        <v>0</v>
      </c>
      <c r="CR73" s="28">
        <v>0</v>
      </c>
      <c r="CS73" s="28">
        <v>0</v>
      </c>
      <c r="CT73" s="28">
        <v>1</v>
      </c>
      <c r="CU73" s="28">
        <v>0</v>
      </c>
      <c r="CV73" s="28">
        <v>1</v>
      </c>
      <c r="CW73" s="77">
        <v>0</v>
      </c>
      <c r="CX73" s="74">
        <v>1</v>
      </c>
      <c r="CY73" s="28">
        <v>1</v>
      </c>
      <c r="CZ73" s="72">
        <v>0.5</v>
      </c>
      <c r="DA73" s="28">
        <v>0</v>
      </c>
      <c r="DB73" s="615">
        <v>5</v>
      </c>
      <c r="DD73" s="712" t="s">
        <v>206</v>
      </c>
      <c r="DE73" s="71" t="s">
        <v>869</v>
      </c>
      <c r="DF73" s="28" t="s">
        <v>821</v>
      </c>
      <c r="DG73" s="88">
        <v>0</v>
      </c>
      <c r="DH73" s="28">
        <v>0</v>
      </c>
      <c r="DI73" s="28">
        <v>0</v>
      </c>
      <c r="DJ73" s="77">
        <v>1</v>
      </c>
      <c r="DK73" s="584">
        <v>1</v>
      </c>
      <c r="DL73" s="28">
        <v>1</v>
      </c>
      <c r="DM73" s="28">
        <v>0</v>
      </c>
      <c r="DN73" s="28">
        <v>1</v>
      </c>
      <c r="DO73" s="28">
        <v>1</v>
      </c>
      <c r="DP73" s="28">
        <v>0</v>
      </c>
      <c r="DQ73" s="573">
        <v>2</v>
      </c>
      <c r="DR73" s="28">
        <v>0</v>
      </c>
      <c r="DS73" s="74">
        <v>0</v>
      </c>
      <c r="DT73" s="780">
        <v>5</v>
      </c>
    </row>
    <row r="74" spans="2:124">
      <c r="B74" s="712" t="s">
        <v>181</v>
      </c>
      <c r="C74" s="71" t="s">
        <v>1229</v>
      </c>
      <c r="D74" s="28" t="s">
        <v>1230</v>
      </c>
      <c r="E74" s="130">
        <v>0.25</v>
      </c>
      <c r="F74" s="72">
        <v>0.25</v>
      </c>
      <c r="G74" s="72">
        <v>0.25</v>
      </c>
      <c r="H74" s="77">
        <v>1</v>
      </c>
      <c r="I74" s="28">
        <v>4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1</v>
      </c>
      <c r="R74" s="77">
        <v>0</v>
      </c>
      <c r="S74" s="28">
        <v>1</v>
      </c>
      <c r="T74" s="77">
        <v>1</v>
      </c>
      <c r="U74" s="72">
        <v>0.5</v>
      </c>
      <c r="V74" s="28">
        <v>0</v>
      </c>
      <c r="W74" s="615">
        <v>6</v>
      </c>
      <c r="Y74" s="712" t="s">
        <v>206</v>
      </c>
      <c r="Z74" s="71" t="s">
        <v>1265</v>
      </c>
      <c r="AA74" s="28" t="s">
        <v>1285</v>
      </c>
      <c r="AB74" s="135">
        <f>Table886346[[#This Row],[R]]*9/Table886346[[#This Row],[IP]]</f>
        <v>0</v>
      </c>
      <c r="AC74" s="77">
        <v>0</v>
      </c>
      <c r="AD74" s="28">
        <v>0</v>
      </c>
      <c r="AE74" s="77">
        <v>1</v>
      </c>
      <c r="AF74" s="584">
        <v>1</v>
      </c>
      <c r="AG74" s="28">
        <v>0</v>
      </c>
      <c r="AH74" s="28">
        <v>0</v>
      </c>
      <c r="AI74" s="28">
        <v>0</v>
      </c>
      <c r="AJ74" s="28">
        <v>1</v>
      </c>
      <c r="AK74" s="28">
        <v>0</v>
      </c>
      <c r="AL74" s="89">
        <f>(Table886346[[#This Row],[BB]]+Table886346[[#This Row],[H]])/Table886346[[#This Row],[IP]]</f>
        <v>0</v>
      </c>
      <c r="AM74" s="28">
        <v>0</v>
      </c>
      <c r="AN74" s="28">
        <v>0</v>
      </c>
      <c r="AO74" s="615">
        <v>6</v>
      </c>
      <c r="AQ74" s="712" t="s">
        <v>177</v>
      </c>
      <c r="AR74" s="71" t="s">
        <v>869</v>
      </c>
      <c r="AS74" s="28" t="s">
        <v>871</v>
      </c>
      <c r="AT74" s="130">
        <v>0</v>
      </c>
      <c r="AU74" s="72">
        <v>0</v>
      </c>
      <c r="AV74" s="72">
        <v>0</v>
      </c>
      <c r="AW74" s="77">
        <v>1</v>
      </c>
      <c r="AX74" s="28">
        <v>3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1</v>
      </c>
      <c r="BG74" s="77">
        <v>0</v>
      </c>
      <c r="BH74" s="74">
        <v>0</v>
      </c>
      <c r="BI74" s="28">
        <v>0</v>
      </c>
      <c r="BJ74" s="72">
        <v>0</v>
      </c>
      <c r="BK74" s="28">
        <v>0</v>
      </c>
      <c r="BL74" s="615">
        <v>6</v>
      </c>
      <c r="BN74" s="712" t="s">
        <v>206</v>
      </c>
      <c r="BO74" s="71" t="s">
        <v>990</v>
      </c>
      <c r="BP74" s="28" t="s">
        <v>1008</v>
      </c>
      <c r="BQ74" s="135">
        <v>0</v>
      </c>
      <c r="BR74" s="77">
        <v>0</v>
      </c>
      <c r="BS74" s="28">
        <v>0</v>
      </c>
      <c r="BT74" s="77">
        <v>1</v>
      </c>
      <c r="BU74" s="584">
        <v>1</v>
      </c>
      <c r="BV74" s="28">
        <v>0</v>
      </c>
      <c r="BW74" s="28">
        <v>0</v>
      </c>
      <c r="BX74" s="28">
        <v>0</v>
      </c>
      <c r="BY74" s="28">
        <v>1</v>
      </c>
      <c r="BZ74" s="28">
        <v>0</v>
      </c>
      <c r="CA74" s="566">
        <v>0</v>
      </c>
      <c r="CB74" s="77">
        <v>0</v>
      </c>
      <c r="CC74" s="28">
        <v>0</v>
      </c>
      <c r="CD74" s="615">
        <v>6</v>
      </c>
      <c r="CG74" s="712" t="s">
        <v>174</v>
      </c>
      <c r="CH74" s="71" t="s">
        <v>1139</v>
      </c>
      <c r="CI74" s="28" t="s">
        <v>1142</v>
      </c>
      <c r="CJ74" s="130">
        <v>0.2</v>
      </c>
      <c r="CK74" s="72">
        <v>0.33333333333333331</v>
      </c>
      <c r="CL74" s="72">
        <v>0.2</v>
      </c>
      <c r="CM74" s="77">
        <v>1</v>
      </c>
      <c r="CN74" s="28">
        <v>5</v>
      </c>
      <c r="CO74" s="28">
        <v>0</v>
      </c>
      <c r="CP74" s="28">
        <v>1</v>
      </c>
      <c r="CQ74" s="28">
        <v>0</v>
      </c>
      <c r="CR74" s="28">
        <v>0</v>
      </c>
      <c r="CS74" s="28">
        <v>0</v>
      </c>
      <c r="CT74" s="28">
        <v>0</v>
      </c>
      <c r="CU74" s="28">
        <v>1</v>
      </c>
      <c r="CV74" s="28">
        <v>2</v>
      </c>
      <c r="CW74" s="77">
        <v>0</v>
      </c>
      <c r="CX74" s="74">
        <v>1</v>
      </c>
      <c r="CY74" s="28">
        <v>1</v>
      </c>
      <c r="CZ74" s="72">
        <v>0.53333333333333333</v>
      </c>
      <c r="DA74" s="28">
        <v>0</v>
      </c>
      <c r="DB74" s="615">
        <v>6</v>
      </c>
      <c r="DD74" s="712" t="s">
        <v>206</v>
      </c>
      <c r="DE74" s="71" t="s">
        <v>990</v>
      </c>
      <c r="DF74" s="28" t="s">
        <v>1010</v>
      </c>
      <c r="DG74" s="88">
        <v>9</v>
      </c>
      <c r="DH74" s="28">
        <v>0</v>
      </c>
      <c r="DI74" s="28">
        <v>0</v>
      </c>
      <c r="DJ74" s="77">
        <v>1</v>
      </c>
      <c r="DK74" s="584">
        <v>1</v>
      </c>
      <c r="DL74" s="28">
        <v>2</v>
      </c>
      <c r="DM74" s="28">
        <v>1</v>
      </c>
      <c r="DN74" s="28">
        <v>0</v>
      </c>
      <c r="DO74" s="28">
        <v>2</v>
      </c>
      <c r="DP74" s="28">
        <v>0</v>
      </c>
      <c r="DQ74" s="572">
        <v>2</v>
      </c>
      <c r="DR74" s="28">
        <v>0</v>
      </c>
      <c r="DS74" s="74">
        <v>0</v>
      </c>
      <c r="DT74" s="780">
        <v>6</v>
      </c>
    </row>
    <row r="75" spans="2:124">
      <c r="B75" s="712" t="s">
        <v>154</v>
      </c>
      <c r="C75" s="71" t="s">
        <v>770</v>
      </c>
      <c r="D75" s="28" t="s">
        <v>771</v>
      </c>
      <c r="E75" s="130">
        <v>0</v>
      </c>
      <c r="F75" s="72">
        <v>0</v>
      </c>
      <c r="G75" s="72">
        <v>0</v>
      </c>
      <c r="H75" s="77">
        <v>1</v>
      </c>
      <c r="I75" s="28">
        <v>4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1</v>
      </c>
      <c r="R75" s="77">
        <v>0</v>
      </c>
      <c r="S75" s="28">
        <v>0</v>
      </c>
      <c r="T75" s="77">
        <v>0</v>
      </c>
      <c r="U75" s="72">
        <v>0</v>
      </c>
      <c r="V75" s="28">
        <v>0</v>
      </c>
      <c r="W75" s="615">
        <v>7</v>
      </c>
      <c r="Y75" s="712" t="s">
        <v>206</v>
      </c>
      <c r="Z75" s="71" t="s">
        <v>903</v>
      </c>
      <c r="AA75" s="28" t="s">
        <v>923</v>
      </c>
      <c r="AB75" s="135">
        <f>Table886346[[#This Row],[R]]*9/Table886346[[#This Row],[IP]]</f>
        <v>9</v>
      </c>
      <c r="AC75" s="77">
        <v>0</v>
      </c>
      <c r="AD75" s="28">
        <v>0</v>
      </c>
      <c r="AE75" s="77">
        <v>1</v>
      </c>
      <c r="AF75" s="584">
        <v>1</v>
      </c>
      <c r="AG75" s="28">
        <v>1</v>
      </c>
      <c r="AH75" s="28">
        <v>1</v>
      </c>
      <c r="AI75" s="28">
        <v>0</v>
      </c>
      <c r="AJ75" s="28">
        <v>1</v>
      </c>
      <c r="AK75" s="28">
        <v>0</v>
      </c>
      <c r="AL75" s="89">
        <f>(Table886346[[#This Row],[BB]]+Table886346[[#This Row],[H]])/Table886346[[#This Row],[IP]]</f>
        <v>1</v>
      </c>
      <c r="AM75" s="28">
        <v>0</v>
      </c>
      <c r="AN75" s="28">
        <v>0</v>
      </c>
      <c r="AO75" s="615">
        <v>7</v>
      </c>
      <c r="AQ75" s="712" t="s">
        <v>154</v>
      </c>
      <c r="AR75" s="71" t="s">
        <v>1139</v>
      </c>
      <c r="AS75" s="28" t="s">
        <v>1141</v>
      </c>
      <c r="AT75" s="130">
        <v>0</v>
      </c>
      <c r="AU75" s="72">
        <v>0</v>
      </c>
      <c r="AV75" s="72">
        <v>0</v>
      </c>
      <c r="AW75" s="77">
        <v>1</v>
      </c>
      <c r="AX75" s="28">
        <v>3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2</v>
      </c>
      <c r="BG75" s="77">
        <v>0</v>
      </c>
      <c r="BH75" s="74">
        <v>0</v>
      </c>
      <c r="BI75" s="28">
        <v>0</v>
      </c>
      <c r="BJ75" s="72">
        <v>0</v>
      </c>
      <c r="BK75" s="28">
        <v>0</v>
      </c>
      <c r="BL75" s="615">
        <v>7</v>
      </c>
      <c r="BN75" s="712" t="s">
        <v>212</v>
      </c>
      <c r="BO75" s="71" t="s">
        <v>869</v>
      </c>
      <c r="BP75" s="28" t="s">
        <v>821</v>
      </c>
      <c r="BQ75" s="135">
        <v>9</v>
      </c>
      <c r="BR75" s="77">
        <v>0</v>
      </c>
      <c r="BS75" s="28">
        <v>1</v>
      </c>
      <c r="BT75" s="77">
        <v>1</v>
      </c>
      <c r="BU75" s="584">
        <v>1</v>
      </c>
      <c r="BV75" s="28">
        <v>2</v>
      </c>
      <c r="BW75" s="28">
        <v>1</v>
      </c>
      <c r="BX75" s="28">
        <v>0</v>
      </c>
      <c r="BY75" s="28">
        <v>3</v>
      </c>
      <c r="BZ75" s="28">
        <v>0</v>
      </c>
      <c r="CA75" s="567">
        <v>2</v>
      </c>
      <c r="CB75" s="77">
        <v>0</v>
      </c>
      <c r="CC75" s="28">
        <v>0</v>
      </c>
      <c r="CD75" s="615">
        <v>7</v>
      </c>
      <c r="CG75" s="712" t="s">
        <v>181</v>
      </c>
      <c r="CH75" s="71" t="s">
        <v>1229</v>
      </c>
      <c r="CI75" s="28" t="s">
        <v>1230</v>
      </c>
      <c r="CJ75" s="130">
        <v>0.5</v>
      </c>
      <c r="CK75" s="72">
        <v>0.5</v>
      </c>
      <c r="CL75" s="72">
        <v>0.66666666666666663</v>
      </c>
      <c r="CM75" s="77">
        <v>1</v>
      </c>
      <c r="CN75" s="28">
        <v>6</v>
      </c>
      <c r="CO75" s="28">
        <v>1</v>
      </c>
      <c r="CP75" s="28">
        <v>3</v>
      </c>
      <c r="CQ75" s="28">
        <v>1</v>
      </c>
      <c r="CR75" s="28">
        <v>0</v>
      </c>
      <c r="CS75" s="28">
        <v>0</v>
      </c>
      <c r="CT75" s="28">
        <v>0</v>
      </c>
      <c r="CU75" s="28">
        <v>0</v>
      </c>
      <c r="CV75" s="28">
        <v>2</v>
      </c>
      <c r="CW75" s="77">
        <v>0</v>
      </c>
      <c r="CX75" s="74">
        <v>1</v>
      </c>
      <c r="CY75" s="28">
        <v>4</v>
      </c>
      <c r="CZ75" s="72">
        <v>1.1666666666666665</v>
      </c>
      <c r="DA75" s="28">
        <v>0</v>
      </c>
      <c r="DB75" s="615">
        <v>7</v>
      </c>
      <c r="DD75" s="712" t="s">
        <v>212</v>
      </c>
      <c r="DE75" s="71" t="s">
        <v>1200</v>
      </c>
      <c r="DF75" s="28" t="s">
        <v>1224</v>
      </c>
      <c r="DG75" s="88">
        <v>18</v>
      </c>
      <c r="DH75" s="28">
        <v>0</v>
      </c>
      <c r="DI75" s="28">
        <v>1</v>
      </c>
      <c r="DJ75" s="77">
        <v>1</v>
      </c>
      <c r="DK75" s="584">
        <v>1</v>
      </c>
      <c r="DL75" s="28">
        <v>2</v>
      </c>
      <c r="DM75" s="28">
        <v>2</v>
      </c>
      <c r="DN75" s="28">
        <v>0</v>
      </c>
      <c r="DO75" s="28">
        <v>3</v>
      </c>
      <c r="DP75" s="28">
        <v>0</v>
      </c>
      <c r="DQ75" s="573">
        <v>2</v>
      </c>
      <c r="DR75" s="28">
        <v>0</v>
      </c>
      <c r="DS75" s="74">
        <v>0</v>
      </c>
      <c r="DT75" s="780">
        <v>7</v>
      </c>
    </row>
    <row r="76" spans="2:124">
      <c r="B76" s="712" t="s">
        <v>174</v>
      </c>
      <c r="C76" s="71" t="s">
        <v>1229</v>
      </c>
      <c r="D76" s="28" t="s">
        <v>997</v>
      </c>
      <c r="E76" s="130">
        <v>0.25</v>
      </c>
      <c r="F76" s="72">
        <v>0.25</v>
      </c>
      <c r="G76" s="72">
        <v>1</v>
      </c>
      <c r="H76" s="77">
        <v>1</v>
      </c>
      <c r="I76" s="28">
        <v>4</v>
      </c>
      <c r="J76" s="28">
        <v>1</v>
      </c>
      <c r="K76" s="28">
        <v>1</v>
      </c>
      <c r="L76" s="28">
        <v>0</v>
      </c>
      <c r="M76" s="28">
        <v>0</v>
      </c>
      <c r="N76" s="28">
        <v>1</v>
      </c>
      <c r="O76" s="28">
        <v>1</v>
      </c>
      <c r="P76" s="28">
        <v>0</v>
      </c>
      <c r="Q76" s="28">
        <v>1</v>
      </c>
      <c r="R76" s="77">
        <v>0</v>
      </c>
      <c r="S76" s="28">
        <v>1</v>
      </c>
      <c r="T76" s="77">
        <v>4</v>
      </c>
      <c r="U76" s="72">
        <v>1.25</v>
      </c>
      <c r="V76" s="28">
        <v>0</v>
      </c>
      <c r="W76" s="615">
        <v>8</v>
      </c>
      <c r="Y76" s="712" t="s">
        <v>206</v>
      </c>
      <c r="Z76" s="71" t="s">
        <v>835</v>
      </c>
      <c r="AA76" s="28" t="s">
        <v>855</v>
      </c>
      <c r="AB76" s="135">
        <f>Table886346[[#This Row],[R]]*9/Table886346[[#This Row],[IP]]</f>
        <v>0</v>
      </c>
      <c r="AC76" s="77">
        <v>0</v>
      </c>
      <c r="AD76" s="28">
        <v>0</v>
      </c>
      <c r="AE76" s="77">
        <v>1</v>
      </c>
      <c r="AF76" s="584">
        <v>1</v>
      </c>
      <c r="AG76" s="28">
        <v>1</v>
      </c>
      <c r="AH76" s="28">
        <v>0</v>
      </c>
      <c r="AI76" s="28">
        <v>0</v>
      </c>
      <c r="AJ76" s="28">
        <v>3</v>
      </c>
      <c r="AK76" s="28">
        <v>0</v>
      </c>
      <c r="AL76" s="89">
        <f>(Table886346[[#This Row],[BB]]+Table886346[[#This Row],[H]])/Table886346[[#This Row],[IP]]</f>
        <v>1</v>
      </c>
      <c r="AM76" s="28">
        <v>0</v>
      </c>
      <c r="AN76" s="28">
        <v>0</v>
      </c>
      <c r="AO76" s="615">
        <v>8</v>
      </c>
      <c r="AQ76" s="712" t="s">
        <v>166</v>
      </c>
      <c r="AR76" s="71" t="s">
        <v>952</v>
      </c>
      <c r="AS76" s="28" t="s">
        <v>953</v>
      </c>
      <c r="AT76" s="130">
        <v>0.33333333333333331</v>
      </c>
      <c r="AU76" s="72">
        <v>0.33333333333333331</v>
      </c>
      <c r="AV76" s="72">
        <v>0.66666666666666663</v>
      </c>
      <c r="AW76" s="77">
        <v>1</v>
      </c>
      <c r="AX76" s="28">
        <v>3</v>
      </c>
      <c r="AY76" s="28">
        <v>0</v>
      </c>
      <c r="AZ76" s="28">
        <v>1</v>
      </c>
      <c r="BA76" s="28">
        <v>1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77">
        <v>0</v>
      </c>
      <c r="BH76" s="74">
        <v>1</v>
      </c>
      <c r="BI76" s="28">
        <v>2</v>
      </c>
      <c r="BJ76" s="72">
        <v>1</v>
      </c>
      <c r="BK76" s="28">
        <v>0</v>
      </c>
      <c r="BL76" s="615">
        <v>8</v>
      </c>
      <c r="BN76" s="712" t="s">
        <v>212</v>
      </c>
      <c r="BO76" s="71" t="s">
        <v>1096</v>
      </c>
      <c r="BP76" s="28" t="s">
        <v>1117</v>
      </c>
      <c r="BQ76" s="135">
        <v>0</v>
      </c>
      <c r="BR76" s="77">
        <v>0</v>
      </c>
      <c r="BS76" s="28">
        <v>0</v>
      </c>
      <c r="BT76" s="77">
        <v>1</v>
      </c>
      <c r="BU76" s="584">
        <v>1</v>
      </c>
      <c r="BV76" s="28">
        <v>0</v>
      </c>
      <c r="BW76" s="28">
        <v>0</v>
      </c>
      <c r="BX76" s="28">
        <v>0</v>
      </c>
      <c r="BY76" s="28">
        <v>1</v>
      </c>
      <c r="BZ76" s="28">
        <v>0</v>
      </c>
      <c r="CA76" s="566">
        <v>0</v>
      </c>
      <c r="CB76" s="77">
        <v>0</v>
      </c>
      <c r="CC76" s="28">
        <v>0</v>
      </c>
      <c r="CD76" s="615">
        <v>8</v>
      </c>
      <c r="CG76" s="712" t="s">
        <v>166</v>
      </c>
      <c r="CH76" s="71" t="s">
        <v>1025</v>
      </c>
      <c r="CI76" s="28" t="s">
        <v>1028</v>
      </c>
      <c r="CJ76" s="130">
        <v>0.25</v>
      </c>
      <c r="CK76" s="72">
        <v>0.4</v>
      </c>
      <c r="CL76" s="72">
        <v>0.25</v>
      </c>
      <c r="CM76" s="77">
        <v>1</v>
      </c>
      <c r="CN76" s="28">
        <v>4</v>
      </c>
      <c r="CO76" s="28">
        <v>0</v>
      </c>
      <c r="CP76" s="28">
        <v>1</v>
      </c>
      <c r="CQ76" s="28">
        <v>0</v>
      </c>
      <c r="CR76" s="28">
        <v>0</v>
      </c>
      <c r="CS76" s="28">
        <v>0</v>
      </c>
      <c r="CT76" s="28">
        <v>0</v>
      </c>
      <c r="CU76" s="28">
        <v>1</v>
      </c>
      <c r="CV76" s="28">
        <v>1</v>
      </c>
      <c r="CW76" s="77">
        <v>0</v>
      </c>
      <c r="CX76" s="74">
        <v>1</v>
      </c>
      <c r="CY76" s="28">
        <v>1</v>
      </c>
      <c r="CZ76" s="72">
        <v>0.65</v>
      </c>
      <c r="DA76" s="28">
        <v>0</v>
      </c>
      <c r="DB76" s="615">
        <v>8</v>
      </c>
      <c r="DD76" s="712" t="s">
        <v>212</v>
      </c>
      <c r="DE76" s="71" t="s">
        <v>1171</v>
      </c>
      <c r="DF76" s="28" t="s">
        <v>1196</v>
      </c>
      <c r="DG76" s="88">
        <v>0</v>
      </c>
      <c r="DH76" s="28">
        <v>0</v>
      </c>
      <c r="DI76" s="28">
        <v>0</v>
      </c>
      <c r="DJ76" s="77">
        <v>1</v>
      </c>
      <c r="DK76" s="584">
        <v>1</v>
      </c>
      <c r="DL76" s="28">
        <v>1</v>
      </c>
      <c r="DM76" s="28">
        <v>0</v>
      </c>
      <c r="DN76" s="28">
        <v>1</v>
      </c>
      <c r="DO76" s="28">
        <v>2</v>
      </c>
      <c r="DP76" s="28">
        <v>0</v>
      </c>
      <c r="DQ76" s="572">
        <v>2</v>
      </c>
      <c r="DR76" s="28">
        <v>0</v>
      </c>
      <c r="DS76" s="74">
        <v>0</v>
      </c>
      <c r="DT76" s="780">
        <v>8</v>
      </c>
    </row>
    <row r="77" spans="2:124">
      <c r="B77" s="712" t="s">
        <v>179</v>
      </c>
      <c r="C77" s="71" t="s">
        <v>952</v>
      </c>
      <c r="D77" s="28" t="s">
        <v>958</v>
      </c>
      <c r="E77" s="130">
        <v>0.5</v>
      </c>
      <c r="F77" s="72">
        <v>0.5</v>
      </c>
      <c r="G77" s="72">
        <v>0.75</v>
      </c>
      <c r="H77" s="77">
        <v>1</v>
      </c>
      <c r="I77" s="28">
        <v>4</v>
      </c>
      <c r="J77" s="28">
        <v>1</v>
      </c>
      <c r="K77" s="28">
        <v>2</v>
      </c>
      <c r="L77" s="28">
        <v>1</v>
      </c>
      <c r="M77" s="28">
        <v>0</v>
      </c>
      <c r="N77" s="28">
        <v>0</v>
      </c>
      <c r="O77" s="28">
        <v>0</v>
      </c>
      <c r="P77" s="28">
        <v>0</v>
      </c>
      <c r="Q77" s="28">
        <v>1</v>
      </c>
      <c r="R77" s="77">
        <v>0</v>
      </c>
      <c r="S77" s="28">
        <v>1</v>
      </c>
      <c r="T77" s="77">
        <v>3</v>
      </c>
      <c r="U77" s="72">
        <v>1.25</v>
      </c>
      <c r="V77" s="28">
        <v>0</v>
      </c>
      <c r="W77" s="615">
        <v>9</v>
      </c>
      <c r="Y77" s="712" t="s">
        <v>212</v>
      </c>
      <c r="Z77" s="71" t="s">
        <v>869</v>
      </c>
      <c r="AA77" s="28" t="s">
        <v>900</v>
      </c>
      <c r="AB77" s="135">
        <f>Table886346[[#This Row],[R]]*9/Table886346[[#This Row],[IP]]</f>
        <v>0</v>
      </c>
      <c r="AC77" s="77">
        <v>0</v>
      </c>
      <c r="AD77" s="28">
        <v>0</v>
      </c>
      <c r="AE77" s="77">
        <v>1</v>
      </c>
      <c r="AF77" s="584">
        <v>1</v>
      </c>
      <c r="AG77" s="28">
        <v>2</v>
      </c>
      <c r="AH77" s="28">
        <v>0</v>
      </c>
      <c r="AI77" s="28">
        <v>0</v>
      </c>
      <c r="AJ77" s="28">
        <v>1</v>
      </c>
      <c r="AK77" s="28">
        <v>0</v>
      </c>
      <c r="AL77" s="89">
        <f>(Table886346[[#This Row],[BB]]+Table886346[[#This Row],[H]])/Table886346[[#This Row],[IP]]</f>
        <v>2</v>
      </c>
      <c r="AM77" s="28">
        <v>0</v>
      </c>
      <c r="AN77" s="28">
        <v>0</v>
      </c>
      <c r="AO77" s="615">
        <v>9</v>
      </c>
      <c r="AQ77" s="712" t="s">
        <v>153</v>
      </c>
      <c r="AR77" s="71" t="s">
        <v>952</v>
      </c>
      <c r="AS77" s="28" t="s">
        <v>959</v>
      </c>
      <c r="AT77" s="130">
        <v>0</v>
      </c>
      <c r="AU77" s="72">
        <v>0</v>
      </c>
      <c r="AV77" s="72">
        <v>0</v>
      </c>
      <c r="AW77" s="77">
        <v>1</v>
      </c>
      <c r="AX77" s="28">
        <v>2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1</v>
      </c>
      <c r="BG77" s="77">
        <v>0</v>
      </c>
      <c r="BH77" s="74">
        <v>0</v>
      </c>
      <c r="BI77" s="28">
        <v>0</v>
      </c>
      <c r="BJ77" s="72">
        <v>0</v>
      </c>
      <c r="BK77" s="28">
        <v>0</v>
      </c>
      <c r="BL77" s="615">
        <v>9</v>
      </c>
      <c r="BN77" s="712" t="s">
        <v>212</v>
      </c>
      <c r="BO77" s="71" t="s">
        <v>1062</v>
      </c>
      <c r="BP77" s="28" t="s">
        <v>1091</v>
      </c>
      <c r="BQ77" s="135">
        <v>0</v>
      </c>
      <c r="BR77" s="77">
        <v>0</v>
      </c>
      <c r="BS77" s="28">
        <v>0</v>
      </c>
      <c r="BT77" s="77">
        <v>1</v>
      </c>
      <c r="BU77" s="584">
        <v>1</v>
      </c>
      <c r="BV77" s="28">
        <v>1</v>
      </c>
      <c r="BW77" s="28">
        <v>0</v>
      </c>
      <c r="BX77" s="28">
        <v>0</v>
      </c>
      <c r="BY77" s="28">
        <v>2</v>
      </c>
      <c r="BZ77" s="28">
        <v>0</v>
      </c>
      <c r="CA77" s="567">
        <v>1</v>
      </c>
      <c r="CB77" s="77">
        <v>0</v>
      </c>
      <c r="CC77" s="28">
        <v>0</v>
      </c>
      <c r="CD77" s="615">
        <v>9</v>
      </c>
      <c r="CG77" s="712" t="s">
        <v>168</v>
      </c>
      <c r="CH77" s="71" t="s">
        <v>952</v>
      </c>
      <c r="CI77" s="28" t="s">
        <v>724</v>
      </c>
      <c r="CJ77" s="130">
        <v>0.4</v>
      </c>
      <c r="CK77" s="72">
        <v>0.5</v>
      </c>
      <c r="CL77" s="72">
        <v>0.4</v>
      </c>
      <c r="CM77" s="77">
        <v>1</v>
      </c>
      <c r="CN77" s="28">
        <v>5</v>
      </c>
      <c r="CO77" s="28">
        <v>0</v>
      </c>
      <c r="CP77" s="28">
        <v>2</v>
      </c>
      <c r="CQ77" s="28">
        <v>0</v>
      </c>
      <c r="CR77" s="28">
        <v>0</v>
      </c>
      <c r="CS77" s="28">
        <v>0</v>
      </c>
      <c r="CT77" s="28">
        <v>0</v>
      </c>
      <c r="CU77" s="28">
        <v>1</v>
      </c>
      <c r="CV77" s="28">
        <v>0</v>
      </c>
      <c r="CW77" s="77">
        <v>0</v>
      </c>
      <c r="CX77" s="74">
        <v>1</v>
      </c>
      <c r="CY77" s="28">
        <v>2</v>
      </c>
      <c r="CZ77" s="72">
        <v>0.9</v>
      </c>
      <c r="DA77" s="28">
        <v>0</v>
      </c>
      <c r="DB77" s="615">
        <v>9</v>
      </c>
      <c r="DD77" s="712" t="s">
        <v>212</v>
      </c>
      <c r="DE77" s="71" t="s">
        <v>804</v>
      </c>
      <c r="DF77" s="28" t="s">
        <v>831</v>
      </c>
      <c r="DG77" s="88">
        <v>0</v>
      </c>
      <c r="DH77" s="28">
        <v>0</v>
      </c>
      <c r="DI77" s="28">
        <v>0</v>
      </c>
      <c r="DJ77" s="77">
        <v>1</v>
      </c>
      <c r="DK77" s="584">
        <v>1</v>
      </c>
      <c r="DL77" s="28">
        <v>0</v>
      </c>
      <c r="DM77" s="28">
        <v>0</v>
      </c>
      <c r="DN77" s="28">
        <v>0</v>
      </c>
      <c r="DO77" s="28">
        <v>1</v>
      </c>
      <c r="DP77" s="28">
        <v>0</v>
      </c>
      <c r="DQ77" s="573">
        <v>0</v>
      </c>
      <c r="DR77" s="28">
        <v>0</v>
      </c>
      <c r="DS77" s="74">
        <v>0</v>
      </c>
      <c r="DT77" s="780">
        <v>9</v>
      </c>
    </row>
    <row r="78" spans="2:124">
      <c r="B78" s="712" t="s">
        <v>1917</v>
      </c>
      <c r="C78" s="71" t="s">
        <v>770</v>
      </c>
      <c r="D78" s="28" t="s">
        <v>777</v>
      </c>
      <c r="E78" s="130">
        <v>0.4</v>
      </c>
      <c r="F78" s="72">
        <v>0.4</v>
      </c>
      <c r="G78" s="72">
        <v>0.4</v>
      </c>
      <c r="H78" s="77">
        <v>1</v>
      </c>
      <c r="I78" s="28">
        <v>5</v>
      </c>
      <c r="J78" s="28">
        <v>1</v>
      </c>
      <c r="K78" s="28">
        <v>2</v>
      </c>
      <c r="L78" s="28">
        <v>0</v>
      </c>
      <c r="M78" s="28">
        <v>0</v>
      </c>
      <c r="N78" s="28">
        <v>0</v>
      </c>
      <c r="O78" s="28">
        <v>2</v>
      </c>
      <c r="P78" s="28">
        <v>0</v>
      </c>
      <c r="Q78" s="28">
        <v>1</v>
      </c>
      <c r="R78" s="77">
        <v>0</v>
      </c>
      <c r="S78" s="28">
        <v>1</v>
      </c>
      <c r="T78" s="77">
        <v>2</v>
      </c>
      <c r="U78" s="72">
        <v>0.8</v>
      </c>
      <c r="V78" s="28">
        <v>0</v>
      </c>
      <c r="W78" s="615">
        <v>10</v>
      </c>
      <c r="Y78" s="712" t="s">
        <v>212</v>
      </c>
      <c r="Z78" s="71" t="s">
        <v>1171</v>
      </c>
      <c r="AA78" s="28" t="s">
        <v>1196</v>
      </c>
      <c r="AB78" s="135">
        <f>Table886346[[#This Row],[R]]*9/Table886346[[#This Row],[IP]]</f>
        <v>0</v>
      </c>
      <c r="AC78" s="77">
        <v>0</v>
      </c>
      <c r="AD78" s="28">
        <v>0</v>
      </c>
      <c r="AE78" s="77">
        <v>1</v>
      </c>
      <c r="AF78" s="584">
        <v>1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89">
        <f>(Table886346[[#This Row],[BB]]+Table886346[[#This Row],[H]])/Table886346[[#This Row],[IP]]</f>
        <v>0</v>
      </c>
      <c r="AM78" s="28">
        <v>0</v>
      </c>
      <c r="AN78" s="28">
        <v>0</v>
      </c>
      <c r="AO78" s="615">
        <v>10</v>
      </c>
      <c r="AQ78" s="712" t="s">
        <v>1918</v>
      </c>
      <c r="AR78" s="71" t="s">
        <v>804</v>
      </c>
      <c r="AS78" s="28" t="s">
        <v>805</v>
      </c>
      <c r="AT78" s="130">
        <v>0.25</v>
      </c>
      <c r="AU78" s="72">
        <v>0.4</v>
      </c>
      <c r="AV78" s="72">
        <v>0.5</v>
      </c>
      <c r="AW78" s="77">
        <v>1</v>
      </c>
      <c r="AX78" s="28">
        <v>4</v>
      </c>
      <c r="AY78" s="28">
        <v>1</v>
      </c>
      <c r="AZ78" s="28">
        <v>1</v>
      </c>
      <c r="BA78" s="28">
        <v>1</v>
      </c>
      <c r="BB78" s="28">
        <v>0</v>
      </c>
      <c r="BC78" s="28">
        <v>0</v>
      </c>
      <c r="BD78" s="28">
        <v>0</v>
      </c>
      <c r="BE78" s="28">
        <v>1</v>
      </c>
      <c r="BF78" s="28">
        <v>1</v>
      </c>
      <c r="BG78" s="77">
        <v>0</v>
      </c>
      <c r="BH78" s="74">
        <v>1</v>
      </c>
      <c r="BI78" s="28">
        <v>2</v>
      </c>
      <c r="BJ78" s="72">
        <v>0.9</v>
      </c>
      <c r="BK78" s="28">
        <v>0</v>
      </c>
      <c r="BL78" s="615">
        <v>10</v>
      </c>
      <c r="BN78" s="712" t="s">
        <v>212</v>
      </c>
      <c r="BO78" s="71" t="s">
        <v>1200</v>
      </c>
      <c r="BP78" s="28" t="s">
        <v>1225</v>
      </c>
      <c r="BQ78" s="135">
        <v>0</v>
      </c>
      <c r="BR78" s="77">
        <v>0</v>
      </c>
      <c r="BS78" s="28">
        <v>0</v>
      </c>
      <c r="BT78" s="77">
        <v>1</v>
      </c>
      <c r="BU78" s="584">
        <v>0.67</v>
      </c>
      <c r="BV78" s="28">
        <v>0</v>
      </c>
      <c r="BW78" s="28">
        <v>0</v>
      </c>
      <c r="BX78" s="28">
        <v>0</v>
      </c>
      <c r="BY78" s="28">
        <v>1</v>
      </c>
      <c r="BZ78" s="28">
        <v>0</v>
      </c>
      <c r="CA78" s="566">
        <v>0</v>
      </c>
      <c r="CB78" s="77">
        <v>0</v>
      </c>
      <c r="CC78" s="28">
        <v>0</v>
      </c>
      <c r="CD78" s="615">
        <v>10</v>
      </c>
      <c r="CG78" s="712" t="s">
        <v>1915</v>
      </c>
      <c r="CH78" s="71" t="s">
        <v>1025</v>
      </c>
      <c r="CI78" s="28" t="s">
        <v>1031</v>
      </c>
      <c r="CJ78" s="130">
        <v>0</v>
      </c>
      <c r="CK78" s="72">
        <v>0.25</v>
      </c>
      <c r="CL78" s="72">
        <v>0</v>
      </c>
      <c r="CM78" s="77">
        <v>1</v>
      </c>
      <c r="CN78" s="28">
        <v>3</v>
      </c>
      <c r="CO78" s="28">
        <v>0</v>
      </c>
      <c r="CP78" s="28">
        <v>0</v>
      </c>
      <c r="CQ78" s="28">
        <v>0</v>
      </c>
      <c r="CR78" s="28">
        <v>0</v>
      </c>
      <c r="CS78" s="28">
        <v>0</v>
      </c>
      <c r="CT78" s="28">
        <v>0</v>
      </c>
      <c r="CU78" s="28">
        <v>1</v>
      </c>
      <c r="CV78" s="28">
        <v>1</v>
      </c>
      <c r="CW78" s="77">
        <v>0</v>
      </c>
      <c r="CX78" s="74">
        <v>0</v>
      </c>
      <c r="CY78" s="28">
        <v>0</v>
      </c>
      <c r="CZ78" s="72">
        <v>0.25</v>
      </c>
      <c r="DA78" s="28">
        <v>0</v>
      </c>
      <c r="DB78" s="615">
        <v>10</v>
      </c>
      <c r="DD78" s="712" t="s">
        <v>212</v>
      </c>
      <c r="DE78" s="71" t="s">
        <v>1062</v>
      </c>
      <c r="DF78" s="28" t="s">
        <v>1092</v>
      </c>
      <c r="DG78" s="88">
        <v>9</v>
      </c>
      <c r="DH78" s="28">
        <v>0</v>
      </c>
      <c r="DI78" s="28">
        <v>0</v>
      </c>
      <c r="DJ78" s="77">
        <v>1</v>
      </c>
      <c r="DK78" s="584">
        <v>1</v>
      </c>
      <c r="DL78" s="28">
        <v>1</v>
      </c>
      <c r="DM78" s="28">
        <v>1</v>
      </c>
      <c r="DN78" s="28">
        <v>0</v>
      </c>
      <c r="DO78" s="28">
        <v>1</v>
      </c>
      <c r="DP78" s="28">
        <v>0</v>
      </c>
      <c r="DQ78" s="572">
        <v>1</v>
      </c>
      <c r="DR78" s="28">
        <v>0</v>
      </c>
      <c r="DS78" s="74">
        <v>0</v>
      </c>
      <c r="DT78" s="780">
        <v>10</v>
      </c>
    </row>
    <row r="79" spans="2:124">
      <c r="B79" s="712" t="s">
        <v>1919</v>
      </c>
      <c r="C79" s="71" t="s">
        <v>804</v>
      </c>
      <c r="D79" s="28" t="s">
        <v>808</v>
      </c>
      <c r="E79" s="130">
        <v>0</v>
      </c>
      <c r="F79" s="72">
        <v>0</v>
      </c>
      <c r="G79" s="72">
        <v>0</v>
      </c>
      <c r="H79" s="77">
        <v>1</v>
      </c>
      <c r="I79" s="28">
        <v>4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3</v>
      </c>
      <c r="R79" s="77">
        <v>0</v>
      </c>
      <c r="S79" s="28">
        <v>0</v>
      </c>
      <c r="T79" s="77">
        <v>0</v>
      </c>
      <c r="U79" s="72">
        <v>0</v>
      </c>
      <c r="V79" s="28">
        <v>0</v>
      </c>
      <c r="W79" s="615">
        <v>11</v>
      </c>
      <c r="Y79" s="712" t="s">
        <v>212</v>
      </c>
      <c r="Z79" s="71" t="s">
        <v>804</v>
      </c>
      <c r="AA79" s="28" t="s">
        <v>831</v>
      </c>
      <c r="AB79" s="135">
        <f>Table886346[[#This Row],[R]]*9/Table886346[[#This Row],[IP]]</f>
        <v>0</v>
      </c>
      <c r="AC79" s="77">
        <v>1</v>
      </c>
      <c r="AD79" s="28">
        <v>0</v>
      </c>
      <c r="AE79" s="77">
        <v>1</v>
      </c>
      <c r="AF79" s="584">
        <v>2</v>
      </c>
      <c r="AG79" s="28">
        <v>3</v>
      </c>
      <c r="AH79" s="28">
        <v>0</v>
      </c>
      <c r="AI79" s="28">
        <v>3</v>
      </c>
      <c r="AJ79" s="28">
        <v>4</v>
      </c>
      <c r="AK79" s="28">
        <v>0</v>
      </c>
      <c r="AL79" s="89">
        <f>(Table886346[[#This Row],[BB]]+Table886346[[#This Row],[H]])/Table886346[[#This Row],[IP]]</f>
        <v>3</v>
      </c>
      <c r="AM79" s="28">
        <v>0</v>
      </c>
      <c r="AN79" s="28">
        <v>0</v>
      </c>
      <c r="AO79" s="615">
        <v>11</v>
      </c>
      <c r="AQ79" s="712" t="s">
        <v>1917</v>
      </c>
      <c r="AR79" s="71" t="s">
        <v>990</v>
      </c>
      <c r="AS79" s="28" t="s">
        <v>995</v>
      </c>
      <c r="AT79" s="130">
        <v>0</v>
      </c>
      <c r="AU79" s="72">
        <v>0.4</v>
      </c>
      <c r="AV79" s="72">
        <v>0</v>
      </c>
      <c r="AW79" s="77">
        <v>1</v>
      </c>
      <c r="AX79" s="28">
        <v>3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2</v>
      </c>
      <c r="BF79" s="28">
        <v>0</v>
      </c>
      <c r="BG79" s="77">
        <v>0</v>
      </c>
      <c r="BH79" s="74">
        <v>0</v>
      </c>
      <c r="BI79" s="28">
        <v>0</v>
      </c>
      <c r="BJ79" s="72">
        <v>0.4</v>
      </c>
      <c r="BK79" s="28">
        <v>0</v>
      </c>
      <c r="BL79" s="615">
        <v>11</v>
      </c>
      <c r="BN79" s="712" t="s">
        <v>212</v>
      </c>
      <c r="BO79" s="71" t="s">
        <v>1139</v>
      </c>
      <c r="BP79" s="28" t="s">
        <v>1167</v>
      </c>
      <c r="BQ79" s="135">
        <v>0</v>
      </c>
      <c r="BR79" s="77">
        <v>0</v>
      </c>
      <c r="BS79" s="28">
        <v>0</v>
      </c>
      <c r="BT79" s="77">
        <v>1</v>
      </c>
      <c r="BU79" s="584">
        <v>0.33</v>
      </c>
      <c r="BV79" s="28">
        <v>0</v>
      </c>
      <c r="BW79" s="28">
        <v>0</v>
      </c>
      <c r="BX79" s="28">
        <v>0</v>
      </c>
      <c r="BY79" s="28">
        <v>1</v>
      </c>
      <c r="BZ79" s="28">
        <v>1</v>
      </c>
      <c r="CA79" s="567">
        <v>0</v>
      </c>
      <c r="CB79" s="77">
        <v>0</v>
      </c>
      <c r="CC79" s="28">
        <v>0</v>
      </c>
      <c r="CD79" s="615">
        <v>11</v>
      </c>
      <c r="CG79" s="712" t="s">
        <v>1916</v>
      </c>
      <c r="CH79" s="71" t="s">
        <v>952</v>
      </c>
      <c r="CI79" s="28" t="s">
        <v>957</v>
      </c>
      <c r="CJ79" s="130">
        <v>0</v>
      </c>
      <c r="CK79" s="72">
        <v>0.5</v>
      </c>
      <c r="CL79" s="72">
        <v>0</v>
      </c>
      <c r="CM79" s="77">
        <v>1</v>
      </c>
      <c r="CN79" s="28">
        <v>2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2</v>
      </c>
      <c r="CV79" s="28">
        <v>2</v>
      </c>
      <c r="CW79" s="77">
        <v>0</v>
      </c>
      <c r="CX79" s="74">
        <v>0</v>
      </c>
      <c r="CY79" s="28">
        <v>0</v>
      </c>
      <c r="CZ79" s="72">
        <v>0.5</v>
      </c>
      <c r="DA79" s="28">
        <v>0</v>
      </c>
      <c r="DB79" s="615">
        <v>11</v>
      </c>
      <c r="DD79" s="712" t="s">
        <v>212</v>
      </c>
      <c r="DE79" s="71" t="s">
        <v>835</v>
      </c>
      <c r="DF79" s="28" t="s">
        <v>865</v>
      </c>
      <c r="DG79" s="88">
        <v>0</v>
      </c>
      <c r="DH79" s="28">
        <v>0</v>
      </c>
      <c r="DI79" s="28">
        <v>0</v>
      </c>
      <c r="DJ79" s="77">
        <v>1</v>
      </c>
      <c r="DK79" s="584">
        <v>1</v>
      </c>
      <c r="DL79" s="28">
        <v>1</v>
      </c>
      <c r="DM79" s="28">
        <v>0</v>
      </c>
      <c r="DN79" s="28">
        <v>0</v>
      </c>
      <c r="DO79" s="28">
        <v>0</v>
      </c>
      <c r="DP79" s="28">
        <v>0</v>
      </c>
      <c r="DQ79" s="573">
        <v>1</v>
      </c>
      <c r="DR79" s="28">
        <v>0</v>
      </c>
      <c r="DS79" s="74">
        <v>0</v>
      </c>
      <c r="DT79" s="780">
        <v>11</v>
      </c>
    </row>
    <row r="80" spans="2:124" ht="17" thickBot="1">
      <c r="B80" s="712" t="s">
        <v>1922</v>
      </c>
      <c r="C80" s="71" t="s">
        <v>1096</v>
      </c>
      <c r="D80" s="28" t="s">
        <v>1100</v>
      </c>
      <c r="E80" s="130">
        <v>0.5</v>
      </c>
      <c r="F80" s="72">
        <v>0.5</v>
      </c>
      <c r="G80" s="72">
        <v>0.75</v>
      </c>
      <c r="H80" s="77">
        <v>1</v>
      </c>
      <c r="I80" s="28">
        <v>4</v>
      </c>
      <c r="J80" s="28">
        <v>0</v>
      </c>
      <c r="K80" s="28">
        <v>2</v>
      </c>
      <c r="L80" s="28">
        <v>1</v>
      </c>
      <c r="M80" s="28">
        <v>0</v>
      </c>
      <c r="N80" s="28">
        <v>0</v>
      </c>
      <c r="O80" s="28">
        <v>1</v>
      </c>
      <c r="P80" s="28">
        <v>0</v>
      </c>
      <c r="Q80" s="28">
        <v>0</v>
      </c>
      <c r="R80" s="77">
        <v>0</v>
      </c>
      <c r="S80" s="28">
        <v>1</v>
      </c>
      <c r="T80" s="77">
        <v>3</v>
      </c>
      <c r="U80" s="72">
        <v>1.25</v>
      </c>
      <c r="V80" s="28">
        <v>0</v>
      </c>
      <c r="W80" s="615">
        <v>12</v>
      </c>
      <c r="Y80" s="712" t="s">
        <v>212</v>
      </c>
      <c r="Z80" s="78" t="s">
        <v>1062</v>
      </c>
      <c r="AA80" s="28" t="s">
        <v>1092</v>
      </c>
      <c r="AB80" s="135">
        <f>Table886346[[#This Row],[R]]*9/Table886346[[#This Row],[IP]]</f>
        <v>0</v>
      </c>
      <c r="AC80" s="77">
        <v>0</v>
      </c>
      <c r="AD80" s="28">
        <v>0</v>
      </c>
      <c r="AE80" s="77">
        <v>1</v>
      </c>
      <c r="AF80" s="584">
        <v>1</v>
      </c>
      <c r="AG80" s="28">
        <v>1</v>
      </c>
      <c r="AH80" s="28">
        <v>0</v>
      </c>
      <c r="AI80" s="28">
        <v>0</v>
      </c>
      <c r="AJ80" s="28">
        <v>1</v>
      </c>
      <c r="AK80" s="28">
        <v>0</v>
      </c>
      <c r="AL80" s="89">
        <f>(Table886346[[#This Row],[BB]]+Table886346[[#This Row],[H]])/Table886346[[#This Row],[IP]]</f>
        <v>1</v>
      </c>
      <c r="AM80" s="28">
        <v>0</v>
      </c>
      <c r="AN80" s="28">
        <v>0</v>
      </c>
      <c r="AO80" s="615">
        <v>12</v>
      </c>
      <c r="AQ80" s="712" t="s">
        <v>1919</v>
      </c>
      <c r="AR80" s="71" t="s">
        <v>952</v>
      </c>
      <c r="AS80" s="28" t="s">
        <v>954</v>
      </c>
      <c r="AT80" s="130">
        <v>0.2</v>
      </c>
      <c r="AU80" s="72">
        <v>0.2</v>
      </c>
      <c r="AV80" s="72">
        <v>0.2</v>
      </c>
      <c r="AW80" s="77">
        <v>1</v>
      </c>
      <c r="AX80" s="28">
        <v>5</v>
      </c>
      <c r="AY80" s="28">
        <v>1</v>
      </c>
      <c r="AZ80" s="28">
        <v>1</v>
      </c>
      <c r="BA80" s="28">
        <v>0</v>
      </c>
      <c r="BB80" s="28">
        <v>0</v>
      </c>
      <c r="BC80" s="28">
        <v>0</v>
      </c>
      <c r="BD80" s="28">
        <v>1</v>
      </c>
      <c r="BE80" s="28">
        <v>0</v>
      </c>
      <c r="BF80" s="28">
        <v>3</v>
      </c>
      <c r="BG80" s="77">
        <v>0</v>
      </c>
      <c r="BH80" s="74">
        <v>1</v>
      </c>
      <c r="BI80" s="28">
        <v>1</v>
      </c>
      <c r="BJ80" s="72">
        <v>0.4</v>
      </c>
      <c r="BK80" s="28">
        <v>0</v>
      </c>
      <c r="BL80" s="615">
        <v>12</v>
      </c>
      <c r="BN80" s="712" t="s">
        <v>212</v>
      </c>
      <c r="BO80" s="71" t="s">
        <v>1025</v>
      </c>
      <c r="BP80" s="28" t="s">
        <v>1058</v>
      </c>
      <c r="BQ80" s="135">
        <v>0</v>
      </c>
      <c r="BR80" s="77">
        <v>0</v>
      </c>
      <c r="BS80" s="28">
        <v>0</v>
      </c>
      <c r="BT80" s="77">
        <v>1</v>
      </c>
      <c r="BU80" s="584">
        <v>1</v>
      </c>
      <c r="BV80" s="28">
        <v>1</v>
      </c>
      <c r="BW80" s="28">
        <v>0</v>
      </c>
      <c r="BX80" s="28">
        <v>0</v>
      </c>
      <c r="BY80" s="28">
        <v>1</v>
      </c>
      <c r="BZ80" s="28">
        <v>0</v>
      </c>
      <c r="CA80" s="571">
        <v>1</v>
      </c>
      <c r="CB80" s="77">
        <v>0</v>
      </c>
      <c r="CC80" s="28">
        <v>0</v>
      </c>
      <c r="CD80" s="615">
        <v>12</v>
      </c>
      <c r="CG80" s="712" t="s">
        <v>1917</v>
      </c>
      <c r="CH80" s="71" t="s">
        <v>903</v>
      </c>
      <c r="CI80" s="28" t="s">
        <v>905</v>
      </c>
      <c r="CJ80" s="130">
        <v>0</v>
      </c>
      <c r="CK80" s="72">
        <v>0</v>
      </c>
      <c r="CL80" s="72">
        <v>0</v>
      </c>
      <c r="CM80" s="77">
        <v>1</v>
      </c>
      <c r="CN80" s="28">
        <v>4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2</v>
      </c>
      <c r="CW80" s="77">
        <v>0</v>
      </c>
      <c r="CX80" s="74">
        <v>0</v>
      </c>
      <c r="CY80" s="28">
        <v>0</v>
      </c>
      <c r="CZ80" s="72">
        <v>0</v>
      </c>
      <c r="DA80" s="28">
        <v>0</v>
      </c>
      <c r="DB80" s="615">
        <v>12</v>
      </c>
      <c r="DD80" s="712" t="s">
        <v>212</v>
      </c>
      <c r="DE80" s="71" t="s">
        <v>770</v>
      </c>
      <c r="DF80" s="28" t="s">
        <v>800</v>
      </c>
      <c r="DG80" s="88">
        <v>0</v>
      </c>
      <c r="DH80" s="28">
        <v>0</v>
      </c>
      <c r="DI80" s="28">
        <v>0</v>
      </c>
      <c r="DJ80" s="77">
        <v>1</v>
      </c>
      <c r="DK80" s="584">
        <v>2</v>
      </c>
      <c r="DL80" s="28">
        <v>0</v>
      </c>
      <c r="DM80" s="28">
        <v>0</v>
      </c>
      <c r="DN80" s="28">
        <v>0</v>
      </c>
      <c r="DO80" s="28">
        <v>1</v>
      </c>
      <c r="DP80" s="28">
        <v>0</v>
      </c>
      <c r="DQ80" s="574">
        <v>0</v>
      </c>
      <c r="DR80" s="28">
        <v>0</v>
      </c>
      <c r="DS80" s="74">
        <v>0</v>
      </c>
      <c r="DT80" s="780">
        <v>12</v>
      </c>
    </row>
    <row r="81" spans="2:124" ht="17" thickBot="1">
      <c r="B81" s="712" t="s">
        <v>1923</v>
      </c>
      <c r="C81" s="71" t="s">
        <v>804</v>
      </c>
      <c r="D81" s="28" t="s">
        <v>807</v>
      </c>
      <c r="E81" s="130">
        <v>0</v>
      </c>
      <c r="F81" s="72">
        <v>0</v>
      </c>
      <c r="G81" s="72">
        <v>0</v>
      </c>
      <c r="H81" s="77">
        <v>1</v>
      </c>
      <c r="I81" s="28">
        <v>4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2</v>
      </c>
      <c r="R81" s="77">
        <v>0</v>
      </c>
      <c r="S81" s="28">
        <v>0</v>
      </c>
      <c r="T81" s="77">
        <v>0</v>
      </c>
      <c r="U81" s="72">
        <v>0</v>
      </c>
      <c r="V81" s="28">
        <v>0</v>
      </c>
      <c r="W81" s="615">
        <v>13</v>
      </c>
      <c r="Y81" s="968"/>
      <c r="Z81" s="955"/>
      <c r="AA81" s="955"/>
      <c r="AB81" s="969">
        <f>(AH81*9)/AF81</f>
        <v>1.8947368421052631</v>
      </c>
      <c r="AC81" s="954">
        <f>SUM(AC69:AC80)</f>
        <v>2</v>
      </c>
      <c r="AD81" s="955">
        <f>SUM(AD69:AD80)</f>
        <v>0</v>
      </c>
      <c r="AE81" s="954"/>
      <c r="AF81" s="962">
        <f t="shared" ref="AF81:AN81" si="0">SUM(AF69:AF80)</f>
        <v>19</v>
      </c>
      <c r="AG81" s="955">
        <f t="shared" si="0"/>
        <v>16</v>
      </c>
      <c r="AH81" s="955">
        <f t="shared" si="0"/>
        <v>4</v>
      </c>
      <c r="AI81" s="955">
        <f t="shared" si="0"/>
        <v>6</v>
      </c>
      <c r="AJ81" s="955">
        <f t="shared" si="0"/>
        <v>24</v>
      </c>
      <c r="AK81" s="955">
        <f t="shared" si="0"/>
        <v>0</v>
      </c>
      <c r="AL81" s="970">
        <f>(AI81+AG81)/AF81</f>
        <v>1.1578947368421053</v>
      </c>
      <c r="AM81" s="955">
        <f t="shared" si="0"/>
        <v>0</v>
      </c>
      <c r="AN81" s="955">
        <f t="shared" si="0"/>
        <v>0</v>
      </c>
      <c r="AO81" s="971"/>
      <c r="AQ81" s="712" t="s">
        <v>1922</v>
      </c>
      <c r="AR81" s="71" t="s">
        <v>990</v>
      </c>
      <c r="AS81" s="28" t="s">
        <v>992</v>
      </c>
      <c r="AT81" s="130">
        <v>0.2</v>
      </c>
      <c r="AU81" s="72">
        <v>0.2</v>
      </c>
      <c r="AV81" s="72">
        <v>0.6</v>
      </c>
      <c r="AW81" s="77">
        <v>2</v>
      </c>
      <c r="AX81" s="28">
        <v>5</v>
      </c>
      <c r="AY81" s="28">
        <v>0</v>
      </c>
      <c r="AZ81" s="28">
        <v>1</v>
      </c>
      <c r="BA81" s="28">
        <v>0</v>
      </c>
      <c r="BB81" s="28">
        <v>1</v>
      </c>
      <c r="BC81" s="28">
        <v>0</v>
      </c>
      <c r="BD81" s="28">
        <v>1</v>
      </c>
      <c r="BE81" s="28">
        <v>0</v>
      </c>
      <c r="BF81" s="28">
        <v>0</v>
      </c>
      <c r="BG81" s="77">
        <v>0</v>
      </c>
      <c r="BH81" s="74">
        <v>1</v>
      </c>
      <c r="BI81" s="28">
        <v>3</v>
      </c>
      <c r="BJ81" s="72">
        <v>0.8</v>
      </c>
      <c r="BK81" s="28">
        <v>0</v>
      </c>
      <c r="BL81" s="615">
        <v>13</v>
      </c>
      <c r="BN81" s="950"/>
      <c r="BO81" s="951"/>
      <c r="BP81" s="951"/>
      <c r="BQ81" s="969">
        <v>0.52941176470588236</v>
      </c>
      <c r="BR81" s="954">
        <v>1</v>
      </c>
      <c r="BS81" s="955">
        <v>1</v>
      </c>
      <c r="BT81" s="954"/>
      <c r="BU81" s="962">
        <v>17</v>
      </c>
      <c r="BV81" s="955">
        <v>11</v>
      </c>
      <c r="BW81" s="955">
        <v>1</v>
      </c>
      <c r="BX81" s="955">
        <v>4</v>
      </c>
      <c r="BY81" s="955">
        <v>19</v>
      </c>
      <c r="BZ81" s="955">
        <v>1</v>
      </c>
      <c r="CA81" s="963">
        <v>0.88235294117647056</v>
      </c>
      <c r="CB81" s="954">
        <v>0</v>
      </c>
      <c r="CC81" s="955">
        <v>0</v>
      </c>
      <c r="CD81" s="965"/>
      <c r="CG81" s="712" t="s">
        <v>1918</v>
      </c>
      <c r="CH81" s="71" t="s">
        <v>1062</v>
      </c>
      <c r="CI81" s="28" t="s">
        <v>1067</v>
      </c>
      <c r="CJ81" s="130">
        <v>0</v>
      </c>
      <c r="CK81" s="72">
        <v>0</v>
      </c>
      <c r="CL81" s="72">
        <v>0</v>
      </c>
      <c r="CM81" s="77">
        <v>1</v>
      </c>
      <c r="CN81" s="28">
        <v>5</v>
      </c>
      <c r="CO81" s="28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3</v>
      </c>
      <c r="CW81" s="77">
        <v>0</v>
      </c>
      <c r="CX81" s="74">
        <v>0</v>
      </c>
      <c r="CY81" s="28">
        <v>0</v>
      </c>
      <c r="CZ81" s="72">
        <v>0</v>
      </c>
      <c r="DA81" s="28">
        <v>0</v>
      </c>
      <c r="DB81" s="615">
        <v>13</v>
      </c>
      <c r="DD81" s="973"/>
      <c r="DE81" s="974"/>
      <c r="DF81" s="974"/>
      <c r="DG81" s="975">
        <v>4.05</v>
      </c>
      <c r="DH81" s="976">
        <v>0</v>
      </c>
      <c r="DI81" s="974">
        <v>2</v>
      </c>
      <c r="DJ81" s="976"/>
      <c r="DK81" s="977">
        <v>20</v>
      </c>
      <c r="DL81" s="974">
        <v>14</v>
      </c>
      <c r="DM81" s="974">
        <v>9</v>
      </c>
      <c r="DN81" s="974">
        <v>9</v>
      </c>
      <c r="DO81" s="974">
        <v>20</v>
      </c>
      <c r="DP81" s="974">
        <v>0</v>
      </c>
      <c r="DQ81" s="978">
        <v>1.1499999999999999</v>
      </c>
      <c r="DR81" s="974">
        <v>0</v>
      </c>
      <c r="DS81" s="979">
        <v>0</v>
      </c>
      <c r="DT81" s="980"/>
    </row>
    <row r="82" spans="2:124">
      <c r="B82" s="712" t="s">
        <v>1916</v>
      </c>
      <c r="C82" s="71" t="s">
        <v>770</v>
      </c>
      <c r="D82" s="28" t="s">
        <v>773</v>
      </c>
      <c r="E82" s="130">
        <v>0</v>
      </c>
      <c r="F82" s="72">
        <v>0</v>
      </c>
      <c r="G82" s="72">
        <v>0</v>
      </c>
      <c r="H82" s="77">
        <v>1</v>
      </c>
      <c r="I82" s="28">
        <v>4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3</v>
      </c>
      <c r="R82" s="77">
        <v>0</v>
      </c>
      <c r="S82" s="28">
        <v>0</v>
      </c>
      <c r="T82" s="77">
        <v>0</v>
      </c>
      <c r="U82" s="72">
        <v>0</v>
      </c>
      <c r="V82" s="28">
        <v>0</v>
      </c>
      <c r="W82" s="615">
        <v>14</v>
      </c>
      <c r="AN82" s="106"/>
      <c r="AQ82" s="712" t="s">
        <v>1923</v>
      </c>
      <c r="AR82" s="71" t="s">
        <v>835</v>
      </c>
      <c r="AS82" s="28" t="s">
        <v>837</v>
      </c>
      <c r="AT82" s="130">
        <v>0</v>
      </c>
      <c r="AU82" s="72">
        <v>0</v>
      </c>
      <c r="AV82" s="72">
        <v>0</v>
      </c>
      <c r="AW82" s="77">
        <v>1</v>
      </c>
      <c r="AX82" s="28">
        <v>4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4</v>
      </c>
      <c r="BG82" s="77">
        <v>0</v>
      </c>
      <c r="BH82" s="74">
        <v>0</v>
      </c>
      <c r="BI82" s="28">
        <v>0</v>
      </c>
      <c r="BJ82" s="72">
        <v>0</v>
      </c>
      <c r="BK82" s="28">
        <v>0</v>
      </c>
      <c r="BL82" s="615">
        <v>14</v>
      </c>
      <c r="CC82" s="106"/>
      <c r="CG82" s="712" t="s">
        <v>1919</v>
      </c>
      <c r="CH82" s="71" t="s">
        <v>952</v>
      </c>
      <c r="CI82" s="28" t="s">
        <v>954</v>
      </c>
      <c r="CJ82" s="130">
        <v>0.5</v>
      </c>
      <c r="CK82" s="72">
        <v>0.5</v>
      </c>
      <c r="CL82" s="72">
        <v>0.5</v>
      </c>
      <c r="CM82" s="77">
        <v>1</v>
      </c>
      <c r="CN82" s="28">
        <v>4</v>
      </c>
      <c r="CO82" s="28">
        <v>0</v>
      </c>
      <c r="CP82" s="28">
        <v>2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1</v>
      </c>
      <c r="CW82" s="77">
        <v>0</v>
      </c>
      <c r="CX82" s="74">
        <v>1</v>
      </c>
      <c r="CY82" s="28">
        <v>2</v>
      </c>
      <c r="CZ82" s="72">
        <v>1</v>
      </c>
      <c r="DA82" s="28">
        <v>0</v>
      </c>
      <c r="DB82" s="615">
        <v>14</v>
      </c>
      <c r="DS82" s="106"/>
    </row>
    <row r="83" spans="2:124">
      <c r="B83" s="712" t="s">
        <v>1920</v>
      </c>
      <c r="C83" s="71" t="s">
        <v>1096</v>
      </c>
      <c r="D83" s="28" t="s">
        <v>1098</v>
      </c>
      <c r="E83" s="130">
        <v>0.25</v>
      </c>
      <c r="F83" s="72">
        <v>0.25</v>
      </c>
      <c r="G83" s="72">
        <v>0.25</v>
      </c>
      <c r="H83" s="77">
        <v>1</v>
      </c>
      <c r="I83" s="28">
        <v>4</v>
      </c>
      <c r="J83" s="28">
        <v>0</v>
      </c>
      <c r="K83" s="28">
        <v>1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77">
        <v>0</v>
      </c>
      <c r="S83" s="28">
        <v>1</v>
      </c>
      <c r="T83" s="77">
        <v>1</v>
      </c>
      <c r="U83" s="72">
        <v>0.5</v>
      </c>
      <c r="V83" s="28">
        <v>0</v>
      </c>
      <c r="W83" s="615">
        <v>15</v>
      </c>
      <c r="AQ83" s="712" t="s">
        <v>1916</v>
      </c>
      <c r="AR83" s="71" t="s">
        <v>990</v>
      </c>
      <c r="AS83" s="28" t="s">
        <v>991</v>
      </c>
      <c r="AT83" s="130">
        <v>0.25</v>
      </c>
      <c r="AU83" s="72">
        <v>0.25</v>
      </c>
      <c r="AV83" s="72">
        <v>0.5</v>
      </c>
      <c r="AW83" s="77">
        <v>1</v>
      </c>
      <c r="AX83" s="28">
        <v>4</v>
      </c>
      <c r="AY83" s="28">
        <v>1</v>
      </c>
      <c r="AZ83" s="28">
        <v>1</v>
      </c>
      <c r="BA83" s="28">
        <v>1</v>
      </c>
      <c r="BB83" s="28">
        <v>0</v>
      </c>
      <c r="BC83" s="28">
        <v>0</v>
      </c>
      <c r="BD83" s="28">
        <v>0</v>
      </c>
      <c r="BE83" s="28">
        <v>0</v>
      </c>
      <c r="BF83" s="28">
        <v>1</v>
      </c>
      <c r="BG83" s="77">
        <v>0</v>
      </c>
      <c r="BH83" s="74">
        <v>1</v>
      </c>
      <c r="BI83" s="28">
        <v>2</v>
      </c>
      <c r="BJ83" s="72">
        <v>0.75</v>
      </c>
      <c r="BK83" s="28">
        <v>0</v>
      </c>
      <c r="BL83" s="615">
        <v>15</v>
      </c>
      <c r="BV83" s="575"/>
      <c r="CC83" s="123"/>
      <c r="CG83" s="712" t="s">
        <v>1920</v>
      </c>
      <c r="CH83" s="71" t="s">
        <v>1096</v>
      </c>
      <c r="CI83" s="28" t="s">
        <v>1098</v>
      </c>
      <c r="CJ83" s="130">
        <v>0.33333333333333331</v>
      </c>
      <c r="CK83" s="72">
        <v>0.5</v>
      </c>
      <c r="CL83" s="72">
        <v>0.66666666666666663</v>
      </c>
      <c r="CM83" s="77">
        <v>1</v>
      </c>
      <c r="CN83" s="28">
        <v>3</v>
      </c>
      <c r="CO83" s="28">
        <v>1</v>
      </c>
      <c r="CP83" s="28">
        <v>1</v>
      </c>
      <c r="CQ83" s="28">
        <v>1</v>
      </c>
      <c r="CR83" s="28">
        <v>0</v>
      </c>
      <c r="CS83" s="28">
        <v>0</v>
      </c>
      <c r="CT83" s="28">
        <v>0</v>
      </c>
      <c r="CU83" s="28">
        <v>1</v>
      </c>
      <c r="CV83" s="28">
        <v>1</v>
      </c>
      <c r="CW83" s="77">
        <v>0</v>
      </c>
      <c r="CX83" s="74">
        <v>1</v>
      </c>
      <c r="CY83" s="28">
        <v>2</v>
      </c>
      <c r="CZ83" s="72">
        <v>1.1666666666666665</v>
      </c>
      <c r="DA83" s="28">
        <v>0</v>
      </c>
      <c r="DB83" s="615">
        <v>15</v>
      </c>
    </row>
    <row r="84" spans="2:124">
      <c r="B84" s="712" t="s">
        <v>1915</v>
      </c>
      <c r="C84" s="71" t="s">
        <v>770</v>
      </c>
      <c r="D84" s="28" t="s">
        <v>779</v>
      </c>
      <c r="E84" s="130">
        <v>0</v>
      </c>
      <c r="F84" s="72">
        <v>0.25</v>
      </c>
      <c r="G84" s="72">
        <v>0</v>
      </c>
      <c r="H84" s="77">
        <v>1</v>
      </c>
      <c r="I84" s="28">
        <v>3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1</v>
      </c>
      <c r="Q84" s="28">
        <v>0</v>
      </c>
      <c r="R84" s="77">
        <v>0</v>
      </c>
      <c r="S84" s="28">
        <v>0</v>
      </c>
      <c r="T84" s="77">
        <v>0</v>
      </c>
      <c r="U84" s="72">
        <v>0.25</v>
      </c>
      <c r="V84" s="28">
        <v>0</v>
      </c>
      <c r="W84" s="615">
        <v>16</v>
      </c>
      <c r="AQ84" s="712" t="s">
        <v>179</v>
      </c>
      <c r="AR84" s="71" t="s">
        <v>1171</v>
      </c>
      <c r="AS84" s="28" t="s">
        <v>864</v>
      </c>
      <c r="AT84" s="130">
        <v>0.33333333333333331</v>
      </c>
      <c r="AU84" s="72">
        <v>0.5</v>
      </c>
      <c r="AV84" s="72">
        <v>0.33333333333333331</v>
      </c>
      <c r="AW84" s="77">
        <v>1</v>
      </c>
      <c r="AX84" s="28">
        <v>3</v>
      </c>
      <c r="AY84" s="28">
        <v>0</v>
      </c>
      <c r="AZ84" s="28">
        <v>1</v>
      </c>
      <c r="BA84" s="28">
        <v>0</v>
      </c>
      <c r="BB84" s="28">
        <v>0</v>
      </c>
      <c r="BC84" s="28">
        <v>0</v>
      </c>
      <c r="BD84" s="28">
        <v>1</v>
      </c>
      <c r="BE84" s="28">
        <v>1</v>
      </c>
      <c r="BF84" s="28">
        <v>1</v>
      </c>
      <c r="BG84" s="77">
        <v>0</v>
      </c>
      <c r="BH84" s="74">
        <v>1</v>
      </c>
      <c r="BI84" s="28">
        <v>1</v>
      </c>
      <c r="BJ84" s="72">
        <v>0.83333333333333326</v>
      </c>
      <c r="BK84" s="28">
        <v>0</v>
      </c>
      <c r="BL84" s="615">
        <v>16</v>
      </c>
      <c r="CC84" s="123"/>
      <c r="CG84" s="712" t="s">
        <v>1921</v>
      </c>
      <c r="CH84" s="71" t="s">
        <v>770</v>
      </c>
      <c r="CI84" s="28" t="s">
        <v>776</v>
      </c>
      <c r="CJ84" s="130">
        <v>0.4</v>
      </c>
      <c r="CK84" s="72">
        <v>0.4</v>
      </c>
      <c r="CL84" s="72">
        <v>0.4</v>
      </c>
      <c r="CM84" s="77">
        <v>1</v>
      </c>
      <c r="CN84" s="28">
        <v>5</v>
      </c>
      <c r="CO84" s="28">
        <v>0</v>
      </c>
      <c r="CP84" s="28">
        <v>2</v>
      </c>
      <c r="CQ84" s="28">
        <v>0</v>
      </c>
      <c r="CR84" s="28">
        <v>0</v>
      </c>
      <c r="CS84" s="28">
        <v>0</v>
      </c>
      <c r="CT84" s="28">
        <v>1</v>
      </c>
      <c r="CU84" s="28">
        <v>0</v>
      </c>
      <c r="CV84" s="28">
        <v>1</v>
      </c>
      <c r="CW84" s="77">
        <v>0</v>
      </c>
      <c r="CX84" s="74">
        <v>1</v>
      </c>
      <c r="CY84" s="28">
        <v>2</v>
      </c>
      <c r="CZ84" s="72">
        <v>0.8</v>
      </c>
      <c r="DA84" s="28">
        <v>0</v>
      </c>
      <c r="DB84" s="615">
        <v>16</v>
      </c>
    </row>
    <row r="85" spans="2:124">
      <c r="B85" s="712" t="s">
        <v>1918</v>
      </c>
      <c r="C85" s="71" t="s">
        <v>869</v>
      </c>
      <c r="D85" s="28" t="s">
        <v>870</v>
      </c>
      <c r="E85" s="130">
        <v>0.25</v>
      </c>
      <c r="F85" s="72">
        <v>0.25</v>
      </c>
      <c r="G85" s="72">
        <v>0.25</v>
      </c>
      <c r="H85" s="77">
        <v>1</v>
      </c>
      <c r="I85" s="28">
        <v>4</v>
      </c>
      <c r="J85" s="28">
        <v>0</v>
      </c>
      <c r="K85" s="28">
        <v>1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1</v>
      </c>
      <c r="R85" s="77">
        <v>1</v>
      </c>
      <c r="S85" s="28">
        <v>1</v>
      </c>
      <c r="T85" s="77">
        <v>1</v>
      </c>
      <c r="U85" s="72">
        <v>0.5</v>
      </c>
      <c r="V85" s="28">
        <v>0</v>
      </c>
      <c r="W85" s="615">
        <v>17</v>
      </c>
      <c r="AQ85" s="712" t="s">
        <v>1920</v>
      </c>
      <c r="AR85" s="71" t="s">
        <v>1096</v>
      </c>
      <c r="AS85" s="28" t="s">
        <v>1098</v>
      </c>
      <c r="AT85" s="130">
        <v>0</v>
      </c>
      <c r="AU85" s="72">
        <v>0</v>
      </c>
      <c r="AV85" s="72">
        <v>0</v>
      </c>
      <c r="AW85" s="77">
        <v>1</v>
      </c>
      <c r="AX85" s="28">
        <v>4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1</v>
      </c>
      <c r="BG85" s="77">
        <v>0</v>
      </c>
      <c r="BH85" s="74">
        <v>0</v>
      </c>
      <c r="BI85" s="28">
        <v>0</v>
      </c>
      <c r="BJ85" s="72">
        <v>0</v>
      </c>
      <c r="BK85" s="28">
        <v>0</v>
      </c>
      <c r="BL85" s="615">
        <v>17</v>
      </c>
      <c r="CC85" s="123"/>
      <c r="CG85" s="712" t="s">
        <v>1922</v>
      </c>
      <c r="CH85" s="71" t="s">
        <v>1096</v>
      </c>
      <c r="CI85" s="28" t="s">
        <v>1099</v>
      </c>
      <c r="CJ85" s="130">
        <v>0.33333333333333331</v>
      </c>
      <c r="CK85" s="72">
        <v>0.5</v>
      </c>
      <c r="CL85" s="72">
        <v>0.66666666666666663</v>
      </c>
      <c r="CM85" s="77">
        <v>1</v>
      </c>
      <c r="CN85" s="28">
        <v>3</v>
      </c>
      <c r="CO85" s="28">
        <v>1</v>
      </c>
      <c r="CP85" s="28">
        <v>1</v>
      </c>
      <c r="CQ85" s="28">
        <v>1</v>
      </c>
      <c r="CR85" s="28">
        <v>0</v>
      </c>
      <c r="CS85" s="28">
        <v>0</v>
      </c>
      <c r="CT85" s="28">
        <v>1</v>
      </c>
      <c r="CU85" s="28">
        <v>1</v>
      </c>
      <c r="CV85" s="28">
        <v>2</v>
      </c>
      <c r="CW85" s="77">
        <v>0</v>
      </c>
      <c r="CX85" s="74">
        <v>1</v>
      </c>
      <c r="CY85" s="28">
        <v>2</v>
      </c>
      <c r="CZ85" s="72">
        <v>1.1666666666666665</v>
      </c>
      <c r="DA85" s="28">
        <v>0</v>
      </c>
      <c r="DB85" s="615">
        <v>17</v>
      </c>
    </row>
    <row r="86" spans="2:124" ht="17" thickBot="1">
      <c r="B86" s="712" t="s">
        <v>1921</v>
      </c>
      <c r="C86" s="71" t="s">
        <v>1265</v>
      </c>
      <c r="D86" s="28" t="s">
        <v>1274</v>
      </c>
      <c r="E86" s="130">
        <v>0.75</v>
      </c>
      <c r="F86" s="72">
        <v>0.75</v>
      </c>
      <c r="G86" s="72">
        <v>1.25</v>
      </c>
      <c r="H86" s="77">
        <v>1</v>
      </c>
      <c r="I86" s="28">
        <v>4</v>
      </c>
      <c r="J86" s="28">
        <v>2</v>
      </c>
      <c r="K86" s="28">
        <v>3</v>
      </c>
      <c r="L86" s="28">
        <v>0</v>
      </c>
      <c r="M86" s="28">
        <v>1</v>
      </c>
      <c r="N86" s="28">
        <v>0</v>
      </c>
      <c r="O86" s="28">
        <v>0</v>
      </c>
      <c r="P86" s="28">
        <v>0</v>
      </c>
      <c r="Q86" s="28">
        <v>0</v>
      </c>
      <c r="R86" s="77">
        <v>1</v>
      </c>
      <c r="S86" s="28">
        <v>1</v>
      </c>
      <c r="T86" s="77">
        <v>5</v>
      </c>
      <c r="U86" s="72">
        <v>2</v>
      </c>
      <c r="V86" s="28">
        <v>1</v>
      </c>
      <c r="W86" s="615">
        <v>18</v>
      </c>
      <c r="AQ86" s="712" t="s">
        <v>1921</v>
      </c>
      <c r="AR86" s="78" t="s">
        <v>1139</v>
      </c>
      <c r="AS86" s="28" t="s">
        <v>1143</v>
      </c>
      <c r="AT86" s="130">
        <v>0.75</v>
      </c>
      <c r="AU86" s="72">
        <v>0.75</v>
      </c>
      <c r="AV86" s="72">
        <v>1.5</v>
      </c>
      <c r="AW86" s="77">
        <v>1</v>
      </c>
      <c r="AX86" s="28">
        <v>4</v>
      </c>
      <c r="AY86" s="28">
        <v>1</v>
      </c>
      <c r="AZ86" s="28">
        <v>3</v>
      </c>
      <c r="BA86" s="28">
        <v>0</v>
      </c>
      <c r="BB86" s="28">
        <v>0</v>
      </c>
      <c r="BC86" s="28">
        <v>1</v>
      </c>
      <c r="BD86" s="28">
        <v>1</v>
      </c>
      <c r="BE86" s="28">
        <v>0</v>
      </c>
      <c r="BF86" s="28">
        <v>1</v>
      </c>
      <c r="BG86" s="77">
        <v>0</v>
      </c>
      <c r="BH86" s="74">
        <v>1</v>
      </c>
      <c r="BI86" s="28">
        <v>6</v>
      </c>
      <c r="BJ86" s="72">
        <v>2.25</v>
      </c>
      <c r="BK86" s="28">
        <v>1</v>
      </c>
      <c r="BL86" s="615">
        <v>18</v>
      </c>
      <c r="CC86" s="123"/>
      <c r="CG86" s="712" t="s">
        <v>1923</v>
      </c>
      <c r="CH86" s="78" t="s">
        <v>1062</v>
      </c>
      <c r="CI86" s="28" t="s">
        <v>1063</v>
      </c>
      <c r="CJ86" s="130">
        <v>0</v>
      </c>
      <c r="CK86" s="72">
        <v>0</v>
      </c>
      <c r="CL86" s="72">
        <v>0</v>
      </c>
      <c r="CM86" s="77">
        <v>1</v>
      </c>
      <c r="CN86" s="28">
        <v>4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3</v>
      </c>
      <c r="CW86" s="77">
        <v>0</v>
      </c>
      <c r="CX86" s="81">
        <v>0</v>
      </c>
      <c r="CY86" s="28">
        <v>0</v>
      </c>
      <c r="CZ86" s="72">
        <v>0</v>
      </c>
      <c r="DA86" s="28">
        <v>0</v>
      </c>
      <c r="DB86" s="615">
        <v>18</v>
      </c>
    </row>
    <row r="87" spans="2:124" s="28" customFormat="1" ht="17" thickBot="1">
      <c r="B87" s="950"/>
      <c r="C87" s="951"/>
      <c r="D87" s="951"/>
      <c r="E87" s="952">
        <v>0.28169014084507044</v>
      </c>
      <c r="F87" s="953">
        <v>0.3108108108108108</v>
      </c>
      <c r="G87" s="953">
        <v>0.50704225352112675</v>
      </c>
      <c r="H87" s="954"/>
      <c r="I87" s="955">
        <v>71</v>
      </c>
      <c r="J87" s="955">
        <v>12</v>
      </c>
      <c r="K87" s="955">
        <v>20</v>
      </c>
      <c r="L87" s="955">
        <v>2</v>
      </c>
      <c r="M87" s="955">
        <v>1</v>
      </c>
      <c r="N87" s="955">
        <v>4</v>
      </c>
      <c r="O87" s="955">
        <v>12</v>
      </c>
      <c r="P87" s="955">
        <v>3</v>
      </c>
      <c r="Q87" s="955">
        <v>18</v>
      </c>
      <c r="R87" s="954">
        <v>2</v>
      </c>
      <c r="S87" s="955"/>
      <c r="T87" s="954">
        <v>36</v>
      </c>
      <c r="U87" s="953">
        <v>0.8178530643319375</v>
      </c>
      <c r="V87" s="955">
        <v>2</v>
      </c>
      <c r="W87" s="965"/>
      <c r="AN87" s="106"/>
      <c r="AQ87" s="950"/>
      <c r="AR87" s="951"/>
      <c r="AS87" s="951"/>
      <c r="AT87" s="952">
        <v>0.16923076923076924</v>
      </c>
      <c r="AU87" s="953">
        <v>0.22857142857142856</v>
      </c>
      <c r="AV87" s="953">
        <v>0.29230769230769232</v>
      </c>
      <c r="AW87" s="954"/>
      <c r="AX87" s="955">
        <v>65</v>
      </c>
      <c r="AY87" s="955">
        <v>4</v>
      </c>
      <c r="AZ87" s="955">
        <v>11</v>
      </c>
      <c r="BA87" s="955">
        <v>3</v>
      </c>
      <c r="BB87" s="955">
        <v>1</v>
      </c>
      <c r="BC87" s="955">
        <v>1</v>
      </c>
      <c r="BD87" s="955">
        <v>4</v>
      </c>
      <c r="BE87" s="955">
        <v>5</v>
      </c>
      <c r="BF87" s="955">
        <v>20</v>
      </c>
      <c r="BG87" s="954">
        <v>0</v>
      </c>
      <c r="BH87" s="956"/>
      <c r="BI87" s="955">
        <v>19</v>
      </c>
      <c r="BJ87" s="953">
        <v>0.52087912087912092</v>
      </c>
      <c r="BK87" s="955">
        <v>1</v>
      </c>
      <c r="BL87" s="965"/>
      <c r="CC87" s="106"/>
      <c r="CG87" s="950"/>
      <c r="CH87" s="951"/>
      <c r="CI87" s="951"/>
      <c r="CJ87" s="952">
        <v>0.22368421052631579</v>
      </c>
      <c r="CK87" s="953">
        <v>0.31395348837209303</v>
      </c>
      <c r="CL87" s="953">
        <v>0.27631578947368424</v>
      </c>
      <c r="CM87" s="954"/>
      <c r="CN87" s="955">
        <v>76</v>
      </c>
      <c r="CO87" s="955">
        <v>4</v>
      </c>
      <c r="CP87" s="955">
        <v>17</v>
      </c>
      <c r="CQ87" s="955">
        <v>4</v>
      </c>
      <c r="CR87" s="955">
        <v>0</v>
      </c>
      <c r="CS87" s="955">
        <v>0</v>
      </c>
      <c r="CT87" s="955">
        <v>4</v>
      </c>
      <c r="CU87" s="955">
        <v>10</v>
      </c>
      <c r="CV87" s="955">
        <v>27</v>
      </c>
      <c r="CW87" s="954">
        <v>0</v>
      </c>
      <c r="CX87" s="955"/>
      <c r="CY87" s="954">
        <v>21</v>
      </c>
      <c r="CZ87" s="953">
        <v>0.59026927784577721</v>
      </c>
      <c r="DA87" s="955">
        <v>0</v>
      </c>
      <c r="DB87" s="965"/>
    </row>
  </sheetData>
  <mergeCells count="24">
    <mergeCell ref="AQ45:BL45"/>
    <mergeCell ref="BN45:CD45"/>
    <mergeCell ref="CG45:DB45"/>
    <mergeCell ref="B67:W67"/>
    <mergeCell ref="Y67:AO67"/>
    <mergeCell ref="AQ67:BL67"/>
    <mergeCell ref="BN67:CD67"/>
    <mergeCell ref="CG67:DB67"/>
    <mergeCell ref="DD45:DT45"/>
    <mergeCell ref="DD67:DT67"/>
    <mergeCell ref="B1:W1"/>
    <mergeCell ref="Y1:AO1"/>
    <mergeCell ref="AQ1:BL1"/>
    <mergeCell ref="BN1:CD1"/>
    <mergeCell ref="CG1:DB1"/>
    <mergeCell ref="DD1:DT1"/>
    <mergeCell ref="DD23:DT23"/>
    <mergeCell ref="B23:W23"/>
    <mergeCell ref="Y23:AO23"/>
    <mergeCell ref="AQ23:BL23"/>
    <mergeCell ref="BN23:CD23"/>
    <mergeCell ref="CG23:DB23"/>
    <mergeCell ref="B45:W45"/>
    <mergeCell ref="Y45:AO45"/>
  </mergeCells>
  <pageMargins left="0.7" right="0.7" top="0.75" bottom="0.75" header="0.3" footer="0.3"/>
  <tableParts count="24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U170"/>
  <sheetViews>
    <sheetView zoomScale="110" zoomScaleNormal="11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AA74" sqref="AA74"/>
    </sheetView>
  </sheetViews>
  <sheetFormatPr baseColWidth="10" defaultRowHeight="16"/>
  <cols>
    <col min="1" max="1" width="6.6640625" customWidth="1"/>
    <col min="2" max="2" width="5.5" customWidth="1"/>
    <col min="3" max="3" width="14" customWidth="1"/>
    <col min="4" max="4" width="7.83203125" customWidth="1"/>
    <col min="5" max="6" width="7.5" customWidth="1"/>
    <col min="7" max="7" width="5" customWidth="1"/>
    <col min="8" max="8" width="6.33203125" customWidth="1"/>
    <col min="9" max="10" width="5" customWidth="1"/>
    <col min="11" max="11" width="6.1640625" customWidth="1"/>
    <col min="12" max="12" width="5.83203125" customWidth="1"/>
    <col min="13" max="13" width="6.5" customWidth="1"/>
    <col min="14" max="14" width="7.1640625" customWidth="1"/>
    <col min="15" max="15" width="6.1640625" customWidth="1"/>
    <col min="16" max="17" width="6.5" customWidth="1"/>
    <col min="18" max="18" width="6.1640625" customWidth="1"/>
    <col min="19" max="19" width="6" customWidth="1"/>
    <col min="20" max="20" width="6.1640625" customWidth="1"/>
    <col min="21" max="21" width="7.5" customWidth="1"/>
    <col min="22" max="22" width="4.5" customWidth="1"/>
    <col min="23" max="23" width="4.6640625" customWidth="1"/>
    <col min="24" max="25" width="2.83203125" customWidth="1"/>
    <col min="26" max="26" width="6.83203125" customWidth="1"/>
    <col min="27" max="27" width="5.83203125" customWidth="1"/>
    <col min="28" max="28" width="17.33203125" customWidth="1"/>
    <col min="29" max="29" width="6.5" customWidth="1"/>
    <col min="30" max="31" width="7.6640625" customWidth="1"/>
    <col min="32" max="32" width="5.1640625" customWidth="1"/>
    <col min="33" max="33" width="6.5" customWidth="1"/>
    <col min="34" max="35" width="5.1640625" customWidth="1"/>
    <col min="36" max="37" width="6" customWidth="1"/>
    <col min="38" max="38" width="6.6640625" customWidth="1"/>
    <col min="39" max="39" width="7.33203125" customWidth="1"/>
    <col min="40" max="40" width="6.33203125" customWidth="1"/>
    <col min="41" max="41" width="5.1640625" customWidth="1"/>
    <col min="42" max="42" width="6.1640625" customWidth="1"/>
    <col min="43" max="43" width="6.33203125" customWidth="1"/>
    <col min="44" max="44" width="6.1640625" customWidth="1"/>
    <col min="45" max="45" width="6.33203125" customWidth="1"/>
    <col min="46" max="46" width="7.6640625" customWidth="1"/>
    <col min="47" max="48" width="4.6640625" customWidth="1"/>
    <col min="49" max="50" width="2.83203125" customWidth="1"/>
    <col min="51" max="51" width="6.83203125" customWidth="1"/>
    <col min="52" max="52" width="5.83203125" customWidth="1"/>
    <col min="53" max="53" width="14" customWidth="1"/>
    <col min="54" max="54" width="6.5" customWidth="1"/>
    <col min="55" max="56" width="7.6640625" customWidth="1"/>
    <col min="57" max="57" width="5.1640625" customWidth="1"/>
    <col min="58" max="58" width="6.5" customWidth="1"/>
    <col min="59" max="60" width="5.1640625" customWidth="1"/>
    <col min="61" max="62" width="6" customWidth="1"/>
    <col min="63" max="63" width="6.6640625" customWidth="1"/>
    <col min="64" max="64" width="7.33203125" customWidth="1"/>
    <col min="65" max="65" width="6.33203125" customWidth="1"/>
    <col min="66" max="66" width="5.1640625" customWidth="1"/>
    <col min="67" max="67" width="6.1640625" customWidth="1"/>
    <col min="68" max="68" width="6.33203125" customWidth="1"/>
    <col min="69" max="69" width="6.1640625" customWidth="1"/>
    <col min="70" max="70" width="6.33203125" customWidth="1"/>
    <col min="71" max="71" width="7.6640625" customWidth="1"/>
    <col min="72" max="73" width="4.6640625" customWidth="1"/>
    <col min="74" max="74" width="2.83203125" customWidth="1"/>
  </cols>
  <sheetData>
    <row r="1" spans="1:73" ht="26" thickBot="1">
      <c r="A1" s="1090" t="s">
        <v>2162</v>
      </c>
      <c r="B1" s="1091"/>
      <c r="C1" s="1091"/>
      <c r="D1" s="1091"/>
      <c r="E1" s="1091"/>
      <c r="F1" s="1091"/>
      <c r="G1" s="1091"/>
      <c r="H1" s="1091"/>
      <c r="I1" s="1091"/>
      <c r="J1" s="1091"/>
      <c r="K1" s="1091"/>
      <c r="L1" s="1091"/>
      <c r="M1" s="1091"/>
      <c r="N1" s="1091"/>
      <c r="O1" s="1091"/>
      <c r="P1" s="1091"/>
      <c r="Q1" s="1091"/>
      <c r="R1" s="1091"/>
      <c r="S1" s="1091"/>
      <c r="T1" s="1091"/>
      <c r="U1" s="1091"/>
      <c r="V1" s="1091"/>
      <c r="W1" s="1092"/>
      <c r="Z1" s="1090" t="s">
        <v>2163</v>
      </c>
      <c r="AA1" s="1091"/>
      <c r="AB1" s="1091"/>
      <c r="AC1" s="1091"/>
      <c r="AD1" s="1091"/>
      <c r="AE1" s="1091"/>
      <c r="AF1" s="1091"/>
      <c r="AG1" s="1091"/>
      <c r="AH1" s="1091"/>
      <c r="AI1" s="1091"/>
      <c r="AJ1" s="1091"/>
      <c r="AK1" s="1091"/>
      <c r="AL1" s="1091"/>
      <c r="AM1" s="1091"/>
      <c r="AN1" s="1091"/>
      <c r="AO1" s="1091"/>
      <c r="AP1" s="1091"/>
      <c r="AQ1" s="1091"/>
      <c r="AR1" s="1091"/>
      <c r="AS1" s="1091"/>
      <c r="AT1" s="1091"/>
      <c r="AU1" s="1091"/>
      <c r="AV1" s="1092"/>
      <c r="AY1" s="1090" t="s">
        <v>2164</v>
      </c>
      <c r="AZ1" s="1091"/>
      <c r="BA1" s="1091"/>
      <c r="BB1" s="1091"/>
      <c r="BC1" s="1091"/>
      <c r="BD1" s="1091"/>
      <c r="BE1" s="1091"/>
      <c r="BF1" s="1091"/>
      <c r="BG1" s="1091"/>
      <c r="BH1" s="1091"/>
      <c r="BI1" s="1091"/>
      <c r="BJ1" s="1091"/>
      <c r="BK1" s="1091"/>
      <c r="BL1" s="1091"/>
      <c r="BM1" s="1091"/>
      <c r="BN1" s="1091"/>
      <c r="BO1" s="1091"/>
      <c r="BP1" s="1091"/>
      <c r="BQ1" s="1091"/>
      <c r="BR1" s="1091"/>
      <c r="BS1" s="1091"/>
      <c r="BT1" s="1091"/>
      <c r="BU1" s="1092"/>
    </row>
    <row r="2" spans="1:73" ht="17" thickBot="1">
      <c r="A2" s="367" t="s">
        <v>143</v>
      </c>
      <c r="B2" s="368" t="s">
        <v>144</v>
      </c>
      <c r="C2" s="368" t="s">
        <v>145</v>
      </c>
      <c r="D2" s="368" t="s">
        <v>146</v>
      </c>
      <c r="E2" s="368" t="s">
        <v>147</v>
      </c>
      <c r="F2" s="368" t="s">
        <v>148</v>
      </c>
      <c r="G2" s="368" t="s">
        <v>149</v>
      </c>
      <c r="H2" s="368" t="s">
        <v>150</v>
      </c>
      <c r="I2" s="368" t="s">
        <v>151</v>
      </c>
      <c r="J2" s="368" t="s">
        <v>152</v>
      </c>
      <c r="K2" s="368" t="s">
        <v>153</v>
      </c>
      <c r="L2" s="368" t="s">
        <v>154</v>
      </c>
      <c r="M2" s="368" t="s">
        <v>155</v>
      </c>
      <c r="N2" s="368" t="s">
        <v>156</v>
      </c>
      <c r="O2" s="368" t="s">
        <v>157</v>
      </c>
      <c r="P2" s="368" t="s">
        <v>158</v>
      </c>
      <c r="Q2" s="368" t="s">
        <v>159</v>
      </c>
      <c r="R2" s="368" t="s">
        <v>160</v>
      </c>
      <c r="S2" s="368" t="s">
        <v>16</v>
      </c>
      <c r="T2" s="368" t="s">
        <v>161</v>
      </c>
      <c r="U2" s="368" t="s">
        <v>162</v>
      </c>
      <c r="V2" s="368" t="s">
        <v>163</v>
      </c>
      <c r="W2" s="369" t="s">
        <v>164</v>
      </c>
      <c r="Z2" s="367" t="s">
        <v>143</v>
      </c>
      <c r="AA2" s="368" t="s">
        <v>144</v>
      </c>
      <c r="AB2" s="368" t="s">
        <v>145</v>
      </c>
      <c r="AC2" s="368" t="s">
        <v>146</v>
      </c>
      <c r="AD2" s="368" t="s">
        <v>147</v>
      </c>
      <c r="AE2" s="368" t="s">
        <v>148</v>
      </c>
      <c r="AF2" s="368" t="s">
        <v>149</v>
      </c>
      <c r="AG2" s="368" t="s">
        <v>150</v>
      </c>
      <c r="AH2" s="368" t="s">
        <v>151</v>
      </c>
      <c r="AI2" s="368" t="s">
        <v>152</v>
      </c>
      <c r="AJ2" s="368" t="s">
        <v>153</v>
      </c>
      <c r="AK2" s="368" t="s">
        <v>154</v>
      </c>
      <c r="AL2" s="368" t="s">
        <v>155</v>
      </c>
      <c r="AM2" s="368" t="s">
        <v>156</v>
      </c>
      <c r="AN2" s="368" t="s">
        <v>157</v>
      </c>
      <c r="AO2" s="368" t="s">
        <v>158</v>
      </c>
      <c r="AP2" s="368" t="s">
        <v>159</v>
      </c>
      <c r="AQ2" s="368" t="s">
        <v>160</v>
      </c>
      <c r="AR2" s="368" t="s">
        <v>16</v>
      </c>
      <c r="AS2" s="368" t="s">
        <v>161</v>
      </c>
      <c r="AT2" s="368" t="s">
        <v>162</v>
      </c>
      <c r="AU2" s="368" t="s">
        <v>163</v>
      </c>
      <c r="AV2" s="369" t="s">
        <v>164</v>
      </c>
      <c r="AY2" s="367" t="s">
        <v>143</v>
      </c>
      <c r="AZ2" s="368" t="s">
        <v>144</v>
      </c>
      <c r="BA2" s="368" t="s">
        <v>145</v>
      </c>
      <c r="BB2" s="368" t="s">
        <v>146</v>
      </c>
      <c r="BC2" s="368" t="s">
        <v>147</v>
      </c>
      <c r="BD2" s="368" t="s">
        <v>148</v>
      </c>
      <c r="BE2" s="368" t="s">
        <v>149</v>
      </c>
      <c r="BF2" s="368" t="s">
        <v>150</v>
      </c>
      <c r="BG2" s="368" t="s">
        <v>151</v>
      </c>
      <c r="BH2" s="368" t="s">
        <v>152</v>
      </c>
      <c r="BI2" s="368" t="s">
        <v>153</v>
      </c>
      <c r="BJ2" s="368" t="s">
        <v>154</v>
      </c>
      <c r="BK2" s="368" t="s">
        <v>155</v>
      </c>
      <c r="BL2" s="368" t="s">
        <v>156</v>
      </c>
      <c r="BM2" s="368" t="s">
        <v>157</v>
      </c>
      <c r="BN2" s="368" t="s">
        <v>158</v>
      </c>
      <c r="BO2" s="368" t="s">
        <v>159</v>
      </c>
      <c r="BP2" s="368" t="s">
        <v>160</v>
      </c>
      <c r="BQ2" s="368" t="s">
        <v>16</v>
      </c>
      <c r="BR2" s="368" t="s">
        <v>161</v>
      </c>
      <c r="BS2" s="368" t="s">
        <v>162</v>
      </c>
      <c r="BT2" s="368" t="s">
        <v>163</v>
      </c>
      <c r="BU2" s="369" t="s">
        <v>164</v>
      </c>
    </row>
    <row r="3" spans="1:73">
      <c r="A3" s="97" t="s">
        <v>165</v>
      </c>
      <c r="B3" s="351" t="s">
        <v>179</v>
      </c>
      <c r="C3" s="65" t="s">
        <v>180</v>
      </c>
      <c r="D3" s="129">
        <v>0.28125</v>
      </c>
      <c r="E3" s="66">
        <v>0.34285714285714286</v>
      </c>
      <c r="F3" s="66">
        <v>0.5</v>
      </c>
      <c r="G3" s="99">
        <v>18</v>
      </c>
      <c r="H3" s="68">
        <v>64</v>
      </c>
      <c r="I3" s="68">
        <v>9</v>
      </c>
      <c r="J3" s="68">
        <v>18</v>
      </c>
      <c r="K3" s="68">
        <v>5</v>
      </c>
      <c r="L3" s="68">
        <v>0</v>
      </c>
      <c r="M3" s="68">
        <v>3</v>
      </c>
      <c r="N3" s="68">
        <v>8</v>
      </c>
      <c r="O3" s="68">
        <v>6</v>
      </c>
      <c r="P3" s="69">
        <v>18</v>
      </c>
      <c r="Q3" s="99">
        <v>0</v>
      </c>
      <c r="R3" s="68">
        <v>0</v>
      </c>
      <c r="S3" s="69">
        <v>8</v>
      </c>
      <c r="T3" s="99">
        <v>32</v>
      </c>
      <c r="U3" s="66">
        <v>0.84285714285714286</v>
      </c>
      <c r="V3" s="69">
        <v>1</v>
      </c>
      <c r="W3" s="70">
        <v>1</v>
      </c>
      <c r="Z3" s="97" t="s">
        <v>226</v>
      </c>
      <c r="AA3" s="351" t="s">
        <v>179</v>
      </c>
      <c r="AB3" s="99" t="s">
        <v>238</v>
      </c>
      <c r="AC3" s="129">
        <v>0.32432432432432434</v>
      </c>
      <c r="AD3" s="66">
        <v>0.3902439024390244</v>
      </c>
      <c r="AE3" s="67">
        <v>0.51351351351351349</v>
      </c>
      <c r="AF3" s="99">
        <v>11</v>
      </c>
      <c r="AG3" s="68">
        <v>37</v>
      </c>
      <c r="AH3" s="68">
        <v>4</v>
      </c>
      <c r="AI3" s="68">
        <v>12</v>
      </c>
      <c r="AJ3" s="68">
        <v>1</v>
      </c>
      <c r="AK3" s="68">
        <v>0</v>
      </c>
      <c r="AL3" s="68">
        <v>2</v>
      </c>
      <c r="AM3" s="68">
        <v>5</v>
      </c>
      <c r="AN3" s="68">
        <v>4</v>
      </c>
      <c r="AO3" s="69">
        <v>5</v>
      </c>
      <c r="AP3" s="99">
        <v>0</v>
      </c>
      <c r="AQ3" s="68">
        <v>1</v>
      </c>
      <c r="AR3" s="69">
        <v>4</v>
      </c>
      <c r="AS3" s="99">
        <v>19</v>
      </c>
      <c r="AT3" s="66">
        <v>0.90375741595253789</v>
      </c>
      <c r="AU3" s="69">
        <v>1</v>
      </c>
      <c r="AV3" s="70">
        <v>1</v>
      </c>
      <c r="AY3" s="97" t="s">
        <v>165</v>
      </c>
      <c r="AZ3" s="65" t="s">
        <v>179</v>
      </c>
      <c r="BA3" s="99" t="s">
        <v>180</v>
      </c>
      <c r="BB3" s="129">
        <v>9.0909090909090912E-2</v>
      </c>
      <c r="BC3" s="66">
        <v>0.16666666666666666</v>
      </c>
      <c r="BD3" s="67">
        <v>9.0909090909090912E-2</v>
      </c>
      <c r="BE3" s="99">
        <v>3</v>
      </c>
      <c r="BF3" s="68">
        <v>11</v>
      </c>
      <c r="BG3" s="68">
        <v>1</v>
      </c>
      <c r="BH3" s="68">
        <v>1</v>
      </c>
      <c r="BI3" s="68">
        <v>0</v>
      </c>
      <c r="BJ3" s="68">
        <v>0</v>
      </c>
      <c r="BK3" s="68">
        <v>0</v>
      </c>
      <c r="BL3" s="68">
        <v>0</v>
      </c>
      <c r="BM3" s="68">
        <v>1</v>
      </c>
      <c r="BN3" s="69">
        <v>3</v>
      </c>
      <c r="BO3" s="99">
        <v>0</v>
      </c>
      <c r="BP3" s="68">
        <v>0</v>
      </c>
      <c r="BQ3" s="69">
        <v>1</v>
      </c>
      <c r="BR3" s="99">
        <v>1</v>
      </c>
      <c r="BS3" s="66">
        <v>0.25757575757575757</v>
      </c>
      <c r="BT3" s="69">
        <v>0</v>
      </c>
      <c r="BU3" s="70">
        <v>1</v>
      </c>
    </row>
    <row r="4" spans="1:73">
      <c r="A4" s="101" t="s">
        <v>165</v>
      </c>
      <c r="B4" s="71" t="s">
        <v>154</v>
      </c>
      <c r="C4" s="71" t="s">
        <v>175</v>
      </c>
      <c r="D4" s="130">
        <v>0.26865671641791045</v>
      </c>
      <c r="E4" s="72">
        <v>0.31944444444444442</v>
      </c>
      <c r="F4" s="72">
        <v>0.32835820895522388</v>
      </c>
      <c r="G4" s="77">
        <v>18</v>
      </c>
      <c r="H4" s="28">
        <v>67</v>
      </c>
      <c r="I4" s="28">
        <v>7</v>
      </c>
      <c r="J4" s="28">
        <v>18</v>
      </c>
      <c r="K4" s="28">
        <v>4</v>
      </c>
      <c r="L4" s="28">
        <v>0</v>
      </c>
      <c r="M4" s="28">
        <v>0</v>
      </c>
      <c r="N4" s="28">
        <v>3</v>
      </c>
      <c r="O4" s="28">
        <v>5</v>
      </c>
      <c r="P4" s="74">
        <v>15</v>
      </c>
      <c r="Q4" s="77">
        <v>0</v>
      </c>
      <c r="R4" s="28">
        <v>0</v>
      </c>
      <c r="S4" s="104">
        <v>11</v>
      </c>
      <c r="T4" s="77">
        <v>22</v>
      </c>
      <c r="U4" s="72">
        <v>0.64780265339966836</v>
      </c>
      <c r="V4" s="74">
        <v>2</v>
      </c>
      <c r="W4" s="75">
        <v>2</v>
      </c>
      <c r="Z4" s="101" t="s">
        <v>226</v>
      </c>
      <c r="AA4" s="345" t="s">
        <v>154</v>
      </c>
      <c r="AB4" s="77" t="s">
        <v>239</v>
      </c>
      <c r="AC4" s="130">
        <v>0.21951219512195122</v>
      </c>
      <c r="AD4" s="72">
        <v>0.27272727272727271</v>
      </c>
      <c r="AE4" s="73">
        <v>0.43902439024390244</v>
      </c>
      <c r="AF4" s="77">
        <v>11</v>
      </c>
      <c r="AG4" s="28">
        <v>41</v>
      </c>
      <c r="AH4" s="28">
        <v>7</v>
      </c>
      <c r="AI4" s="28">
        <v>9</v>
      </c>
      <c r="AJ4" s="28">
        <v>0</v>
      </c>
      <c r="AK4" s="28">
        <v>0</v>
      </c>
      <c r="AL4" s="28">
        <v>3</v>
      </c>
      <c r="AM4" s="28">
        <v>6</v>
      </c>
      <c r="AN4" s="28">
        <v>3</v>
      </c>
      <c r="AO4" s="74">
        <v>11</v>
      </c>
      <c r="AP4" s="77">
        <v>0</v>
      </c>
      <c r="AQ4" s="28">
        <v>0</v>
      </c>
      <c r="AR4" s="74">
        <v>3</v>
      </c>
      <c r="AS4" s="77">
        <v>18</v>
      </c>
      <c r="AT4" s="72">
        <v>0.71175166297117509</v>
      </c>
      <c r="AU4" s="74">
        <v>0</v>
      </c>
      <c r="AV4" s="75">
        <v>2</v>
      </c>
      <c r="AY4" s="101" t="s">
        <v>165</v>
      </c>
      <c r="AZ4" s="71" t="s">
        <v>154</v>
      </c>
      <c r="BA4" s="77" t="s">
        <v>176</v>
      </c>
      <c r="BB4" s="130">
        <v>0.16666666666666666</v>
      </c>
      <c r="BC4" s="72">
        <v>0.23076923076923078</v>
      </c>
      <c r="BD4" s="73">
        <v>0.25</v>
      </c>
      <c r="BE4" s="77">
        <v>3</v>
      </c>
      <c r="BF4" s="28">
        <v>12</v>
      </c>
      <c r="BG4" s="28">
        <v>0</v>
      </c>
      <c r="BH4" s="28">
        <v>2</v>
      </c>
      <c r="BI4" s="28">
        <v>1</v>
      </c>
      <c r="BJ4" s="28">
        <v>0</v>
      </c>
      <c r="BK4" s="28">
        <v>0</v>
      </c>
      <c r="BL4" s="28">
        <v>0</v>
      </c>
      <c r="BM4" s="28">
        <v>1</v>
      </c>
      <c r="BN4" s="74">
        <v>5</v>
      </c>
      <c r="BO4" s="77">
        <v>0</v>
      </c>
      <c r="BP4" s="28">
        <v>0</v>
      </c>
      <c r="BQ4" s="74">
        <v>2</v>
      </c>
      <c r="BR4" s="77">
        <v>3</v>
      </c>
      <c r="BS4" s="72">
        <v>0.48076923076923078</v>
      </c>
      <c r="BT4" s="74">
        <v>0</v>
      </c>
      <c r="BU4" s="75">
        <v>2</v>
      </c>
    </row>
    <row r="5" spans="1:73">
      <c r="A5" s="101" t="s">
        <v>165</v>
      </c>
      <c r="B5" s="71" t="s">
        <v>172</v>
      </c>
      <c r="C5" s="71" t="s">
        <v>173</v>
      </c>
      <c r="D5" s="130">
        <v>0.27848101265822783</v>
      </c>
      <c r="E5" s="72">
        <v>0.32941176470588235</v>
      </c>
      <c r="F5" s="72">
        <v>0.46835443037974683</v>
      </c>
      <c r="G5" s="77">
        <v>18</v>
      </c>
      <c r="H5" s="76">
        <v>79</v>
      </c>
      <c r="I5" s="28">
        <v>9</v>
      </c>
      <c r="J5" s="28">
        <v>22</v>
      </c>
      <c r="K5" s="28">
        <v>1</v>
      </c>
      <c r="L5" s="28">
        <v>1</v>
      </c>
      <c r="M5" s="28">
        <v>4</v>
      </c>
      <c r="N5" s="28">
        <v>10</v>
      </c>
      <c r="O5" s="28">
        <v>6</v>
      </c>
      <c r="P5" s="74">
        <v>18</v>
      </c>
      <c r="Q5" s="77">
        <v>0</v>
      </c>
      <c r="R5" s="28">
        <v>1</v>
      </c>
      <c r="S5" s="74">
        <v>7</v>
      </c>
      <c r="T5" s="77">
        <v>37</v>
      </c>
      <c r="U5" s="72">
        <v>0.79776619508562918</v>
      </c>
      <c r="V5" s="74">
        <v>2</v>
      </c>
      <c r="W5" s="75">
        <v>3</v>
      </c>
      <c r="Z5" s="101" t="s">
        <v>226</v>
      </c>
      <c r="AA5" s="71" t="s">
        <v>172</v>
      </c>
      <c r="AB5" s="77" t="s">
        <v>237</v>
      </c>
      <c r="AC5" s="130">
        <v>0.27906976744186046</v>
      </c>
      <c r="AD5" s="72">
        <v>0.32608695652173914</v>
      </c>
      <c r="AE5" s="73">
        <v>0.46511627906976744</v>
      </c>
      <c r="AF5" s="77">
        <v>11</v>
      </c>
      <c r="AG5" s="28">
        <v>43</v>
      </c>
      <c r="AH5" s="28">
        <v>8</v>
      </c>
      <c r="AI5" s="28">
        <v>12</v>
      </c>
      <c r="AJ5" s="28">
        <v>5</v>
      </c>
      <c r="AK5" s="28">
        <v>0</v>
      </c>
      <c r="AL5" s="28">
        <v>1</v>
      </c>
      <c r="AM5" s="28">
        <v>6</v>
      </c>
      <c r="AN5" s="28">
        <v>3</v>
      </c>
      <c r="AO5" s="74">
        <v>10</v>
      </c>
      <c r="AP5" s="77">
        <v>0</v>
      </c>
      <c r="AQ5" s="28">
        <v>3</v>
      </c>
      <c r="AR5" s="74">
        <v>4</v>
      </c>
      <c r="AS5" s="77">
        <v>20</v>
      </c>
      <c r="AT5" s="72">
        <v>0.79120323559150663</v>
      </c>
      <c r="AU5" s="74">
        <v>1</v>
      </c>
      <c r="AV5" s="75">
        <v>3</v>
      </c>
      <c r="AY5" s="101" t="s">
        <v>165</v>
      </c>
      <c r="AZ5" s="71" t="s">
        <v>172</v>
      </c>
      <c r="BA5" s="77" t="s">
        <v>173</v>
      </c>
      <c r="BB5" s="130">
        <v>0.58333333333333337</v>
      </c>
      <c r="BC5" s="72">
        <v>0.61538461538461542</v>
      </c>
      <c r="BD5" s="73">
        <v>1</v>
      </c>
      <c r="BE5" s="77">
        <v>3</v>
      </c>
      <c r="BF5" s="28">
        <v>12</v>
      </c>
      <c r="BG5" s="28">
        <v>4</v>
      </c>
      <c r="BH5" s="28">
        <v>7</v>
      </c>
      <c r="BI5" s="28">
        <v>2</v>
      </c>
      <c r="BJ5" s="28">
        <v>0</v>
      </c>
      <c r="BK5" s="28">
        <v>1</v>
      </c>
      <c r="BL5" s="28">
        <v>2</v>
      </c>
      <c r="BM5" s="28">
        <v>1</v>
      </c>
      <c r="BN5" s="74">
        <v>2</v>
      </c>
      <c r="BO5" s="77">
        <v>1</v>
      </c>
      <c r="BP5" s="28">
        <v>3</v>
      </c>
      <c r="BQ5" s="74">
        <v>3</v>
      </c>
      <c r="BR5" s="77">
        <v>12</v>
      </c>
      <c r="BS5" s="72">
        <v>1.6153846153846154</v>
      </c>
      <c r="BT5" s="74">
        <v>0</v>
      </c>
      <c r="BU5" s="75">
        <v>3</v>
      </c>
    </row>
    <row r="6" spans="1:73">
      <c r="A6" s="101" t="s">
        <v>165</v>
      </c>
      <c r="B6" s="71" t="s">
        <v>153</v>
      </c>
      <c r="C6" s="71" t="s">
        <v>171</v>
      </c>
      <c r="D6" s="130">
        <v>0.12121212121212122</v>
      </c>
      <c r="E6" s="72">
        <v>0.15942028985507245</v>
      </c>
      <c r="F6" s="72">
        <v>0.27272727272727271</v>
      </c>
      <c r="G6" s="77">
        <v>18</v>
      </c>
      <c r="H6" s="28">
        <v>66</v>
      </c>
      <c r="I6" s="28">
        <v>7</v>
      </c>
      <c r="J6" s="28">
        <v>8</v>
      </c>
      <c r="K6" s="28">
        <v>1</v>
      </c>
      <c r="L6" s="28">
        <v>0</v>
      </c>
      <c r="M6" s="28">
        <v>3</v>
      </c>
      <c r="N6" s="28">
        <v>5</v>
      </c>
      <c r="O6" s="28">
        <v>3</v>
      </c>
      <c r="P6" s="74">
        <v>18</v>
      </c>
      <c r="Q6" s="77">
        <v>0</v>
      </c>
      <c r="R6" s="28">
        <v>1</v>
      </c>
      <c r="S6" s="74">
        <v>2</v>
      </c>
      <c r="T6" s="77">
        <v>18</v>
      </c>
      <c r="U6" s="72">
        <v>0.43214756258234516</v>
      </c>
      <c r="V6" s="74">
        <v>1</v>
      </c>
      <c r="W6" s="75">
        <v>4</v>
      </c>
      <c r="Z6" s="101" t="s">
        <v>226</v>
      </c>
      <c r="AA6" s="71" t="s">
        <v>153</v>
      </c>
      <c r="AB6" s="77" t="s">
        <v>232</v>
      </c>
      <c r="AC6" s="130">
        <v>0.18</v>
      </c>
      <c r="AD6" s="72">
        <v>0.19607843137254902</v>
      </c>
      <c r="AE6" s="73">
        <v>0.24</v>
      </c>
      <c r="AF6" s="77">
        <v>11</v>
      </c>
      <c r="AG6" s="28">
        <v>50</v>
      </c>
      <c r="AH6" s="28">
        <v>4</v>
      </c>
      <c r="AI6" s="28">
        <v>9</v>
      </c>
      <c r="AJ6" s="28">
        <v>3</v>
      </c>
      <c r="AK6" s="28">
        <v>0</v>
      </c>
      <c r="AL6" s="28">
        <v>0</v>
      </c>
      <c r="AM6" s="28">
        <v>5</v>
      </c>
      <c r="AN6" s="28">
        <v>1</v>
      </c>
      <c r="AO6" s="74">
        <v>9</v>
      </c>
      <c r="AP6" s="77">
        <v>0</v>
      </c>
      <c r="AQ6" s="28">
        <v>3</v>
      </c>
      <c r="AR6" s="74">
        <v>3</v>
      </c>
      <c r="AS6" s="77">
        <v>12</v>
      </c>
      <c r="AT6" s="72">
        <v>0.43607843137254898</v>
      </c>
      <c r="AU6" s="74">
        <v>0</v>
      </c>
      <c r="AV6" s="75">
        <v>4</v>
      </c>
      <c r="AY6" s="101" t="s">
        <v>165</v>
      </c>
      <c r="AZ6" s="71" t="s">
        <v>153</v>
      </c>
      <c r="BA6" s="77" t="s">
        <v>175</v>
      </c>
      <c r="BB6" s="130">
        <v>0.2</v>
      </c>
      <c r="BC6" s="72">
        <v>0.33333333333333331</v>
      </c>
      <c r="BD6" s="73">
        <v>0.3</v>
      </c>
      <c r="BE6" s="77">
        <v>3</v>
      </c>
      <c r="BF6" s="28">
        <v>10</v>
      </c>
      <c r="BG6" s="28">
        <v>1</v>
      </c>
      <c r="BH6" s="28">
        <v>2</v>
      </c>
      <c r="BI6" s="28">
        <v>1</v>
      </c>
      <c r="BJ6" s="28">
        <v>0</v>
      </c>
      <c r="BK6" s="28">
        <v>0</v>
      </c>
      <c r="BL6" s="28">
        <v>0</v>
      </c>
      <c r="BM6" s="28">
        <v>2</v>
      </c>
      <c r="BN6" s="74">
        <v>2</v>
      </c>
      <c r="BO6" s="77">
        <v>0</v>
      </c>
      <c r="BP6" s="28">
        <v>1</v>
      </c>
      <c r="BQ6" s="74">
        <v>1</v>
      </c>
      <c r="BR6" s="77">
        <v>3</v>
      </c>
      <c r="BS6" s="72">
        <v>0.6333333333333333</v>
      </c>
      <c r="BT6" s="74">
        <v>0</v>
      </c>
      <c r="BU6" s="75">
        <v>4</v>
      </c>
    </row>
    <row r="7" spans="1:73">
      <c r="A7" s="101" t="s">
        <v>165</v>
      </c>
      <c r="B7" s="71" t="s">
        <v>177</v>
      </c>
      <c r="C7" s="71" t="s">
        <v>178</v>
      </c>
      <c r="D7" s="130">
        <v>0.19736842105263158</v>
      </c>
      <c r="E7" s="72">
        <v>0.24691358024691357</v>
      </c>
      <c r="F7" s="72">
        <v>0.36842105263157893</v>
      </c>
      <c r="G7" s="77">
        <v>18</v>
      </c>
      <c r="H7" s="28">
        <v>76</v>
      </c>
      <c r="I7" s="28">
        <v>4</v>
      </c>
      <c r="J7" s="28">
        <v>15</v>
      </c>
      <c r="K7" s="28">
        <v>4</v>
      </c>
      <c r="L7" s="28">
        <v>0</v>
      </c>
      <c r="M7" s="28">
        <v>3</v>
      </c>
      <c r="N7" s="28">
        <v>9</v>
      </c>
      <c r="O7" s="28">
        <v>5</v>
      </c>
      <c r="P7" s="74">
        <v>13</v>
      </c>
      <c r="Q7" s="77">
        <v>0</v>
      </c>
      <c r="R7" s="28">
        <v>0</v>
      </c>
      <c r="S7" s="74">
        <v>3</v>
      </c>
      <c r="T7" s="77">
        <v>28</v>
      </c>
      <c r="U7" s="72">
        <v>0.61533463287849255</v>
      </c>
      <c r="V7" s="74">
        <v>0</v>
      </c>
      <c r="W7" s="75">
        <v>5</v>
      </c>
      <c r="Z7" s="101" t="s">
        <v>226</v>
      </c>
      <c r="AA7" s="71" t="s">
        <v>177</v>
      </c>
      <c r="AB7" s="77" t="s">
        <v>233</v>
      </c>
      <c r="AC7" s="130">
        <v>0.42553191489361702</v>
      </c>
      <c r="AD7" s="72">
        <v>0.48076923076923078</v>
      </c>
      <c r="AE7" s="73">
        <v>0.53191489361702127</v>
      </c>
      <c r="AF7" s="77">
        <v>11</v>
      </c>
      <c r="AG7" s="28">
        <v>47</v>
      </c>
      <c r="AH7" s="28">
        <v>3</v>
      </c>
      <c r="AI7" s="28">
        <v>20</v>
      </c>
      <c r="AJ7" s="28">
        <v>5</v>
      </c>
      <c r="AK7" s="28">
        <v>0</v>
      </c>
      <c r="AL7" s="28">
        <v>0</v>
      </c>
      <c r="AM7" s="28">
        <v>5</v>
      </c>
      <c r="AN7" s="28">
        <v>5</v>
      </c>
      <c r="AO7" s="74">
        <v>12</v>
      </c>
      <c r="AP7" s="77">
        <v>0</v>
      </c>
      <c r="AQ7" s="28">
        <v>11</v>
      </c>
      <c r="AR7" s="104">
        <v>11</v>
      </c>
      <c r="AS7" s="77">
        <v>25</v>
      </c>
      <c r="AT7" s="72">
        <v>1.0126841243862521</v>
      </c>
      <c r="AU7" s="74">
        <v>0</v>
      </c>
      <c r="AV7" s="75">
        <v>5</v>
      </c>
      <c r="AY7" s="101" t="s">
        <v>165</v>
      </c>
      <c r="AZ7" s="71" t="s">
        <v>177</v>
      </c>
      <c r="BA7" s="77" t="s">
        <v>178</v>
      </c>
      <c r="BB7" s="130">
        <v>0.36363636363636365</v>
      </c>
      <c r="BC7" s="72">
        <v>0.46153846153846156</v>
      </c>
      <c r="BD7" s="73">
        <v>0.63636363636363635</v>
      </c>
      <c r="BE7" s="77">
        <v>3</v>
      </c>
      <c r="BF7" s="28">
        <v>11</v>
      </c>
      <c r="BG7" s="28">
        <v>1</v>
      </c>
      <c r="BH7" s="28">
        <v>4</v>
      </c>
      <c r="BI7" s="28">
        <v>0</v>
      </c>
      <c r="BJ7" s="28">
        <v>0</v>
      </c>
      <c r="BK7" s="28">
        <v>1</v>
      </c>
      <c r="BL7" s="28">
        <v>4</v>
      </c>
      <c r="BM7" s="28">
        <v>2</v>
      </c>
      <c r="BN7" s="74">
        <v>3</v>
      </c>
      <c r="BO7" s="77">
        <v>0</v>
      </c>
      <c r="BP7" s="28">
        <v>0</v>
      </c>
      <c r="BQ7" s="74">
        <v>2</v>
      </c>
      <c r="BR7" s="77">
        <v>7</v>
      </c>
      <c r="BS7" s="72">
        <v>1.0979020979020979</v>
      </c>
      <c r="BT7" s="74">
        <v>1</v>
      </c>
      <c r="BU7" s="75">
        <v>5</v>
      </c>
    </row>
    <row r="8" spans="1:73">
      <c r="A8" s="101" t="s">
        <v>165</v>
      </c>
      <c r="B8" s="71" t="s">
        <v>174</v>
      </c>
      <c r="C8" s="71" t="s">
        <v>169</v>
      </c>
      <c r="D8" s="130">
        <v>0.22535211267605634</v>
      </c>
      <c r="E8" s="72">
        <v>0.2857142857142857</v>
      </c>
      <c r="F8" s="72">
        <v>0.47887323943661969</v>
      </c>
      <c r="G8" s="77">
        <v>18</v>
      </c>
      <c r="H8" s="28">
        <v>71</v>
      </c>
      <c r="I8" s="28">
        <v>9</v>
      </c>
      <c r="J8" s="28">
        <v>16</v>
      </c>
      <c r="K8" s="28">
        <v>3</v>
      </c>
      <c r="L8" s="28">
        <v>0</v>
      </c>
      <c r="M8" s="28">
        <v>5</v>
      </c>
      <c r="N8" s="28">
        <v>10</v>
      </c>
      <c r="O8" s="28">
        <v>6</v>
      </c>
      <c r="P8" s="104">
        <v>29</v>
      </c>
      <c r="Q8" s="77">
        <v>0</v>
      </c>
      <c r="R8" s="28">
        <v>1</v>
      </c>
      <c r="S8" s="74">
        <v>3</v>
      </c>
      <c r="T8" s="77">
        <v>34</v>
      </c>
      <c r="U8" s="72">
        <v>0.76458752515090533</v>
      </c>
      <c r="V8" s="74">
        <v>1</v>
      </c>
      <c r="W8" s="75">
        <v>6</v>
      </c>
      <c r="Z8" s="101" t="s">
        <v>226</v>
      </c>
      <c r="AA8" s="71" t="s">
        <v>234</v>
      </c>
      <c r="AB8" s="77" t="s">
        <v>229</v>
      </c>
      <c r="AC8" s="130">
        <v>0.33333333333333331</v>
      </c>
      <c r="AD8" s="72">
        <v>0.42857142857142855</v>
      </c>
      <c r="AE8" s="73">
        <v>0.7142857142857143</v>
      </c>
      <c r="AF8" s="77">
        <v>11</v>
      </c>
      <c r="AG8" s="28">
        <v>42</v>
      </c>
      <c r="AH8" s="28">
        <v>7</v>
      </c>
      <c r="AI8" s="28">
        <v>14</v>
      </c>
      <c r="AJ8" s="76">
        <v>7</v>
      </c>
      <c r="AK8" s="28">
        <v>0</v>
      </c>
      <c r="AL8" s="28">
        <v>3</v>
      </c>
      <c r="AM8" s="28">
        <v>6</v>
      </c>
      <c r="AN8" s="28">
        <v>7</v>
      </c>
      <c r="AO8" s="74">
        <v>5</v>
      </c>
      <c r="AP8" s="77">
        <v>0</v>
      </c>
      <c r="AQ8" s="28">
        <v>2</v>
      </c>
      <c r="AR8" s="74">
        <v>5</v>
      </c>
      <c r="AS8" s="77">
        <v>30</v>
      </c>
      <c r="AT8" s="72">
        <v>1.1428571428571428</v>
      </c>
      <c r="AU8" s="74">
        <v>1</v>
      </c>
      <c r="AV8" s="75">
        <v>6</v>
      </c>
      <c r="AY8" s="101" t="s">
        <v>165</v>
      </c>
      <c r="AZ8" s="71" t="s">
        <v>174</v>
      </c>
      <c r="BA8" s="77" t="s">
        <v>170</v>
      </c>
      <c r="BB8" s="130">
        <v>0.27272727272727271</v>
      </c>
      <c r="BC8" s="72">
        <v>0.33333333333333331</v>
      </c>
      <c r="BD8" s="73">
        <v>0.36363636363636365</v>
      </c>
      <c r="BE8" s="77">
        <v>3</v>
      </c>
      <c r="BF8" s="28">
        <v>11</v>
      </c>
      <c r="BG8" s="28">
        <v>1</v>
      </c>
      <c r="BH8" s="28">
        <v>3</v>
      </c>
      <c r="BI8" s="28">
        <v>1</v>
      </c>
      <c r="BJ8" s="28">
        <v>0</v>
      </c>
      <c r="BK8" s="28">
        <v>0</v>
      </c>
      <c r="BL8" s="28">
        <v>2</v>
      </c>
      <c r="BM8" s="28">
        <v>1</v>
      </c>
      <c r="BN8" s="74">
        <v>2</v>
      </c>
      <c r="BO8" s="77">
        <v>0</v>
      </c>
      <c r="BP8" s="28">
        <v>3</v>
      </c>
      <c r="BQ8" s="74">
        <v>3</v>
      </c>
      <c r="BR8" s="77">
        <v>4</v>
      </c>
      <c r="BS8" s="72">
        <v>0.69696969696969702</v>
      </c>
      <c r="BT8" s="74">
        <v>0</v>
      </c>
      <c r="BU8" s="75">
        <v>6</v>
      </c>
    </row>
    <row r="9" spans="1:73">
      <c r="A9" s="101" t="s">
        <v>165</v>
      </c>
      <c r="B9" s="71" t="s">
        <v>181</v>
      </c>
      <c r="C9" s="71" t="s">
        <v>183</v>
      </c>
      <c r="D9" s="130">
        <v>0.27272727272727271</v>
      </c>
      <c r="E9" s="72">
        <v>0.40298507462686567</v>
      </c>
      <c r="F9" s="72">
        <v>0.36363636363636365</v>
      </c>
      <c r="G9" s="77">
        <v>18</v>
      </c>
      <c r="H9" s="28">
        <v>55</v>
      </c>
      <c r="I9" s="28">
        <v>6</v>
      </c>
      <c r="J9" s="28">
        <v>15</v>
      </c>
      <c r="K9" s="28">
        <v>2</v>
      </c>
      <c r="L9" s="28">
        <v>0</v>
      </c>
      <c r="M9" s="28">
        <v>1</v>
      </c>
      <c r="N9" s="28">
        <v>6</v>
      </c>
      <c r="O9" s="76">
        <v>12</v>
      </c>
      <c r="P9" s="74">
        <v>11</v>
      </c>
      <c r="Q9" s="77">
        <v>5</v>
      </c>
      <c r="R9" s="28">
        <v>1</v>
      </c>
      <c r="S9" s="74">
        <v>5</v>
      </c>
      <c r="T9" s="77">
        <v>20</v>
      </c>
      <c r="U9" s="72">
        <v>0.76662143826322926</v>
      </c>
      <c r="V9" s="74">
        <v>0</v>
      </c>
      <c r="W9" s="75">
        <v>7</v>
      </c>
      <c r="Z9" s="101" t="s">
        <v>226</v>
      </c>
      <c r="AA9" s="71" t="s">
        <v>181</v>
      </c>
      <c r="AB9" s="77" t="s">
        <v>231</v>
      </c>
      <c r="AC9" s="130">
        <v>0.29545454545454547</v>
      </c>
      <c r="AD9" s="72">
        <v>0.34042553191489361</v>
      </c>
      <c r="AE9" s="73">
        <v>0.43181818181818182</v>
      </c>
      <c r="AF9" s="77">
        <v>11</v>
      </c>
      <c r="AG9" s="28">
        <v>44</v>
      </c>
      <c r="AH9" s="28">
        <v>8</v>
      </c>
      <c r="AI9" s="28">
        <v>13</v>
      </c>
      <c r="AJ9" s="28">
        <v>0</v>
      </c>
      <c r="AK9" s="28">
        <v>0</v>
      </c>
      <c r="AL9" s="28">
        <v>2</v>
      </c>
      <c r="AM9" s="28">
        <v>9</v>
      </c>
      <c r="AN9" s="28">
        <v>3</v>
      </c>
      <c r="AO9" s="74">
        <v>8</v>
      </c>
      <c r="AP9" s="77">
        <v>0</v>
      </c>
      <c r="AQ9" s="28">
        <v>4</v>
      </c>
      <c r="AR9" s="74">
        <v>4</v>
      </c>
      <c r="AS9" s="77">
        <v>19</v>
      </c>
      <c r="AT9" s="72">
        <v>0.77224371373307543</v>
      </c>
      <c r="AU9" s="74">
        <v>2</v>
      </c>
      <c r="AV9" s="75">
        <v>7</v>
      </c>
      <c r="AY9" s="101" t="s">
        <v>165</v>
      </c>
      <c r="AZ9" s="71" t="s">
        <v>181</v>
      </c>
      <c r="BA9" s="77" t="s">
        <v>182</v>
      </c>
      <c r="BB9" s="130">
        <v>0.18181818181818182</v>
      </c>
      <c r="BC9" s="72">
        <v>0.25</v>
      </c>
      <c r="BD9" s="73">
        <v>0.18181818181818182</v>
      </c>
      <c r="BE9" s="77">
        <v>3</v>
      </c>
      <c r="BF9" s="28">
        <v>11</v>
      </c>
      <c r="BG9" s="28">
        <v>1</v>
      </c>
      <c r="BH9" s="28">
        <v>2</v>
      </c>
      <c r="BI9" s="28">
        <v>0</v>
      </c>
      <c r="BJ9" s="28">
        <v>0</v>
      </c>
      <c r="BK9" s="28">
        <v>0</v>
      </c>
      <c r="BL9" s="28">
        <v>1</v>
      </c>
      <c r="BM9" s="28">
        <v>1</v>
      </c>
      <c r="BN9" s="74">
        <v>5</v>
      </c>
      <c r="BO9" s="77">
        <v>0</v>
      </c>
      <c r="BP9" s="28">
        <v>0</v>
      </c>
      <c r="BQ9" s="74">
        <v>2</v>
      </c>
      <c r="BR9" s="77">
        <v>2</v>
      </c>
      <c r="BS9" s="72">
        <v>0.43181818181818182</v>
      </c>
      <c r="BT9" s="74">
        <v>0</v>
      </c>
      <c r="BU9" s="75">
        <v>7</v>
      </c>
    </row>
    <row r="10" spans="1:73">
      <c r="A10" s="101" t="s">
        <v>165</v>
      </c>
      <c r="B10" s="345" t="s">
        <v>166</v>
      </c>
      <c r="C10" s="71" t="s">
        <v>167</v>
      </c>
      <c r="D10" s="130">
        <v>0.29870129870129869</v>
      </c>
      <c r="E10" s="72">
        <v>0.35714285714285715</v>
      </c>
      <c r="F10" s="72">
        <v>0.66233766233766234</v>
      </c>
      <c r="G10" s="77">
        <v>18</v>
      </c>
      <c r="H10" s="28">
        <v>77</v>
      </c>
      <c r="I10" s="28">
        <v>12</v>
      </c>
      <c r="J10" s="28">
        <v>23</v>
      </c>
      <c r="K10" s="28">
        <v>4</v>
      </c>
      <c r="L10" s="28">
        <v>0</v>
      </c>
      <c r="M10" s="76">
        <v>8</v>
      </c>
      <c r="N10" s="76">
        <v>14</v>
      </c>
      <c r="O10" s="28">
        <v>7</v>
      </c>
      <c r="P10" s="74">
        <v>28</v>
      </c>
      <c r="Q10" s="77">
        <v>0</v>
      </c>
      <c r="R10" s="28">
        <v>8</v>
      </c>
      <c r="S10" s="74">
        <v>8</v>
      </c>
      <c r="T10" s="531">
        <v>51</v>
      </c>
      <c r="U10" s="72">
        <v>1.0194805194805194</v>
      </c>
      <c r="V10" s="74">
        <v>2</v>
      </c>
      <c r="W10" s="75">
        <v>8</v>
      </c>
      <c r="Z10" s="101" t="s">
        <v>226</v>
      </c>
      <c r="AA10" s="71" t="s">
        <v>166</v>
      </c>
      <c r="AB10" s="77" t="s">
        <v>228</v>
      </c>
      <c r="AC10" s="130">
        <v>0.19148936170212766</v>
      </c>
      <c r="AD10" s="72">
        <v>0.25490196078431371</v>
      </c>
      <c r="AE10" s="73">
        <v>0.34042553191489361</v>
      </c>
      <c r="AF10" s="77">
        <v>11</v>
      </c>
      <c r="AG10" s="28">
        <v>47</v>
      </c>
      <c r="AH10" s="28">
        <v>5</v>
      </c>
      <c r="AI10" s="28">
        <v>9</v>
      </c>
      <c r="AJ10" s="28">
        <v>4</v>
      </c>
      <c r="AK10" s="28">
        <v>0</v>
      </c>
      <c r="AL10" s="28">
        <v>1</v>
      </c>
      <c r="AM10" s="28">
        <v>4</v>
      </c>
      <c r="AN10" s="28">
        <v>4</v>
      </c>
      <c r="AO10" s="74">
        <v>16</v>
      </c>
      <c r="AP10" s="77">
        <v>0</v>
      </c>
      <c r="AQ10" s="28">
        <v>0</v>
      </c>
      <c r="AR10" s="74">
        <v>4</v>
      </c>
      <c r="AS10" s="77">
        <v>16</v>
      </c>
      <c r="AT10" s="72">
        <v>0.59532749269920737</v>
      </c>
      <c r="AU10" s="74">
        <v>0</v>
      </c>
      <c r="AV10" s="75">
        <v>8</v>
      </c>
      <c r="AY10" s="101" t="s">
        <v>165</v>
      </c>
      <c r="AZ10" s="71" t="s">
        <v>166</v>
      </c>
      <c r="BA10" s="77" t="s">
        <v>167</v>
      </c>
      <c r="BB10" s="130">
        <v>9.0909090909090912E-2</v>
      </c>
      <c r="BC10" s="72">
        <v>0.16666666666666666</v>
      </c>
      <c r="BD10" s="73">
        <v>9.0909090909090912E-2</v>
      </c>
      <c r="BE10" s="77">
        <v>3</v>
      </c>
      <c r="BF10" s="28">
        <v>11</v>
      </c>
      <c r="BG10" s="28">
        <v>0</v>
      </c>
      <c r="BH10" s="28">
        <v>1</v>
      </c>
      <c r="BI10" s="28">
        <v>0</v>
      </c>
      <c r="BJ10" s="28">
        <v>0</v>
      </c>
      <c r="BK10" s="28">
        <v>0</v>
      </c>
      <c r="BL10" s="28">
        <v>0</v>
      </c>
      <c r="BM10" s="28">
        <v>1</v>
      </c>
      <c r="BN10" s="74">
        <v>5</v>
      </c>
      <c r="BO10" s="77">
        <v>0</v>
      </c>
      <c r="BP10" s="28">
        <v>1</v>
      </c>
      <c r="BQ10" s="74">
        <v>1</v>
      </c>
      <c r="BR10" s="77">
        <v>1</v>
      </c>
      <c r="BS10" s="72">
        <v>0.25757575757575757</v>
      </c>
      <c r="BT10" s="74">
        <v>0</v>
      </c>
      <c r="BU10" s="75">
        <v>8</v>
      </c>
    </row>
    <row r="11" spans="1:73">
      <c r="A11" s="101" t="s">
        <v>165</v>
      </c>
      <c r="B11" s="71" t="s">
        <v>168</v>
      </c>
      <c r="C11" s="71" t="s">
        <v>170</v>
      </c>
      <c r="D11" s="130">
        <v>0.18181818181818182</v>
      </c>
      <c r="E11" s="72">
        <v>0.26027397260273971</v>
      </c>
      <c r="F11" s="72">
        <v>0.25757575757575757</v>
      </c>
      <c r="G11" s="77">
        <v>18</v>
      </c>
      <c r="H11" s="28">
        <v>66</v>
      </c>
      <c r="I11" s="28">
        <v>5</v>
      </c>
      <c r="J11" s="28">
        <v>12</v>
      </c>
      <c r="K11" s="28">
        <v>2</v>
      </c>
      <c r="L11" s="28">
        <v>0</v>
      </c>
      <c r="M11" s="28">
        <v>1</v>
      </c>
      <c r="N11" s="28">
        <v>3</v>
      </c>
      <c r="O11" s="28">
        <v>7</v>
      </c>
      <c r="P11" s="74">
        <v>19</v>
      </c>
      <c r="Q11" s="77">
        <v>0</v>
      </c>
      <c r="R11" s="28">
        <v>0</v>
      </c>
      <c r="S11" s="74">
        <v>2</v>
      </c>
      <c r="T11" s="77">
        <v>17</v>
      </c>
      <c r="U11" s="72">
        <v>0.51784973017849723</v>
      </c>
      <c r="V11" s="74">
        <v>0</v>
      </c>
      <c r="W11" s="75">
        <v>9</v>
      </c>
      <c r="Z11" s="101" t="s">
        <v>226</v>
      </c>
      <c r="AA11" s="71" t="s">
        <v>168</v>
      </c>
      <c r="AB11" s="77" t="s">
        <v>230</v>
      </c>
      <c r="AC11" s="130">
        <v>0.28260869565217389</v>
      </c>
      <c r="AD11" s="72">
        <v>0.34</v>
      </c>
      <c r="AE11" s="73">
        <v>0.52173913043478259</v>
      </c>
      <c r="AF11" s="77">
        <v>11</v>
      </c>
      <c r="AG11" s="28">
        <v>46</v>
      </c>
      <c r="AH11" s="28">
        <v>5</v>
      </c>
      <c r="AI11" s="28">
        <v>13</v>
      </c>
      <c r="AJ11" s="28">
        <v>2</v>
      </c>
      <c r="AK11" s="28">
        <v>0</v>
      </c>
      <c r="AL11" s="28">
        <v>3</v>
      </c>
      <c r="AM11" s="28">
        <v>5</v>
      </c>
      <c r="AN11" s="28">
        <v>4</v>
      </c>
      <c r="AO11" s="74">
        <v>13</v>
      </c>
      <c r="AP11" s="77">
        <v>0</v>
      </c>
      <c r="AQ11" s="28">
        <v>4</v>
      </c>
      <c r="AR11" s="74">
        <v>4</v>
      </c>
      <c r="AS11" s="77">
        <v>24</v>
      </c>
      <c r="AT11" s="72">
        <v>0.86173913043478256</v>
      </c>
      <c r="AU11" s="74">
        <v>1</v>
      </c>
      <c r="AV11" s="75">
        <v>9</v>
      </c>
      <c r="AY11" s="101" t="s">
        <v>165</v>
      </c>
      <c r="AZ11" s="71" t="s">
        <v>168</v>
      </c>
      <c r="BA11" s="77" t="s">
        <v>169</v>
      </c>
      <c r="BB11" s="130">
        <v>0.18181818181818182</v>
      </c>
      <c r="BC11" s="72">
        <v>0.25</v>
      </c>
      <c r="BD11" s="73">
        <v>0.18181818181818182</v>
      </c>
      <c r="BE11" s="77">
        <v>3</v>
      </c>
      <c r="BF11" s="28">
        <v>11</v>
      </c>
      <c r="BG11" s="28">
        <v>1</v>
      </c>
      <c r="BH11" s="28">
        <v>2</v>
      </c>
      <c r="BI11" s="28">
        <v>0</v>
      </c>
      <c r="BJ11" s="28">
        <v>0</v>
      </c>
      <c r="BK11" s="28">
        <v>0</v>
      </c>
      <c r="BL11" s="28">
        <v>1</v>
      </c>
      <c r="BM11" s="28">
        <v>1</v>
      </c>
      <c r="BN11" s="74">
        <v>3</v>
      </c>
      <c r="BO11" s="77">
        <v>0</v>
      </c>
      <c r="BP11" s="28">
        <v>2</v>
      </c>
      <c r="BQ11" s="74">
        <v>2</v>
      </c>
      <c r="BR11" s="77">
        <v>2</v>
      </c>
      <c r="BS11" s="72">
        <v>0.43181818181818182</v>
      </c>
      <c r="BT11" s="74">
        <v>0</v>
      </c>
      <c r="BU11" s="75">
        <v>9</v>
      </c>
    </row>
    <row r="12" spans="1:73">
      <c r="A12" s="101" t="s">
        <v>165</v>
      </c>
      <c r="B12" s="71" t="s">
        <v>179</v>
      </c>
      <c r="C12" s="71" t="s">
        <v>190</v>
      </c>
      <c r="D12" s="130">
        <v>0</v>
      </c>
      <c r="E12" s="72">
        <v>0</v>
      </c>
      <c r="F12" s="72">
        <v>0</v>
      </c>
      <c r="G12" s="77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74">
        <v>0</v>
      </c>
      <c r="Q12" s="77">
        <v>0</v>
      </c>
      <c r="R12" s="28">
        <v>0</v>
      </c>
      <c r="S12" s="74">
        <v>0</v>
      </c>
      <c r="T12" s="77">
        <v>0</v>
      </c>
      <c r="U12" s="72">
        <v>0</v>
      </c>
      <c r="V12" s="74">
        <v>0</v>
      </c>
      <c r="W12" s="75">
        <v>10</v>
      </c>
      <c r="Z12" s="101" t="s">
        <v>226</v>
      </c>
      <c r="AA12" s="71" t="s">
        <v>179</v>
      </c>
      <c r="AB12" s="77" t="s">
        <v>246</v>
      </c>
      <c r="AC12" s="130">
        <v>0</v>
      </c>
      <c r="AD12" s="72">
        <v>0</v>
      </c>
      <c r="AE12" s="73">
        <v>0</v>
      </c>
      <c r="AF12" s="77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74">
        <v>0</v>
      </c>
      <c r="AP12" s="77">
        <v>0</v>
      </c>
      <c r="AQ12" s="28">
        <v>0</v>
      </c>
      <c r="AR12" s="74">
        <v>0</v>
      </c>
      <c r="AS12" s="77">
        <v>0</v>
      </c>
      <c r="AT12" s="72">
        <v>0</v>
      </c>
      <c r="AU12" s="74">
        <v>0</v>
      </c>
      <c r="AV12" s="75">
        <v>10</v>
      </c>
      <c r="AY12" s="101" t="s">
        <v>165</v>
      </c>
      <c r="AZ12" s="71" t="s">
        <v>179</v>
      </c>
      <c r="BA12" s="77" t="s">
        <v>190</v>
      </c>
      <c r="BB12" s="130">
        <v>0</v>
      </c>
      <c r="BC12" s="72">
        <v>0</v>
      </c>
      <c r="BD12" s="73">
        <v>0</v>
      </c>
      <c r="BE12" s="77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74">
        <v>0</v>
      </c>
      <c r="BO12" s="77">
        <v>0</v>
      </c>
      <c r="BP12" s="28">
        <v>0</v>
      </c>
      <c r="BQ12" s="74">
        <v>0</v>
      </c>
      <c r="BR12" s="77">
        <v>0</v>
      </c>
      <c r="BS12" s="72">
        <v>0</v>
      </c>
      <c r="BT12" s="74">
        <v>0</v>
      </c>
      <c r="BU12" s="75">
        <v>10</v>
      </c>
    </row>
    <row r="13" spans="1:73">
      <c r="A13" s="101" t="s">
        <v>165</v>
      </c>
      <c r="B13" s="71" t="s">
        <v>187</v>
      </c>
      <c r="C13" s="71" t="s">
        <v>188</v>
      </c>
      <c r="D13" s="130">
        <v>0</v>
      </c>
      <c r="E13" s="72">
        <v>0</v>
      </c>
      <c r="F13" s="72">
        <v>0</v>
      </c>
      <c r="G13" s="77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74">
        <v>0</v>
      </c>
      <c r="Q13" s="77">
        <v>0</v>
      </c>
      <c r="R13" s="28">
        <v>0</v>
      </c>
      <c r="S13" s="74">
        <v>0</v>
      </c>
      <c r="T13" s="77">
        <v>0</v>
      </c>
      <c r="U13" s="72">
        <v>0</v>
      </c>
      <c r="V13" s="74">
        <v>0</v>
      </c>
      <c r="W13" s="75">
        <v>11</v>
      </c>
      <c r="Z13" s="101" t="s">
        <v>226</v>
      </c>
      <c r="AA13" s="71" t="s">
        <v>192</v>
      </c>
      <c r="AB13" s="77" t="s">
        <v>245</v>
      </c>
      <c r="AC13" s="130">
        <v>0</v>
      </c>
      <c r="AD13" s="72">
        <v>0</v>
      </c>
      <c r="AE13" s="73">
        <v>0</v>
      </c>
      <c r="AF13" s="77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74">
        <v>0</v>
      </c>
      <c r="AP13" s="77">
        <v>0</v>
      </c>
      <c r="AQ13" s="28">
        <v>0</v>
      </c>
      <c r="AR13" s="74">
        <v>0</v>
      </c>
      <c r="AS13" s="77">
        <v>0</v>
      </c>
      <c r="AT13" s="72">
        <v>0</v>
      </c>
      <c r="AU13" s="74">
        <v>0</v>
      </c>
      <c r="AV13" s="75">
        <v>11</v>
      </c>
      <c r="AY13" s="101" t="s">
        <v>165</v>
      </c>
      <c r="AZ13" s="71" t="s">
        <v>187</v>
      </c>
      <c r="BA13" s="77" t="s">
        <v>171</v>
      </c>
      <c r="BB13" s="130">
        <v>0</v>
      </c>
      <c r="BC13" s="72">
        <v>0</v>
      </c>
      <c r="BD13" s="73">
        <v>0</v>
      </c>
      <c r="BE13" s="77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74">
        <v>0</v>
      </c>
      <c r="BO13" s="77">
        <v>0</v>
      </c>
      <c r="BP13" s="28">
        <v>0</v>
      </c>
      <c r="BQ13" s="74">
        <v>0</v>
      </c>
      <c r="BR13" s="77">
        <v>0</v>
      </c>
      <c r="BS13" s="72">
        <v>0</v>
      </c>
      <c r="BT13" s="74">
        <v>0</v>
      </c>
      <c r="BU13" s="75">
        <v>11</v>
      </c>
    </row>
    <row r="14" spans="1:73">
      <c r="A14" s="101" t="s">
        <v>165</v>
      </c>
      <c r="B14" s="71" t="s">
        <v>187</v>
      </c>
      <c r="C14" s="71" t="s">
        <v>193</v>
      </c>
      <c r="D14" s="130">
        <v>0</v>
      </c>
      <c r="E14" s="72">
        <v>0</v>
      </c>
      <c r="F14" s="72">
        <v>0</v>
      </c>
      <c r="G14" s="77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74">
        <v>0</v>
      </c>
      <c r="Q14" s="77">
        <v>0</v>
      </c>
      <c r="R14" s="28">
        <v>0</v>
      </c>
      <c r="S14" s="74">
        <v>0</v>
      </c>
      <c r="T14" s="77">
        <v>0</v>
      </c>
      <c r="U14" s="72">
        <v>0</v>
      </c>
      <c r="V14" s="74">
        <v>0</v>
      </c>
      <c r="W14" s="75">
        <v>12</v>
      </c>
      <c r="Z14" s="101" t="s">
        <v>226</v>
      </c>
      <c r="AA14" s="71" t="s">
        <v>187</v>
      </c>
      <c r="AB14" s="77" t="s">
        <v>243</v>
      </c>
      <c r="AC14" s="130">
        <v>0</v>
      </c>
      <c r="AD14" s="72">
        <v>0</v>
      </c>
      <c r="AE14" s="73">
        <v>0</v>
      </c>
      <c r="AF14" s="77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74">
        <v>0</v>
      </c>
      <c r="AP14" s="77">
        <v>0</v>
      </c>
      <c r="AQ14" s="28">
        <v>0</v>
      </c>
      <c r="AR14" s="74">
        <v>0</v>
      </c>
      <c r="AS14" s="77">
        <v>0</v>
      </c>
      <c r="AT14" s="72">
        <v>0</v>
      </c>
      <c r="AU14" s="74">
        <v>0</v>
      </c>
      <c r="AV14" s="75">
        <v>12</v>
      </c>
      <c r="AY14" s="101" t="s">
        <v>165</v>
      </c>
      <c r="AZ14" s="71" t="s">
        <v>187</v>
      </c>
      <c r="BA14" s="77" t="s">
        <v>194</v>
      </c>
      <c r="BB14" s="130">
        <v>0</v>
      </c>
      <c r="BC14" s="72">
        <v>0</v>
      </c>
      <c r="BD14" s="73">
        <v>0</v>
      </c>
      <c r="BE14" s="77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74">
        <v>0</v>
      </c>
      <c r="BO14" s="77">
        <v>0</v>
      </c>
      <c r="BP14" s="28">
        <v>0</v>
      </c>
      <c r="BQ14" s="74">
        <v>0</v>
      </c>
      <c r="BR14" s="77">
        <v>0</v>
      </c>
      <c r="BS14" s="72">
        <v>0</v>
      </c>
      <c r="BT14" s="74">
        <v>0</v>
      </c>
      <c r="BU14" s="75">
        <v>12</v>
      </c>
    </row>
    <row r="15" spans="1:73">
      <c r="A15" s="101" t="s">
        <v>165</v>
      </c>
      <c r="B15" s="71" t="s">
        <v>184</v>
      </c>
      <c r="C15" s="71" t="s">
        <v>185</v>
      </c>
      <c r="D15" s="130">
        <v>0</v>
      </c>
      <c r="E15" s="72">
        <v>0</v>
      </c>
      <c r="F15" s="72">
        <v>0</v>
      </c>
      <c r="G15" s="77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74">
        <v>0</v>
      </c>
      <c r="Q15" s="77">
        <v>0</v>
      </c>
      <c r="R15" s="28">
        <v>0</v>
      </c>
      <c r="S15" s="74">
        <v>0</v>
      </c>
      <c r="T15" s="77">
        <v>0</v>
      </c>
      <c r="U15" s="72">
        <v>0</v>
      </c>
      <c r="V15" s="74">
        <v>0</v>
      </c>
      <c r="W15" s="75">
        <v>13</v>
      </c>
      <c r="Z15" s="101" t="s">
        <v>226</v>
      </c>
      <c r="AA15" s="71" t="s">
        <v>186</v>
      </c>
      <c r="AB15" s="77" t="s">
        <v>227</v>
      </c>
      <c r="AC15" s="130">
        <v>0</v>
      </c>
      <c r="AD15" s="72">
        <v>0</v>
      </c>
      <c r="AE15" s="73">
        <v>0</v>
      </c>
      <c r="AF15" s="77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74">
        <v>0</v>
      </c>
      <c r="AP15" s="77">
        <v>0</v>
      </c>
      <c r="AQ15" s="28">
        <v>0</v>
      </c>
      <c r="AR15" s="74">
        <v>0</v>
      </c>
      <c r="AS15" s="77">
        <v>0</v>
      </c>
      <c r="AT15" s="72">
        <v>0</v>
      </c>
      <c r="AU15" s="74">
        <v>0</v>
      </c>
      <c r="AV15" s="75">
        <v>13</v>
      </c>
      <c r="AY15" s="101" t="s">
        <v>165</v>
      </c>
      <c r="AZ15" s="71" t="s">
        <v>186</v>
      </c>
      <c r="BA15" s="77" t="s">
        <v>191</v>
      </c>
      <c r="BB15" s="130">
        <v>0</v>
      </c>
      <c r="BC15" s="72">
        <v>0</v>
      </c>
      <c r="BD15" s="73">
        <v>0</v>
      </c>
      <c r="BE15" s="77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74">
        <v>0</v>
      </c>
      <c r="BO15" s="77">
        <v>0</v>
      </c>
      <c r="BP15" s="28">
        <v>0</v>
      </c>
      <c r="BQ15" s="74">
        <v>0</v>
      </c>
      <c r="BR15" s="77">
        <v>0</v>
      </c>
      <c r="BS15" s="72">
        <v>0</v>
      </c>
      <c r="BT15" s="74">
        <v>0</v>
      </c>
      <c r="BU15" s="75">
        <v>13</v>
      </c>
    </row>
    <row r="16" spans="1:73">
      <c r="A16" s="101" t="s">
        <v>165</v>
      </c>
      <c r="B16" s="71" t="s">
        <v>186</v>
      </c>
      <c r="C16" s="71" t="s">
        <v>182</v>
      </c>
      <c r="D16" s="130">
        <v>0</v>
      </c>
      <c r="E16" s="72">
        <v>0</v>
      </c>
      <c r="F16" s="72">
        <v>0</v>
      </c>
      <c r="G16" s="77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74">
        <v>0</v>
      </c>
      <c r="Q16" s="77">
        <v>0</v>
      </c>
      <c r="R16" s="28">
        <v>0</v>
      </c>
      <c r="S16" s="74">
        <v>0</v>
      </c>
      <c r="T16" s="77">
        <v>0</v>
      </c>
      <c r="U16" s="72">
        <v>0</v>
      </c>
      <c r="V16" s="74">
        <v>0</v>
      </c>
      <c r="W16" s="75">
        <v>14</v>
      </c>
      <c r="Z16" s="101" t="s">
        <v>226</v>
      </c>
      <c r="AA16" s="71" t="s">
        <v>186</v>
      </c>
      <c r="AB16" s="77" t="s">
        <v>242</v>
      </c>
      <c r="AC16" s="130">
        <v>0</v>
      </c>
      <c r="AD16" s="72">
        <v>0</v>
      </c>
      <c r="AE16" s="73">
        <v>0</v>
      </c>
      <c r="AF16" s="77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74">
        <v>0</v>
      </c>
      <c r="AP16" s="77">
        <v>0</v>
      </c>
      <c r="AQ16" s="28">
        <v>0</v>
      </c>
      <c r="AR16" s="74">
        <v>0</v>
      </c>
      <c r="AS16" s="77">
        <v>0</v>
      </c>
      <c r="AT16" s="72">
        <v>0</v>
      </c>
      <c r="AU16" s="74">
        <v>0</v>
      </c>
      <c r="AV16" s="75">
        <v>14</v>
      </c>
      <c r="AY16" s="101" t="s">
        <v>165</v>
      </c>
      <c r="AZ16" s="71" t="s">
        <v>186</v>
      </c>
      <c r="BA16" s="77" t="s">
        <v>183</v>
      </c>
      <c r="BB16" s="130">
        <v>0</v>
      </c>
      <c r="BC16" s="72">
        <v>0</v>
      </c>
      <c r="BD16" s="73">
        <v>0</v>
      </c>
      <c r="BE16" s="77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74">
        <v>0</v>
      </c>
      <c r="BO16" s="77">
        <v>0</v>
      </c>
      <c r="BP16" s="28">
        <v>0</v>
      </c>
      <c r="BQ16" s="74">
        <v>0</v>
      </c>
      <c r="BR16" s="77">
        <v>0</v>
      </c>
      <c r="BS16" s="72">
        <v>0</v>
      </c>
      <c r="BT16" s="74">
        <v>0</v>
      </c>
      <c r="BU16" s="75">
        <v>14</v>
      </c>
    </row>
    <row r="17" spans="1:73">
      <c r="A17" s="101" t="s">
        <v>226</v>
      </c>
      <c r="B17" s="71" t="s">
        <v>179</v>
      </c>
      <c r="C17" s="71" t="s">
        <v>238</v>
      </c>
      <c r="D17" s="130">
        <v>0.125</v>
      </c>
      <c r="E17" s="72">
        <v>0.125</v>
      </c>
      <c r="F17" s="72">
        <v>0.125</v>
      </c>
      <c r="G17" s="77">
        <v>2</v>
      </c>
      <c r="H17" s="28">
        <v>8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74">
        <v>5</v>
      </c>
      <c r="Q17" s="77">
        <v>0</v>
      </c>
      <c r="R17" s="28">
        <v>1</v>
      </c>
      <c r="S17" s="74">
        <v>1</v>
      </c>
      <c r="T17" s="77">
        <v>1</v>
      </c>
      <c r="U17" s="72">
        <v>0.25</v>
      </c>
      <c r="V17" s="74">
        <v>0</v>
      </c>
      <c r="W17" s="75">
        <v>15</v>
      </c>
      <c r="Z17" s="365" t="s">
        <v>266</v>
      </c>
      <c r="AA17" s="71" t="s">
        <v>179</v>
      </c>
      <c r="AB17" s="77" t="s">
        <v>278</v>
      </c>
      <c r="AC17" s="130">
        <v>0.23076923076923078</v>
      </c>
      <c r="AD17" s="72">
        <v>0.27272727272727271</v>
      </c>
      <c r="AE17" s="73">
        <v>0.34615384615384615</v>
      </c>
      <c r="AF17" s="77">
        <v>15</v>
      </c>
      <c r="AG17" s="28">
        <v>52</v>
      </c>
      <c r="AH17" s="28">
        <v>2</v>
      </c>
      <c r="AI17" s="28">
        <v>12</v>
      </c>
      <c r="AJ17" s="28">
        <v>3</v>
      </c>
      <c r="AK17" s="28">
        <v>0</v>
      </c>
      <c r="AL17" s="28">
        <v>1</v>
      </c>
      <c r="AM17" s="28">
        <v>4</v>
      </c>
      <c r="AN17" s="28">
        <v>3</v>
      </c>
      <c r="AO17" s="74">
        <v>13</v>
      </c>
      <c r="AP17" s="77">
        <v>0</v>
      </c>
      <c r="AQ17" s="28">
        <v>0</v>
      </c>
      <c r="AR17" s="74">
        <v>5</v>
      </c>
      <c r="AS17" s="77">
        <v>18</v>
      </c>
      <c r="AT17" s="72">
        <v>0.61888111888111885</v>
      </c>
      <c r="AU17" s="74">
        <v>0</v>
      </c>
      <c r="AV17" s="75">
        <v>15</v>
      </c>
      <c r="AY17" s="101" t="s">
        <v>226</v>
      </c>
      <c r="AZ17" s="71" t="s">
        <v>179</v>
      </c>
      <c r="BA17" s="77" t="s">
        <v>238</v>
      </c>
      <c r="BB17" s="130">
        <v>0.31578947368421051</v>
      </c>
      <c r="BC17" s="72">
        <v>0.31578947368421051</v>
      </c>
      <c r="BD17" s="73">
        <v>0.57894736842105265</v>
      </c>
      <c r="BE17" s="77">
        <v>5</v>
      </c>
      <c r="BF17" s="28">
        <v>19</v>
      </c>
      <c r="BG17" s="28">
        <v>3</v>
      </c>
      <c r="BH17" s="28">
        <v>6</v>
      </c>
      <c r="BI17" s="28">
        <v>5</v>
      </c>
      <c r="BJ17" s="28">
        <v>0</v>
      </c>
      <c r="BK17" s="28">
        <v>0</v>
      </c>
      <c r="BL17" s="28">
        <v>1</v>
      </c>
      <c r="BM17" s="28">
        <v>0</v>
      </c>
      <c r="BN17" s="74">
        <v>6</v>
      </c>
      <c r="BO17" s="77">
        <v>0</v>
      </c>
      <c r="BP17" s="28">
        <v>4</v>
      </c>
      <c r="BQ17" s="74">
        <v>4</v>
      </c>
      <c r="BR17" s="77">
        <v>11</v>
      </c>
      <c r="BS17" s="72">
        <v>0.89473684210526316</v>
      </c>
      <c r="BT17" s="74">
        <v>0</v>
      </c>
      <c r="BU17" s="75">
        <v>15</v>
      </c>
    </row>
    <row r="18" spans="1:73">
      <c r="A18" s="101" t="s">
        <v>226</v>
      </c>
      <c r="B18" s="71" t="s">
        <v>154</v>
      </c>
      <c r="C18" s="71" t="s">
        <v>233</v>
      </c>
      <c r="D18" s="130">
        <v>0.2</v>
      </c>
      <c r="E18" s="72">
        <v>0.2</v>
      </c>
      <c r="F18" s="72">
        <v>0.2</v>
      </c>
      <c r="G18" s="77">
        <v>2</v>
      </c>
      <c r="H18" s="28">
        <v>10</v>
      </c>
      <c r="I18" s="28">
        <v>0</v>
      </c>
      <c r="J18" s="28">
        <v>2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74">
        <v>2</v>
      </c>
      <c r="Q18" s="77">
        <v>0</v>
      </c>
      <c r="R18" s="28">
        <v>2</v>
      </c>
      <c r="S18" s="74">
        <v>2</v>
      </c>
      <c r="T18" s="77">
        <v>2</v>
      </c>
      <c r="U18" s="72">
        <v>0.4</v>
      </c>
      <c r="V18" s="74">
        <v>0</v>
      </c>
      <c r="W18" s="75">
        <v>16</v>
      </c>
      <c r="Z18" s="365" t="s">
        <v>266</v>
      </c>
      <c r="AA18" s="71" t="s">
        <v>154</v>
      </c>
      <c r="AB18" s="77" t="s">
        <v>277</v>
      </c>
      <c r="AC18" s="130">
        <v>0.16071428571428573</v>
      </c>
      <c r="AD18" s="72">
        <v>0.21666666666666667</v>
      </c>
      <c r="AE18" s="73">
        <v>0.32142857142857145</v>
      </c>
      <c r="AF18" s="77">
        <v>15</v>
      </c>
      <c r="AG18" s="28">
        <v>56</v>
      </c>
      <c r="AH18" s="28">
        <v>4</v>
      </c>
      <c r="AI18" s="28">
        <v>9</v>
      </c>
      <c r="AJ18" s="28">
        <v>3</v>
      </c>
      <c r="AK18" s="28">
        <v>0</v>
      </c>
      <c r="AL18" s="28">
        <v>2</v>
      </c>
      <c r="AM18" s="28">
        <v>3</v>
      </c>
      <c r="AN18" s="28">
        <v>4</v>
      </c>
      <c r="AO18" s="104">
        <v>26</v>
      </c>
      <c r="AP18" s="77">
        <v>0</v>
      </c>
      <c r="AQ18" s="28">
        <v>0</v>
      </c>
      <c r="AR18" s="74">
        <v>2</v>
      </c>
      <c r="AS18" s="77">
        <v>18</v>
      </c>
      <c r="AT18" s="72">
        <v>0.53809523809523818</v>
      </c>
      <c r="AU18" s="74">
        <v>1</v>
      </c>
      <c r="AV18" s="75">
        <v>16</v>
      </c>
      <c r="AY18" s="101" t="s">
        <v>226</v>
      </c>
      <c r="AZ18" s="71" t="s">
        <v>154</v>
      </c>
      <c r="BA18" s="77" t="s">
        <v>233</v>
      </c>
      <c r="BB18" s="130">
        <v>0.13636363636363635</v>
      </c>
      <c r="BC18" s="72">
        <v>0.17391304347826086</v>
      </c>
      <c r="BD18" s="73">
        <v>0.13636363636363635</v>
      </c>
      <c r="BE18" s="77">
        <v>5</v>
      </c>
      <c r="BF18" s="28">
        <v>22</v>
      </c>
      <c r="BG18" s="28">
        <v>2</v>
      </c>
      <c r="BH18" s="28">
        <v>3</v>
      </c>
      <c r="BI18" s="28">
        <v>0</v>
      </c>
      <c r="BJ18" s="28">
        <v>0</v>
      </c>
      <c r="BK18" s="28">
        <v>0</v>
      </c>
      <c r="BL18" s="28">
        <v>0</v>
      </c>
      <c r="BM18" s="28">
        <v>1</v>
      </c>
      <c r="BN18" s="74">
        <v>7</v>
      </c>
      <c r="BO18" s="77">
        <v>0</v>
      </c>
      <c r="BP18" s="28">
        <v>0</v>
      </c>
      <c r="BQ18" s="74">
        <v>1</v>
      </c>
      <c r="BR18" s="77">
        <v>3</v>
      </c>
      <c r="BS18" s="72">
        <v>0.31027667984189722</v>
      </c>
      <c r="BT18" s="74">
        <v>0</v>
      </c>
      <c r="BU18" s="75">
        <v>16</v>
      </c>
    </row>
    <row r="19" spans="1:73">
      <c r="A19" s="101" t="s">
        <v>226</v>
      </c>
      <c r="B19" s="71" t="s">
        <v>235</v>
      </c>
      <c r="C19" s="71" t="s">
        <v>236</v>
      </c>
      <c r="D19" s="130">
        <v>0.375</v>
      </c>
      <c r="E19" s="72">
        <v>0.375</v>
      </c>
      <c r="F19" s="72">
        <v>0.5</v>
      </c>
      <c r="G19" s="77">
        <v>2</v>
      </c>
      <c r="H19" s="28">
        <v>8</v>
      </c>
      <c r="I19" s="28">
        <v>0</v>
      </c>
      <c r="J19" s="28">
        <v>3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74">
        <v>2</v>
      </c>
      <c r="Q19" s="77">
        <v>0</v>
      </c>
      <c r="R19" s="28">
        <v>2</v>
      </c>
      <c r="S19" s="74">
        <v>2</v>
      </c>
      <c r="T19" s="77">
        <v>4</v>
      </c>
      <c r="U19" s="72">
        <v>0.875</v>
      </c>
      <c r="V19" s="74">
        <v>0</v>
      </c>
      <c r="W19" s="75">
        <v>17</v>
      </c>
      <c r="Z19" s="365" t="s">
        <v>266</v>
      </c>
      <c r="AA19" s="345" t="s">
        <v>172</v>
      </c>
      <c r="AB19" s="352" t="s">
        <v>268</v>
      </c>
      <c r="AC19" s="130">
        <v>0.36065573770491804</v>
      </c>
      <c r="AD19" s="72">
        <v>0.38095238095238093</v>
      </c>
      <c r="AE19" s="73">
        <v>0.67213114754098358</v>
      </c>
      <c r="AF19" s="77">
        <v>15</v>
      </c>
      <c r="AG19" s="28">
        <v>61</v>
      </c>
      <c r="AH19" s="28">
        <v>8</v>
      </c>
      <c r="AI19" s="76">
        <v>22</v>
      </c>
      <c r="AJ19" s="76">
        <v>7</v>
      </c>
      <c r="AK19" s="28">
        <v>0</v>
      </c>
      <c r="AL19" s="28">
        <v>4</v>
      </c>
      <c r="AM19" s="28">
        <v>11</v>
      </c>
      <c r="AN19" s="28">
        <v>2</v>
      </c>
      <c r="AO19" s="74">
        <v>14</v>
      </c>
      <c r="AP19" s="77">
        <v>0</v>
      </c>
      <c r="AQ19" s="28">
        <v>0</v>
      </c>
      <c r="AR19" s="74">
        <v>7</v>
      </c>
      <c r="AS19" s="352">
        <v>41</v>
      </c>
      <c r="AT19" s="72">
        <v>1.0530835284933646</v>
      </c>
      <c r="AU19" s="104">
        <v>3</v>
      </c>
      <c r="AV19" s="75">
        <v>17</v>
      </c>
      <c r="AY19" s="101" t="s">
        <v>226</v>
      </c>
      <c r="AZ19" s="71" t="s">
        <v>172</v>
      </c>
      <c r="BA19" s="77" t="s">
        <v>237</v>
      </c>
      <c r="BB19" s="130">
        <v>0.22222222222222221</v>
      </c>
      <c r="BC19" s="72">
        <v>0.26315789473684209</v>
      </c>
      <c r="BD19" s="73">
        <v>0.27777777777777779</v>
      </c>
      <c r="BE19" s="77">
        <v>5</v>
      </c>
      <c r="BF19" s="28">
        <v>18</v>
      </c>
      <c r="BG19" s="28">
        <v>0</v>
      </c>
      <c r="BH19" s="28">
        <v>4</v>
      </c>
      <c r="BI19" s="28">
        <v>1</v>
      </c>
      <c r="BJ19" s="28">
        <v>0</v>
      </c>
      <c r="BK19" s="28">
        <v>0</v>
      </c>
      <c r="BL19" s="28">
        <v>2</v>
      </c>
      <c r="BM19" s="28">
        <v>1</v>
      </c>
      <c r="BN19" s="74">
        <v>10</v>
      </c>
      <c r="BO19" s="77">
        <v>0</v>
      </c>
      <c r="BP19" s="28">
        <v>2</v>
      </c>
      <c r="BQ19" s="74">
        <v>2</v>
      </c>
      <c r="BR19" s="77">
        <v>5</v>
      </c>
      <c r="BS19" s="72">
        <v>0.54093567251461994</v>
      </c>
      <c r="BT19" s="74">
        <v>0</v>
      </c>
      <c r="BU19" s="75">
        <v>17</v>
      </c>
    </row>
    <row r="20" spans="1:73">
      <c r="A20" s="101" t="s">
        <v>226</v>
      </c>
      <c r="B20" s="71" t="s">
        <v>153</v>
      </c>
      <c r="C20" s="71" t="s">
        <v>232</v>
      </c>
      <c r="D20" s="130">
        <v>0.25</v>
      </c>
      <c r="E20" s="72">
        <v>0.4</v>
      </c>
      <c r="F20" s="72">
        <v>0.25</v>
      </c>
      <c r="G20" s="77">
        <v>2</v>
      </c>
      <c r="H20" s="28">
        <v>8</v>
      </c>
      <c r="I20" s="28">
        <v>0</v>
      </c>
      <c r="J20" s="28">
        <v>2</v>
      </c>
      <c r="K20" s="28">
        <v>0</v>
      </c>
      <c r="L20" s="28">
        <v>0</v>
      </c>
      <c r="M20" s="28">
        <v>0</v>
      </c>
      <c r="N20" s="28">
        <v>0</v>
      </c>
      <c r="O20" s="28">
        <v>2</v>
      </c>
      <c r="P20" s="74">
        <v>3</v>
      </c>
      <c r="Q20" s="77">
        <v>0</v>
      </c>
      <c r="R20" s="28">
        <v>1</v>
      </c>
      <c r="S20" s="74">
        <v>1</v>
      </c>
      <c r="T20" s="77">
        <v>2</v>
      </c>
      <c r="U20" s="72">
        <v>0.65</v>
      </c>
      <c r="V20" s="74">
        <v>0</v>
      </c>
      <c r="W20" s="75">
        <v>18</v>
      </c>
      <c r="Z20" s="365" t="s">
        <v>266</v>
      </c>
      <c r="AA20" s="345" t="s">
        <v>153</v>
      </c>
      <c r="AB20" s="77" t="s">
        <v>267</v>
      </c>
      <c r="AC20" s="130">
        <v>0.31147540983606559</v>
      </c>
      <c r="AD20" s="72">
        <v>0.36363636363636365</v>
      </c>
      <c r="AE20" s="73">
        <v>0.4098360655737705</v>
      </c>
      <c r="AF20" s="77">
        <v>15</v>
      </c>
      <c r="AG20" s="28">
        <v>61</v>
      </c>
      <c r="AH20" s="28">
        <v>11</v>
      </c>
      <c r="AI20" s="28">
        <v>19</v>
      </c>
      <c r="AJ20" s="28">
        <v>3</v>
      </c>
      <c r="AK20" s="28">
        <v>0</v>
      </c>
      <c r="AL20" s="28">
        <v>1</v>
      </c>
      <c r="AM20" s="28">
        <v>2</v>
      </c>
      <c r="AN20" s="28">
        <v>5</v>
      </c>
      <c r="AO20" s="74">
        <v>11</v>
      </c>
      <c r="AP20" s="77">
        <v>2</v>
      </c>
      <c r="AQ20" s="28">
        <v>3</v>
      </c>
      <c r="AR20" s="74">
        <v>4</v>
      </c>
      <c r="AS20" s="77">
        <v>25</v>
      </c>
      <c r="AT20" s="72">
        <v>0.77347242921013415</v>
      </c>
      <c r="AU20" s="74">
        <v>0</v>
      </c>
      <c r="AV20" s="75">
        <v>18</v>
      </c>
      <c r="AY20" s="101" t="s">
        <v>226</v>
      </c>
      <c r="AZ20" s="71" t="s">
        <v>153</v>
      </c>
      <c r="BA20" s="77" t="s">
        <v>232</v>
      </c>
      <c r="BB20" s="130">
        <v>0.2857142857142857</v>
      </c>
      <c r="BC20" s="72">
        <v>0.34782608695652173</v>
      </c>
      <c r="BD20" s="73">
        <v>0.2857142857142857</v>
      </c>
      <c r="BE20" s="77">
        <v>5</v>
      </c>
      <c r="BF20" s="28">
        <v>21</v>
      </c>
      <c r="BG20" s="28">
        <v>3</v>
      </c>
      <c r="BH20" s="28">
        <v>6</v>
      </c>
      <c r="BI20" s="28">
        <v>0</v>
      </c>
      <c r="BJ20" s="28">
        <v>0</v>
      </c>
      <c r="BK20" s="28">
        <v>0</v>
      </c>
      <c r="BL20" s="28">
        <v>2</v>
      </c>
      <c r="BM20" s="28">
        <v>2</v>
      </c>
      <c r="BN20" s="74">
        <v>2</v>
      </c>
      <c r="BO20" s="77">
        <v>0</v>
      </c>
      <c r="BP20" s="28">
        <v>2</v>
      </c>
      <c r="BQ20" s="74">
        <v>2</v>
      </c>
      <c r="BR20" s="77">
        <v>6</v>
      </c>
      <c r="BS20" s="72">
        <v>0.63354037267080743</v>
      </c>
      <c r="BT20" s="74">
        <v>0</v>
      </c>
      <c r="BU20" s="75">
        <v>18</v>
      </c>
    </row>
    <row r="21" spans="1:73">
      <c r="A21" s="101" t="s">
        <v>226</v>
      </c>
      <c r="B21" s="71" t="s">
        <v>177</v>
      </c>
      <c r="C21" s="71" t="s">
        <v>239</v>
      </c>
      <c r="D21" s="130">
        <v>0.5</v>
      </c>
      <c r="E21" s="72">
        <v>0.5</v>
      </c>
      <c r="F21" s="72">
        <v>1</v>
      </c>
      <c r="G21" s="77">
        <v>2</v>
      </c>
      <c r="H21" s="28">
        <v>8</v>
      </c>
      <c r="I21" s="28">
        <v>1</v>
      </c>
      <c r="J21" s="28">
        <v>4</v>
      </c>
      <c r="K21" s="28">
        <v>1</v>
      </c>
      <c r="L21" s="28">
        <v>0</v>
      </c>
      <c r="M21" s="28">
        <v>1</v>
      </c>
      <c r="N21" s="28">
        <v>2</v>
      </c>
      <c r="O21" s="28">
        <v>0</v>
      </c>
      <c r="P21" s="74">
        <v>3</v>
      </c>
      <c r="Q21" s="77">
        <v>0</v>
      </c>
      <c r="R21" s="28">
        <v>2</v>
      </c>
      <c r="S21" s="74">
        <v>2</v>
      </c>
      <c r="T21" s="77">
        <v>8</v>
      </c>
      <c r="U21" s="72">
        <v>1.5</v>
      </c>
      <c r="V21" s="74">
        <v>0</v>
      </c>
      <c r="W21" s="75">
        <v>19</v>
      </c>
      <c r="Z21" s="365" t="s">
        <v>266</v>
      </c>
      <c r="AA21" s="71" t="s">
        <v>177</v>
      </c>
      <c r="AB21" s="77" t="s">
        <v>270</v>
      </c>
      <c r="AC21" s="130">
        <v>0.20754716981132076</v>
      </c>
      <c r="AD21" s="72">
        <v>0.31147540983606559</v>
      </c>
      <c r="AE21" s="73">
        <v>0.39622641509433965</v>
      </c>
      <c r="AF21" s="77">
        <v>15</v>
      </c>
      <c r="AG21" s="28">
        <v>53</v>
      </c>
      <c r="AH21" s="28">
        <v>8</v>
      </c>
      <c r="AI21" s="28">
        <v>11</v>
      </c>
      <c r="AJ21" s="28">
        <v>1</v>
      </c>
      <c r="AK21" s="28">
        <v>0</v>
      </c>
      <c r="AL21" s="28">
        <v>3</v>
      </c>
      <c r="AM21" s="28">
        <v>7</v>
      </c>
      <c r="AN21" s="28">
        <v>8</v>
      </c>
      <c r="AO21" s="74">
        <v>15</v>
      </c>
      <c r="AP21" s="77">
        <v>0</v>
      </c>
      <c r="AQ21" s="28">
        <v>0</v>
      </c>
      <c r="AR21" s="74">
        <v>5</v>
      </c>
      <c r="AS21" s="77">
        <v>21</v>
      </c>
      <c r="AT21" s="72">
        <v>0.70770182493040523</v>
      </c>
      <c r="AU21" s="74">
        <v>1</v>
      </c>
      <c r="AV21" s="75">
        <v>19</v>
      </c>
      <c r="AY21" s="101" t="s">
        <v>226</v>
      </c>
      <c r="AZ21" s="71" t="s">
        <v>177</v>
      </c>
      <c r="BA21" s="77" t="s">
        <v>239</v>
      </c>
      <c r="BB21" s="130">
        <v>0.3888888888888889</v>
      </c>
      <c r="BC21" s="72">
        <v>0.42105263157894735</v>
      </c>
      <c r="BD21" s="73">
        <v>0.77777777777777779</v>
      </c>
      <c r="BE21" s="77">
        <v>5</v>
      </c>
      <c r="BF21" s="28">
        <v>18</v>
      </c>
      <c r="BG21" s="28">
        <v>2</v>
      </c>
      <c r="BH21" s="28">
        <v>7</v>
      </c>
      <c r="BI21" s="28">
        <v>1</v>
      </c>
      <c r="BJ21" s="28">
        <v>0</v>
      </c>
      <c r="BK21" s="28">
        <v>2</v>
      </c>
      <c r="BL21" s="28">
        <v>7</v>
      </c>
      <c r="BM21" s="28">
        <v>1</v>
      </c>
      <c r="BN21" s="74">
        <v>3</v>
      </c>
      <c r="BO21" s="77">
        <v>0</v>
      </c>
      <c r="BP21" s="28">
        <v>4</v>
      </c>
      <c r="BQ21" s="74">
        <v>4</v>
      </c>
      <c r="BR21" s="77">
        <v>14</v>
      </c>
      <c r="BS21" s="72">
        <v>1.198830409356725</v>
      </c>
      <c r="BT21" s="74">
        <v>1</v>
      </c>
      <c r="BU21" s="75">
        <v>19</v>
      </c>
    </row>
    <row r="22" spans="1:73">
      <c r="A22" s="101" t="s">
        <v>226</v>
      </c>
      <c r="B22" s="71" t="s">
        <v>174</v>
      </c>
      <c r="C22" s="71" t="s">
        <v>229</v>
      </c>
      <c r="D22" s="130">
        <v>0.33333333333333331</v>
      </c>
      <c r="E22" s="72">
        <v>0.33333333333333331</v>
      </c>
      <c r="F22" s="72">
        <v>0.44444444444444442</v>
      </c>
      <c r="G22" s="77">
        <v>2</v>
      </c>
      <c r="H22" s="28">
        <v>9</v>
      </c>
      <c r="I22" s="28">
        <v>0</v>
      </c>
      <c r="J22" s="28">
        <v>3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  <c r="P22" s="74">
        <v>1</v>
      </c>
      <c r="Q22" s="77">
        <v>0</v>
      </c>
      <c r="R22" s="28">
        <v>2</v>
      </c>
      <c r="S22" s="74">
        <v>2</v>
      </c>
      <c r="T22" s="77">
        <v>4</v>
      </c>
      <c r="U22" s="72">
        <v>0.77777777777777768</v>
      </c>
      <c r="V22" s="74">
        <v>0</v>
      </c>
      <c r="W22" s="75">
        <v>20</v>
      </c>
      <c r="Z22" s="365" t="s">
        <v>266</v>
      </c>
      <c r="AA22" s="71" t="s">
        <v>174</v>
      </c>
      <c r="AB22" s="77" t="s">
        <v>276</v>
      </c>
      <c r="AC22" s="130">
        <v>0.2</v>
      </c>
      <c r="AD22" s="72">
        <v>0.23404255319148937</v>
      </c>
      <c r="AE22" s="73">
        <v>0.42222222222222222</v>
      </c>
      <c r="AF22" s="77">
        <v>13</v>
      </c>
      <c r="AG22" s="28">
        <v>45</v>
      </c>
      <c r="AH22" s="28">
        <v>4</v>
      </c>
      <c r="AI22" s="28">
        <v>9</v>
      </c>
      <c r="AJ22" s="28">
        <v>2</v>
      </c>
      <c r="AK22" s="28">
        <v>1</v>
      </c>
      <c r="AL22" s="28">
        <v>2</v>
      </c>
      <c r="AM22" s="28">
        <v>3</v>
      </c>
      <c r="AN22" s="28">
        <v>2</v>
      </c>
      <c r="AO22" s="74">
        <v>12</v>
      </c>
      <c r="AP22" s="77">
        <v>0</v>
      </c>
      <c r="AQ22" s="28">
        <v>0</v>
      </c>
      <c r="AR22" s="74">
        <v>2</v>
      </c>
      <c r="AS22" s="77">
        <v>19</v>
      </c>
      <c r="AT22" s="72">
        <v>0.65626477541371164</v>
      </c>
      <c r="AU22" s="74">
        <v>1</v>
      </c>
      <c r="AV22" s="75">
        <v>20</v>
      </c>
      <c r="AY22" s="101" t="s">
        <v>226</v>
      </c>
      <c r="AZ22" s="71" t="s">
        <v>174</v>
      </c>
      <c r="BA22" s="77" t="s">
        <v>231</v>
      </c>
      <c r="BB22" s="130">
        <v>0.21052631578947367</v>
      </c>
      <c r="BC22" s="72">
        <v>0.21052631578947367</v>
      </c>
      <c r="BD22" s="73">
        <v>0.31578947368421051</v>
      </c>
      <c r="BE22" s="77">
        <v>5</v>
      </c>
      <c r="BF22" s="28">
        <v>19</v>
      </c>
      <c r="BG22" s="28">
        <v>1</v>
      </c>
      <c r="BH22" s="28">
        <v>4</v>
      </c>
      <c r="BI22" s="28">
        <v>2</v>
      </c>
      <c r="BJ22" s="28">
        <v>0</v>
      </c>
      <c r="BK22" s="28">
        <v>0</v>
      </c>
      <c r="BL22" s="28">
        <v>1</v>
      </c>
      <c r="BM22" s="28">
        <v>0</v>
      </c>
      <c r="BN22" s="74">
        <v>6</v>
      </c>
      <c r="BO22" s="77">
        <v>0</v>
      </c>
      <c r="BP22" s="28">
        <v>1</v>
      </c>
      <c r="BQ22" s="74">
        <v>2</v>
      </c>
      <c r="BR22" s="77">
        <v>6</v>
      </c>
      <c r="BS22" s="72">
        <v>0.52631578947368418</v>
      </c>
      <c r="BT22" s="74">
        <v>0</v>
      </c>
      <c r="BU22" s="75">
        <v>20</v>
      </c>
    </row>
    <row r="23" spans="1:73">
      <c r="A23" s="101" t="s">
        <v>226</v>
      </c>
      <c r="B23" s="71" t="s">
        <v>181</v>
      </c>
      <c r="C23" s="71" t="s">
        <v>227</v>
      </c>
      <c r="D23" s="130">
        <v>0.14285714285714285</v>
      </c>
      <c r="E23" s="72">
        <v>0.33333333333333331</v>
      </c>
      <c r="F23" s="72">
        <v>0.14285714285714285</v>
      </c>
      <c r="G23" s="77">
        <v>2</v>
      </c>
      <c r="H23" s="28">
        <v>7</v>
      </c>
      <c r="I23" s="28">
        <v>0</v>
      </c>
      <c r="J23" s="28">
        <v>1</v>
      </c>
      <c r="K23" s="28">
        <v>0</v>
      </c>
      <c r="L23" s="28">
        <v>0</v>
      </c>
      <c r="M23" s="28">
        <v>0</v>
      </c>
      <c r="N23" s="28">
        <v>0</v>
      </c>
      <c r="O23" s="28">
        <v>2</v>
      </c>
      <c r="P23" s="74">
        <v>4</v>
      </c>
      <c r="Q23" s="77">
        <v>0</v>
      </c>
      <c r="R23" s="28">
        <v>1</v>
      </c>
      <c r="S23" s="74">
        <v>1</v>
      </c>
      <c r="T23" s="77">
        <v>1</v>
      </c>
      <c r="U23" s="72">
        <v>0.47619047619047616</v>
      </c>
      <c r="V23" s="74">
        <v>0</v>
      </c>
      <c r="W23" s="75">
        <v>21</v>
      </c>
      <c r="Z23" s="365" t="s">
        <v>266</v>
      </c>
      <c r="AA23" s="345" t="s">
        <v>181</v>
      </c>
      <c r="AB23" s="77" t="s">
        <v>269</v>
      </c>
      <c r="AC23" s="130">
        <v>0.18867924528301888</v>
      </c>
      <c r="AD23" s="72">
        <v>0.33846153846153848</v>
      </c>
      <c r="AE23" s="73">
        <v>0.41509433962264153</v>
      </c>
      <c r="AF23" s="77">
        <v>15</v>
      </c>
      <c r="AG23" s="28">
        <v>53</v>
      </c>
      <c r="AH23" s="76">
        <v>12</v>
      </c>
      <c r="AI23" s="28">
        <v>10</v>
      </c>
      <c r="AJ23" s="28">
        <v>3</v>
      </c>
      <c r="AK23" s="28">
        <v>0</v>
      </c>
      <c r="AL23" s="28">
        <v>3</v>
      </c>
      <c r="AM23" s="28">
        <v>8</v>
      </c>
      <c r="AN23" s="76">
        <v>12</v>
      </c>
      <c r="AO23" s="74">
        <v>19</v>
      </c>
      <c r="AP23" s="77">
        <v>0</v>
      </c>
      <c r="AQ23" s="28">
        <v>1</v>
      </c>
      <c r="AR23" s="74">
        <v>3</v>
      </c>
      <c r="AS23" s="77">
        <v>22</v>
      </c>
      <c r="AT23" s="72">
        <v>0.75355587808418001</v>
      </c>
      <c r="AU23" s="74">
        <v>2</v>
      </c>
      <c r="AV23" s="75">
        <v>21</v>
      </c>
      <c r="AY23" s="101" t="s">
        <v>226</v>
      </c>
      <c r="AZ23" s="71" t="s">
        <v>181</v>
      </c>
      <c r="BA23" s="77" t="s">
        <v>242</v>
      </c>
      <c r="BB23" s="130">
        <v>6.25E-2</v>
      </c>
      <c r="BC23" s="72">
        <v>0.11764705882352941</v>
      </c>
      <c r="BD23" s="73">
        <v>6.25E-2</v>
      </c>
      <c r="BE23" s="77">
        <v>5</v>
      </c>
      <c r="BF23" s="28">
        <v>16</v>
      </c>
      <c r="BG23" s="28">
        <v>0</v>
      </c>
      <c r="BH23" s="28">
        <v>1</v>
      </c>
      <c r="BI23" s="28">
        <v>0</v>
      </c>
      <c r="BJ23" s="28">
        <v>0</v>
      </c>
      <c r="BK23" s="28">
        <v>0</v>
      </c>
      <c r="BL23" s="28">
        <v>1</v>
      </c>
      <c r="BM23" s="28">
        <v>1</v>
      </c>
      <c r="BN23" s="74">
        <v>7</v>
      </c>
      <c r="BO23" s="77">
        <v>0</v>
      </c>
      <c r="BP23" s="28">
        <v>1</v>
      </c>
      <c r="BQ23" s="74">
        <v>1</v>
      </c>
      <c r="BR23" s="77">
        <v>1</v>
      </c>
      <c r="BS23" s="72">
        <v>0.18014705882352941</v>
      </c>
      <c r="BT23" s="74">
        <v>0</v>
      </c>
      <c r="BU23" s="75">
        <v>21</v>
      </c>
    </row>
    <row r="24" spans="1:73">
      <c r="A24" s="101" t="s">
        <v>226</v>
      </c>
      <c r="B24" s="71" t="s">
        <v>240</v>
      </c>
      <c r="C24" s="71" t="s">
        <v>241</v>
      </c>
      <c r="D24" s="130">
        <v>0.22222222222222221</v>
      </c>
      <c r="E24" s="72">
        <v>0.22222222222222221</v>
      </c>
      <c r="F24" s="72">
        <v>0.22222222222222221</v>
      </c>
      <c r="G24" s="77">
        <v>2</v>
      </c>
      <c r="H24" s="28">
        <v>9</v>
      </c>
      <c r="I24" s="28">
        <v>0</v>
      </c>
      <c r="J24" s="28">
        <v>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74">
        <v>3</v>
      </c>
      <c r="Q24" s="77">
        <v>0</v>
      </c>
      <c r="R24" s="28">
        <v>2</v>
      </c>
      <c r="S24" s="74">
        <v>2</v>
      </c>
      <c r="T24" s="77">
        <v>2</v>
      </c>
      <c r="U24" s="72">
        <v>0.44444444444444442</v>
      </c>
      <c r="V24" s="74">
        <v>0</v>
      </c>
      <c r="W24" s="75">
        <v>22</v>
      </c>
      <c r="Z24" s="365" t="s">
        <v>266</v>
      </c>
      <c r="AA24" s="345" t="s">
        <v>166</v>
      </c>
      <c r="AB24" s="77" t="s">
        <v>273</v>
      </c>
      <c r="AC24" s="130">
        <v>0.25925925925925924</v>
      </c>
      <c r="AD24" s="72">
        <v>0.35483870967741937</v>
      </c>
      <c r="AE24" s="73">
        <v>0.61111111111111116</v>
      </c>
      <c r="AF24" s="77">
        <v>15</v>
      </c>
      <c r="AG24" s="28">
        <v>54</v>
      </c>
      <c r="AH24" s="28">
        <v>6</v>
      </c>
      <c r="AI24" s="28">
        <v>14</v>
      </c>
      <c r="AJ24" s="28">
        <v>4</v>
      </c>
      <c r="AK24" s="28">
        <v>0</v>
      </c>
      <c r="AL24" s="76">
        <v>5</v>
      </c>
      <c r="AM24" s="28">
        <v>7</v>
      </c>
      <c r="AN24" s="28">
        <v>8</v>
      </c>
      <c r="AO24" s="74">
        <v>13</v>
      </c>
      <c r="AP24" s="77">
        <v>0</v>
      </c>
      <c r="AQ24" s="28">
        <v>0</v>
      </c>
      <c r="AR24" s="74">
        <v>5</v>
      </c>
      <c r="AS24" s="77">
        <v>33</v>
      </c>
      <c r="AT24" s="72">
        <v>0.96594982078853053</v>
      </c>
      <c r="AU24" s="74">
        <v>1</v>
      </c>
      <c r="AV24" s="75">
        <v>22</v>
      </c>
      <c r="AY24" s="101" t="s">
        <v>226</v>
      </c>
      <c r="AZ24" s="71" t="s">
        <v>166</v>
      </c>
      <c r="BA24" s="77" t="s">
        <v>228</v>
      </c>
      <c r="BB24" s="130">
        <v>0.17647058823529413</v>
      </c>
      <c r="BC24" s="72">
        <v>0.3</v>
      </c>
      <c r="BD24" s="73">
        <v>0.23529411764705882</v>
      </c>
      <c r="BE24" s="77">
        <v>5</v>
      </c>
      <c r="BF24" s="28">
        <v>17</v>
      </c>
      <c r="BG24" s="28">
        <v>4</v>
      </c>
      <c r="BH24" s="28">
        <v>3</v>
      </c>
      <c r="BI24" s="28">
        <v>1</v>
      </c>
      <c r="BJ24" s="28">
        <v>0</v>
      </c>
      <c r="BK24" s="28">
        <v>0</v>
      </c>
      <c r="BL24" s="28">
        <v>0</v>
      </c>
      <c r="BM24" s="28">
        <v>3</v>
      </c>
      <c r="BN24" s="74">
        <v>9</v>
      </c>
      <c r="BO24" s="77">
        <v>0</v>
      </c>
      <c r="BP24" s="28">
        <v>2</v>
      </c>
      <c r="BQ24" s="74">
        <v>2</v>
      </c>
      <c r="BR24" s="77">
        <v>4</v>
      </c>
      <c r="BS24" s="72">
        <v>0.53529411764705881</v>
      </c>
      <c r="BT24" s="74">
        <v>0</v>
      </c>
      <c r="BU24" s="75">
        <v>22</v>
      </c>
    </row>
    <row r="25" spans="1:73">
      <c r="A25" s="101" t="s">
        <v>226</v>
      </c>
      <c r="B25" s="71" t="s">
        <v>168</v>
      </c>
      <c r="C25" s="71" t="s">
        <v>230</v>
      </c>
      <c r="D25" s="130">
        <v>0.375</v>
      </c>
      <c r="E25" s="72">
        <v>0.44444444444444442</v>
      </c>
      <c r="F25" s="72">
        <v>0.5</v>
      </c>
      <c r="G25" s="77">
        <v>2</v>
      </c>
      <c r="H25" s="28">
        <v>8</v>
      </c>
      <c r="I25" s="28">
        <v>1</v>
      </c>
      <c r="J25" s="28">
        <v>3</v>
      </c>
      <c r="K25" s="28">
        <v>1</v>
      </c>
      <c r="L25" s="28">
        <v>0</v>
      </c>
      <c r="M25" s="28">
        <v>0</v>
      </c>
      <c r="N25" s="28">
        <v>0</v>
      </c>
      <c r="O25" s="28">
        <v>1</v>
      </c>
      <c r="P25" s="74">
        <v>2</v>
      </c>
      <c r="Q25" s="77">
        <v>0</v>
      </c>
      <c r="R25" s="28">
        <v>2</v>
      </c>
      <c r="S25" s="74">
        <v>2</v>
      </c>
      <c r="T25" s="77">
        <v>4</v>
      </c>
      <c r="U25" s="72">
        <v>0.94444444444444442</v>
      </c>
      <c r="V25" s="74">
        <v>0</v>
      </c>
      <c r="W25" s="75">
        <v>23</v>
      </c>
      <c r="Z25" s="365" t="s">
        <v>266</v>
      </c>
      <c r="AA25" s="345" t="s">
        <v>168</v>
      </c>
      <c r="AB25" s="77" t="s">
        <v>272</v>
      </c>
      <c r="AC25" s="130">
        <v>0.26315789473684209</v>
      </c>
      <c r="AD25" s="72">
        <v>0.32258064516129031</v>
      </c>
      <c r="AE25" s="73">
        <v>0.54385964912280704</v>
      </c>
      <c r="AF25" s="77">
        <v>15</v>
      </c>
      <c r="AG25" s="28">
        <v>57</v>
      </c>
      <c r="AH25" s="28">
        <v>7</v>
      </c>
      <c r="AI25" s="28">
        <v>15</v>
      </c>
      <c r="AJ25" s="28">
        <v>4</v>
      </c>
      <c r="AK25" s="28">
        <v>0</v>
      </c>
      <c r="AL25" s="28">
        <v>4</v>
      </c>
      <c r="AM25" s="28">
        <v>13</v>
      </c>
      <c r="AN25" s="28">
        <v>5</v>
      </c>
      <c r="AO25" s="74">
        <v>13</v>
      </c>
      <c r="AP25" s="77">
        <v>0</v>
      </c>
      <c r="AQ25" s="28">
        <v>0</v>
      </c>
      <c r="AR25" s="104">
        <v>11</v>
      </c>
      <c r="AS25" s="77">
        <v>31</v>
      </c>
      <c r="AT25" s="72">
        <v>0.86644029428409741</v>
      </c>
      <c r="AU25" s="74">
        <v>2</v>
      </c>
      <c r="AV25" s="75">
        <v>23</v>
      </c>
      <c r="AY25" s="101" t="s">
        <v>226</v>
      </c>
      <c r="AZ25" s="71" t="s">
        <v>168</v>
      </c>
      <c r="BA25" s="77" t="s">
        <v>230</v>
      </c>
      <c r="BB25" s="130">
        <v>0.25</v>
      </c>
      <c r="BC25" s="72">
        <v>0.4</v>
      </c>
      <c r="BD25" s="73">
        <v>0.375</v>
      </c>
      <c r="BE25" s="77">
        <v>5</v>
      </c>
      <c r="BF25" s="28">
        <v>16</v>
      </c>
      <c r="BG25" s="28">
        <v>2</v>
      </c>
      <c r="BH25" s="28">
        <v>4</v>
      </c>
      <c r="BI25" s="28">
        <v>2</v>
      </c>
      <c r="BJ25" s="28">
        <v>0</v>
      </c>
      <c r="BK25" s="28">
        <v>0</v>
      </c>
      <c r="BL25" s="28">
        <v>2</v>
      </c>
      <c r="BM25" s="28">
        <v>4</v>
      </c>
      <c r="BN25" s="74">
        <v>2</v>
      </c>
      <c r="BO25" s="77">
        <v>0</v>
      </c>
      <c r="BP25" s="28">
        <v>2</v>
      </c>
      <c r="BQ25" s="74">
        <v>2</v>
      </c>
      <c r="BR25" s="77">
        <v>6</v>
      </c>
      <c r="BS25" s="72">
        <v>0.77500000000000002</v>
      </c>
      <c r="BT25" s="74">
        <v>1</v>
      </c>
      <c r="BU25" s="75">
        <v>23</v>
      </c>
    </row>
    <row r="26" spans="1:73">
      <c r="A26" s="101" t="s">
        <v>226</v>
      </c>
      <c r="B26" s="71" t="s">
        <v>179</v>
      </c>
      <c r="C26" s="71" t="s">
        <v>246</v>
      </c>
      <c r="D26" s="130">
        <v>0</v>
      </c>
      <c r="E26" s="72">
        <v>0</v>
      </c>
      <c r="F26" s="72">
        <v>0</v>
      </c>
      <c r="G26" s="77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74">
        <v>0</v>
      </c>
      <c r="Q26" s="77">
        <v>0</v>
      </c>
      <c r="R26" s="28">
        <v>0</v>
      </c>
      <c r="S26" s="74">
        <v>0</v>
      </c>
      <c r="T26" s="77">
        <v>0</v>
      </c>
      <c r="U26" s="72">
        <v>0</v>
      </c>
      <c r="V26" s="74">
        <v>0</v>
      </c>
      <c r="W26" s="75">
        <v>24</v>
      </c>
      <c r="Z26" s="365" t="s">
        <v>266</v>
      </c>
      <c r="AA26" s="71" t="s">
        <v>179</v>
      </c>
      <c r="AB26" s="77" t="s">
        <v>275</v>
      </c>
      <c r="AC26" s="130">
        <v>0</v>
      </c>
      <c r="AD26" s="72">
        <v>0</v>
      </c>
      <c r="AE26" s="73">
        <v>0</v>
      </c>
      <c r="AF26" s="77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74">
        <v>0</v>
      </c>
      <c r="AP26" s="77">
        <v>0</v>
      </c>
      <c r="AQ26" s="28">
        <v>0</v>
      </c>
      <c r="AR26" s="74">
        <v>0</v>
      </c>
      <c r="AS26" s="77">
        <v>0</v>
      </c>
      <c r="AT26" s="72">
        <v>0</v>
      </c>
      <c r="AU26" s="74">
        <v>0</v>
      </c>
      <c r="AV26" s="75">
        <v>24</v>
      </c>
      <c r="AY26" s="101" t="s">
        <v>226</v>
      </c>
      <c r="AZ26" s="71" t="s">
        <v>179</v>
      </c>
      <c r="BA26" s="77" t="s">
        <v>246</v>
      </c>
      <c r="BB26" s="130">
        <v>0</v>
      </c>
      <c r="BC26" s="72">
        <v>0</v>
      </c>
      <c r="BD26" s="73">
        <v>0</v>
      </c>
      <c r="BE26" s="77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74">
        <v>0</v>
      </c>
      <c r="BO26" s="77">
        <v>0</v>
      </c>
      <c r="BP26" s="28">
        <v>0</v>
      </c>
      <c r="BQ26" s="74">
        <v>0</v>
      </c>
      <c r="BR26" s="77">
        <v>0</v>
      </c>
      <c r="BS26" s="72">
        <v>0</v>
      </c>
      <c r="BT26" s="74">
        <v>0</v>
      </c>
      <c r="BU26" s="75">
        <v>24</v>
      </c>
    </row>
    <row r="27" spans="1:73">
      <c r="A27" s="101" t="s">
        <v>226</v>
      </c>
      <c r="B27" s="71" t="s">
        <v>187</v>
      </c>
      <c r="C27" s="71" t="s">
        <v>245</v>
      </c>
      <c r="D27" s="130">
        <v>0</v>
      </c>
      <c r="E27" s="72">
        <v>0</v>
      </c>
      <c r="F27" s="72">
        <v>0</v>
      </c>
      <c r="G27" s="77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74">
        <v>0</v>
      </c>
      <c r="Q27" s="77">
        <v>0</v>
      </c>
      <c r="R27" s="28">
        <v>0</v>
      </c>
      <c r="S27" s="74">
        <v>0</v>
      </c>
      <c r="T27" s="77">
        <v>0</v>
      </c>
      <c r="U27" s="72">
        <v>0</v>
      </c>
      <c r="V27" s="74">
        <v>0</v>
      </c>
      <c r="W27" s="75">
        <v>25</v>
      </c>
      <c r="Z27" s="365" t="s">
        <v>266</v>
      </c>
      <c r="AA27" s="71" t="s">
        <v>187</v>
      </c>
      <c r="AB27" s="77" t="s">
        <v>280</v>
      </c>
      <c r="AC27" s="130">
        <v>0</v>
      </c>
      <c r="AD27" s="72">
        <v>0</v>
      </c>
      <c r="AE27" s="73">
        <v>0</v>
      </c>
      <c r="AF27" s="77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74">
        <v>0</v>
      </c>
      <c r="AP27" s="77">
        <v>0</v>
      </c>
      <c r="AQ27" s="28">
        <v>0</v>
      </c>
      <c r="AR27" s="74">
        <v>0</v>
      </c>
      <c r="AS27" s="77">
        <v>0</v>
      </c>
      <c r="AT27" s="72">
        <v>0</v>
      </c>
      <c r="AU27" s="74">
        <v>0</v>
      </c>
      <c r="AV27" s="75">
        <v>25</v>
      </c>
      <c r="AY27" s="101" t="s">
        <v>226</v>
      </c>
      <c r="AZ27" s="71" t="s">
        <v>192</v>
      </c>
      <c r="BA27" s="77" t="s">
        <v>244</v>
      </c>
      <c r="BB27" s="130">
        <v>0</v>
      </c>
      <c r="BC27" s="72">
        <v>0</v>
      </c>
      <c r="BD27" s="73">
        <v>0</v>
      </c>
      <c r="BE27" s="77">
        <v>1</v>
      </c>
      <c r="BF27" s="28">
        <v>1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74">
        <v>1</v>
      </c>
      <c r="BO27" s="77">
        <v>0</v>
      </c>
      <c r="BP27" s="28">
        <v>0</v>
      </c>
      <c r="BQ27" s="74">
        <v>0</v>
      </c>
      <c r="BR27" s="77">
        <v>0</v>
      </c>
      <c r="BS27" s="72">
        <v>0</v>
      </c>
      <c r="BT27" s="74">
        <v>0</v>
      </c>
      <c r="BU27" s="75">
        <v>25</v>
      </c>
    </row>
    <row r="28" spans="1:73">
      <c r="A28" s="101" t="s">
        <v>226</v>
      </c>
      <c r="B28" s="71" t="s">
        <v>192</v>
      </c>
      <c r="C28" s="71" t="s">
        <v>248</v>
      </c>
      <c r="D28" s="130">
        <v>0</v>
      </c>
      <c r="E28" s="72">
        <v>0</v>
      </c>
      <c r="F28" s="72">
        <v>0</v>
      </c>
      <c r="G28" s="77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74">
        <v>0</v>
      </c>
      <c r="Q28" s="77">
        <v>0</v>
      </c>
      <c r="R28" s="28">
        <v>0</v>
      </c>
      <c r="S28" s="74">
        <v>0</v>
      </c>
      <c r="T28" s="77">
        <v>0</v>
      </c>
      <c r="U28" s="72">
        <v>0</v>
      </c>
      <c r="V28" s="74">
        <v>0</v>
      </c>
      <c r="W28" s="75">
        <v>26</v>
      </c>
      <c r="Z28" s="365" t="s">
        <v>266</v>
      </c>
      <c r="AA28" s="71" t="s">
        <v>187</v>
      </c>
      <c r="AB28" s="77" t="s">
        <v>282</v>
      </c>
      <c r="AC28" s="130">
        <v>0</v>
      </c>
      <c r="AD28" s="72">
        <v>0</v>
      </c>
      <c r="AE28" s="73">
        <v>0</v>
      </c>
      <c r="AF28" s="77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74">
        <v>0</v>
      </c>
      <c r="AP28" s="77">
        <v>0</v>
      </c>
      <c r="AQ28" s="28">
        <v>0</v>
      </c>
      <c r="AR28" s="74">
        <v>0</v>
      </c>
      <c r="AS28" s="77">
        <v>0</v>
      </c>
      <c r="AT28" s="72">
        <v>0</v>
      </c>
      <c r="AU28" s="74">
        <v>0</v>
      </c>
      <c r="AV28" s="75">
        <v>26</v>
      </c>
      <c r="AY28" s="101" t="s">
        <v>226</v>
      </c>
      <c r="AZ28" s="71" t="s">
        <v>187</v>
      </c>
      <c r="BA28" s="77" t="s">
        <v>243</v>
      </c>
      <c r="BB28" s="130">
        <v>0</v>
      </c>
      <c r="BC28" s="72">
        <v>0</v>
      </c>
      <c r="BD28" s="73">
        <v>0</v>
      </c>
      <c r="BE28" s="77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74">
        <v>0</v>
      </c>
      <c r="BO28" s="77">
        <v>0</v>
      </c>
      <c r="BP28" s="28">
        <v>0</v>
      </c>
      <c r="BQ28" s="74">
        <v>0</v>
      </c>
      <c r="BR28" s="77">
        <v>0</v>
      </c>
      <c r="BS28" s="72">
        <v>0</v>
      </c>
      <c r="BT28" s="74">
        <v>0</v>
      </c>
      <c r="BU28" s="75">
        <v>26</v>
      </c>
    </row>
    <row r="29" spans="1:73">
      <c r="A29" s="101" t="s">
        <v>226</v>
      </c>
      <c r="B29" s="71" t="s">
        <v>2174</v>
      </c>
      <c r="C29" s="71" t="s">
        <v>231</v>
      </c>
      <c r="D29" s="130">
        <v>0</v>
      </c>
      <c r="E29" s="72">
        <v>0</v>
      </c>
      <c r="F29" s="72">
        <v>0</v>
      </c>
      <c r="G29" s="77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74">
        <v>0</v>
      </c>
      <c r="Q29" s="77">
        <v>0</v>
      </c>
      <c r="R29" s="28">
        <v>0</v>
      </c>
      <c r="S29" s="74">
        <v>0</v>
      </c>
      <c r="T29" s="77">
        <v>0</v>
      </c>
      <c r="U29" s="72">
        <v>0</v>
      </c>
      <c r="V29" s="74">
        <v>0</v>
      </c>
      <c r="W29" s="75">
        <v>27</v>
      </c>
      <c r="Z29" s="365" t="s">
        <v>266</v>
      </c>
      <c r="AA29" s="71" t="s">
        <v>186</v>
      </c>
      <c r="AB29" s="77" t="s">
        <v>279</v>
      </c>
      <c r="AC29" s="130">
        <v>0.33333333333333331</v>
      </c>
      <c r="AD29" s="72">
        <v>0.45454545454545453</v>
      </c>
      <c r="AE29" s="73">
        <v>0.33333333333333331</v>
      </c>
      <c r="AF29" s="77">
        <v>3</v>
      </c>
      <c r="AG29" s="28">
        <v>9</v>
      </c>
      <c r="AH29" s="28">
        <v>1</v>
      </c>
      <c r="AI29" s="28">
        <v>3</v>
      </c>
      <c r="AJ29" s="28">
        <v>0</v>
      </c>
      <c r="AK29" s="28">
        <v>0</v>
      </c>
      <c r="AL29" s="28">
        <v>0</v>
      </c>
      <c r="AM29" s="28">
        <v>4</v>
      </c>
      <c r="AN29" s="28">
        <v>2</v>
      </c>
      <c r="AO29" s="74">
        <v>5</v>
      </c>
      <c r="AP29" s="77">
        <v>0</v>
      </c>
      <c r="AQ29" s="28">
        <v>2</v>
      </c>
      <c r="AR29" s="74">
        <v>2</v>
      </c>
      <c r="AS29" s="77">
        <v>3</v>
      </c>
      <c r="AT29" s="72">
        <v>0.78787878787878785</v>
      </c>
      <c r="AU29" s="74">
        <v>0</v>
      </c>
      <c r="AV29" s="75">
        <v>27</v>
      </c>
      <c r="AY29" s="101" t="s">
        <v>226</v>
      </c>
      <c r="AZ29" s="71" t="s">
        <v>184</v>
      </c>
      <c r="BA29" s="77" t="s">
        <v>227</v>
      </c>
      <c r="BB29" s="130">
        <v>0</v>
      </c>
      <c r="BC29" s="72">
        <v>0</v>
      </c>
      <c r="BD29" s="73">
        <v>0</v>
      </c>
      <c r="BE29" s="77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74">
        <v>0</v>
      </c>
      <c r="BO29" s="77">
        <v>0</v>
      </c>
      <c r="BP29" s="28">
        <v>0</v>
      </c>
      <c r="BQ29" s="74">
        <v>0</v>
      </c>
      <c r="BR29" s="77">
        <v>0</v>
      </c>
      <c r="BS29" s="72">
        <v>0</v>
      </c>
      <c r="BT29" s="74">
        <v>0</v>
      </c>
      <c r="BU29" s="75">
        <v>27</v>
      </c>
    </row>
    <row r="30" spans="1:73">
      <c r="A30" s="101" t="s">
        <v>226</v>
      </c>
      <c r="B30" s="71" t="s">
        <v>186</v>
      </c>
      <c r="C30" s="71" t="s">
        <v>242</v>
      </c>
      <c r="D30" s="130">
        <v>0</v>
      </c>
      <c r="E30" s="72">
        <v>0</v>
      </c>
      <c r="F30" s="72">
        <v>0</v>
      </c>
      <c r="G30" s="77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74">
        <v>0</v>
      </c>
      <c r="Q30" s="77">
        <v>0</v>
      </c>
      <c r="R30" s="28">
        <v>0</v>
      </c>
      <c r="S30" s="74">
        <v>0</v>
      </c>
      <c r="T30" s="77">
        <v>0</v>
      </c>
      <c r="U30" s="72">
        <v>0</v>
      </c>
      <c r="V30" s="74">
        <v>0</v>
      </c>
      <c r="W30" s="75">
        <v>28</v>
      </c>
      <c r="Z30" s="365" t="s">
        <v>266</v>
      </c>
      <c r="AA30" s="71" t="s">
        <v>186</v>
      </c>
      <c r="AB30" s="77" t="s">
        <v>281</v>
      </c>
      <c r="AC30" s="130">
        <v>0</v>
      </c>
      <c r="AD30" s="72">
        <v>0</v>
      </c>
      <c r="AE30" s="73">
        <v>0</v>
      </c>
      <c r="AF30" s="77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74">
        <v>0</v>
      </c>
      <c r="AP30" s="77">
        <v>0</v>
      </c>
      <c r="AQ30" s="28">
        <v>0</v>
      </c>
      <c r="AR30" s="74">
        <v>0</v>
      </c>
      <c r="AS30" s="77">
        <v>0</v>
      </c>
      <c r="AT30" s="72">
        <v>0</v>
      </c>
      <c r="AU30" s="74">
        <v>0</v>
      </c>
      <c r="AV30" s="75">
        <v>28</v>
      </c>
      <c r="AY30" s="101" t="s">
        <v>226</v>
      </c>
      <c r="AZ30" s="71" t="s">
        <v>186</v>
      </c>
      <c r="BA30" s="77" t="s">
        <v>247</v>
      </c>
      <c r="BB30" s="130">
        <v>0</v>
      </c>
      <c r="BC30" s="72">
        <v>0</v>
      </c>
      <c r="BD30" s="73">
        <v>0</v>
      </c>
      <c r="BE30" s="77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74">
        <v>0</v>
      </c>
      <c r="BO30" s="77">
        <v>0</v>
      </c>
      <c r="BP30" s="28">
        <v>0</v>
      </c>
      <c r="BQ30" s="74">
        <v>0</v>
      </c>
      <c r="BR30" s="77">
        <v>0</v>
      </c>
      <c r="BS30" s="72">
        <v>0</v>
      </c>
      <c r="BT30" s="74">
        <v>0</v>
      </c>
      <c r="BU30" s="75">
        <v>28</v>
      </c>
    </row>
    <row r="31" spans="1:73">
      <c r="A31" s="101" t="s">
        <v>300</v>
      </c>
      <c r="B31" s="71" t="s">
        <v>179</v>
      </c>
      <c r="C31" s="71" t="s">
        <v>307</v>
      </c>
      <c r="D31" s="130">
        <v>0.12</v>
      </c>
      <c r="E31" s="72">
        <v>0.21428571428571427</v>
      </c>
      <c r="F31" s="72">
        <v>0.16</v>
      </c>
      <c r="G31" s="77">
        <v>7</v>
      </c>
      <c r="H31" s="28">
        <v>25</v>
      </c>
      <c r="I31" s="28">
        <v>0</v>
      </c>
      <c r="J31" s="28">
        <v>3</v>
      </c>
      <c r="K31" s="28">
        <v>1</v>
      </c>
      <c r="L31" s="28">
        <v>0</v>
      </c>
      <c r="M31" s="28">
        <v>0</v>
      </c>
      <c r="N31" s="28">
        <v>1</v>
      </c>
      <c r="O31" s="28">
        <v>3</v>
      </c>
      <c r="P31" s="74">
        <v>7</v>
      </c>
      <c r="Q31" s="77">
        <v>0</v>
      </c>
      <c r="R31" s="28">
        <v>1</v>
      </c>
      <c r="S31" s="74">
        <v>2</v>
      </c>
      <c r="T31" s="77">
        <v>4</v>
      </c>
      <c r="U31" s="72">
        <v>0.37428571428571428</v>
      </c>
      <c r="V31" s="74">
        <v>0</v>
      </c>
      <c r="W31" s="75">
        <v>29</v>
      </c>
      <c r="Z31" s="101" t="s">
        <v>300</v>
      </c>
      <c r="AA31" s="71" t="s">
        <v>179</v>
      </c>
      <c r="AB31" s="77" t="s">
        <v>307</v>
      </c>
      <c r="AC31" s="130">
        <v>0.3</v>
      </c>
      <c r="AD31" s="72">
        <v>0.41666666666666669</v>
      </c>
      <c r="AE31" s="73">
        <v>0.6</v>
      </c>
      <c r="AF31" s="77">
        <v>3</v>
      </c>
      <c r="AG31" s="28">
        <v>10</v>
      </c>
      <c r="AH31" s="28">
        <v>1</v>
      </c>
      <c r="AI31" s="28">
        <v>3</v>
      </c>
      <c r="AJ31" s="28">
        <v>0</v>
      </c>
      <c r="AK31" s="28">
        <v>0</v>
      </c>
      <c r="AL31" s="28">
        <v>1</v>
      </c>
      <c r="AM31" s="28">
        <v>1</v>
      </c>
      <c r="AN31" s="28">
        <v>2</v>
      </c>
      <c r="AO31" s="74">
        <v>2</v>
      </c>
      <c r="AP31" s="77">
        <v>0</v>
      </c>
      <c r="AQ31" s="28">
        <v>2</v>
      </c>
      <c r="AR31" s="74">
        <v>2</v>
      </c>
      <c r="AS31" s="77">
        <v>6</v>
      </c>
      <c r="AT31" s="72">
        <v>1.0166666666666666</v>
      </c>
      <c r="AU31" s="74">
        <v>0</v>
      </c>
      <c r="AV31" s="75">
        <v>29</v>
      </c>
      <c r="AY31" s="101" t="s">
        <v>394</v>
      </c>
      <c r="AZ31" s="71" t="s">
        <v>179</v>
      </c>
      <c r="BA31" s="77" t="s">
        <v>404</v>
      </c>
      <c r="BB31" s="130">
        <v>0</v>
      </c>
      <c r="BC31" s="72">
        <v>0.27272727272727271</v>
      </c>
      <c r="BD31" s="73">
        <v>0</v>
      </c>
      <c r="BE31" s="77">
        <v>3</v>
      </c>
      <c r="BF31" s="28">
        <v>8</v>
      </c>
      <c r="BG31" s="28">
        <v>1</v>
      </c>
      <c r="BH31" s="28">
        <v>0</v>
      </c>
      <c r="BI31" s="28">
        <v>0</v>
      </c>
      <c r="BJ31" s="28">
        <v>0</v>
      </c>
      <c r="BK31" s="28">
        <v>0</v>
      </c>
      <c r="BL31" s="28">
        <v>1</v>
      </c>
      <c r="BM31" s="28">
        <v>3</v>
      </c>
      <c r="BN31" s="74">
        <v>2</v>
      </c>
      <c r="BO31" s="77">
        <v>0</v>
      </c>
      <c r="BP31" s="28">
        <v>0</v>
      </c>
      <c r="BQ31" s="74">
        <v>0</v>
      </c>
      <c r="BR31" s="77">
        <v>0</v>
      </c>
      <c r="BS31" s="72">
        <v>0.27272727272727271</v>
      </c>
      <c r="BT31" s="74">
        <v>0</v>
      </c>
      <c r="BU31" s="75">
        <v>29</v>
      </c>
    </row>
    <row r="32" spans="1:73">
      <c r="A32" s="101" t="s">
        <v>300</v>
      </c>
      <c r="B32" s="71" t="s">
        <v>154</v>
      </c>
      <c r="C32" s="71" t="s">
        <v>309</v>
      </c>
      <c r="D32" s="130">
        <v>0.25925925925925924</v>
      </c>
      <c r="E32" s="72">
        <v>0.31034482758620691</v>
      </c>
      <c r="F32" s="72">
        <v>0.48148148148148145</v>
      </c>
      <c r="G32" s="77">
        <v>7</v>
      </c>
      <c r="H32" s="28">
        <v>27</v>
      </c>
      <c r="I32" s="28">
        <v>3</v>
      </c>
      <c r="J32" s="28">
        <v>7</v>
      </c>
      <c r="K32" s="28">
        <v>3</v>
      </c>
      <c r="L32" s="28">
        <v>0</v>
      </c>
      <c r="M32" s="28">
        <v>1</v>
      </c>
      <c r="N32" s="28">
        <v>4</v>
      </c>
      <c r="O32" s="28">
        <v>2</v>
      </c>
      <c r="P32" s="74">
        <v>3</v>
      </c>
      <c r="Q32" s="77">
        <v>0</v>
      </c>
      <c r="R32" s="28">
        <v>0</v>
      </c>
      <c r="S32" s="74">
        <v>4</v>
      </c>
      <c r="T32" s="77">
        <v>13</v>
      </c>
      <c r="U32" s="72">
        <v>0.79182630906768836</v>
      </c>
      <c r="V32" s="74">
        <v>1</v>
      </c>
      <c r="W32" s="75">
        <v>30</v>
      </c>
      <c r="Z32" s="101" t="s">
        <v>300</v>
      </c>
      <c r="AA32" s="71" t="s">
        <v>349</v>
      </c>
      <c r="AB32" s="77" t="s">
        <v>305</v>
      </c>
      <c r="AC32" s="130">
        <v>0.33333333333333331</v>
      </c>
      <c r="AD32" s="72">
        <v>0.38461538461538464</v>
      </c>
      <c r="AE32" s="73">
        <v>0.66666666666666663</v>
      </c>
      <c r="AF32" s="77">
        <v>3</v>
      </c>
      <c r="AG32" s="28">
        <v>12</v>
      </c>
      <c r="AH32" s="28">
        <v>3</v>
      </c>
      <c r="AI32" s="28">
        <v>4</v>
      </c>
      <c r="AJ32" s="28">
        <v>1</v>
      </c>
      <c r="AK32" s="28">
        <v>0</v>
      </c>
      <c r="AL32" s="28">
        <v>1</v>
      </c>
      <c r="AM32" s="28">
        <v>4</v>
      </c>
      <c r="AN32" s="28">
        <v>1</v>
      </c>
      <c r="AO32" s="74">
        <v>4</v>
      </c>
      <c r="AP32" s="77">
        <v>0</v>
      </c>
      <c r="AQ32" s="28">
        <v>1</v>
      </c>
      <c r="AR32" s="74">
        <v>1</v>
      </c>
      <c r="AS32" s="77">
        <v>8</v>
      </c>
      <c r="AT32" s="72">
        <v>1.0512820512820513</v>
      </c>
      <c r="AU32" s="74">
        <v>0</v>
      </c>
      <c r="AV32" s="75">
        <v>30</v>
      </c>
      <c r="AY32" s="101" t="s">
        <v>394</v>
      </c>
      <c r="AZ32" s="71" t="s">
        <v>154</v>
      </c>
      <c r="BA32" s="77" t="s">
        <v>399</v>
      </c>
      <c r="BB32" s="130">
        <v>0.2</v>
      </c>
      <c r="BC32" s="72">
        <v>0.2</v>
      </c>
      <c r="BD32" s="73">
        <v>0.6</v>
      </c>
      <c r="BE32" s="77">
        <v>3</v>
      </c>
      <c r="BF32" s="28">
        <v>15</v>
      </c>
      <c r="BG32" s="28">
        <v>1</v>
      </c>
      <c r="BH32" s="28">
        <v>3</v>
      </c>
      <c r="BI32" s="28">
        <v>1</v>
      </c>
      <c r="BJ32" s="28">
        <v>1</v>
      </c>
      <c r="BK32" s="28">
        <v>1</v>
      </c>
      <c r="BL32" s="28">
        <v>2</v>
      </c>
      <c r="BM32" s="28">
        <v>0</v>
      </c>
      <c r="BN32" s="74">
        <v>5</v>
      </c>
      <c r="BO32" s="77">
        <v>1</v>
      </c>
      <c r="BP32" s="28">
        <v>3</v>
      </c>
      <c r="BQ32" s="74">
        <v>3</v>
      </c>
      <c r="BR32" s="77">
        <v>9</v>
      </c>
      <c r="BS32" s="72">
        <v>0.8</v>
      </c>
      <c r="BT32" s="74">
        <v>0</v>
      </c>
      <c r="BU32" s="75">
        <v>30</v>
      </c>
    </row>
    <row r="33" spans="1:73">
      <c r="A33" s="101" t="s">
        <v>300</v>
      </c>
      <c r="B33" s="71" t="s">
        <v>172</v>
      </c>
      <c r="C33" s="71" t="s">
        <v>305</v>
      </c>
      <c r="D33" s="130">
        <v>0.21428571428571427</v>
      </c>
      <c r="E33" s="72">
        <v>0.3125</v>
      </c>
      <c r="F33" s="72">
        <v>0.25</v>
      </c>
      <c r="G33" s="77">
        <v>7</v>
      </c>
      <c r="H33" s="28">
        <v>28</v>
      </c>
      <c r="I33" s="28">
        <v>6</v>
      </c>
      <c r="J33" s="28">
        <v>6</v>
      </c>
      <c r="K33" s="28">
        <v>1</v>
      </c>
      <c r="L33" s="28">
        <v>0</v>
      </c>
      <c r="M33" s="28">
        <v>0</v>
      </c>
      <c r="N33" s="28">
        <v>1</v>
      </c>
      <c r="O33" s="28">
        <v>4</v>
      </c>
      <c r="P33" s="74">
        <v>7</v>
      </c>
      <c r="Q33" s="77">
        <v>4</v>
      </c>
      <c r="R33" s="28">
        <v>0</v>
      </c>
      <c r="S33" s="74">
        <v>5</v>
      </c>
      <c r="T33" s="77">
        <v>7</v>
      </c>
      <c r="U33" s="72">
        <v>0.5625</v>
      </c>
      <c r="V33" s="74">
        <v>1</v>
      </c>
      <c r="W33" s="75">
        <v>31</v>
      </c>
      <c r="Z33" s="101" t="s">
        <v>300</v>
      </c>
      <c r="AA33" s="71" t="s">
        <v>172</v>
      </c>
      <c r="AB33" s="77" t="s">
        <v>309</v>
      </c>
      <c r="AC33" s="130">
        <v>8.3333333333333329E-2</v>
      </c>
      <c r="AD33" s="72">
        <v>8.3333333333333329E-2</v>
      </c>
      <c r="AE33" s="73">
        <v>8.3333333333333329E-2</v>
      </c>
      <c r="AF33" s="77">
        <v>3</v>
      </c>
      <c r="AG33" s="28">
        <v>12</v>
      </c>
      <c r="AH33" s="28">
        <v>0</v>
      </c>
      <c r="AI33" s="28">
        <v>1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74">
        <v>5</v>
      </c>
      <c r="AP33" s="77">
        <v>0</v>
      </c>
      <c r="AQ33" s="28">
        <v>1</v>
      </c>
      <c r="AR33" s="74">
        <v>1</v>
      </c>
      <c r="AS33" s="77">
        <v>1</v>
      </c>
      <c r="AT33" s="72">
        <v>0.16666666666666666</v>
      </c>
      <c r="AU33" s="74">
        <v>0</v>
      </c>
      <c r="AV33" s="75">
        <v>31</v>
      </c>
      <c r="AY33" s="101" t="s">
        <v>394</v>
      </c>
      <c r="AZ33" s="71" t="s">
        <v>172</v>
      </c>
      <c r="BA33" s="77" t="s">
        <v>406</v>
      </c>
      <c r="BB33" s="130">
        <v>0.33333333333333331</v>
      </c>
      <c r="BC33" s="72">
        <v>0.45454545454545453</v>
      </c>
      <c r="BD33" s="73">
        <v>0.44444444444444442</v>
      </c>
      <c r="BE33" s="77">
        <v>3</v>
      </c>
      <c r="BF33" s="28">
        <v>9</v>
      </c>
      <c r="BG33" s="28">
        <v>2</v>
      </c>
      <c r="BH33" s="28">
        <v>3</v>
      </c>
      <c r="BI33" s="28">
        <v>1</v>
      </c>
      <c r="BJ33" s="28">
        <v>0</v>
      </c>
      <c r="BK33" s="28">
        <v>0</v>
      </c>
      <c r="BL33" s="28">
        <v>2</v>
      </c>
      <c r="BM33" s="28">
        <v>2</v>
      </c>
      <c r="BN33" s="74">
        <v>1</v>
      </c>
      <c r="BO33" s="77">
        <v>0</v>
      </c>
      <c r="BP33" s="28">
        <v>2</v>
      </c>
      <c r="BQ33" s="74">
        <v>2</v>
      </c>
      <c r="BR33" s="77">
        <v>4</v>
      </c>
      <c r="BS33" s="72">
        <v>0.89898989898989901</v>
      </c>
      <c r="BT33" s="74">
        <v>0</v>
      </c>
      <c r="BU33" s="75">
        <v>31</v>
      </c>
    </row>
    <row r="34" spans="1:73">
      <c r="A34" s="101" t="s">
        <v>300</v>
      </c>
      <c r="B34" s="71" t="s">
        <v>311</v>
      </c>
      <c r="C34" s="71" t="s">
        <v>312</v>
      </c>
      <c r="D34" s="130">
        <v>0</v>
      </c>
      <c r="E34" s="72">
        <v>0</v>
      </c>
      <c r="F34" s="72">
        <v>0</v>
      </c>
      <c r="G34" s="77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74">
        <v>0</v>
      </c>
      <c r="Q34" s="77">
        <v>0</v>
      </c>
      <c r="R34" s="28">
        <v>0</v>
      </c>
      <c r="S34" s="74">
        <v>0</v>
      </c>
      <c r="T34" s="77">
        <v>0</v>
      </c>
      <c r="U34" s="72">
        <v>0</v>
      </c>
      <c r="V34" s="74">
        <v>0</v>
      </c>
      <c r="W34" s="75">
        <v>32</v>
      </c>
      <c r="Z34" s="101" t="s">
        <v>300</v>
      </c>
      <c r="AA34" s="71" t="s">
        <v>153</v>
      </c>
      <c r="AB34" s="77" t="s">
        <v>315</v>
      </c>
      <c r="AC34" s="130">
        <v>0.18181818181818182</v>
      </c>
      <c r="AD34" s="72">
        <v>0.25</v>
      </c>
      <c r="AE34" s="73">
        <v>0.18181818181818182</v>
      </c>
      <c r="AF34" s="77">
        <v>3</v>
      </c>
      <c r="AG34" s="28">
        <v>11</v>
      </c>
      <c r="AH34" s="28">
        <v>0</v>
      </c>
      <c r="AI34" s="28">
        <v>2</v>
      </c>
      <c r="AJ34" s="28">
        <v>0</v>
      </c>
      <c r="AK34" s="28">
        <v>0</v>
      </c>
      <c r="AL34" s="28">
        <v>0</v>
      </c>
      <c r="AM34" s="28">
        <v>0</v>
      </c>
      <c r="AN34" s="28">
        <v>1</v>
      </c>
      <c r="AO34" s="74">
        <v>4</v>
      </c>
      <c r="AP34" s="77">
        <v>0</v>
      </c>
      <c r="AQ34" s="28">
        <v>0</v>
      </c>
      <c r="AR34" s="74">
        <v>2</v>
      </c>
      <c r="AS34" s="77">
        <v>2</v>
      </c>
      <c r="AT34" s="72">
        <v>0.43181818181818182</v>
      </c>
      <c r="AU34" s="74">
        <v>0</v>
      </c>
      <c r="AV34" s="75">
        <v>32</v>
      </c>
      <c r="AY34" s="101" t="s">
        <v>394</v>
      </c>
      <c r="AZ34" s="71" t="s">
        <v>153</v>
      </c>
      <c r="BA34" s="77" t="s">
        <v>405</v>
      </c>
      <c r="BB34" s="130">
        <v>0.25</v>
      </c>
      <c r="BC34" s="72">
        <v>0.4</v>
      </c>
      <c r="BD34" s="73">
        <v>0.41666666666666669</v>
      </c>
      <c r="BE34" s="77">
        <v>3</v>
      </c>
      <c r="BF34" s="28">
        <v>12</v>
      </c>
      <c r="BG34" s="28">
        <v>1</v>
      </c>
      <c r="BH34" s="28">
        <v>3</v>
      </c>
      <c r="BI34" s="28">
        <v>0</v>
      </c>
      <c r="BJ34" s="28">
        <v>1</v>
      </c>
      <c r="BK34" s="28">
        <v>0</v>
      </c>
      <c r="BL34" s="28">
        <v>3</v>
      </c>
      <c r="BM34" s="28">
        <v>3</v>
      </c>
      <c r="BN34" s="74">
        <v>5</v>
      </c>
      <c r="BO34" s="77">
        <v>0</v>
      </c>
      <c r="BP34" s="28">
        <v>0</v>
      </c>
      <c r="BQ34" s="74">
        <v>1</v>
      </c>
      <c r="BR34" s="77">
        <v>5</v>
      </c>
      <c r="BS34" s="72">
        <v>0.81666666666666665</v>
      </c>
      <c r="BT34" s="74">
        <v>1</v>
      </c>
      <c r="BU34" s="75">
        <v>32</v>
      </c>
    </row>
    <row r="35" spans="1:73">
      <c r="A35" s="101" t="s">
        <v>300</v>
      </c>
      <c r="B35" s="71" t="s">
        <v>177</v>
      </c>
      <c r="C35" s="71" t="s">
        <v>301</v>
      </c>
      <c r="D35" s="130">
        <v>0.18518518518518517</v>
      </c>
      <c r="E35" s="72">
        <v>0.26666666666666666</v>
      </c>
      <c r="F35" s="72">
        <v>0.18518518518518517</v>
      </c>
      <c r="G35" s="77">
        <v>7</v>
      </c>
      <c r="H35" s="28">
        <v>27</v>
      </c>
      <c r="I35" s="28">
        <v>0</v>
      </c>
      <c r="J35" s="28">
        <v>5</v>
      </c>
      <c r="K35" s="28">
        <v>0</v>
      </c>
      <c r="L35" s="28">
        <v>0</v>
      </c>
      <c r="M35" s="28">
        <v>0</v>
      </c>
      <c r="N35" s="28">
        <v>5</v>
      </c>
      <c r="O35" s="28">
        <v>3</v>
      </c>
      <c r="P35" s="74">
        <v>6</v>
      </c>
      <c r="Q35" s="77">
        <v>0</v>
      </c>
      <c r="R35" s="28">
        <v>1</v>
      </c>
      <c r="S35" s="74">
        <v>2</v>
      </c>
      <c r="T35" s="77">
        <v>5</v>
      </c>
      <c r="U35" s="72">
        <v>0.45185185185185184</v>
      </c>
      <c r="V35" s="74">
        <v>0</v>
      </c>
      <c r="W35" s="75">
        <v>33</v>
      </c>
      <c r="Z35" s="101" t="s">
        <v>300</v>
      </c>
      <c r="AA35" s="71" t="s">
        <v>177</v>
      </c>
      <c r="AB35" s="77" t="s">
        <v>301</v>
      </c>
      <c r="AC35" s="130">
        <v>0.54545454545454541</v>
      </c>
      <c r="AD35" s="72">
        <v>0.61538461538461542</v>
      </c>
      <c r="AE35" s="73">
        <v>0.90909090909090906</v>
      </c>
      <c r="AF35" s="77">
        <v>3</v>
      </c>
      <c r="AG35" s="28">
        <v>11</v>
      </c>
      <c r="AH35" s="28">
        <v>3</v>
      </c>
      <c r="AI35" s="28">
        <v>6</v>
      </c>
      <c r="AJ35" s="28">
        <v>1</v>
      </c>
      <c r="AK35" s="28">
        <v>0</v>
      </c>
      <c r="AL35" s="28">
        <v>1</v>
      </c>
      <c r="AM35" s="28">
        <v>2</v>
      </c>
      <c r="AN35" s="28">
        <v>2</v>
      </c>
      <c r="AO35" s="74">
        <v>2</v>
      </c>
      <c r="AP35" s="77">
        <v>0</v>
      </c>
      <c r="AQ35" s="28">
        <v>3</v>
      </c>
      <c r="AR35" s="74">
        <v>3</v>
      </c>
      <c r="AS35" s="77">
        <v>10</v>
      </c>
      <c r="AT35" s="72">
        <v>1.5244755244755246</v>
      </c>
      <c r="AU35" s="74">
        <v>0</v>
      </c>
      <c r="AV35" s="75">
        <v>33</v>
      </c>
      <c r="AY35" s="101" t="s">
        <v>394</v>
      </c>
      <c r="AZ35" s="71" t="s">
        <v>177</v>
      </c>
      <c r="BA35" s="77" t="s">
        <v>401</v>
      </c>
      <c r="BB35" s="130">
        <v>7.6923076923076927E-2</v>
      </c>
      <c r="BC35" s="72">
        <v>0.14285714285714285</v>
      </c>
      <c r="BD35" s="73">
        <v>0.15384615384615385</v>
      </c>
      <c r="BE35" s="77">
        <v>3</v>
      </c>
      <c r="BF35" s="28">
        <v>13</v>
      </c>
      <c r="BG35" s="28">
        <v>0</v>
      </c>
      <c r="BH35" s="28">
        <v>1</v>
      </c>
      <c r="BI35" s="28">
        <v>1</v>
      </c>
      <c r="BJ35" s="28">
        <v>0</v>
      </c>
      <c r="BK35" s="28">
        <v>0</v>
      </c>
      <c r="BL35" s="28">
        <v>1</v>
      </c>
      <c r="BM35" s="28">
        <v>1</v>
      </c>
      <c r="BN35" s="74">
        <v>4</v>
      </c>
      <c r="BO35" s="77">
        <v>0</v>
      </c>
      <c r="BP35" s="28">
        <v>1</v>
      </c>
      <c r="BQ35" s="74">
        <v>1</v>
      </c>
      <c r="BR35" s="77">
        <v>2</v>
      </c>
      <c r="BS35" s="72">
        <v>0.2967032967032967</v>
      </c>
      <c r="BT35" s="74">
        <v>0</v>
      </c>
      <c r="BU35" s="75">
        <v>33</v>
      </c>
    </row>
    <row r="36" spans="1:73">
      <c r="A36" s="101" t="s">
        <v>300</v>
      </c>
      <c r="B36" s="71" t="s">
        <v>174</v>
      </c>
      <c r="C36" s="71" t="s">
        <v>304</v>
      </c>
      <c r="D36" s="130">
        <v>0.34615384615384615</v>
      </c>
      <c r="E36" s="72">
        <v>0.45161290322580644</v>
      </c>
      <c r="F36" s="72">
        <v>0.5</v>
      </c>
      <c r="G36" s="77">
        <v>7</v>
      </c>
      <c r="H36" s="28">
        <v>26</v>
      </c>
      <c r="I36" s="28">
        <v>3</v>
      </c>
      <c r="J36" s="28">
        <v>9</v>
      </c>
      <c r="K36" s="28">
        <v>4</v>
      </c>
      <c r="L36" s="28">
        <v>0</v>
      </c>
      <c r="M36" s="28">
        <v>0</v>
      </c>
      <c r="N36" s="28">
        <v>3</v>
      </c>
      <c r="O36" s="28">
        <v>5</v>
      </c>
      <c r="P36" s="74">
        <v>7</v>
      </c>
      <c r="Q36" s="77">
        <v>0</v>
      </c>
      <c r="R36" s="28">
        <v>0</v>
      </c>
      <c r="S36" s="74">
        <v>5</v>
      </c>
      <c r="T36" s="77">
        <v>13</v>
      </c>
      <c r="U36" s="72">
        <v>0.95161290322580649</v>
      </c>
      <c r="V36" s="74">
        <v>0</v>
      </c>
      <c r="W36" s="75">
        <v>34</v>
      </c>
      <c r="Z36" s="101" t="s">
        <v>300</v>
      </c>
      <c r="AA36" s="71" t="s">
        <v>186</v>
      </c>
      <c r="AB36" s="77" t="s">
        <v>304</v>
      </c>
      <c r="AC36" s="130">
        <v>0.2857142857142857</v>
      </c>
      <c r="AD36" s="72">
        <v>0.2857142857142857</v>
      </c>
      <c r="AE36" s="73">
        <v>0.42857142857142855</v>
      </c>
      <c r="AF36" s="77">
        <v>3</v>
      </c>
      <c r="AG36" s="28">
        <v>14</v>
      </c>
      <c r="AH36" s="28">
        <v>3</v>
      </c>
      <c r="AI36" s="28">
        <v>4</v>
      </c>
      <c r="AJ36" s="28">
        <v>2</v>
      </c>
      <c r="AK36" s="28">
        <v>0</v>
      </c>
      <c r="AL36" s="28">
        <v>0</v>
      </c>
      <c r="AM36" s="28">
        <v>0</v>
      </c>
      <c r="AN36" s="28">
        <v>0</v>
      </c>
      <c r="AO36" s="74">
        <v>5</v>
      </c>
      <c r="AP36" s="77">
        <v>0</v>
      </c>
      <c r="AQ36" s="28">
        <v>1</v>
      </c>
      <c r="AR36" s="74">
        <v>1</v>
      </c>
      <c r="AS36" s="77">
        <v>6</v>
      </c>
      <c r="AT36" s="72">
        <v>0.71428571428571419</v>
      </c>
      <c r="AU36" s="74">
        <v>0</v>
      </c>
      <c r="AV36" s="75">
        <v>34</v>
      </c>
      <c r="AY36" s="101" t="s">
        <v>394</v>
      </c>
      <c r="AZ36" s="71" t="s">
        <v>174</v>
      </c>
      <c r="BA36" s="77" t="s">
        <v>403</v>
      </c>
      <c r="BB36" s="130">
        <v>0.5</v>
      </c>
      <c r="BC36" s="72">
        <v>0.58333333333333337</v>
      </c>
      <c r="BD36" s="73">
        <v>0.6</v>
      </c>
      <c r="BE36" s="77">
        <v>3</v>
      </c>
      <c r="BF36" s="28">
        <v>10</v>
      </c>
      <c r="BG36" s="28">
        <v>2</v>
      </c>
      <c r="BH36" s="28">
        <v>5</v>
      </c>
      <c r="BI36" s="28">
        <v>1</v>
      </c>
      <c r="BJ36" s="28">
        <v>0</v>
      </c>
      <c r="BK36" s="28">
        <v>0</v>
      </c>
      <c r="BL36" s="28">
        <v>1</v>
      </c>
      <c r="BM36" s="28">
        <v>2</v>
      </c>
      <c r="BN36" s="74">
        <v>2</v>
      </c>
      <c r="BO36" s="77">
        <v>0</v>
      </c>
      <c r="BP36" s="28">
        <v>3</v>
      </c>
      <c r="BQ36" s="74">
        <v>3</v>
      </c>
      <c r="BR36" s="77">
        <v>6</v>
      </c>
      <c r="BS36" s="72">
        <v>1.1833333333333333</v>
      </c>
      <c r="BT36" s="74">
        <v>0</v>
      </c>
      <c r="BU36" s="75">
        <v>34</v>
      </c>
    </row>
    <row r="37" spans="1:73">
      <c r="A37" s="101" t="s">
        <v>300</v>
      </c>
      <c r="B37" s="345" t="s">
        <v>181</v>
      </c>
      <c r="C37" s="71" t="s">
        <v>306</v>
      </c>
      <c r="D37" s="130">
        <v>0.31818181818181818</v>
      </c>
      <c r="E37" s="72">
        <v>0.42307692307692307</v>
      </c>
      <c r="F37" s="72">
        <v>0.68181818181818177</v>
      </c>
      <c r="G37" s="77">
        <v>7</v>
      </c>
      <c r="H37" s="28">
        <v>22</v>
      </c>
      <c r="I37" s="28">
        <v>4</v>
      </c>
      <c r="J37" s="28">
        <v>7</v>
      </c>
      <c r="K37" s="28">
        <v>2</v>
      </c>
      <c r="L37" s="28">
        <v>0</v>
      </c>
      <c r="M37" s="28">
        <v>2</v>
      </c>
      <c r="N37" s="28">
        <v>2</v>
      </c>
      <c r="O37" s="28">
        <v>4</v>
      </c>
      <c r="P37" s="74">
        <v>4</v>
      </c>
      <c r="Q37" s="77">
        <v>1</v>
      </c>
      <c r="R37" s="28">
        <v>1</v>
      </c>
      <c r="S37" s="74">
        <v>3</v>
      </c>
      <c r="T37" s="77">
        <v>15</v>
      </c>
      <c r="U37" s="72">
        <v>1.1048951048951048</v>
      </c>
      <c r="V37" s="74">
        <v>2</v>
      </c>
      <c r="W37" s="75">
        <v>35</v>
      </c>
      <c r="Z37" s="101" t="s">
        <v>300</v>
      </c>
      <c r="AA37" s="71" t="s">
        <v>181</v>
      </c>
      <c r="AB37" s="77" t="s">
        <v>306</v>
      </c>
      <c r="AC37" s="130">
        <v>0.1</v>
      </c>
      <c r="AD37" s="72">
        <v>0.18181818181818182</v>
      </c>
      <c r="AE37" s="73">
        <v>0.1</v>
      </c>
      <c r="AF37" s="77">
        <v>3</v>
      </c>
      <c r="AG37" s="28">
        <v>10</v>
      </c>
      <c r="AH37" s="28">
        <v>0</v>
      </c>
      <c r="AI37" s="28">
        <v>1</v>
      </c>
      <c r="AJ37" s="28">
        <v>0</v>
      </c>
      <c r="AK37" s="28">
        <v>0</v>
      </c>
      <c r="AL37" s="28">
        <v>0</v>
      </c>
      <c r="AM37" s="28">
        <v>0</v>
      </c>
      <c r="AN37" s="28">
        <v>1</v>
      </c>
      <c r="AO37" s="74">
        <v>4</v>
      </c>
      <c r="AP37" s="77">
        <v>0</v>
      </c>
      <c r="AQ37" s="28">
        <v>0</v>
      </c>
      <c r="AR37" s="74">
        <v>1</v>
      </c>
      <c r="AS37" s="77">
        <v>1</v>
      </c>
      <c r="AT37" s="72">
        <v>0.28181818181818186</v>
      </c>
      <c r="AU37" s="74">
        <v>0</v>
      </c>
      <c r="AV37" s="75">
        <v>35</v>
      </c>
      <c r="AY37" s="101" t="s">
        <v>394</v>
      </c>
      <c r="AZ37" s="71" t="s">
        <v>181</v>
      </c>
      <c r="BA37" s="77" t="s">
        <v>400</v>
      </c>
      <c r="BB37" s="130">
        <v>0.27272727272727271</v>
      </c>
      <c r="BC37" s="72">
        <v>0.33333333333333331</v>
      </c>
      <c r="BD37" s="73">
        <v>0.27272727272727271</v>
      </c>
      <c r="BE37" s="77">
        <v>3</v>
      </c>
      <c r="BF37" s="28">
        <v>11</v>
      </c>
      <c r="BG37" s="28">
        <v>1</v>
      </c>
      <c r="BH37" s="28">
        <v>3</v>
      </c>
      <c r="BI37" s="28">
        <v>0</v>
      </c>
      <c r="BJ37" s="28">
        <v>0</v>
      </c>
      <c r="BK37" s="28">
        <v>0</v>
      </c>
      <c r="BL37" s="28">
        <v>0</v>
      </c>
      <c r="BM37" s="28">
        <v>1</v>
      </c>
      <c r="BN37" s="74">
        <v>5</v>
      </c>
      <c r="BO37" s="77">
        <v>0</v>
      </c>
      <c r="BP37" s="28">
        <v>3</v>
      </c>
      <c r="BQ37" s="74">
        <v>3</v>
      </c>
      <c r="BR37" s="77">
        <v>3</v>
      </c>
      <c r="BS37" s="72">
        <v>0.60606060606060597</v>
      </c>
      <c r="BT37" s="74">
        <v>0</v>
      </c>
      <c r="BU37" s="75">
        <v>35</v>
      </c>
    </row>
    <row r="38" spans="1:73">
      <c r="A38" s="101" t="s">
        <v>300</v>
      </c>
      <c r="B38" s="71" t="s">
        <v>166</v>
      </c>
      <c r="C38" s="71" t="s">
        <v>302</v>
      </c>
      <c r="D38" s="130">
        <v>0.13793103448275862</v>
      </c>
      <c r="E38" s="72">
        <v>0.16666666666666666</v>
      </c>
      <c r="F38" s="72">
        <v>0.2413793103448276</v>
      </c>
      <c r="G38" s="77">
        <v>7</v>
      </c>
      <c r="H38" s="28">
        <v>29</v>
      </c>
      <c r="I38" s="28">
        <v>1</v>
      </c>
      <c r="J38" s="28">
        <v>4</v>
      </c>
      <c r="K38" s="28">
        <v>0</v>
      </c>
      <c r="L38" s="28">
        <v>0</v>
      </c>
      <c r="M38" s="28">
        <v>1</v>
      </c>
      <c r="N38" s="28">
        <v>3</v>
      </c>
      <c r="O38" s="28">
        <v>1</v>
      </c>
      <c r="P38" s="74">
        <v>12</v>
      </c>
      <c r="Q38" s="77">
        <v>0</v>
      </c>
      <c r="R38" s="28">
        <v>0</v>
      </c>
      <c r="S38" s="74">
        <v>2</v>
      </c>
      <c r="T38" s="77">
        <v>7</v>
      </c>
      <c r="U38" s="72">
        <v>0.40804597701149425</v>
      </c>
      <c r="V38" s="74">
        <v>0</v>
      </c>
      <c r="W38" s="75">
        <v>36</v>
      </c>
      <c r="Z38" s="101" t="s">
        <v>300</v>
      </c>
      <c r="AA38" s="71" t="s">
        <v>166</v>
      </c>
      <c r="AB38" s="77" t="s">
        <v>302</v>
      </c>
      <c r="AC38" s="130">
        <v>0.16666666666666666</v>
      </c>
      <c r="AD38" s="72">
        <v>0.23076923076923078</v>
      </c>
      <c r="AE38" s="73">
        <v>0.25</v>
      </c>
      <c r="AF38" s="77">
        <v>3</v>
      </c>
      <c r="AG38" s="28">
        <v>12</v>
      </c>
      <c r="AH38" s="28">
        <v>0</v>
      </c>
      <c r="AI38" s="28">
        <v>2</v>
      </c>
      <c r="AJ38" s="28">
        <v>1</v>
      </c>
      <c r="AK38" s="28">
        <v>0</v>
      </c>
      <c r="AL38" s="28">
        <v>0</v>
      </c>
      <c r="AM38" s="28">
        <v>1</v>
      </c>
      <c r="AN38" s="28">
        <v>1</v>
      </c>
      <c r="AO38" s="74">
        <v>5</v>
      </c>
      <c r="AP38" s="77">
        <v>0</v>
      </c>
      <c r="AQ38" s="28">
        <v>1</v>
      </c>
      <c r="AR38" s="74">
        <v>1</v>
      </c>
      <c r="AS38" s="77">
        <v>3</v>
      </c>
      <c r="AT38" s="72">
        <v>0.48076923076923078</v>
      </c>
      <c r="AU38" s="74">
        <v>0</v>
      </c>
      <c r="AV38" s="75">
        <v>36</v>
      </c>
      <c r="AY38" s="101" t="s">
        <v>394</v>
      </c>
      <c r="AZ38" s="71" t="s">
        <v>166</v>
      </c>
      <c r="BA38" s="77" t="s">
        <v>396</v>
      </c>
      <c r="BB38" s="130">
        <v>0.36363636363636365</v>
      </c>
      <c r="BC38" s="72">
        <v>0.41666666666666669</v>
      </c>
      <c r="BD38" s="73">
        <v>0.36363636363636365</v>
      </c>
      <c r="BE38" s="77">
        <v>3</v>
      </c>
      <c r="BF38" s="28">
        <v>11</v>
      </c>
      <c r="BG38" s="28">
        <v>2</v>
      </c>
      <c r="BH38" s="28">
        <v>4</v>
      </c>
      <c r="BI38" s="28">
        <v>0</v>
      </c>
      <c r="BJ38" s="28">
        <v>0</v>
      </c>
      <c r="BK38" s="28">
        <v>0</v>
      </c>
      <c r="BL38" s="28">
        <v>0</v>
      </c>
      <c r="BM38" s="28">
        <v>1</v>
      </c>
      <c r="BN38" s="74">
        <v>5</v>
      </c>
      <c r="BO38" s="77">
        <v>0</v>
      </c>
      <c r="BP38" s="28">
        <v>3</v>
      </c>
      <c r="BQ38" s="74">
        <v>3</v>
      </c>
      <c r="BR38" s="77">
        <v>4</v>
      </c>
      <c r="BS38" s="72">
        <v>0.78030303030303028</v>
      </c>
      <c r="BT38" s="74">
        <v>0</v>
      </c>
      <c r="BU38" s="75">
        <v>36</v>
      </c>
    </row>
    <row r="39" spans="1:73">
      <c r="A39" s="101" t="s">
        <v>300</v>
      </c>
      <c r="B39" s="71" t="s">
        <v>168</v>
      </c>
      <c r="C39" s="71" t="s">
        <v>313</v>
      </c>
      <c r="D39" s="130">
        <v>0.20833333333333334</v>
      </c>
      <c r="E39" s="72">
        <v>0.32142857142857145</v>
      </c>
      <c r="F39" s="72">
        <v>0.20833333333333334</v>
      </c>
      <c r="G39" s="77">
        <v>7</v>
      </c>
      <c r="H39" s="28">
        <v>24</v>
      </c>
      <c r="I39" s="28">
        <v>0</v>
      </c>
      <c r="J39" s="28">
        <v>5</v>
      </c>
      <c r="K39" s="28">
        <v>0</v>
      </c>
      <c r="L39" s="28">
        <v>0</v>
      </c>
      <c r="M39" s="28">
        <v>0</v>
      </c>
      <c r="N39" s="28">
        <v>0</v>
      </c>
      <c r="O39" s="28">
        <v>4</v>
      </c>
      <c r="P39" s="74">
        <v>7</v>
      </c>
      <c r="Q39" s="77">
        <v>0</v>
      </c>
      <c r="R39" s="28">
        <v>0</v>
      </c>
      <c r="S39" s="74">
        <v>2</v>
      </c>
      <c r="T39" s="77">
        <v>5</v>
      </c>
      <c r="U39" s="72">
        <v>0.52976190476190477</v>
      </c>
      <c r="V39" s="74">
        <v>0</v>
      </c>
      <c r="W39" s="75">
        <v>37</v>
      </c>
      <c r="Z39" s="101" t="s">
        <v>300</v>
      </c>
      <c r="AA39" s="71" t="s">
        <v>168</v>
      </c>
      <c r="AB39" s="77" t="s">
        <v>303</v>
      </c>
      <c r="AC39" s="130">
        <v>8.3333333333333329E-2</v>
      </c>
      <c r="AD39" s="72">
        <v>0.15384615384615385</v>
      </c>
      <c r="AE39" s="73">
        <v>0.33333333333333331</v>
      </c>
      <c r="AF39" s="77">
        <v>3</v>
      </c>
      <c r="AG39" s="28">
        <v>12</v>
      </c>
      <c r="AH39" s="28">
        <v>1</v>
      </c>
      <c r="AI39" s="28">
        <v>1</v>
      </c>
      <c r="AJ39" s="28">
        <v>0</v>
      </c>
      <c r="AK39" s="28">
        <v>0</v>
      </c>
      <c r="AL39" s="28">
        <v>1</v>
      </c>
      <c r="AM39" s="28">
        <v>3</v>
      </c>
      <c r="AN39" s="28">
        <v>1</v>
      </c>
      <c r="AO39" s="74">
        <v>6</v>
      </c>
      <c r="AP39" s="77">
        <v>0</v>
      </c>
      <c r="AQ39" s="28">
        <v>0</v>
      </c>
      <c r="AR39" s="74">
        <v>1</v>
      </c>
      <c r="AS39" s="77">
        <v>4</v>
      </c>
      <c r="AT39" s="72">
        <v>0.48717948717948717</v>
      </c>
      <c r="AU39" s="74">
        <v>1</v>
      </c>
      <c r="AV39" s="75">
        <v>37</v>
      </c>
      <c r="AY39" s="101" t="s">
        <v>394</v>
      </c>
      <c r="AZ39" s="71" t="s">
        <v>168</v>
      </c>
      <c r="BA39" s="77" t="s">
        <v>395</v>
      </c>
      <c r="BB39" s="130">
        <v>0.18181818181818182</v>
      </c>
      <c r="BC39" s="72">
        <v>0.25</v>
      </c>
      <c r="BD39" s="73">
        <v>0.45454545454545453</v>
      </c>
      <c r="BE39" s="77">
        <v>3</v>
      </c>
      <c r="BF39" s="28">
        <v>11</v>
      </c>
      <c r="BG39" s="28">
        <v>1</v>
      </c>
      <c r="BH39" s="28">
        <v>2</v>
      </c>
      <c r="BI39" s="28">
        <v>0</v>
      </c>
      <c r="BJ39" s="28">
        <v>0</v>
      </c>
      <c r="BK39" s="28">
        <v>1</v>
      </c>
      <c r="BL39" s="28">
        <v>1</v>
      </c>
      <c r="BM39" s="28">
        <v>1</v>
      </c>
      <c r="BN39" s="74">
        <v>3</v>
      </c>
      <c r="BO39" s="77">
        <v>0</v>
      </c>
      <c r="BP39" s="28">
        <v>0</v>
      </c>
      <c r="BQ39" s="74">
        <v>1</v>
      </c>
      <c r="BR39" s="77">
        <v>5</v>
      </c>
      <c r="BS39" s="72">
        <v>0.70454545454545459</v>
      </c>
      <c r="BT39" s="74">
        <v>0</v>
      </c>
      <c r="BU39" s="75">
        <v>37</v>
      </c>
    </row>
    <row r="40" spans="1:73">
      <c r="A40" s="101" t="s">
        <v>300</v>
      </c>
      <c r="B40" s="71" t="s">
        <v>308</v>
      </c>
      <c r="C40" s="71" t="s">
        <v>320</v>
      </c>
      <c r="D40" s="130">
        <v>0</v>
      </c>
      <c r="E40" s="72">
        <v>0</v>
      </c>
      <c r="F40" s="72">
        <v>0</v>
      </c>
      <c r="G40" s="77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74">
        <v>0</v>
      </c>
      <c r="Q40" s="77">
        <v>0</v>
      </c>
      <c r="R40" s="28">
        <v>0</v>
      </c>
      <c r="S40" s="74">
        <v>0</v>
      </c>
      <c r="T40" s="77">
        <v>0</v>
      </c>
      <c r="U40" s="72">
        <v>0</v>
      </c>
      <c r="V40" s="74">
        <v>0</v>
      </c>
      <c r="W40" s="75">
        <v>38</v>
      </c>
      <c r="Z40" s="101" t="s">
        <v>300</v>
      </c>
      <c r="AA40" s="71" t="s">
        <v>187</v>
      </c>
      <c r="AB40" s="77" t="s">
        <v>314</v>
      </c>
      <c r="AC40" s="130">
        <v>0</v>
      </c>
      <c r="AD40" s="72">
        <v>0</v>
      </c>
      <c r="AE40" s="73">
        <v>0</v>
      </c>
      <c r="AF40" s="77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74">
        <v>0</v>
      </c>
      <c r="AP40" s="77">
        <v>0</v>
      </c>
      <c r="AQ40" s="28">
        <v>0</v>
      </c>
      <c r="AR40" s="74">
        <v>0</v>
      </c>
      <c r="AS40" s="77">
        <v>0</v>
      </c>
      <c r="AT40" s="72">
        <v>0</v>
      </c>
      <c r="AU40" s="74">
        <v>0</v>
      </c>
      <c r="AV40" s="75">
        <v>38</v>
      </c>
      <c r="AY40" s="101" t="s">
        <v>394</v>
      </c>
      <c r="AZ40" s="71" t="s">
        <v>179</v>
      </c>
      <c r="BA40" s="77" t="s">
        <v>410</v>
      </c>
      <c r="BB40" s="130">
        <v>0</v>
      </c>
      <c r="BC40" s="72">
        <v>0</v>
      </c>
      <c r="BD40" s="73">
        <v>0</v>
      </c>
      <c r="BE40" s="77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74">
        <v>0</v>
      </c>
      <c r="BO40" s="77">
        <v>0</v>
      </c>
      <c r="BP40" s="28">
        <v>0</v>
      </c>
      <c r="BQ40" s="74">
        <v>0</v>
      </c>
      <c r="BR40" s="77">
        <v>0</v>
      </c>
      <c r="BS40" s="72">
        <v>0</v>
      </c>
      <c r="BT40" s="74">
        <v>0</v>
      </c>
      <c r="BU40" s="75">
        <v>38</v>
      </c>
    </row>
    <row r="41" spans="1:73">
      <c r="A41" s="101" t="s">
        <v>300</v>
      </c>
      <c r="B41" s="71" t="s">
        <v>187</v>
      </c>
      <c r="C41" s="71" t="s">
        <v>315</v>
      </c>
      <c r="D41" s="130">
        <v>0.25</v>
      </c>
      <c r="E41" s="72">
        <v>0.30769230769230771</v>
      </c>
      <c r="F41" s="72">
        <v>0.29166666666666669</v>
      </c>
      <c r="G41" s="77">
        <v>7</v>
      </c>
      <c r="H41" s="28">
        <v>24</v>
      </c>
      <c r="I41" s="28">
        <v>3</v>
      </c>
      <c r="J41" s="28">
        <v>6</v>
      </c>
      <c r="K41" s="28">
        <v>1</v>
      </c>
      <c r="L41" s="28">
        <v>0</v>
      </c>
      <c r="M41" s="28">
        <v>0</v>
      </c>
      <c r="N41" s="28">
        <v>1</v>
      </c>
      <c r="O41" s="28">
        <v>2</v>
      </c>
      <c r="P41" s="74">
        <v>5</v>
      </c>
      <c r="Q41" s="77">
        <v>0</v>
      </c>
      <c r="R41" s="28">
        <v>5</v>
      </c>
      <c r="S41" s="74">
        <v>5</v>
      </c>
      <c r="T41" s="77">
        <v>7</v>
      </c>
      <c r="U41" s="72">
        <v>0.59935897435897445</v>
      </c>
      <c r="V41" s="74">
        <v>0</v>
      </c>
      <c r="W41" s="75">
        <v>39</v>
      </c>
      <c r="Z41" s="101" t="s">
        <v>300</v>
      </c>
      <c r="AA41" s="71" t="s">
        <v>187</v>
      </c>
      <c r="AB41" s="77" t="s">
        <v>316</v>
      </c>
      <c r="AC41" s="130">
        <v>0</v>
      </c>
      <c r="AD41" s="72">
        <v>0</v>
      </c>
      <c r="AE41" s="73">
        <v>0</v>
      </c>
      <c r="AF41" s="77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74">
        <v>0</v>
      </c>
      <c r="AP41" s="77">
        <v>0</v>
      </c>
      <c r="AQ41" s="28">
        <v>0</v>
      </c>
      <c r="AR41" s="74">
        <v>0</v>
      </c>
      <c r="AS41" s="77">
        <v>0</v>
      </c>
      <c r="AT41" s="72">
        <v>0</v>
      </c>
      <c r="AU41" s="74">
        <v>0</v>
      </c>
      <c r="AV41" s="75">
        <v>39</v>
      </c>
      <c r="AY41" s="101" t="s">
        <v>394</v>
      </c>
      <c r="AZ41" s="71" t="s">
        <v>192</v>
      </c>
      <c r="BA41" s="77" t="s">
        <v>402</v>
      </c>
      <c r="BB41" s="130">
        <v>0</v>
      </c>
      <c r="BC41" s="72">
        <v>0</v>
      </c>
      <c r="BD41" s="73">
        <v>0</v>
      </c>
      <c r="BE41" s="77">
        <v>2</v>
      </c>
      <c r="BF41" s="28">
        <v>1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74">
        <v>0</v>
      </c>
      <c r="BO41" s="77">
        <v>0</v>
      </c>
      <c r="BP41" s="28">
        <v>0</v>
      </c>
      <c r="BQ41" s="74">
        <v>0</v>
      </c>
      <c r="BR41" s="77">
        <v>0</v>
      </c>
      <c r="BS41" s="72">
        <v>0</v>
      </c>
      <c r="BT41" s="74">
        <v>0</v>
      </c>
      <c r="BU41" s="75">
        <v>39</v>
      </c>
    </row>
    <row r="42" spans="1:73">
      <c r="A42" s="101" t="s">
        <v>300</v>
      </c>
      <c r="B42" s="71" t="s">
        <v>192</v>
      </c>
      <c r="C42" s="71" t="s">
        <v>318</v>
      </c>
      <c r="D42" s="130">
        <v>0</v>
      </c>
      <c r="E42" s="72">
        <v>0</v>
      </c>
      <c r="F42" s="72">
        <v>0</v>
      </c>
      <c r="G42" s="77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74">
        <v>0</v>
      </c>
      <c r="Q42" s="77">
        <v>0</v>
      </c>
      <c r="R42" s="28">
        <v>0</v>
      </c>
      <c r="S42" s="74">
        <v>0</v>
      </c>
      <c r="T42" s="77">
        <v>0</v>
      </c>
      <c r="U42" s="72">
        <v>0</v>
      </c>
      <c r="V42" s="74">
        <v>0</v>
      </c>
      <c r="W42" s="75">
        <v>40</v>
      </c>
      <c r="Z42" s="101" t="s">
        <v>300</v>
      </c>
      <c r="AA42" s="71" t="s">
        <v>186</v>
      </c>
      <c r="AB42" s="77" t="s">
        <v>313</v>
      </c>
      <c r="AC42" s="130">
        <v>0</v>
      </c>
      <c r="AD42" s="72">
        <v>0</v>
      </c>
      <c r="AE42" s="73">
        <v>0</v>
      </c>
      <c r="AF42" s="77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74">
        <v>0</v>
      </c>
      <c r="AP42" s="77">
        <v>0</v>
      </c>
      <c r="AQ42" s="28">
        <v>0</v>
      </c>
      <c r="AR42" s="74">
        <v>0</v>
      </c>
      <c r="AS42" s="77">
        <v>0</v>
      </c>
      <c r="AT42" s="72">
        <v>0</v>
      </c>
      <c r="AU42" s="74">
        <v>0</v>
      </c>
      <c r="AV42" s="75">
        <v>40</v>
      </c>
      <c r="AY42" s="101" t="s">
        <v>394</v>
      </c>
      <c r="AZ42" s="71" t="s">
        <v>192</v>
      </c>
      <c r="BA42" s="77" t="s">
        <v>409</v>
      </c>
      <c r="BB42" s="130">
        <v>0</v>
      </c>
      <c r="BC42" s="72">
        <v>0</v>
      </c>
      <c r="BD42" s="73">
        <v>0</v>
      </c>
      <c r="BE42" s="77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74">
        <v>0</v>
      </c>
      <c r="BO42" s="77">
        <v>0</v>
      </c>
      <c r="BP42" s="28">
        <v>0</v>
      </c>
      <c r="BQ42" s="74">
        <v>0</v>
      </c>
      <c r="BR42" s="77">
        <v>0</v>
      </c>
      <c r="BS42" s="72">
        <v>0</v>
      </c>
      <c r="BT42" s="74">
        <v>0</v>
      </c>
      <c r="BU42" s="75">
        <v>40</v>
      </c>
    </row>
    <row r="43" spans="1:73">
      <c r="A43" s="101" t="s">
        <v>300</v>
      </c>
      <c r="B43" s="71" t="s">
        <v>186</v>
      </c>
      <c r="C43" s="71" t="s">
        <v>303</v>
      </c>
      <c r="D43" s="130">
        <v>0</v>
      </c>
      <c r="E43" s="72">
        <v>0</v>
      </c>
      <c r="F43" s="72">
        <v>0</v>
      </c>
      <c r="G43" s="77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74">
        <v>0</v>
      </c>
      <c r="Q43" s="77">
        <v>0</v>
      </c>
      <c r="R43" s="28">
        <v>0</v>
      </c>
      <c r="S43" s="74">
        <v>0</v>
      </c>
      <c r="T43" s="77">
        <v>0</v>
      </c>
      <c r="U43" s="72">
        <v>0</v>
      </c>
      <c r="V43" s="74">
        <v>0</v>
      </c>
      <c r="W43" s="75">
        <v>41</v>
      </c>
      <c r="Z43" s="101" t="s">
        <v>300</v>
      </c>
      <c r="AA43" s="71" t="s">
        <v>186</v>
      </c>
      <c r="AB43" s="77" t="s">
        <v>310</v>
      </c>
      <c r="AC43" s="130">
        <v>0</v>
      </c>
      <c r="AD43" s="72">
        <v>0</v>
      </c>
      <c r="AE43" s="73">
        <v>0</v>
      </c>
      <c r="AF43" s="77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74">
        <v>0</v>
      </c>
      <c r="AP43" s="77">
        <v>0</v>
      </c>
      <c r="AQ43" s="28">
        <v>0</v>
      </c>
      <c r="AR43" s="74">
        <v>0</v>
      </c>
      <c r="AS43" s="77">
        <v>0</v>
      </c>
      <c r="AT43" s="72">
        <v>0</v>
      </c>
      <c r="AU43" s="74">
        <v>0</v>
      </c>
      <c r="AV43" s="75">
        <v>41</v>
      </c>
      <c r="AY43" s="101" t="s">
        <v>394</v>
      </c>
      <c r="AZ43" s="71" t="s">
        <v>184</v>
      </c>
      <c r="BA43" s="77" t="s">
        <v>413</v>
      </c>
      <c r="BB43" s="130">
        <v>0</v>
      </c>
      <c r="BC43" s="72">
        <v>0</v>
      </c>
      <c r="BD43" s="73">
        <v>0</v>
      </c>
      <c r="BE43" s="77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74">
        <v>0</v>
      </c>
      <c r="BO43" s="77">
        <v>0</v>
      </c>
      <c r="BP43" s="28">
        <v>0</v>
      </c>
      <c r="BQ43" s="74">
        <v>0</v>
      </c>
      <c r="BR43" s="77">
        <v>0</v>
      </c>
      <c r="BS43" s="72">
        <v>0</v>
      </c>
      <c r="BT43" s="74">
        <v>0</v>
      </c>
      <c r="BU43" s="75">
        <v>41</v>
      </c>
    </row>
    <row r="44" spans="1:73">
      <c r="A44" s="101" t="s">
        <v>300</v>
      </c>
      <c r="B44" s="71" t="s">
        <v>184</v>
      </c>
      <c r="C44" s="71" t="s">
        <v>317</v>
      </c>
      <c r="D44" s="130">
        <v>0</v>
      </c>
      <c r="E44" s="72">
        <v>0</v>
      </c>
      <c r="F44" s="72">
        <v>0</v>
      </c>
      <c r="G44" s="77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74">
        <v>0</v>
      </c>
      <c r="Q44" s="77">
        <v>0</v>
      </c>
      <c r="R44" s="28">
        <v>0</v>
      </c>
      <c r="S44" s="74">
        <v>0</v>
      </c>
      <c r="T44" s="77">
        <v>0</v>
      </c>
      <c r="U44" s="72">
        <v>0</v>
      </c>
      <c r="V44" s="74">
        <v>0</v>
      </c>
      <c r="W44" s="75">
        <v>42</v>
      </c>
      <c r="Z44" s="101" t="s">
        <v>300</v>
      </c>
      <c r="AA44" s="71" t="s">
        <v>186</v>
      </c>
      <c r="AB44" s="77" t="s">
        <v>321</v>
      </c>
      <c r="AC44" s="130">
        <v>0</v>
      </c>
      <c r="AD44" s="72">
        <v>0</v>
      </c>
      <c r="AE44" s="73">
        <v>0</v>
      </c>
      <c r="AF44" s="77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74">
        <v>0</v>
      </c>
      <c r="AP44" s="77">
        <v>0</v>
      </c>
      <c r="AQ44" s="28">
        <v>0</v>
      </c>
      <c r="AR44" s="74">
        <v>0</v>
      </c>
      <c r="AS44" s="77">
        <v>0</v>
      </c>
      <c r="AT44" s="72">
        <v>0</v>
      </c>
      <c r="AU44" s="74">
        <v>0</v>
      </c>
      <c r="AV44" s="75">
        <v>42</v>
      </c>
      <c r="AY44" s="101" t="s">
        <v>394</v>
      </c>
      <c r="AZ44" s="71" t="s">
        <v>184</v>
      </c>
      <c r="BA44" s="77" t="s">
        <v>408</v>
      </c>
      <c r="BB44" s="130">
        <v>0</v>
      </c>
      <c r="BC44" s="72">
        <v>0</v>
      </c>
      <c r="BD44" s="73">
        <v>0</v>
      </c>
      <c r="BE44" s="77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74">
        <v>0</v>
      </c>
      <c r="BO44" s="77">
        <v>0</v>
      </c>
      <c r="BP44" s="28">
        <v>0</v>
      </c>
      <c r="BQ44" s="74">
        <v>0</v>
      </c>
      <c r="BR44" s="77">
        <v>0</v>
      </c>
      <c r="BS44" s="72">
        <v>0</v>
      </c>
      <c r="BT44" s="74">
        <v>0</v>
      </c>
      <c r="BU44" s="75">
        <v>42</v>
      </c>
    </row>
    <row r="45" spans="1:73">
      <c r="A45" s="101" t="s">
        <v>394</v>
      </c>
      <c r="B45" s="71" t="s">
        <v>179</v>
      </c>
      <c r="C45" s="71" t="s">
        <v>404</v>
      </c>
      <c r="D45" s="130">
        <v>7.6923076923076927E-2</v>
      </c>
      <c r="E45" s="72">
        <v>0.1111111111111111</v>
      </c>
      <c r="F45" s="72">
        <v>7.6923076923076927E-2</v>
      </c>
      <c r="G45" s="77">
        <v>7</v>
      </c>
      <c r="H45" s="28">
        <v>26</v>
      </c>
      <c r="I45" s="28">
        <v>0</v>
      </c>
      <c r="J45" s="28">
        <v>2</v>
      </c>
      <c r="K45" s="28">
        <v>0</v>
      </c>
      <c r="L45" s="28">
        <v>0</v>
      </c>
      <c r="M45" s="28">
        <v>0</v>
      </c>
      <c r="N45" s="28">
        <v>0</v>
      </c>
      <c r="O45" s="28">
        <v>1</v>
      </c>
      <c r="P45" s="74">
        <v>6</v>
      </c>
      <c r="Q45" s="77">
        <v>0</v>
      </c>
      <c r="R45" s="28">
        <v>1</v>
      </c>
      <c r="S45" s="74">
        <v>1</v>
      </c>
      <c r="T45" s="77">
        <v>2</v>
      </c>
      <c r="U45" s="72">
        <v>0.18803418803418803</v>
      </c>
      <c r="V45" s="74">
        <v>0</v>
      </c>
      <c r="W45" s="75">
        <v>43</v>
      </c>
      <c r="Z45" s="101" t="s">
        <v>394</v>
      </c>
      <c r="AA45" s="71" t="s">
        <v>179</v>
      </c>
      <c r="AB45" s="77" t="s">
        <v>404</v>
      </c>
      <c r="AC45" s="130">
        <v>0.33333333333333331</v>
      </c>
      <c r="AD45" s="72">
        <v>0.33333333333333331</v>
      </c>
      <c r="AE45" s="73">
        <v>0.66666666666666663</v>
      </c>
      <c r="AF45" s="77">
        <v>3</v>
      </c>
      <c r="AG45" s="28">
        <v>12</v>
      </c>
      <c r="AH45" s="28">
        <v>1</v>
      </c>
      <c r="AI45" s="28">
        <v>4</v>
      </c>
      <c r="AJ45" s="28">
        <v>1</v>
      </c>
      <c r="AK45" s="28">
        <v>0</v>
      </c>
      <c r="AL45" s="28">
        <v>1</v>
      </c>
      <c r="AM45" s="28">
        <v>2</v>
      </c>
      <c r="AN45" s="28">
        <v>0</v>
      </c>
      <c r="AO45" s="74">
        <v>4</v>
      </c>
      <c r="AP45" s="77">
        <v>0</v>
      </c>
      <c r="AQ45" s="28">
        <v>3</v>
      </c>
      <c r="AR45" s="74">
        <v>3</v>
      </c>
      <c r="AS45" s="77">
        <v>8</v>
      </c>
      <c r="AT45" s="72">
        <v>1</v>
      </c>
      <c r="AU45" s="74">
        <v>0</v>
      </c>
      <c r="AV45" s="75">
        <v>43</v>
      </c>
      <c r="AY45" s="101" t="s">
        <v>539</v>
      </c>
      <c r="AZ45" s="71" t="s">
        <v>179</v>
      </c>
      <c r="BA45" s="77" t="s">
        <v>547</v>
      </c>
      <c r="BB45" s="130">
        <v>0.2857142857142857</v>
      </c>
      <c r="BC45" s="72">
        <v>0.35483870967741937</v>
      </c>
      <c r="BD45" s="73">
        <v>0.5</v>
      </c>
      <c r="BE45" s="77">
        <v>8</v>
      </c>
      <c r="BF45" s="28">
        <v>28</v>
      </c>
      <c r="BG45" s="28">
        <v>4</v>
      </c>
      <c r="BH45" s="28">
        <v>8</v>
      </c>
      <c r="BI45" s="28">
        <v>3</v>
      </c>
      <c r="BJ45" s="28">
        <v>0</v>
      </c>
      <c r="BK45" s="28">
        <v>1</v>
      </c>
      <c r="BL45" s="28">
        <v>4</v>
      </c>
      <c r="BM45" s="28">
        <v>3</v>
      </c>
      <c r="BN45" s="74">
        <v>9</v>
      </c>
      <c r="BO45" s="77">
        <v>0</v>
      </c>
      <c r="BP45" s="28">
        <v>5</v>
      </c>
      <c r="BQ45" s="74">
        <v>5</v>
      </c>
      <c r="BR45" s="77">
        <v>14</v>
      </c>
      <c r="BS45" s="72">
        <v>0.85483870967741937</v>
      </c>
      <c r="BT45" s="74">
        <v>0</v>
      </c>
      <c r="BU45" s="75">
        <v>43</v>
      </c>
    </row>
    <row r="46" spans="1:73">
      <c r="A46" s="101" t="s">
        <v>394</v>
      </c>
      <c r="B46" s="345" t="s">
        <v>154</v>
      </c>
      <c r="C46" s="71" t="s">
        <v>399</v>
      </c>
      <c r="D46" s="130">
        <v>0.36666666666666664</v>
      </c>
      <c r="E46" s="72">
        <v>0.42424242424242425</v>
      </c>
      <c r="F46" s="594">
        <v>0.76666666666666672</v>
      </c>
      <c r="G46" s="77">
        <v>7</v>
      </c>
      <c r="H46" s="28">
        <v>30</v>
      </c>
      <c r="I46" s="28">
        <v>7</v>
      </c>
      <c r="J46" s="28">
        <v>11</v>
      </c>
      <c r="K46" s="28">
        <v>3</v>
      </c>
      <c r="L46" s="28">
        <v>0</v>
      </c>
      <c r="M46" s="28">
        <v>3</v>
      </c>
      <c r="N46" s="28">
        <v>7</v>
      </c>
      <c r="O46" s="28">
        <v>3</v>
      </c>
      <c r="P46" s="74">
        <v>6</v>
      </c>
      <c r="Q46" s="77">
        <v>2</v>
      </c>
      <c r="R46" s="28">
        <v>4</v>
      </c>
      <c r="S46" s="74">
        <v>4</v>
      </c>
      <c r="T46" s="77">
        <v>23</v>
      </c>
      <c r="U46" s="72">
        <v>1.1909090909090909</v>
      </c>
      <c r="V46" s="74">
        <v>2</v>
      </c>
      <c r="W46" s="75">
        <v>44</v>
      </c>
      <c r="Z46" s="101" t="s">
        <v>394</v>
      </c>
      <c r="AA46" s="71" t="s">
        <v>154</v>
      </c>
      <c r="AB46" s="77" t="s">
        <v>399</v>
      </c>
      <c r="AC46" s="130">
        <v>7.6923076923076927E-2</v>
      </c>
      <c r="AD46" s="72">
        <v>0.14285714285714285</v>
      </c>
      <c r="AE46" s="73">
        <v>7.6923076923076927E-2</v>
      </c>
      <c r="AF46" s="77">
        <v>3</v>
      </c>
      <c r="AG46" s="28">
        <v>13</v>
      </c>
      <c r="AH46" s="28">
        <v>1</v>
      </c>
      <c r="AI46" s="28">
        <v>1</v>
      </c>
      <c r="AJ46" s="28">
        <v>0</v>
      </c>
      <c r="AK46" s="28">
        <v>0</v>
      </c>
      <c r="AL46" s="28">
        <v>0</v>
      </c>
      <c r="AM46" s="28">
        <v>0</v>
      </c>
      <c r="AN46" s="28">
        <v>1</v>
      </c>
      <c r="AO46" s="74">
        <v>6</v>
      </c>
      <c r="AP46" s="77">
        <v>0</v>
      </c>
      <c r="AQ46" s="28">
        <v>1</v>
      </c>
      <c r="AR46" s="74">
        <v>1</v>
      </c>
      <c r="AS46" s="77">
        <v>1</v>
      </c>
      <c r="AT46" s="72">
        <v>0.21978021978021978</v>
      </c>
      <c r="AU46" s="74">
        <v>0</v>
      </c>
      <c r="AV46" s="75">
        <v>44</v>
      </c>
      <c r="AY46" s="101" t="s">
        <v>539</v>
      </c>
      <c r="AZ46" s="71" t="s">
        <v>154</v>
      </c>
      <c r="BA46" s="77" t="s">
        <v>548</v>
      </c>
      <c r="BB46" s="130">
        <v>0.20689655172413793</v>
      </c>
      <c r="BC46" s="72">
        <v>0.25806451612903225</v>
      </c>
      <c r="BD46" s="73">
        <v>0.27586206896551724</v>
      </c>
      <c r="BE46" s="77">
        <v>8</v>
      </c>
      <c r="BF46" s="28">
        <v>29</v>
      </c>
      <c r="BG46" s="28">
        <v>1</v>
      </c>
      <c r="BH46" s="28">
        <v>6</v>
      </c>
      <c r="BI46" s="28">
        <v>2</v>
      </c>
      <c r="BJ46" s="28">
        <v>0</v>
      </c>
      <c r="BK46" s="28">
        <v>0</v>
      </c>
      <c r="BL46" s="28">
        <v>2</v>
      </c>
      <c r="BM46" s="28">
        <v>2</v>
      </c>
      <c r="BN46" s="74">
        <v>7</v>
      </c>
      <c r="BO46" s="77">
        <v>0</v>
      </c>
      <c r="BP46" s="28">
        <v>1</v>
      </c>
      <c r="BQ46" s="74">
        <v>2</v>
      </c>
      <c r="BR46" s="77">
        <v>8</v>
      </c>
      <c r="BS46" s="72">
        <v>0.53392658509454949</v>
      </c>
      <c r="BT46" s="74">
        <v>0</v>
      </c>
      <c r="BU46" s="75">
        <v>44</v>
      </c>
    </row>
    <row r="47" spans="1:73">
      <c r="A47" s="101" t="s">
        <v>394</v>
      </c>
      <c r="B47" s="71" t="s">
        <v>172</v>
      </c>
      <c r="C47" s="71" t="s">
        <v>409</v>
      </c>
      <c r="D47" s="130">
        <v>0.12</v>
      </c>
      <c r="E47" s="72">
        <v>0.15384615384615385</v>
      </c>
      <c r="F47" s="72">
        <v>0.16</v>
      </c>
      <c r="G47" s="77">
        <v>7</v>
      </c>
      <c r="H47" s="28">
        <v>25</v>
      </c>
      <c r="I47" s="28">
        <v>2</v>
      </c>
      <c r="J47" s="28">
        <v>3</v>
      </c>
      <c r="K47" s="28">
        <v>1</v>
      </c>
      <c r="L47" s="28">
        <v>0</v>
      </c>
      <c r="M47" s="28">
        <v>0</v>
      </c>
      <c r="N47" s="28">
        <v>0</v>
      </c>
      <c r="O47" s="28">
        <v>1</v>
      </c>
      <c r="P47" s="74">
        <v>10</v>
      </c>
      <c r="Q47" s="77">
        <v>0</v>
      </c>
      <c r="R47" s="28">
        <v>3</v>
      </c>
      <c r="S47" s="74">
        <v>3</v>
      </c>
      <c r="T47" s="77">
        <v>4</v>
      </c>
      <c r="U47" s="72">
        <v>0.31384615384615389</v>
      </c>
      <c r="V47" s="74">
        <v>0</v>
      </c>
      <c r="W47" s="75">
        <v>45</v>
      </c>
      <c r="Z47" s="101" t="s">
        <v>394</v>
      </c>
      <c r="AA47" s="71" t="s">
        <v>172</v>
      </c>
      <c r="AB47" s="77" t="s">
        <v>406</v>
      </c>
      <c r="AC47" s="130">
        <v>0.3</v>
      </c>
      <c r="AD47" s="72">
        <v>0.36363636363636365</v>
      </c>
      <c r="AE47" s="73">
        <v>0.3</v>
      </c>
      <c r="AF47" s="77">
        <v>3</v>
      </c>
      <c r="AG47" s="28">
        <v>10</v>
      </c>
      <c r="AH47" s="28">
        <v>0</v>
      </c>
      <c r="AI47" s="28">
        <v>3</v>
      </c>
      <c r="AJ47" s="28">
        <v>0</v>
      </c>
      <c r="AK47" s="28">
        <v>0</v>
      </c>
      <c r="AL47" s="28">
        <v>0</v>
      </c>
      <c r="AM47" s="28">
        <v>0</v>
      </c>
      <c r="AN47" s="28">
        <v>1</v>
      </c>
      <c r="AO47" s="74">
        <v>2</v>
      </c>
      <c r="AP47" s="77">
        <v>0</v>
      </c>
      <c r="AQ47" s="28">
        <v>2</v>
      </c>
      <c r="AR47" s="74">
        <v>2</v>
      </c>
      <c r="AS47" s="77">
        <v>3</v>
      </c>
      <c r="AT47" s="72">
        <v>0.66363636363636358</v>
      </c>
      <c r="AU47" s="74">
        <v>0</v>
      </c>
      <c r="AV47" s="75">
        <v>45</v>
      </c>
      <c r="AY47" s="101" t="s">
        <v>539</v>
      </c>
      <c r="AZ47" s="71" t="s">
        <v>172</v>
      </c>
      <c r="BA47" s="77" t="s">
        <v>544</v>
      </c>
      <c r="BB47" s="130">
        <v>0.25714285714285712</v>
      </c>
      <c r="BC47" s="72">
        <v>0.31578947368421051</v>
      </c>
      <c r="BD47" s="73">
        <v>0.48571428571428571</v>
      </c>
      <c r="BE47" s="77">
        <v>8</v>
      </c>
      <c r="BF47" s="28">
        <v>35</v>
      </c>
      <c r="BG47" s="28">
        <v>6</v>
      </c>
      <c r="BH47" s="28">
        <v>9</v>
      </c>
      <c r="BI47" s="28">
        <v>2</v>
      </c>
      <c r="BJ47" s="28">
        <v>0</v>
      </c>
      <c r="BK47" s="28">
        <v>2</v>
      </c>
      <c r="BL47" s="28">
        <v>4</v>
      </c>
      <c r="BM47" s="28">
        <v>3</v>
      </c>
      <c r="BN47" s="74">
        <v>13</v>
      </c>
      <c r="BO47" s="77">
        <v>0</v>
      </c>
      <c r="BP47" s="28">
        <v>0</v>
      </c>
      <c r="BQ47" s="74">
        <v>3</v>
      </c>
      <c r="BR47" s="77">
        <v>17</v>
      </c>
      <c r="BS47" s="72">
        <v>0.80150375939849616</v>
      </c>
      <c r="BT47" s="74">
        <v>0</v>
      </c>
      <c r="BU47" s="75">
        <v>45</v>
      </c>
    </row>
    <row r="48" spans="1:73">
      <c r="A48" s="101" t="s">
        <v>394</v>
      </c>
      <c r="B48" s="71" t="s">
        <v>153</v>
      </c>
      <c r="C48" s="71" t="s">
        <v>402</v>
      </c>
      <c r="D48" s="130">
        <v>0.30769230769230771</v>
      </c>
      <c r="E48" s="72">
        <v>0.33333333333333331</v>
      </c>
      <c r="F48" s="72">
        <v>0.5</v>
      </c>
      <c r="G48" s="77">
        <v>7</v>
      </c>
      <c r="H48" s="28">
        <v>26</v>
      </c>
      <c r="I48" s="28">
        <v>2</v>
      </c>
      <c r="J48" s="28">
        <v>8</v>
      </c>
      <c r="K48" s="28">
        <v>2</v>
      </c>
      <c r="L48" s="28">
        <v>0</v>
      </c>
      <c r="M48" s="28">
        <v>1</v>
      </c>
      <c r="N48" s="28">
        <v>1</v>
      </c>
      <c r="O48" s="28">
        <v>1</v>
      </c>
      <c r="P48" s="74">
        <v>5</v>
      </c>
      <c r="Q48" s="77">
        <v>0</v>
      </c>
      <c r="R48" s="28">
        <v>1</v>
      </c>
      <c r="S48" s="74">
        <v>4</v>
      </c>
      <c r="T48" s="77">
        <v>13</v>
      </c>
      <c r="U48" s="72">
        <v>0.83333333333333326</v>
      </c>
      <c r="V48" s="74">
        <v>0</v>
      </c>
      <c r="W48" s="75">
        <v>46</v>
      </c>
      <c r="Z48" s="101" t="s">
        <v>394</v>
      </c>
      <c r="AA48" s="71" t="s">
        <v>153</v>
      </c>
      <c r="AB48" s="77" t="s">
        <v>402</v>
      </c>
      <c r="AC48" s="130">
        <v>0.25</v>
      </c>
      <c r="AD48" s="72">
        <v>0.25</v>
      </c>
      <c r="AE48" s="73">
        <v>0.25</v>
      </c>
      <c r="AF48" s="77">
        <v>3</v>
      </c>
      <c r="AG48" s="28">
        <v>12</v>
      </c>
      <c r="AH48" s="28">
        <v>0</v>
      </c>
      <c r="AI48" s="28">
        <v>3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74">
        <v>3</v>
      </c>
      <c r="AP48" s="77">
        <v>0</v>
      </c>
      <c r="AQ48" s="28">
        <v>3</v>
      </c>
      <c r="AR48" s="74">
        <v>3</v>
      </c>
      <c r="AS48" s="77">
        <v>3</v>
      </c>
      <c r="AT48" s="72">
        <v>0.5</v>
      </c>
      <c r="AU48" s="74">
        <v>0</v>
      </c>
      <c r="AV48" s="75">
        <v>46</v>
      </c>
      <c r="AY48" s="101" t="s">
        <v>539</v>
      </c>
      <c r="AZ48" s="71" t="s">
        <v>153</v>
      </c>
      <c r="BA48" s="77" t="s">
        <v>546</v>
      </c>
      <c r="BB48" s="130">
        <v>0.27586206896551724</v>
      </c>
      <c r="BC48" s="72">
        <v>0.32258064516129031</v>
      </c>
      <c r="BD48" s="73">
        <v>0.44827586206896552</v>
      </c>
      <c r="BE48" s="77">
        <v>8</v>
      </c>
      <c r="BF48" s="28">
        <v>29</v>
      </c>
      <c r="BG48" s="28">
        <v>2</v>
      </c>
      <c r="BH48" s="28">
        <v>8</v>
      </c>
      <c r="BI48" s="28">
        <v>2</v>
      </c>
      <c r="BJ48" s="28">
        <v>0</v>
      </c>
      <c r="BK48" s="28">
        <v>1</v>
      </c>
      <c r="BL48" s="28">
        <v>1</v>
      </c>
      <c r="BM48" s="28">
        <v>2</v>
      </c>
      <c r="BN48" s="74">
        <v>5</v>
      </c>
      <c r="BO48" s="77">
        <v>0</v>
      </c>
      <c r="BP48" s="28">
        <v>2</v>
      </c>
      <c r="BQ48" s="74">
        <v>2</v>
      </c>
      <c r="BR48" s="77">
        <v>13</v>
      </c>
      <c r="BS48" s="72">
        <v>0.77085650723025578</v>
      </c>
      <c r="BT48" s="74">
        <v>0</v>
      </c>
      <c r="BU48" s="75">
        <v>46</v>
      </c>
    </row>
    <row r="49" spans="1:73">
      <c r="A49" s="101" t="s">
        <v>394</v>
      </c>
      <c r="B49" s="71" t="s">
        <v>177</v>
      </c>
      <c r="C49" s="71" t="s">
        <v>401</v>
      </c>
      <c r="D49" s="130">
        <v>0.22580645161290322</v>
      </c>
      <c r="E49" s="72">
        <v>0.22580645161290322</v>
      </c>
      <c r="F49" s="72">
        <v>0.35483870967741937</v>
      </c>
      <c r="G49" s="77">
        <v>7</v>
      </c>
      <c r="H49" s="28">
        <v>31</v>
      </c>
      <c r="I49" s="28">
        <v>1</v>
      </c>
      <c r="J49" s="28">
        <v>7</v>
      </c>
      <c r="K49" s="28">
        <v>1</v>
      </c>
      <c r="L49" s="28">
        <v>0</v>
      </c>
      <c r="M49" s="28">
        <v>1</v>
      </c>
      <c r="N49" s="28">
        <v>6</v>
      </c>
      <c r="O49" s="28">
        <v>0</v>
      </c>
      <c r="P49" s="74">
        <v>8</v>
      </c>
      <c r="Q49" s="77">
        <v>0</v>
      </c>
      <c r="R49" s="28">
        <v>0</v>
      </c>
      <c r="S49" s="74">
        <v>5</v>
      </c>
      <c r="T49" s="77">
        <v>11</v>
      </c>
      <c r="U49" s="72">
        <v>0.58064516129032262</v>
      </c>
      <c r="V49" s="74">
        <v>1</v>
      </c>
      <c r="W49" s="75">
        <v>47</v>
      </c>
      <c r="Z49" s="101" t="s">
        <v>394</v>
      </c>
      <c r="AA49" s="71" t="s">
        <v>177</v>
      </c>
      <c r="AB49" s="77" t="s">
        <v>401</v>
      </c>
      <c r="AC49" s="130">
        <v>9.0909090909090912E-2</v>
      </c>
      <c r="AD49" s="72">
        <v>0.23076923076923078</v>
      </c>
      <c r="AE49" s="73">
        <v>9.0909090909090912E-2</v>
      </c>
      <c r="AF49" s="77">
        <v>3</v>
      </c>
      <c r="AG49" s="28">
        <v>11</v>
      </c>
      <c r="AH49" s="28">
        <v>1</v>
      </c>
      <c r="AI49" s="28">
        <v>1</v>
      </c>
      <c r="AJ49" s="28">
        <v>0</v>
      </c>
      <c r="AK49" s="28">
        <v>0</v>
      </c>
      <c r="AL49" s="28">
        <v>0</v>
      </c>
      <c r="AM49" s="28">
        <v>1</v>
      </c>
      <c r="AN49" s="28">
        <v>2</v>
      </c>
      <c r="AO49" s="74">
        <v>4</v>
      </c>
      <c r="AP49" s="77">
        <v>0</v>
      </c>
      <c r="AQ49" s="28">
        <v>0</v>
      </c>
      <c r="AR49" s="74">
        <v>1</v>
      </c>
      <c r="AS49" s="77">
        <v>1</v>
      </c>
      <c r="AT49" s="72">
        <v>0.32167832167832167</v>
      </c>
      <c r="AU49" s="74">
        <v>0</v>
      </c>
      <c r="AV49" s="75">
        <v>47</v>
      </c>
      <c r="AY49" s="101" t="s">
        <v>539</v>
      </c>
      <c r="AZ49" s="71" t="s">
        <v>177</v>
      </c>
      <c r="BA49" s="77" t="s">
        <v>542</v>
      </c>
      <c r="BB49" s="130">
        <v>0.29411764705882354</v>
      </c>
      <c r="BC49" s="72">
        <v>0.31428571428571428</v>
      </c>
      <c r="BD49" s="73">
        <v>0.44117647058823528</v>
      </c>
      <c r="BE49" s="77">
        <v>8</v>
      </c>
      <c r="BF49" s="28">
        <v>34</v>
      </c>
      <c r="BG49" s="28">
        <v>5</v>
      </c>
      <c r="BH49" s="28">
        <v>10</v>
      </c>
      <c r="BI49" s="28">
        <v>2</v>
      </c>
      <c r="BJ49" s="28">
        <v>0</v>
      </c>
      <c r="BK49" s="28">
        <v>1</v>
      </c>
      <c r="BL49" s="28">
        <v>5</v>
      </c>
      <c r="BM49" s="28">
        <v>1</v>
      </c>
      <c r="BN49" s="74">
        <v>12</v>
      </c>
      <c r="BO49" s="77">
        <v>0</v>
      </c>
      <c r="BP49" s="28">
        <v>8</v>
      </c>
      <c r="BQ49" s="74">
        <v>8</v>
      </c>
      <c r="BR49" s="77">
        <v>15</v>
      </c>
      <c r="BS49" s="72">
        <v>0.75546218487394956</v>
      </c>
      <c r="BT49" s="74">
        <v>1</v>
      </c>
      <c r="BU49" s="75">
        <v>47</v>
      </c>
    </row>
    <row r="50" spans="1:73">
      <c r="A50" s="101" t="s">
        <v>394</v>
      </c>
      <c r="B50" s="71" t="s">
        <v>174</v>
      </c>
      <c r="C50" s="71" t="s">
        <v>398</v>
      </c>
      <c r="D50" s="130">
        <v>0.37037037037037035</v>
      </c>
      <c r="E50" s="72">
        <v>0.39285714285714285</v>
      </c>
      <c r="F50" s="72">
        <v>0.48148148148148145</v>
      </c>
      <c r="G50" s="77">
        <v>7</v>
      </c>
      <c r="H50" s="28">
        <v>27</v>
      </c>
      <c r="I50" s="28">
        <v>2</v>
      </c>
      <c r="J50" s="28">
        <v>10</v>
      </c>
      <c r="K50" s="28">
        <v>0</v>
      </c>
      <c r="L50" s="28">
        <v>0</v>
      </c>
      <c r="M50" s="28">
        <v>1</v>
      </c>
      <c r="N50" s="28">
        <v>3</v>
      </c>
      <c r="O50" s="28">
        <v>1</v>
      </c>
      <c r="P50" s="74">
        <v>2</v>
      </c>
      <c r="Q50" s="77">
        <v>0</v>
      </c>
      <c r="R50" s="28">
        <v>4</v>
      </c>
      <c r="S50" s="74">
        <v>4</v>
      </c>
      <c r="T50" s="77">
        <v>13</v>
      </c>
      <c r="U50" s="72">
        <v>0.8743386243386243</v>
      </c>
      <c r="V50" s="74">
        <v>0</v>
      </c>
      <c r="W50" s="75">
        <v>48</v>
      </c>
      <c r="Z50" s="101" t="s">
        <v>394</v>
      </c>
      <c r="AA50" s="71" t="s">
        <v>174</v>
      </c>
      <c r="AB50" s="77" t="s">
        <v>403</v>
      </c>
      <c r="AC50" s="130">
        <v>0</v>
      </c>
      <c r="AD50" s="72">
        <v>0</v>
      </c>
      <c r="AE50" s="73">
        <v>0</v>
      </c>
      <c r="AF50" s="77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74">
        <v>0</v>
      </c>
      <c r="AP50" s="77">
        <v>0</v>
      </c>
      <c r="AQ50" s="28">
        <v>0</v>
      </c>
      <c r="AR50" s="74">
        <v>0</v>
      </c>
      <c r="AS50" s="77">
        <v>0</v>
      </c>
      <c r="AT50" s="72">
        <v>0</v>
      </c>
      <c r="AU50" s="74">
        <v>0</v>
      </c>
      <c r="AV50" s="75">
        <v>48</v>
      </c>
      <c r="AY50" s="101" t="s">
        <v>539</v>
      </c>
      <c r="AZ50" s="71" t="s">
        <v>174</v>
      </c>
      <c r="BA50" s="77" t="s">
        <v>541</v>
      </c>
      <c r="BB50" s="130">
        <v>0.21212121212121213</v>
      </c>
      <c r="BC50" s="72">
        <v>0.23529411764705882</v>
      </c>
      <c r="BD50" s="73">
        <v>0.36363636363636365</v>
      </c>
      <c r="BE50" s="77">
        <v>8</v>
      </c>
      <c r="BF50" s="28">
        <v>33</v>
      </c>
      <c r="BG50" s="28">
        <v>4</v>
      </c>
      <c r="BH50" s="28">
        <v>7</v>
      </c>
      <c r="BI50" s="28">
        <v>2</v>
      </c>
      <c r="BJ50" s="28">
        <v>0</v>
      </c>
      <c r="BK50" s="28">
        <v>1</v>
      </c>
      <c r="BL50" s="28">
        <v>4</v>
      </c>
      <c r="BM50" s="28">
        <v>1</v>
      </c>
      <c r="BN50" s="74">
        <v>14</v>
      </c>
      <c r="BO50" s="77">
        <v>0</v>
      </c>
      <c r="BP50" s="28">
        <v>0</v>
      </c>
      <c r="BQ50" s="74">
        <v>6</v>
      </c>
      <c r="BR50" s="77">
        <v>12</v>
      </c>
      <c r="BS50" s="72">
        <v>0.59893048128342241</v>
      </c>
      <c r="BT50" s="74">
        <v>1</v>
      </c>
      <c r="BU50" s="75">
        <v>48</v>
      </c>
    </row>
    <row r="51" spans="1:73">
      <c r="A51" s="101" t="s">
        <v>394</v>
      </c>
      <c r="B51" s="71" t="s">
        <v>181</v>
      </c>
      <c r="C51" s="71" t="s">
        <v>397</v>
      </c>
      <c r="D51" s="130">
        <v>0.25806451612903225</v>
      </c>
      <c r="E51" s="72">
        <v>0.30303030303030304</v>
      </c>
      <c r="F51" s="72">
        <v>0.29032258064516131</v>
      </c>
      <c r="G51" s="77">
        <v>7</v>
      </c>
      <c r="H51" s="28">
        <v>31</v>
      </c>
      <c r="I51" s="28">
        <v>5</v>
      </c>
      <c r="J51" s="28">
        <v>8</v>
      </c>
      <c r="K51" s="28">
        <v>1</v>
      </c>
      <c r="L51" s="28">
        <v>0</v>
      </c>
      <c r="M51" s="28">
        <v>0</v>
      </c>
      <c r="N51" s="28">
        <v>0</v>
      </c>
      <c r="O51" s="28">
        <v>2</v>
      </c>
      <c r="P51" s="74">
        <v>8</v>
      </c>
      <c r="Q51" s="77">
        <v>2</v>
      </c>
      <c r="R51" s="28">
        <v>0</v>
      </c>
      <c r="S51" s="74">
        <v>4</v>
      </c>
      <c r="T51" s="77">
        <v>9</v>
      </c>
      <c r="U51" s="72">
        <v>0.59335288367546435</v>
      </c>
      <c r="V51" s="74">
        <v>0</v>
      </c>
      <c r="W51" s="75">
        <v>49</v>
      </c>
      <c r="Z51" s="101" t="s">
        <v>394</v>
      </c>
      <c r="AA51" s="71" t="s">
        <v>383</v>
      </c>
      <c r="AB51" s="77" t="s">
        <v>397</v>
      </c>
      <c r="AC51" s="130">
        <v>0.30769230769230771</v>
      </c>
      <c r="AD51" s="72">
        <v>0.35714285714285715</v>
      </c>
      <c r="AE51" s="73">
        <v>0.46153846153846156</v>
      </c>
      <c r="AF51" s="77">
        <v>3</v>
      </c>
      <c r="AG51" s="28">
        <v>13</v>
      </c>
      <c r="AH51" s="28">
        <v>2</v>
      </c>
      <c r="AI51" s="28">
        <v>4</v>
      </c>
      <c r="AJ51" s="28">
        <v>2</v>
      </c>
      <c r="AK51" s="28">
        <v>0</v>
      </c>
      <c r="AL51" s="28">
        <v>0</v>
      </c>
      <c r="AM51" s="28">
        <v>0</v>
      </c>
      <c r="AN51" s="28">
        <v>1</v>
      </c>
      <c r="AO51" s="74">
        <v>5</v>
      </c>
      <c r="AP51" s="77">
        <v>0</v>
      </c>
      <c r="AQ51" s="28">
        <v>3</v>
      </c>
      <c r="AR51" s="74">
        <v>3</v>
      </c>
      <c r="AS51" s="77">
        <v>6</v>
      </c>
      <c r="AT51" s="72">
        <v>0.81868131868131866</v>
      </c>
      <c r="AU51" s="74">
        <v>0</v>
      </c>
      <c r="AV51" s="75">
        <v>49</v>
      </c>
      <c r="AY51" s="101" t="s">
        <v>539</v>
      </c>
      <c r="AZ51" s="71" t="s">
        <v>181</v>
      </c>
      <c r="BA51" s="77" t="s">
        <v>543</v>
      </c>
      <c r="BB51" s="130">
        <v>0.18181818181818182</v>
      </c>
      <c r="BC51" s="72">
        <v>0.25</v>
      </c>
      <c r="BD51" s="73">
        <v>0.36363636363636365</v>
      </c>
      <c r="BE51" s="77">
        <v>8</v>
      </c>
      <c r="BF51" s="28">
        <v>33</v>
      </c>
      <c r="BG51" s="28">
        <v>3</v>
      </c>
      <c r="BH51" s="28">
        <v>6</v>
      </c>
      <c r="BI51" s="28">
        <v>3</v>
      </c>
      <c r="BJ51" s="28">
        <v>0</v>
      </c>
      <c r="BK51" s="28">
        <v>1</v>
      </c>
      <c r="BL51" s="28">
        <v>3</v>
      </c>
      <c r="BM51" s="28">
        <v>3</v>
      </c>
      <c r="BN51" s="74">
        <v>15</v>
      </c>
      <c r="BO51" s="77">
        <v>0</v>
      </c>
      <c r="BP51" s="28">
        <v>0</v>
      </c>
      <c r="BQ51" s="74">
        <v>3</v>
      </c>
      <c r="BR51" s="77">
        <v>12</v>
      </c>
      <c r="BS51" s="72">
        <v>0.61363636363636365</v>
      </c>
      <c r="BT51" s="74">
        <v>1</v>
      </c>
      <c r="BU51" s="75">
        <v>49</v>
      </c>
    </row>
    <row r="52" spans="1:73">
      <c r="A52" s="101" t="s">
        <v>394</v>
      </c>
      <c r="B52" s="71" t="s">
        <v>166</v>
      </c>
      <c r="C52" s="71" t="s">
        <v>403</v>
      </c>
      <c r="D52" s="130">
        <v>0.41666666666666669</v>
      </c>
      <c r="E52" s="72">
        <v>0.5</v>
      </c>
      <c r="F52" s="72">
        <v>0.54166666666666663</v>
      </c>
      <c r="G52" s="77">
        <v>7</v>
      </c>
      <c r="H52" s="28">
        <v>24</v>
      </c>
      <c r="I52" s="28">
        <v>1</v>
      </c>
      <c r="J52" s="28">
        <v>10</v>
      </c>
      <c r="K52" s="28">
        <v>0</v>
      </c>
      <c r="L52" s="28">
        <v>0</v>
      </c>
      <c r="M52" s="28">
        <v>1</v>
      </c>
      <c r="N52" s="28">
        <v>5</v>
      </c>
      <c r="O52" s="28">
        <v>4</v>
      </c>
      <c r="P52" s="74">
        <v>5</v>
      </c>
      <c r="Q52" s="77">
        <v>0</v>
      </c>
      <c r="R52" s="28">
        <v>2</v>
      </c>
      <c r="S52" s="74">
        <v>2</v>
      </c>
      <c r="T52" s="77">
        <v>13</v>
      </c>
      <c r="U52" s="72">
        <v>1.0416666666666665</v>
      </c>
      <c r="V52" s="74">
        <v>1</v>
      </c>
      <c r="W52" s="75">
        <v>50</v>
      </c>
      <c r="Z52" s="101" t="s">
        <v>394</v>
      </c>
      <c r="AA52" s="71" t="s">
        <v>166</v>
      </c>
      <c r="AB52" s="77" t="s">
        <v>396</v>
      </c>
      <c r="AC52" s="130">
        <v>0.2</v>
      </c>
      <c r="AD52" s="72">
        <v>0.33333333333333331</v>
      </c>
      <c r="AE52" s="73">
        <v>0.3</v>
      </c>
      <c r="AF52" s="77">
        <v>3</v>
      </c>
      <c r="AG52" s="28">
        <v>10</v>
      </c>
      <c r="AH52" s="28">
        <v>0</v>
      </c>
      <c r="AI52" s="28">
        <v>2</v>
      </c>
      <c r="AJ52" s="28">
        <v>1</v>
      </c>
      <c r="AK52" s="28">
        <v>0</v>
      </c>
      <c r="AL52" s="28">
        <v>0</v>
      </c>
      <c r="AM52" s="28">
        <v>1</v>
      </c>
      <c r="AN52" s="28">
        <v>2</v>
      </c>
      <c r="AO52" s="74">
        <v>7</v>
      </c>
      <c r="AP52" s="77">
        <v>0</v>
      </c>
      <c r="AQ52" s="28">
        <v>0</v>
      </c>
      <c r="AR52" s="74">
        <v>1</v>
      </c>
      <c r="AS52" s="77">
        <v>3</v>
      </c>
      <c r="AT52" s="72">
        <v>0.6333333333333333</v>
      </c>
      <c r="AU52" s="74">
        <v>0</v>
      </c>
      <c r="AV52" s="75">
        <v>50</v>
      </c>
      <c r="AY52" s="101" t="s">
        <v>539</v>
      </c>
      <c r="AZ52" s="71" t="s">
        <v>166</v>
      </c>
      <c r="BA52" s="77" t="s">
        <v>550</v>
      </c>
      <c r="BB52" s="130">
        <v>0.2413793103448276</v>
      </c>
      <c r="BC52" s="72">
        <v>0.29032258064516131</v>
      </c>
      <c r="BD52" s="73">
        <v>0.31034482758620691</v>
      </c>
      <c r="BE52" s="77">
        <v>8</v>
      </c>
      <c r="BF52" s="28">
        <v>29</v>
      </c>
      <c r="BG52" s="28">
        <v>2</v>
      </c>
      <c r="BH52" s="28">
        <v>7</v>
      </c>
      <c r="BI52" s="28">
        <v>2</v>
      </c>
      <c r="BJ52" s="28">
        <v>0</v>
      </c>
      <c r="BK52" s="28">
        <v>0</v>
      </c>
      <c r="BL52" s="28">
        <v>6</v>
      </c>
      <c r="BM52" s="28">
        <v>2</v>
      </c>
      <c r="BN52" s="74">
        <v>8</v>
      </c>
      <c r="BO52" s="77">
        <v>0</v>
      </c>
      <c r="BP52" s="28">
        <v>1</v>
      </c>
      <c r="BQ52" s="74">
        <v>5</v>
      </c>
      <c r="BR52" s="77">
        <v>9</v>
      </c>
      <c r="BS52" s="72">
        <v>0.60066740823136822</v>
      </c>
      <c r="BT52" s="74">
        <v>1</v>
      </c>
      <c r="BU52" s="75">
        <v>50</v>
      </c>
    </row>
    <row r="53" spans="1:73">
      <c r="A53" s="101" t="s">
        <v>394</v>
      </c>
      <c r="B53" s="71" t="s">
        <v>168</v>
      </c>
      <c r="C53" s="71" t="s">
        <v>395</v>
      </c>
      <c r="D53" s="130">
        <v>0.25</v>
      </c>
      <c r="E53" s="72">
        <v>0.44444444444444442</v>
      </c>
      <c r="F53" s="72">
        <v>0.45</v>
      </c>
      <c r="G53" s="77">
        <v>7</v>
      </c>
      <c r="H53" s="28">
        <v>20</v>
      </c>
      <c r="I53" s="28">
        <v>4</v>
      </c>
      <c r="J53" s="28">
        <v>5</v>
      </c>
      <c r="K53" s="28">
        <v>1</v>
      </c>
      <c r="L53" s="28">
        <v>0</v>
      </c>
      <c r="M53" s="28">
        <v>1</v>
      </c>
      <c r="N53" s="28">
        <v>2</v>
      </c>
      <c r="O53" s="28">
        <v>7</v>
      </c>
      <c r="P53" s="74">
        <v>8</v>
      </c>
      <c r="Q53" s="77">
        <v>0</v>
      </c>
      <c r="R53" s="28">
        <v>5</v>
      </c>
      <c r="S53" s="74">
        <v>5</v>
      </c>
      <c r="T53" s="77">
        <v>9</v>
      </c>
      <c r="U53" s="72">
        <v>0.89444444444444438</v>
      </c>
      <c r="V53" s="74">
        <v>0</v>
      </c>
      <c r="W53" s="75">
        <v>51</v>
      </c>
      <c r="Z53" s="101" t="s">
        <v>394</v>
      </c>
      <c r="AA53" s="71" t="s">
        <v>168</v>
      </c>
      <c r="AB53" s="77" t="s">
        <v>395</v>
      </c>
      <c r="AC53" s="130">
        <v>0.36363636363636365</v>
      </c>
      <c r="AD53" s="72">
        <v>0.41666666666666669</v>
      </c>
      <c r="AE53" s="73">
        <v>0.90909090909090906</v>
      </c>
      <c r="AF53" s="77">
        <v>3</v>
      </c>
      <c r="AG53" s="28">
        <v>11</v>
      </c>
      <c r="AH53" s="28">
        <v>2</v>
      </c>
      <c r="AI53" s="28">
        <v>4</v>
      </c>
      <c r="AJ53" s="28">
        <v>0</v>
      </c>
      <c r="AK53" s="28">
        <v>0</v>
      </c>
      <c r="AL53" s="28">
        <v>2</v>
      </c>
      <c r="AM53" s="28">
        <v>4</v>
      </c>
      <c r="AN53" s="28">
        <v>1</v>
      </c>
      <c r="AO53" s="74">
        <v>2</v>
      </c>
      <c r="AP53" s="77">
        <v>0</v>
      </c>
      <c r="AQ53" s="28">
        <v>3</v>
      </c>
      <c r="AR53" s="74">
        <v>3</v>
      </c>
      <c r="AS53" s="77">
        <v>10</v>
      </c>
      <c r="AT53" s="72">
        <v>1.3257575757575757</v>
      </c>
      <c r="AU53" s="74">
        <v>0</v>
      </c>
      <c r="AV53" s="75">
        <v>51</v>
      </c>
      <c r="AY53" s="101" t="s">
        <v>539</v>
      </c>
      <c r="AZ53" s="71" t="s">
        <v>168</v>
      </c>
      <c r="BA53" s="77" t="s">
        <v>540</v>
      </c>
      <c r="BB53" s="130">
        <v>0.36666666666666664</v>
      </c>
      <c r="BC53" s="72">
        <v>0.45714285714285713</v>
      </c>
      <c r="BD53" s="73">
        <v>0.66666666666666663</v>
      </c>
      <c r="BE53" s="77">
        <v>8</v>
      </c>
      <c r="BF53" s="28">
        <v>30</v>
      </c>
      <c r="BG53" s="28">
        <v>5</v>
      </c>
      <c r="BH53" s="28">
        <v>11</v>
      </c>
      <c r="BI53" s="76">
        <v>6</v>
      </c>
      <c r="BJ53" s="28">
        <v>0</v>
      </c>
      <c r="BK53" s="28">
        <v>1</v>
      </c>
      <c r="BL53" s="28">
        <v>3</v>
      </c>
      <c r="BM53" s="28">
        <v>5</v>
      </c>
      <c r="BN53" s="74">
        <v>8</v>
      </c>
      <c r="BO53" s="77">
        <v>0</v>
      </c>
      <c r="BP53" s="28">
        <v>0</v>
      </c>
      <c r="BQ53" s="74">
        <v>6</v>
      </c>
      <c r="BR53" s="77">
        <v>20</v>
      </c>
      <c r="BS53" s="72">
        <v>1.1238095238095238</v>
      </c>
      <c r="BT53" s="74">
        <v>0</v>
      </c>
      <c r="BU53" s="75">
        <v>51</v>
      </c>
    </row>
    <row r="54" spans="1:73">
      <c r="A54" s="101" t="s">
        <v>394</v>
      </c>
      <c r="B54" s="71" t="s">
        <v>179</v>
      </c>
      <c r="C54" s="71" t="s">
        <v>411</v>
      </c>
      <c r="D54" s="130">
        <v>0</v>
      </c>
      <c r="E54" s="72">
        <v>0</v>
      </c>
      <c r="F54" s="72">
        <v>0</v>
      </c>
      <c r="G54" s="77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74">
        <v>0</v>
      </c>
      <c r="Q54" s="77">
        <v>0</v>
      </c>
      <c r="R54" s="28">
        <v>0</v>
      </c>
      <c r="S54" s="74">
        <v>0</v>
      </c>
      <c r="T54" s="77">
        <v>0</v>
      </c>
      <c r="U54" s="72">
        <v>0</v>
      </c>
      <c r="V54" s="74">
        <v>0</v>
      </c>
      <c r="W54" s="75">
        <v>52</v>
      </c>
      <c r="Z54" s="101" t="s">
        <v>394</v>
      </c>
      <c r="AA54" s="71" t="s">
        <v>308</v>
      </c>
      <c r="AB54" s="77" t="s">
        <v>411</v>
      </c>
      <c r="AC54" s="130">
        <v>0</v>
      </c>
      <c r="AD54" s="72">
        <v>0</v>
      </c>
      <c r="AE54" s="73">
        <v>0</v>
      </c>
      <c r="AF54" s="77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74">
        <v>0</v>
      </c>
      <c r="AP54" s="77">
        <v>0</v>
      </c>
      <c r="AQ54" s="28">
        <v>0</v>
      </c>
      <c r="AR54" s="74">
        <v>0</v>
      </c>
      <c r="AS54" s="77">
        <v>0</v>
      </c>
      <c r="AT54" s="72">
        <v>0</v>
      </c>
      <c r="AU54" s="74">
        <v>0</v>
      </c>
      <c r="AV54" s="75">
        <v>52</v>
      </c>
      <c r="AY54" s="101" t="s">
        <v>539</v>
      </c>
      <c r="AZ54" s="71" t="s">
        <v>179</v>
      </c>
      <c r="BA54" s="77" t="s">
        <v>553</v>
      </c>
      <c r="BB54" s="130">
        <v>0</v>
      </c>
      <c r="BC54" s="72">
        <v>0</v>
      </c>
      <c r="BD54" s="73">
        <v>0</v>
      </c>
      <c r="BE54" s="77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74">
        <v>0</v>
      </c>
      <c r="BO54" s="77">
        <v>0</v>
      </c>
      <c r="BP54" s="28">
        <v>0</v>
      </c>
      <c r="BQ54" s="74">
        <v>0</v>
      </c>
      <c r="BR54" s="77">
        <v>0</v>
      </c>
      <c r="BS54" s="72">
        <v>0</v>
      </c>
      <c r="BT54" s="74">
        <v>0</v>
      </c>
      <c r="BU54" s="75">
        <v>52</v>
      </c>
    </row>
    <row r="55" spans="1:73">
      <c r="A55" s="101" t="s">
        <v>394</v>
      </c>
      <c r="B55" s="71" t="s">
        <v>192</v>
      </c>
      <c r="C55" s="71" t="s">
        <v>407</v>
      </c>
      <c r="D55" s="130">
        <v>0</v>
      </c>
      <c r="E55" s="72">
        <v>0</v>
      </c>
      <c r="F55" s="72">
        <v>0</v>
      </c>
      <c r="G55" s="77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74">
        <v>0</v>
      </c>
      <c r="Q55" s="77">
        <v>0</v>
      </c>
      <c r="R55" s="28">
        <v>0</v>
      </c>
      <c r="S55" s="74">
        <v>0</v>
      </c>
      <c r="T55" s="77">
        <v>0</v>
      </c>
      <c r="U55" s="72">
        <v>0</v>
      </c>
      <c r="V55" s="74">
        <v>0</v>
      </c>
      <c r="W55" s="75">
        <v>53</v>
      </c>
      <c r="Z55" s="101" t="s">
        <v>394</v>
      </c>
      <c r="AA55" s="71" t="s">
        <v>187</v>
      </c>
      <c r="AB55" s="77" t="s">
        <v>409</v>
      </c>
      <c r="AC55" s="130">
        <v>0</v>
      </c>
      <c r="AD55" s="72">
        <v>0</v>
      </c>
      <c r="AE55" s="73">
        <v>0</v>
      </c>
      <c r="AF55" s="77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74">
        <v>0</v>
      </c>
      <c r="AP55" s="77">
        <v>0</v>
      </c>
      <c r="AQ55" s="28">
        <v>0</v>
      </c>
      <c r="AR55" s="74">
        <v>0</v>
      </c>
      <c r="AS55" s="77">
        <v>0</v>
      </c>
      <c r="AT55" s="72">
        <v>0</v>
      </c>
      <c r="AU55" s="74">
        <v>0</v>
      </c>
      <c r="AV55" s="75">
        <v>53</v>
      </c>
      <c r="AY55" s="101" t="s">
        <v>539</v>
      </c>
      <c r="AZ55" s="71" t="s">
        <v>192</v>
      </c>
      <c r="BA55" s="77" t="s">
        <v>555</v>
      </c>
      <c r="BB55" s="130">
        <v>0</v>
      </c>
      <c r="BC55" s="72">
        <v>0</v>
      </c>
      <c r="BD55" s="73">
        <v>0</v>
      </c>
      <c r="BE55" s="77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74">
        <v>0</v>
      </c>
      <c r="BO55" s="77">
        <v>0</v>
      </c>
      <c r="BP55" s="28">
        <v>0</v>
      </c>
      <c r="BQ55" s="74">
        <v>0</v>
      </c>
      <c r="BR55" s="77">
        <v>0</v>
      </c>
      <c r="BS55" s="72">
        <v>0</v>
      </c>
      <c r="BT55" s="74">
        <v>0</v>
      </c>
      <c r="BU55" s="75">
        <v>53</v>
      </c>
    </row>
    <row r="56" spans="1:73">
      <c r="A56" s="101" t="s">
        <v>394</v>
      </c>
      <c r="B56" s="71" t="s">
        <v>192</v>
      </c>
      <c r="C56" s="71" t="s">
        <v>412</v>
      </c>
      <c r="D56" s="130">
        <v>0</v>
      </c>
      <c r="E56" s="72">
        <v>0</v>
      </c>
      <c r="F56" s="72">
        <v>0</v>
      </c>
      <c r="G56" s="77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74">
        <v>0</v>
      </c>
      <c r="Q56" s="77">
        <v>0</v>
      </c>
      <c r="R56" s="28">
        <v>0</v>
      </c>
      <c r="S56" s="74">
        <v>0</v>
      </c>
      <c r="T56" s="77">
        <v>0</v>
      </c>
      <c r="U56" s="72">
        <v>0</v>
      </c>
      <c r="V56" s="74">
        <v>0</v>
      </c>
      <c r="W56" s="75">
        <v>54</v>
      </c>
      <c r="Z56" s="101" t="s">
        <v>394</v>
      </c>
      <c r="AA56" s="71" t="s">
        <v>187</v>
      </c>
      <c r="AB56" s="77" t="s">
        <v>405</v>
      </c>
      <c r="AC56" s="130">
        <v>0</v>
      </c>
      <c r="AD56" s="72">
        <v>0</v>
      </c>
      <c r="AE56" s="73">
        <v>0</v>
      </c>
      <c r="AF56" s="77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74">
        <v>0</v>
      </c>
      <c r="AP56" s="77">
        <v>0</v>
      </c>
      <c r="AQ56" s="28">
        <v>0</v>
      </c>
      <c r="AR56" s="74">
        <v>0</v>
      </c>
      <c r="AS56" s="77">
        <v>0</v>
      </c>
      <c r="AT56" s="72">
        <v>0</v>
      </c>
      <c r="AU56" s="74">
        <v>0</v>
      </c>
      <c r="AV56" s="75">
        <v>54</v>
      </c>
      <c r="AY56" s="101" t="s">
        <v>539</v>
      </c>
      <c r="AZ56" s="71" t="s">
        <v>192</v>
      </c>
      <c r="BA56" s="77" t="s">
        <v>551</v>
      </c>
      <c r="BB56" s="130">
        <v>0</v>
      </c>
      <c r="BC56" s="72">
        <v>0</v>
      </c>
      <c r="BD56" s="73">
        <v>0</v>
      </c>
      <c r="BE56" s="77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74">
        <v>0</v>
      </c>
      <c r="BO56" s="77">
        <v>0</v>
      </c>
      <c r="BP56" s="28">
        <v>0</v>
      </c>
      <c r="BQ56" s="74">
        <v>0</v>
      </c>
      <c r="BR56" s="77">
        <v>0</v>
      </c>
      <c r="BS56" s="72">
        <v>0</v>
      </c>
      <c r="BT56" s="74">
        <v>0</v>
      </c>
      <c r="BU56" s="75">
        <v>54</v>
      </c>
    </row>
    <row r="57" spans="1:73">
      <c r="A57" s="101" t="s">
        <v>394</v>
      </c>
      <c r="B57" s="71" t="s">
        <v>186</v>
      </c>
      <c r="C57" s="71" t="s">
        <v>396</v>
      </c>
      <c r="D57" s="130">
        <v>0</v>
      </c>
      <c r="E57" s="72">
        <v>0</v>
      </c>
      <c r="F57" s="72">
        <v>0</v>
      </c>
      <c r="G57" s="77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74">
        <v>0</v>
      </c>
      <c r="Q57" s="77">
        <v>0</v>
      </c>
      <c r="R57" s="28">
        <v>0</v>
      </c>
      <c r="S57" s="74">
        <v>0</v>
      </c>
      <c r="T57" s="77">
        <v>0</v>
      </c>
      <c r="U57" s="72">
        <v>0</v>
      </c>
      <c r="V57" s="74">
        <v>0</v>
      </c>
      <c r="W57" s="75">
        <v>55</v>
      </c>
      <c r="Z57" s="101" t="s">
        <v>394</v>
      </c>
      <c r="AA57" s="71" t="s">
        <v>186</v>
      </c>
      <c r="AB57" s="77" t="s">
        <v>400</v>
      </c>
      <c r="AC57" s="130">
        <v>9.0909090909090912E-2</v>
      </c>
      <c r="AD57" s="72">
        <v>0.16666666666666666</v>
      </c>
      <c r="AE57" s="73">
        <v>9.0909090909090912E-2</v>
      </c>
      <c r="AF57" s="77">
        <v>3</v>
      </c>
      <c r="AG57" s="28">
        <v>11</v>
      </c>
      <c r="AH57" s="28">
        <v>1</v>
      </c>
      <c r="AI57" s="28">
        <v>1</v>
      </c>
      <c r="AJ57" s="28">
        <v>0</v>
      </c>
      <c r="AK57" s="28">
        <v>0</v>
      </c>
      <c r="AL57" s="28">
        <v>0</v>
      </c>
      <c r="AM57" s="28">
        <v>0</v>
      </c>
      <c r="AN57" s="28">
        <v>1</v>
      </c>
      <c r="AO57" s="74">
        <v>4</v>
      </c>
      <c r="AP57" s="77">
        <v>0</v>
      </c>
      <c r="AQ57" s="28">
        <v>0</v>
      </c>
      <c r="AR57" s="74">
        <v>1</v>
      </c>
      <c r="AS57" s="77">
        <v>1</v>
      </c>
      <c r="AT57" s="72">
        <v>0.25757575757575757</v>
      </c>
      <c r="AU57" s="74">
        <v>0</v>
      </c>
      <c r="AV57" s="75">
        <v>55</v>
      </c>
      <c r="AY57" s="101" t="s">
        <v>539</v>
      </c>
      <c r="AZ57" s="71" t="s">
        <v>186</v>
      </c>
      <c r="BA57" s="77" t="s">
        <v>549</v>
      </c>
      <c r="BB57" s="130">
        <v>0</v>
      </c>
      <c r="BC57" s="72">
        <v>0</v>
      </c>
      <c r="BD57" s="73">
        <v>0</v>
      </c>
      <c r="BE57" s="77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  <c r="BK57" s="28">
        <v>0</v>
      </c>
      <c r="BL57" s="28">
        <v>0</v>
      </c>
      <c r="BM57" s="28">
        <v>0</v>
      </c>
      <c r="BN57" s="74">
        <v>0</v>
      </c>
      <c r="BO57" s="77">
        <v>0</v>
      </c>
      <c r="BP57" s="28">
        <v>0</v>
      </c>
      <c r="BQ57" s="74">
        <v>0</v>
      </c>
      <c r="BR57" s="77">
        <v>0</v>
      </c>
      <c r="BS57" s="72">
        <v>0</v>
      </c>
      <c r="BT57" s="74">
        <v>0</v>
      </c>
      <c r="BU57" s="75">
        <v>55</v>
      </c>
    </row>
    <row r="58" spans="1:73">
      <c r="A58" s="101" t="s">
        <v>394</v>
      </c>
      <c r="B58" s="71" t="s">
        <v>186</v>
      </c>
      <c r="C58" s="71" t="s">
        <v>400</v>
      </c>
      <c r="D58" s="130">
        <v>0</v>
      </c>
      <c r="E58" s="72">
        <v>0</v>
      </c>
      <c r="F58" s="72">
        <v>0</v>
      </c>
      <c r="G58" s="77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74">
        <v>0</v>
      </c>
      <c r="Q58" s="77">
        <v>0</v>
      </c>
      <c r="R58" s="28">
        <v>0</v>
      </c>
      <c r="S58" s="74">
        <v>0</v>
      </c>
      <c r="T58" s="77">
        <v>0</v>
      </c>
      <c r="U58" s="72">
        <v>0</v>
      </c>
      <c r="V58" s="74">
        <v>0</v>
      </c>
      <c r="W58" s="75">
        <v>56</v>
      </c>
      <c r="Z58" s="101" t="s">
        <v>394</v>
      </c>
      <c r="AA58" s="71" t="s">
        <v>186</v>
      </c>
      <c r="AB58" s="77" t="s">
        <v>408</v>
      </c>
      <c r="AC58" s="130">
        <v>0</v>
      </c>
      <c r="AD58" s="72">
        <v>0</v>
      </c>
      <c r="AE58" s="73">
        <v>0</v>
      </c>
      <c r="AF58" s="77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74">
        <v>0</v>
      </c>
      <c r="AP58" s="77">
        <v>0</v>
      </c>
      <c r="AQ58" s="28">
        <v>0</v>
      </c>
      <c r="AR58" s="74">
        <v>0</v>
      </c>
      <c r="AS58" s="77">
        <v>0</v>
      </c>
      <c r="AT58" s="72">
        <v>0</v>
      </c>
      <c r="AU58" s="74">
        <v>0</v>
      </c>
      <c r="AV58" s="75">
        <v>56</v>
      </c>
      <c r="AY58" s="101" t="s">
        <v>539</v>
      </c>
      <c r="AZ58" s="71" t="s">
        <v>184</v>
      </c>
      <c r="BA58" s="77" t="s">
        <v>552</v>
      </c>
      <c r="BB58" s="130">
        <v>0</v>
      </c>
      <c r="BC58" s="72">
        <v>0</v>
      </c>
      <c r="BD58" s="73">
        <v>0</v>
      </c>
      <c r="BE58" s="77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74">
        <v>0</v>
      </c>
      <c r="BO58" s="77">
        <v>0</v>
      </c>
      <c r="BP58" s="28">
        <v>0</v>
      </c>
      <c r="BQ58" s="74">
        <v>0</v>
      </c>
      <c r="BR58" s="77">
        <v>0</v>
      </c>
      <c r="BS58" s="72">
        <v>0</v>
      </c>
      <c r="BT58" s="74">
        <v>0</v>
      </c>
      <c r="BU58" s="75">
        <v>56</v>
      </c>
    </row>
    <row r="59" spans="1:73">
      <c r="A59" s="101" t="s">
        <v>580</v>
      </c>
      <c r="B59" s="71" t="s">
        <v>308</v>
      </c>
      <c r="C59" s="71" t="s">
        <v>587</v>
      </c>
      <c r="D59" s="130">
        <v>0.32558139534883723</v>
      </c>
      <c r="E59" s="72">
        <v>0.34090909090909088</v>
      </c>
      <c r="F59" s="72">
        <v>0.62790697674418605</v>
      </c>
      <c r="G59" s="77">
        <v>12</v>
      </c>
      <c r="H59" s="28">
        <v>43</v>
      </c>
      <c r="I59" s="28">
        <v>4</v>
      </c>
      <c r="J59" s="28">
        <v>14</v>
      </c>
      <c r="K59" s="28">
        <v>4</v>
      </c>
      <c r="L59" s="28">
        <v>0</v>
      </c>
      <c r="M59" s="28">
        <v>3</v>
      </c>
      <c r="N59" s="28">
        <v>8</v>
      </c>
      <c r="O59" s="28">
        <v>1</v>
      </c>
      <c r="P59" s="74">
        <v>8</v>
      </c>
      <c r="Q59" s="77">
        <v>0</v>
      </c>
      <c r="R59" s="28">
        <v>9</v>
      </c>
      <c r="S59" s="74">
        <v>9</v>
      </c>
      <c r="T59" s="77">
        <v>27</v>
      </c>
      <c r="U59" s="72">
        <v>0.96881606765327688</v>
      </c>
      <c r="V59" s="74">
        <v>1</v>
      </c>
      <c r="W59" s="75">
        <v>57</v>
      </c>
      <c r="Z59" s="101" t="s">
        <v>429</v>
      </c>
      <c r="AA59" s="71" t="s">
        <v>166</v>
      </c>
      <c r="AB59" s="77" t="s">
        <v>431</v>
      </c>
      <c r="AC59" s="130">
        <v>0.26470588235294118</v>
      </c>
      <c r="AD59" s="72">
        <v>0.34210526315789475</v>
      </c>
      <c r="AE59" s="73">
        <v>0.35294117647058826</v>
      </c>
      <c r="AF59" s="77">
        <v>8</v>
      </c>
      <c r="AG59" s="28">
        <v>34</v>
      </c>
      <c r="AH59" s="28">
        <v>1</v>
      </c>
      <c r="AI59" s="28">
        <v>9</v>
      </c>
      <c r="AJ59" s="28">
        <v>3</v>
      </c>
      <c r="AK59" s="28">
        <v>0</v>
      </c>
      <c r="AL59" s="28">
        <v>0</v>
      </c>
      <c r="AM59" s="28">
        <v>0</v>
      </c>
      <c r="AN59" s="28">
        <v>4</v>
      </c>
      <c r="AO59" s="74">
        <v>9</v>
      </c>
      <c r="AP59" s="77">
        <v>2</v>
      </c>
      <c r="AQ59" s="28">
        <v>1</v>
      </c>
      <c r="AR59" s="74">
        <v>5</v>
      </c>
      <c r="AS59" s="77">
        <v>12</v>
      </c>
      <c r="AT59" s="72">
        <v>0.695046439628483</v>
      </c>
      <c r="AU59" s="74">
        <v>0</v>
      </c>
      <c r="AV59" s="75">
        <v>57</v>
      </c>
      <c r="AY59" s="366" t="s">
        <v>580</v>
      </c>
      <c r="AZ59" s="71" t="s">
        <v>179</v>
      </c>
      <c r="BA59" s="77" t="s">
        <v>591</v>
      </c>
      <c r="BB59" s="130">
        <v>0.14893617021276595</v>
      </c>
      <c r="BC59" s="72">
        <v>0.21568627450980393</v>
      </c>
      <c r="BD59" s="73">
        <v>0.23404255319148937</v>
      </c>
      <c r="BE59" s="77">
        <v>14</v>
      </c>
      <c r="BF59" s="28">
        <v>47</v>
      </c>
      <c r="BG59" s="28">
        <v>3</v>
      </c>
      <c r="BH59" s="28">
        <v>7</v>
      </c>
      <c r="BI59" s="28">
        <v>1</v>
      </c>
      <c r="BJ59" s="28">
        <v>0</v>
      </c>
      <c r="BK59" s="28">
        <v>1</v>
      </c>
      <c r="BL59" s="28">
        <v>4</v>
      </c>
      <c r="BM59" s="28">
        <v>4</v>
      </c>
      <c r="BN59" s="74">
        <v>14</v>
      </c>
      <c r="BO59" s="77">
        <v>0</v>
      </c>
      <c r="BP59" s="28">
        <v>0</v>
      </c>
      <c r="BQ59" s="74">
        <v>2</v>
      </c>
      <c r="BR59" s="77">
        <v>11</v>
      </c>
      <c r="BS59" s="72">
        <v>0.4497288277012933</v>
      </c>
      <c r="BT59" s="74">
        <v>1</v>
      </c>
      <c r="BU59" s="75">
        <v>57</v>
      </c>
    </row>
    <row r="60" spans="1:73">
      <c r="A60" s="101" t="s">
        <v>580</v>
      </c>
      <c r="B60" s="71" t="s">
        <v>154</v>
      </c>
      <c r="C60" s="71" t="s">
        <v>582</v>
      </c>
      <c r="D60" s="130">
        <v>8.5106382978723402E-2</v>
      </c>
      <c r="E60" s="72">
        <v>0.15686274509803921</v>
      </c>
      <c r="F60" s="72">
        <v>0.1276595744680851</v>
      </c>
      <c r="G60" s="77">
        <v>12</v>
      </c>
      <c r="H60" s="28">
        <v>47</v>
      </c>
      <c r="I60" s="28">
        <v>1</v>
      </c>
      <c r="J60" s="28">
        <v>4</v>
      </c>
      <c r="K60" s="28">
        <v>2</v>
      </c>
      <c r="L60" s="28">
        <v>0</v>
      </c>
      <c r="M60" s="28">
        <v>0</v>
      </c>
      <c r="N60" s="28">
        <v>2</v>
      </c>
      <c r="O60" s="28">
        <v>4</v>
      </c>
      <c r="P60" s="74">
        <v>14</v>
      </c>
      <c r="Q60" s="77">
        <v>0</v>
      </c>
      <c r="R60" s="28">
        <v>1</v>
      </c>
      <c r="S60" s="74">
        <v>2</v>
      </c>
      <c r="T60" s="77">
        <v>6</v>
      </c>
      <c r="U60" s="72">
        <v>0.28452231956612428</v>
      </c>
      <c r="V60" s="74">
        <v>0</v>
      </c>
      <c r="W60" s="75">
        <v>58</v>
      </c>
      <c r="Z60" s="101" t="s">
        <v>429</v>
      </c>
      <c r="AA60" s="71" t="s">
        <v>179</v>
      </c>
      <c r="AB60" s="77" t="s">
        <v>436</v>
      </c>
      <c r="AC60" s="130">
        <v>0.2857142857142857</v>
      </c>
      <c r="AD60" s="72">
        <v>0.34210526315789475</v>
      </c>
      <c r="AE60" s="73">
        <v>0.37142857142857144</v>
      </c>
      <c r="AF60" s="77">
        <v>8</v>
      </c>
      <c r="AG60" s="28">
        <v>35</v>
      </c>
      <c r="AH60" s="28">
        <v>1</v>
      </c>
      <c r="AI60" s="28">
        <v>10</v>
      </c>
      <c r="AJ60" s="28">
        <v>3</v>
      </c>
      <c r="AK60" s="28">
        <v>0</v>
      </c>
      <c r="AL60" s="28">
        <v>0</v>
      </c>
      <c r="AM60" s="28">
        <v>4</v>
      </c>
      <c r="AN60" s="28">
        <v>3</v>
      </c>
      <c r="AO60" s="74">
        <v>6</v>
      </c>
      <c r="AP60" s="77">
        <v>0</v>
      </c>
      <c r="AQ60" s="28">
        <v>7</v>
      </c>
      <c r="AR60" s="74">
        <v>7</v>
      </c>
      <c r="AS60" s="77">
        <v>13</v>
      </c>
      <c r="AT60" s="72">
        <v>0.71353383458646613</v>
      </c>
      <c r="AU60" s="74">
        <v>1</v>
      </c>
      <c r="AV60" s="75">
        <v>58</v>
      </c>
      <c r="AY60" s="366" t="s">
        <v>580</v>
      </c>
      <c r="AZ60" s="71" t="s">
        <v>154</v>
      </c>
      <c r="BA60" s="77" t="s">
        <v>582</v>
      </c>
      <c r="BB60" s="130">
        <v>0.25</v>
      </c>
      <c r="BC60" s="72">
        <v>0.28813559322033899</v>
      </c>
      <c r="BD60" s="73">
        <v>0.375</v>
      </c>
      <c r="BE60" s="77">
        <v>14</v>
      </c>
      <c r="BF60" s="28">
        <v>56</v>
      </c>
      <c r="BG60" s="28">
        <v>5</v>
      </c>
      <c r="BH60" s="28">
        <v>14</v>
      </c>
      <c r="BI60" s="28">
        <v>1</v>
      </c>
      <c r="BJ60" s="28">
        <v>0</v>
      </c>
      <c r="BK60" s="28">
        <v>2</v>
      </c>
      <c r="BL60" s="28">
        <v>7</v>
      </c>
      <c r="BM60" s="28">
        <v>3</v>
      </c>
      <c r="BN60" s="74">
        <v>9</v>
      </c>
      <c r="BO60" s="77">
        <v>0</v>
      </c>
      <c r="BP60" s="28">
        <v>3</v>
      </c>
      <c r="BQ60" s="74">
        <v>4</v>
      </c>
      <c r="BR60" s="77">
        <v>21</v>
      </c>
      <c r="BS60" s="72">
        <v>0.66313559322033899</v>
      </c>
      <c r="BT60" s="74">
        <v>1</v>
      </c>
      <c r="BU60" s="75">
        <v>58</v>
      </c>
    </row>
    <row r="61" spans="1:73">
      <c r="A61" s="101" t="s">
        <v>580</v>
      </c>
      <c r="B61" s="71" t="s">
        <v>172</v>
      </c>
      <c r="C61" s="71" t="s">
        <v>588</v>
      </c>
      <c r="D61" s="130">
        <v>0.10869565217391304</v>
      </c>
      <c r="E61" s="72">
        <v>0.10869565217391304</v>
      </c>
      <c r="F61" s="72">
        <v>0.2391304347826087</v>
      </c>
      <c r="G61" s="77">
        <v>12</v>
      </c>
      <c r="H61" s="28">
        <v>46</v>
      </c>
      <c r="I61" s="28">
        <v>2</v>
      </c>
      <c r="J61" s="28">
        <v>5</v>
      </c>
      <c r="K61" s="28">
        <v>0</v>
      </c>
      <c r="L61" s="28">
        <v>0</v>
      </c>
      <c r="M61" s="28">
        <v>2</v>
      </c>
      <c r="N61" s="28">
        <v>4</v>
      </c>
      <c r="O61" s="28">
        <v>0</v>
      </c>
      <c r="P61" s="74">
        <v>21</v>
      </c>
      <c r="Q61" s="77">
        <v>0</v>
      </c>
      <c r="R61" s="28">
        <v>2</v>
      </c>
      <c r="S61" s="74">
        <v>2</v>
      </c>
      <c r="T61" s="77">
        <v>11</v>
      </c>
      <c r="U61" s="72">
        <v>0.34782608695652173</v>
      </c>
      <c r="V61" s="74">
        <v>1</v>
      </c>
      <c r="W61" s="75">
        <v>59</v>
      </c>
      <c r="Z61" s="101" t="s">
        <v>429</v>
      </c>
      <c r="AA61" s="71" t="s">
        <v>174</v>
      </c>
      <c r="AB61" s="77" t="s">
        <v>433</v>
      </c>
      <c r="AC61" s="130">
        <v>0.25806451612903225</v>
      </c>
      <c r="AD61" s="72">
        <v>0.3783783783783784</v>
      </c>
      <c r="AE61" s="73">
        <v>0.35483870967741937</v>
      </c>
      <c r="AF61" s="77">
        <v>8</v>
      </c>
      <c r="AG61" s="28">
        <v>31</v>
      </c>
      <c r="AH61" s="28">
        <v>4</v>
      </c>
      <c r="AI61" s="28">
        <v>8</v>
      </c>
      <c r="AJ61" s="28">
        <v>0</v>
      </c>
      <c r="AK61" s="28">
        <v>0</v>
      </c>
      <c r="AL61" s="28">
        <v>1</v>
      </c>
      <c r="AM61" s="28">
        <v>3</v>
      </c>
      <c r="AN61" s="28">
        <v>6</v>
      </c>
      <c r="AO61" s="74">
        <v>2</v>
      </c>
      <c r="AP61" s="77">
        <v>0</v>
      </c>
      <c r="AQ61" s="28">
        <v>0</v>
      </c>
      <c r="AR61" s="74">
        <v>3</v>
      </c>
      <c r="AS61" s="77">
        <v>11</v>
      </c>
      <c r="AT61" s="72">
        <v>0.73321708805579777</v>
      </c>
      <c r="AU61" s="74">
        <v>0</v>
      </c>
      <c r="AV61" s="75">
        <v>59</v>
      </c>
      <c r="AY61" s="366" t="s">
        <v>580</v>
      </c>
      <c r="AZ61" s="345" t="s">
        <v>172</v>
      </c>
      <c r="BA61" s="77" t="s">
        <v>432</v>
      </c>
      <c r="BB61" s="130">
        <v>0.31372549019607843</v>
      </c>
      <c r="BC61" s="72">
        <v>0.42622950819672129</v>
      </c>
      <c r="BD61" s="73">
        <v>0.47058823529411764</v>
      </c>
      <c r="BE61" s="77">
        <v>14</v>
      </c>
      <c r="BF61" s="28">
        <v>51</v>
      </c>
      <c r="BG61" s="28">
        <v>10</v>
      </c>
      <c r="BH61" s="28">
        <v>16</v>
      </c>
      <c r="BI61" s="28">
        <v>2</v>
      </c>
      <c r="BJ61" s="28">
        <v>0</v>
      </c>
      <c r="BK61" s="28">
        <v>2</v>
      </c>
      <c r="BL61" s="28">
        <v>10</v>
      </c>
      <c r="BM61" s="28">
        <v>10</v>
      </c>
      <c r="BN61" s="74">
        <v>13</v>
      </c>
      <c r="BO61" s="77">
        <v>0</v>
      </c>
      <c r="BP61" s="28">
        <v>0</v>
      </c>
      <c r="BQ61" s="74">
        <v>5</v>
      </c>
      <c r="BR61" s="77">
        <v>24</v>
      </c>
      <c r="BS61" s="72">
        <v>0.89681774349083887</v>
      </c>
      <c r="BT61" s="74">
        <v>2</v>
      </c>
      <c r="BU61" s="75">
        <v>59</v>
      </c>
    </row>
    <row r="62" spans="1:73">
      <c r="A62" s="101" t="s">
        <v>580</v>
      </c>
      <c r="B62" s="345" t="s">
        <v>153</v>
      </c>
      <c r="C62" s="71" t="s">
        <v>583</v>
      </c>
      <c r="D62" s="130">
        <v>0.3</v>
      </c>
      <c r="E62" s="72">
        <v>0.33962264150943394</v>
      </c>
      <c r="F62" s="72">
        <v>0.56000000000000005</v>
      </c>
      <c r="G62" s="77">
        <v>12</v>
      </c>
      <c r="H62" s="28">
        <v>50</v>
      </c>
      <c r="I62" s="28">
        <v>8</v>
      </c>
      <c r="J62" s="28">
        <v>15</v>
      </c>
      <c r="K62" s="28">
        <v>4</v>
      </c>
      <c r="L62" s="28">
        <v>0</v>
      </c>
      <c r="M62" s="28">
        <v>3</v>
      </c>
      <c r="N62" s="28">
        <v>5</v>
      </c>
      <c r="O62" s="28">
        <v>3</v>
      </c>
      <c r="P62" s="74">
        <v>8</v>
      </c>
      <c r="Q62" s="77">
        <v>2</v>
      </c>
      <c r="R62" s="28">
        <v>3</v>
      </c>
      <c r="S62" s="74">
        <v>6</v>
      </c>
      <c r="T62" s="77">
        <v>28</v>
      </c>
      <c r="U62" s="72">
        <v>0.89962264150943394</v>
      </c>
      <c r="V62" s="74">
        <v>1</v>
      </c>
      <c r="W62" s="75">
        <v>60</v>
      </c>
      <c r="Z62" s="101" t="s">
        <v>429</v>
      </c>
      <c r="AA62" s="71" t="s">
        <v>168</v>
      </c>
      <c r="AB62" s="77" t="s">
        <v>437</v>
      </c>
      <c r="AC62" s="130">
        <v>0.24242424242424243</v>
      </c>
      <c r="AD62" s="72">
        <v>0.32432432432432434</v>
      </c>
      <c r="AE62" s="73">
        <v>0.5757575757575758</v>
      </c>
      <c r="AF62" s="77">
        <v>8</v>
      </c>
      <c r="AG62" s="28">
        <v>33</v>
      </c>
      <c r="AH62" s="28">
        <v>4</v>
      </c>
      <c r="AI62" s="28">
        <v>8</v>
      </c>
      <c r="AJ62" s="28">
        <v>2</v>
      </c>
      <c r="AK62" s="28">
        <v>0</v>
      </c>
      <c r="AL62" s="28">
        <v>3</v>
      </c>
      <c r="AM62" s="28">
        <v>4</v>
      </c>
      <c r="AN62" s="28">
        <v>4</v>
      </c>
      <c r="AO62" s="74">
        <v>8</v>
      </c>
      <c r="AP62" s="77">
        <v>0</v>
      </c>
      <c r="AQ62" s="28">
        <v>5</v>
      </c>
      <c r="AR62" s="74">
        <v>5</v>
      </c>
      <c r="AS62" s="77">
        <v>19</v>
      </c>
      <c r="AT62" s="72">
        <v>0.90008190008190014</v>
      </c>
      <c r="AU62" s="74">
        <v>0</v>
      </c>
      <c r="AV62" s="75">
        <v>60</v>
      </c>
      <c r="AY62" s="366" t="s">
        <v>580</v>
      </c>
      <c r="AZ62" s="345" t="s">
        <v>153</v>
      </c>
      <c r="BA62" s="77" t="s">
        <v>583</v>
      </c>
      <c r="BB62" s="130">
        <v>0.32142857142857145</v>
      </c>
      <c r="BC62" s="72">
        <v>0.43283582089552236</v>
      </c>
      <c r="BD62" s="73">
        <v>0.5</v>
      </c>
      <c r="BE62" s="77">
        <v>14</v>
      </c>
      <c r="BF62" s="28">
        <v>56</v>
      </c>
      <c r="BG62" s="28">
        <v>8</v>
      </c>
      <c r="BH62" s="28">
        <v>18</v>
      </c>
      <c r="BI62" s="28">
        <v>4</v>
      </c>
      <c r="BJ62" s="28">
        <v>0</v>
      </c>
      <c r="BK62" s="28">
        <v>2</v>
      </c>
      <c r="BL62" s="28">
        <v>2</v>
      </c>
      <c r="BM62" s="28">
        <v>11</v>
      </c>
      <c r="BN62" s="74">
        <v>10</v>
      </c>
      <c r="BO62" s="77">
        <v>2</v>
      </c>
      <c r="BP62" s="28">
        <v>4</v>
      </c>
      <c r="BQ62" s="74">
        <v>4</v>
      </c>
      <c r="BR62" s="77">
        <v>28</v>
      </c>
      <c r="BS62" s="72">
        <v>0.93283582089552231</v>
      </c>
      <c r="BT62" s="74">
        <v>1</v>
      </c>
      <c r="BU62" s="75">
        <v>60</v>
      </c>
    </row>
    <row r="63" spans="1:73">
      <c r="A63" s="101" t="s">
        <v>580</v>
      </c>
      <c r="B63" s="71" t="s">
        <v>177</v>
      </c>
      <c r="C63" s="71" t="s">
        <v>584</v>
      </c>
      <c r="D63" s="130">
        <v>0.14893617021276595</v>
      </c>
      <c r="E63" s="72">
        <v>0.2</v>
      </c>
      <c r="F63" s="72">
        <v>0.25531914893617019</v>
      </c>
      <c r="G63" s="77">
        <v>12</v>
      </c>
      <c r="H63" s="28">
        <v>47</v>
      </c>
      <c r="I63" s="28">
        <v>2</v>
      </c>
      <c r="J63" s="28">
        <v>7</v>
      </c>
      <c r="K63" s="28">
        <v>2</v>
      </c>
      <c r="L63" s="28">
        <v>0</v>
      </c>
      <c r="M63" s="28">
        <v>1</v>
      </c>
      <c r="N63" s="28">
        <v>4</v>
      </c>
      <c r="O63" s="28">
        <v>3</v>
      </c>
      <c r="P63" s="74">
        <v>12</v>
      </c>
      <c r="Q63" s="77">
        <v>0</v>
      </c>
      <c r="R63" s="28">
        <v>0</v>
      </c>
      <c r="S63" s="74">
        <v>4</v>
      </c>
      <c r="T63" s="77">
        <v>12</v>
      </c>
      <c r="U63" s="72">
        <v>0.4553191489361702</v>
      </c>
      <c r="V63" s="74">
        <v>1</v>
      </c>
      <c r="W63" s="75">
        <v>61</v>
      </c>
      <c r="Z63" s="101" t="s">
        <v>429</v>
      </c>
      <c r="AA63" s="71" t="s">
        <v>172</v>
      </c>
      <c r="AB63" s="77" t="s">
        <v>432</v>
      </c>
      <c r="AC63" s="130">
        <v>0.21875</v>
      </c>
      <c r="AD63" s="72">
        <v>0.2857142857142857</v>
      </c>
      <c r="AE63" s="73">
        <v>0.25</v>
      </c>
      <c r="AF63" s="77">
        <v>8</v>
      </c>
      <c r="AG63" s="28">
        <v>32</v>
      </c>
      <c r="AH63" s="28">
        <v>3</v>
      </c>
      <c r="AI63" s="28">
        <v>7</v>
      </c>
      <c r="AJ63" s="28">
        <v>1</v>
      </c>
      <c r="AK63" s="28">
        <v>0</v>
      </c>
      <c r="AL63" s="28">
        <v>0</v>
      </c>
      <c r="AM63" s="28">
        <v>1</v>
      </c>
      <c r="AN63" s="28">
        <v>3</v>
      </c>
      <c r="AO63" s="74">
        <v>6</v>
      </c>
      <c r="AP63" s="77">
        <v>0</v>
      </c>
      <c r="AQ63" s="28">
        <v>7</v>
      </c>
      <c r="AR63" s="74">
        <v>7</v>
      </c>
      <c r="AS63" s="77">
        <v>8</v>
      </c>
      <c r="AT63" s="72">
        <v>0.5357142857142857</v>
      </c>
      <c r="AU63" s="74">
        <v>0</v>
      </c>
      <c r="AV63" s="75">
        <v>61</v>
      </c>
      <c r="AY63" s="366" t="s">
        <v>580</v>
      </c>
      <c r="AZ63" s="71" t="s">
        <v>177</v>
      </c>
      <c r="BA63" s="77" t="s">
        <v>584</v>
      </c>
      <c r="BB63" s="130">
        <v>0.22641509433962265</v>
      </c>
      <c r="BC63" s="72">
        <v>0.33870967741935482</v>
      </c>
      <c r="BD63" s="73">
        <v>0.41509433962264153</v>
      </c>
      <c r="BE63" s="77">
        <v>14</v>
      </c>
      <c r="BF63" s="28">
        <v>53</v>
      </c>
      <c r="BG63" s="28">
        <v>8</v>
      </c>
      <c r="BH63" s="28">
        <v>12</v>
      </c>
      <c r="BI63" s="28">
        <v>1</v>
      </c>
      <c r="BJ63" s="28">
        <v>0</v>
      </c>
      <c r="BK63" s="28">
        <v>3</v>
      </c>
      <c r="BL63" s="28">
        <v>8</v>
      </c>
      <c r="BM63" s="28">
        <v>9</v>
      </c>
      <c r="BN63" s="74">
        <v>10</v>
      </c>
      <c r="BO63" s="77">
        <v>0</v>
      </c>
      <c r="BP63" s="28">
        <v>0</v>
      </c>
      <c r="BQ63" s="74">
        <v>4</v>
      </c>
      <c r="BR63" s="77">
        <v>22</v>
      </c>
      <c r="BS63" s="72">
        <v>0.7538040170419964</v>
      </c>
      <c r="BT63" s="74">
        <v>1</v>
      </c>
      <c r="BU63" s="75">
        <v>61</v>
      </c>
    </row>
    <row r="64" spans="1:73">
      <c r="A64" s="101" t="s">
        <v>580</v>
      </c>
      <c r="B64" s="71" t="s">
        <v>174</v>
      </c>
      <c r="C64" s="71" t="s">
        <v>581</v>
      </c>
      <c r="D64" s="130">
        <v>0.2857142857142857</v>
      </c>
      <c r="E64" s="72">
        <v>0.4</v>
      </c>
      <c r="F64" s="72">
        <v>0.40476190476190477</v>
      </c>
      <c r="G64" s="77">
        <v>12</v>
      </c>
      <c r="H64" s="28">
        <v>42</v>
      </c>
      <c r="I64" s="28">
        <v>3</v>
      </c>
      <c r="J64" s="28">
        <v>12</v>
      </c>
      <c r="K64" s="28">
        <v>2</v>
      </c>
      <c r="L64" s="28">
        <v>0</v>
      </c>
      <c r="M64" s="28">
        <v>1</v>
      </c>
      <c r="N64" s="28">
        <v>2</v>
      </c>
      <c r="O64" s="28">
        <v>8</v>
      </c>
      <c r="P64" s="74">
        <v>12</v>
      </c>
      <c r="Q64" s="77">
        <v>0</v>
      </c>
      <c r="R64" s="28">
        <v>2</v>
      </c>
      <c r="S64" s="74">
        <v>4</v>
      </c>
      <c r="T64" s="77">
        <v>17</v>
      </c>
      <c r="U64" s="72">
        <v>0.80476190476190479</v>
      </c>
      <c r="V64" s="74">
        <v>0</v>
      </c>
      <c r="W64" s="75">
        <v>62</v>
      </c>
      <c r="Z64" s="101" t="s">
        <v>429</v>
      </c>
      <c r="AA64" s="71" t="s">
        <v>181</v>
      </c>
      <c r="AB64" s="77" t="s">
        <v>430</v>
      </c>
      <c r="AC64" s="130">
        <v>0.35483870967741937</v>
      </c>
      <c r="AD64" s="72">
        <v>0.41176470588235292</v>
      </c>
      <c r="AE64" s="73">
        <v>0.4838709677419355</v>
      </c>
      <c r="AF64" s="77">
        <v>8</v>
      </c>
      <c r="AG64" s="28">
        <v>31</v>
      </c>
      <c r="AH64" s="28">
        <v>7</v>
      </c>
      <c r="AI64" s="28">
        <v>11</v>
      </c>
      <c r="AJ64" s="28">
        <v>4</v>
      </c>
      <c r="AK64" s="28">
        <v>0</v>
      </c>
      <c r="AL64" s="28">
        <v>0</v>
      </c>
      <c r="AM64" s="28">
        <v>3</v>
      </c>
      <c r="AN64" s="28">
        <v>3</v>
      </c>
      <c r="AO64" s="74">
        <v>8</v>
      </c>
      <c r="AP64" s="77">
        <v>0</v>
      </c>
      <c r="AQ64" s="28">
        <v>0</v>
      </c>
      <c r="AR64" s="74">
        <v>5</v>
      </c>
      <c r="AS64" s="77">
        <v>15</v>
      </c>
      <c r="AT64" s="72">
        <v>0.89563567362428842</v>
      </c>
      <c r="AU64" s="74">
        <v>0</v>
      </c>
      <c r="AV64" s="75">
        <v>62</v>
      </c>
      <c r="AY64" s="366" t="s">
        <v>580</v>
      </c>
      <c r="AZ64" s="71" t="s">
        <v>174</v>
      </c>
      <c r="BA64" s="77" t="s">
        <v>398</v>
      </c>
      <c r="BB64" s="503">
        <v>0.40350877192982454</v>
      </c>
      <c r="BC64" s="72">
        <v>0.44262295081967212</v>
      </c>
      <c r="BD64" s="73">
        <v>0.47368421052631576</v>
      </c>
      <c r="BE64" s="77">
        <v>14</v>
      </c>
      <c r="BF64" s="28">
        <v>57</v>
      </c>
      <c r="BG64" s="28">
        <v>3</v>
      </c>
      <c r="BH64" s="76">
        <v>23</v>
      </c>
      <c r="BI64" s="28">
        <v>4</v>
      </c>
      <c r="BJ64" s="28">
        <v>0</v>
      </c>
      <c r="BK64" s="28">
        <v>0</v>
      </c>
      <c r="BL64" s="28">
        <v>3</v>
      </c>
      <c r="BM64" s="28">
        <v>4</v>
      </c>
      <c r="BN64" s="74">
        <v>10</v>
      </c>
      <c r="BO64" s="77">
        <v>0</v>
      </c>
      <c r="BP64" s="28">
        <v>4</v>
      </c>
      <c r="BQ64" s="104">
        <v>9</v>
      </c>
      <c r="BR64" s="77">
        <v>27</v>
      </c>
      <c r="BS64" s="72">
        <v>0.91630716134598789</v>
      </c>
      <c r="BT64" s="74">
        <v>0</v>
      </c>
      <c r="BU64" s="75">
        <v>62</v>
      </c>
    </row>
    <row r="65" spans="1:73">
      <c r="A65" s="101" t="s">
        <v>580</v>
      </c>
      <c r="B65" s="71" t="s">
        <v>383</v>
      </c>
      <c r="C65" s="71" t="s">
        <v>589</v>
      </c>
      <c r="D65" s="130">
        <v>0.15</v>
      </c>
      <c r="E65" s="72">
        <v>0.20930232558139536</v>
      </c>
      <c r="F65" s="72">
        <v>0.17499999999999999</v>
      </c>
      <c r="G65" s="77">
        <v>12</v>
      </c>
      <c r="H65" s="28">
        <v>40</v>
      </c>
      <c r="I65" s="28">
        <v>2</v>
      </c>
      <c r="J65" s="28">
        <v>6</v>
      </c>
      <c r="K65" s="28">
        <v>1</v>
      </c>
      <c r="L65" s="28">
        <v>0</v>
      </c>
      <c r="M65" s="28">
        <v>0</v>
      </c>
      <c r="N65" s="28">
        <v>0</v>
      </c>
      <c r="O65" s="28">
        <v>3</v>
      </c>
      <c r="P65" s="74">
        <v>7</v>
      </c>
      <c r="Q65" s="77">
        <v>0</v>
      </c>
      <c r="R65" s="28">
        <v>1</v>
      </c>
      <c r="S65" s="74">
        <v>3</v>
      </c>
      <c r="T65" s="77">
        <v>7</v>
      </c>
      <c r="U65" s="72">
        <v>0.38430232558139532</v>
      </c>
      <c r="V65" s="74">
        <v>0</v>
      </c>
      <c r="W65" s="75">
        <v>63</v>
      </c>
      <c r="Z65" s="101" t="s">
        <v>429</v>
      </c>
      <c r="AA65" s="71" t="s">
        <v>154</v>
      </c>
      <c r="AB65" s="77" t="s">
        <v>434</v>
      </c>
      <c r="AC65" s="130">
        <v>0.22222222222222221</v>
      </c>
      <c r="AD65" s="72">
        <v>0.36363636363636365</v>
      </c>
      <c r="AE65" s="73">
        <v>0.51851851851851849</v>
      </c>
      <c r="AF65" s="77">
        <v>8</v>
      </c>
      <c r="AG65" s="28">
        <v>27</v>
      </c>
      <c r="AH65" s="28">
        <v>5</v>
      </c>
      <c r="AI65" s="28">
        <v>6</v>
      </c>
      <c r="AJ65" s="28">
        <v>2</v>
      </c>
      <c r="AK65" s="28">
        <v>0</v>
      </c>
      <c r="AL65" s="28">
        <v>2</v>
      </c>
      <c r="AM65" s="28">
        <v>8</v>
      </c>
      <c r="AN65" s="28">
        <v>6</v>
      </c>
      <c r="AO65" s="74">
        <v>12</v>
      </c>
      <c r="AP65" s="77">
        <v>0</v>
      </c>
      <c r="AQ65" s="28">
        <v>0</v>
      </c>
      <c r="AR65" s="74">
        <v>3</v>
      </c>
      <c r="AS65" s="77">
        <v>14</v>
      </c>
      <c r="AT65" s="72">
        <v>0.88215488215488214</v>
      </c>
      <c r="AU65" s="74">
        <v>2</v>
      </c>
      <c r="AV65" s="75">
        <v>63</v>
      </c>
      <c r="AY65" s="366" t="s">
        <v>580</v>
      </c>
      <c r="AZ65" s="71" t="s">
        <v>181</v>
      </c>
      <c r="BA65" s="77" t="s">
        <v>586</v>
      </c>
      <c r="BB65" s="130">
        <v>0.28333333333333333</v>
      </c>
      <c r="BC65" s="72">
        <v>0.33846153846153848</v>
      </c>
      <c r="BD65" s="73">
        <v>0.46666666666666667</v>
      </c>
      <c r="BE65" s="77">
        <v>14</v>
      </c>
      <c r="BF65" s="28">
        <v>60</v>
      </c>
      <c r="BG65" s="28">
        <v>7</v>
      </c>
      <c r="BH65" s="28">
        <v>17</v>
      </c>
      <c r="BI65" s="28">
        <v>3</v>
      </c>
      <c r="BJ65" s="28">
        <v>1</v>
      </c>
      <c r="BK65" s="28">
        <v>2</v>
      </c>
      <c r="BL65" s="28">
        <v>6</v>
      </c>
      <c r="BM65" s="28">
        <v>5</v>
      </c>
      <c r="BN65" s="74">
        <v>10</v>
      </c>
      <c r="BO65" s="77">
        <v>0</v>
      </c>
      <c r="BP65" s="28">
        <v>4</v>
      </c>
      <c r="BQ65" s="74">
        <v>4</v>
      </c>
      <c r="BR65" s="77">
        <v>28</v>
      </c>
      <c r="BS65" s="72">
        <v>0.80512820512820515</v>
      </c>
      <c r="BT65" s="74">
        <v>1</v>
      </c>
      <c r="BU65" s="75">
        <v>63</v>
      </c>
    </row>
    <row r="66" spans="1:73">
      <c r="A66" s="101" t="s">
        <v>580</v>
      </c>
      <c r="B66" s="71" t="s">
        <v>166</v>
      </c>
      <c r="C66" s="71" t="s">
        <v>586</v>
      </c>
      <c r="D66" s="130">
        <v>0.34090909090909088</v>
      </c>
      <c r="E66" s="72">
        <v>0.40816326530612246</v>
      </c>
      <c r="F66" s="72">
        <v>0.52272727272727271</v>
      </c>
      <c r="G66" s="77">
        <v>12</v>
      </c>
      <c r="H66" s="28">
        <v>44</v>
      </c>
      <c r="I66" s="28">
        <v>7</v>
      </c>
      <c r="J66" s="28">
        <v>15</v>
      </c>
      <c r="K66" s="28">
        <v>5</v>
      </c>
      <c r="L66" s="28">
        <v>0</v>
      </c>
      <c r="M66" s="28">
        <v>1</v>
      </c>
      <c r="N66" s="28">
        <v>3</v>
      </c>
      <c r="O66" s="28">
        <v>5</v>
      </c>
      <c r="P66" s="74">
        <v>10</v>
      </c>
      <c r="Q66" s="77">
        <v>0</v>
      </c>
      <c r="R66" s="28">
        <v>2</v>
      </c>
      <c r="S66" s="74">
        <v>3</v>
      </c>
      <c r="T66" s="77">
        <v>23</v>
      </c>
      <c r="U66" s="72">
        <v>0.93089053803339517</v>
      </c>
      <c r="V66" s="74">
        <v>0</v>
      </c>
      <c r="W66" s="75">
        <v>64</v>
      </c>
      <c r="Z66" s="101" t="s">
        <v>429</v>
      </c>
      <c r="AA66" s="71" t="s">
        <v>177</v>
      </c>
      <c r="AB66" s="77" t="s">
        <v>439</v>
      </c>
      <c r="AC66" s="130">
        <v>0.2413793103448276</v>
      </c>
      <c r="AD66" s="72">
        <v>0.3125</v>
      </c>
      <c r="AE66" s="73">
        <v>0.55172413793103448</v>
      </c>
      <c r="AF66" s="77">
        <v>8</v>
      </c>
      <c r="AG66" s="28">
        <v>29</v>
      </c>
      <c r="AH66" s="28">
        <v>5</v>
      </c>
      <c r="AI66" s="28">
        <v>7</v>
      </c>
      <c r="AJ66" s="28">
        <v>0</v>
      </c>
      <c r="AK66" s="28">
        <v>0</v>
      </c>
      <c r="AL66" s="28">
        <v>3</v>
      </c>
      <c r="AM66" s="28">
        <v>8</v>
      </c>
      <c r="AN66" s="28">
        <v>3</v>
      </c>
      <c r="AO66" s="74">
        <v>12</v>
      </c>
      <c r="AP66" s="77">
        <v>0</v>
      </c>
      <c r="AQ66" s="28">
        <v>3</v>
      </c>
      <c r="AR66" s="74">
        <v>3</v>
      </c>
      <c r="AS66" s="77">
        <v>16</v>
      </c>
      <c r="AT66" s="72">
        <v>0.86422413793103448</v>
      </c>
      <c r="AU66" s="74">
        <v>1</v>
      </c>
      <c r="AV66" s="75">
        <v>64</v>
      </c>
      <c r="AY66" s="366" t="s">
        <v>580</v>
      </c>
      <c r="AZ66" s="71" t="s">
        <v>166</v>
      </c>
      <c r="BA66" s="77" t="s">
        <v>585</v>
      </c>
      <c r="BB66" s="130">
        <v>0.23636363636363636</v>
      </c>
      <c r="BC66" s="72">
        <v>0.3</v>
      </c>
      <c r="BD66" s="73">
        <v>0.45454545454545453</v>
      </c>
      <c r="BE66" s="77">
        <v>14</v>
      </c>
      <c r="BF66" s="28">
        <v>55</v>
      </c>
      <c r="BG66" s="28">
        <v>6</v>
      </c>
      <c r="BH66" s="28">
        <v>13</v>
      </c>
      <c r="BI66" s="28">
        <v>0</v>
      </c>
      <c r="BJ66" s="28">
        <v>0</v>
      </c>
      <c r="BK66" s="28">
        <v>4</v>
      </c>
      <c r="BL66" s="28">
        <v>8</v>
      </c>
      <c r="BM66" s="28">
        <v>5</v>
      </c>
      <c r="BN66" s="74">
        <v>18</v>
      </c>
      <c r="BO66" s="77">
        <v>0</v>
      </c>
      <c r="BP66" s="28">
        <v>0</v>
      </c>
      <c r="BQ66" s="74">
        <v>6</v>
      </c>
      <c r="BR66" s="77">
        <v>25</v>
      </c>
      <c r="BS66" s="72">
        <v>0.75454545454545452</v>
      </c>
      <c r="BT66" s="74">
        <v>1</v>
      </c>
      <c r="BU66" s="75">
        <v>64</v>
      </c>
    </row>
    <row r="67" spans="1:73">
      <c r="A67" s="101" t="s">
        <v>580</v>
      </c>
      <c r="B67" s="71" t="s">
        <v>168</v>
      </c>
      <c r="C67" s="71" t="s">
        <v>585</v>
      </c>
      <c r="D67" s="130">
        <v>0.27659574468085107</v>
      </c>
      <c r="E67" s="72">
        <v>0.29166666666666669</v>
      </c>
      <c r="F67" s="72">
        <v>0.36170212765957449</v>
      </c>
      <c r="G67" s="77">
        <v>12</v>
      </c>
      <c r="H67" s="28">
        <v>47</v>
      </c>
      <c r="I67" s="28">
        <v>4</v>
      </c>
      <c r="J67" s="28">
        <v>13</v>
      </c>
      <c r="K67" s="28">
        <v>4</v>
      </c>
      <c r="L67" s="28">
        <v>0</v>
      </c>
      <c r="M67" s="28">
        <v>0</v>
      </c>
      <c r="N67" s="28">
        <v>5</v>
      </c>
      <c r="O67" s="28">
        <v>1</v>
      </c>
      <c r="P67" s="74">
        <v>13</v>
      </c>
      <c r="Q67" s="77">
        <v>0</v>
      </c>
      <c r="R67" s="28">
        <v>3</v>
      </c>
      <c r="S67" s="74">
        <v>4</v>
      </c>
      <c r="T67" s="77">
        <v>17</v>
      </c>
      <c r="U67" s="72">
        <v>0.65336879432624118</v>
      </c>
      <c r="V67" s="74">
        <v>2</v>
      </c>
      <c r="W67" s="75">
        <v>65</v>
      </c>
      <c r="Z67" s="101" t="s">
        <v>429</v>
      </c>
      <c r="AA67" s="71" t="s">
        <v>153</v>
      </c>
      <c r="AB67" s="77" t="s">
        <v>435</v>
      </c>
      <c r="AC67" s="130">
        <v>0.33333333333333331</v>
      </c>
      <c r="AD67" s="72">
        <v>0.35483870967741937</v>
      </c>
      <c r="AE67" s="73">
        <v>0.7</v>
      </c>
      <c r="AF67" s="77">
        <v>8</v>
      </c>
      <c r="AG67" s="28">
        <v>30</v>
      </c>
      <c r="AH67" s="28">
        <v>6</v>
      </c>
      <c r="AI67" s="28">
        <v>10</v>
      </c>
      <c r="AJ67" s="28">
        <v>2</v>
      </c>
      <c r="AK67" s="28">
        <v>0</v>
      </c>
      <c r="AL67" s="28">
        <v>3</v>
      </c>
      <c r="AM67" s="28">
        <v>5</v>
      </c>
      <c r="AN67" s="28">
        <v>1</v>
      </c>
      <c r="AO67" s="74">
        <v>9</v>
      </c>
      <c r="AP67" s="77">
        <v>0</v>
      </c>
      <c r="AQ67" s="28">
        <v>4</v>
      </c>
      <c r="AR67" s="74">
        <v>4</v>
      </c>
      <c r="AS67" s="77">
        <v>21</v>
      </c>
      <c r="AT67" s="72">
        <v>1.0548387096774192</v>
      </c>
      <c r="AU67" s="74">
        <v>0</v>
      </c>
      <c r="AV67" s="75">
        <v>65</v>
      </c>
      <c r="AY67" s="366" t="s">
        <v>580</v>
      </c>
      <c r="AZ67" s="71" t="s">
        <v>168</v>
      </c>
      <c r="BA67" s="77" t="s">
        <v>581</v>
      </c>
      <c r="BB67" s="130">
        <v>0.23636363636363636</v>
      </c>
      <c r="BC67" s="72">
        <v>0.31147540983606559</v>
      </c>
      <c r="BD67" s="73">
        <v>0.41818181818181815</v>
      </c>
      <c r="BE67" s="77">
        <v>14</v>
      </c>
      <c r="BF67" s="28">
        <v>55</v>
      </c>
      <c r="BG67" s="28">
        <v>8</v>
      </c>
      <c r="BH67" s="28">
        <v>13</v>
      </c>
      <c r="BI67" s="28">
        <v>4</v>
      </c>
      <c r="BJ67" s="28">
        <v>0</v>
      </c>
      <c r="BK67" s="28">
        <v>2</v>
      </c>
      <c r="BL67" s="28">
        <v>8</v>
      </c>
      <c r="BM67" s="28">
        <v>6</v>
      </c>
      <c r="BN67" s="74">
        <v>22</v>
      </c>
      <c r="BO67" s="77">
        <v>0</v>
      </c>
      <c r="BP67" s="28">
        <v>1</v>
      </c>
      <c r="BQ67" s="74">
        <v>5</v>
      </c>
      <c r="BR67" s="77">
        <v>23</v>
      </c>
      <c r="BS67" s="72">
        <v>0.72965722801788369</v>
      </c>
      <c r="BT67" s="74">
        <v>0</v>
      </c>
      <c r="BU67" s="75">
        <v>65</v>
      </c>
    </row>
    <row r="68" spans="1:73">
      <c r="A68" s="101" t="s">
        <v>580</v>
      </c>
      <c r="B68" s="71" t="s">
        <v>179</v>
      </c>
      <c r="C68" s="71" t="s">
        <v>590</v>
      </c>
      <c r="D68" s="130">
        <v>0</v>
      </c>
      <c r="E68" s="72">
        <v>0</v>
      </c>
      <c r="F68" s="72">
        <v>0</v>
      </c>
      <c r="G68" s="77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74">
        <v>0</v>
      </c>
      <c r="Q68" s="77">
        <v>0</v>
      </c>
      <c r="R68" s="28">
        <v>0</v>
      </c>
      <c r="S68" s="74">
        <v>0</v>
      </c>
      <c r="T68" s="77">
        <v>0</v>
      </c>
      <c r="U68" s="72">
        <v>0</v>
      </c>
      <c r="V68" s="74">
        <v>0</v>
      </c>
      <c r="W68" s="75">
        <v>66</v>
      </c>
      <c r="Z68" s="101" t="s">
        <v>429</v>
      </c>
      <c r="AA68" s="71" t="s">
        <v>179</v>
      </c>
      <c r="AB68" s="77" t="s">
        <v>442</v>
      </c>
      <c r="AC68" s="130">
        <v>0</v>
      </c>
      <c r="AD68" s="72">
        <v>0</v>
      </c>
      <c r="AE68" s="73">
        <v>0</v>
      </c>
      <c r="AF68" s="77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74">
        <v>0</v>
      </c>
      <c r="AP68" s="77">
        <v>0</v>
      </c>
      <c r="AQ68" s="28">
        <v>0</v>
      </c>
      <c r="AR68" s="74">
        <v>0</v>
      </c>
      <c r="AS68" s="77">
        <v>0</v>
      </c>
      <c r="AT68" s="72">
        <v>0</v>
      </c>
      <c r="AU68" s="74">
        <v>0</v>
      </c>
      <c r="AV68" s="75">
        <v>66</v>
      </c>
      <c r="AY68" s="366" t="s">
        <v>580</v>
      </c>
      <c r="AZ68" s="71" t="s">
        <v>179</v>
      </c>
      <c r="BA68" s="77" t="s">
        <v>590</v>
      </c>
      <c r="BB68" s="130">
        <v>0</v>
      </c>
      <c r="BC68" s="72">
        <v>0</v>
      </c>
      <c r="BD68" s="73">
        <v>0</v>
      </c>
      <c r="BE68" s="77">
        <v>1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74">
        <v>0</v>
      </c>
      <c r="BO68" s="77">
        <v>0</v>
      </c>
      <c r="BP68" s="28">
        <v>0</v>
      </c>
      <c r="BQ68" s="74">
        <v>0</v>
      </c>
      <c r="BR68" s="77">
        <v>0</v>
      </c>
      <c r="BS68" s="72">
        <v>0</v>
      </c>
      <c r="BT68" s="74">
        <v>0</v>
      </c>
      <c r="BU68" s="75">
        <v>66</v>
      </c>
    </row>
    <row r="69" spans="1:73">
      <c r="A69" s="101" t="s">
        <v>580</v>
      </c>
      <c r="B69" s="71" t="s">
        <v>192</v>
      </c>
      <c r="C69" s="71" t="s">
        <v>595</v>
      </c>
      <c r="D69" s="130">
        <v>0</v>
      </c>
      <c r="E69" s="72">
        <v>0</v>
      </c>
      <c r="F69" s="72">
        <v>0</v>
      </c>
      <c r="G69" s="77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74">
        <v>0</v>
      </c>
      <c r="Q69" s="77">
        <v>0</v>
      </c>
      <c r="R69" s="28">
        <v>0</v>
      </c>
      <c r="S69" s="74">
        <v>0</v>
      </c>
      <c r="T69" s="77">
        <v>0</v>
      </c>
      <c r="U69" s="72">
        <v>0</v>
      </c>
      <c r="V69" s="74">
        <v>0</v>
      </c>
      <c r="W69" s="75">
        <v>67</v>
      </c>
      <c r="Z69" s="101" t="s">
        <v>429</v>
      </c>
      <c r="AA69" s="71" t="s">
        <v>187</v>
      </c>
      <c r="AB69" s="77" t="s">
        <v>444</v>
      </c>
      <c r="AC69" s="130">
        <v>0</v>
      </c>
      <c r="AD69" s="72">
        <v>0</v>
      </c>
      <c r="AE69" s="73">
        <v>0</v>
      </c>
      <c r="AF69" s="77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74">
        <v>0</v>
      </c>
      <c r="AP69" s="77">
        <v>0</v>
      </c>
      <c r="AQ69" s="28">
        <v>0</v>
      </c>
      <c r="AR69" s="74">
        <v>0</v>
      </c>
      <c r="AS69" s="77">
        <v>0</v>
      </c>
      <c r="AT69" s="72">
        <v>0</v>
      </c>
      <c r="AU69" s="74">
        <v>0</v>
      </c>
      <c r="AV69" s="75">
        <v>67</v>
      </c>
      <c r="AY69" s="366" t="s">
        <v>580</v>
      </c>
      <c r="AZ69" s="71" t="s">
        <v>192</v>
      </c>
      <c r="BA69" s="77" t="s">
        <v>588</v>
      </c>
      <c r="BB69" s="130">
        <v>0</v>
      </c>
      <c r="BC69" s="72">
        <v>0</v>
      </c>
      <c r="BD69" s="73">
        <v>0</v>
      </c>
      <c r="BE69" s="77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74">
        <v>0</v>
      </c>
      <c r="BO69" s="77">
        <v>0</v>
      </c>
      <c r="BP69" s="28">
        <v>0</v>
      </c>
      <c r="BQ69" s="74">
        <v>0</v>
      </c>
      <c r="BR69" s="77">
        <v>0</v>
      </c>
      <c r="BS69" s="72">
        <v>0</v>
      </c>
      <c r="BT69" s="74">
        <v>0</v>
      </c>
      <c r="BU69" s="75">
        <v>67</v>
      </c>
    </row>
    <row r="70" spans="1:73">
      <c r="A70" s="101" t="s">
        <v>580</v>
      </c>
      <c r="B70" s="71" t="s">
        <v>187</v>
      </c>
      <c r="C70" s="71" t="s">
        <v>592</v>
      </c>
      <c r="D70" s="130">
        <v>0</v>
      </c>
      <c r="E70" s="72">
        <v>0</v>
      </c>
      <c r="F70" s="72">
        <v>0</v>
      </c>
      <c r="G70" s="77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74">
        <v>0</v>
      </c>
      <c r="Q70" s="77">
        <v>0</v>
      </c>
      <c r="R70" s="28">
        <v>0</v>
      </c>
      <c r="S70" s="74">
        <v>0</v>
      </c>
      <c r="T70" s="77">
        <v>0</v>
      </c>
      <c r="U70" s="72">
        <v>0</v>
      </c>
      <c r="V70" s="74">
        <v>0</v>
      </c>
      <c r="W70" s="75">
        <v>68</v>
      </c>
      <c r="Z70" s="101" t="s">
        <v>429</v>
      </c>
      <c r="AA70" s="71" t="s">
        <v>187</v>
      </c>
      <c r="AB70" s="77" t="s">
        <v>443</v>
      </c>
      <c r="AC70" s="130">
        <v>0</v>
      </c>
      <c r="AD70" s="72">
        <v>0</v>
      </c>
      <c r="AE70" s="73">
        <v>0</v>
      </c>
      <c r="AF70" s="77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74">
        <v>0</v>
      </c>
      <c r="AP70" s="77">
        <v>0</v>
      </c>
      <c r="AQ70" s="28">
        <v>0</v>
      </c>
      <c r="AR70" s="74">
        <v>0</v>
      </c>
      <c r="AS70" s="77">
        <v>0</v>
      </c>
      <c r="AT70" s="72">
        <v>0</v>
      </c>
      <c r="AU70" s="74">
        <v>0</v>
      </c>
      <c r="AV70" s="75">
        <v>68</v>
      </c>
      <c r="AY70" s="366" t="s">
        <v>580</v>
      </c>
      <c r="AZ70" s="71" t="s">
        <v>187</v>
      </c>
      <c r="BA70" s="77" t="s">
        <v>592</v>
      </c>
      <c r="BB70" s="130">
        <v>0</v>
      </c>
      <c r="BC70" s="72">
        <v>0</v>
      </c>
      <c r="BD70" s="73">
        <v>0</v>
      </c>
      <c r="BE70" s="77">
        <v>4</v>
      </c>
      <c r="BF70" s="28">
        <v>4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1</v>
      </c>
      <c r="BM70" s="28">
        <v>0</v>
      </c>
      <c r="BN70" s="74">
        <v>1</v>
      </c>
      <c r="BO70" s="77">
        <v>0</v>
      </c>
      <c r="BP70" s="28">
        <v>0</v>
      </c>
      <c r="BQ70" s="74">
        <v>0</v>
      </c>
      <c r="BR70" s="77">
        <v>0</v>
      </c>
      <c r="BS70" s="72">
        <v>0</v>
      </c>
      <c r="BT70" s="74">
        <v>0</v>
      </c>
      <c r="BU70" s="75">
        <v>68</v>
      </c>
    </row>
    <row r="71" spans="1:73">
      <c r="A71" s="101" t="s">
        <v>580</v>
      </c>
      <c r="B71" s="71" t="s">
        <v>186</v>
      </c>
      <c r="C71" s="71" t="s">
        <v>593</v>
      </c>
      <c r="D71" s="130">
        <v>0</v>
      </c>
      <c r="E71" s="72">
        <v>0</v>
      </c>
      <c r="F71" s="72">
        <v>0</v>
      </c>
      <c r="G71" s="77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74">
        <v>0</v>
      </c>
      <c r="Q71" s="77">
        <v>0</v>
      </c>
      <c r="R71" s="28">
        <v>0</v>
      </c>
      <c r="S71" s="74">
        <v>0</v>
      </c>
      <c r="T71" s="77">
        <v>0</v>
      </c>
      <c r="U71" s="72">
        <v>0</v>
      </c>
      <c r="V71" s="74">
        <v>0</v>
      </c>
      <c r="W71" s="75">
        <v>69</v>
      </c>
      <c r="Z71" s="101" t="s">
        <v>429</v>
      </c>
      <c r="AA71" s="71" t="s">
        <v>186</v>
      </c>
      <c r="AB71" s="77" t="s">
        <v>445</v>
      </c>
      <c r="AC71" s="130">
        <v>0</v>
      </c>
      <c r="AD71" s="72">
        <v>0</v>
      </c>
      <c r="AE71" s="73">
        <v>0</v>
      </c>
      <c r="AF71" s="77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74">
        <v>0</v>
      </c>
      <c r="AP71" s="77">
        <v>0</v>
      </c>
      <c r="AQ71" s="28">
        <v>0</v>
      </c>
      <c r="AR71" s="74">
        <v>0</v>
      </c>
      <c r="AS71" s="77">
        <v>0</v>
      </c>
      <c r="AT71" s="72">
        <v>0</v>
      </c>
      <c r="AU71" s="74">
        <v>0</v>
      </c>
      <c r="AV71" s="75">
        <v>69</v>
      </c>
      <c r="AY71" s="366" t="s">
        <v>580</v>
      </c>
      <c r="AZ71" s="71" t="s">
        <v>184</v>
      </c>
      <c r="BA71" s="77" t="s">
        <v>593</v>
      </c>
      <c r="BB71" s="130">
        <v>0</v>
      </c>
      <c r="BC71" s="72">
        <v>0</v>
      </c>
      <c r="BD71" s="73">
        <v>0</v>
      </c>
      <c r="BE71" s="77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74">
        <v>0</v>
      </c>
      <c r="BO71" s="77">
        <v>0</v>
      </c>
      <c r="BP71" s="28">
        <v>0</v>
      </c>
      <c r="BQ71" s="74">
        <v>0</v>
      </c>
      <c r="BR71" s="77">
        <v>0</v>
      </c>
      <c r="BS71" s="72">
        <v>0</v>
      </c>
      <c r="BT71" s="74">
        <v>0</v>
      </c>
      <c r="BU71" s="75">
        <v>69</v>
      </c>
    </row>
    <row r="72" spans="1:73">
      <c r="A72" s="101" t="s">
        <v>580</v>
      </c>
      <c r="B72" s="71" t="s">
        <v>186</v>
      </c>
      <c r="C72" s="71" t="s">
        <v>594</v>
      </c>
      <c r="D72" s="130">
        <v>0</v>
      </c>
      <c r="E72" s="72">
        <v>0</v>
      </c>
      <c r="F72" s="72">
        <v>0</v>
      </c>
      <c r="G72" s="77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74">
        <v>0</v>
      </c>
      <c r="Q72" s="77">
        <v>0</v>
      </c>
      <c r="R72" s="28">
        <v>0</v>
      </c>
      <c r="S72" s="74">
        <v>0</v>
      </c>
      <c r="T72" s="77">
        <v>0</v>
      </c>
      <c r="U72" s="72">
        <v>0</v>
      </c>
      <c r="V72" s="74">
        <v>0</v>
      </c>
      <c r="W72" s="75">
        <v>70</v>
      </c>
      <c r="Z72" s="101" t="s">
        <v>429</v>
      </c>
      <c r="AA72" s="71" t="s">
        <v>186</v>
      </c>
      <c r="AB72" s="77" t="s">
        <v>440</v>
      </c>
      <c r="AC72" s="130">
        <v>0</v>
      </c>
      <c r="AD72" s="72">
        <v>0</v>
      </c>
      <c r="AE72" s="73">
        <v>0</v>
      </c>
      <c r="AF72" s="77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74">
        <v>0</v>
      </c>
      <c r="AP72" s="77">
        <v>0</v>
      </c>
      <c r="AQ72" s="28">
        <v>0</v>
      </c>
      <c r="AR72" s="74">
        <v>0</v>
      </c>
      <c r="AS72" s="77">
        <v>0</v>
      </c>
      <c r="AT72" s="72">
        <v>0</v>
      </c>
      <c r="AU72" s="74">
        <v>0</v>
      </c>
      <c r="AV72" s="75">
        <v>70</v>
      </c>
      <c r="AY72" s="366" t="s">
        <v>580</v>
      </c>
      <c r="AZ72" s="71" t="s">
        <v>184</v>
      </c>
      <c r="BA72" s="77" t="s">
        <v>594</v>
      </c>
      <c r="BB72" s="130">
        <v>0</v>
      </c>
      <c r="BC72" s="72">
        <v>0</v>
      </c>
      <c r="BD72" s="73">
        <v>0</v>
      </c>
      <c r="BE72" s="77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74">
        <v>0</v>
      </c>
      <c r="BO72" s="77">
        <v>0</v>
      </c>
      <c r="BP72" s="28">
        <v>0</v>
      </c>
      <c r="BQ72" s="74">
        <v>0</v>
      </c>
      <c r="BR72" s="77">
        <v>0</v>
      </c>
      <c r="BS72" s="72">
        <v>0</v>
      </c>
      <c r="BT72" s="74">
        <v>0</v>
      </c>
      <c r="BU72" s="75">
        <v>70</v>
      </c>
    </row>
    <row r="73" spans="1:73">
      <c r="A73" s="101" t="s">
        <v>611</v>
      </c>
      <c r="B73" s="71" t="s">
        <v>179</v>
      </c>
      <c r="C73" s="71" t="s">
        <v>621</v>
      </c>
      <c r="D73" s="130">
        <v>0</v>
      </c>
      <c r="E73" s="72">
        <v>0.14285714285714285</v>
      </c>
      <c r="F73" s="72">
        <v>0</v>
      </c>
      <c r="G73" s="77">
        <v>2</v>
      </c>
      <c r="H73" s="28">
        <v>6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1</v>
      </c>
      <c r="P73" s="74">
        <v>3</v>
      </c>
      <c r="Q73" s="77">
        <v>0</v>
      </c>
      <c r="R73" s="28">
        <v>0</v>
      </c>
      <c r="S73" s="74">
        <v>0</v>
      </c>
      <c r="T73" s="77">
        <v>0</v>
      </c>
      <c r="U73" s="72">
        <v>0.14285714285714285</v>
      </c>
      <c r="V73" s="74">
        <v>0</v>
      </c>
      <c r="W73" s="75">
        <v>71</v>
      </c>
      <c r="Z73" s="101" t="s">
        <v>611</v>
      </c>
      <c r="AA73" s="71" t="s">
        <v>179</v>
      </c>
      <c r="AB73" s="77" t="s">
        <v>621</v>
      </c>
      <c r="AC73" s="130">
        <v>9.0909090909090912E-2</v>
      </c>
      <c r="AD73" s="72">
        <v>0.16666666666666666</v>
      </c>
      <c r="AE73" s="73">
        <v>0.36363636363636365</v>
      </c>
      <c r="AF73" s="77">
        <v>3</v>
      </c>
      <c r="AG73" s="28">
        <v>11</v>
      </c>
      <c r="AH73" s="28">
        <v>1</v>
      </c>
      <c r="AI73" s="28">
        <v>1</v>
      </c>
      <c r="AJ73" s="28">
        <v>0</v>
      </c>
      <c r="AK73" s="28">
        <v>0</v>
      </c>
      <c r="AL73" s="28">
        <v>1</v>
      </c>
      <c r="AM73" s="28">
        <v>1</v>
      </c>
      <c r="AN73" s="28">
        <v>1</v>
      </c>
      <c r="AO73" s="74">
        <v>4</v>
      </c>
      <c r="AP73" s="77">
        <v>0</v>
      </c>
      <c r="AQ73" s="28">
        <v>0</v>
      </c>
      <c r="AR73" s="74">
        <v>1</v>
      </c>
      <c r="AS73" s="77">
        <v>4</v>
      </c>
      <c r="AT73" s="72">
        <v>0.53030303030303028</v>
      </c>
      <c r="AU73" s="74">
        <v>0</v>
      </c>
      <c r="AV73" s="75">
        <v>71</v>
      </c>
      <c r="AY73" s="101" t="s">
        <v>685</v>
      </c>
      <c r="AZ73" s="71" t="s">
        <v>179</v>
      </c>
      <c r="BA73" s="77" t="s">
        <v>695</v>
      </c>
      <c r="BB73" s="130">
        <v>0.23809523809523808</v>
      </c>
      <c r="BC73" s="72">
        <v>0.38461538461538464</v>
      </c>
      <c r="BD73" s="73">
        <v>0.23809523809523808</v>
      </c>
      <c r="BE73" s="77">
        <v>12</v>
      </c>
      <c r="BF73" s="28">
        <v>42</v>
      </c>
      <c r="BG73" s="28">
        <v>4</v>
      </c>
      <c r="BH73" s="28">
        <v>10</v>
      </c>
      <c r="BI73" s="28">
        <v>0</v>
      </c>
      <c r="BJ73" s="28">
        <v>0</v>
      </c>
      <c r="BK73" s="28">
        <v>0</v>
      </c>
      <c r="BL73" s="28">
        <v>4</v>
      </c>
      <c r="BM73" s="28">
        <v>10</v>
      </c>
      <c r="BN73" s="74">
        <v>14</v>
      </c>
      <c r="BO73" s="77">
        <v>0</v>
      </c>
      <c r="BP73" s="28">
        <v>2</v>
      </c>
      <c r="BQ73" s="74">
        <v>4</v>
      </c>
      <c r="BR73" s="77">
        <v>10</v>
      </c>
      <c r="BS73" s="72">
        <v>0.62271062271062272</v>
      </c>
      <c r="BT73" s="74">
        <v>0</v>
      </c>
      <c r="BU73" s="75">
        <v>71</v>
      </c>
    </row>
    <row r="74" spans="1:73">
      <c r="A74" s="101" t="s">
        <v>611</v>
      </c>
      <c r="B74" s="71" t="s">
        <v>154</v>
      </c>
      <c r="C74" s="71" t="s">
        <v>620</v>
      </c>
      <c r="D74" s="130">
        <v>0.42857142857142855</v>
      </c>
      <c r="E74" s="72">
        <v>0.42857142857142855</v>
      </c>
      <c r="F74" s="72">
        <v>0.5714285714285714</v>
      </c>
      <c r="G74" s="77">
        <v>2</v>
      </c>
      <c r="H74" s="28">
        <v>7</v>
      </c>
      <c r="I74" s="28">
        <v>0</v>
      </c>
      <c r="J74" s="28">
        <v>3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74">
        <v>1</v>
      </c>
      <c r="Q74" s="77">
        <v>0</v>
      </c>
      <c r="R74" s="28">
        <v>1</v>
      </c>
      <c r="S74" s="74">
        <v>1</v>
      </c>
      <c r="T74" s="77">
        <v>4</v>
      </c>
      <c r="U74" s="72">
        <v>1</v>
      </c>
      <c r="V74" s="74">
        <v>0</v>
      </c>
      <c r="W74" s="75">
        <v>72</v>
      </c>
      <c r="Z74" s="101" t="s">
        <v>611</v>
      </c>
      <c r="AA74" s="71" t="s">
        <v>154</v>
      </c>
      <c r="AB74" s="77" t="s">
        <v>623</v>
      </c>
      <c r="AC74" s="130">
        <v>0.4</v>
      </c>
      <c r="AD74" s="72">
        <v>0.45454545454545453</v>
      </c>
      <c r="AE74" s="73">
        <v>0.5</v>
      </c>
      <c r="AF74" s="77">
        <v>3</v>
      </c>
      <c r="AG74" s="28">
        <v>10</v>
      </c>
      <c r="AH74" s="28">
        <v>0</v>
      </c>
      <c r="AI74" s="28">
        <v>4</v>
      </c>
      <c r="AJ74" s="28">
        <v>1</v>
      </c>
      <c r="AK74" s="28">
        <v>0</v>
      </c>
      <c r="AL74" s="28">
        <v>0</v>
      </c>
      <c r="AM74" s="28">
        <v>1</v>
      </c>
      <c r="AN74" s="28">
        <v>1</v>
      </c>
      <c r="AO74" s="74">
        <v>1</v>
      </c>
      <c r="AP74" s="77">
        <v>0</v>
      </c>
      <c r="AQ74" s="28">
        <v>0</v>
      </c>
      <c r="AR74" s="74">
        <v>2</v>
      </c>
      <c r="AS74" s="77">
        <v>5</v>
      </c>
      <c r="AT74" s="72">
        <v>0.95454545454545459</v>
      </c>
      <c r="AU74" s="74">
        <v>0</v>
      </c>
      <c r="AV74" s="75">
        <v>72</v>
      </c>
      <c r="AY74" s="101" t="s">
        <v>685</v>
      </c>
      <c r="AZ74" s="71" t="s">
        <v>154</v>
      </c>
      <c r="BA74" s="77" t="s">
        <v>690</v>
      </c>
      <c r="BB74" s="130">
        <v>0.35416666666666669</v>
      </c>
      <c r="BC74" s="72">
        <v>0.40384615384615385</v>
      </c>
      <c r="BD74" s="73">
        <v>0.54166666666666663</v>
      </c>
      <c r="BE74" s="77">
        <v>12</v>
      </c>
      <c r="BF74" s="28">
        <v>48</v>
      </c>
      <c r="BG74" s="28">
        <v>8</v>
      </c>
      <c r="BH74" s="28">
        <v>17</v>
      </c>
      <c r="BI74" s="28">
        <v>3</v>
      </c>
      <c r="BJ74" s="28">
        <v>0</v>
      </c>
      <c r="BK74" s="28">
        <v>2</v>
      </c>
      <c r="BL74" s="28">
        <v>7</v>
      </c>
      <c r="BM74" s="28">
        <v>4</v>
      </c>
      <c r="BN74" s="74">
        <v>13</v>
      </c>
      <c r="BO74" s="77">
        <v>0</v>
      </c>
      <c r="BP74" s="28">
        <v>0</v>
      </c>
      <c r="BQ74" s="74">
        <v>5</v>
      </c>
      <c r="BR74" s="77">
        <v>26</v>
      </c>
      <c r="BS74" s="72">
        <v>0.94551282051282048</v>
      </c>
      <c r="BT74" s="74">
        <v>0</v>
      </c>
      <c r="BU74" s="75">
        <v>72</v>
      </c>
    </row>
    <row r="75" spans="1:73">
      <c r="A75" s="101" t="s">
        <v>611</v>
      </c>
      <c r="B75" s="71" t="s">
        <v>172</v>
      </c>
      <c r="C75" s="71" t="s">
        <v>622</v>
      </c>
      <c r="D75" s="130">
        <v>0.2</v>
      </c>
      <c r="E75" s="72">
        <v>0.33333333333333331</v>
      </c>
      <c r="F75" s="72">
        <v>0.2</v>
      </c>
      <c r="G75" s="77">
        <v>2</v>
      </c>
      <c r="H75" s="28">
        <v>5</v>
      </c>
      <c r="I75" s="28">
        <v>0</v>
      </c>
      <c r="J75" s="28">
        <v>1</v>
      </c>
      <c r="K75" s="28">
        <v>0</v>
      </c>
      <c r="L75" s="28">
        <v>0</v>
      </c>
      <c r="M75" s="28">
        <v>0</v>
      </c>
      <c r="N75" s="28">
        <v>0</v>
      </c>
      <c r="O75" s="28">
        <v>1</v>
      </c>
      <c r="P75" s="74">
        <v>1</v>
      </c>
      <c r="Q75" s="77">
        <v>0</v>
      </c>
      <c r="R75" s="28">
        <v>0</v>
      </c>
      <c r="S75" s="74">
        <v>1</v>
      </c>
      <c r="T75" s="77">
        <v>1</v>
      </c>
      <c r="U75" s="72">
        <v>0.53333333333333333</v>
      </c>
      <c r="V75" s="74">
        <v>0</v>
      </c>
      <c r="W75" s="75">
        <v>73</v>
      </c>
      <c r="Z75" s="101" t="s">
        <v>611</v>
      </c>
      <c r="AA75" s="71" t="s">
        <v>172</v>
      </c>
      <c r="AB75" s="77" t="s">
        <v>622</v>
      </c>
      <c r="AC75" s="130">
        <v>0.1</v>
      </c>
      <c r="AD75" s="72">
        <v>0.25</v>
      </c>
      <c r="AE75" s="73">
        <v>0.2</v>
      </c>
      <c r="AF75" s="77">
        <v>3</v>
      </c>
      <c r="AG75" s="28">
        <v>10</v>
      </c>
      <c r="AH75" s="28">
        <v>1</v>
      </c>
      <c r="AI75" s="28">
        <v>1</v>
      </c>
      <c r="AJ75" s="28">
        <v>1</v>
      </c>
      <c r="AK75" s="28">
        <v>0</v>
      </c>
      <c r="AL75" s="28">
        <v>0</v>
      </c>
      <c r="AM75" s="28">
        <v>0</v>
      </c>
      <c r="AN75" s="28">
        <v>2</v>
      </c>
      <c r="AO75" s="74">
        <v>5</v>
      </c>
      <c r="AP75" s="77">
        <v>0</v>
      </c>
      <c r="AQ75" s="28">
        <v>1</v>
      </c>
      <c r="AR75" s="74">
        <v>1</v>
      </c>
      <c r="AS75" s="77">
        <v>2</v>
      </c>
      <c r="AT75" s="72">
        <v>0.45</v>
      </c>
      <c r="AU75" s="74">
        <v>0</v>
      </c>
      <c r="AV75" s="75">
        <v>73</v>
      </c>
      <c r="AY75" s="101" t="s">
        <v>685</v>
      </c>
      <c r="AZ75" s="71" t="s">
        <v>172</v>
      </c>
      <c r="BA75" s="77" t="s">
        <v>697</v>
      </c>
      <c r="BB75" s="130">
        <v>0.16279069767441862</v>
      </c>
      <c r="BC75" s="72">
        <v>0.26530612244897961</v>
      </c>
      <c r="BD75" s="73">
        <v>0.18604651162790697</v>
      </c>
      <c r="BE75" s="77">
        <v>12</v>
      </c>
      <c r="BF75" s="28">
        <v>43</v>
      </c>
      <c r="BG75" s="28">
        <v>1</v>
      </c>
      <c r="BH75" s="28">
        <v>7</v>
      </c>
      <c r="BI75" s="28">
        <v>1</v>
      </c>
      <c r="BJ75" s="28">
        <v>0</v>
      </c>
      <c r="BK75" s="28">
        <v>0</v>
      </c>
      <c r="BL75" s="28">
        <v>1</v>
      </c>
      <c r="BM75" s="28">
        <v>6</v>
      </c>
      <c r="BN75" s="74">
        <v>11</v>
      </c>
      <c r="BO75" s="77">
        <v>0</v>
      </c>
      <c r="BP75" s="28">
        <v>0</v>
      </c>
      <c r="BQ75" s="74">
        <v>2</v>
      </c>
      <c r="BR75" s="77">
        <v>8</v>
      </c>
      <c r="BS75" s="72">
        <v>0.45135263407688658</v>
      </c>
      <c r="BT75" s="74">
        <v>0</v>
      </c>
      <c r="BU75" s="75">
        <v>73</v>
      </c>
    </row>
    <row r="76" spans="1:73">
      <c r="A76" s="101" t="s">
        <v>611</v>
      </c>
      <c r="B76" s="71" t="s">
        <v>153</v>
      </c>
      <c r="C76" s="71" t="s">
        <v>612</v>
      </c>
      <c r="D76" s="130">
        <v>0.33333333333333331</v>
      </c>
      <c r="E76" s="72">
        <v>0.33333333333333331</v>
      </c>
      <c r="F76" s="72">
        <v>0.33333333333333331</v>
      </c>
      <c r="G76" s="77">
        <v>2</v>
      </c>
      <c r="H76" s="28">
        <v>9</v>
      </c>
      <c r="I76" s="28">
        <v>0</v>
      </c>
      <c r="J76" s="28">
        <v>3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74">
        <v>2</v>
      </c>
      <c r="Q76" s="77">
        <v>0</v>
      </c>
      <c r="R76" s="28">
        <v>2</v>
      </c>
      <c r="S76" s="74">
        <v>2</v>
      </c>
      <c r="T76" s="77">
        <v>3</v>
      </c>
      <c r="U76" s="72">
        <v>0.66666666666666663</v>
      </c>
      <c r="V76" s="74">
        <v>0</v>
      </c>
      <c r="W76" s="75">
        <v>74</v>
      </c>
      <c r="Z76" s="101" t="s">
        <v>611</v>
      </c>
      <c r="AA76" s="71" t="s">
        <v>153</v>
      </c>
      <c r="AB76" s="77" t="s">
        <v>612</v>
      </c>
      <c r="AC76" s="130">
        <v>0.53846153846153844</v>
      </c>
      <c r="AD76" s="72">
        <v>0.5714285714285714</v>
      </c>
      <c r="AE76" s="73">
        <v>1</v>
      </c>
      <c r="AF76" s="77">
        <v>3</v>
      </c>
      <c r="AG76" s="28">
        <v>13</v>
      </c>
      <c r="AH76" s="28">
        <v>4</v>
      </c>
      <c r="AI76" s="28">
        <v>7</v>
      </c>
      <c r="AJ76" s="28">
        <v>0</v>
      </c>
      <c r="AK76" s="28">
        <v>0</v>
      </c>
      <c r="AL76" s="28">
        <v>2</v>
      </c>
      <c r="AM76" s="28">
        <v>5</v>
      </c>
      <c r="AN76" s="28">
        <v>1</v>
      </c>
      <c r="AO76" s="74">
        <v>0</v>
      </c>
      <c r="AP76" s="77">
        <v>0</v>
      </c>
      <c r="AQ76" s="28">
        <v>3</v>
      </c>
      <c r="AR76" s="74">
        <v>3</v>
      </c>
      <c r="AS76" s="77">
        <v>13</v>
      </c>
      <c r="AT76" s="72">
        <v>1.5714285714285714</v>
      </c>
      <c r="AU76" s="74">
        <v>0</v>
      </c>
      <c r="AV76" s="75">
        <v>74</v>
      </c>
      <c r="AY76" s="101" t="s">
        <v>685</v>
      </c>
      <c r="AZ76" s="71" t="s">
        <v>153</v>
      </c>
      <c r="BA76" s="77" t="s">
        <v>696</v>
      </c>
      <c r="BB76" s="130">
        <v>0.24</v>
      </c>
      <c r="BC76" s="72">
        <v>0.28301886792452829</v>
      </c>
      <c r="BD76" s="73">
        <v>0.28000000000000003</v>
      </c>
      <c r="BE76" s="77">
        <v>12</v>
      </c>
      <c r="BF76" s="28">
        <v>50</v>
      </c>
      <c r="BG76" s="28">
        <v>2</v>
      </c>
      <c r="BH76" s="28">
        <v>12</v>
      </c>
      <c r="BI76" s="28">
        <v>2</v>
      </c>
      <c r="BJ76" s="28">
        <v>0</v>
      </c>
      <c r="BK76" s="28">
        <v>0</v>
      </c>
      <c r="BL76" s="28">
        <v>3</v>
      </c>
      <c r="BM76" s="28">
        <v>3</v>
      </c>
      <c r="BN76" s="74">
        <v>12</v>
      </c>
      <c r="BO76" s="77">
        <v>0</v>
      </c>
      <c r="BP76" s="28">
        <v>8</v>
      </c>
      <c r="BQ76" s="74">
        <v>8</v>
      </c>
      <c r="BR76" s="77">
        <v>14</v>
      </c>
      <c r="BS76" s="72">
        <v>0.56301886792452827</v>
      </c>
      <c r="BT76" s="74">
        <v>0</v>
      </c>
      <c r="BU76" s="75">
        <v>74</v>
      </c>
    </row>
    <row r="77" spans="1:73">
      <c r="A77" s="101" t="s">
        <v>611</v>
      </c>
      <c r="B77" s="71" t="s">
        <v>177</v>
      </c>
      <c r="C77" s="71" t="s">
        <v>615</v>
      </c>
      <c r="D77" s="130">
        <v>0.16666666666666666</v>
      </c>
      <c r="E77" s="72">
        <v>0.375</v>
      </c>
      <c r="F77" s="72">
        <v>0.66666666666666663</v>
      </c>
      <c r="G77" s="77">
        <v>2</v>
      </c>
      <c r="H77" s="28">
        <v>6</v>
      </c>
      <c r="I77" s="28">
        <v>1</v>
      </c>
      <c r="J77" s="28">
        <v>1</v>
      </c>
      <c r="K77" s="28">
        <v>0</v>
      </c>
      <c r="L77" s="28">
        <v>0</v>
      </c>
      <c r="M77" s="28">
        <v>1</v>
      </c>
      <c r="N77" s="28">
        <v>1</v>
      </c>
      <c r="O77" s="28">
        <v>2</v>
      </c>
      <c r="P77" s="74">
        <v>1</v>
      </c>
      <c r="Q77" s="77">
        <v>0</v>
      </c>
      <c r="R77" s="28">
        <v>1</v>
      </c>
      <c r="S77" s="74">
        <v>1</v>
      </c>
      <c r="T77" s="77">
        <v>4</v>
      </c>
      <c r="U77" s="72">
        <v>1.0416666666666665</v>
      </c>
      <c r="V77" s="74">
        <v>0</v>
      </c>
      <c r="W77" s="75">
        <v>75</v>
      </c>
      <c r="Z77" s="101" t="s">
        <v>611</v>
      </c>
      <c r="AA77" s="71" t="s">
        <v>177</v>
      </c>
      <c r="AB77" s="77" t="s">
        <v>615</v>
      </c>
      <c r="AC77" s="130">
        <v>0.45454545454545453</v>
      </c>
      <c r="AD77" s="72">
        <v>0.5</v>
      </c>
      <c r="AE77" s="73">
        <v>1</v>
      </c>
      <c r="AF77" s="77">
        <v>3</v>
      </c>
      <c r="AG77" s="28">
        <v>11</v>
      </c>
      <c r="AH77" s="28">
        <v>2</v>
      </c>
      <c r="AI77" s="28">
        <v>5</v>
      </c>
      <c r="AJ77" s="28">
        <v>0</v>
      </c>
      <c r="AK77" s="28">
        <v>0</v>
      </c>
      <c r="AL77" s="28">
        <v>2</v>
      </c>
      <c r="AM77" s="28">
        <v>4</v>
      </c>
      <c r="AN77" s="28">
        <v>1</v>
      </c>
      <c r="AO77" s="74">
        <v>1</v>
      </c>
      <c r="AP77" s="77">
        <v>0</v>
      </c>
      <c r="AQ77" s="28">
        <v>1</v>
      </c>
      <c r="AR77" s="74">
        <v>1</v>
      </c>
      <c r="AS77" s="77">
        <v>11</v>
      </c>
      <c r="AT77" s="72">
        <v>1.5</v>
      </c>
      <c r="AU77" s="74">
        <v>0</v>
      </c>
      <c r="AV77" s="75">
        <v>75</v>
      </c>
      <c r="AY77" s="101" t="s">
        <v>685</v>
      </c>
      <c r="AZ77" s="71" t="s">
        <v>177</v>
      </c>
      <c r="BA77" s="77" t="s">
        <v>688</v>
      </c>
      <c r="BB77" s="130">
        <v>0.125</v>
      </c>
      <c r="BC77" s="72">
        <v>0.20754716981132076</v>
      </c>
      <c r="BD77" s="73">
        <v>0.20833333333333334</v>
      </c>
      <c r="BE77" s="77">
        <v>12</v>
      </c>
      <c r="BF77" s="28">
        <v>48</v>
      </c>
      <c r="BG77" s="28">
        <v>4</v>
      </c>
      <c r="BH77" s="28">
        <v>6</v>
      </c>
      <c r="BI77" s="28">
        <v>1</v>
      </c>
      <c r="BJ77" s="28">
        <v>0</v>
      </c>
      <c r="BK77" s="28">
        <v>1</v>
      </c>
      <c r="BL77" s="28">
        <v>4</v>
      </c>
      <c r="BM77" s="28">
        <v>5</v>
      </c>
      <c r="BN77" s="74">
        <v>11</v>
      </c>
      <c r="BO77" s="77">
        <v>0</v>
      </c>
      <c r="BP77" s="28">
        <v>0</v>
      </c>
      <c r="BQ77" s="74">
        <v>1</v>
      </c>
      <c r="BR77" s="77">
        <v>10</v>
      </c>
      <c r="BS77" s="72">
        <v>0.41588050314465408</v>
      </c>
      <c r="BT77" s="74">
        <v>2</v>
      </c>
      <c r="BU77" s="75">
        <v>75</v>
      </c>
    </row>
    <row r="78" spans="1:73">
      <c r="A78" s="101" t="s">
        <v>611</v>
      </c>
      <c r="B78" s="71" t="s">
        <v>174</v>
      </c>
      <c r="C78" s="71" t="s">
        <v>617</v>
      </c>
      <c r="D78" s="130">
        <v>0</v>
      </c>
      <c r="E78" s="72">
        <v>0</v>
      </c>
      <c r="F78" s="72">
        <v>0</v>
      </c>
      <c r="G78" s="77">
        <v>2</v>
      </c>
      <c r="H78" s="28">
        <v>7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74">
        <v>1</v>
      </c>
      <c r="Q78" s="77">
        <v>0</v>
      </c>
      <c r="R78" s="28">
        <v>0</v>
      </c>
      <c r="S78" s="74">
        <v>0</v>
      </c>
      <c r="T78" s="77">
        <v>0</v>
      </c>
      <c r="U78" s="72">
        <v>0</v>
      </c>
      <c r="V78" s="74">
        <v>0</v>
      </c>
      <c r="W78" s="75">
        <v>76</v>
      </c>
      <c r="Z78" s="101" t="s">
        <v>611</v>
      </c>
      <c r="AA78" s="71" t="s">
        <v>174</v>
      </c>
      <c r="AB78" s="77" t="s">
        <v>617</v>
      </c>
      <c r="AC78" s="130">
        <v>8.3333333333333329E-2</v>
      </c>
      <c r="AD78" s="72">
        <v>8.3333333333333329E-2</v>
      </c>
      <c r="AE78" s="73">
        <v>0.25</v>
      </c>
      <c r="AF78" s="77">
        <v>3</v>
      </c>
      <c r="AG78" s="28">
        <v>12</v>
      </c>
      <c r="AH78" s="28">
        <v>1</v>
      </c>
      <c r="AI78" s="28">
        <v>1</v>
      </c>
      <c r="AJ78" s="28">
        <v>0</v>
      </c>
      <c r="AK78" s="28">
        <v>1</v>
      </c>
      <c r="AL78" s="28">
        <v>0</v>
      </c>
      <c r="AM78" s="28">
        <v>2</v>
      </c>
      <c r="AN78" s="28">
        <v>0</v>
      </c>
      <c r="AO78" s="74">
        <v>3</v>
      </c>
      <c r="AP78" s="77">
        <v>0</v>
      </c>
      <c r="AQ78" s="28">
        <v>0</v>
      </c>
      <c r="AR78" s="74">
        <v>1</v>
      </c>
      <c r="AS78" s="77">
        <v>3</v>
      </c>
      <c r="AT78" s="72">
        <v>0.33333333333333331</v>
      </c>
      <c r="AU78" s="74">
        <v>0</v>
      </c>
      <c r="AV78" s="75">
        <v>76</v>
      </c>
      <c r="AY78" s="101" t="s">
        <v>685</v>
      </c>
      <c r="AZ78" s="71" t="s">
        <v>174</v>
      </c>
      <c r="BA78" s="77" t="s">
        <v>691</v>
      </c>
      <c r="BB78" s="130">
        <v>0.26829268292682928</v>
      </c>
      <c r="BC78" s="72">
        <v>0.42307692307692307</v>
      </c>
      <c r="BD78" s="73">
        <v>0.34146341463414637</v>
      </c>
      <c r="BE78" s="77">
        <v>12</v>
      </c>
      <c r="BF78" s="28">
        <v>41</v>
      </c>
      <c r="BG78" s="28">
        <v>5</v>
      </c>
      <c r="BH78" s="28">
        <v>11</v>
      </c>
      <c r="BI78" s="28">
        <v>1</v>
      </c>
      <c r="BJ78" s="28">
        <v>1</v>
      </c>
      <c r="BK78" s="28">
        <v>0</v>
      </c>
      <c r="BL78" s="28">
        <v>3</v>
      </c>
      <c r="BM78" s="28">
        <v>11</v>
      </c>
      <c r="BN78" s="74">
        <v>12</v>
      </c>
      <c r="BO78" s="77">
        <v>0</v>
      </c>
      <c r="BP78" s="28">
        <v>3</v>
      </c>
      <c r="BQ78" s="74">
        <v>3</v>
      </c>
      <c r="BR78" s="77">
        <v>14</v>
      </c>
      <c r="BS78" s="72">
        <v>0.76454033771106944</v>
      </c>
      <c r="BT78" s="74">
        <v>0</v>
      </c>
      <c r="BU78" s="75">
        <v>76</v>
      </c>
    </row>
    <row r="79" spans="1:73">
      <c r="A79" s="101" t="s">
        <v>611</v>
      </c>
      <c r="B79" s="71" t="s">
        <v>181</v>
      </c>
      <c r="C79" s="71" t="s">
        <v>614</v>
      </c>
      <c r="D79" s="130">
        <v>0.125</v>
      </c>
      <c r="E79" s="72">
        <v>0.125</v>
      </c>
      <c r="F79" s="72">
        <v>0.125</v>
      </c>
      <c r="G79" s="77">
        <v>2</v>
      </c>
      <c r="H79" s="28">
        <v>8</v>
      </c>
      <c r="I79" s="28">
        <v>0</v>
      </c>
      <c r="J79" s="28">
        <v>1</v>
      </c>
      <c r="K79" s="28">
        <v>0</v>
      </c>
      <c r="L79" s="28">
        <v>0</v>
      </c>
      <c r="M79" s="28">
        <v>0</v>
      </c>
      <c r="N79" s="28">
        <v>2</v>
      </c>
      <c r="O79" s="28">
        <v>0</v>
      </c>
      <c r="P79" s="74">
        <v>3</v>
      </c>
      <c r="Q79" s="77">
        <v>0</v>
      </c>
      <c r="R79" s="28">
        <v>1</v>
      </c>
      <c r="S79" s="74">
        <v>1</v>
      </c>
      <c r="T79" s="77">
        <v>1</v>
      </c>
      <c r="U79" s="72">
        <v>0.25</v>
      </c>
      <c r="V79" s="74">
        <v>0</v>
      </c>
      <c r="W79" s="75">
        <v>77</v>
      </c>
      <c r="Z79" s="101" t="s">
        <v>611</v>
      </c>
      <c r="AA79" s="71" t="s">
        <v>181</v>
      </c>
      <c r="AB79" s="77" t="s">
        <v>614</v>
      </c>
      <c r="AC79" s="130">
        <v>0.41666666666666669</v>
      </c>
      <c r="AD79" s="72">
        <v>0.5</v>
      </c>
      <c r="AE79" s="73">
        <v>0.75</v>
      </c>
      <c r="AF79" s="77">
        <v>3</v>
      </c>
      <c r="AG79" s="28">
        <v>12</v>
      </c>
      <c r="AH79" s="28">
        <v>3</v>
      </c>
      <c r="AI79" s="28">
        <v>5</v>
      </c>
      <c r="AJ79" s="28">
        <v>1</v>
      </c>
      <c r="AK79" s="28">
        <v>0</v>
      </c>
      <c r="AL79" s="28">
        <v>1</v>
      </c>
      <c r="AM79" s="28">
        <v>2</v>
      </c>
      <c r="AN79" s="28">
        <v>2</v>
      </c>
      <c r="AO79" s="74">
        <v>3</v>
      </c>
      <c r="AP79" s="77">
        <v>0</v>
      </c>
      <c r="AQ79" s="28">
        <v>3</v>
      </c>
      <c r="AR79" s="74">
        <v>3</v>
      </c>
      <c r="AS79" s="77">
        <v>9</v>
      </c>
      <c r="AT79" s="72">
        <v>1.25</v>
      </c>
      <c r="AU79" s="74">
        <v>0</v>
      </c>
      <c r="AV79" s="75">
        <v>77</v>
      </c>
      <c r="AY79" s="101" t="s">
        <v>685</v>
      </c>
      <c r="AZ79" s="71" t="s">
        <v>181</v>
      </c>
      <c r="BA79" s="77" t="s">
        <v>686</v>
      </c>
      <c r="BB79" s="130">
        <v>0.22641509433962265</v>
      </c>
      <c r="BC79" s="72">
        <v>0.30508474576271188</v>
      </c>
      <c r="BD79" s="73">
        <v>0.56603773584905659</v>
      </c>
      <c r="BE79" s="77">
        <v>12</v>
      </c>
      <c r="BF79" s="28">
        <v>53</v>
      </c>
      <c r="BG79" s="28">
        <v>8</v>
      </c>
      <c r="BH79" s="28">
        <v>12</v>
      </c>
      <c r="BI79" s="28">
        <v>1</v>
      </c>
      <c r="BJ79" s="28">
        <v>1</v>
      </c>
      <c r="BK79" s="28">
        <v>5</v>
      </c>
      <c r="BL79" s="28">
        <v>9</v>
      </c>
      <c r="BM79" s="28">
        <v>6</v>
      </c>
      <c r="BN79" s="104">
        <v>27</v>
      </c>
      <c r="BO79" s="77">
        <v>1</v>
      </c>
      <c r="BP79" s="28">
        <v>1</v>
      </c>
      <c r="BQ79" s="74">
        <v>6</v>
      </c>
      <c r="BR79" s="77">
        <v>30</v>
      </c>
      <c r="BS79" s="72">
        <v>0.87112248161176842</v>
      </c>
      <c r="BT79" s="74">
        <v>0</v>
      </c>
      <c r="BU79" s="75">
        <v>77</v>
      </c>
    </row>
    <row r="80" spans="1:73">
      <c r="A80" s="101" t="s">
        <v>611</v>
      </c>
      <c r="B80" s="71" t="s">
        <v>166</v>
      </c>
      <c r="C80" s="71" t="s">
        <v>616</v>
      </c>
      <c r="D80" s="130">
        <v>0.33333333333333331</v>
      </c>
      <c r="E80" s="72">
        <v>0.33333333333333331</v>
      </c>
      <c r="F80" s="72">
        <v>0.44444444444444442</v>
      </c>
      <c r="G80" s="77">
        <v>2</v>
      </c>
      <c r="H80" s="28">
        <v>9</v>
      </c>
      <c r="I80" s="28">
        <v>2</v>
      </c>
      <c r="J80" s="28">
        <v>3</v>
      </c>
      <c r="K80" s="28">
        <v>1</v>
      </c>
      <c r="L80" s="28">
        <v>0</v>
      </c>
      <c r="M80" s="28">
        <v>0</v>
      </c>
      <c r="N80" s="28">
        <v>0</v>
      </c>
      <c r="O80" s="28">
        <v>0</v>
      </c>
      <c r="P80" s="74">
        <v>1</v>
      </c>
      <c r="Q80" s="77">
        <v>0</v>
      </c>
      <c r="R80" s="28">
        <v>1</v>
      </c>
      <c r="S80" s="74">
        <v>1</v>
      </c>
      <c r="T80" s="77">
        <v>4</v>
      </c>
      <c r="U80" s="72">
        <v>0.77777777777777768</v>
      </c>
      <c r="V80" s="74">
        <v>0</v>
      </c>
      <c r="W80" s="75">
        <v>78</v>
      </c>
      <c r="Z80" s="101" t="s">
        <v>611</v>
      </c>
      <c r="AA80" s="71" t="s">
        <v>166</v>
      </c>
      <c r="AB80" s="77" t="s">
        <v>616</v>
      </c>
      <c r="AC80" s="130">
        <v>0.21428571428571427</v>
      </c>
      <c r="AD80" s="72">
        <v>0.21428571428571427</v>
      </c>
      <c r="AE80" s="73">
        <v>0.2857142857142857</v>
      </c>
      <c r="AF80" s="77">
        <v>3</v>
      </c>
      <c r="AG80" s="28">
        <v>14</v>
      </c>
      <c r="AH80" s="28">
        <v>2</v>
      </c>
      <c r="AI80" s="28">
        <v>3</v>
      </c>
      <c r="AJ80" s="28">
        <v>1</v>
      </c>
      <c r="AK80" s="28">
        <v>0</v>
      </c>
      <c r="AL80" s="28">
        <v>0</v>
      </c>
      <c r="AM80" s="28">
        <v>0</v>
      </c>
      <c r="AN80" s="28">
        <v>0</v>
      </c>
      <c r="AO80" s="74">
        <v>6</v>
      </c>
      <c r="AP80" s="77">
        <v>0</v>
      </c>
      <c r="AQ80" s="28">
        <v>0</v>
      </c>
      <c r="AR80" s="74">
        <v>1</v>
      </c>
      <c r="AS80" s="77">
        <v>4</v>
      </c>
      <c r="AT80" s="72">
        <v>0.5</v>
      </c>
      <c r="AU80" s="74">
        <v>0</v>
      </c>
      <c r="AV80" s="75">
        <v>78</v>
      </c>
      <c r="AY80" s="101" t="s">
        <v>685</v>
      </c>
      <c r="AZ80" s="345" t="s">
        <v>166</v>
      </c>
      <c r="BA80" s="352" t="s">
        <v>700</v>
      </c>
      <c r="BB80" s="130">
        <v>0.32692307692307693</v>
      </c>
      <c r="BC80" s="72">
        <v>0.375</v>
      </c>
      <c r="BD80" s="73">
        <v>0.80769230769230771</v>
      </c>
      <c r="BE80" s="77">
        <v>12</v>
      </c>
      <c r="BF80" s="28">
        <v>52</v>
      </c>
      <c r="BG80" s="28">
        <v>8</v>
      </c>
      <c r="BH80" s="28">
        <v>17</v>
      </c>
      <c r="BI80" s="28">
        <v>2</v>
      </c>
      <c r="BJ80" s="28">
        <v>1</v>
      </c>
      <c r="BK80" s="76">
        <v>7</v>
      </c>
      <c r="BL80" s="76">
        <v>14</v>
      </c>
      <c r="BM80" s="28">
        <v>4</v>
      </c>
      <c r="BN80" s="74">
        <v>19</v>
      </c>
      <c r="BO80" s="77">
        <v>0</v>
      </c>
      <c r="BP80" s="28">
        <v>0</v>
      </c>
      <c r="BQ80" s="104">
        <v>9</v>
      </c>
      <c r="BR80" s="352">
        <v>42</v>
      </c>
      <c r="BS80" s="72">
        <v>1.1826923076923077</v>
      </c>
      <c r="BT80" s="74">
        <v>2</v>
      </c>
      <c r="BU80" s="75">
        <v>78</v>
      </c>
    </row>
    <row r="81" spans="1:73">
      <c r="A81" s="101" t="s">
        <v>611</v>
      </c>
      <c r="B81" s="71" t="s">
        <v>168</v>
      </c>
      <c r="C81" s="71" t="s">
        <v>613</v>
      </c>
      <c r="D81" s="130">
        <v>0</v>
      </c>
      <c r="E81" s="72">
        <v>0.125</v>
      </c>
      <c r="F81" s="72">
        <v>0</v>
      </c>
      <c r="G81" s="77">
        <v>2</v>
      </c>
      <c r="H81" s="28">
        <v>7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1</v>
      </c>
      <c r="P81" s="74">
        <v>5</v>
      </c>
      <c r="Q81" s="77">
        <v>0</v>
      </c>
      <c r="R81" s="28">
        <v>0</v>
      </c>
      <c r="S81" s="74">
        <v>0</v>
      </c>
      <c r="T81" s="77">
        <v>0</v>
      </c>
      <c r="U81" s="72">
        <v>0.125</v>
      </c>
      <c r="V81" s="74">
        <v>0</v>
      </c>
      <c r="W81" s="75">
        <v>79</v>
      </c>
      <c r="Z81" s="101" t="s">
        <v>611</v>
      </c>
      <c r="AA81" s="71" t="s">
        <v>168</v>
      </c>
      <c r="AB81" s="77" t="s">
        <v>613</v>
      </c>
      <c r="AC81" s="130">
        <v>0.36363636363636365</v>
      </c>
      <c r="AD81" s="72">
        <v>0.41666666666666669</v>
      </c>
      <c r="AE81" s="73">
        <v>0.72727272727272729</v>
      </c>
      <c r="AF81" s="77">
        <v>3</v>
      </c>
      <c r="AG81" s="28">
        <v>11</v>
      </c>
      <c r="AH81" s="28">
        <v>3</v>
      </c>
      <c r="AI81" s="28">
        <v>4</v>
      </c>
      <c r="AJ81" s="28">
        <v>1</v>
      </c>
      <c r="AK81" s="28">
        <v>0</v>
      </c>
      <c r="AL81" s="28">
        <v>1</v>
      </c>
      <c r="AM81" s="28">
        <v>2</v>
      </c>
      <c r="AN81" s="28">
        <v>1</v>
      </c>
      <c r="AO81" s="74">
        <v>3</v>
      </c>
      <c r="AP81" s="77">
        <v>0</v>
      </c>
      <c r="AQ81" s="28">
        <v>3</v>
      </c>
      <c r="AR81" s="74">
        <v>3</v>
      </c>
      <c r="AS81" s="77">
        <v>8</v>
      </c>
      <c r="AT81" s="72">
        <v>1.143939393939394</v>
      </c>
      <c r="AU81" s="74">
        <v>0</v>
      </c>
      <c r="AV81" s="75">
        <v>79</v>
      </c>
      <c r="AY81" s="101" t="s">
        <v>685</v>
      </c>
      <c r="AZ81" s="71" t="s">
        <v>168</v>
      </c>
      <c r="BA81" s="77" t="s">
        <v>687</v>
      </c>
      <c r="BB81" s="130">
        <v>0.2857142857142857</v>
      </c>
      <c r="BC81" s="72">
        <v>0.36363636363636365</v>
      </c>
      <c r="BD81" s="73">
        <v>0.36734693877551022</v>
      </c>
      <c r="BE81" s="77">
        <v>12</v>
      </c>
      <c r="BF81" s="28">
        <v>49</v>
      </c>
      <c r="BG81" s="28">
        <v>7</v>
      </c>
      <c r="BH81" s="28">
        <v>14</v>
      </c>
      <c r="BI81" s="28">
        <v>1</v>
      </c>
      <c r="BJ81" s="28">
        <v>0</v>
      </c>
      <c r="BK81" s="76">
        <v>1</v>
      </c>
      <c r="BL81" s="76">
        <v>2</v>
      </c>
      <c r="BM81" s="28">
        <v>6</v>
      </c>
      <c r="BN81" s="74">
        <v>15</v>
      </c>
      <c r="BO81" s="77">
        <v>1</v>
      </c>
      <c r="BP81" s="28">
        <v>5</v>
      </c>
      <c r="BQ81" s="104">
        <v>5</v>
      </c>
      <c r="BR81" s="352">
        <v>18</v>
      </c>
      <c r="BS81" s="72">
        <v>0.73098330241187393</v>
      </c>
      <c r="BT81" s="74">
        <v>1</v>
      </c>
      <c r="BU81" s="75">
        <v>79</v>
      </c>
    </row>
    <row r="82" spans="1:73">
      <c r="A82" s="101" t="s">
        <v>611</v>
      </c>
      <c r="B82" s="71" t="s">
        <v>179</v>
      </c>
      <c r="C82" s="71" t="s">
        <v>624</v>
      </c>
      <c r="D82" s="130">
        <v>0</v>
      </c>
      <c r="E82" s="72">
        <v>0</v>
      </c>
      <c r="F82" s="72">
        <v>0</v>
      </c>
      <c r="G82" s="77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74">
        <v>0</v>
      </c>
      <c r="Q82" s="77">
        <v>0</v>
      </c>
      <c r="R82" s="28">
        <v>0</v>
      </c>
      <c r="S82" s="74">
        <v>0</v>
      </c>
      <c r="T82" s="77">
        <v>0</v>
      </c>
      <c r="U82" s="72">
        <v>0</v>
      </c>
      <c r="V82" s="74">
        <v>0</v>
      </c>
      <c r="W82" s="75">
        <v>80</v>
      </c>
      <c r="Z82" s="101" t="s">
        <v>611</v>
      </c>
      <c r="AA82" s="71" t="s">
        <v>179</v>
      </c>
      <c r="AB82" s="77" t="s">
        <v>624</v>
      </c>
      <c r="AC82" s="130">
        <v>0</v>
      </c>
      <c r="AD82" s="72">
        <v>0</v>
      </c>
      <c r="AE82" s="73">
        <v>0</v>
      </c>
      <c r="AF82" s="77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74">
        <v>0</v>
      </c>
      <c r="AP82" s="77">
        <v>0</v>
      </c>
      <c r="AQ82" s="28">
        <v>0</v>
      </c>
      <c r="AR82" s="74">
        <v>0</v>
      </c>
      <c r="AS82" s="77">
        <v>0</v>
      </c>
      <c r="AT82" s="72">
        <v>0</v>
      </c>
      <c r="AU82" s="74">
        <v>0</v>
      </c>
      <c r="AV82" s="75">
        <v>80</v>
      </c>
      <c r="AY82" s="101" t="s">
        <v>685</v>
      </c>
      <c r="AZ82" s="71" t="s">
        <v>187</v>
      </c>
      <c r="BA82" s="77" t="s">
        <v>701</v>
      </c>
      <c r="BB82" s="130">
        <v>0</v>
      </c>
      <c r="BC82" s="72">
        <v>0</v>
      </c>
      <c r="BD82" s="73">
        <v>0</v>
      </c>
      <c r="BE82" s="77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74">
        <v>0</v>
      </c>
      <c r="BO82" s="77">
        <v>0</v>
      </c>
      <c r="BP82" s="28">
        <v>0</v>
      </c>
      <c r="BQ82" s="74">
        <v>0</v>
      </c>
      <c r="BR82" s="77">
        <v>0</v>
      </c>
      <c r="BS82" s="72">
        <v>0</v>
      </c>
      <c r="BT82" s="74">
        <v>0</v>
      </c>
      <c r="BU82" s="75">
        <v>80</v>
      </c>
    </row>
    <row r="83" spans="1:73">
      <c r="A83" s="101" t="s">
        <v>611</v>
      </c>
      <c r="B83" s="71" t="s">
        <v>187</v>
      </c>
      <c r="C83" s="71" t="s">
        <v>618</v>
      </c>
      <c r="D83" s="130">
        <v>0</v>
      </c>
      <c r="E83" s="72">
        <v>0</v>
      </c>
      <c r="F83" s="72">
        <v>0</v>
      </c>
      <c r="G83" s="77">
        <v>1</v>
      </c>
      <c r="H83" s="28">
        <v>1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74">
        <v>1</v>
      </c>
      <c r="Q83" s="77">
        <v>0</v>
      </c>
      <c r="R83" s="28">
        <v>0</v>
      </c>
      <c r="S83" s="74">
        <v>0</v>
      </c>
      <c r="T83" s="77">
        <v>0</v>
      </c>
      <c r="U83" s="72">
        <v>0</v>
      </c>
      <c r="V83" s="74">
        <v>0</v>
      </c>
      <c r="W83" s="75">
        <v>81</v>
      </c>
      <c r="Z83" s="101" t="s">
        <v>611</v>
      </c>
      <c r="AA83" s="71" t="s">
        <v>187</v>
      </c>
      <c r="AB83" s="77" t="s">
        <v>618</v>
      </c>
      <c r="AC83" s="130">
        <v>0</v>
      </c>
      <c r="AD83" s="72">
        <v>0</v>
      </c>
      <c r="AE83" s="73">
        <v>0</v>
      </c>
      <c r="AF83" s="77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74">
        <v>0</v>
      </c>
      <c r="AP83" s="77">
        <v>0</v>
      </c>
      <c r="AQ83" s="28">
        <v>0</v>
      </c>
      <c r="AR83" s="74">
        <v>0</v>
      </c>
      <c r="AS83" s="77">
        <v>0</v>
      </c>
      <c r="AT83" s="72">
        <v>0</v>
      </c>
      <c r="AU83" s="74">
        <v>0</v>
      </c>
      <c r="AV83" s="75">
        <v>81</v>
      </c>
      <c r="AY83" s="101" t="s">
        <v>685</v>
      </c>
      <c r="AZ83" s="71" t="s">
        <v>187</v>
      </c>
      <c r="BA83" s="77" t="s">
        <v>699</v>
      </c>
      <c r="BB83" s="130">
        <v>0</v>
      </c>
      <c r="BC83" s="72">
        <v>0</v>
      </c>
      <c r="BD83" s="73">
        <v>0</v>
      </c>
      <c r="BE83" s="77">
        <v>1</v>
      </c>
      <c r="BF83" s="28">
        <v>1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74">
        <v>1</v>
      </c>
      <c r="BO83" s="77">
        <v>0</v>
      </c>
      <c r="BP83" s="28">
        <v>0</v>
      </c>
      <c r="BQ83" s="74">
        <v>0</v>
      </c>
      <c r="BR83" s="77">
        <v>0</v>
      </c>
      <c r="BS83" s="72">
        <v>0</v>
      </c>
      <c r="BT83" s="74">
        <v>0</v>
      </c>
      <c r="BU83" s="75">
        <v>81</v>
      </c>
    </row>
    <row r="84" spans="1:73">
      <c r="A84" s="101" t="s">
        <v>611</v>
      </c>
      <c r="B84" s="71" t="s">
        <v>187</v>
      </c>
      <c r="C84" s="71" t="s">
        <v>625</v>
      </c>
      <c r="D84" s="130">
        <v>0</v>
      </c>
      <c r="E84" s="72">
        <v>0</v>
      </c>
      <c r="F84" s="72">
        <v>0</v>
      </c>
      <c r="G84" s="77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74">
        <v>0</v>
      </c>
      <c r="Q84" s="77">
        <v>0</v>
      </c>
      <c r="R84" s="28">
        <v>0</v>
      </c>
      <c r="S84" s="74">
        <v>0</v>
      </c>
      <c r="T84" s="77">
        <v>0</v>
      </c>
      <c r="U84" s="72">
        <v>0</v>
      </c>
      <c r="V84" s="74">
        <v>0</v>
      </c>
      <c r="W84" s="75">
        <v>82</v>
      </c>
      <c r="Z84" s="101" t="s">
        <v>611</v>
      </c>
      <c r="AA84" s="71" t="s">
        <v>187</v>
      </c>
      <c r="AB84" s="77" t="s">
        <v>625</v>
      </c>
      <c r="AC84" s="130">
        <v>0</v>
      </c>
      <c r="AD84" s="72">
        <v>0</v>
      </c>
      <c r="AE84" s="73">
        <v>0</v>
      </c>
      <c r="AF84" s="77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74">
        <v>0</v>
      </c>
      <c r="AP84" s="77">
        <v>0</v>
      </c>
      <c r="AQ84" s="28">
        <v>0</v>
      </c>
      <c r="AR84" s="74">
        <v>0</v>
      </c>
      <c r="AS84" s="77">
        <v>0</v>
      </c>
      <c r="AT84" s="72">
        <v>0</v>
      </c>
      <c r="AU84" s="74">
        <v>0</v>
      </c>
      <c r="AV84" s="75">
        <v>82</v>
      </c>
      <c r="AY84" s="101" t="s">
        <v>685</v>
      </c>
      <c r="AZ84" s="71" t="s">
        <v>184</v>
      </c>
      <c r="BA84" s="77" t="s">
        <v>692</v>
      </c>
      <c r="BB84" s="130">
        <v>0</v>
      </c>
      <c r="BC84" s="72">
        <v>0</v>
      </c>
      <c r="BD84" s="73">
        <v>0</v>
      </c>
      <c r="BE84" s="77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74">
        <v>0</v>
      </c>
      <c r="BO84" s="77">
        <v>0</v>
      </c>
      <c r="BP84" s="28">
        <v>0</v>
      </c>
      <c r="BQ84" s="74">
        <v>0</v>
      </c>
      <c r="BR84" s="77">
        <v>0</v>
      </c>
      <c r="BS84" s="72">
        <v>0</v>
      </c>
      <c r="BT84" s="74">
        <v>0</v>
      </c>
      <c r="BU84" s="75">
        <v>82</v>
      </c>
    </row>
    <row r="85" spans="1:73">
      <c r="A85" s="101" t="s">
        <v>611</v>
      </c>
      <c r="B85" s="71" t="s">
        <v>186</v>
      </c>
      <c r="C85" s="71" t="s">
        <v>626</v>
      </c>
      <c r="D85" s="130">
        <v>0</v>
      </c>
      <c r="E85" s="72">
        <v>0</v>
      </c>
      <c r="F85" s="72">
        <v>0</v>
      </c>
      <c r="G85" s="77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74">
        <v>0</v>
      </c>
      <c r="Q85" s="77">
        <v>0</v>
      </c>
      <c r="R85" s="28">
        <v>0</v>
      </c>
      <c r="S85" s="74">
        <v>0</v>
      </c>
      <c r="T85" s="77">
        <v>0</v>
      </c>
      <c r="U85" s="72">
        <v>0</v>
      </c>
      <c r="V85" s="74">
        <v>0</v>
      </c>
      <c r="W85" s="75">
        <v>83</v>
      </c>
      <c r="Z85" s="101" t="s">
        <v>611</v>
      </c>
      <c r="AA85" s="71" t="s">
        <v>186</v>
      </c>
      <c r="AB85" s="77" t="s">
        <v>626</v>
      </c>
      <c r="AC85" s="130">
        <v>1</v>
      </c>
      <c r="AD85" s="72">
        <v>1</v>
      </c>
      <c r="AE85" s="73">
        <v>1</v>
      </c>
      <c r="AF85" s="77">
        <v>1</v>
      </c>
      <c r="AG85" s="28">
        <v>1</v>
      </c>
      <c r="AH85" s="28">
        <v>0</v>
      </c>
      <c r="AI85" s="28">
        <v>1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74">
        <v>0</v>
      </c>
      <c r="AP85" s="77">
        <v>0</v>
      </c>
      <c r="AQ85" s="28">
        <v>1</v>
      </c>
      <c r="AR85" s="74">
        <v>1</v>
      </c>
      <c r="AS85" s="77">
        <v>1</v>
      </c>
      <c r="AT85" s="72">
        <v>2</v>
      </c>
      <c r="AU85" s="74">
        <v>0</v>
      </c>
      <c r="AV85" s="75">
        <v>83</v>
      </c>
      <c r="AY85" s="101" t="s">
        <v>685</v>
      </c>
      <c r="AZ85" s="71" t="s">
        <v>184</v>
      </c>
      <c r="BA85" s="77" t="s">
        <v>694</v>
      </c>
      <c r="BB85" s="130">
        <v>0</v>
      </c>
      <c r="BC85" s="72">
        <v>0</v>
      </c>
      <c r="BD85" s="73">
        <v>0</v>
      </c>
      <c r="BE85" s="77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74">
        <v>0</v>
      </c>
      <c r="BO85" s="77">
        <v>0</v>
      </c>
      <c r="BP85" s="28">
        <v>0</v>
      </c>
      <c r="BQ85" s="74">
        <v>0</v>
      </c>
      <c r="BR85" s="77">
        <v>0</v>
      </c>
      <c r="BS85" s="72">
        <v>0</v>
      </c>
      <c r="BT85" s="74">
        <v>0</v>
      </c>
      <c r="BU85" s="75">
        <v>83</v>
      </c>
    </row>
    <row r="86" spans="1:73">
      <c r="A86" s="101" t="s">
        <v>611</v>
      </c>
      <c r="B86" s="71" t="s">
        <v>184</v>
      </c>
      <c r="C86" s="71" t="s">
        <v>627</v>
      </c>
      <c r="D86" s="130">
        <v>0</v>
      </c>
      <c r="E86" s="72">
        <v>0</v>
      </c>
      <c r="F86" s="72">
        <v>0</v>
      </c>
      <c r="G86" s="77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74">
        <v>0</v>
      </c>
      <c r="Q86" s="77">
        <v>0</v>
      </c>
      <c r="R86" s="28">
        <v>0</v>
      </c>
      <c r="S86" s="74">
        <v>0</v>
      </c>
      <c r="T86" s="77">
        <v>0</v>
      </c>
      <c r="U86" s="72">
        <v>0</v>
      </c>
      <c r="V86" s="74">
        <v>0</v>
      </c>
      <c r="W86" s="75">
        <v>84</v>
      </c>
      <c r="Z86" s="101" t="s">
        <v>611</v>
      </c>
      <c r="AA86" s="71" t="s">
        <v>184</v>
      </c>
      <c r="AB86" s="77" t="s">
        <v>628</v>
      </c>
      <c r="AC86" s="130">
        <v>0</v>
      </c>
      <c r="AD86" s="72">
        <v>0</v>
      </c>
      <c r="AE86" s="73">
        <v>0</v>
      </c>
      <c r="AF86" s="77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74">
        <v>0</v>
      </c>
      <c r="AP86" s="77">
        <v>0</v>
      </c>
      <c r="AQ86" s="28">
        <v>0</v>
      </c>
      <c r="AR86" s="74">
        <v>0</v>
      </c>
      <c r="AS86" s="77">
        <v>0</v>
      </c>
      <c r="AT86" s="72">
        <v>0</v>
      </c>
      <c r="AU86" s="74">
        <v>0</v>
      </c>
      <c r="AV86" s="75">
        <v>84</v>
      </c>
      <c r="AY86" s="101" t="s">
        <v>685</v>
      </c>
      <c r="AZ86" s="71" t="s">
        <v>184</v>
      </c>
      <c r="BA86" s="77" t="s">
        <v>702</v>
      </c>
      <c r="BB86" s="130">
        <v>0</v>
      </c>
      <c r="BC86" s="72">
        <v>0</v>
      </c>
      <c r="BD86" s="73">
        <v>0</v>
      </c>
      <c r="BE86" s="77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28">
        <v>0</v>
      </c>
      <c r="BL86" s="28">
        <v>0</v>
      </c>
      <c r="BM86" s="28">
        <v>0</v>
      </c>
      <c r="BN86" s="74">
        <v>0</v>
      </c>
      <c r="BO86" s="77">
        <v>0</v>
      </c>
      <c r="BP86" s="28">
        <v>0</v>
      </c>
      <c r="BQ86" s="74">
        <v>0</v>
      </c>
      <c r="BR86" s="77">
        <v>0</v>
      </c>
      <c r="BS86" s="72">
        <v>0</v>
      </c>
      <c r="BT86" s="74">
        <v>0</v>
      </c>
      <c r="BU86" s="75">
        <v>84</v>
      </c>
    </row>
    <row r="87" spans="1:73">
      <c r="A87" s="101" t="s">
        <v>770</v>
      </c>
      <c r="B87" s="71" t="s">
        <v>179</v>
      </c>
      <c r="C87" s="71" t="s">
        <v>779</v>
      </c>
      <c r="D87" s="130">
        <v>8.8235294117647065E-2</v>
      </c>
      <c r="E87" s="72">
        <v>8.8235294117647065E-2</v>
      </c>
      <c r="F87" s="72">
        <v>0.20588235294117646</v>
      </c>
      <c r="G87" s="77">
        <v>8</v>
      </c>
      <c r="H87" s="28">
        <v>34</v>
      </c>
      <c r="I87" s="28">
        <v>3</v>
      </c>
      <c r="J87" s="28">
        <v>3</v>
      </c>
      <c r="K87" s="28">
        <v>1</v>
      </c>
      <c r="L87" s="28">
        <v>0</v>
      </c>
      <c r="M87" s="28">
        <v>1</v>
      </c>
      <c r="N87" s="28">
        <v>1</v>
      </c>
      <c r="O87" s="28">
        <v>0</v>
      </c>
      <c r="P87" s="74">
        <v>14</v>
      </c>
      <c r="Q87" s="77">
        <v>0</v>
      </c>
      <c r="R87" s="28">
        <v>0</v>
      </c>
      <c r="S87" s="74">
        <v>1</v>
      </c>
      <c r="T87" s="77">
        <v>7</v>
      </c>
      <c r="U87" s="72">
        <v>0.29411764705882354</v>
      </c>
      <c r="V87" s="74">
        <v>1</v>
      </c>
      <c r="W87" s="75">
        <v>85</v>
      </c>
      <c r="Z87" s="101" t="s">
        <v>804</v>
      </c>
      <c r="AA87" s="71" t="s">
        <v>179</v>
      </c>
      <c r="AB87" s="77" t="s">
        <v>813</v>
      </c>
      <c r="AC87" s="130">
        <v>0.16666666666666666</v>
      </c>
      <c r="AD87" s="72">
        <v>0.16666666666666666</v>
      </c>
      <c r="AE87" s="73">
        <v>0.41666666666666669</v>
      </c>
      <c r="AF87" s="77">
        <v>3</v>
      </c>
      <c r="AG87" s="28">
        <v>12</v>
      </c>
      <c r="AH87" s="28">
        <v>1</v>
      </c>
      <c r="AI87" s="28">
        <v>2</v>
      </c>
      <c r="AJ87" s="28">
        <v>0</v>
      </c>
      <c r="AK87" s="28">
        <v>0</v>
      </c>
      <c r="AL87" s="28">
        <v>1</v>
      </c>
      <c r="AM87" s="28">
        <v>1</v>
      </c>
      <c r="AN87" s="28">
        <v>0</v>
      </c>
      <c r="AO87" s="74">
        <v>6</v>
      </c>
      <c r="AP87" s="77">
        <v>0</v>
      </c>
      <c r="AQ87" s="28">
        <v>1</v>
      </c>
      <c r="AR87" s="74">
        <v>1</v>
      </c>
      <c r="AS87" s="77">
        <v>5</v>
      </c>
      <c r="AT87" s="72">
        <v>0.58333333333333337</v>
      </c>
      <c r="AU87" s="74">
        <v>0</v>
      </c>
      <c r="AV87" s="75">
        <v>85</v>
      </c>
      <c r="AY87" s="365" t="s">
        <v>770</v>
      </c>
      <c r="AZ87" s="345" t="s">
        <v>179</v>
      </c>
      <c r="BA87" s="352" t="s">
        <v>779</v>
      </c>
      <c r="BB87" s="130">
        <v>0.3</v>
      </c>
      <c r="BC87" s="72">
        <v>0.35384615384615387</v>
      </c>
      <c r="BD87" s="73">
        <v>0.41666666666666669</v>
      </c>
      <c r="BE87" s="77">
        <v>14</v>
      </c>
      <c r="BF87" s="28">
        <v>60</v>
      </c>
      <c r="BG87" s="28">
        <v>7</v>
      </c>
      <c r="BH87" s="28">
        <v>18</v>
      </c>
      <c r="BI87" s="28">
        <v>4</v>
      </c>
      <c r="BJ87" s="28">
        <v>0</v>
      </c>
      <c r="BK87" s="28">
        <v>1</v>
      </c>
      <c r="BL87" s="28">
        <v>8</v>
      </c>
      <c r="BM87" s="28">
        <v>5</v>
      </c>
      <c r="BN87" s="74">
        <v>19</v>
      </c>
      <c r="BO87" s="77">
        <v>0</v>
      </c>
      <c r="BP87" s="28">
        <v>5</v>
      </c>
      <c r="BQ87" s="74">
        <v>8</v>
      </c>
      <c r="BR87" s="77">
        <v>25</v>
      </c>
      <c r="BS87" s="72">
        <v>0.77051282051282055</v>
      </c>
      <c r="BT87" s="74">
        <v>1</v>
      </c>
      <c r="BU87" s="75">
        <v>85</v>
      </c>
    </row>
    <row r="88" spans="1:73">
      <c r="A88" s="101" t="s">
        <v>770</v>
      </c>
      <c r="B88" s="71" t="s">
        <v>154</v>
      </c>
      <c r="C88" s="71" t="s">
        <v>771</v>
      </c>
      <c r="D88" s="130">
        <v>0.15151515151515152</v>
      </c>
      <c r="E88" s="72">
        <v>0.2</v>
      </c>
      <c r="F88" s="72">
        <v>0.24242424242424243</v>
      </c>
      <c r="G88" s="77">
        <v>8</v>
      </c>
      <c r="H88" s="28">
        <v>33</v>
      </c>
      <c r="I88" s="28">
        <v>2</v>
      </c>
      <c r="J88" s="28">
        <v>5</v>
      </c>
      <c r="K88" s="28">
        <v>3</v>
      </c>
      <c r="L88" s="28">
        <v>0</v>
      </c>
      <c r="M88" s="28">
        <v>0</v>
      </c>
      <c r="N88" s="28">
        <v>1</v>
      </c>
      <c r="O88" s="28">
        <v>2</v>
      </c>
      <c r="P88" s="74">
        <v>11</v>
      </c>
      <c r="Q88" s="77">
        <v>0</v>
      </c>
      <c r="R88" s="28">
        <v>3</v>
      </c>
      <c r="S88" s="74">
        <v>3</v>
      </c>
      <c r="T88" s="77">
        <v>8</v>
      </c>
      <c r="U88" s="72">
        <v>0.44242424242424244</v>
      </c>
      <c r="V88" s="74">
        <v>1</v>
      </c>
      <c r="W88" s="75">
        <v>86</v>
      </c>
      <c r="Z88" s="101" t="s">
        <v>804</v>
      </c>
      <c r="AA88" s="71" t="s">
        <v>154</v>
      </c>
      <c r="AB88" s="77" t="s">
        <v>808</v>
      </c>
      <c r="AC88" s="130">
        <v>0.25</v>
      </c>
      <c r="AD88" s="72">
        <v>0.30769230769230771</v>
      </c>
      <c r="AE88" s="73">
        <v>0.33333333333333331</v>
      </c>
      <c r="AF88" s="77">
        <v>3</v>
      </c>
      <c r="AG88" s="28">
        <v>12</v>
      </c>
      <c r="AH88" s="28">
        <v>1</v>
      </c>
      <c r="AI88" s="28">
        <v>3</v>
      </c>
      <c r="AJ88" s="28">
        <v>1</v>
      </c>
      <c r="AK88" s="28">
        <v>0</v>
      </c>
      <c r="AL88" s="28">
        <v>0</v>
      </c>
      <c r="AM88" s="28">
        <v>0</v>
      </c>
      <c r="AN88" s="28">
        <v>1</v>
      </c>
      <c r="AO88" s="74">
        <v>3</v>
      </c>
      <c r="AP88" s="77">
        <v>0</v>
      </c>
      <c r="AQ88" s="28">
        <v>2</v>
      </c>
      <c r="AR88" s="74">
        <v>2</v>
      </c>
      <c r="AS88" s="77">
        <v>4</v>
      </c>
      <c r="AT88" s="72">
        <v>0.64102564102564097</v>
      </c>
      <c r="AU88" s="74">
        <v>0</v>
      </c>
      <c r="AV88" s="75">
        <v>86</v>
      </c>
      <c r="AY88" s="365" t="s">
        <v>770</v>
      </c>
      <c r="AZ88" s="345" t="s">
        <v>154</v>
      </c>
      <c r="BA88" s="77" t="s">
        <v>775</v>
      </c>
      <c r="BB88" s="130">
        <v>0.26315789473684209</v>
      </c>
      <c r="BC88" s="72">
        <v>0.38235294117647056</v>
      </c>
      <c r="BD88" s="73">
        <v>0.43859649122807015</v>
      </c>
      <c r="BE88" s="77">
        <v>14</v>
      </c>
      <c r="BF88" s="28">
        <v>57</v>
      </c>
      <c r="BG88" s="28">
        <v>12</v>
      </c>
      <c r="BH88" s="28">
        <v>15</v>
      </c>
      <c r="BI88" s="28">
        <v>1</v>
      </c>
      <c r="BJ88" s="28">
        <v>0</v>
      </c>
      <c r="BK88" s="28">
        <v>3</v>
      </c>
      <c r="BL88" s="28">
        <v>12</v>
      </c>
      <c r="BM88" s="28">
        <v>11</v>
      </c>
      <c r="BN88" s="74">
        <v>24</v>
      </c>
      <c r="BO88" s="77">
        <v>0</v>
      </c>
      <c r="BP88" s="28">
        <v>2</v>
      </c>
      <c r="BQ88" s="74">
        <v>6</v>
      </c>
      <c r="BR88" s="77">
        <v>25</v>
      </c>
      <c r="BS88" s="72">
        <v>0.82094943240454077</v>
      </c>
      <c r="BT88" s="74">
        <v>2</v>
      </c>
      <c r="BU88" s="75">
        <v>86</v>
      </c>
    </row>
    <row r="89" spans="1:73">
      <c r="A89" s="101" t="s">
        <v>770</v>
      </c>
      <c r="B89" s="71" t="s">
        <v>172</v>
      </c>
      <c r="C89" s="71" t="s">
        <v>778</v>
      </c>
      <c r="D89" s="130">
        <v>0.13333333333333333</v>
      </c>
      <c r="E89" s="72">
        <v>0.16129032258064516</v>
      </c>
      <c r="F89" s="72">
        <v>0.3</v>
      </c>
      <c r="G89" s="77">
        <v>8</v>
      </c>
      <c r="H89" s="28">
        <v>30</v>
      </c>
      <c r="I89" s="28">
        <v>2</v>
      </c>
      <c r="J89" s="28">
        <v>4</v>
      </c>
      <c r="K89" s="28">
        <v>2</v>
      </c>
      <c r="L89" s="28">
        <v>0</v>
      </c>
      <c r="M89" s="28">
        <v>1</v>
      </c>
      <c r="N89" s="28">
        <v>2</v>
      </c>
      <c r="O89" s="28">
        <v>1</v>
      </c>
      <c r="P89" s="74">
        <v>7</v>
      </c>
      <c r="Q89" s="77">
        <v>0</v>
      </c>
      <c r="R89" s="28">
        <v>0</v>
      </c>
      <c r="S89" s="74">
        <v>1</v>
      </c>
      <c r="T89" s="77">
        <v>9</v>
      </c>
      <c r="U89" s="72">
        <v>0.46129032258064517</v>
      </c>
      <c r="V89" s="74">
        <v>0</v>
      </c>
      <c r="W89" s="75">
        <v>87</v>
      </c>
      <c r="Z89" s="101" t="s">
        <v>804</v>
      </c>
      <c r="AA89" s="71" t="s">
        <v>172</v>
      </c>
      <c r="AB89" s="77" t="s">
        <v>805</v>
      </c>
      <c r="AC89" s="130">
        <v>9.0909090909090912E-2</v>
      </c>
      <c r="AD89" s="72">
        <v>0.23076923076923078</v>
      </c>
      <c r="AE89" s="73">
        <v>0.36363636363636365</v>
      </c>
      <c r="AF89" s="77">
        <v>3</v>
      </c>
      <c r="AG89" s="28">
        <v>11</v>
      </c>
      <c r="AH89" s="28">
        <v>1</v>
      </c>
      <c r="AI89" s="28">
        <v>1</v>
      </c>
      <c r="AJ89" s="28">
        <v>0</v>
      </c>
      <c r="AK89" s="28">
        <v>0</v>
      </c>
      <c r="AL89" s="28">
        <v>1</v>
      </c>
      <c r="AM89" s="28">
        <v>1</v>
      </c>
      <c r="AN89" s="28">
        <v>2</v>
      </c>
      <c r="AO89" s="74">
        <v>1</v>
      </c>
      <c r="AP89" s="77">
        <v>0</v>
      </c>
      <c r="AQ89" s="28">
        <v>0</v>
      </c>
      <c r="AR89" s="74">
        <v>1</v>
      </c>
      <c r="AS89" s="77">
        <v>4</v>
      </c>
      <c r="AT89" s="72">
        <v>0.59440559440559437</v>
      </c>
      <c r="AU89" s="74">
        <v>0</v>
      </c>
      <c r="AV89" s="75">
        <v>87</v>
      </c>
      <c r="AY89" s="365" t="s">
        <v>770</v>
      </c>
      <c r="AZ89" s="71" t="s">
        <v>235</v>
      </c>
      <c r="BA89" s="77" t="s">
        <v>778</v>
      </c>
      <c r="BB89" s="130">
        <v>0.32692307692307693</v>
      </c>
      <c r="BC89" s="72">
        <v>0.38596491228070173</v>
      </c>
      <c r="BD89" s="73">
        <v>0.44230769230769229</v>
      </c>
      <c r="BE89" s="77">
        <v>14</v>
      </c>
      <c r="BF89" s="28">
        <v>52</v>
      </c>
      <c r="BG89" s="28">
        <v>7</v>
      </c>
      <c r="BH89" s="28">
        <v>17</v>
      </c>
      <c r="BI89" s="28">
        <v>3</v>
      </c>
      <c r="BJ89" s="28">
        <v>0</v>
      </c>
      <c r="BK89" s="28">
        <v>1</v>
      </c>
      <c r="BL89" s="28">
        <v>8</v>
      </c>
      <c r="BM89" s="28">
        <v>5</v>
      </c>
      <c r="BN89" s="74">
        <v>22</v>
      </c>
      <c r="BO89" s="77">
        <v>0</v>
      </c>
      <c r="BP89" s="28">
        <v>1</v>
      </c>
      <c r="BQ89" s="74">
        <v>6</v>
      </c>
      <c r="BR89" s="77">
        <v>23</v>
      </c>
      <c r="BS89" s="72">
        <v>0.82827260458839402</v>
      </c>
      <c r="BT89" s="74">
        <v>0</v>
      </c>
      <c r="BU89" s="75">
        <v>87</v>
      </c>
    </row>
    <row r="90" spans="1:73">
      <c r="A90" s="101" t="s">
        <v>770</v>
      </c>
      <c r="B90" s="71" t="s">
        <v>153</v>
      </c>
      <c r="C90" s="71" t="s">
        <v>777</v>
      </c>
      <c r="D90" s="130">
        <v>0.22857142857142856</v>
      </c>
      <c r="E90" s="72">
        <v>0.27027027027027029</v>
      </c>
      <c r="F90" s="72">
        <v>0.2857142857142857</v>
      </c>
      <c r="G90" s="77">
        <v>8</v>
      </c>
      <c r="H90" s="28">
        <v>35</v>
      </c>
      <c r="I90" s="28">
        <v>1</v>
      </c>
      <c r="J90" s="28">
        <v>8</v>
      </c>
      <c r="K90" s="28">
        <v>2</v>
      </c>
      <c r="L90" s="28">
        <v>0</v>
      </c>
      <c r="M90" s="28">
        <v>0</v>
      </c>
      <c r="N90" s="28">
        <v>2</v>
      </c>
      <c r="O90" s="28">
        <v>2</v>
      </c>
      <c r="P90" s="74">
        <v>11</v>
      </c>
      <c r="Q90" s="77">
        <v>0</v>
      </c>
      <c r="R90" s="28">
        <v>1</v>
      </c>
      <c r="S90" s="74">
        <v>3</v>
      </c>
      <c r="T90" s="77">
        <v>10</v>
      </c>
      <c r="U90" s="72">
        <v>0.55598455598455598</v>
      </c>
      <c r="V90" s="74">
        <v>0</v>
      </c>
      <c r="W90" s="75">
        <v>88</v>
      </c>
      <c r="Z90" s="101" t="s">
        <v>804</v>
      </c>
      <c r="AA90" s="71" t="s">
        <v>153</v>
      </c>
      <c r="AB90" s="77" t="s">
        <v>811</v>
      </c>
      <c r="AC90" s="130">
        <v>0.15384615384615385</v>
      </c>
      <c r="AD90" s="72">
        <v>0.15384615384615385</v>
      </c>
      <c r="AE90" s="73">
        <v>0.15384615384615385</v>
      </c>
      <c r="AF90" s="77">
        <v>3</v>
      </c>
      <c r="AG90" s="28">
        <v>13</v>
      </c>
      <c r="AH90" s="28">
        <v>1</v>
      </c>
      <c r="AI90" s="28">
        <v>2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74">
        <v>5</v>
      </c>
      <c r="AP90" s="77">
        <v>0</v>
      </c>
      <c r="AQ90" s="28">
        <v>1</v>
      </c>
      <c r="AR90" s="74">
        <v>1</v>
      </c>
      <c r="AS90" s="77">
        <v>2</v>
      </c>
      <c r="AT90" s="72">
        <v>0.30769230769230771</v>
      </c>
      <c r="AU90" s="74">
        <v>0</v>
      </c>
      <c r="AV90" s="75">
        <v>88</v>
      </c>
      <c r="AY90" s="365" t="s">
        <v>770</v>
      </c>
      <c r="AZ90" s="71" t="s">
        <v>153</v>
      </c>
      <c r="BA90" s="77" t="s">
        <v>780</v>
      </c>
      <c r="BB90" s="130">
        <v>0.25862068965517243</v>
      </c>
      <c r="BC90" s="72">
        <v>0.30645161290322581</v>
      </c>
      <c r="BD90" s="73">
        <v>0.32758620689655171</v>
      </c>
      <c r="BE90" s="77">
        <v>14</v>
      </c>
      <c r="BF90" s="28">
        <v>58</v>
      </c>
      <c r="BG90" s="28">
        <v>2</v>
      </c>
      <c r="BH90" s="28">
        <v>15</v>
      </c>
      <c r="BI90" s="28">
        <v>2</v>
      </c>
      <c r="BJ90" s="28">
        <v>1</v>
      </c>
      <c r="BK90" s="28">
        <v>0</v>
      </c>
      <c r="BL90" s="28">
        <v>2</v>
      </c>
      <c r="BM90" s="28">
        <v>4</v>
      </c>
      <c r="BN90" s="74">
        <v>18</v>
      </c>
      <c r="BO90" s="77">
        <v>0</v>
      </c>
      <c r="BP90" s="28">
        <v>0</v>
      </c>
      <c r="BQ90" s="74">
        <v>5</v>
      </c>
      <c r="BR90" s="77">
        <v>19</v>
      </c>
      <c r="BS90" s="72">
        <v>0.63403781979977758</v>
      </c>
      <c r="BT90" s="74">
        <v>0</v>
      </c>
      <c r="BU90" s="75">
        <v>88</v>
      </c>
    </row>
    <row r="91" spans="1:73">
      <c r="A91" s="101" t="s">
        <v>770</v>
      </c>
      <c r="B91" s="71" t="s">
        <v>177</v>
      </c>
      <c r="C91" s="71" t="s">
        <v>773</v>
      </c>
      <c r="D91" s="130">
        <v>0.20588235294117646</v>
      </c>
      <c r="E91" s="72">
        <v>0.25</v>
      </c>
      <c r="F91" s="72">
        <v>0.3235294117647059</v>
      </c>
      <c r="G91" s="77">
        <v>8</v>
      </c>
      <c r="H91" s="28">
        <v>34</v>
      </c>
      <c r="I91" s="28">
        <v>3</v>
      </c>
      <c r="J91" s="28">
        <v>7</v>
      </c>
      <c r="K91" s="28">
        <v>1</v>
      </c>
      <c r="L91" s="28">
        <v>0</v>
      </c>
      <c r="M91" s="28">
        <v>1</v>
      </c>
      <c r="N91" s="28">
        <v>4</v>
      </c>
      <c r="O91" s="28">
        <v>2</v>
      </c>
      <c r="P91" s="74">
        <v>8</v>
      </c>
      <c r="Q91" s="77">
        <v>0</v>
      </c>
      <c r="R91" s="28">
        <v>0</v>
      </c>
      <c r="S91" s="74">
        <v>4</v>
      </c>
      <c r="T91" s="77">
        <v>11</v>
      </c>
      <c r="U91" s="72">
        <v>0.57352941176470584</v>
      </c>
      <c r="V91" s="74">
        <v>1</v>
      </c>
      <c r="W91" s="75">
        <v>89</v>
      </c>
      <c r="Z91" s="101" t="s">
        <v>804</v>
      </c>
      <c r="AA91" s="71" t="s">
        <v>177</v>
      </c>
      <c r="AB91" s="77" t="s">
        <v>806</v>
      </c>
      <c r="AC91" s="130">
        <v>0.16666666666666666</v>
      </c>
      <c r="AD91" s="72">
        <v>0.23076923076923078</v>
      </c>
      <c r="AE91" s="73">
        <v>0.16666666666666666</v>
      </c>
      <c r="AF91" s="77">
        <v>3</v>
      </c>
      <c r="AG91" s="28">
        <v>12</v>
      </c>
      <c r="AH91" s="28">
        <v>0</v>
      </c>
      <c r="AI91" s="28">
        <v>2</v>
      </c>
      <c r="AJ91" s="28">
        <v>0</v>
      </c>
      <c r="AK91" s="28">
        <v>0</v>
      </c>
      <c r="AL91" s="28">
        <v>0</v>
      </c>
      <c r="AM91" s="28">
        <v>1</v>
      </c>
      <c r="AN91" s="28">
        <v>1</v>
      </c>
      <c r="AO91" s="74">
        <v>3</v>
      </c>
      <c r="AP91" s="77">
        <v>0</v>
      </c>
      <c r="AQ91" s="28">
        <v>0</v>
      </c>
      <c r="AR91" s="74">
        <v>1</v>
      </c>
      <c r="AS91" s="77">
        <v>2</v>
      </c>
      <c r="AT91" s="72">
        <v>0.39743589743589747</v>
      </c>
      <c r="AU91" s="74">
        <v>0</v>
      </c>
      <c r="AV91" s="75">
        <v>89</v>
      </c>
      <c r="AY91" s="365" t="s">
        <v>770</v>
      </c>
      <c r="AZ91" s="345" t="s">
        <v>177</v>
      </c>
      <c r="BA91" s="77" t="s">
        <v>781</v>
      </c>
      <c r="BB91" s="130">
        <v>0.19354838709677419</v>
      </c>
      <c r="BC91" s="72">
        <v>0.30555555555555558</v>
      </c>
      <c r="BD91" s="73">
        <v>0.46774193548387094</v>
      </c>
      <c r="BE91" s="77">
        <v>14</v>
      </c>
      <c r="BF91" s="76">
        <v>62</v>
      </c>
      <c r="BG91" s="28">
        <v>12</v>
      </c>
      <c r="BH91" s="28">
        <v>12</v>
      </c>
      <c r="BI91" s="28">
        <v>2</v>
      </c>
      <c r="BJ91" s="28">
        <v>0</v>
      </c>
      <c r="BK91" s="28">
        <v>5</v>
      </c>
      <c r="BL91" s="28">
        <v>9</v>
      </c>
      <c r="BM91" s="28">
        <v>10</v>
      </c>
      <c r="BN91" s="74">
        <v>22</v>
      </c>
      <c r="BO91" s="77">
        <v>0</v>
      </c>
      <c r="BP91" s="28">
        <v>2</v>
      </c>
      <c r="BQ91" s="74">
        <v>3</v>
      </c>
      <c r="BR91" s="77">
        <v>29</v>
      </c>
      <c r="BS91" s="72">
        <v>0.77329749103942658</v>
      </c>
      <c r="BT91" s="74">
        <v>2</v>
      </c>
      <c r="BU91" s="75">
        <v>89</v>
      </c>
    </row>
    <row r="92" spans="1:73">
      <c r="A92" s="101" t="s">
        <v>770</v>
      </c>
      <c r="B92" s="71" t="s">
        <v>174</v>
      </c>
      <c r="C92" s="71" t="s">
        <v>782</v>
      </c>
      <c r="D92" s="130">
        <v>0.25</v>
      </c>
      <c r="E92" s="72">
        <v>0.31428571428571428</v>
      </c>
      <c r="F92" s="72">
        <v>0.5</v>
      </c>
      <c r="G92" s="77">
        <v>8</v>
      </c>
      <c r="H92" s="28">
        <v>32</v>
      </c>
      <c r="I92" s="28">
        <v>4</v>
      </c>
      <c r="J92" s="28">
        <v>8</v>
      </c>
      <c r="K92" s="28">
        <v>2</v>
      </c>
      <c r="L92" s="28">
        <v>0</v>
      </c>
      <c r="M92" s="28">
        <v>2</v>
      </c>
      <c r="N92" s="28">
        <v>5</v>
      </c>
      <c r="O92" s="28">
        <v>3</v>
      </c>
      <c r="P92" s="74">
        <v>10</v>
      </c>
      <c r="Q92" s="77">
        <v>0</v>
      </c>
      <c r="R92" s="28">
        <v>5</v>
      </c>
      <c r="S92" s="74">
        <v>5</v>
      </c>
      <c r="T92" s="77">
        <v>16</v>
      </c>
      <c r="U92" s="72">
        <v>0.81428571428571428</v>
      </c>
      <c r="V92" s="74">
        <v>0</v>
      </c>
      <c r="W92" s="75">
        <v>90</v>
      </c>
      <c r="Z92" s="101" t="s">
        <v>804</v>
      </c>
      <c r="AA92" s="71" t="s">
        <v>174</v>
      </c>
      <c r="AB92" s="77" t="s">
        <v>812</v>
      </c>
      <c r="AC92" s="130">
        <v>0.33333333333333331</v>
      </c>
      <c r="AD92" s="72">
        <v>0.38461538461538464</v>
      </c>
      <c r="AE92" s="73">
        <v>0.5</v>
      </c>
      <c r="AF92" s="77">
        <v>3</v>
      </c>
      <c r="AG92" s="28">
        <v>12</v>
      </c>
      <c r="AH92" s="28">
        <v>0</v>
      </c>
      <c r="AI92" s="28">
        <v>4</v>
      </c>
      <c r="AJ92" s="28">
        <v>2</v>
      </c>
      <c r="AK92" s="28">
        <v>0</v>
      </c>
      <c r="AL92" s="28">
        <v>0</v>
      </c>
      <c r="AM92" s="28">
        <v>1</v>
      </c>
      <c r="AN92" s="28">
        <v>1</v>
      </c>
      <c r="AO92" s="74">
        <v>3</v>
      </c>
      <c r="AP92" s="77">
        <v>0</v>
      </c>
      <c r="AQ92" s="28">
        <v>0</v>
      </c>
      <c r="AR92" s="74">
        <v>2</v>
      </c>
      <c r="AS92" s="77">
        <v>6</v>
      </c>
      <c r="AT92" s="72">
        <v>0.88461538461538458</v>
      </c>
      <c r="AU92" s="74">
        <v>0</v>
      </c>
      <c r="AV92" s="75">
        <v>90</v>
      </c>
      <c r="AY92" s="365" t="s">
        <v>770</v>
      </c>
      <c r="AZ92" s="71" t="s">
        <v>234</v>
      </c>
      <c r="BA92" s="77" t="s">
        <v>784</v>
      </c>
      <c r="BB92" s="130">
        <v>0.22033898305084745</v>
      </c>
      <c r="BC92" s="72">
        <v>0.26984126984126983</v>
      </c>
      <c r="BD92" s="73">
        <v>0.30508474576271188</v>
      </c>
      <c r="BE92" s="77">
        <v>14</v>
      </c>
      <c r="BF92" s="28">
        <v>59</v>
      </c>
      <c r="BG92" s="28">
        <v>4</v>
      </c>
      <c r="BH92" s="28">
        <v>13</v>
      </c>
      <c r="BI92" s="28">
        <v>2</v>
      </c>
      <c r="BJ92" s="28">
        <v>0</v>
      </c>
      <c r="BK92" s="28">
        <v>1</v>
      </c>
      <c r="BL92" s="28">
        <v>8</v>
      </c>
      <c r="BM92" s="28">
        <v>4</v>
      </c>
      <c r="BN92" s="74">
        <v>23</v>
      </c>
      <c r="BO92" s="77">
        <v>0</v>
      </c>
      <c r="BP92" s="28">
        <v>0</v>
      </c>
      <c r="BQ92" s="74">
        <v>7</v>
      </c>
      <c r="BR92" s="77">
        <v>18</v>
      </c>
      <c r="BS92" s="72">
        <v>0.57492601560398171</v>
      </c>
      <c r="BT92" s="74">
        <v>1</v>
      </c>
      <c r="BU92" s="75">
        <v>90</v>
      </c>
    </row>
    <row r="93" spans="1:73">
      <c r="A93" s="101" t="s">
        <v>770</v>
      </c>
      <c r="B93" s="71" t="s">
        <v>181</v>
      </c>
      <c r="C93" s="71" t="s">
        <v>776</v>
      </c>
      <c r="D93" s="130">
        <v>0.22580645161290322</v>
      </c>
      <c r="E93" s="72">
        <v>0.35135135135135137</v>
      </c>
      <c r="F93" s="72">
        <v>0.29032258064516131</v>
      </c>
      <c r="G93" s="77">
        <v>8</v>
      </c>
      <c r="H93" s="28">
        <v>31</v>
      </c>
      <c r="I93" s="28">
        <v>3</v>
      </c>
      <c r="J93" s="28">
        <v>7</v>
      </c>
      <c r="K93" s="28">
        <v>2</v>
      </c>
      <c r="L93" s="28">
        <v>0</v>
      </c>
      <c r="M93" s="28">
        <v>0</v>
      </c>
      <c r="N93" s="28">
        <v>1</v>
      </c>
      <c r="O93" s="28">
        <v>6</v>
      </c>
      <c r="P93" s="74">
        <v>7</v>
      </c>
      <c r="Q93" s="77">
        <v>2</v>
      </c>
      <c r="R93" s="28">
        <v>2</v>
      </c>
      <c r="S93" s="74">
        <v>3</v>
      </c>
      <c r="T93" s="77">
        <v>9</v>
      </c>
      <c r="U93" s="72">
        <v>0.64167393199651268</v>
      </c>
      <c r="V93" s="74">
        <v>1</v>
      </c>
      <c r="W93" s="75">
        <v>91</v>
      </c>
      <c r="Z93" s="101" t="s">
        <v>804</v>
      </c>
      <c r="AA93" s="71" t="s">
        <v>181</v>
      </c>
      <c r="AB93" s="77" t="s">
        <v>810</v>
      </c>
      <c r="AC93" s="130">
        <v>0.33333333333333331</v>
      </c>
      <c r="AD93" s="72">
        <v>0.38461538461538464</v>
      </c>
      <c r="AE93" s="73">
        <v>0.58333333333333337</v>
      </c>
      <c r="AF93" s="77">
        <v>3</v>
      </c>
      <c r="AG93" s="28">
        <v>12</v>
      </c>
      <c r="AH93" s="28">
        <v>2</v>
      </c>
      <c r="AI93" s="28">
        <v>4</v>
      </c>
      <c r="AJ93" s="28">
        <v>3</v>
      </c>
      <c r="AK93" s="28">
        <v>0</v>
      </c>
      <c r="AL93" s="28">
        <v>0</v>
      </c>
      <c r="AM93" s="28">
        <v>1</v>
      </c>
      <c r="AN93" s="28">
        <v>1</v>
      </c>
      <c r="AO93" s="74">
        <v>1</v>
      </c>
      <c r="AP93" s="77">
        <v>0</v>
      </c>
      <c r="AQ93" s="28">
        <v>0</v>
      </c>
      <c r="AR93" s="74">
        <v>2</v>
      </c>
      <c r="AS93" s="77">
        <v>7</v>
      </c>
      <c r="AT93" s="72">
        <v>0.96794871794871806</v>
      </c>
      <c r="AU93" s="74">
        <v>1</v>
      </c>
      <c r="AV93" s="75">
        <v>91</v>
      </c>
      <c r="AY93" s="365" t="s">
        <v>770</v>
      </c>
      <c r="AZ93" s="345" t="s">
        <v>181</v>
      </c>
      <c r="BA93" s="77" t="s">
        <v>776</v>
      </c>
      <c r="BB93" s="130">
        <v>0.33333333333333331</v>
      </c>
      <c r="BC93" s="594">
        <v>0.47945205479452052</v>
      </c>
      <c r="BD93" s="73">
        <v>0.47368421052631576</v>
      </c>
      <c r="BE93" s="77">
        <v>14</v>
      </c>
      <c r="BF93" s="28">
        <v>57</v>
      </c>
      <c r="BG93" s="76">
        <v>13</v>
      </c>
      <c r="BH93" s="28">
        <v>19</v>
      </c>
      <c r="BI93" s="76">
        <v>6</v>
      </c>
      <c r="BJ93" s="28">
        <v>1</v>
      </c>
      <c r="BK93" s="28">
        <v>0</v>
      </c>
      <c r="BL93" s="28">
        <v>3</v>
      </c>
      <c r="BM93" s="76">
        <v>16</v>
      </c>
      <c r="BN93" s="74">
        <v>13</v>
      </c>
      <c r="BO93" s="352">
        <v>6</v>
      </c>
      <c r="BP93" s="28">
        <v>0</v>
      </c>
      <c r="BQ93" s="104">
        <v>9</v>
      </c>
      <c r="BR93" s="77">
        <v>27</v>
      </c>
      <c r="BS93" s="72">
        <v>0.95313626532083628</v>
      </c>
      <c r="BT93" s="74">
        <v>0</v>
      </c>
      <c r="BU93" s="75">
        <v>91</v>
      </c>
    </row>
    <row r="94" spans="1:73">
      <c r="A94" s="101" t="s">
        <v>770</v>
      </c>
      <c r="B94" s="71" t="s">
        <v>166</v>
      </c>
      <c r="C94" s="71" t="s">
        <v>772</v>
      </c>
      <c r="D94" s="130">
        <v>0.14705882352941177</v>
      </c>
      <c r="E94" s="72">
        <v>0.21621621621621623</v>
      </c>
      <c r="F94" s="72">
        <v>0.20588235294117646</v>
      </c>
      <c r="G94" s="77">
        <v>8</v>
      </c>
      <c r="H94" s="28">
        <v>34</v>
      </c>
      <c r="I94" s="28">
        <v>3</v>
      </c>
      <c r="J94" s="28">
        <v>5</v>
      </c>
      <c r="K94" s="28">
        <v>2</v>
      </c>
      <c r="L94" s="28">
        <v>0</v>
      </c>
      <c r="M94" s="28">
        <v>0</v>
      </c>
      <c r="N94" s="28">
        <v>3</v>
      </c>
      <c r="O94" s="28">
        <v>3</v>
      </c>
      <c r="P94" s="74">
        <v>12</v>
      </c>
      <c r="Q94" s="77">
        <v>0</v>
      </c>
      <c r="R94" s="28">
        <v>3</v>
      </c>
      <c r="S94" s="74">
        <v>3</v>
      </c>
      <c r="T94" s="77">
        <v>7</v>
      </c>
      <c r="U94" s="72">
        <v>0.42209856915739269</v>
      </c>
      <c r="V94" s="74">
        <v>0</v>
      </c>
      <c r="W94" s="75">
        <v>92</v>
      </c>
      <c r="Z94" s="101" t="s">
        <v>804</v>
      </c>
      <c r="AA94" s="71" t="s">
        <v>166</v>
      </c>
      <c r="AB94" s="77" t="s">
        <v>809</v>
      </c>
      <c r="AC94" s="130">
        <v>0.18181818181818182</v>
      </c>
      <c r="AD94" s="72">
        <v>0.30769230769230771</v>
      </c>
      <c r="AE94" s="73">
        <v>0.45454545454545453</v>
      </c>
      <c r="AF94" s="77">
        <v>3</v>
      </c>
      <c r="AG94" s="28">
        <v>11</v>
      </c>
      <c r="AH94" s="28">
        <v>2</v>
      </c>
      <c r="AI94" s="28">
        <v>2</v>
      </c>
      <c r="AJ94" s="28">
        <v>0</v>
      </c>
      <c r="AK94" s="28">
        <v>0</v>
      </c>
      <c r="AL94" s="28">
        <v>1</v>
      </c>
      <c r="AM94" s="28">
        <v>1</v>
      </c>
      <c r="AN94" s="28">
        <v>2</v>
      </c>
      <c r="AO94" s="74">
        <v>3</v>
      </c>
      <c r="AP94" s="77">
        <v>0</v>
      </c>
      <c r="AQ94" s="28">
        <v>0</v>
      </c>
      <c r="AR94" s="74">
        <v>1</v>
      </c>
      <c r="AS94" s="77">
        <v>5</v>
      </c>
      <c r="AT94" s="72">
        <v>0.7622377622377623</v>
      </c>
      <c r="AU94" s="74">
        <v>0</v>
      </c>
      <c r="AV94" s="75">
        <v>92</v>
      </c>
      <c r="AY94" s="365" t="s">
        <v>770</v>
      </c>
      <c r="AZ94" s="71" t="s">
        <v>166</v>
      </c>
      <c r="BA94" s="77" t="s">
        <v>772</v>
      </c>
      <c r="BB94" s="130">
        <v>0.27419354838709675</v>
      </c>
      <c r="BC94" s="72">
        <v>0.35714285714285715</v>
      </c>
      <c r="BD94" s="73">
        <v>0.40322580645161288</v>
      </c>
      <c r="BE94" s="77">
        <v>14</v>
      </c>
      <c r="BF94" s="76">
        <v>62</v>
      </c>
      <c r="BG94" s="28">
        <v>9</v>
      </c>
      <c r="BH94" s="28">
        <v>17</v>
      </c>
      <c r="BI94" s="28">
        <v>2</v>
      </c>
      <c r="BJ94" s="28">
        <v>0</v>
      </c>
      <c r="BK94" s="28">
        <v>2</v>
      </c>
      <c r="BL94" s="28">
        <v>8</v>
      </c>
      <c r="BM94" s="28">
        <v>8</v>
      </c>
      <c r="BN94" s="74">
        <v>26</v>
      </c>
      <c r="BO94" s="77">
        <v>0</v>
      </c>
      <c r="BP94" s="28">
        <v>5</v>
      </c>
      <c r="BQ94" s="74">
        <v>5</v>
      </c>
      <c r="BR94" s="77">
        <v>25</v>
      </c>
      <c r="BS94" s="72">
        <v>0.76036866359446997</v>
      </c>
      <c r="BT94" s="104">
        <v>3</v>
      </c>
      <c r="BU94" s="75">
        <v>92</v>
      </c>
    </row>
    <row r="95" spans="1:73">
      <c r="A95" s="101" t="s">
        <v>770</v>
      </c>
      <c r="B95" s="345" t="s">
        <v>168</v>
      </c>
      <c r="C95" s="71" t="s">
        <v>774</v>
      </c>
      <c r="D95" s="130">
        <v>0.25806451612903225</v>
      </c>
      <c r="E95" s="72">
        <v>0.3235294117647059</v>
      </c>
      <c r="F95" s="72">
        <v>0.58064516129032262</v>
      </c>
      <c r="G95" s="77">
        <v>8</v>
      </c>
      <c r="H95" s="28">
        <v>31</v>
      </c>
      <c r="I95" s="28">
        <v>3</v>
      </c>
      <c r="J95" s="28">
        <v>8</v>
      </c>
      <c r="K95" s="28">
        <v>1</v>
      </c>
      <c r="L95" s="28">
        <v>0</v>
      </c>
      <c r="M95" s="28">
        <v>3</v>
      </c>
      <c r="N95" s="28">
        <v>5</v>
      </c>
      <c r="O95" s="28">
        <v>3</v>
      </c>
      <c r="P95" s="74">
        <v>10</v>
      </c>
      <c r="Q95" s="77">
        <v>0</v>
      </c>
      <c r="R95" s="28">
        <v>1</v>
      </c>
      <c r="S95" s="74">
        <v>3</v>
      </c>
      <c r="T95" s="77">
        <v>18</v>
      </c>
      <c r="U95" s="72">
        <v>0.90417457305502857</v>
      </c>
      <c r="V95" s="74">
        <v>0</v>
      </c>
      <c r="W95" s="75">
        <v>93</v>
      </c>
      <c r="Z95" s="101" t="s">
        <v>804</v>
      </c>
      <c r="AA95" s="71" t="s">
        <v>168</v>
      </c>
      <c r="AB95" s="77" t="s">
        <v>807</v>
      </c>
      <c r="AC95" s="130">
        <v>0.16666666666666666</v>
      </c>
      <c r="AD95" s="72">
        <v>0.23076923076923078</v>
      </c>
      <c r="AE95" s="73">
        <v>0.41666666666666669</v>
      </c>
      <c r="AF95" s="77">
        <v>3</v>
      </c>
      <c r="AG95" s="28">
        <v>12</v>
      </c>
      <c r="AH95" s="28">
        <v>1</v>
      </c>
      <c r="AI95" s="28">
        <v>2</v>
      </c>
      <c r="AJ95" s="28">
        <v>0</v>
      </c>
      <c r="AK95" s="28">
        <v>0</v>
      </c>
      <c r="AL95" s="28">
        <v>1</v>
      </c>
      <c r="AM95" s="28">
        <v>3</v>
      </c>
      <c r="AN95" s="28">
        <v>1</v>
      </c>
      <c r="AO95" s="74">
        <v>2</v>
      </c>
      <c r="AP95" s="77">
        <v>0</v>
      </c>
      <c r="AQ95" s="28">
        <v>0</v>
      </c>
      <c r="AR95" s="74">
        <v>1</v>
      </c>
      <c r="AS95" s="77">
        <v>5</v>
      </c>
      <c r="AT95" s="72">
        <v>0.64743589743589747</v>
      </c>
      <c r="AU95" s="74">
        <v>0</v>
      </c>
      <c r="AV95" s="75">
        <v>93</v>
      </c>
      <c r="AY95" s="365" t="s">
        <v>770</v>
      </c>
      <c r="AZ95" s="71" t="s">
        <v>168</v>
      </c>
      <c r="BA95" s="77" t="s">
        <v>773</v>
      </c>
      <c r="BB95" s="130">
        <v>0.25</v>
      </c>
      <c r="BC95" s="72">
        <v>0.35384615384615387</v>
      </c>
      <c r="BD95" s="73">
        <v>0.44642857142857145</v>
      </c>
      <c r="BE95" s="77">
        <v>14</v>
      </c>
      <c r="BF95" s="28">
        <v>56</v>
      </c>
      <c r="BG95" s="28">
        <v>6</v>
      </c>
      <c r="BH95" s="28">
        <v>14</v>
      </c>
      <c r="BI95" s="28">
        <v>2</v>
      </c>
      <c r="BJ95" s="28">
        <v>0</v>
      </c>
      <c r="BK95" s="28">
        <v>3</v>
      </c>
      <c r="BL95" s="28">
        <v>12</v>
      </c>
      <c r="BM95" s="28">
        <v>9</v>
      </c>
      <c r="BN95" s="74">
        <v>18</v>
      </c>
      <c r="BO95" s="77">
        <v>0</v>
      </c>
      <c r="BP95" s="28">
        <v>2</v>
      </c>
      <c r="BQ95" s="74">
        <v>3</v>
      </c>
      <c r="BR95" s="77">
        <v>25</v>
      </c>
      <c r="BS95" s="72">
        <v>0.80027472527472532</v>
      </c>
      <c r="BT95" s="74">
        <v>2</v>
      </c>
      <c r="BU95" s="75">
        <v>93</v>
      </c>
    </row>
    <row r="96" spans="1:73">
      <c r="A96" s="101" t="s">
        <v>770</v>
      </c>
      <c r="B96" s="71" t="s">
        <v>179</v>
      </c>
      <c r="C96" s="71" t="s">
        <v>787</v>
      </c>
      <c r="D96" s="130">
        <v>0</v>
      </c>
      <c r="E96" s="72">
        <v>0</v>
      </c>
      <c r="F96" s="72">
        <v>0</v>
      </c>
      <c r="G96" s="77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74">
        <v>0</v>
      </c>
      <c r="Q96" s="77">
        <v>0</v>
      </c>
      <c r="R96" s="28">
        <v>0</v>
      </c>
      <c r="S96" s="74">
        <v>0</v>
      </c>
      <c r="T96" s="77">
        <v>0</v>
      </c>
      <c r="U96" s="72">
        <v>0</v>
      </c>
      <c r="V96" s="74">
        <v>0</v>
      </c>
      <c r="W96" s="75">
        <v>94</v>
      </c>
      <c r="Z96" s="101" t="s">
        <v>804</v>
      </c>
      <c r="AA96" s="71" t="s">
        <v>179</v>
      </c>
      <c r="AB96" s="77" t="s">
        <v>818</v>
      </c>
      <c r="AC96" s="130">
        <v>0</v>
      </c>
      <c r="AD96" s="72">
        <v>0</v>
      </c>
      <c r="AE96" s="73">
        <v>0</v>
      </c>
      <c r="AF96" s="77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74">
        <v>0</v>
      </c>
      <c r="AP96" s="77">
        <v>0</v>
      </c>
      <c r="AQ96" s="28">
        <v>0</v>
      </c>
      <c r="AR96" s="74">
        <v>0</v>
      </c>
      <c r="AS96" s="77">
        <v>0</v>
      </c>
      <c r="AT96" s="72">
        <v>0</v>
      </c>
      <c r="AU96" s="74">
        <v>0</v>
      </c>
      <c r="AV96" s="75">
        <v>94</v>
      </c>
      <c r="AY96" s="365" t="s">
        <v>770</v>
      </c>
      <c r="AZ96" s="71" t="s">
        <v>179</v>
      </c>
      <c r="BA96" s="77" t="s">
        <v>787</v>
      </c>
      <c r="BB96" s="130">
        <v>0</v>
      </c>
      <c r="BC96" s="72">
        <v>0</v>
      </c>
      <c r="BD96" s="73">
        <v>0</v>
      </c>
      <c r="BE96" s="77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74">
        <v>0</v>
      </c>
      <c r="BO96" s="77">
        <v>0</v>
      </c>
      <c r="BP96" s="28">
        <v>0</v>
      </c>
      <c r="BQ96" s="74">
        <v>0</v>
      </c>
      <c r="BR96" s="77">
        <v>0</v>
      </c>
      <c r="BS96" s="72">
        <v>0</v>
      </c>
      <c r="BT96" s="74">
        <v>0</v>
      </c>
      <c r="BU96" s="75">
        <v>94</v>
      </c>
    </row>
    <row r="97" spans="1:73">
      <c r="A97" s="101" t="s">
        <v>770</v>
      </c>
      <c r="B97" s="71" t="s">
        <v>187</v>
      </c>
      <c r="C97" s="71" t="s">
        <v>786</v>
      </c>
      <c r="D97" s="130">
        <v>0</v>
      </c>
      <c r="E97" s="72">
        <v>0</v>
      </c>
      <c r="F97" s="72">
        <v>0</v>
      </c>
      <c r="G97" s="77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74">
        <v>0</v>
      </c>
      <c r="Q97" s="77">
        <v>0</v>
      </c>
      <c r="R97" s="28">
        <v>0</v>
      </c>
      <c r="S97" s="74">
        <v>0</v>
      </c>
      <c r="T97" s="77">
        <v>0</v>
      </c>
      <c r="U97" s="72">
        <v>0</v>
      </c>
      <c r="V97" s="74">
        <v>0</v>
      </c>
      <c r="W97" s="75">
        <v>95</v>
      </c>
      <c r="Z97" s="101" t="s">
        <v>804</v>
      </c>
      <c r="AA97" s="71" t="s">
        <v>187</v>
      </c>
      <c r="AB97" s="77" t="s">
        <v>817</v>
      </c>
      <c r="AC97" s="130">
        <v>0</v>
      </c>
      <c r="AD97" s="72">
        <v>0</v>
      </c>
      <c r="AE97" s="73">
        <v>0</v>
      </c>
      <c r="AF97" s="77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74">
        <v>0</v>
      </c>
      <c r="AP97" s="77">
        <v>0</v>
      </c>
      <c r="AQ97" s="28">
        <v>0</v>
      </c>
      <c r="AR97" s="74">
        <v>0</v>
      </c>
      <c r="AS97" s="77">
        <v>0</v>
      </c>
      <c r="AT97" s="72">
        <v>0</v>
      </c>
      <c r="AU97" s="74">
        <v>0</v>
      </c>
      <c r="AV97" s="75">
        <v>95</v>
      </c>
      <c r="AY97" s="365" t="s">
        <v>770</v>
      </c>
      <c r="AZ97" s="71" t="s">
        <v>192</v>
      </c>
      <c r="BA97" s="77" t="s">
        <v>786</v>
      </c>
      <c r="BB97" s="130">
        <v>0</v>
      </c>
      <c r="BC97" s="72">
        <v>0</v>
      </c>
      <c r="BD97" s="73">
        <v>0</v>
      </c>
      <c r="BE97" s="77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74">
        <v>0</v>
      </c>
      <c r="BO97" s="77">
        <v>0</v>
      </c>
      <c r="BP97" s="28">
        <v>0</v>
      </c>
      <c r="BQ97" s="74">
        <v>0</v>
      </c>
      <c r="BR97" s="77">
        <v>0</v>
      </c>
      <c r="BS97" s="72">
        <v>0</v>
      </c>
      <c r="BT97" s="74">
        <v>0</v>
      </c>
      <c r="BU97" s="75">
        <v>95</v>
      </c>
    </row>
    <row r="98" spans="1:73">
      <c r="A98" s="101" t="s">
        <v>770</v>
      </c>
      <c r="B98" s="71" t="s">
        <v>187</v>
      </c>
      <c r="C98" s="71" t="s">
        <v>780</v>
      </c>
      <c r="D98" s="130">
        <v>0</v>
      </c>
      <c r="E98" s="72">
        <v>0</v>
      </c>
      <c r="F98" s="72">
        <v>0</v>
      </c>
      <c r="G98" s="77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74">
        <v>0</v>
      </c>
      <c r="Q98" s="77">
        <v>0</v>
      </c>
      <c r="R98" s="28">
        <v>0</v>
      </c>
      <c r="S98" s="74">
        <v>0</v>
      </c>
      <c r="T98" s="77">
        <v>0</v>
      </c>
      <c r="U98" s="72">
        <v>0</v>
      </c>
      <c r="V98" s="74">
        <v>0</v>
      </c>
      <c r="W98" s="75">
        <v>96</v>
      </c>
      <c r="Z98" s="101" t="s">
        <v>804</v>
      </c>
      <c r="AA98" s="71" t="s">
        <v>187</v>
      </c>
      <c r="AB98" s="77" t="s">
        <v>815</v>
      </c>
      <c r="AC98" s="130">
        <v>0</v>
      </c>
      <c r="AD98" s="72">
        <v>0</v>
      </c>
      <c r="AE98" s="73">
        <v>0</v>
      </c>
      <c r="AF98" s="77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74">
        <v>0</v>
      </c>
      <c r="AP98" s="77">
        <v>0</v>
      </c>
      <c r="AQ98" s="28">
        <v>0</v>
      </c>
      <c r="AR98" s="74">
        <v>0</v>
      </c>
      <c r="AS98" s="77">
        <v>0</v>
      </c>
      <c r="AT98" s="72">
        <v>0</v>
      </c>
      <c r="AU98" s="74">
        <v>0</v>
      </c>
      <c r="AV98" s="75">
        <v>96</v>
      </c>
      <c r="AY98" s="365" t="s">
        <v>770</v>
      </c>
      <c r="AZ98" s="71" t="s">
        <v>192</v>
      </c>
      <c r="BA98" s="77" t="s">
        <v>785</v>
      </c>
      <c r="BB98" s="130">
        <v>0</v>
      </c>
      <c r="BC98" s="72">
        <v>0</v>
      </c>
      <c r="BD98" s="73">
        <v>0</v>
      </c>
      <c r="BE98" s="77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74">
        <v>0</v>
      </c>
      <c r="BO98" s="77">
        <v>0</v>
      </c>
      <c r="BP98" s="28">
        <v>0</v>
      </c>
      <c r="BQ98" s="74">
        <v>0</v>
      </c>
      <c r="BR98" s="77">
        <v>0</v>
      </c>
      <c r="BS98" s="72">
        <v>0</v>
      </c>
      <c r="BT98" s="74">
        <v>0</v>
      </c>
      <c r="BU98" s="75">
        <v>96</v>
      </c>
    </row>
    <row r="99" spans="1:73">
      <c r="A99" s="101" t="s">
        <v>770</v>
      </c>
      <c r="B99" s="71" t="s">
        <v>187</v>
      </c>
      <c r="C99" s="71" t="s">
        <v>781</v>
      </c>
      <c r="D99" s="130">
        <v>0</v>
      </c>
      <c r="E99" s="72">
        <v>0</v>
      </c>
      <c r="F99" s="72">
        <v>0</v>
      </c>
      <c r="G99" s="77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74">
        <v>0</v>
      </c>
      <c r="Q99" s="77">
        <v>0</v>
      </c>
      <c r="R99" s="28">
        <v>0</v>
      </c>
      <c r="S99" s="74">
        <v>0</v>
      </c>
      <c r="T99" s="77">
        <v>0</v>
      </c>
      <c r="U99" s="72">
        <v>0</v>
      </c>
      <c r="V99" s="74">
        <v>0</v>
      </c>
      <c r="W99" s="75">
        <v>97</v>
      </c>
      <c r="Z99" s="101" t="s">
        <v>804</v>
      </c>
      <c r="AA99" s="71" t="s">
        <v>186</v>
      </c>
      <c r="AB99" s="77" t="s">
        <v>814</v>
      </c>
      <c r="AC99" s="130">
        <v>0</v>
      </c>
      <c r="AD99" s="72">
        <v>0</v>
      </c>
      <c r="AE99" s="73">
        <v>0</v>
      </c>
      <c r="AF99" s="77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74">
        <v>0</v>
      </c>
      <c r="AP99" s="77">
        <v>0</v>
      </c>
      <c r="AQ99" s="28">
        <v>0</v>
      </c>
      <c r="AR99" s="74">
        <v>0</v>
      </c>
      <c r="AS99" s="77">
        <v>0</v>
      </c>
      <c r="AT99" s="72">
        <v>0</v>
      </c>
      <c r="AU99" s="74">
        <v>0</v>
      </c>
      <c r="AV99" s="75">
        <v>97</v>
      </c>
      <c r="AY99" s="365" t="s">
        <v>770</v>
      </c>
      <c r="AZ99" s="71" t="s">
        <v>187</v>
      </c>
      <c r="BA99" s="77" t="s">
        <v>789</v>
      </c>
      <c r="BB99" s="130">
        <v>0</v>
      </c>
      <c r="BC99" s="72">
        <v>0</v>
      </c>
      <c r="BD99" s="73">
        <v>0</v>
      </c>
      <c r="BE99" s="77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74">
        <v>0</v>
      </c>
      <c r="BO99" s="77">
        <v>0</v>
      </c>
      <c r="BP99" s="28">
        <v>0</v>
      </c>
      <c r="BQ99" s="74">
        <v>0</v>
      </c>
      <c r="BR99" s="77">
        <v>0</v>
      </c>
      <c r="BS99" s="72">
        <v>0</v>
      </c>
      <c r="BT99" s="74">
        <v>0</v>
      </c>
      <c r="BU99" s="75">
        <v>97</v>
      </c>
    </row>
    <row r="100" spans="1:73">
      <c r="A100" s="101" t="s">
        <v>770</v>
      </c>
      <c r="B100" s="71" t="s">
        <v>184</v>
      </c>
      <c r="C100" s="71" t="s">
        <v>788</v>
      </c>
      <c r="D100" s="130">
        <v>0</v>
      </c>
      <c r="E100" s="72">
        <v>0</v>
      </c>
      <c r="F100" s="72">
        <v>0</v>
      </c>
      <c r="G100" s="77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74">
        <v>0</v>
      </c>
      <c r="Q100" s="77">
        <v>0</v>
      </c>
      <c r="R100" s="28">
        <v>0</v>
      </c>
      <c r="S100" s="74">
        <v>0</v>
      </c>
      <c r="T100" s="77">
        <v>0</v>
      </c>
      <c r="U100" s="72">
        <v>0</v>
      </c>
      <c r="V100" s="74">
        <v>0</v>
      </c>
      <c r="W100" s="75">
        <v>98</v>
      </c>
      <c r="Z100" s="101" t="s">
        <v>804</v>
      </c>
      <c r="AA100" s="71" t="s">
        <v>186</v>
      </c>
      <c r="AB100" s="77" t="s">
        <v>816</v>
      </c>
      <c r="AC100" s="130">
        <v>0</v>
      </c>
      <c r="AD100" s="72">
        <v>0</v>
      </c>
      <c r="AE100" s="73">
        <v>0</v>
      </c>
      <c r="AF100" s="77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74">
        <v>0</v>
      </c>
      <c r="AP100" s="77">
        <v>0</v>
      </c>
      <c r="AQ100" s="28">
        <v>0</v>
      </c>
      <c r="AR100" s="74">
        <v>0</v>
      </c>
      <c r="AS100" s="77">
        <v>0</v>
      </c>
      <c r="AT100" s="72">
        <v>0</v>
      </c>
      <c r="AU100" s="74">
        <v>0</v>
      </c>
      <c r="AV100" s="75">
        <v>98</v>
      </c>
      <c r="AY100" s="365" t="s">
        <v>770</v>
      </c>
      <c r="AZ100" s="71" t="s">
        <v>186</v>
      </c>
      <c r="BA100" s="77" t="s">
        <v>783</v>
      </c>
      <c r="BB100" s="130">
        <v>0</v>
      </c>
      <c r="BC100" s="72">
        <v>0</v>
      </c>
      <c r="BD100" s="73">
        <v>0</v>
      </c>
      <c r="BE100" s="77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74">
        <v>0</v>
      </c>
      <c r="BO100" s="77">
        <v>0</v>
      </c>
      <c r="BP100" s="28">
        <v>0</v>
      </c>
      <c r="BQ100" s="74">
        <v>0</v>
      </c>
      <c r="BR100" s="77">
        <v>0</v>
      </c>
      <c r="BS100" s="72">
        <v>0</v>
      </c>
      <c r="BT100" s="74">
        <v>0</v>
      </c>
      <c r="BU100" s="75">
        <v>98</v>
      </c>
    </row>
    <row r="101" spans="1:73">
      <c r="A101" s="101" t="s">
        <v>804</v>
      </c>
      <c r="B101" s="71" t="s">
        <v>179</v>
      </c>
      <c r="C101" s="71" t="s">
        <v>813</v>
      </c>
      <c r="D101" s="130">
        <v>0.30769230769230771</v>
      </c>
      <c r="E101" s="72">
        <v>0.4375</v>
      </c>
      <c r="F101" s="72">
        <v>0.53846153846153844</v>
      </c>
      <c r="G101" s="77">
        <v>4</v>
      </c>
      <c r="H101" s="28">
        <v>13</v>
      </c>
      <c r="I101" s="28">
        <v>2</v>
      </c>
      <c r="J101" s="28">
        <v>4</v>
      </c>
      <c r="K101" s="28">
        <v>0</v>
      </c>
      <c r="L101" s="28">
        <v>0</v>
      </c>
      <c r="M101" s="28">
        <v>1</v>
      </c>
      <c r="N101" s="28">
        <v>2</v>
      </c>
      <c r="O101" s="28">
        <v>3</v>
      </c>
      <c r="P101" s="74">
        <v>5</v>
      </c>
      <c r="Q101" s="77">
        <v>0</v>
      </c>
      <c r="R101" s="28">
        <v>0</v>
      </c>
      <c r="S101" s="74">
        <v>3</v>
      </c>
      <c r="T101" s="77">
        <v>7</v>
      </c>
      <c r="U101" s="72">
        <v>0.97596153846153844</v>
      </c>
      <c r="V101" s="74">
        <v>0</v>
      </c>
      <c r="W101" s="75">
        <v>99</v>
      </c>
      <c r="Z101" s="101" t="s">
        <v>835</v>
      </c>
      <c r="AA101" s="71" t="s">
        <v>179</v>
      </c>
      <c r="AB101" s="77" t="s">
        <v>842</v>
      </c>
      <c r="AC101" s="130">
        <v>0.125</v>
      </c>
      <c r="AD101" s="72">
        <v>0.125</v>
      </c>
      <c r="AE101" s="73">
        <v>0.1875</v>
      </c>
      <c r="AF101" s="77">
        <v>4</v>
      </c>
      <c r="AG101" s="28">
        <v>16</v>
      </c>
      <c r="AH101" s="28">
        <v>0</v>
      </c>
      <c r="AI101" s="28">
        <v>2</v>
      </c>
      <c r="AJ101" s="28">
        <v>1</v>
      </c>
      <c r="AK101" s="28">
        <v>0</v>
      </c>
      <c r="AL101" s="28">
        <v>0</v>
      </c>
      <c r="AM101" s="28">
        <v>0</v>
      </c>
      <c r="AN101" s="28">
        <v>0</v>
      </c>
      <c r="AO101" s="74">
        <v>6</v>
      </c>
      <c r="AP101" s="77">
        <v>0</v>
      </c>
      <c r="AQ101" s="28">
        <v>0</v>
      </c>
      <c r="AR101" s="74">
        <v>2</v>
      </c>
      <c r="AS101" s="77">
        <v>3</v>
      </c>
      <c r="AT101" s="72">
        <v>0.3125</v>
      </c>
      <c r="AU101" s="74">
        <v>0</v>
      </c>
      <c r="AV101" s="75">
        <v>99</v>
      </c>
      <c r="AY101" s="101" t="s">
        <v>804</v>
      </c>
      <c r="AZ101" s="71" t="s">
        <v>179</v>
      </c>
      <c r="BA101" s="77" t="s">
        <v>813</v>
      </c>
      <c r="BB101" s="130">
        <v>0.27272727272727271</v>
      </c>
      <c r="BC101" s="72">
        <v>0.27272727272727271</v>
      </c>
      <c r="BD101" s="73">
        <v>0.45454545454545453</v>
      </c>
      <c r="BE101" s="77">
        <v>3</v>
      </c>
      <c r="BF101" s="28">
        <v>11</v>
      </c>
      <c r="BG101" s="28">
        <v>2</v>
      </c>
      <c r="BH101" s="28">
        <v>3</v>
      </c>
      <c r="BI101" s="28">
        <v>2</v>
      </c>
      <c r="BJ101" s="28">
        <v>0</v>
      </c>
      <c r="BK101" s="28">
        <v>0</v>
      </c>
      <c r="BL101" s="28">
        <v>0</v>
      </c>
      <c r="BM101" s="28">
        <v>0</v>
      </c>
      <c r="BN101" s="74">
        <v>2</v>
      </c>
      <c r="BO101" s="77">
        <v>0</v>
      </c>
      <c r="BP101" s="28">
        <v>2</v>
      </c>
      <c r="BQ101" s="74">
        <v>2</v>
      </c>
      <c r="BR101" s="77">
        <v>5</v>
      </c>
      <c r="BS101" s="72">
        <v>0.72727272727272729</v>
      </c>
      <c r="BT101" s="74">
        <v>0</v>
      </c>
      <c r="BU101" s="75">
        <v>99</v>
      </c>
    </row>
    <row r="102" spans="1:73">
      <c r="A102" s="101" t="s">
        <v>804</v>
      </c>
      <c r="B102" s="71" t="s">
        <v>154</v>
      </c>
      <c r="C102" s="71" t="s">
        <v>808</v>
      </c>
      <c r="D102" s="130">
        <v>0.21052631578947367</v>
      </c>
      <c r="E102" s="72">
        <v>0.21052631578947367</v>
      </c>
      <c r="F102" s="72">
        <v>0.42105263157894735</v>
      </c>
      <c r="G102" s="77">
        <v>4</v>
      </c>
      <c r="H102" s="28">
        <v>19</v>
      </c>
      <c r="I102" s="28">
        <v>1</v>
      </c>
      <c r="J102" s="28">
        <v>4</v>
      </c>
      <c r="K102" s="28">
        <v>1</v>
      </c>
      <c r="L102" s="28">
        <v>0</v>
      </c>
      <c r="M102" s="28">
        <v>1</v>
      </c>
      <c r="N102" s="28">
        <v>3</v>
      </c>
      <c r="O102" s="28">
        <v>0</v>
      </c>
      <c r="P102" s="74">
        <v>7</v>
      </c>
      <c r="Q102" s="77">
        <v>0</v>
      </c>
      <c r="R102" s="28">
        <v>1</v>
      </c>
      <c r="S102" s="74">
        <v>2</v>
      </c>
      <c r="T102" s="77">
        <v>8</v>
      </c>
      <c r="U102" s="72">
        <v>0.63157894736842102</v>
      </c>
      <c r="V102" s="74">
        <v>0</v>
      </c>
      <c r="W102" s="75">
        <v>100</v>
      </c>
      <c r="Z102" s="101" t="s">
        <v>835</v>
      </c>
      <c r="AA102" s="71" t="s">
        <v>154</v>
      </c>
      <c r="AB102" s="77" t="s">
        <v>836</v>
      </c>
      <c r="AC102" s="130">
        <v>0.35294117647058826</v>
      </c>
      <c r="AD102" s="72">
        <v>0.3888888888888889</v>
      </c>
      <c r="AE102" s="73">
        <v>0.58823529411764708</v>
      </c>
      <c r="AF102" s="77">
        <v>4</v>
      </c>
      <c r="AG102" s="28">
        <v>17</v>
      </c>
      <c r="AH102" s="28">
        <v>3</v>
      </c>
      <c r="AI102" s="28">
        <v>6</v>
      </c>
      <c r="AJ102" s="28">
        <v>1</v>
      </c>
      <c r="AK102" s="28">
        <v>0</v>
      </c>
      <c r="AL102" s="28">
        <v>1</v>
      </c>
      <c r="AM102" s="28">
        <v>2</v>
      </c>
      <c r="AN102" s="28">
        <v>1</v>
      </c>
      <c r="AO102" s="74">
        <v>7</v>
      </c>
      <c r="AP102" s="77">
        <v>0</v>
      </c>
      <c r="AQ102" s="28">
        <v>2</v>
      </c>
      <c r="AR102" s="74">
        <v>2</v>
      </c>
      <c r="AS102" s="77">
        <v>10</v>
      </c>
      <c r="AT102" s="72">
        <v>0.97712418300653603</v>
      </c>
      <c r="AU102" s="74">
        <v>0</v>
      </c>
      <c r="AV102" s="75">
        <v>100</v>
      </c>
      <c r="AY102" s="101" t="s">
        <v>804</v>
      </c>
      <c r="AZ102" s="71" t="s">
        <v>154</v>
      </c>
      <c r="BA102" s="77" t="s">
        <v>808</v>
      </c>
      <c r="BB102" s="130">
        <v>0.33333333333333331</v>
      </c>
      <c r="BC102" s="72">
        <v>0.42857142857142855</v>
      </c>
      <c r="BD102" s="73">
        <v>0.41666666666666669</v>
      </c>
      <c r="BE102" s="77">
        <v>3</v>
      </c>
      <c r="BF102" s="28">
        <v>12</v>
      </c>
      <c r="BG102" s="28">
        <v>3</v>
      </c>
      <c r="BH102" s="28">
        <v>4</v>
      </c>
      <c r="BI102" s="28">
        <v>1</v>
      </c>
      <c r="BJ102" s="28">
        <v>0</v>
      </c>
      <c r="BK102" s="28">
        <v>0</v>
      </c>
      <c r="BL102" s="28">
        <v>3</v>
      </c>
      <c r="BM102" s="28">
        <v>2</v>
      </c>
      <c r="BN102" s="74">
        <v>3</v>
      </c>
      <c r="BO102" s="77">
        <v>0</v>
      </c>
      <c r="BP102" s="28">
        <v>2</v>
      </c>
      <c r="BQ102" s="74">
        <v>2</v>
      </c>
      <c r="BR102" s="77">
        <v>5</v>
      </c>
      <c r="BS102" s="72">
        <v>0.84523809523809523</v>
      </c>
      <c r="BT102" s="74">
        <v>1</v>
      </c>
      <c r="BU102" s="75">
        <v>100</v>
      </c>
    </row>
    <row r="103" spans="1:73">
      <c r="A103" s="101" t="s">
        <v>804</v>
      </c>
      <c r="B103" s="71" t="s">
        <v>172</v>
      </c>
      <c r="C103" s="71" t="s">
        <v>805</v>
      </c>
      <c r="D103" s="130">
        <v>0.1875</v>
      </c>
      <c r="E103" s="72">
        <v>0.35</v>
      </c>
      <c r="F103" s="72">
        <v>0.375</v>
      </c>
      <c r="G103" s="77">
        <v>4</v>
      </c>
      <c r="H103" s="28">
        <v>16</v>
      </c>
      <c r="I103" s="28">
        <v>3</v>
      </c>
      <c r="J103" s="28">
        <v>3</v>
      </c>
      <c r="K103" s="28">
        <v>0</v>
      </c>
      <c r="L103" s="28">
        <v>0</v>
      </c>
      <c r="M103" s="28">
        <v>1</v>
      </c>
      <c r="N103" s="28">
        <v>2</v>
      </c>
      <c r="O103" s="28">
        <v>4</v>
      </c>
      <c r="P103" s="74">
        <v>3</v>
      </c>
      <c r="Q103" s="77">
        <v>0</v>
      </c>
      <c r="R103" s="28">
        <v>0</v>
      </c>
      <c r="S103" s="74">
        <v>2</v>
      </c>
      <c r="T103" s="77">
        <v>6</v>
      </c>
      <c r="U103" s="72">
        <v>0.72499999999999998</v>
      </c>
      <c r="V103" s="74">
        <v>0</v>
      </c>
      <c r="W103" s="75">
        <v>101</v>
      </c>
      <c r="Z103" s="101" t="s">
        <v>835</v>
      </c>
      <c r="AA103" s="71" t="s">
        <v>172</v>
      </c>
      <c r="AB103" s="77" t="s">
        <v>847</v>
      </c>
      <c r="AC103" s="130">
        <v>7.6923076923076927E-2</v>
      </c>
      <c r="AD103" s="72">
        <v>0.14285714285714285</v>
      </c>
      <c r="AE103" s="73">
        <v>0.15384615384615385</v>
      </c>
      <c r="AF103" s="77">
        <v>4</v>
      </c>
      <c r="AG103" s="28">
        <v>13</v>
      </c>
      <c r="AH103" s="28">
        <v>1</v>
      </c>
      <c r="AI103" s="28">
        <v>1</v>
      </c>
      <c r="AJ103" s="28">
        <v>1</v>
      </c>
      <c r="AK103" s="28">
        <v>0</v>
      </c>
      <c r="AL103" s="28">
        <v>0</v>
      </c>
      <c r="AM103" s="28">
        <v>0</v>
      </c>
      <c r="AN103" s="28">
        <v>1</v>
      </c>
      <c r="AO103" s="74">
        <v>6</v>
      </c>
      <c r="AP103" s="77">
        <v>0</v>
      </c>
      <c r="AQ103" s="28">
        <v>0</v>
      </c>
      <c r="AR103" s="74">
        <v>1</v>
      </c>
      <c r="AS103" s="77">
        <v>2</v>
      </c>
      <c r="AT103" s="72">
        <v>0.2967032967032967</v>
      </c>
      <c r="AU103" s="74">
        <v>0</v>
      </c>
      <c r="AV103" s="75">
        <v>101</v>
      </c>
      <c r="AY103" s="101" t="s">
        <v>804</v>
      </c>
      <c r="AZ103" s="71" t="s">
        <v>172</v>
      </c>
      <c r="BA103" s="77" t="s">
        <v>805</v>
      </c>
      <c r="BB103" s="130">
        <v>0.25</v>
      </c>
      <c r="BC103" s="72">
        <v>0.35714285714285715</v>
      </c>
      <c r="BD103" s="73">
        <v>0.25</v>
      </c>
      <c r="BE103" s="77">
        <v>3</v>
      </c>
      <c r="BF103" s="28">
        <v>12</v>
      </c>
      <c r="BG103" s="28">
        <v>4</v>
      </c>
      <c r="BH103" s="28">
        <v>3</v>
      </c>
      <c r="BI103" s="28">
        <v>0</v>
      </c>
      <c r="BJ103" s="28">
        <v>0</v>
      </c>
      <c r="BK103" s="28">
        <v>0</v>
      </c>
      <c r="BL103" s="28">
        <v>0</v>
      </c>
      <c r="BM103" s="28">
        <v>2</v>
      </c>
      <c r="BN103" s="74">
        <v>3</v>
      </c>
      <c r="BO103" s="77">
        <v>0</v>
      </c>
      <c r="BP103" s="28">
        <v>2</v>
      </c>
      <c r="BQ103" s="74">
        <v>2</v>
      </c>
      <c r="BR103" s="77">
        <v>3</v>
      </c>
      <c r="BS103" s="72">
        <v>0.60714285714285721</v>
      </c>
      <c r="BT103" s="74">
        <v>0</v>
      </c>
      <c r="BU103" s="75">
        <v>101</v>
      </c>
    </row>
    <row r="104" spans="1:73">
      <c r="A104" s="101" t="s">
        <v>804</v>
      </c>
      <c r="B104" s="71" t="s">
        <v>153</v>
      </c>
      <c r="C104" s="71" t="s">
        <v>811</v>
      </c>
      <c r="D104" s="503">
        <v>0.46666666666666667</v>
      </c>
      <c r="E104" s="594">
        <v>0.52941176470588236</v>
      </c>
      <c r="F104" s="72">
        <v>0.73333333333333328</v>
      </c>
      <c r="G104" s="77">
        <v>4</v>
      </c>
      <c r="H104" s="28">
        <v>15</v>
      </c>
      <c r="I104" s="28">
        <v>1</v>
      </c>
      <c r="J104" s="28">
        <v>7</v>
      </c>
      <c r="K104" s="28">
        <v>1</v>
      </c>
      <c r="L104" s="28">
        <v>0</v>
      </c>
      <c r="M104" s="28">
        <v>1</v>
      </c>
      <c r="N104" s="28">
        <v>3</v>
      </c>
      <c r="O104" s="28">
        <v>2</v>
      </c>
      <c r="P104" s="74">
        <v>5</v>
      </c>
      <c r="Q104" s="77">
        <v>0</v>
      </c>
      <c r="R104" s="28">
        <v>4</v>
      </c>
      <c r="S104" s="74">
        <v>4</v>
      </c>
      <c r="T104" s="77">
        <v>11</v>
      </c>
      <c r="U104" s="594">
        <v>1.2627450980392156</v>
      </c>
      <c r="V104" s="74">
        <v>0</v>
      </c>
      <c r="W104" s="75">
        <v>102</v>
      </c>
      <c r="Z104" s="101" t="s">
        <v>835</v>
      </c>
      <c r="AA104" s="71" t="s">
        <v>153</v>
      </c>
      <c r="AB104" s="77" t="s">
        <v>839</v>
      </c>
      <c r="AC104" s="130">
        <v>0.18181818181818182</v>
      </c>
      <c r="AD104" s="72">
        <v>0.35714285714285715</v>
      </c>
      <c r="AE104" s="73">
        <v>0.18181818181818182</v>
      </c>
      <c r="AF104" s="77">
        <v>4</v>
      </c>
      <c r="AG104" s="28">
        <v>11</v>
      </c>
      <c r="AH104" s="28">
        <v>0</v>
      </c>
      <c r="AI104" s="28">
        <v>2</v>
      </c>
      <c r="AJ104" s="28">
        <v>0</v>
      </c>
      <c r="AK104" s="28">
        <v>0</v>
      </c>
      <c r="AL104" s="28">
        <v>0</v>
      </c>
      <c r="AM104" s="28">
        <v>0</v>
      </c>
      <c r="AN104" s="28">
        <v>3</v>
      </c>
      <c r="AO104" s="74">
        <v>3</v>
      </c>
      <c r="AP104" s="77">
        <v>0</v>
      </c>
      <c r="AQ104" s="28">
        <v>1</v>
      </c>
      <c r="AR104" s="74">
        <v>1</v>
      </c>
      <c r="AS104" s="77">
        <v>2</v>
      </c>
      <c r="AT104" s="72">
        <v>0.53896103896103897</v>
      </c>
      <c r="AU104" s="74">
        <v>0</v>
      </c>
      <c r="AV104" s="75">
        <v>102</v>
      </c>
      <c r="AY104" s="101" t="s">
        <v>804</v>
      </c>
      <c r="AZ104" s="71" t="s">
        <v>153</v>
      </c>
      <c r="BA104" s="77" t="s">
        <v>811</v>
      </c>
      <c r="BB104" s="130">
        <v>0.18181818181818182</v>
      </c>
      <c r="BC104" s="72">
        <v>0.18181818181818182</v>
      </c>
      <c r="BD104" s="73">
        <v>0.36363636363636365</v>
      </c>
      <c r="BE104" s="77">
        <v>3</v>
      </c>
      <c r="BF104" s="28">
        <v>11</v>
      </c>
      <c r="BG104" s="28">
        <v>0</v>
      </c>
      <c r="BH104" s="28">
        <v>2</v>
      </c>
      <c r="BI104" s="28">
        <v>2</v>
      </c>
      <c r="BJ104" s="28">
        <v>0</v>
      </c>
      <c r="BK104" s="28">
        <v>0</v>
      </c>
      <c r="BL104" s="28">
        <v>0</v>
      </c>
      <c r="BM104" s="28">
        <v>0</v>
      </c>
      <c r="BN104" s="74">
        <v>3</v>
      </c>
      <c r="BO104" s="77">
        <v>0</v>
      </c>
      <c r="BP104" s="28">
        <v>1</v>
      </c>
      <c r="BQ104" s="74">
        <v>1</v>
      </c>
      <c r="BR104" s="77">
        <v>4</v>
      </c>
      <c r="BS104" s="72">
        <v>0.54545454545454541</v>
      </c>
      <c r="BT104" s="74">
        <v>0</v>
      </c>
      <c r="BU104" s="75">
        <v>102</v>
      </c>
    </row>
    <row r="105" spans="1:73">
      <c r="A105" s="101" t="s">
        <v>804</v>
      </c>
      <c r="B105" s="71" t="s">
        <v>177</v>
      </c>
      <c r="C105" s="71" t="s">
        <v>806</v>
      </c>
      <c r="D105" s="130">
        <v>0.1875</v>
      </c>
      <c r="E105" s="72">
        <v>0.27777777777777779</v>
      </c>
      <c r="F105" s="72">
        <v>0.1875</v>
      </c>
      <c r="G105" s="77">
        <v>4</v>
      </c>
      <c r="H105" s="28">
        <v>16</v>
      </c>
      <c r="I105" s="28">
        <v>0</v>
      </c>
      <c r="J105" s="28">
        <v>3</v>
      </c>
      <c r="K105" s="28">
        <v>0</v>
      </c>
      <c r="L105" s="28">
        <v>0</v>
      </c>
      <c r="M105" s="28">
        <v>0</v>
      </c>
      <c r="N105" s="28">
        <v>0</v>
      </c>
      <c r="O105" s="28">
        <v>2</v>
      </c>
      <c r="P105" s="74">
        <v>6</v>
      </c>
      <c r="Q105" s="77">
        <v>0</v>
      </c>
      <c r="R105" s="28">
        <v>0</v>
      </c>
      <c r="S105" s="74">
        <v>3</v>
      </c>
      <c r="T105" s="77">
        <v>3</v>
      </c>
      <c r="U105" s="72">
        <v>0.46527777777777779</v>
      </c>
      <c r="V105" s="74">
        <v>0</v>
      </c>
      <c r="W105" s="75">
        <v>103</v>
      </c>
      <c r="Z105" s="101" t="s">
        <v>835</v>
      </c>
      <c r="AA105" s="71" t="s">
        <v>177</v>
      </c>
      <c r="AB105" s="77" t="s">
        <v>720</v>
      </c>
      <c r="AC105" s="130">
        <v>0.14285714285714285</v>
      </c>
      <c r="AD105" s="72">
        <v>0.33333333333333331</v>
      </c>
      <c r="AE105" s="73">
        <v>0.35714285714285715</v>
      </c>
      <c r="AF105" s="77">
        <v>4</v>
      </c>
      <c r="AG105" s="28">
        <v>14</v>
      </c>
      <c r="AH105" s="28">
        <v>1</v>
      </c>
      <c r="AI105" s="28">
        <v>2</v>
      </c>
      <c r="AJ105" s="28">
        <v>0</v>
      </c>
      <c r="AK105" s="28">
        <v>0</v>
      </c>
      <c r="AL105" s="28">
        <v>1</v>
      </c>
      <c r="AM105" s="28">
        <v>1</v>
      </c>
      <c r="AN105" s="28">
        <v>4</v>
      </c>
      <c r="AO105" s="74">
        <v>5</v>
      </c>
      <c r="AP105" s="77">
        <v>0</v>
      </c>
      <c r="AQ105" s="28">
        <v>2</v>
      </c>
      <c r="AR105" s="74">
        <v>2</v>
      </c>
      <c r="AS105" s="77">
        <v>5</v>
      </c>
      <c r="AT105" s="72">
        <v>0.69047619047619047</v>
      </c>
      <c r="AU105" s="74">
        <v>0</v>
      </c>
      <c r="AV105" s="75">
        <v>103</v>
      </c>
      <c r="AY105" s="101" t="s">
        <v>804</v>
      </c>
      <c r="AZ105" s="71" t="s">
        <v>177</v>
      </c>
      <c r="BA105" s="77" t="s">
        <v>806</v>
      </c>
      <c r="BB105" s="130">
        <v>0.36363636363636365</v>
      </c>
      <c r="BC105" s="72">
        <v>0.5</v>
      </c>
      <c r="BD105" s="73">
        <v>0.90909090909090906</v>
      </c>
      <c r="BE105" s="77">
        <v>3</v>
      </c>
      <c r="BF105" s="28">
        <v>11</v>
      </c>
      <c r="BG105" s="28">
        <v>3</v>
      </c>
      <c r="BH105" s="28">
        <v>4</v>
      </c>
      <c r="BI105" s="28">
        <v>0</v>
      </c>
      <c r="BJ105" s="28">
        <v>0</v>
      </c>
      <c r="BK105" s="28">
        <v>2</v>
      </c>
      <c r="BL105" s="28">
        <v>6</v>
      </c>
      <c r="BM105" s="28">
        <v>3</v>
      </c>
      <c r="BN105" s="74">
        <v>4</v>
      </c>
      <c r="BO105" s="77">
        <v>0</v>
      </c>
      <c r="BP105" s="28">
        <v>2</v>
      </c>
      <c r="BQ105" s="74">
        <v>2</v>
      </c>
      <c r="BR105" s="77">
        <v>10</v>
      </c>
      <c r="BS105" s="72">
        <v>1.4090909090909092</v>
      </c>
      <c r="BT105" s="74">
        <v>0</v>
      </c>
      <c r="BU105" s="75">
        <v>103</v>
      </c>
    </row>
    <row r="106" spans="1:73">
      <c r="A106" s="101" t="s">
        <v>804</v>
      </c>
      <c r="B106" s="71" t="s">
        <v>174</v>
      </c>
      <c r="C106" s="71" t="s">
        <v>814</v>
      </c>
      <c r="D106" s="130">
        <v>0.33333333333333331</v>
      </c>
      <c r="E106" s="72">
        <v>0.33333333333333331</v>
      </c>
      <c r="F106" s="72">
        <v>0.53333333333333333</v>
      </c>
      <c r="G106" s="77">
        <v>4</v>
      </c>
      <c r="H106" s="28">
        <v>15</v>
      </c>
      <c r="I106" s="28">
        <v>2</v>
      </c>
      <c r="J106" s="28">
        <v>5</v>
      </c>
      <c r="K106" s="28">
        <v>0</v>
      </c>
      <c r="L106" s="28">
        <v>0</v>
      </c>
      <c r="M106" s="28">
        <v>1</v>
      </c>
      <c r="N106" s="28">
        <v>1</v>
      </c>
      <c r="O106" s="28">
        <v>0</v>
      </c>
      <c r="P106" s="74">
        <v>5</v>
      </c>
      <c r="Q106" s="77">
        <v>0</v>
      </c>
      <c r="R106" s="28">
        <v>4</v>
      </c>
      <c r="S106" s="74">
        <v>4</v>
      </c>
      <c r="T106" s="77">
        <v>8</v>
      </c>
      <c r="U106" s="72">
        <v>0.8666666666666667</v>
      </c>
      <c r="V106" s="74">
        <v>0</v>
      </c>
      <c r="W106" s="75">
        <v>104</v>
      </c>
      <c r="Z106" s="101" t="s">
        <v>835</v>
      </c>
      <c r="AA106" s="71" t="s">
        <v>174</v>
      </c>
      <c r="AB106" s="77" t="s">
        <v>843</v>
      </c>
      <c r="AC106" s="503">
        <v>0.4375</v>
      </c>
      <c r="AD106" s="72">
        <v>0.47058823529411764</v>
      </c>
      <c r="AE106" s="346">
        <v>0.8125</v>
      </c>
      <c r="AF106" s="77">
        <v>4</v>
      </c>
      <c r="AG106" s="28">
        <v>16</v>
      </c>
      <c r="AH106" s="28">
        <v>2</v>
      </c>
      <c r="AI106" s="28">
        <v>7</v>
      </c>
      <c r="AJ106" s="28">
        <v>0</v>
      </c>
      <c r="AK106" s="28">
        <v>0</v>
      </c>
      <c r="AL106" s="28">
        <v>2</v>
      </c>
      <c r="AM106" s="28">
        <v>7</v>
      </c>
      <c r="AN106" s="28">
        <v>1</v>
      </c>
      <c r="AO106" s="74">
        <v>3</v>
      </c>
      <c r="AP106" s="77">
        <v>0</v>
      </c>
      <c r="AQ106" s="28">
        <v>4</v>
      </c>
      <c r="AR106" s="74">
        <v>4</v>
      </c>
      <c r="AS106" s="77">
        <v>13</v>
      </c>
      <c r="AT106" s="594">
        <v>1.2830882352941178</v>
      </c>
      <c r="AU106" s="74">
        <v>0</v>
      </c>
      <c r="AV106" s="75">
        <v>104</v>
      </c>
      <c r="AY106" s="101" t="s">
        <v>804</v>
      </c>
      <c r="AZ106" s="71" t="s">
        <v>174</v>
      </c>
      <c r="BA106" s="77" t="s">
        <v>812</v>
      </c>
      <c r="BB106" s="130">
        <v>0.22222222222222221</v>
      </c>
      <c r="BC106" s="72">
        <v>0.46153846153846156</v>
      </c>
      <c r="BD106" s="73">
        <v>0.22222222222222221</v>
      </c>
      <c r="BE106" s="77">
        <v>3</v>
      </c>
      <c r="BF106" s="28">
        <v>9</v>
      </c>
      <c r="BG106" s="28">
        <v>0</v>
      </c>
      <c r="BH106" s="28">
        <v>2</v>
      </c>
      <c r="BI106" s="28">
        <v>0</v>
      </c>
      <c r="BJ106" s="28">
        <v>0</v>
      </c>
      <c r="BK106" s="28">
        <v>0</v>
      </c>
      <c r="BL106" s="28">
        <v>0</v>
      </c>
      <c r="BM106" s="28">
        <v>4</v>
      </c>
      <c r="BN106" s="74">
        <v>2</v>
      </c>
      <c r="BO106" s="77">
        <v>0</v>
      </c>
      <c r="BP106" s="28">
        <v>0</v>
      </c>
      <c r="BQ106" s="74">
        <v>1</v>
      </c>
      <c r="BR106" s="77">
        <v>2</v>
      </c>
      <c r="BS106" s="72">
        <v>0.68376068376068377</v>
      </c>
      <c r="BT106" s="74">
        <v>0</v>
      </c>
      <c r="BU106" s="75">
        <v>104</v>
      </c>
    </row>
    <row r="107" spans="1:73">
      <c r="A107" s="101" t="s">
        <v>804</v>
      </c>
      <c r="B107" s="71" t="s">
        <v>181</v>
      </c>
      <c r="C107" s="71" t="s">
        <v>810</v>
      </c>
      <c r="D107" s="130">
        <v>6.25E-2</v>
      </c>
      <c r="E107" s="72">
        <v>0.25</v>
      </c>
      <c r="F107" s="72">
        <v>6.25E-2</v>
      </c>
      <c r="G107" s="77">
        <v>4</v>
      </c>
      <c r="H107" s="28">
        <v>16</v>
      </c>
      <c r="I107" s="28">
        <v>2</v>
      </c>
      <c r="J107" s="28">
        <v>1</v>
      </c>
      <c r="K107" s="28">
        <v>0</v>
      </c>
      <c r="L107" s="28">
        <v>0</v>
      </c>
      <c r="M107" s="28">
        <v>0</v>
      </c>
      <c r="N107" s="28">
        <v>1</v>
      </c>
      <c r="O107" s="28">
        <v>4</v>
      </c>
      <c r="P107" s="74">
        <v>7</v>
      </c>
      <c r="Q107" s="77">
        <v>0</v>
      </c>
      <c r="R107" s="28">
        <v>0</v>
      </c>
      <c r="S107" s="74">
        <v>1</v>
      </c>
      <c r="T107" s="77">
        <v>1</v>
      </c>
      <c r="U107" s="72">
        <v>0.3125</v>
      </c>
      <c r="V107" s="74">
        <v>0</v>
      </c>
      <c r="W107" s="75">
        <v>105</v>
      </c>
      <c r="Z107" s="101" t="s">
        <v>835</v>
      </c>
      <c r="AA107" s="71" t="s">
        <v>383</v>
      </c>
      <c r="AB107" s="77" t="s">
        <v>841</v>
      </c>
      <c r="AC107" s="130">
        <v>8.3333333333333329E-2</v>
      </c>
      <c r="AD107" s="72">
        <v>0.21428571428571427</v>
      </c>
      <c r="AE107" s="73">
        <v>8.3333333333333329E-2</v>
      </c>
      <c r="AF107" s="77">
        <v>4</v>
      </c>
      <c r="AG107" s="28">
        <v>12</v>
      </c>
      <c r="AH107" s="28">
        <v>0</v>
      </c>
      <c r="AI107" s="28">
        <v>1</v>
      </c>
      <c r="AJ107" s="28">
        <v>0</v>
      </c>
      <c r="AK107" s="28">
        <v>0</v>
      </c>
      <c r="AL107" s="28">
        <v>0</v>
      </c>
      <c r="AM107" s="28">
        <v>0</v>
      </c>
      <c r="AN107" s="28">
        <v>2</v>
      </c>
      <c r="AO107" s="74">
        <v>4</v>
      </c>
      <c r="AP107" s="77">
        <v>0</v>
      </c>
      <c r="AQ107" s="28">
        <v>0</v>
      </c>
      <c r="AR107" s="74">
        <v>1</v>
      </c>
      <c r="AS107" s="77">
        <v>1</v>
      </c>
      <c r="AT107" s="72">
        <v>0.29761904761904762</v>
      </c>
      <c r="AU107" s="74">
        <v>0</v>
      </c>
      <c r="AV107" s="75">
        <v>105</v>
      </c>
      <c r="AY107" s="101" t="s">
        <v>804</v>
      </c>
      <c r="AZ107" s="71" t="s">
        <v>181</v>
      </c>
      <c r="BA107" s="77" t="s">
        <v>810</v>
      </c>
      <c r="BB107" s="130">
        <v>0.18181818181818182</v>
      </c>
      <c r="BC107" s="72">
        <v>0.18181818181818182</v>
      </c>
      <c r="BD107" s="73">
        <v>0.45454545454545453</v>
      </c>
      <c r="BE107" s="77">
        <v>3</v>
      </c>
      <c r="BF107" s="28">
        <v>11</v>
      </c>
      <c r="BG107" s="28">
        <v>1</v>
      </c>
      <c r="BH107" s="28">
        <v>2</v>
      </c>
      <c r="BI107" s="28">
        <v>0</v>
      </c>
      <c r="BJ107" s="28">
        <v>0</v>
      </c>
      <c r="BK107" s="28">
        <v>1</v>
      </c>
      <c r="BL107" s="28">
        <v>1</v>
      </c>
      <c r="BM107" s="28">
        <v>0</v>
      </c>
      <c r="BN107" s="74">
        <v>6</v>
      </c>
      <c r="BO107" s="77">
        <v>0</v>
      </c>
      <c r="BP107" s="28">
        <v>0</v>
      </c>
      <c r="BQ107" s="74">
        <v>1</v>
      </c>
      <c r="BR107" s="77">
        <v>5</v>
      </c>
      <c r="BS107" s="72">
        <v>0.63636363636363635</v>
      </c>
      <c r="BT107" s="74">
        <v>0</v>
      </c>
      <c r="BU107" s="75">
        <v>105</v>
      </c>
    </row>
    <row r="108" spans="1:73">
      <c r="A108" s="101" t="s">
        <v>804</v>
      </c>
      <c r="B108" s="71" t="s">
        <v>166</v>
      </c>
      <c r="C108" s="71" t="s">
        <v>809</v>
      </c>
      <c r="D108" s="130">
        <v>0.14285714285714285</v>
      </c>
      <c r="E108" s="72">
        <v>0.33333333333333331</v>
      </c>
      <c r="F108" s="72">
        <v>0.21428571428571427</v>
      </c>
      <c r="G108" s="77">
        <v>4</v>
      </c>
      <c r="H108" s="28">
        <v>14</v>
      </c>
      <c r="I108" s="28">
        <v>0</v>
      </c>
      <c r="J108" s="28">
        <v>2</v>
      </c>
      <c r="K108" s="28">
        <v>1</v>
      </c>
      <c r="L108" s="28">
        <v>0</v>
      </c>
      <c r="M108" s="28">
        <v>0</v>
      </c>
      <c r="N108" s="28">
        <v>0</v>
      </c>
      <c r="O108" s="28">
        <v>4</v>
      </c>
      <c r="P108" s="74">
        <v>8</v>
      </c>
      <c r="Q108" s="77">
        <v>0</v>
      </c>
      <c r="R108" s="28">
        <v>2</v>
      </c>
      <c r="S108" s="74">
        <v>2</v>
      </c>
      <c r="T108" s="77">
        <v>3</v>
      </c>
      <c r="U108" s="72">
        <v>0.54761904761904756</v>
      </c>
      <c r="V108" s="74">
        <v>0</v>
      </c>
      <c r="W108" s="75">
        <v>106</v>
      </c>
      <c r="Z108" s="101" t="s">
        <v>835</v>
      </c>
      <c r="AA108" s="71" t="s">
        <v>166</v>
      </c>
      <c r="AB108" s="77" t="s">
        <v>840</v>
      </c>
      <c r="AC108" s="130">
        <v>0.23529411764705882</v>
      </c>
      <c r="AD108" s="72">
        <v>0.27777777777777779</v>
      </c>
      <c r="AE108" s="73">
        <v>0.41176470588235292</v>
      </c>
      <c r="AF108" s="77">
        <v>4</v>
      </c>
      <c r="AG108" s="28">
        <v>17</v>
      </c>
      <c r="AH108" s="28">
        <v>3</v>
      </c>
      <c r="AI108" s="28">
        <v>4</v>
      </c>
      <c r="AJ108" s="28">
        <v>0</v>
      </c>
      <c r="AK108" s="28">
        <v>0</v>
      </c>
      <c r="AL108" s="28">
        <v>1</v>
      </c>
      <c r="AM108" s="28">
        <v>1</v>
      </c>
      <c r="AN108" s="28">
        <v>1</v>
      </c>
      <c r="AO108" s="74">
        <v>4</v>
      </c>
      <c r="AP108" s="77">
        <v>0</v>
      </c>
      <c r="AQ108" s="28">
        <v>0</v>
      </c>
      <c r="AR108" s="74">
        <v>1</v>
      </c>
      <c r="AS108" s="77">
        <v>7</v>
      </c>
      <c r="AT108" s="72">
        <v>0.68954248366013071</v>
      </c>
      <c r="AU108" s="74">
        <v>0</v>
      </c>
      <c r="AV108" s="75">
        <v>106</v>
      </c>
      <c r="AY108" s="101" t="s">
        <v>804</v>
      </c>
      <c r="AZ108" s="71" t="s">
        <v>166</v>
      </c>
      <c r="BA108" s="77" t="s">
        <v>809</v>
      </c>
      <c r="BB108" s="130">
        <v>0.21428571428571427</v>
      </c>
      <c r="BC108" s="72">
        <v>0.21428571428571427</v>
      </c>
      <c r="BD108" s="73">
        <v>0.2857142857142857</v>
      </c>
      <c r="BE108" s="77">
        <v>3</v>
      </c>
      <c r="BF108" s="28">
        <v>14</v>
      </c>
      <c r="BG108" s="28">
        <v>0</v>
      </c>
      <c r="BH108" s="28">
        <v>3</v>
      </c>
      <c r="BI108" s="28">
        <v>1</v>
      </c>
      <c r="BJ108" s="28">
        <v>0</v>
      </c>
      <c r="BK108" s="28">
        <v>0</v>
      </c>
      <c r="BL108" s="28">
        <v>1</v>
      </c>
      <c r="BM108" s="28">
        <v>0</v>
      </c>
      <c r="BN108" s="74">
        <v>6</v>
      </c>
      <c r="BO108" s="77">
        <v>0</v>
      </c>
      <c r="BP108" s="28">
        <v>0</v>
      </c>
      <c r="BQ108" s="74">
        <v>2</v>
      </c>
      <c r="BR108" s="77">
        <v>4</v>
      </c>
      <c r="BS108" s="72">
        <v>0.5</v>
      </c>
      <c r="BT108" s="74">
        <v>0</v>
      </c>
      <c r="BU108" s="75">
        <v>106</v>
      </c>
    </row>
    <row r="109" spans="1:73">
      <c r="A109" s="101" t="s">
        <v>804</v>
      </c>
      <c r="B109" s="71" t="s">
        <v>168</v>
      </c>
      <c r="C109" s="71" t="s">
        <v>807</v>
      </c>
      <c r="D109" s="130">
        <v>0.13333333333333333</v>
      </c>
      <c r="E109" s="72">
        <v>0.27777777777777779</v>
      </c>
      <c r="F109" s="72">
        <v>0.33333333333333331</v>
      </c>
      <c r="G109" s="77">
        <v>4</v>
      </c>
      <c r="H109" s="28">
        <v>15</v>
      </c>
      <c r="I109" s="28">
        <v>2</v>
      </c>
      <c r="J109" s="28">
        <v>2</v>
      </c>
      <c r="K109" s="28">
        <v>0</v>
      </c>
      <c r="L109" s="28">
        <v>0</v>
      </c>
      <c r="M109" s="28">
        <v>1</v>
      </c>
      <c r="N109" s="28">
        <v>1</v>
      </c>
      <c r="O109" s="28">
        <v>3</v>
      </c>
      <c r="P109" s="74">
        <v>5</v>
      </c>
      <c r="Q109" s="77">
        <v>0</v>
      </c>
      <c r="R109" s="28">
        <v>0</v>
      </c>
      <c r="S109" s="74">
        <v>1</v>
      </c>
      <c r="T109" s="77">
        <v>5</v>
      </c>
      <c r="U109" s="72">
        <v>0.61111111111111116</v>
      </c>
      <c r="V109" s="74">
        <v>1</v>
      </c>
      <c r="W109" s="75">
        <v>107</v>
      </c>
      <c r="Z109" s="101" t="s">
        <v>835</v>
      </c>
      <c r="AA109" s="71" t="s">
        <v>168</v>
      </c>
      <c r="AB109" s="77" t="s">
        <v>837</v>
      </c>
      <c r="AC109" s="130">
        <v>0.23529411764705882</v>
      </c>
      <c r="AD109" s="72">
        <v>0.27777777777777779</v>
      </c>
      <c r="AE109" s="73">
        <v>0.52941176470588236</v>
      </c>
      <c r="AF109" s="77">
        <v>4</v>
      </c>
      <c r="AG109" s="28">
        <v>17</v>
      </c>
      <c r="AH109" s="28">
        <v>2</v>
      </c>
      <c r="AI109" s="28">
        <v>4</v>
      </c>
      <c r="AJ109" s="28">
        <v>2</v>
      </c>
      <c r="AK109" s="28">
        <v>0</v>
      </c>
      <c r="AL109" s="28">
        <v>1</v>
      </c>
      <c r="AM109" s="28">
        <v>1</v>
      </c>
      <c r="AN109" s="28">
        <v>1</v>
      </c>
      <c r="AO109" s="74">
        <v>6</v>
      </c>
      <c r="AP109" s="77">
        <v>0</v>
      </c>
      <c r="AQ109" s="28">
        <v>0</v>
      </c>
      <c r="AR109" s="74">
        <v>2</v>
      </c>
      <c r="AS109" s="77">
        <v>9</v>
      </c>
      <c r="AT109" s="72">
        <v>0.80718954248366015</v>
      </c>
      <c r="AU109" s="74">
        <v>0</v>
      </c>
      <c r="AV109" s="75">
        <v>107</v>
      </c>
      <c r="AY109" s="101" t="s">
        <v>804</v>
      </c>
      <c r="AZ109" s="71" t="s">
        <v>168</v>
      </c>
      <c r="BA109" s="77" t="s">
        <v>807</v>
      </c>
      <c r="BB109" s="130">
        <v>0.35714285714285715</v>
      </c>
      <c r="BC109" s="72">
        <v>0.35714285714285715</v>
      </c>
      <c r="BD109" s="73">
        <v>0.6428571428571429</v>
      </c>
      <c r="BE109" s="77">
        <v>3</v>
      </c>
      <c r="BF109" s="28">
        <v>14</v>
      </c>
      <c r="BG109" s="28">
        <v>2</v>
      </c>
      <c r="BH109" s="28">
        <v>5</v>
      </c>
      <c r="BI109" s="28">
        <v>1</v>
      </c>
      <c r="BJ109" s="28">
        <v>0</v>
      </c>
      <c r="BK109" s="28">
        <v>1</v>
      </c>
      <c r="BL109" s="28">
        <v>4</v>
      </c>
      <c r="BM109" s="28">
        <v>0</v>
      </c>
      <c r="BN109" s="74">
        <v>4</v>
      </c>
      <c r="BO109" s="77">
        <v>0</v>
      </c>
      <c r="BP109" s="28">
        <v>2</v>
      </c>
      <c r="BQ109" s="74">
        <v>2</v>
      </c>
      <c r="BR109" s="77">
        <v>9</v>
      </c>
      <c r="BS109" s="72">
        <v>1</v>
      </c>
      <c r="BT109" s="74">
        <v>0</v>
      </c>
      <c r="BU109" s="75">
        <v>107</v>
      </c>
    </row>
    <row r="110" spans="1:73">
      <c r="A110" s="101" t="s">
        <v>804</v>
      </c>
      <c r="B110" s="71" t="s">
        <v>179</v>
      </c>
      <c r="C110" s="71" t="s">
        <v>818</v>
      </c>
      <c r="D110" s="130">
        <v>0</v>
      </c>
      <c r="E110" s="72">
        <v>0</v>
      </c>
      <c r="F110" s="72">
        <v>0</v>
      </c>
      <c r="G110" s="77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74">
        <v>0</v>
      </c>
      <c r="Q110" s="77">
        <v>0</v>
      </c>
      <c r="R110" s="28">
        <v>0</v>
      </c>
      <c r="S110" s="74">
        <v>0</v>
      </c>
      <c r="T110" s="77">
        <v>0</v>
      </c>
      <c r="U110" s="72">
        <v>0</v>
      </c>
      <c r="V110" s="74">
        <v>0</v>
      </c>
      <c r="W110" s="75">
        <v>108</v>
      </c>
      <c r="Z110" s="101" t="s">
        <v>835</v>
      </c>
      <c r="AA110" s="71" t="s">
        <v>179</v>
      </c>
      <c r="AB110" s="77" t="s">
        <v>846</v>
      </c>
      <c r="AC110" s="130">
        <v>0</v>
      </c>
      <c r="AD110" s="72">
        <v>0</v>
      </c>
      <c r="AE110" s="73">
        <v>0</v>
      </c>
      <c r="AF110" s="77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74">
        <v>0</v>
      </c>
      <c r="AP110" s="77">
        <v>0</v>
      </c>
      <c r="AQ110" s="28">
        <v>0</v>
      </c>
      <c r="AR110" s="74">
        <v>0</v>
      </c>
      <c r="AS110" s="77">
        <v>0</v>
      </c>
      <c r="AT110" s="72">
        <v>0</v>
      </c>
      <c r="AU110" s="74">
        <v>0</v>
      </c>
      <c r="AV110" s="75">
        <v>108</v>
      </c>
      <c r="AY110" s="101" t="s">
        <v>804</v>
      </c>
      <c r="AZ110" s="71" t="s">
        <v>308</v>
      </c>
      <c r="BA110" s="77" t="s">
        <v>818</v>
      </c>
      <c r="BB110" s="130">
        <v>0</v>
      </c>
      <c r="BC110" s="72">
        <v>0</v>
      </c>
      <c r="BD110" s="73">
        <v>0</v>
      </c>
      <c r="BE110" s="77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74">
        <v>0</v>
      </c>
      <c r="BO110" s="77">
        <v>0</v>
      </c>
      <c r="BP110" s="28">
        <v>0</v>
      </c>
      <c r="BQ110" s="74">
        <v>0</v>
      </c>
      <c r="BR110" s="77">
        <v>0</v>
      </c>
      <c r="BS110" s="72">
        <v>0</v>
      </c>
      <c r="BT110" s="74">
        <v>0</v>
      </c>
      <c r="BU110" s="75">
        <v>108</v>
      </c>
    </row>
    <row r="111" spans="1:73">
      <c r="A111" s="101" t="s">
        <v>804</v>
      </c>
      <c r="B111" s="71" t="s">
        <v>187</v>
      </c>
      <c r="C111" s="71" t="s">
        <v>817</v>
      </c>
      <c r="D111" s="130">
        <v>0</v>
      </c>
      <c r="E111" s="72">
        <v>0</v>
      </c>
      <c r="F111" s="72">
        <v>0</v>
      </c>
      <c r="G111" s="77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74">
        <v>0</v>
      </c>
      <c r="Q111" s="77">
        <v>0</v>
      </c>
      <c r="R111" s="28">
        <v>0</v>
      </c>
      <c r="S111" s="74">
        <v>0</v>
      </c>
      <c r="T111" s="77">
        <v>0</v>
      </c>
      <c r="U111" s="72">
        <v>0</v>
      </c>
      <c r="V111" s="74">
        <v>0</v>
      </c>
      <c r="W111" s="75">
        <v>109</v>
      </c>
      <c r="Z111" s="101" t="s">
        <v>835</v>
      </c>
      <c r="AA111" s="71" t="s">
        <v>192</v>
      </c>
      <c r="AB111" s="77" t="s">
        <v>851</v>
      </c>
      <c r="AC111" s="130">
        <v>0</v>
      </c>
      <c r="AD111" s="72">
        <v>0</v>
      </c>
      <c r="AE111" s="73">
        <v>0</v>
      </c>
      <c r="AF111" s="77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74">
        <v>0</v>
      </c>
      <c r="AP111" s="77">
        <v>0</v>
      </c>
      <c r="AQ111" s="28">
        <v>0</v>
      </c>
      <c r="AR111" s="74">
        <v>0</v>
      </c>
      <c r="AS111" s="77">
        <v>0</v>
      </c>
      <c r="AT111" s="72">
        <v>0</v>
      </c>
      <c r="AU111" s="74">
        <v>0</v>
      </c>
      <c r="AV111" s="75">
        <v>109</v>
      </c>
      <c r="AY111" s="101" t="s">
        <v>804</v>
      </c>
      <c r="AZ111" s="71" t="s">
        <v>192</v>
      </c>
      <c r="BA111" s="77" t="s">
        <v>817</v>
      </c>
      <c r="BB111" s="130">
        <v>0</v>
      </c>
      <c r="BC111" s="72">
        <v>0</v>
      </c>
      <c r="BD111" s="73">
        <v>0</v>
      </c>
      <c r="BE111" s="77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74">
        <v>0</v>
      </c>
      <c r="BO111" s="77">
        <v>0</v>
      </c>
      <c r="BP111" s="28">
        <v>0</v>
      </c>
      <c r="BQ111" s="74">
        <v>0</v>
      </c>
      <c r="BR111" s="77">
        <v>0</v>
      </c>
      <c r="BS111" s="72">
        <v>0</v>
      </c>
      <c r="BT111" s="74">
        <v>0</v>
      </c>
      <c r="BU111" s="75">
        <v>109</v>
      </c>
    </row>
    <row r="112" spans="1:73">
      <c r="A112" s="101" t="s">
        <v>804</v>
      </c>
      <c r="B112" s="71" t="s">
        <v>192</v>
      </c>
      <c r="C112" s="71" t="s">
        <v>819</v>
      </c>
      <c r="D112" s="130">
        <v>0</v>
      </c>
      <c r="E112" s="72">
        <v>0</v>
      </c>
      <c r="F112" s="72">
        <v>0</v>
      </c>
      <c r="G112" s="77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74">
        <v>0</v>
      </c>
      <c r="Q112" s="77">
        <v>0</v>
      </c>
      <c r="R112" s="28">
        <v>0</v>
      </c>
      <c r="S112" s="74">
        <v>0</v>
      </c>
      <c r="T112" s="77">
        <v>0</v>
      </c>
      <c r="U112" s="72">
        <v>0</v>
      </c>
      <c r="V112" s="74">
        <v>0</v>
      </c>
      <c r="W112" s="75">
        <v>110</v>
      </c>
      <c r="Z112" s="101" t="s">
        <v>835</v>
      </c>
      <c r="AA112" s="71" t="s">
        <v>2174</v>
      </c>
      <c r="AB112" s="77" t="s">
        <v>845</v>
      </c>
      <c r="AC112" s="130">
        <v>0</v>
      </c>
      <c r="AD112" s="72">
        <v>0</v>
      </c>
      <c r="AE112" s="73">
        <v>0</v>
      </c>
      <c r="AF112" s="77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74">
        <v>0</v>
      </c>
      <c r="AP112" s="77">
        <v>0</v>
      </c>
      <c r="AQ112" s="28">
        <v>0</v>
      </c>
      <c r="AR112" s="74">
        <v>0</v>
      </c>
      <c r="AS112" s="77">
        <v>0</v>
      </c>
      <c r="AT112" s="72">
        <v>0</v>
      </c>
      <c r="AU112" s="74">
        <v>0</v>
      </c>
      <c r="AV112" s="75">
        <v>110</v>
      </c>
      <c r="AY112" s="101" t="s">
        <v>804</v>
      </c>
      <c r="AZ112" s="71" t="s">
        <v>187</v>
      </c>
      <c r="BA112" s="77" t="s">
        <v>815</v>
      </c>
      <c r="BB112" s="130">
        <v>0</v>
      </c>
      <c r="BC112" s="72">
        <v>0</v>
      </c>
      <c r="BD112" s="73">
        <v>0</v>
      </c>
      <c r="BE112" s="77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74">
        <v>0</v>
      </c>
      <c r="BO112" s="77">
        <v>0</v>
      </c>
      <c r="BP112" s="28">
        <v>0</v>
      </c>
      <c r="BQ112" s="74">
        <v>0</v>
      </c>
      <c r="BR112" s="77">
        <v>0</v>
      </c>
      <c r="BS112" s="72">
        <v>0</v>
      </c>
      <c r="BT112" s="74">
        <v>0</v>
      </c>
      <c r="BU112" s="75">
        <v>110</v>
      </c>
    </row>
    <row r="113" spans="1:73">
      <c r="A113" s="101" t="s">
        <v>804</v>
      </c>
      <c r="B113" s="71" t="s">
        <v>186</v>
      </c>
      <c r="C113" s="71" t="s">
        <v>812</v>
      </c>
      <c r="D113" s="130">
        <v>0</v>
      </c>
      <c r="E113" s="72">
        <v>0</v>
      </c>
      <c r="F113" s="72">
        <v>0</v>
      </c>
      <c r="G113" s="77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74">
        <v>0</v>
      </c>
      <c r="Q113" s="77">
        <v>0</v>
      </c>
      <c r="R113" s="28">
        <v>0</v>
      </c>
      <c r="S113" s="74">
        <v>0</v>
      </c>
      <c r="T113" s="77">
        <v>0</v>
      </c>
      <c r="U113" s="72">
        <v>0</v>
      </c>
      <c r="V113" s="74">
        <v>0</v>
      </c>
      <c r="W113" s="75">
        <v>111</v>
      </c>
      <c r="Z113" s="101" t="s">
        <v>835</v>
      </c>
      <c r="AA113" s="71" t="s">
        <v>186</v>
      </c>
      <c r="AB113" s="77" t="s">
        <v>848</v>
      </c>
      <c r="AC113" s="130">
        <v>0</v>
      </c>
      <c r="AD113" s="72">
        <v>0</v>
      </c>
      <c r="AE113" s="73">
        <v>0</v>
      </c>
      <c r="AF113" s="77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74">
        <v>0</v>
      </c>
      <c r="AP113" s="77">
        <v>0</v>
      </c>
      <c r="AQ113" s="28">
        <v>0</v>
      </c>
      <c r="AR113" s="74">
        <v>0</v>
      </c>
      <c r="AS113" s="77">
        <v>0</v>
      </c>
      <c r="AT113" s="72">
        <v>0</v>
      </c>
      <c r="AU113" s="74">
        <v>0</v>
      </c>
      <c r="AV113" s="75">
        <v>111</v>
      </c>
      <c r="AY113" s="101" t="s">
        <v>804</v>
      </c>
      <c r="AZ113" s="71" t="s">
        <v>186</v>
      </c>
      <c r="BA113" s="77" t="s">
        <v>814</v>
      </c>
      <c r="BB113" s="130">
        <v>0</v>
      </c>
      <c r="BC113" s="72">
        <v>0</v>
      </c>
      <c r="BD113" s="73">
        <v>0</v>
      </c>
      <c r="BE113" s="77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74">
        <v>0</v>
      </c>
      <c r="BO113" s="77">
        <v>0</v>
      </c>
      <c r="BP113" s="28">
        <v>0</v>
      </c>
      <c r="BQ113" s="74">
        <v>0</v>
      </c>
      <c r="BR113" s="77">
        <v>0</v>
      </c>
      <c r="BS113" s="72">
        <v>0</v>
      </c>
      <c r="BT113" s="74">
        <v>0</v>
      </c>
      <c r="BU113" s="75">
        <v>111</v>
      </c>
    </row>
    <row r="114" spans="1:73">
      <c r="A114" s="101" t="s">
        <v>804</v>
      </c>
      <c r="B114" s="71" t="s">
        <v>186</v>
      </c>
      <c r="C114" s="71" t="s">
        <v>816</v>
      </c>
      <c r="D114" s="130">
        <v>0</v>
      </c>
      <c r="E114" s="72">
        <v>0</v>
      </c>
      <c r="F114" s="72">
        <v>0</v>
      </c>
      <c r="G114" s="77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74">
        <v>0</v>
      </c>
      <c r="Q114" s="77">
        <v>0</v>
      </c>
      <c r="R114" s="28">
        <v>0</v>
      </c>
      <c r="S114" s="74">
        <v>0</v>
      </c>
      <c r="T114" s="77">
        <v>0</v>
      </c>
      <c r="U114" s="72">
        <v>0</v>
      </c>
      <c r="V114" s="74">
        <v>0</v>
      </c>
      <c r="W114" s="75">
        <v>112</v>
      </c>
      <c r="Z114" s="101" t="s">
        <v>835</v>
      </c>
      <c r="AA114" s="71" t="s">
        <v>186</v>
      </c>
      <c r="AB114" s="77" t="s">
        <v>849</v>
      </c>
      <c r="AC114" s="130">
        <v>0</v>
      </c>
      <c r="AD114" s="72">
        <v>0</v>
      </c>
      <c r="AE114" s="73">
        <v>0</v>
      </c>
      <c r="AF114" s="77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74">
        <v>0</v>
      </c>
      <c r="AP114" s="77">
        <v>0</v>
      </c>
      <c r="AQ114" s="28">
        <v>0</v>
      </c>
      <c r="AR114" s="74">
        <v>0</v>
      </c>
      <c r="AS114" s="77">
        <v>0</v>
      </c>
      <c r="AT114" s="72">
        <v>0</v>
      </c>
      <c r="AU114" s="74">
        <v>0</v>
      </c>
      <c r="AV114" s="75">
        <v>112</v>
      </c>
      <c r="AY114" s="101" t="s">
        <v>804</v>
      </c>
      <c r="AZ114" s="71" t="s">
        <v>186</v>
      </c>
      <c r="BA114" s="77" t="s">
        <v>816</v>
      </c>
      <c r="BB114" s="130">
        <v>0</v>
      </c>
      <c r="BC114" s="72">
        <v>0</v>
      </c>
      <c r="BD114" s="73">
        <v>0</v>
      </c>
      <c r="BE114" s="77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  <c r="BK114" s="28">
        <v>0</v>
      </c>
      <c r="BL114" s="28">
        <v>0</v>
      </c>
      <c r="BM114" s="28">
        <v>0</v>
      </c>
      <c r="BN114" s="74">
        <v>0</v>
      </c>
      <c r="BO114" s="77">
        <v>0</v>
      </c>
      <c r="BP114" s="28">
        <v>0</v>
      </c>
      <c r="BQ114" s="74">
        <v>0</v>
      </c>
      <c r="BR114" s="77">
        <v>0</v>
      </c>
      <c r="BS114" s="72">
        <v>0</v>
      </c>
      <c r="BT114" s="74">
        <v>0</v>
      </c>
      <c r="BU114" s="75">
        <v>112</v>
      </c>
    </row>
    <row r="115" spans="1:73">
      <c r="A115" s="101" t="s">
        <v>835</v>
      </c>
      <c r="B115" s="71" t="s">
        <v>179</v>
      </c>
      <c r="C115" s="71" t="s">
        <v>846</v>
      </c>
      <c r="D115" s="130">
        <v>0.13333333333333333</v>
      </c>
      <c r="E115" s="72">
        <v>0.22</v>
      </c>
      <c r="F115" s="72">
        <v>0.15555555555555556</v>
      </c>
      <c r="G115" s="77">
        <v>13</v>
      </c>
      <c r="H115" s="28">
        <v>45</v>
      </c>
      <c r="I115" s="28">
        <v>2</v>
      </c>
      <c r="J115" s="28">
        <v>6</v>
      </c>
      <c r="K115" s="28">
        <v>1</v>
      </c>
      <c r="L115" s="28">
        <v>0</v>
      </c>
      <c r="M115" s="28">
        <v>0</v>
      </c>
      <c r="N115" s="28">
        <v>2</v>
      </c>
      <c r="O115" s="28">
        <v>5</v>
      </c>
      <c r="P115" s="74">
        <v>14</v>
      </c>
      <c r="Q115" s="77">
        <v>0</v>
      </c>
      <c r="R115" s="28">
        <v>0</v>
      </c>
      <c r="S115" s="74">
        <v>3</v>
      </c>
      <c r="T115" s="77">
        <v>7</v>
      </c>
      <c r="U115" s="72">
        <v>0.37555555555555553</v>
      </c>
      <c r="V115" s="74">
        <v>1</v>
      </c>
      <c r="W115" s="75">
        <v>113</v>
      </c>
      <c r="Z115" s="101" t="s">
        <v>990</v>
      </c>
      <c r="AA115" s="71" t="s">
        <v>179</v>
      </c>
      <c r="AB115" s="77" t="s">
        <v>1000</v>
      </c>
      <c r="AC115" s="130">
        <v>0.14285714285714285</v>
      </c>
      <c r="AD115" s="72">
        <v>0.14285714285714285</v>
      </c>
      <c r="AE115" s="73">
        <v>0.14285714285714285</v>
      </c>
      <c r="AF115" s="77">
        <v>2</v>
      </c>
      <c r="AG115" s="28">
        <v>7</v>
      </c>
      <c r="AH115" s="28">
        <v>0</v>
      </c>
      <c r="AI115" s="28">
        <v>1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74">
        <v>5</v>
      </c>
      <c r="AP115" s="77">
        <v>0</v>
      </c>
      <c r="AQ115" s="28">
        <v>0</v>
      </c>
      <c r="AR115" s="74">
        <v>1</v>
      </c>
      <c r="AS115" s="77">
        <v>1</v>
      </c>
      <c r="AT115" s="72">
        <v>0.2857142857142857</v>
      </c>
      <c r="AU115" s="74">
        <v>0</v>
      </c>
      <c r="AV115" s="75">
        <v>113</v>
      </c>
      <c r="AY115" s="101" t="s">
        <v>952</v>
      </c>
      <c r="AZ115" s="71" t="s">
        <v>179</v>
      </c>
      <c r="BA115" s="77" t="s">
        <v>958</v>
      </c>
      <c r="BB115" s="130">
        <v>0.23076923076923078</v>
      </c>
      <c r="BC115" s="72">
        <v>0.31034482758620691</v>
      </c>
      <c r="BD115" s="73">
        <v>0.38461538461538464</v>
      </c>
      <c r="BE115" s="77">
        <v>7</v>
      </c>
      <c r="BF115" s="28">
        <v>26</v>
      </c>
      <c r="BG115" s="28">
        <v>5</v>
      </c>
      <c r="BH115" s="28">
        <v>6</v>
      </c>
      <c r="BI115" s="28">
        <v>1</v>
      </c>
      <c r="BJ115" s="28">
        <v>0</v>
      </c>
      <c r="BK115" s="28">
        <v>1</v>
      </c>
      <c r="BL115" s="28">
        <v>2</v>
      </c>
      <c r="BM115" s="28">
        <v>3</v>
      </c>
      <c r="BN115" s="74">
        <v>5</v>
      </c>
      <c r="BO115" s="77">
        <v>0</v>
      </c>
      <c r="BP115" s="28">
        <v>1</v>
      </c>
      <c r="BQ115" s="74">
        <v>3</v>
      </c>
      <c r="BR115" s="77">
        <v>10</v>
      </c>
      <c r="BS115" s="72">
        <v>0.69496021220159154</v>
      </c>
      <c r="BT115" s="74">
        <v>0</v>
      </c>
      <c r="BU115" s="75">
        <v>113</v>
      </c>
    </row>
    <row r="116" spans="1:73">
      <c r="A116" s="101" t="s">
        <v>835</v>
      </c>
      <c r="B116" s="71" t="s">
        <v>154</v>
      </c>
      <c r="C116" s="71" t="s">
        <v>836</v>
      </c>
      <c r="D116" s="130">
        <v>0.31372549019607843</v>
      </c>
      <c r="E116" s="72">
        <v>0.39655172413793105</v>
      </c>
      <c r="F116" s="72">
        <v>0.49019607843137253</v>
      </c>
      <c r="G116" s="77">
        <v>13</v>
      </c>
      <c r="H116" s="28">
        <v>51</v>
      </c>
      <c r="I116" s="28">
        <v>7</v>
      </c>
      <c r="J116" s="28">
        <v>16</v>
      </c>
      <c r="K116" s="28">
        <v>0</v>
      </c>
      <c r="L116" s="28">
        <v>0</v>
      </c>
      <c r="M116" s="28">
        <v>3</v>
      </c>
      <c r="N116" s="28">
        <v>8</v>
      </c>
      <c r="O116" s="28">
        <v>7</v>
      </c>
      <c r="P116" s="74">
        <v>12</v>
      </c>
      <c r="Q116" s="77">
        <v>0</v>
      </c>
      <c r="R116" s="28">
        <v>0</v>
      </c>
      <c r="S116" s="74">
        <v>5</v>
      </c>
      <c r="T116" s="77">
        <v>25</v>
      </c>
      <c r="U116" s="72">
        <v>0.88674780256930363</v>
      </c>
      <c r="V116" s="74">
        <v>1</v>
      </c>
      <c r="W116" s="75">
        <v>114</v>
      </c>
      <c r="Z116" s="101" t="s">
        <v>990</v>
      </c>
      <c r="AA116" s="71" t="s">
        <v>154</v>
      </c>
      <c r="AB116" s="77" t="s">
        <v>1002</v>
      </c>
      <c r="AC116" s="130">
        <v>0.25</v>
      </c>
      <c r="AD116" s="72">
        <v>0.25</v>
      </c>
      <c r="AE116" s="73">
        <v>0.375</v>
      </c>
      <c r="AF116" s="77">
        <v>2</v>
      </c>
      <c r="AG116" s="28">
        <v>8</v>
      </c>
      <c r="AH116" s="28">
        <v>1</v>
      </c>
      <c r="AI116" s="28">
        <v>2</v>
      </c>
      <c r="AJ116" s="28">
        <v>1</v>
      </c>
      <c r="AK116" s="28">
        <v>0</v>
      </c>
      <c r="AL116" s="28">
        <v>0</v>
      </c>
      <c r="AM116" s="28">
        <v>0</v>
      </c>
      <c r="AN116" s="28">
        <v>0</v>
      </c>
      <c r="AO116" s="74">
        <v>3</v>
      </c>
      <c r="AP116" s="77">
        <v>0</v>
      </c>
      <c r="AQ116" s="28">
        <v>0</v>
      </c>
      <c r="AR116" s="74">
        <v>1</v>
      </c>
      <c r="AS116" s="77">
        <v>3</v>
      </c>
      <c r="AT116" s="72">
        <v>0.625</v>
      </c>
      <c r="AU116" s="74">
        <v>0</v>
      </c>
      <c r="AV116" s="75">
        <v>114</v>
      </c>
      <c r="AY116" s="101" t="s">
        <v>952</v>
      </c>
      <c r="AZ116" s="71" t="s">
        <v>154</v>
      </c>
      <c r="BA116" s="77" t="s">
        <v>954</v>
      </c>
      <c r="BB116" s="130">
        <v>0.27586206896551724</v>
      </c>
      <c r="BC116" s="72">
        <v>0.34375</v>
      </c>
      <c r="BD116" s="73">
        <v>0.65517241379310343</v>
      </c>
      <c r="BE116" s="77">
        <v>7</v>
      </c>
      <c r="BF116" s="28">
        <v>29</v>
      </c>
      <c r="BG116" s="28">
        <v>6</v>
      </c>
      <c r="BH116" s="28">
        <v>8</v>
      </c>
      <c r="BI116" s="28">
        <v>2</v>
      </c>
      <c r="BJ116" s="28">
        <v>0</v>
      </c>
      <c r="BK116" s="28">
        <v>3</v>
      </c>
      <c r="BL116" s="28">
        <v>8</v>
      </c>
      <c r="BM116" s="28">
        <v>3</v>
      </c>
      <c r="BN116" s="74">
        <v>5</v>
      </c>
      <c r="BO116" s="77">
        <v>0</v>
      </c>
      <c r="BP116" s="28">
        <v>1</v>
      </c>
      <c r="BQ116" s="74">
        <v>2</v>
      </c>
      <c r="BR116" s="77">
        <v>19</v>
      </c>
      <c r="BS116" s="72">
        <v>0.99892241379310343</v>
      </c>
      <c r="BT116" s="74">
        <v>2</v>
      </c>
      <c r="BU116" s="75">
        <v>114</v>
      </c>
    </row>
    <row r="117" spans="1:73">
      <c r="A117" s="101" t="s">
        <v>835</v>
      </c>
      <c r="B117" s="71" t="s">
        <v>172</v>
      </c>
      <c r="C117" s="71" t="s">
        <v>847</v>
      </c>
      <c r="D117" s="130">
        <v>0.21276595744680851</v>
      </c>
      <c r="E117" s="72">
        <v>0.24489795918367346</v>
      </c>
      <c r="F117" s="72">
        <v>0.38297872340425532</v>
      </c>
      <c r="G117" s="77">
        <v>13</v>
      </c>
      <c r="H117" s="28">
        <v>47</v>
      </c>
      <c r="I117" s="28">
        <v>7</v>
      </c>
      <c r="J117" s="28">
        <v>10</v>
      </c>
      <c r="K117" s="28">
        <v>3</v>
      </c>
      <c r="L117" s="28">
        <v>1</v>
      </c>
      <c r="M117" s="28">
        <v>1</v>
      </c>
      <c r="N117" s="28">
        <v>3</v>
      </c>
      <c r="O117" s="28">
        <v>2</v>
      </c>
      <c r="P117" s="74">
        <v>20</v>
      </c>
      <c r="Q117" s="77">
        <v>0</v>
      </c>
      <c r="R117" s="28">
        <v>0</v>
      </c>
      <c r="S117" s="74">
        <v>2</v>
      </c>
      <c r="T117" s="77">
        <v>18</v>
      </c>
      <c r="U117" s="72">
        <v>0.62787668258792872</v>
      </c>
      <c r="V117" s="74">
        <v>1</v>
      </c>
      <c r="W117" s="75">
        <v>115</v>
      </c>
      <c r="Z117" s="101" t="s">
        <v>990</v>
      </c>
      <c r="AA117" s="71" t="s">
        <v>172</v>
      </c>
      <c r="AB117" s="77" t="s">
        <v>999</v>
      </c>
      <c r="AC117" s="130">
        <v>0.42857142857142855</v>
      </c>
      <c r="AD117" s="72">
        <v>0.42857142857142855</v>
      </c>
      <c r="AE117" s="73">
        <v>0.42857142857142855</v>
      </c>
      <c r="AF117" s="77">
        <v>2</v>
      </c>
      <c r="AG117" s="28">
        <v>7</v>
      </c>
      <c r="AH117" s="28">
        <v>1</v>
      </c>
      <c r="AI117" s="28">
        <v>3</v>
      </c>
      <c r="AJ117" s="28">
        <v>0</v>
      </c>
      <c r="AK117" s="28">
        <v>0</v>
      </c>
      <c r="AL117" s="28">
        <v>0</v>
      </c>
      <c r="AM117" s="28">
        <v>1</v>
      </c>
      <c r="AN117" s="28">
        <v>0</v>
      </c>
      <c r="AO117" s="74">
        <v>0</v>
      </c>
      <c r="AP117" s="77">
        <v>0</v>
      </c>
      <c r="AQ117" s="28">
        <v>2</v>
      </c>
      <c r="AR117" s="74">
        <v>2</v>
      </c>
      <c r="AS117" s="77">
        <v>3</v>
      </c>
      <c r="AT117" s="72">
        <v>0.8571428571428571</v>
      </c>
      <c r="AU117" s="74">
        <v>0</v>
      </c>
      <c r="AV117" s="75">
        <v>115</v>
      </c>
      <c r="AY117" s="101" t="s">
        <v>952</v>
      </c>
      <c r="AZ117" s="71" t="s">
        <v>172</v>
      </c>
      <c r="BA117" s="77" t="s">
        <v>963</v>
      </c>
      <c r="BB117" s="130">
        <v>0.13636363636363635</v>
      </c>
      <c r="BC117" s="72">
        <v>0.20833333333333334</v>
      </c>
      <c r="BD117" s="73">
        <v>0.13636363636363635</v>
      </c>
      <c r="BE117" s="77">
        <v>7</v>
      </c>
      <c r="BF117" s="28">
        <v>22</v>
      </c>
      <c r="BG117" s="28">
        <v>1</v>
      </c>
      <c r="BH117" s="28">
        <v>3</v>
      </c>
      <c r="BI117" s="28">
        <v>0</v>
      </c>
      <c r="BJ117" s="28">
        <v>0</v>
      </c>
      <c r="BK117" s="28">
        <v>0</v>
      </c>
      <c r="BL117" s="28">
        <v>1</v>
      </c>
      <c r="BM117" s="28">
        <v>2</v>
      </c>
      <c r="BN117" s="74">
        <v>3</v>
      </c>
      <c r="BO117" s="77">
        <v>0</v>
      </c>
      <c r="BP117" s="28">
        <v>0</v>
      </c>
      <c r="BQ117" s="74">
        <v>2</v>
      </c>
      <c r="BR117" s="77">
        <v>3</v>
      </c>
      <c r="BS117" s="72">
        <v>0.34469696969696972</v>
      </c>
      <c r="BT117" s="74">
        <v>0</v>
      </c>
      <c r="BU117" s="75">
        <v>115</v>
      </c>
    </row>
    <row r="118" spans="1:73">
      <c r="A118" s="101" t="s">
        <v>835</v>
      </c>
      <c r="B118" s="71" t="s">
        <v>153</v>
      </c>
      <c r="C118" s="71" t="s">
        <v>839</v>
      </c>
      <c r="D118" s="130">
        <v>0.23529411764705882</v>
      </c>
      <c r="E118" s="72">
        <v>0.26415094339622641</v>
      </c>
      <c r="F118" s="72">
        <v>0.47058823529411764</v>
      </c>
      <c r="G118" s="77">
        <v>13</v>
      </c>
      <c r="H118" s="28">
        <v>51</v>
      </c>
      <c r="I118" s="28">
        <v>4</v>
      </c>
      <c r="J118" s="28">
        <v>12</v>
      </c>
      <c r="K118" s="28">
        <v>3</v>
      </c>
      <c r="L118" s="28">
        <v>0</v>
      </c>
      <c r="M118" s="28">
        <v>3</v>
      </c>
      <c r="N118" s="28">
        <v>9</v>
      </c>
      <c r="O118" s="28">
        <v>2</v>
      </c>
      <c r="P118" s="74">
        <v>11</v>
      </c>
      <c r="Q118" s="77">
        <v>0</v>
      </c>
      <c r="R118" s="28">
        <v>1</v>
      </c>
      <c r="S118" s="74">
        <v>3</v>
      </c>
      <c r="T118" s="77">
        <v>24</v>
      </c>
      <c r="U118" s="72">
        <v>0.734739178690344</v>
      </c>
      <c r="V118" s="74">
        <v>1</v>
      </c>
      <c r="W118" s="75">
        <v>116</v>
      </c>
      <c r="Z118" s="101" t="s">
        <v>990</v>
      </c>
      <c r="AA118" s="71" t="s">
        <v>153</v>
      </c>
      <c r="AB118" s="77" t="s">
        <v>995</v>
      </c>
      <c r="AC118" s="130">
        <v>0.625</v>
      </c>
      <c r="AD118" s="72">
        <v>0.66666666666666663</v>
      </c>
      <c r="AE118" s="73">
        <v>0.875</v>
      </c>
      <c r="AF118" s="77">
        <v>2</v>
      </c>
      <c r="AG118" s="28">
        <v>8</v>
      </c>
      <c r="AH118" s="28">
        <v>0</v>
      </c>
      <c r="AI118" s="28">
        <v>5</v>
      </c>
      <c r="AJ118" s="28">
        <v>0</v>
      </c>
      <c r="AK118" s="28">
        <v>1</v>
      </c>
      <c r="AL118" s="28">
        <v>0</v>
      </c>
      <c r="AM118" s="28">
        <v>2</v>
      </c>
      <c r="AN118" s="28">
        <v>1</v>
      </c>
      <c r="AO118" s="74">
        <v>0</v>
      </c>
      <c r="AP118" s="77">
        <v>1</v>
      </c>
      <c r="AQ118" s="28">
        <v>2</v>
      </c>
      <c r="AR118" s="74">
        <v>2</v>
      </c>
      <c r="AS118" s="77">
        <v>7</v>
      </c>
      <c r="AT118" s="72">
        <v>1.5416666666666665</v>
      </c>
      <c r="AU118" s="74">
        <v>0</v>
      </c>
      <c r="AV118" s="75">
        <v>116</v>
      </c>
      <c r="AY118" s="101" t="s">
        <v>952</v>
      </c>
      <c r="AZ118" s="71" t="s">
        <v>153</v>
      </c>
      <c r="BA118" s="77" t="s">
        <v>959</v>
      </c>
      <c r="BB118" s="130">
        <v>0.19230769230769232</v>
      </c>
      <c r="BC118" s="72">
        <v>0.27586206896551724</v>
      </c>
      <c r="BD118" s="73">
        <v>0.23076923076923078</v>
      </c>
      <c r="BE118" s="77">
        <v>6</v>
      </c>
      <c r="BF118" s="28">
        <v>26</v>
      </c>
      <c r="BG118" s="28">
        <v>2</v>
      </c>
      <c r="BH118" s="28">
        <v>5</v>
      </c>
      <c r="BI118" s="28">
        <v>1</v>
      </c>
      <c r="BJ118" s="28">
        <v>0</v>
      </c>
      <c r="BK118" s="28">
        <v>0</v>
      </c>
      <c r="BL118" s="28">
        <v>2</v>
      </c>
      <c r="BM118" s="28">
        <v>3</v>
      </c>
      <c r="BN118" s="74">
        <v>6</v>
      </c>
      <c r="BO118" s="77">
        <v>0</v>
      </c>
      <c r="BP118" s="28">
        <v>1</v>
      </c>
      <c r="BQ118" s="74">
        <v>3</v>
      </c>
      <c r="BR118" s="77">
        <v>6</v>
      </c>
      <c r="BS118" s="72">
        <v>0.50663129973474796</v>
      </c>
      <c r="BT118" s="74">
        <v>0</v>
      </c>
      <c r="BU118" s="75">
        <v>116</v>
      </c>
    </row>
    <row r="119" spans="1:73">
      <c r="A119" s="101" t="s">
        <v>835</v>
      </c>
      <c r="B119" s="71" t="s">
        <v>177</v>
      </c>
      <c r="C119" s="71" t="s">
        <v>720</v>
      </c>
      <c r="D119" s="130">
        <v>0.11538461538461539</v>
      </c>
      <c r="E119" s="72">
        <v>0.20689655172413793</v>
      </c>
      <c r="F119" s="72">
        <v>0.23076923076923078</v>
      </c>
      <c r="G119" s="77">
        <v>13</v>
      </c>
      <c r="H119" s="28">
        <v>52</v>
      </c>
      <c r="I119" s="28">
        <v>5</v>
      </c>
      <c r="J119" s="28">
        <v>6</v>
      </c>
      <c r="K119" s="28">
        <v>3</v>
      </c>
      <c r="L119" s="28">
        <v>0</v>
      </c>
      <c r="M119" s="28">
        <v>1</v>
      </c>
      <c r="N119" s="28">
        <v>4</v>
      </c>
      <c r="O119" s="28">
        <v>6</v>
      </c>
      <c r="P119" s="74">
        <v>24</v>
      </c>
      <c r="Q119" s="77">
        <v>0</v>
      </c>
      <c r="R119" s="28">
        <v>0</v>
      </c>
      <c r="S119" s="74">
        <v>4</v>
      </c>
      <c r="T119" s="77">
        <v>12</v>
      </c>
      <c r="U119" s="72">
        <v>0.43766578249336874</v>
      </c>
      <c r="V119" s="74">
        <v>1</v>
      </c>
      <c r="W119" s="75">
        <v>117</v>
      </c>
      <c r="Z119" s="101" t="s">
        <v>990</v>
      </c>
      <c r="AA119" s="71" t="s">
        <v>177</v>
      </c>
      <c r="AB119" s="77" t="s">
        <v>991</v>
      </c>
      <c r="AC119" s="130">
        <v>0</v>
      </c>
      <c r="AD119" s="72">
        <v>0</v>
      </c>
      <c r="AE119" s="73">
        <v>0</v>
      </c>
      <c r="AF119" s="77">
        <v>2</v>
      </c>
      <c r="AG119" s="28">
        <v>8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74">
        <v>4</v>
      </c>
      <c r="AP119" s="77">
        <v>0</v>
      </c>
      <c r="AQ119" s="28">
        <v>0</v>
      </c>
      <c r="AR119" s="74">
        <v>0</v>
      </c>
      <c r="AS119" s="77">
        <v>0</v>
      </c>
      <c r="AT119" s="72">
        <v>0</v>
      </c>
      <c r="AU119" s="74">
        <v>0</v>
      </c>
      <c r="AV119" s="75">
        <v>117</v>
      </c>
      <c r="AY119" s="101" t="s">
        <v>952</v>
      </c>
      <c r="AZ119" s="71" t="s">
        <v>177</v>
      </c>
      <c r="BA119" s="77" t="s">
        <v>957</v>
      </c>
      <c r="BB119" s="130">
        <v>0.2413793103448276</v>
      </c>
      <c r="BC119" s="72">
        <v>0.33333333333333331</v>
      </c>
      <c r="BD119" s="73">
        <v>0.37931034482758619</v>
      </c>
      <c r="BE119" s="77">
        <v>7</v>
      </c>
      <c r="BF119" s="28">
        <v>29</v>
      </c>
      <c r="BG119" s="28">
        <v>5</v>
      </c>
      <c r="BH119" s="28">
        <v>7</v>
      </c>
      <c r="BI119" s="28">
        <v>1</v>
      </c>
      <c r="BJ119" s="28">
        <v>0</v>
      </c>
      <c r="BK119" s="28">
        <v>1</v>
      </c>
      <c r="BL119" s="28">
        <v>1</v>
      </c>
      <c r="BM119" s="28">
        <v>4</v>
      </c>
      <c r="BN119" s="74">
        <v>10</v>
      </c>
      <c r="BO119" s="77">
        <v>0</v>
      </c>
      <c r="BP119" s="28">
        <v>1</v>
      </c>
      <c r="BQ119" s="74">
        <v>2</v>
      </c>
      <c r="BR119" s="77">
        <v>11</v>
      </c>
      <c r="BS119" s="72">
        <v>0.71264367816091956</v>
      </c>
      <c r="BT119" s="74">
        <v>0</v>
      </c>
      <c r="BU119" s="75">
        <v>117</v>
      </c>
    </row>
    <row r="120" spans="1:73">
      <c r="A120" s="101" t="s">
        <v>835</v>
      </c>
      <c r="B120" s="345" t="s">
        <v>174</v>
      </c>
      <c r="C120" s="71" t="s">
        <v>843</v>
      </c>
      <c r="D120" s="130">
        <v>0.32692307692307693</v>
      </c>
      <c r="E120" s="72">
        <v>0.375</v>
      </c>
      <c r="F120" s="72">
        <v>0.57692307692307687</v>
      </c>
      <c r="G120" s="77">
        <v>13</v>
      </c>
      <c r="H120" s="28">
        <v>52</v>
      </c>
      <c r="I120" s="28">
        <v>6</v>
      </c>
      <c r="J120" s="28">
        <v>17</v>
      </c>
      <c r="K120" s="28">
        <v>4</v>
      </c>
      <c r="L120" s="28">
        <v>0</v>
      </c>
      <c r="M120" s="28">
        <v>3</v>
      </c>
      <c r="N120" s="28">
        <v>10</v>
      </c>
      <c r="O120" s="28">
        <v>4</v>
      </c>
      <c r="P120" s="74">
        <v>13</v>
      </c>
      <c r="Q120" s="77">
        <v>0</v>
      </c>
      <c r="R120" s="28">
        <v>0</v>
      </c>
      <c r="S120" s="74">
        <v>5</v>
      </c>
      <c r="T120" s="77">
        <v>30</v>
      </c>
      <c r="U120" s="72">
        <v>0.95192307692307687</v>
      </c>
      <c r="V120" s="74">
        <v>1</v>
      </c>
      <c r="W120" s="75">
        <v>118</v>
      </c>
      <c r="Z120" s="101" t="s">
        <v>990</v>
      </c>
      <c r="AA120" s="71" t="s">
        <v>174</v>
      </c>
      <c r="AB120" s="77" t="s">
        <v>996</v>
      </c>
      <c r="AC120" s="130">
        <v>0.25</v>
      </c>
      <c r="AD120" s="72">
        <v>0.25</v>
      </c>
      <c r="AE120" s="73">
        <v>0.25</v>
      </c>
      <c r="AF120" s="77">
        <v>2</v>
      </c>
      <c r="AG120" s="28">
        <v>8</v>
      </c>
      <c r="AH120" s="28">
        <v>0</v>
      </c>
      <c r="AI120" s="28">
        <v>2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74">
        <v>3</v>
      </c>
      <c r="AP120" s="77">
        <v>0</v>
      </c>
      <c r="AQ120" s="28">
        <v>2</v>
      </c>
      <c r="AR120" s="74">
        <v>2</v>
      </c>
      <c r="AS120" s="77">
        <v>2</v>
      </c>
      <c r="AT120" s="72">
        <v>0.5</v>
      </c>
      <c r="AU120" s="74">
        <v>0</v>
      </c>
      <c r="AV120" s="75">
        <v>118</v>
      </c>
      <c r="AY120" s="101" t="s">
        <v>952</v>
      </c>
      <c r="AZ120" s="71" t="s">
        <v>174</v>
      </c>
      <c r="BA120" s="77" t="s">
        <v>955</v>
      </c>
      <c r="BB120" s="130">
        <v>0.26923076923076922</v>
      </c>
      <c r="BC120" s="72">
        <v>0.34482758620689657</v>
      </c>
      <c r="BD120" s="73">
        <v>0.42307692307692307</v>
      </c>
      <c r="BE120" s="77">
        <v>7</v>
      </c>
      <c r="BF120" s="28">
        <v>26</v>
      </c>
      <c r="BG120" s="28">
        <v>2</v>
      </c>
      <c r="BH120" s="28">
        <v>7</v>
      </c>
      <c r="BI120" s="28">
        <v>1</v>
      </c>
      <c r="BJ120" s="28">
        <v>0</v>
      </c>
      <c r="BK120" s="28">
        <v>1</v>
      </c>
      <c r="BL120" s="28">
        <v>3</v>
      </c>
      <c r="BM120" s="28">
        <v>3</v>
      </c>
      <c r="BN120" s="74">
        <v>8</v>
      </c>
      <c r="BO120" s="77">
        <v>0</v>
      </c>
      <c r="BP120" s="28">
        <v>2</v>
      </c>
      <c r="BQ120" s="74">
        <v>4</v>
      </c>
      <c r="BR120" s="77">
        <v>11</v>
      </c>
      <c r="BS120" s="72">
        <v>0.7679045092838197</v>
      </c>
      <c r="BT120" s="74">
        <v>0</v>
      </c>
      <c r="BU120" s="75">
        <v>118</v>
      </c>
    </row>
    <row r="121" spans="1:73">
      <c r="A121" s="101" t="s">
        <v>835</v>
      </c>
      <c r="B121" s="71" t="s">
        <v>181</v>
      </c>
      <c r="C121" s="71" t="s">
        <v>841</v>
      </c>
      <c r="D121" s="130">
        <v>0.1702127659574468</v>
      </c>
      <c r="E121" s="72">
        <v>0.23529411764705882</v>
      </c>
      <c r="F121" s="72">
        <v>0.27659574468085107</v>
      </c>
      <c r="G121" s="77">
        <v>13</v>
      </c>
      <c r="H121" s="28">
        <v>47</v>
      </c>
      <c r="I121" s="28">
        <v>1</v>
      </c>
      <c r="J121" s="28">
        <v>8</v>
      </c>
      <c r="K121" s="28">
        <v>5</v>
      </c>
      <c r="L121" s="28">
        <v>0</v>
      </c>
      <c r="M121" s="28">
        <v>0</v>
      </c>
      <c r="N121" s="28">
        <v>1</v>
      </c>
      <c r="O121" s="28">
        <v>4</v>
      </c>
      <c r="P121" s="74">
        <v>13</v>
      </c>
      <c r="Q121" s="77">
        <v>0</v>
      </c>
      <c r="R121" s="28">
        <v>0</v>
      </c>
      <c r="S121" s="74">
        <v>4</v>
      </c>
      <c r="T121" s="77">
        <v>13</v>
      </c>
      <c r="U121" s="72">
        <v>0.51188986232790989</v>
      </c>
      <c r="V121" s="74">
        <v>0</v>
      </c>
      <c r="W121" s="75">
        <v>119</v>
      </c>
      <c r="Z121" s="101" t="s">
        <v>990</v>
      </c>
      <c r="AA121" s="71" t="s">
        <v>181</v>
      </c>
      <c r="AB121" s="77" t="s">
        <v>993</v>
      </c>
      <c r="AC121" s="130">
        <v>0.1111111111111111</v>
      </c>
      <c r="AD121" s="72">
        <v>0.1111111111111111</v>
      </c>
      <c r="AE121" s="73">
        <v>0.22222222222222221</v>
      </c>
      <c r="AF121" s="77">
        <v>2</v>
      </c>
      <c r="AG121" s="28">
        <v>9</v>
      </c>
      <c r="AH121" s="28">
        <v>0</v>
      </c>
      <c r="AI121" s="28">
        <v>1</v>
      </c>
      <c r="AJ121" s="28">
        <v>1</v>
      </c>
      <c r="AK121" s="28">
        <v>0</v>
      </c>
      <c r="AL121" s="28">
        <v>0</v>
      </c>
      <c r="AM121" s="28">
        <v>0</v>
      </c>
      <c r="AN121" s="28">
        <v>0</v>
      </c>
      <c r="AO121" s="74">
        <v>1</v>
      </c>
      <c r="AP121" s="77">
        <v>0</v>
      </c>
      <c r="AQ121" s="28">
        <v>1</v>
      </c>
      <c r="AR121" s="74">
        <v>1</v>
      </c>
      <c r="AS121" s="77">
        <v>2</v>
      </c>
      <c r="AT121" s="72">
        <v>0.33333333333333331</v>
      </c>
      <c r="AU121" s="74">
        <v>0</v>
      </c>
      <c r="AV121" s="75">
        <v>119</v>
      </c>
      <c r="AY121" s="101" t="s">
        <v>952</v>
      </c>
      <c r="AZ121" s="71" t="s">
        <v>181</v>
      </c>
      <c r="BA121" s="77" t="s">
        <v>189</v>
      </c>
      <c r="BB121" s="130">
        <v>0.28000000000000003</v>
      </c>
      <c r="BC121" s="72">
        <v>0.35714285714285715</v>
      </c>
      <c r="BD121" s="73">
        <v>0.28000000000000003</v>
      </c>
      <c r="BE121" s="77">
        <v>7</v>
      </c>
      <c r="BF121" s="28">
        <v>25</v>
      </c>
      <c r="BG121" s="28">
        <v>1</v>
      </c>
      <c r="BH121" s="28">
        <v>7</v>
      </c>
      <c r="BI121" s="28">
        <v>0</v>
      </c>
      <c r="BJ121" s="28">
        <v>0</v>
      </c>
      <c r="BK121" s="28">
        <v>0</v>
      </c>
      <c r="BL121" s="28">
        <v>2</v>
      </c>
      <c r="BM121" s="28">
        <v>3</v>
      </c>
      <c r="BN121" s="74">
        <v>6</v>
      </c>
      <c r="BO121" s="77">
        <v>0</v>
      </c>
      <c r="BP121" s="28">
        <v>2</v>
      </c>
      <c r="BQ121" s="74">
        <v>2</v>
      </c>
      <c r="BR121" s="77">
        <v>7</v>
      </c>
      <c r="BS121" s="72">
        <v>0.63714285714285723</v>
      </c>
      <c r="BT121" s="74">
        <v>0</v>
      </c>
      <c r="BU121" s="75">
        <v>119</v>
      </c>
    </row>
    <row r="122" spans="1:73">
      <c r="A122" s="101" t="s">
        <v>835</v>
      </c>
      <c r="B122" s="71" t="s">
        <v>166</v>
      </c>
      <c r="C122" s="71" t="s">
        <v>840</v>
      </c>
      <c r="D122" s="130">
        <v>0.32727272727272727</v>
      </c>
      <c r="E122" s="72">
        <v>0.3728813559322034</v>
      </c>
      <c r="F122" s="72">
        <v>0.45454545454545453</v>
      </c>
      <c r="G122" s="77">
        <v>13</v>
      </c>
      <c r="H122" s="28">
        <v>55</v>
      </c>
      <c r="I122" s="28">
        <v>10</v>
      </c>
      <c r="J122" s="28">
        <v>18</v>
      </c>
      <c r="K122" s="28">
        <v>1</v>
      </c>
      <c r="L122" s="28">
        <v>0</v>
      </c>
      <c r="M122" s="28">
        <v>2</v>
      </c>
      <c r="N122" s="28">
        <v>4</v>
      </c>
      <c r="O122" s="28">
        <v>4</v>
      </c>
      <c r="P122" s="74">
        <v>18</v>
      </c>
      <c r="Q122" s="77">
        <v>6</v>
      </c>
      <c r="R122" s="28">
        <v>2</v>
      </c>
      <c r="S122" s="74">
        <v>9</v>
      </c>
      <c r="T122" s="77">
        <v>25</v>
      </c>
      <c r="U122" s="72">
        <v>0.82742681047765787</v>
      </c>
      <c r="V122" s="74">
        <v>0</v>
      </c>
      <c r="W122" s="75">
        <v>120</v>
      </c>
      <c r="Z122" s="101" t="s">
        <v>990</v>
      </c>
      <c r="AA122" s="71" t="s">
        <v>166</v>
      </c>
      <c r="AB122" s="77" t="s">
        <v>994</v>
      </c>
      <c r="AC122" s="130">
        <v>0.16666666666666666</v>
      </c>
      <c r="AD122" s="72">
        <v>0.2857142857142857</v>
      </c>
      <c r="AE122" s="73">
        <v>0.16666666666666666</v>
      </c>
      <c r="AF122" s="77">
        <v>2</v>
      </c>
      <c r="AG122" s="28">
        <v>6</v>
      </c>
      <c r="AH122" s="28">
        <v>1</v>
      </c>
      <c r="AI122" s="28">
        <v>1</v>
      </c>
      <c r="AJ122" s="28">
        <v>0</v>
      </c>
      <c r="AK122" s="28">
        <v>0</v>
      </c>
      <c r="AL122" s="28">
        <v>0</v>
      </c>
      <c r="AM122" s="28">
        <v>0</v>
      </c>
      <c r="AN122" s="28">
        <v>1</v>
      </c>
      <c r="AO122" s="74">
        <v>2</v>
      </c>
      <c r="AP122" s="77">
        <v>0</v>
      </c>
      <c r="AQ122" s="28">
        <v>0</v>
      </c>
      <c r="AR122" s="74">
        <v>1</v>
      </c>
      <c r="AS122" s="77">
        <v>1</v>
      </c>
      <c r="AT122" s="72">
        <v>0.45238095238095233</v>
      </c>
      <c r="AU122" s="74">
        <v>0</v>
      </c>
      <c r="AV122" s="75">
        <v>120</v>
      </c>
      <c r="AY122" s="101" t="s">
        <v>952</v>
      </c>
      <c r="AZ122" s="71" t="s">
        <v>166</v>
      </c>
      <c r="BA122" s="77" t="s">
        <v>960</v>
      </c>
      <c r="BB122" s="130">
        <v>0.32142857142857145</v>
      </c>
      <c r="BC122" s="72">
        <v>0.34482758620689657</v>
      </c>
      <c r="BD122" s="73">
        <v>0.8214285714285714</v>
      </c>
      <c r="BE122" s="77">
        <v>7</v>
      </c>
      <c r="BF122" s="28">
        <v>28</v>
      </c>
      <c r="BG122" s="28">
        <v>5</v>
      </c>
      <c r="BH122" s="28">
        <v>9</v>
      </c>
      <c r="BI122" s="28">
        <v>2</v>
      </c>
      <c r="BJ122" s="28">
        <v>0</v>
      </c>
      <c r="BK122" s="28">
        <v>4</v>
      </c>
      <c r="BL122" s="28">
        <v>8</v>
      </c>
      <c r="BM122" s="28">
        <v>1</v>
      </c>
      <c r="BN122" s="74">
        <v>9</v>
      </c>
      <c r="BO122" s="77">
        <v>0</v>
      </c>
      <c r="BP122" s="28">
        <v>1</v>
      </c>
      <c r="BQ122" s="74">
        <v>3</v>
      </c>
      <c r="BR122" s="77">
        <v>23</v>
      </c>
      <c r="BS122" s="72">
        <v>1.166256157635468</v>
      </c>
      <c r="BT122" s="74">
        <v>0</v>
      </c>
      <c r="BU122" s="75">
        <v>120</v>
      </c>
    </row>
    <row r="123" spans="1:73">
      <c r="A123" s="101" t="s">
        <v>835</v>
      </c>
      <c r="B123" s="71" t="s">
        <v>168</v>
      </c>
      <c r="C123" s="71" t="s">
        <v>848</v>
      </c>
      <c r="D123" s="130">
        <v>0.18367346938775511</v>
      </c>
      <c r="E123" s="72">
        <v>0.27272727272727271</v>
      </c>
      <c r="F123" s="72">
        <v>0.34693877551020408</v>
      </c>
      <c r="G123" s="77">
        <v>13</v>
      </c>
      <c r="H123" s="28">
        <v>49</v>
      </c>
      <c r="I123" s="28">
        <v>6</v>
      </c>
      <c r="J123" s="28">
        <v>9</v>
      </c>
      <c r="K123" s="28">
        <v>2</v>
      </c>
      <c r="L123" s="28">
        <v>0</v>
      </c>
      <c r="M123" s="28">
        <v>2</v>
      </c>
      <c r="N123" s="28">
        <v>7</v>
      </c>
      <c r="O123" s="28">
        <v>6</v>
      </c>
      <c r="P123" s="74">
        <v>17</v>
      </c>
      <c r="Q123" s="77">
        <v>0</v>
      </c>
      <c r="R123" s="28">
        <v>0</v>
      </c>
      <c r="S123" s="74">
        <v>3</v>
      </c>
      <c r="T123" s="77">
        <v>17</v>
      </c>
      <c r="U123" s="72">
        <v>0.61966604823747673</v>
      </c>
      <c r="V123" s="74">
        <v>1</v>
      </c>
      <c r="W123" s="75">
        <v>121</v>
      </c>
      <c r="Z123" s="101" t="s">
        <v>990</v>
      </c>
      <c r="AA123" s="71" t="s">
        <v>168</v>
      </c>
      <c r="AB123" s="77" t="s">
        <v>992</v>
      </c>
      <c r="AC123" s="130">
        <v>0</v>
      </c>
      <c r="AD123" s="72">
        <v>0</v>
      </c>
      <c r="AE123" s="73">
        <v>0</v>
      </c>
      <c r="AF123" s="77">
        <v>2</v>
      </c>
      <c r="AG123" s="28">
        <v>8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74">
        <v>3</v>
      </c>
      <c r="AP123" s="77">
        <v>0</v>
      </c>
      <c r="AQ123" s="28">
        <v>0</v>
      </c>
      <c r="AR123" s="74">
        <v>0</v>
      </c>
      <c r="AS123" s="77">
        <v>0</v>
      </c>
      <c r="AT123" s="72">
        <v>0</v>
      </c>
      <c r="AU123" s="74">
        <v>0</v>
      </c>
      <c r="AV123" s="75">
        <v>121</v>
      </c>
      <c r="AY123" s="101" t="s">
        <v>952</v>
      </c>
      <c r="AZ123" s="345" t="s">
        <v>168</v>
      </c>
      <c r="BA123" s="77" t="s">
        <v>724</v>
      </c>
      <c r="BB123" s="130">
        <v>0.25</v>
      </c>
      <c r="BC123" s="72">
        <v>0.34375</v>
      </c>
      <c r="BD123" s="346">
        <v>0.8571428571428571</v>
      </c>
      <c r="BE123" s="77">
        <v>7</v>
      </c>
      <c r="BF123" s="28">
        <v>28</v>
      </c>
      <c r="BG123" s="28">
        <v>7</v>
      </c>
      <c r="BH123" s="28">
        <v>7</v>
      </c>
      <c r="BI123" s="28">
        <v>2</v>
      </c>
      <c r="BJ123" s="28">
        <v>0</v>
      </c>
      <c r="BK123" s="28">
        <v>5</v>
      </c>
      <c r="BL123" s="28">
        <v>9</v>
      </c>
      <c r="BM123" s="28">
        <v>4</v>
      </c>
      <c r="BN123" s="74">
        <v>6</v>
      </c>
      <c r="BO123" s="77">
        <v>0</v>
      </c>
      <c r="BP123" s="28">
        <v>0</v>
      </c>
      <c r="BQ123" s="74">
        <v>1</v>
      </c>
      <c r="BR123" s="77">
        <v>24</v>
      </c>
      <c r="BS123" s="594">
        <v>1.2008928571428572</v>
      </c>
      <c r="BT123" s="74">
        <v>1</v>
      </c>
      <c r="BU123" s="75">
        <v>121</v>
      </c>
    </row>
    <row r="124" spans="1:73">
      <c r="A124" s="101" t="s">
        <v>835</v>
      </c>
      <c r="B124" s="71" t="s">
        <v>179</v>
      </c>
      <c r="C124" s="71" t="s">
        <v>725</v>
      </c>
      <c r="D124" s="130">
        <v>0</v>
      </c>
      <c r="E124" s="72">
        <v>0</v>
      </c>
      <c r="F124" s="72">
        <v>0</v>
      </c>
      <c r="G124" s="77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74">
        <v>0</v>
      </c>
      <c r="Q124" s="77">
        <v>0</v>
      </c>
      <c r="R124" s="28">
        <v>0</v>
      </c>
      <c r="S124" s="74">
        <v>0</v>
      </c>
      <c r="T124" s="77">
        <v>0</v>
      </c>
      <c r="U124" s="72">
        <v>0</v>
      </c>
      <c r="V124" s="74">
        <v>0</v>
      </c>
      <c r="W124" s="75">
        <v>122</v>
      </c>
      <c r="Z124" s="101" t="s">
        <v>990</v>
      </c>
      <c r="AA124" s="71" t="s">
        <v>179</v>
      </c>
      <c r="AB124" s="77" t="s">
        <v>1004</v>
      </c>
      <c r="AC124" s="130">
        <v>0</v>
      </c>
      <c r="AD124" s="72">
        <v>0</v>
      </c>
      <c r="AE124" s="73">
        <v>0</v>
      </c>
      <c r="AF124" s="77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74">
        <v>0</v>
      </c>
      <c r="AP124" s="77">
        <v>0</v>
      </c>
      <c r="AQ124" s="28">
        <v>0</v>
      </c>
      <c r="AR124" s="74">
        <v>0</v>
      </c>
      <c r="AS124" s="77">
        <v>0</v>
      </c>
      <c r="AT124" s="72">
        <v>0</v>
      </c>
      <c r="AU124" s="74">
        <v>0</v>
      </c>
      <c r="AV124" s="75">
        <v>122</v>
      </c>
      <c r="AY124" s="101" t="s">
        <v>952</v>
      </c>
      <c r="AZ124" s="71" t="s">
        <v>179</v>
      </c>
      <c r="BA124" s="77" t="s">
        <v>968</v>
      </c>
      <c r="BB124" s="130">
        <v>0</v>
      </c>
      <c r="BC124" s="72">
        <v>0</v>
      </c>
      <c r="BD124" s="73">
        <v>0</v>
      </c>
      <c r="BE124" s="77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  <c r="BK124" s="28">
        <v>0</v>
      </c>
      <c r="BL124" s="28">
        <v>0</v>
      </c>
      <c r="BM124" s="28">
        <v>0</v>
      </c>
      <c r="BN124" s="74">
        <v>0</v>
      </c>
      <c r="BO124" s="77">
        <v>0</v>
      </c>
      <c r="BP124" s="28">
        <v>0</v>
      </c>
      <c r="BQ124" s="74">
        <v>0</v>
      </c>
      <c r="BR124" s="77">
        <v>0</v>
      </c>
      <c r="BS124" s="72">
        <v>0</v>
      </c>
      <c r="BT124" s="74">
        <v>0</v>
      </c>
      <c r="BU124" s="75">
        <v>122</v>
      </c>
    </row>
    <row r="125" spans="1:73">
      <c r="A125" s="101" t="s">
        <v>835</v>
      </c>
      <c r="B125" s="71" t="s">
        <v>187</v>
      </c>
      <c r="C125" s="71" t="s">
        <v>837</v>
      </c>
      <c r="D125" s="130">
        <v>0</v>
      </c>
      <c r="E125" s="72">
        <v>0</v>
      </c>
      <c r="F125" s="72">
        <v>0</v>
      </c>
      <c r="G125" s="77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74">
        <v>0</v>
      </c>
      <c r="Q125" s="77">
        <v>0</v>
      </c>
      <c r="R125" s="28">
        <v>0</v>
      </c>
      <c r="S125" s="74">
        <v>0</v>
      </c>
      <c r="T125" s="77">
        <v>0</v>
      </c>
      <c r="U125" s="72">
        <v>0</v>
      </c>
      <c r="V125" s="74">
        <v>0</v>
      </c>
      <c r="W125" s="75">
        <v>123</v>
      </c>
      <c r="Z125" s="101" t="s">
        <v>990</v>
      </c>
      <c r="AA125" s="71" t="s">
        <v>187</v>
      </c>
      <c r="AB125" s="77" t="s">
        <v>1003</v>
      </c>
      <c r="AC125" s="130">
        <v>0</v>
      </c>
      <c r="AD125" s="72">
        <v>0</v>
      </c>
      <c r="AE125" s="73">
        <v>0</v>
      </c>
      <c r="AF125" s="77">
        <v>0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74">
        <v>0</v>
      </c>
      <c r="AP125" s="77">
        <v>0</v>
      </c>
      <c r="AQ125" s="28">
        <v>0</v>
      </c>
      <c r="AR125" s="74">
        <v>0</v>
      </c>
      <c r="AS125" s="77">
        <v>0</v>
      </c>
      <c r="AT125" s="72">
        <v>0</v>
      </c>
      <c r="AU125" s="74">
        <v>0</v>
      </c>
      <c r="AV125" s="75">
        <v>123</v>
      </c>
      <c r="AY125" s="101" t="s">
        <v>952</v>
      </c>
      <c r="AZ125" s="71" t="s">
        <v>187</v>
      </c>
      <c r="BA125" s="77" t="s">
        <v>965</v>
      </c>
      <c r="BB125" s="130">
        <v>0.5</v>
      </c>
      <c r="BC125" s="72">
        <v>0.5</v>
      </c>
      <c r="BD125" s="73">
        <v>0.5</v>
      </c>
      <c r="BE125" s="77">
        <v>2</v>
      </c>
      <c r="BF125" s="28">
        <v>2</v>
      </c>
      <c r="BG125" s="28">
        <v>0</v>
      </c>
      <c r="BH125" s="28">
        <v>1</v>
      </c>
      <c r="BI125" s="28">
        <v>0</v>
      </c>
      <c r="BJ125" s="28">
        <v>0</v>
      </c>
      <c r="BK125" s="28">
        <v>0</v>
      </c>
      <c r="BL125" s="28">
        <v>0</v>
      </c>
      <c r="BM125" s="28">
        <v>0</v>
      </c>
      <c r="BN125" s="74">
        <v>2</v>
      </c>
      <c r="BO125" s="77">
        <v>0</v>
      </c>
      <c r="BP125" s="28">
        <v>0</v>
      </c>
      <c r="BQ125" s="74">
        <v>0</v>
      </c>
      <c r="BR125" s="77">
        <v>1</v>
      </c>
      <c r="BS125" s="72">
        <v>1</v>
      </c>
      <c r="BT125" s="74">
        <v>0</v>
      </c>
      <c r="BU125" s="75">
        <v>123</v>
      </c>
    </row>
    <row r="126" spans="1:73">
      <c r="A126" s="101" t="s">
        <v>835</v>
      </c>
      <c r="B126" s="71" t="s">
        <v>187</v>
      </c>
      <c r="C126" s="71" t="s">
        <v>851</v>
      </c>
      <c r="D126" s="130">
        <v>0</v>
      </c>
      <c r="E126" s="72">
        <v>0</v>
      </c>
      <c r="F126" s="72">
        <v>0</v>
      </c>
      <c r="G126" s="77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74">
        <v>0</v>
      </c>
      <c r="Q126" s="77">
        <v>0</v>
      </c>
      <c r="R126" s="28">
        <v>0</v>
      </c>
      <c r="S126" s="74">
        <v>0</v>
      </c>
      <c r="T126" s="77">
        <v>0</v>
      </c>
      <c r="U126" s="72">
        <v>0</v>
      </c>
      <c r="V126" s="74">
        <v>0</v>
      </c>
      <c r="W126" s="75">
        <v>124</v>
      </c>
      <c r="Z126" s="101" t="s">
        <v>990</v>
      </c>
      <c r="AA126" s="71" t="s">
        <v>192</v>
      </c>
      <c r="AB126" s="77" t="s">
        <v>1007</v>
      </c>
      <c r="AC126" s="130">
        <v>0</v>
      </c>
      <c r="AD126" s="72">
        <v>0</v>
      </c>
      <c r="AE126" s="73">
        <v>0</v>
      </c>
      <c r="AF126" s="77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74">
        <v>0</v>
      </c>
      <c r="AP126" s="77">
        <v>0</v>
      </c>
      <c r="AQ126" s="28">
        <v>0</v>
      </c>
      <c r="AR126" s="74">
        <v>0</v>
      </c>
      <c r="AS126" s="77">
        <v>0</v>
      </c>
      <c r="AT126" s="72">
        <v>0</v>
      </c>
      <c r="AU126" s="74">
        <v>0</v>
      </c>
      <c r="AV126" s="75">
        <v>124</v>
      </c>
      <c r="AY126" s="101" t="s">
        <v>952</v>
      </c>
      <c r="AZ126" s="71" t="s">
        <v>187</v>
      </c>
      <c r="BA126" s="77" t="s">
        <v>971</v>
      </c>
      <c r="BB126" s="130">
        <v>0</v>
      </c>
      <c r="BC126" s="72">
        <v>0</v>
      </c>
      <c r="BD126" s="73">
        <v>0</v>
      </c>
      <c r="BE126" s="77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74">
        <v>0</v>
      </c>
      <c r="BO126" s="77">
        <v>0</v>
      </c>
      <c r="BP126" s="28">
        <v>0</v>
      </c>
      <c r="BQ126" s="74">
        <v>0</v>
      </c>
      <c r="BR126" s="77">
        <v>0</v>
      </c>
      <c r="BS126" s="72">
        <v>0</v>
      </c>
      <c r="BT126" s="74">
        <v>0</v>
      </c>
      <c r="BU126" s="75">
        <v>124</v>
      </c>
    </row>
    <row r="127" spans="1:73">
      <c r="A127" s="101" t="s">
        <v>835</v>
      </c>
      <c r="B127" s="71" t="s">
        <v>192</v>
      </c>
      <c r="C127" s="71" t="s">
        <v>850</v>
      </c>
      <c r="D127" s="130">
        <v>0</v>
      </c>
      <c r="E127" s="72">
        <v>0</v>
      </c>
      <c r="F127" s="72">
        <v>0</v>
      </c>
      <c r="G127" s="77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74">
        <v>0</v>
      </c>
      <c r="Q127" s="77">
        <v>0</v>
      </c>
      <c r="R127" s="28">
        <v>0</v>
      </c>
      <c r="S127" s="74">
        <v>0</v>
      </c>
      <c r="T127" s="77">
        <v>0</v>
      </c>
      <c r="U127" s="72">
        <v>0</v>
      </c>
      <c r="V127" s="74">
        <v>0</v>
      </c>
      <c r="W127" s="75">
        <v>125</v>
      </c>
      <c r="Z127" s="101" t="s">
        <v>990</v>
      </c>
      <c r="AA127" s="71" t="s">
        <v>184</v>
      </c>
      <c r="AB127" s="77" t="s">
        <v>1005</v>
      </c>
      <c r="AC127" s="130">
        <v>0</v>
      </c>
      <c r="AD127" s="72">
        <v>0</v>
      </c>
      <c r="AE127" s="73">
        <v>0</v>
      </c>
      <c r="AF127" s="77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74">
        <v>0</v>
      </c>
      <c r="AP127" s="77">
        <v>0</v>
      </c>
      <c r="AQ127" s="28">
        <v>0</v>
      </c>
      <c r="AR127" s="74">
        <v>0</v>
      </c>
      <c r="AS127" s="77">
        <v>0</v>
      </c>
      <c r="AT127" s="72">
        <v>0</v>
      </c>
      <c r="AU127" s="74">
        <v>0</v>
      </c>
      <c r="AV127" s="75">
        <v>125</v>
      </c>
      <c r="AY127" s="101" t="s">
        <v>952</v>
      </c>
      <c r="AZ127" s="71" t="s">
        <v>186</v>
      </c>
      <c r="BA127" s="77" t="s">
        <v>956</v>
      </c>
      <c r="BB127" s="130">
        <v>0</v>
      </c>
      <c r="BC127" s="72">
        <v>1</v>
      </c>
      <c r="BD127" s="73">
        <v>0</v>
      </c>
      <c r="BE127" s="77">
        <v>1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28">
        <v>0</v>
      </c>
      <c r="BM127" s="28">
        <v>1</v>
      </c>
      <c r="BN127" s="74">
        <v>0</v>
      </c>
      <c r="BO127" s="77">
        <v>0</v>
      </c>
      <c r="BP127" s="28">
        <v>0</v>
      </c>
      <c r="BQ127" s="74">
        <v>0</v>
      </c>
      <c r="BR127" s="77">
        <v>0</v>
      </c>
      <c r="BS127" s="72">
        <v>1</v>
      </c>
      <c r="BT127" s="74">
        <v>0</v>
      </c>
      <c r="BU127" s="75">
        <v>125</v>
      </c>
    </row>
    <row r="128" spans="1:73">
      <c r="A128" s="101" t="s">
        <v>835</v>
      </c>
      <c r="B128" s="71" t="s">
        <v>186</v>
      </c>
      <c r="C128" s="71" t="s">
        <v>849</v>
      </c>
      <c r="D128" s="130">
        <v>0</v>
      </c>
      <c r="E128" s="72">
        <v>0</v>
      </c>
      <c r="F128" s="72">
        <v>0</v>
      </c>
      <c r="G128" s="77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74">
        <v>0</v>
      </c>
      <c r="Q128" s="77">
        <v>0</v>
      </c>
      <c r="R128" s="28">
        <v>0</v>
      </c>
      <c r="S128" s="74">
        <v>0</v>
      </c>
      <c r="T128" s="77">
        <v>0</v>
      </c>
      <c r="U128" s="72">
        <v>0</v>
      </c>
      <c r="V128" s="74">
        <v>0</v>
      </c>
      <c r="W128" s="75">
        <v>126</v>
      </c>
      <c r="Z128" s="101" t="s">
        <v>990</v>
      </c>
      <c r="AA128" s="71" t="s">
        <v>184</v>
      </c>
      <c r="AB128" s="77" t="s">
        <v>1006</v>
      </c>
      <c r="AC128" s="130">
        <v>0</v>
      </c>
      <c r="AD128" s="72">
        <v>0</v>
      </c>
      <c r="AE128" s="73">
        <v>0</v>
      </c>
      <c r="AF128" s="77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74">
        <v>0</v>
      </c>
      <c r="AP128" s="77">
        <v>0</v>
      </c>
      <c r="AQ128" s="28">
        <v>0</v>
      </c>
      <c r="AR128" s="74">
        <v>0</v>
      </c>
      <c r="AS128" s="77">
        <v>0</v>
      </c>
      <c r="AT128" s="72">
        <v>0</v>
      </c>
      <c r="AU128" s="74">
        <v>0</v>
      </c>
      <c r="AV128" s="75">
        <v>126</v>
      </c>
      <c r="AY128" s="101" t="s">
        <v>952</v>
      </c>
      <c r="AZ128" s="71" t="s">
        <v>184</v>
      </c>
      <c r="BA128" s="77" t="s">
        <v>962</v>
      </c>
      <c r="BB128" s="130">
        <v>0</v>
      </c>
      <c r="BC128" s="72">
        <v>0</v>
      </c>
      <c r="BD128" s="73">
        <v>0</v>
      </c>
      <c r="BE128" s="77">
        <v>2</v>
      </c>
      <c r="BF128" s="28">
        <v>4</v>
      </c>
      <c r="BG128" s="28">
        <v>2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74">
        <v>0</v>
      </c>
      <c r="BO128" s="77">
        <v>0</v>
      </c>
      <c r="BP128" s="28">
        <v>1</v>
      </c>
      <c r="BQ128" s="74">
        <v>1</v>
      </c>
      <c r="BR128" s="77">
        <v>0</v>
      </c>
      <c r="BS128" s="72">
        <v>0</v>
      </c>
      <c r="BT128" s="74">
        <v>0</v>
      </c>
      <c r="BU128" s="75">
        <v>126</v>
      </c>
    </row>
    <row r="129" spans="1:73">
      <c r="A129" s="101" t="s">
        <v>952</v>
      </c>
      <c r="B129" s="71" t="s">
        <v>179</v>
      </c>
      <c r="C129" s="71" t="s">
        <v>958</v>
      </c>
      <c r="D129" s="130">
        <v>0.18181818181818182</v>
      </c>
      <c r="E129" s="72">
        <v>0.25</v>
      </c>
      <c r="F129" s="72">
        <v>0.18181818181818182</v>
      </c>
      <c r="G129" s="77">
        <v>3</v>
      </c>
      <c r="H129" s="28">
        <v>11</v>
      </c>
      <c r="I129" s="28">
        <v>0</v>
      </c>
      <c r="J129" s="28">
        <v>2</v>
      </c>
      <c r="K129" s="28">
        <v>0</v>
      </c>
      <c r="L129" s="28">
        <v>0</v>
      </c>
      <c r="M129" s="28">
        <v>0</v>
      </c>
      <c r="N129" s="28">
        <v>0</v>
      </c>
      <c r="O129" s="28">
        <v>1</v>
      </c>
      <c r="P129" s="74">
        <v>3</v>
      </c>
      <c r="Q129" s="77">
        <v>0</v>
      </c>
      <c r="R129" s="28">
        <v>1</v>
      </c>
      <c r="S129" s="74">
        <v>1</v>
      </c>
      <c r="T129" s="77">
        <v>2</v>
      </c>
      <c r="U129" s="72">
        <v>0.43181818181818182</v>
      </c>
      <c r="V129" s="74">
        <v>0</v>
      </c>
      <c r="W129" s="75">
        <v>127</v>
      </c>
      <c r="Z129" s="101" t="s">
        <v>1025</v>
      </c>
      <c r="AA129" s="71" t="s">
        <v>179</v>
      </c>
      <c r="AB129" s="77" t="s">
        <v>1031</v>
      </c>
      <c r="AC129" s="130">
        <v>0.08</v>
      </c>
      <c r="AD129" s="72">
        <v>0.11538461538461539</v>
      </c>
      <c r="AE129" s="73">
        <v>0.12</v>
      </c>
      <c r="AF129" s="77">
        <v>7</v>
      </c>
      <c r="AG129" s="28">
        <v>25</v>
      </c>
      <c r="AH129" s="28">
        <v>0</v>
      </c>
      <c r="AI129" s="28">
        <v>2</v>
      </c>
      <c r="AJ129" s="28">
        <v>1</v>
      </c>
      <c r="AK129" s="28">
        <v>0</v>
      </c>
      <c r="AL129" s="28">
        <v>0</v>
      </c>
      <c r="AM129" s="28">
        <v>0</v>
      </c>
      <c r="AN129" s="28">
        <v>1</v>
      </c>
      <c r="AO129" s="74">
        <v>11</v>
      </c>
      <c r="AP129" s="77">
        <v>0</v>
      </c>
      <c r="AQ129" s="28">
        <v>0</v>
      </c>
      <c r="AR129" s="74">
        <v>1</v>
      </c>
      <c r="AS129" s="77">
        <v>3</v>
      </c>
      <c r="AT129" s="72">
        <v>0.23538461538461539</v>
      </c>
      <c r="AU129" s="74">
        <v>0</v>
      </c>
      <c r="AV129" s="75">
        <v>127</v>
      </c>
      <c r="AY129" s="101" t="s">
        <v>1062</v>
      </c>
      <c r="AZ129" s="71" t="s">
        <v>179</v>
      </c>
      <c r="BA129" s="77" t="s">
        <v>1068</v>
      </c>
      <c r="BB129" s="130">
        <v>0.375</v>
      </c>
      <c r="BC129" s="72">
        <v>0.44444444444444442</v>
      </c>
      <c r="BD129" s="73">
        <v>0.58333333333333337</v>
      </c>
      <c r="BE129" s="77">
        <v>6</v>
      </c>
      <c r="BF129" s="28">
        <v>24</v>
      </c>
      <c r="BG129" s="28">
        <v>3</v>
      </c>
      <c r="BH129" s="28">
        <v>9</v>
      </c>
      <c r="BI129" s="28">
        <v>2</v>
      </c>
      <c r="BJ129" s="28">
        <v>0</v>
      </c>
      <c r="BK129" s="28">
        <v>1</v>
      </c>
      <c r="BL129" s="28">
        <v>6</v>
      </c>
      <c r="BM129" s="28">
        <v>3</v>
      </c>
      <c r="BN129" s="74">
        <v>4</v>
      </c>
      <c r="BO129" s="77">
        <v>0</v>
      </c>
      <c r="BP129" s="28">
        <v>4</v>
      </c>
      <c r="BQ129" s="74">
        <v>4</v>
      </c>
      <c r="BR129" s="77">
        <v>14</v>
      </c>
      <c r="BS129" s="72">
        <v>1.0277777777777777</v>
      </c>
      <c r="BT129" s="74">
        <v>0</v>
      </c>
      <c r="BU129" s="75">
        <v>127</v>
      </c>
    </row>
    <row r="130" spans="1:73">
      <c r="A130" s="101" t="s">
        <v>952</v>
      </c>
      <c r="B130" s="71" t="s">
        <v>154</v>
      </c>
      <c r="C130" s="71" t="s">
        <v>954</v>
      </c>
      <c r="D130" s="130">
        <v>0.125</v>
      </c>
      <c r="E130" s="72">
        <v>0.41666666666666669</v>
      </c>
      <c r="F130" s="72">
        <v>0.5</v>
      </c>
      <c r="G130" s="77">
        <v>3</v>
      </c>
      <c r="H130" s="28">
        <v>8</v>
      </c>
      <c r="I130" s="28">
        <v>1</v>
      </c>
      <c r="J130" s="28">
        <v>1</v>
      </c>
      <c r="K130" s="28">
        <v>0</v>
      </c>
      <c r="L130" s="28">
        <v>0</v>
      </c>
      <c r="M130" s="28">
        <v>1</v>
      </c>
      <c r="N130" s="28">
        <v>1</v>
      </c>
      <c r="O130" s="28">
        <v>4</v>
      </c>
      <c r="P130" s="74">
        <v>1</v>
      </c>
      <c r="Q130" s="77">
        <v>0</v>
      </c>
      <c r="R130" s="28">
        <v>0</v>
      </c>
      <c r="S130" s="74">
        <v>1</v>
      </c>
      <c r="T130" s="77">
        <v>4</v>
      </c>
      <c r="U130" s="72">
        <v>0.91666666666666674</v>
      </c>
      <c r="V130" s="74">
        <v>0</v>
      </c>
      <c r="W130" s="75">
        <v>128</v>
      </c>
      <c r="Z130" s="101" t="s">
        <v>1025</v>
      </c>
      <c r="AA130" s="71" t="s">
        <v>154</v>
      </c>
      <c r="AB130" s="77" t="s">
        <v>620</v>
      </c>
      <c r="AC130" s="130">
        <v>0.19230769230769232</v>
      </c>
      <c r="AD130" s="72">
        <v>0.25</v>
      </c>
      <c r="AE130" s="73">
        <v>0.42307692307692307</v>
      </c>
      <c r="AF130" s="77">
        <v>7</v>
      </c>
      <c r="AG130" s="28">
        <v>26</v>
      </c>
      <c r="AH130" s="28">
        <v>4</v>
      </c>
      <c r="AI130" s="28">
        <v>5</v>
      </c>
      <c r="AJ130" s="28">
        <v>0</v>
      </c>
      <c r="AK130" s="28">
        <v>0</v>
      </c>
      <c r="AL130" s="28">
        <v>2</v>
      </c>
      <c r="AM130" s="28">
        <v>4</v>
      </c>
      <c r="AN130" s="28">
        <v>2</v>
      </c>
      <c r="AO130" s="74">
        <v>12</v>
      </c>
      <c r="AP130" s="77">
        <v>0</v>
      </c>
      <c r="AQ130" s="28">
        <v>2</v>
      </c>
      <c r="AR130" s="74">
        <v>2</v>
      </c>
      <c r="AS130" s="77">
        <v>11</v>
      </c>
      <c r="AT130" s="72">
        <v>0.67307692307692313</v>
      </c>
      <c r="AU130" s="74">
        <v>1</v>
      </c>
      <c r="AV130" s="75">
        <v>128</v>
      </c>
      <c r="AY130" s="101" t="s">
        <v>1062</v>
      </c>
      <c r="AZ130" s="71" t="s">
        <v>154</v>
      </c>
      <c r="BA130" s="77" t="s">
        <v>1069</v>
      </c>
      <c r="BB130" s="130">
        <v>0.14285714285714285</v>
      </c>
      <c r="BC130" s="72">
        <v>0.22580645161290322</v>
      </c>
      <c r="BD130" s="73">
        <v>0.17857142857142858</v>
      </c>
      <c r="BE130" s="77">
        <v>6</v>
      </c>
      <c r="BF130" s="28">
        <v>28</v>
      </c>
      <c r="BG130" s="28">
        <v>4</v>
      </c>
      <c r="BH130" s="28">
        <v>4</v>
      </c>
      <c r="BI130" s="28">
        <v>1</v>
      </c>
      <c r="BJ130" s="28">
        <v>0</v>
      </c>
      <c r="BK130" s="28">
        <v>0</v>
      </c>
      <c r="BL130" s="28">
        <v>0</v>
      </c>
      <c r="BM130" s="28">
        <v>3</v>
      </c>
      <c r="BN130" s="74">
        <v>7</v>
      </c>
      <c r="BO130" s="77">
        <v>0</v>
      </c>
      <c r="BP130" s="28">
        <v>0</v>
      </c>
      <c r="BQ130" s="74">
        <v>1</v>
      </c>
      <c r="BR130" s="77">
        <v>5</v>
      </c>
      <c r="BS130" s="72">
        <v>0.40437788018433179</v>
      </c>
      <c r="BT130" s="74">
        <v>0</v>
      </c>
      <c r="BU130" s="75">
        <v>128</v>
      </c>
    </row>
    <row r="131" spans="1:73">
      <c r="A131" s="101" t="s">
        <v>952</v>
      </c>
      <c r="B131" s="71" t="s">
        <v>172</v>
      </c>
      <c r="C131" s="71" t="s">
        <v>962</v>
      </c>
      <c r="D131" s="130">
        <v>0.1</v>
      </c>
      <c r="E131" s="72">
        <v>0.1</v>
      </c>
      <c r="F131" s="72">
        <v>0.1</v>
      </c>
      <c r="G131" s="77">
        <v>3</v>
      </c>
      <c r="H131" s="28">
        <v>10</v>
      </c>
      <c r="I131" s="28">
        <v>0</v>
      </c>
      <c r="J131" s="28">
        <v>1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74">
        <v>3</v>
      </c>
      <c r="Q131" s="77">
        <v>1</v>
      </c>
      <c r="R131" s="28">
        <v>0</v>
      </c>
      <c r="S131" s="74">
        <v>1</v>
      </c>
      <c r="T131" s="77">
        <v>1</v>
      </c>
      <c r="U131" s="72">
        <v>0.2</v>
      </c>
      <c r="V131" s="74">
        <v>0</v>
      </c>
      <c r="W131" s="75">
        <v>129</v>
      </c>
      <c r="Z131" s="101" t="s">
        <v>1025</v>
      </c>
      <c r="AA131" s="71" t="s">
        <v>172</v>
      </c>
      <c r="AB131" s="77" t="s">
        <v>1030</v>
      </c>
      <c r="AC131" s="130">
        <v>0.27586206896551724</v>
      </c>
      <c r="AD131" s="72">
        <v>0.34375</v>
      </c>
      <c r="AE131" s="73">
        <v>0.31034482758620691</v>
      </c>
      <c r="AF131" s="77">
        <v>7</v>
      </c>
      <c r="AG131" s="28">
        <v>29</v>
      </c>
      <c r="AH131" s="28">
        <v>3</v>
      </c>
      <c r="AI131" s="28">
        <v>8</v>
      </c>
      <c r="AJ131" s="28">
        <v>1</v>
      </c>
      <c r="AK131" s="28">
        <v>0</v>
      </c>
      <c r="AL131" s="28">
        <v>0</v>
      </c>
      <c r="AM131" s="28">
        <v>0</v>
      </c>
      <c r="AN131" s="28">
        <v>3</v>
      </c>
      <c r="AO131" s="74">
        <v>1</v>
      </c>
      <c r="AP131" s="77">
        <v>0</v>
      </c>
      <c r="AQ131" s="28">
        <v>0</v>
      </c>
      <c r="AR131" s="74">
        <v>4</v>
      </c>
      <c r="AS131" s="77">
        <v>9</v>
      </c>
      <c r="AT131" s="72">
        <v>0.65409482758620685</v>
      </c>
      <c r="AU131" s="74">
        <v>0</v>
      </c>
      <c r="AV131" s="75">
        <v>129</v>
      </c>
      <c r="AY131" s="101" t="s">
        <v>1062</v>
      </c>
      <c r="AZ131" s="71" t="s">
        <v>172</v>
      </c>
      <c r="BA131" s="77" t="s">
        <v>1067</v>
      </c>
      <c r="BB131" s="130">
        <v>0.2857142857142857</v>
      </c>
      <c r="BC131" s="72">
        <v>0.33333333333333331</v>
      </c>
      <c r="BD131" s="73">
        <v>0.32142857142857145</v>
      </c>
      <c r="BE131" s="77">
        <v>6</v>
      </c>
      <c r="BF131" s="28">
        <v>28</v>
      </c>
      <c r="BG131" s="28">
        <v>3</v>
      </c>
      <c r="BH131" s="28">
        <v>8</v>
      </c>
      <c r="BI131" s="28">
        <v>1</v>
      </c>
      <c r="BJ131" s="28">
        <v>0</v>
      </c>
      <c r="BK131" s="28">
        <v>0</v>
      </c>
      <c r="BL131" s="28">
        <v>1</v>
      </c>
      <c r="BM131" s="28">
        <v>2</v>
      </c>
      <c r="BN131" s="74">
        <v>2</v>
      </c>
      <c r="BO131" s="77">
        <v>0</v>
      </c>
      <c r="BP131" s="28">
        <v>1</v>
      </c>
      <c r="BQ131" s="74">
        <v>4</v>
      </c>
      <c r="BR131" s="77">
        <v>9</v>
      </c>
      <c r="BS131" s="72">
        <v>0.65476190476190477</v>
      </c>
      <c r="BT131" s="74">
        <v>0</v>
      </c>
      <c r="BU131" s="75">
        <v>129</v>
      </c>
    </row>
    <row r="132" spans="1:73">
      <c r="A132" s="101" t="s">
        <v>952</v>
      </c>
      <c r="B132" s="71" t="s">
        <v>311</v>
      </c>
      <c r="C132" s="71" t="s">
        <v>961</v>
      </c>
      <c r="D132" s="130">
        <v>0.15384615384615385</v>
      </c>
      <c r="E132" s="72">
        <v>0.15384615384615385</v>
      </c>
      <c r="F132" s="72">
        <v>0.38461538461538464</v>
      </c>
      <c r="G132" s="77">
        <v>3</v>
      </c>
      <c r="H132" s="28">
        <v>13</v>
      </c>
      <c r="I132" s="28">
        <v>1</v>
      </c>
      <c r="J132" s="28">
        <v>2</v>
      </c>
      <c r="K132" s="28">
        <v>0</v>
      </c>
      <c r="L132" s="28">
        <v>0</v>
      </c>
      <c r="M132" s="28">
        <v>1</v>
      </c>
      <c r="N132" s="28">
        <v>3</v>
      </c>
      <c r="O132" s="28">
        <v>0</v>
      </c>
      <c r="P132" s="74">
        <v>2</v>
      </c>
      <c r="Q132" s="77">
        <v>0</v>
      </c>
      <c r="R132" s="28">
        <v>2</v>
      </c>
      <c r="S132" s="74">
        <v>2</v>
      </c>
      <c r="T132" s="77">
        <v>5</v>
      </c>
      <c r="U132" s="72">
        <v>0.53846153846153855</v>
      </c>
      <c r="V132" s="74">
        <v>1</v>
      </c>
      <c r="W132" s="75">
        <v>130</v>
      </c>
      <c r="Z132" s="101" t="s">
        <v>1025</v>
      </c>
      <c r="AA132" s="71" t="s">
        <v>153</v>
      </c>
      <c r="AB132" s="77" t="s">
        <v>1032</v>
      </c>
      <c r="AC132" s="130">
        <v>0.15384615384615385</v>
      </c>
      <c r="AD132" s="72">
        <v>0.21428571428571427</v>
      </c>
      <c r="AE132" s="73">
        <v>0.15384615384615385</v>
      </c>
      <c r="AF132" s="77">
        <v>7</v>
      </c>
      <c r="AG132" s="28">
        <v>26</v>
      </c>
      <c r="AH132" s="28">
        <v>0</v>
      </c>
      <c r="AI132" s="28">
        <v>4</v>
      </c>
      <c r="AJ132" s="28">
        <v>0</v>
      </c>
      <c r="AK132" s="28">
        <v>0</v>
      </c>
      <c r="AL132" s="28">
        <v>0</v>
      </c>
      <c r="AM132" s="28">
        <v>0</v>
      </c>
      <c r="AN132" s="28">
        <v>2</v>
      </c>
      <c r="AO132" s="74">
        <v>4</v>
      </c>
      <c r="AP132" s="77">
        <v>0</v>
      </c>
      <c r="AQ132" s="28">
        <v>0</v>
      </c>
      <c r="AR132" s="74">
        <v>2</v>
      </c>
      <c r="AS132" s="77">
        <v>4</v>
      </c>
      <c r="AT132" s="72">
        <v>0.36813186813186816</v>
      </c>
      <c r="AU132" s="74">
        <v>0</v>
      </c>
      <c r="AV132" s="75">
        <v>130</v>
      </c>
      <c r="AY132" s="101" t="s">
        <v>1062</v>
      </c>
      <c r="AZ132" s="71" t="s">
        <v>153</v>
      </c>
      <c r="BA132" s="77" t="s">
        <v>1070</v>
      </c>
      <c r="BB132" s="130">
        <v>0.32</v>
      </c>
      <c r="BC132" s="72">
        <v>0.41379310344827586</v>
      </c>
      <c r="BD132" s="73">
        <v>0.48</v>
      </c>
      <c r="BE132" s="77">
        <v>6</v>
      </c>
      <c r="BF132" s="28">
        <v>25</v>
      </c>
      <c r="BG132" s="28">
        <v>4</v>
      </c>
      <c r="BH132" s="28">
        <v>8</v>
      </c>
      <c r="BI132" s="28">
        <v>1</v>
      </c>
      <c r="BJ132" s="28">
        <v>0</v>
      </c>
      <c r="BK132" s="28">
        <v>1</v>
      </c>
      <c r="BL132" s="28">
        <v>2</v>
      </c>
      <c r="BM132" s="28">
        <v>4</v>
      </c>
      <c r="BN132" s="74">
        <v>13</v>
      </c>
      <c r="BO132" s="77">
        <v>0</v>
      </c>
      <c r="BP132" s="28">
        <v>4</v>
      </c>
      <c r="BQ132" s="74">
        <v>4</v>
      </c>
      <c r="BR132" s="77">
        <v>12</v>
      </c>
      <c r="BS132" s="72">
        <v>0.89379310344827578</v>
      </c>
      <c r="BT132" s="74">
        <v>0</v>
      </c>
      <c r="BU132" s="75">
        <v>130</v>
      </c>
    </row>
    <row r="133" spans="1:73">
      <c r="A133" s="101" t="s">
        <v>952</v>
      </c>
      <c r="B133" s="71" t="s">
        <v>177</v>
      </c>
      <c r="C133" s="71" t="s">
        <v>957</v>
      </c>
      <c r="D133" s="130">
        <v>0.36363636363636365</v>
      </c>
      <c r="E133" s="72">
        <v>0.41666666666666669</v>
      </c>
      <c r="F133" s="72">
        <v>0.45454545454545453</v>
      </c>
      <c r="G133" s="77">
        <v>3</v>
      </c>
      <c r="H133" s="28">
        <v>11</v>
      </c>
      <c r="I133" s="28">
        <v>1</v>
      </c>
      <c r="J133" s="28">
        <v>4</v>
      </c>
      <c r="K133" s="28">
        <v>1</v>
      </c>
      <c r="L133" s="28">
        <v>0</v>
      </c>
      <c r="M133" s="28">
        <v>0</v>
      </c>
      <c r="N133" s="28">
        <v>0</v>
      </c>
      <c r="O133" s="28">
        <v>1</v>
      </c>
      <c r="P133" s="74">
        <v>2</v>
      </c>
      <c r="Q133" s="77">
        <v>0</v>
      </c>
      <c r="R133" s="28">
        <v>3</v>
      </c>
      <c r="S133" s="74">
        <v>3</v>
      </c>
      <c r="T133" s="77">
        <v>5</v>
      </c>
      <c r="U133" s="72">
        <v>0.87121212121212122</v>
      </c>
      <c r="V133" s="74">
        <v>0</v>
      </c>
      <c r="W133" s="75">
        <v>131</v>
      </c>
      <c r="Z133" s="101" t="s">
        <v>1025</v>
      </c>
      <c r="AA133" s="71" t="s">
        <v>177</v>
      </c>
      <c r="AB133" s="77" t="s">
        <v>1027</v>
      </c>
      <c r="AC133" s="130">
        <v>0.17241379310344829</v>
      </c>
      <c r="AD133" s="72">
        <v>0.22580645161290322</v>
      </c>
      <c r="AE133" s="73">
        <v>0.27586206896551724</v>
      </c>
      <c r="AF133" s="77">
        <v>7</v>
      </c>
      <c r="AG133" s="28">
        <v>29</v>
      </c>
      <c r="AH133" s="28">
        <v>3</v>
      </c>
      <c r="AI133" s="28">
        <v>5</v>
      </c>
      <c r="AJ133" s="28">
        <v>0</v>
      </c>
      <c r="AK133" s="28">
        <v>0</v>
      </c>
      <c r="AL133" s="28">
        <v>1</v>
      </c>
      <c r="AM133" s="28">
        <v>3</v>
      </c>
      <c r="AN133" s="28">
        <v>2</v>
      </c>
      <c r="AO133" s="74">
        <v>5</v>
      </c>
      <c r="AP133" s="77">
        <v>0</v>
      </c>
      <c r="AQ133" s="28">
        <v>1</v>
      </c>
      <c r="AR133" s="74">
        <v>2</v>
      </c>
      <c r="AS133" s="77">
        <v>8</v>
      </c>
      <c r="AT133" s="72">
        <v>0.50166852057842048</v>
      </c>
      <c r="AU133" s="74">
        <v>1</v>
      </c>
      <c r="AV133" s="75">
        <v>131</v>
      </c>
      <c r="AY133" s="101" t="s">
        <v>1062</v>
      </c>
      <c r="AZ133" s="71" t="s">
        <v>177</v>
      </c>
      <c r="BA133" s="77" t="s">
        <v>1065</v>
      </c>
      <c r="BB133" s="130">
        <v>0.21428571428571427</v>
      </c>
      <c r="BC133" s="72">
        <v>0.2413793103448276</v>
      </c>
      <c r="BD133" s="73">
        <v>0.39285714285714285</v>
      </c>
      <c r="BE133" s="77">
        <v>6</v>
      </c>
      <c r="BF133" s="28">
        <v>28</v>
      </c>
      <c r="BG133" s="28">
        <v>2</v>
      </c>
      <c r="BH133" s="28">
        <v>6</v>
      </c>
      <c r="BI133" s="28">
        <v>2</v>
      </c>
      <c r="BJ133" s="28">
        <v>0</v>
      </c>
      <c r="BK133" s="28">
        <v>1</v>
      </c>
      <c r="BL133" s="28">
        <v>2</v>
      </c>
      <c r="BM133" s="28">
        <v>1</v>
      </c>
      <c r="BN133" s="74">
        <v>7</v>
      </c>
      <c r="BO133" s="77">
        <v>0</v>
      </c>
      <c r="BP133" s="28">
        <v>0</v>
      </c>
      <c r="BQ133" s="74">
        <v>4</v>
      </c>
      <c r="BR133" s="77">
        <v>11</v>
      </c>
      <c r="BS133" s="72">
        <v>0.63423645320197042</v>
      </c>
      <c r="BT133" s="74">
        <v>0</v>
      </c>
      <c r="BU133" s="75">
        <v>131</v>
      </c>
    </row>
    <row r="134" spans="1:73">
      <c r="A134" s="101" t="s">
        <v>952</v>
      </c>
      <c r="B134" s="71" t="s">
        <v>174</v>
      </c>
      <c r="C134" s="71" t="s">
        <v>956</v>
      </c>
      <c r="D134" s="130">
        <v>0.2</v>
      </c>
      <c r="E134" s="72">
        <v>0.33333333333333331</v>
      </c>
      <c r="F134" s="72">
        <v>0.2</v>
      </c>
      <c r="G134" s="77">
        <v>3</v>
      </c>
      <c r="H134" s="28">
        <v>10</v>
      </c>
      <c r="I134" s="28">
        <v>2</v>
      </c>
      <c r="J134" s="28">
        <v>2</v>
      </c>
      <c r="K134" s="28">
        <v>0</v>
      </c>
      <c r="L134" s="28">
        <v>0</v>
      </c>
      <c r="M134" s="28">
        <v>0</v>
      </c>
      <c r="N134" s="28">
        <v>1</v>
      </c>
      <c r="O134" s="28">
        <v>2</v>
      </c>
      <c r="P134" s="74">
        <v>3</v>
      </c>
      <c r="Q134" s="77">
        <v>0</v>
      </c>
      <c r="R134" s="28">
        <v>2</v>
      </c>
      <c r="S134" s="74">
        <v>2</v>
      </c>
      <c r="T134" s="77">
        <v>2</v>
      </c>
      <c r="U134" s="72">
        <v>0.53333333333333333</v>
      </c>
      <c r="V134" s="74">
        <v>0</v>
      </c>
      <c r="W134" s="75">
        <v>132</v>
      </c>
      <c r="Z134" s="101" t="s">
        <v>1025</v>
      </c>
      <c r="AA134" s="71" t="s">
        <v>174</v>
      </c>
      <c r="AB134" s="77" t="s">
        <v>1034</v>
      </c>
      <c r="AC134" s="130">
        <v>0.25</v>
      </c>
      <c r="AD134" s="72">
        <v>0.25</v>
      </c>
      <c r="AE134" s="73">
        <v>0.4642857142857143</v>
      </c>
      <c r="AF134" s="77">
        <v>7</v>
      </c>
      <c r="AG134" s="28">
        <v>28</v>
      </c>
      <c r="AH134" s="28">
        <v>2</v>
      </c>
      <c r="AI134" s="28">
        <v>7</v>
      </c>
      <c r="AJ134" s="28">
        <v>0</v>
      </c>
      <c r="AK134" s="28">
        <v>0</v>
      </c>
      <c r="AL134" s="28">
        <v>2</v>
      </c>
      <c r="AM134" s="28">
        <v>5</v>
      </c>
      <c r="AN134" s="28">
        <v>0</v>
      </c>
      <c r="AO134" s="74">
        <v>10</v>
      </c>
      <c r="AP134" s="77">
        <v>0</v>
      </c>
      <c r="AQ134" s="28">
        <v>2</v>
      </c>
      <c r="AR134" s="74">
        <v>4</v>
      </c>
      <c r="AS134" s="77">
        <v>13</v>
      </c>
      <c r="AT134" s="72">
        <v>0.7142857142857143</v>
      </c>
      <c r="AU134" s="74">
        <v>0</v>
      </c>
      <c r="AV134" s="75">
        <v>132</v>
      </c>
      <c r="AY134" s="101" t="s">
        <v>1062</v>
      </c>
      <c r="AZ134" s="345" t="s">
        <v>174</v>
      </c>
      <c r="BA134" s="77" t="s">
        <v>1063</v>
      </c>
      <c r="BB134" s="130">
        <v>0.33333333333333331</v>
      </c>
      <c r="BC134" s="72">
        <v>0.37931034482758619</v>
      </c>
      <c r="BD134" s="73">
        <v>0.59259259259259256</v>
      </c>
      <c r="BE134" s="77">
        <v>6</v>
      </c>
      <c r="BF134" s="28">
        <v>27</v>
      </c>
      <c r="BG134" s="28">
        <v>5</v>
      </c>
      <c r="BH134" s="28">
        <v>9</v>
      </c>
      <c r="BI134" s="28">
        <v>1</v>
      </c>
      <c r="BJ134" s="28">
        <v>0</v>
      </c>
      <c r="BK134" s="28">
        <v>2</v>
      </c>
      <c r="BL134" s="28">
        <v>11</v>
      </c>
      <c r="BM134" s="28">
        <v>2</v>
      </c>
      <c r="BN134" s="74">
        <v>8</v>
      </c>
      <c r="BO134" s="77">
        <v>0</v>
      </c>
      <c r="BP134" s="28">
        <v>2</v>
      </c>
      <c r="BQ134" s="74">
        <v>3</v>
      </c>
      <c r="BR134" s="77">
        <v>16</v>
      </c>
      <c r="BS134" s="72">
        <v>0.97190293742017875</v>
      </c>
      <c r="BT134" s="74">
        <v>1</v>
      </c>
      <c r="BU134" s="75">
        <v>132</v>
      </c>
    </row>
    <row r="135" spans="1:73">
      <c r="A135" s="101" t="s">
        <v>952</v>
      </c>
      <c r="B135" s="71" t="s">
        <v>181</v>
      </c>
      <c r="C135" s="71" t="s">
        <v>953</v>
      </c>
      <c r="D135" s="130">
        <v>0.22222222222222221</v>
      </c>
      <c r="E135" s="72">
        <v>0.3</v>
      </c>
      <c r="F135" s="72">
        <v>0.55555555555555558</v>
      </c>
      <c r="G135" s="77">
        <v>3</v>
      </c>
      <c r="H135" s="28">
        <v>9</v>
      </c>
      <c r="I135" s="28">
        <v>2</v>
      </c>
      <c r="J135" s="28">
        <v>2</v>
      </c>
      <c r="K135" s="28">
        <v>0</v>
      </c>
      <c r="L135" s="28">
        <v>0</v>
      </c>
      <c r="M135" s="28">
        <v>1</v>
      </c>
      <c r="N135" s="28">
        <v>3</v>
      </c>
      <c r="O135" s="28">
        <v>1</v>
      </c>
      <c r="P135" s="74">
        <v>3</v>
      </c>
      <c r="Q135" s="77">
        <v>0</v>
      </c>
      <c r="R135" s="28">
        <v>2</v>
      </c>
      <c r="S135" s="74">
        <v>2</v>
      </c>
      <c r="T135" s="77">
        <v>5</v>
      </c>
      <c r="U135" s="72">
        <v>0.85555555555555562</v>
      </c>
      <c r="V135" s="74">
        <v>0</v>
      </c>
      <c r="W135" s="75">
        <v>133</v>
      </c>
      <c r="Z135" s="101" t="s">
        <v>1025</v>
      </c>
      <c r="AA135" s="71" t="s">
        <v>181</v>
      </c>
      <c r="AB135" s="77" t="s">
        <v>1029</v>
      </c>
      <c r="AC135" s="130">
        <v>0.10714285714285714</v>
      </c>
      <c r="AD135" s="72">
        <v>0.21875</v>
      </c>
      <c r="AE135" s="73">
        <v>0.32142857142857145</v>
      </c>
      <c r="AF135" s="77">
        <v>7</v>
      </c>
      <c r="AG135" s="28">
        <v>28</v>
      </c>
      <c r="AH135" s="28">
        <v>3</v>
      </c>
      <c r="AI135" s="28">
        <v>3</v>
      </c>
      <c r="AJ135" s="28">
        <v>0</v>
      </c>
      <c r="AK135" s="28">
        <v>0</v>
      </c>
      <c r="AL135" s="28">
        <v>2</v>
      </c>
      <c r="AM135" s="28">
        <v>3</v>
      </c>
      <c r="AN135" s="28">
        <v>4</v>
      </c>
      <c r="AO135" s="74">
        <v>10</v>
      </c>
      <c r="AP135" s="77">
        <v>0</v>
      </c>
      <c r="AQ135" s="28">
        <v>0</v>
      </c>
      <c r="AR135" s="74">
        <v>2</v>
      </c>
      <c r="AS135" s="77">
        <v>9</v>
      </c>
      <c r="AT135" s="72">
        <v>0.5401785714285714</v>
      </c>
      <c r="AU135" s="74">
        <v>1</v>
      </c>
      <c r="AV135" s="75">
        <v>133</v>
      </c>
      <c r="AY135" s="101" t="s">
        <v>1062</v>
      </c>
      <c r="AZ135" s="71" t="s">
        <v>181</v>
      </c>
      <c r="BA135" s="77" t="s">
        <v>1073</v>
      </c>
      <c r="BB135" s="130">
        <v>0.125</v>
      </c>
      <c r="BC135" s="72">
        <v>0.19230769230769232</v>
      </c>
      <c r="BD135" s="73">
        <v>0.25</v>
      </c>
      <c r="BE135" s="77">
        <v>6</v>
      </c>
      <c r="BF135" s="28">
        <v>24</v>
      </c>
      <c r="BG135" s="28">
        <v>1</v>
      </c>
      <c r="BH135" s="28">
        <v>3</v>
      </c>
      <c r="BI135" s="28">
        <v>0</v>
      </c>
      <c r="BJ135" s="28">
        <v>0</v>
      </c>
      <c r="BK135" s="28">
        <v>1</v>
      </c>
      <c r="BL135" s="28">
        <v>4</v>
      </c>
      <c r="BM135" s="28">
        <v>2</v>
      </c>
      <c r="BN135" s="74">
        <v>4</v>
      </c>
      <c r="BO135" s="77">
        <v>0</v>
      </c>
      <c r="BP135" s="28">
        <v>0</v>
      </c>
      <c r="BQ135" s="74">
        <v>3</v>
      </c>
      <c r="BR135" s="77">
        <v>6</v>
      </c>
      <c r="BS135" s="72">
        <v>0.44230769230769229</v>
      </c>
      <c r="BT135" s="74">
        <v>1</v>
      </c>
      <c r="BU135" s="75">
        <v>133</v>
      </c>
    </row>
    <row r="136" spans="1:73">
      <c r="A136" s="101" t="s">
        <v>952</v>
      </c>
      <c r="B136" s="71" t="s">
        <v>166</v>
      </c>
      <c r="C136" s="71" t="s">
        <v>955</v>
      </c>
      <c r="D136" s="130">
        <v>9.0909090909090912E-2</v>
      </c>
      <c r="E136" s="72">
        <v>0.16666666666666666</v>
      </c>
      <c r="F136" s="72">
        <v>9.0909090909090912E-2</v>
      </c>
      <c r="G136" s="77">
        <v>3</v>
      </c>
      <c r="H136" s="28">
        <v>11</v>
      </c>
      <c r="I136" s="28">
        <v>1</v>
      </c>
      <c r="J136" s="28">
        <v>1</v>
      </c>
      <c r="K136" s="28">
        <v>0</v>
      </c>
      <c r="L136" s="28">
        <v>0</v>
      </c>
      <c r="M136" s="28">
        <v>0</v>
      </c>
      <c r="N136" s="28">
        <v>0</v>
      </c>
      <c r="O136" s="28">
        <v>1</v>
      </c>
      <c r="P136" s="74">
        <v>4</v>
      </c>
      <c r="Q136" s="77">
        <v>0</v>
      </c>
      <c r="R136" s="28">
        <v>1</v>
      </c>
      <c r="S136" s="74">
        <v>1</v>
      </c>
      <c r="T136" s="77">
        <v>1</v>
      </c>
      <c r="U136" s="72">
        <v>0.25757575757575757</v>
      </c>
      <c r="V136" s="74">
        <v>0</v>
      </c>
      <c r="W136" s="75">
        <v>134</v>
      </c>
      <c r="Z136" s="101" t="s">
        <v>1025</v>
      </c>
      <c r="AA136" s="71" t="s">
        <v>166</v>
      </c>
      <c r="AB136" s="77" t="s">
        <v>1028</v>
      </c>
      <c r="AC136" s="130">
        <v>0.20689655172413793</v>
      </c>
      <c r="AD136" s="72">
        <v>0.25806451612903225</v>
      </c>
      <c r="AE136" s="73">
        <v>0.41379310344827586</v>
      </c>
      <c r="AF136" s="77">
        <v>7</v>
      </c>
      <c r="AG136" s="28">
        <v>29</v>
      </c>
      <c r="AH136" s="28">
        <v>3</v>
      </c>
      <c r="AI136" s="28">
        <v>6</v>
      </c>
      <c r="AJ136" s="28">
        <v>0</v>
      </c>
      <c r="AK136" s="28">
        <v>0</v>
      </c>
      <c r="AL136" s="28">
        <v>2</v>
      </c>
      <c r="AM136" s="28">
        <v>2</v>
      </c>
      <c r="AN136" s="28">
        <v>2</v>
      </c>
      <c r="AO136" s="74">
        <v>6</v>
      </c>
      <c r="AP136" s="77">
        <v>0</v>
      </c>
      <c r="AQ136" s="28">
        <v>0</v>
      </c>
      <c r="AR136" s="74">
        <v>3</v>
      </c>
      <c r="AS136" s="77">
        <v>12</v>
      </c>
      <c r="AT136" s="72">
        <v>0.67185761957730805</v>
      </c>
      <c r="AU136" s="74">
        <v>1</v>
      </c>
      <c r="AV136" s="75">
        <v>134</v>
      </c>
      <c r="AY136" s="101" t="s">
        <v>1062</v>
      </c>
      <c r="AZ136" s="71" t="s">
        <v>166</v>
      </c>
      <c r="BA136" s="77" t="s">
        <v>1064</v>
      </c>
      <c r="BB136" s="130">
        <v>0.28000000000000003</v>
      </c>
      <c r="BC136" s="72">
        <v>0.4</v>
      </c>
      <c r="BD136" s="73">
        <v>0.52</v>
      </c>
      <c r="BE136" s="77">
        <v>6</v>
      </c>
      <c r="BF136" s="28">
        <v>25</v>
      </c>
      <c r="BG136" s="28">
        <v>6</v>
      </c>
      <c r="BH136" s="28">
        <v>7</v>
      </c>
      <c r="BI136" s="28">
        <v>1</v>
      </c>
      <c r="BJ136" s="28">
        <v>1</v>
      </c>
      <c r="BK136" s="28">
        <v>1</v>
      </c>
      <c r="BL136" s="28">
        <v>2</v>
      </c>
      <c r="BM136" s="28">
        <v>5</v>
      </c>
      <c r="BN136" s="74">
        <v>9</v>
      </c>
      <c r="BO136" s="77">
        <v>0</v>
      </c>
      <c r="BP136" s="28">
        <v>1</v>
      </c>
      <c r="BQ136" s="74">
        <v>3</v>
      </c>
      <c r="BR136" s="77">
        <v>13</v>
      </c>
      <c r="BS136" s="72">
        <v>0.92</v>
      </c>
      <c r="BT136" s="74">
        <v>0</v>
      </c>
      <c r="BU136" s="75">
        <v>134</v>
      </c>
    </row>
    <row r="137" spans="1:73">
      <c r="A137" s="101" t="s">
        <v>952</v>
      </c>
      <c r="B137" s="71" t="s">
        <v>168</v>
      </c>
      <c r="C137" s="71" t="s">
        <v>688</v>
      </c>
      <c r="D137" s="130">
        <v>0.16666666666666666</v>
      </c>
      <c r="E137" s="72">
        <v>0.16666666666666666</v>
      </c>
      <c r="F137" s="72">
        <v>0.25</v>
      </c>
      <c r="G137" s="77">
        <v>3</v>
      </c>
      <c r="H137" s="28">
        <v>12</v>
      </c>
      <c r="I137" s="28">
        <v>0</v>
      </c>
      <c r="J137" s="28">
        <v>2</v>
      </c>
      <c r="K137" s="28">
        <v>1</v>
      </c>
      <c r="L137" s="28">
        <v>0</v>
      </c>
      <c r="M137" s="28">
        <v>0</v>
      </c>
      <c r="N137" s="28">
        <v>0</v>
      </c>
      <c r="O137" s="28">
        <v>0</v>
      </c>
      <c r="P137" s="74">
        <v>2</v>
      </c>
      <c r="Q137" s="77">
        <v>0</v>
      </c>
      <c r="R137" s="28">
        <v>0</v>
      </c>
      <c r="S137" s="74">
        <v>2</v>
      </c>
      <c r="T137" s="77">
        <v>3</v>
      </c>
      <c r="U137" s="72">
        <v>0.41666666666666663</v>
      </c>
      <c r="V137" s="74">
        <v>0</v>
      </c>
      <c r="W137" s="75">
        <v>135</v>
      </c>
      <c r="Z137" s="101" t="s">
        <v>1025</v>
      </c>
      <c r="AA137" s="71" t="s">
        <v>168</v>
      </c>
      <c r="AB137" s="77" t="s">
        <v>1036</v>
      </c>
      <c r="AC137" s="130">
        <v>0.33333333333333331</v>
      </c>
      <c r="AD137" s="72">
        <v>0.37931034482758619</v>
      </c>
      <c r="AE137" s="73">
        <v>0.40740740740740738</v>
      </c>
      <c r="AF137" s="77">
        <v>7</v>
      </c>
      <c r="AG137" s="28">
        <v>27</v>
      </c>
      <c r="AH137" s="28">
        <v>1</v>
      </c>
      <c r="AI137" s="28">
        <v>9</v>
      </c>
      <c r="AJ137" s="28">
        <v>2</v>
      </c>
      <c r="AK137" s="28">
        <v>0</v>
      </c>
      <c r="AL137" s="28">
        <v>0</v>
      </c>
      <c r="AM137" s="28">
        <v>2</v>
      </c>
      <c r="AN137" s="28">
        <v>2</v>
      </c>
      <c r="AO137" s="74">
        <v>7</v>
      </c>
      <c r="AP137" s="77">
        <v>0</v>
      </c>
      <c r="AQ137" s="28">
        <v>5</v>
      </c>
      <c r="AR137" s="74">
        <v>5</v>
      </c>
      <c r="AS137" s="77">
        <v>11</v>
      </c>
      <c r="AT137" s="72">
        <v>0.78671775223499352</v>
      </c>
      <c r="AU137" s="74">
        <v>0</v>
      </c>
      <c r="AV137" s="75">
        <v>135</v>
      </c>
      <c r="AY137" s="101" t="s">
        <v>1062</v>
      </c>
      <c r="AZ137" s="71" t="s">
        <v>1074</v>
      </c>
      <c r="BA137" s="77" t="s">
        <v>1075</v>
      </c>
      <c r="BB137" s="130">
        <v>0.13043478260869565</v>
      </c>
      <c r="BC137" s="72">
        <v>0.25925925925925924</v>
      </c>
      <c r="BD137" s="73">
        <v>0.13043478260869565</v>
      </c>
      <c r="BE137" s="77">
        <v>6</v>
      </c>
      <c r="BF137" s="28">
        <v>23</v>
      </c>
      <c r="BG137" s="28">
        <v>2</v>
      </c>
      <c r="BH137" s="28">
        <v>3</v>
      </c>
      <c r="BI137" s="28">
        <v>0</v>
      </c>
      <c r="BJ137" s="28">
        <v>0</v>
      </c>
      <c r="BK137" s="28">
        <v>0</v>
      </c>
      <c r="BL137" s="28">
        <v>2</v>
      </c>
      <c r="BM137" s="28">
        <v>4</v>
      </c>
      <c r="BN137" s="74">
        <v>6</v>
      </c>
      <c r="BO137" s="77">
        <v>0</v>
      </c>
      <c r="BP137" s="28">
        <v>1</v>
      </c>
      <c r="BQ137" s="74">
        <v>2</v>
      </c>
      <c r="BR137" s="77">
        <v>3</v>
      </c>
      <c r="BS137" s="72">
        <v>0.38969404186795487</v>
      </c>
      <c r="BT137" s="74">
        <v>0</v>
      </c>
      <c r="BU137" s="75">
        <v>135</v>
      </c>
    </row>
    <row r="138" spans="1:73">
      <c r="A138" s="101" t="s">
        <v>952</v>
      </c>
      <c r="B138" s="71" t="s">
        <v>308</v>
      </c>
      <c r="C138" s="71" t="s">
        <v>966</v>
      </c>
      <c r="D138" s="130">
        <v>0</v>
      </c>
      <c r="E138" s="72">
        <v>0</v>
      </c>
      <c r="F138" s="72">
        <v>0</v>
      </c>
      <c r="G138" s="77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74">
        <v>0</v>
      </c>
      <c r="Q138" s="77">
        <v>0</v>
      </c>
      <c r="R138" s="28">
        <v>0</v>
      </c>
      <c r="S138" s="74">
        <v>0</v>
      </c>
      <c r="T138" s="77">
        <v>0</v>
      </c>
      <c r="U138" s="72">
        <v>0</v>
      </c>
      <c r="V138" s="74">
        <v>0</v>
      </c>
      <c r="W138" s="75">
        <v>136</v>
      </c>
      <c r="Z138" s="101" t="s">
        <v>1025</v>
      </c>
      <c r="AA138" s="71" t="s">
        <v>179</v>
      </c>
      <c r="AB138" s="77" t="s">
        <v>1044</v>
      </c>
      <c r="AC138" s="130">
        <v>0</v>
      </c>
      <c r="AD138" s="72">
        <v>0</v>
      </c>
      <c r="AE138" s="73">
        <v>0</v>
      </c>
      <c r="AF138" s="77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74">
        <v>0</v>
      </c>
      <c r="AP138" s="77">
        <v>0</v>
      </c>
      <c r="AQ138" s="28">
        <v>0</v>
      </c>
      <c r="AR138" s="74">
        <v>0</v>
      </c>
      <c r="AS138" s="77">
        <v>0</v>
      </c>
      <c r="AT138" s="72">
        <v>0</v>
      </c>
      <c r="AU138" s="74">
        <v>0</v>
      </c>
      <c r="AV138" s="75">
        <v>136</v>
      </c>
      <c r="AY138" s="101" t="s">
        <v>1062</v>
      </c>
      <c r="AZ138" s="71" t="s">
        <v>308</v>
      </c>
      <c r="BA138" s="77" t="s">
        <v>1079</v>
      </c>
      <c r="BB138" s="130">
        <v>0</v>
      </c>
      <c r="BC138" s="72">
        <v>0</v>
      </c>
      <c r="BD138" s="73">
        <v>0</v>
      </c>
      <c r="BE138" s="77">
        <v>0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74">
        <v>0</v>
      </c>
      <c r="BO138" s="77">
        <v>0</v>
      </c>
      <c r="BP138" s="28">
        <v>0</v>
      </c>
      <c r="BQ138" s="74">
        <v>0</v>
      </c>
      <c r="BR138" s="77">
        <v>0</v>
      </c>
      <c r="BS138" s="72">
        <v>0</v>
      </c>
      <c r="BT138" s="74">
        <v>0</v>
      </c>
      <c r="BU138" s="75">
        <v>136</v>
      </c>
    </row>
    <row r="139" spans="1:73">
      <c r="A139" s="101" t="s">
        <v>952</v>
      </c>
      <c r="B139" s="71" t="s">
        <v>192</v>
      </c>
      <c r="C139" s="71" t="s">
        <v>964</v>
      </c>
      <c r="D139" s="130">
        <v>0</v>
      </c>
      <c r="E139" s="72">
        <v>0</v>
      </c>
      <c r="F139" s="72">
        <v>0</v>
      </c>
      <c r="G139" s="77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74">
        <v>0</v>
      </c>
      <c r="Q139" s="77">
        <v>0</v>
      </c>
      <c r="R139" s="28">
        <v>0</v>
      </c>
      <c r="S139" s="74">
        <v>0</v>
      </c>
      <c r="T139" s="77">
        <v>0</v>
      </c>
      <c r="U139" s="72">
        <v>0</v>
      </c>
      <c r="V139" s="74">
        <v>0</v>
      </c>
      <c r="W139" s="75">
        <v>137</v>
      </c>
      <c r="Z139" s="101" t="s">
        <v>1025</v>
      </c>
      <c r="AA139" s="71" t="s">
        <v>187</v>
      </c>
      <c r="AB139" s="77" t="s">
        <v>1035</v>
      </c>
      <c r="AC139" s="130">
        <v>0</v>
      </c>
      <c r="AD139" s="72">
        <v>0</v>
      </c>
      <c r="AE139" s="73">
        <v>0</v>
      </c>
      <c r="AF139" s="77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74">
        <v>0</v>
      </c>
      <c r="AP139" s="77">
        <v>0</v>
      </c>
      <c r="AQ139" s="28">
        <v>0</v>
      </c>
      <c r="AR139" s="74">
        <v>0</v>
      </c>
      <c r="AS139" s="77">
        <v>0</v>
      </c>
      <c r="AT139" s="72">
        <v>0</v>
      </c>
      <c r="AU139" s="74">
        <v>0</v>
      </c>
      <c r="AV139" s="75">
        <v>137</v>
      </c>
      <c r="AY139" s="101" t="s">
        <v>1062</v>
      </c>
      <c r="AZ139" s="71" t="s">
        <v>187</v>
      </c>
      <c r="BA139" s="77" t="s">
        <v>1072</v>
      </c>
      <c r="BB139" s="130">
        <v>0</v>
      </c>
      <c r="BC139" s="72">
        <v>0</v>
      </c>
      <c r="BD139" s="73">
        <v>0</v>
      </c>
      <c r="BE139" s="77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0</v>
      </c>
      <c r="BK139" s="28">
        <v>0</v>
      </c>
      <c r="BL139" s="28">
        <v>0</v>
      </c>
      <c r="BM139" s="28">
        <v>0</v>
      </c>
      <c r="BN139" s="74">
        <v>0</v>
      </c>
      <c r="BO139" s="77">
        <v>0</v>
      </c>
      <c r="BP139" s="28">
        <v>0</v>
      </c>
      <c r="BQ139" s="74">
        <v>0</v>
      </c>
      <c r="BR139" s="77">
        <v>0</v>
      </c>
      <c r="BS139" s="72">
        <v>0</v>
      </c>
      <c r="BT139" s="74">
        <v>0</v>
      </c>
      <c r="BU139" s="75">
        <v>137</v>
      </c>
    </row>
    <row r="140" spans="1:73">
      <c r="A140" s="101" t="s">
        <v>952</v>
      </c>
      <c r="B140" s="71" t="s">
        <v>186</v>
      </c>
      <c r="C140" s="71" t="s">
        <v>967</v>
      </c>
      <c r="D140" s="130">
        <v>0</v>
      </c>
      <c r="E140" s="72">
        <v>0</v>
      </c>
      <c r="F140" s="72">
        <v>0</v>
      </c>
      <c r="G140" s="77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74">
        <v>0</v>
      </c>
      <c r="Q140" s="77">
        <v>0</v>
      </c>
      <c r="R140" s="28">
        <v>0</v>
      </c>
      <c r="S140" s="74">
        <v>0</v>
      </c>
      <c r="T140" s="77">
        <v>0</v>
      </c>
      <c r="U140" s="72">
        <v>0</v>
      </c>
      <c r="V140" s="74">
        <v>0</v>
      </c>
      <c r="W140" s="75">
        <v>138</v>
      </c>
      <c r="Z140" s="101" t="s">
        <v>1025</v>
      </c>
      <c r="AA140" s="71" t="s">
        <v>192</v>
      </c>
      <c r="AB140" s="77" t="s">
        <v>1039</v>
      </c>
      <c r="AC140" s="130">
        <v>0</v>
      </c>
      <c r="AD140" s="72">
        <v>0</v>
      </c>
      <c r="AE140" s="73">
        <v>0</v>
      </c>
      <c r="AF140" s="77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74">
        <v>0</v>
      </c>
      <c r="AP140" s="77">
        <v>0</v>
      </c>
      <c r="AQ140" s="28">
        <v>0</v>
      </c>
      <c r="AR140" s="74">
        <v>0</v>
      </c>
      <c r="AS140" s="77">
        <v>0</v>
      </c>
      <c r="AT140" s="72">
        <v>0</v>
      </c>
      <c r="AU140" s="74">
        <v>0</v>
      </c>
      <c r="AV140" s="75">
        <v>138</v>
      </c>
      <c r="AY140" s="101" t="s">
        <v>1062</v>
      </c>
      <c r="AZ140" s="71" t="s">
        <v>187</v>
      </c>
      <c r="BA140" s="77" t="s">
        <v>1078</v>
      </c>
      <c r="BB140" s="130">
        <v>0</v>
      </c>
      <c r="BC140" s="72">
        <v>0</v>
      </c>
      <c r="BD140" s="73">
        <v>0</v>
      </c>
      <c r="BE140" s="77">
        <v>0</v>
      </c>
      <c r="BF140" s="28">
        <v>0</v>
      </c>
      <c r="BG140" s="28">
        <v>0</v>
      </c>
      <c r="BH140" s="28">
        <v>0</v>
      </c>
      <c r="BI140" s="28">
        <v>0</v>
      </c>
      <c r="BJ140" s="28">
        <v>0</v>
      </c>
      <c r="BK140" s="28">
        <v>0</v>
      </c>
      <c r="BL140" s="28">
        <v>0</v>
      </c>
      <c r="BM140" s="28">
        <v>0</v>
      </c>
      <c r="BN140" s="74">
        <v>0</v>
      </c>
      <c r="BO140" s="77">
        <v>0</v>
      </c>
      <c r="BP140" s="28">
        <v>0</v>
      </c>
      <c r="BQ140" s="74">
        <v>0</v>
      </c>
      <c r="BR140" s="77">
        <v>0</v>
      </c>
      <c r="BS140" s="72">
        <v>0</v>
      </c>
      <c r="BT140" s="74">
        <v>0</v>
      </c>
      <c r="BU140" s="75">
        <v>138</v>
      </c>
    </row>
    <row r="141" spans="1:73">
      <c r="A141" s="101" t="s">
        <v>952</v>
      </c>
      <c r="B141" s="71" t="s">
        <v>184</v>
      </c>
      <c r="C141" s="71" t="s">
        <v>969</v>
      </c>
      <c r="D141" s="130">
        <v>0</v>
      </c>
      <c r="E141" s="72">
        <v>0</v>
      </c>
      <c r="F141" s="72">
        <v>0</v>
      </c>
      <c r="G141" s="77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74">
        <v>0</v>
      </c>
      <c r="Q141" s="77">
        <v>0</v>
      </c>
      <c r="R141" s="28">
        <v>0</v>
      </c>
      <c r="S141" s="74">
        <v>0</v>
      </c>
      <c r="T141" s="77">
        <v>0</v>
      </c>
      <c r="U141" s="72">
        <v>0</v>
      </c>
      <c r="V141" s="74">
        <v>0</v>
      </c>
      <c r="W141" s="75">
        <v>139</v>
      </c>
      <c r="Z141" s="101" t="s">
        <v>1025</v>
      </c>
      <c r="AA141" s="71" t="s">
        <v>187</v>
      </c>
      <c r="AB141" s="77" t="s">
        <v>1037</v>
      </c>
      <c r="AC141" s="130">
        <v>0</v>
      </c>
      <c r="AD141" s="72">
        <v>0</v>
      </c>
      <c r="AE141" s="73">
        <v>0</v>
      </c>
      <c r="AF141" s="77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74">
        <v>0</v>
      </c>
      <c r="AP141" s="77">
        <v>0</v>
      </c>
      <c r="AQ141" s="28">
        <v>0</v>
      </c>
      <c r="AR141" s="74">
        <v>0</v>
      </c>
      <c r="AS141" s="77">
        <v>0</v>
      </c>
      <c r="AT141" s="72">
        <v>0</v>
      </c>
      <c r="AU141" s="74">
        <v>0</v>
      </c>
      <c r="AV141" s="75">
        <v>139</v>
      </c>
      <c r="AY141" s="101" t="s">
        <v>1062</v>
      </c>
      <c r="AZ141" s="71" t="s">
        <v>184</v>
      </c>
      <c r="BA141" s="77" t="s">
        <v>1080</v>
      </c>
      <c r="BB141" s="130">
        <v>0</v>
      </c>
      <c r="BC141" s="72">
        <v>0</v>
      </c>
      <c r="BD141" s="73">
        <v>0</v>
      </c>
      <c r="BE141" s="77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74">
        <v>0</v>
      </c>
      <c r="BO141" s="77">
        <v>0</v>
      </c>
      <c r="BP141" s="28">
        <v>0</v>
      </c>
      <c r="BQ141" s="74">
        <v>0</v>
      </c>
      <c r="BR141" s="77">
        <v>0</v>
      </c>
      <c r="BS141" s="72">
        <v>0</v>
      </c>
      <c r="BT141" s="74">
        <v>0</v>
      </c>
      <c r="BU141" s="75">
        <v>139</v>
      </c>
    </row>
    <row r="142" spans="1:73">
      <c r="A142" s="101" t="s">
        <v>952</v>
      </c>
      <c r="B142" s="71" t="s">
        <v>186</v>
      </c>
      <c r="C142" s="71" t="s">
        <v>970</v>
      </c>
      <c r="D142" s="130">
        <v>0</v>
      </c>
      <c r="E142" s="72">
        <v>0</v>
      </c>
      <c r="F142" s="72">
        <v>0</v>
      </c>
      <c r="G142" s="77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74">
        <v>0</v>
      </c>
      <c r="Q142" s="77">
        <v>0</v>
      </c>
      <c r="R142" s="28">
        <v>0</v>
      </c>
      <c r="S142" s="74">
        <v>0</v>
      </c>
      <c r="T142" s="77">
        <v>0</v>
      </c>
      <c r="U142" s="72">
        <v>0</v>
      </c>
      <c r="V142" s="74">
        <v>0</v>
      </c>
      <c r="W142" s="75">
        <v>140</v>
      </c>
      <c r="Z142" s="101" t="s">
        <v>1025</v>
      </c>
      <c r="AA142" s="71" t="s">
        <v>186</v>
      </c>
      <c r="AB142" s="77" t="s">
        <v>1043</v>
      </c>
      <c r="AC142" s="130">
        <v>0</v>
      </c>
      <c r="AD142" s="72">
        <v>0</v>
      </c>
      <c r="AE142" s="73">
        <v>0</v>
      </c>
      <c r="AF142" s="77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74">
        <v>0</v>
      </c>
      <c r="AP142" s="77">
        <v>0</v>
      </c>
      <c r="AQ142" s="28">
        <v>0</v>
      </c>
      <c r="AR142" s="74">
        <v>0</v>
      </c>
      <c r="AS142" s="77">
        <v>0</v>
      </c>
      <c r="AT142" s="72">
        <v>0</v>
      </c>
      <c r="AU142" s="74">
        <v>0</v>
      </c>
      <c r="AV142" s="75">
        <v>140</v>
      </c>
      <c r="AY142" s="101" t="s">
        <v>1062</v>
      </c>
      <c r="AZ142" s="71" t="s">
        <v>186</v>
      </c>
      <c r="BA142" s="77" t="s">
        <v>1081</v>
      </c>
      <c r="BB142" s="130">
        <v>0</v>
      </c>
      <c r="BC142" s="72">
        <v>0</v>
      </c>
      <c r="BD142" s="73">
        <v>0</v>
      </c>
      <c r="BE142" s="77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74">
        <v>0</v>
      </c>
      <c r="BO142" s="77">
        <v>0</v>
      </c>
      <c r="BP142" s="28">
        <v>0</v>
      </c>
      <c r="BQ142" s="74">
        <v>0</v>
      </c>
      <c r="BR142" s="77">
        <v>0</v>
      </c>
      <c r="BS142" s="72">
        <v>0</v>
      </c>
      <c r="BT142" s="74">
        <v>0</v>
      </c>
      <c r="BU142" s="75">
        <v>140</v>
      </c>
    </row>
    <row r="143" spans="1:73">
      <c r="A143" s="365" t="s">
        <v>1171</v>
      </c>
      <c r="B143" s="71" t="s">
        <v>179</v>
      </c>
      <c r="C143" s="71" t="s">
        <v>864</v>
      </c>
      <c r="D143" s="130">
        <v>0.20895522388059701</v>
      </c>
      <c r="E143" s="72">
        <v>0.2638888888888889</v>
      </c>
      <c r="F143" s="72">
        <v>0.35820895522388058</v>
      </c>
      <c r="G143" s="77">
        <v>17</v>
      </c>
      <c r="H143" s="28">
        <v>67</v>
      </c>
      <c r="I143" s="76">
        <v>8</v>
      </c>
      <c r="J143" s="28">
        <v>14</v>
      </c>
      <c r="K143" s="28">
        <v>1</v>
      </c>
      <c r="L143" s="28">
        <v>0</v>
      </c>
      <c r="M143" s="28">
        <v>3</v>
      </c>
      <c r="N143" s="28">
        <v>8</v>
      </c>
      <c r="O143" s="28">
        <v>5</v>
      </c>
      <c r="P143" s="74">
        <v>17</v>
      </c>
      <c r="Q143" s="352">
        <v>0</v>
      </c>
      <c r="R143" s="28">
        <v>0</v>
      </c>
      <c r="S143" s="74">
        <v>4</v>
      </c>
      <c r="T143" s="77">
        <v>24</v>
      </c>
      <c r="U143" s="72">
        <v>0.62209784411276947</v>
      </c>
      <c r="V143" s="74">
        <v>2</v>
      </c>
      <c r="W143" s="75">
        <v>141</v>
      </c>
      <c r="Z143" s="366" t="s">
        <v>1139</v>
      </c>
      <c r="AA143" s="71" t="s">
        <v>179</v>
      </c>
      <c r="AB143" s="77" t="s">
        <v>1147</v>
      </c>
      <c r="AC143" s="130">
        <v>0.2711864406779661</v>
      </c>
      <c r="AD143" s="72">
        <v>0.33846153846153848</v>
      </c>
      <c r="AE143" s="73">
        <v>0.3559322033898305</v>
      </c>
      <c r="AF143" s="77">
        <v>15</v>
      </c>
      <c r="AG143" s="76">
        <v>59</v>
      </c>
      <c r="AH143" s="28">
        <v>5</v>
      </c>
      <c r="AI143" s="28">
        <v>16</v>
      </c>
      <c r="AJ143" s="28">
        <v>2</v>
      </c>
      <c r="AK143" s="28">
        <v>0</v>
      </c>
      <c r="AL143" s="28">
        <v>1</v>
      </c>
      <c r="AM143" s="28">
        <v>8</v>
      </c>
      <c r="AN143" s="28">
        <v>6</v>
      </c>
      <c r="AO143" s="74">
        <v>14</v>
      </c>
      <c r="AP143" s="77">
        <v>0</v>
      </c>
      <c r="AQ143" s="28">
        <v>1</v>
      </c>
      <c r="AR143" s="74">
        <v>7</v>
      </c>
      <c r="AS143" s="77">
        <v>21</v>
      </c>
      <c r="AT143" s="72">
        <v>0.69439374185136904</v>
      </c>
      <c r="AU143" s="74">
        <v>1</v>
      </c>
      <c r="AV143" s="75">
        <v>141</v>
      </c>
      <c r="AY143" s="101" t="s">
        <v>1139</v>
      </c>
      <c r="AZ143" s="71" t="s">
        <v>179</v>
      </c>
      <c r="BA143" s="77" t="s">
        <v>1147</v>
      </c>
      <c r="BB143" s="130">
        <v>0.36585365853658536</v>
      </c>
      <c r="BC143" s="72">
        <v>0.40909090909090912</v>
      </c>
      <c r="BD143" s="73">
        <v>0.56097560975609762</v>
      </c>
      <c r="BE143" s="77">
        <v>10</v>
      </c>
      <c r="BF143" s="28">
        <v>41</v>
      </c>
      <c r="BG143" s="28">
        <v>8</v>
      </c>
      <c r="BH143" s="28">
        <v>15</v>
      </c>
      <c r="BI143" s="28">
        <v>2</v>
      </c>
      <c r="BJ143" s="28">
        <v>0</v>
      </c>
      <c r="BK143" s="28">
        <v>2</v>
      </c>
      <c r="BL143" s="28">
        <v>6</v>
      </c>
      <c r="BM143" s="28">
        <v>3</v>
      </c>
      <c r="BN143" s="74">
        <v>10</v>
      </c>
      <c r="BO143" s="77">
        <v>0</v>
      </c>
      <c r="BP143" s="28">
        <v>2</v>
      </c>
      <c r="BQ143" s="74">
        <v>5</v>
      </c>
      <c r="BR143" s="77">
        <v>23</v>
      </c>
      <c r="BS143" s="72">
        <v>0.97006651884700679</v>
      </c>
      <c r="BT143" s="74">
        <v>1</v>
      </c>
      <c r="BU143" s="75">
        <v>141</v>
      </c>
    </row>
    <row r="144" spans="1:73">
      <c r="A144" s="365" t="s">
        <v>1171</v>
      </c>
      <c r="B144" s="71" t="s">
        <v>154</v>
      </c>
      <c r="C144" s="71" t="s">
        <v>1173</v>
      </c>
      <c r="D144" s="130">
        <v>0.25</v>
      </c>
      <c r="E144" s="72">
        <v>0.32</v>
      </c>
      <c r="F144" s="72">
        <v>0.29411764705882354</v>
      </c>
      <c r="G144" s="77">
        <v>17</v>
      </c>
      <c r="H144" s="28">
        <v>68</v>
      </c>
      <c r="I144" s="28">
        <v>6</v>
      </c>
      <c r="J144" s="76">
        <v>17</v>
      </c>
      <c r="K144" s="76">
        <v>3</v>
      </c>
      <c r="L144" s="28">
        <v>0</v>
      </c>
      <c r="M144" s="28">
        <v>0</v>
      </c>
      <c r="N144" s="28">
        <v>10</v>
      </c>
      <c r="O144" s="28">
        <v>7</v>
      </c>
      <c r="P144" s="74">
        <v>19</v>
      </c>
      <c r="Q144" s="77">
        <v>0</v>
      </c>
      <c r="R144" s="28">
        <v>5</v>
      </c>
      <c r="S144" s="74">
        <v>6</v>
      </c>
      <c r="T144" s="77">
        <v>20</v>
      </c>
      <c r="U144" s="72">
        <v>0.61411764705882355</v>
      </c>
      <c r="V144" s="104">
        <v>1</v>
      </c>
      <c r="W144" s="75">
        <v>142</v>
      </c>
      <c r="Z144" s="366" t="s">
        <v>1139</v>
      </c>
      <c r="AA144" s="71" t="s">
        <v>154</v>
      </c>
      <c r="AB144" s="77" t="s">
        <v>1141</v>
      </c>
      <c r="AC144" s="130">
        <v>0.15789473684210525</v>
      </c>
      <c r="AD144" s="72">
        <v>0.25</v>
      </c>
      <c r="AE144" s="73">
        <v>0.2982456140350877</v>
      </c>
      <c r="AF144" s="77">
        <v>15</v>
      </c>
      <c r="AG144" s="28">
        <v>57</v>
      </c>
      <c r="AH144" s="28">
        <v>3</v>
      </c>
      <c r="AI144" s="28">
        <v>9</v>
      </c>
      <c r="AJ144" s="28">
        <v>2</v>
      </c>
      <c r="AK144" s="586">
        <v>0</v>
      </c>
      <c r="AL144" s="28">
        <v>2</v>
      </c>
      <c r="AM144" s="28">
        <v>6</v>
      </c>
      <c r="AN144" s="28">
        <v>7</v>
      </c>
      <c r="AO144" s="74">
        <v>18</v>
      </c>
      <c r="AP144" s="77">
        <v>0</v>
      </c>
      <c r="AQ144" s="28">
        <v>0</v>
      </c>
      <c r="AR144" s="74">
        <v>3</v>
      </c>
      <c r="AS144" s="77">
        <v>17</v>
      </c>
      <c r="AT144" s="72">
        <v>0.54824561403508776</v>
      </c>
      <c r="AU144" s="74">
        <v>0</v>
      </c>
      <c r="AV144" s="75">
        <v>142</v>
      </c>
      <c r="AY144" s="101" t="s">
        <v>1139</v>
      </c>
      <c r="AZ144" s="71" t="s">
        <v>154</v>
      </c>
      <c r="BA144" s="77" t="s">
        <v>1141</v>
      </c>
      <c r="BB144" s="130">
        <v>0.28205128205128205</v>
      </c>
      <c r="BC144" s="72">
        <v>0.33333333333333331</v>
      </c>
      <c r="BD144" s="73">
        <v>0.38461538461538464</v>
      </c>
      <c r="BE144" s="77">
        <v>10</v>
      </c>
      <c r="BF144" s="28">
        <v>39</v>
      </c>
      <c r="BG144" s="28">
        <v>0</v>
      </c>
      <c r="BH144" s="28">
        <v>11</v>
      </c>
      <c r="BI144" s="28">
        <v>4</v>
      </c>
      <c r="BJ144" s="28">
        <v>0</v>
      </c>
      <c r="BK144" s="28">
        <v>0</v>
      </c>
      <c r="BL144" s="28">
        <v>5</v>
      </c>
      <c r="BM144" s="28">
        <v>3</v>
      </c>
      <c r="BN144" s="74">
        <v>7</v>
      </c>
      <c r="BO144" s="77">
        <v>0</v>
      </c>
      <c r="BP144" s="28">
        <v>3</v>
      </c>
      <c r="BQ144" s="74">
        <v>5</v>
      </c>
      <c r="BR144" s="77">
        <v>15</v>
      </c>
      <c r="BS144" s="72">
        <v>0.71794871794871795</v>
      </c>
      <c r="BT144" s="74">
        <v>1</v>
      </c>
      <c r="BU144" s="75">
        <v>142</v>
      </c>
    </row>
    <row r="145" spans="1:73">
      <c r="A145" s="365" t="s">
        <v>1171</v>
      </c>
      <c r="B145" s="345" t="s">
        <v>172</v>
      </c>
      <c r="C145" s="71" t="s">
        <v>872</v>
      </c>
      <c r="D145" s="130">
        <v>0.27777777777777779</v>
      </c>
      <c r="E145" s="72">
        <v>0.34177215189873417</v>
      </c>
      <c r="F145" s="72">
        <v>0.47222222222222221</v>
      </c>
      <c r="G145" s="77">
        <v>17</v>
      </c>
      <c r="H145" s="28">
        <v>72</v>
      </c>
      <c r="I145" s="28">
        <v>13</v>
      </c>
      <c r="J145" s="28">
        <v>20</v>
      </c>
      <c r="K145" s="28">
        <v>5</v>
      </c>
      <c r="L145" s="28">
        <v>0</v>
      </c>
      <c r="M145" s="28">
        <v>3</v>
      </c>
      <c r="N145" s="28">
        <v>8</v>
      </c>
      <c r="O145" s="28">
        <v>7</v>
      </c>
      <c r="P145" s="74">
        <v>14</v>
      </c>
      <c r="Q145" s="77">
        <v>11</v>
      </c>
      <c r="R145" s="28">
        <v>3</v>
      </c>
      <c r="S145" s="74">
        <v>3</v>
      </c>
      <c r="T145" s="77">
        <v>34</v>
      </c>
      <c r="U145" s="72">
        <v>0.81399437412095632</v>
      </c>
      <c r="V145" s="74">
        <v>2</v>
      </c>
      <c r="W145" s="75">
        <v>143</v>
      </c>
      <c r="Z145" s="366" t="s">
        <v>1139</v>
      </c>
      <c r="AA145" s="71" t="s">
        <v>172</v>
      </c>
      <c r="AB145" s="77" t="s">
        <v>1140</v>
      </c>
      <c r="AC145" s="130">
        <v>0.2</v>
      </c>
      <c r="AD145" s="72">
        <v>0.27868852459016391</v>
      </c>
      <c r="AE145" s="73">
        <v>0.27272727272727271</v>
      </c>
      <c r="AF145" s="77">
        <v>15</v>
      </c>
      <c r="AG145" s="28">
        <v>55</v>
      </c>
      <c r="AH145" s="28">
        <v>3</v>
      </c>
      <c r="AI145" s="28">
        <v>11</v>
      </c>
      <c r="AJ145" s="28">
        <v>1</v>
      </c>
      <c r="AK145" s="28">
        <v>0</v>
      </c>
      <c r="AL145" s="28">
        <v>1</v>
      </c>
      <c r="AM145" s="76">
        <v>1</v>
      </c>
      <c r="AN145" s="28">
        <v>6</v>
      </c>
      <c r="AO145" s="74">
        <v>15</v>
      </c>
      <c r="AP145" s="77">
        <v>0</v>
      </c>
      <c r="AQ145" s="28">
        <v>0</v>
      </c>
      <c r="AR145" s="74">
        <v>2</v>
      </c>
      <c r="AS145" s="77">
        <v>15</v>
      </c>
      <c r="AT145" s="72">
        <v>0.55141579731743662</v>
      </c>
      <c r="AU145" s="74">
        <v>0</v>
      </c>
      <c r="AV145" s="75">
        <v>143</v>
      </c>
      <c r="AY145" s="101" t="s">
        <v>1139</v>
      </c>
      <c r="AZ145" s="71" t="s">
        <v>172</v>
      </c>
      <c r="BA145" s="77" t="s">
        <v>1140</v>
      </c>
      <c r="BB145" s="130">
        <v>0.19444444444444445</v>
      </c>
      <c r="BC145" s="72">
        <v>0.27500000000000002</v>
      </c>
      <c r="BD145" s="73">
        <v>0.27777777777777779</v>
      </c>
      <c r="BE145" s="77">
        <v>10</v>
      </c>
      <c r="BF145" s="28">
        <v>36</v>
      </c>
      <c r="BG145" s="28">
        <v>0</v>
      </c>
      <c r="BH145" s="28">
        <v>7</v>
      </c>
      <c r="BI145" s="28">
        <v>1</v>
      </c>
      <c r="BJ145" s="28">
        <v>1</v>
      </c>
      <c r="BK145" s="28">
        <v>0</v>
      </c>
      <c r="BL145" s="28">
        <v>4</v>
      </c>
      <c r="BM145" s="28">
        <v>4</v>
      </c>
      <c r="BN145" s="74">
        <v>7</v>
      </c>
      <c r="BO145" s="77">
        <v>0</v>
      </c>
      <c r="BP145" s="28">
        <v>5</v>
      </c>
      <c r="BQ145" s="74">
        <v>5</v>
      </c>
      <c r="BR145" s="77">
        <v>10</v>
      </c>
      <c r="BS145" s="72">
        <v>0.55277777777777781</v>
      </c>
      <c r="BT145" s="74">
        <v>0</v>
      </c>
      <c r="BU145" s="75">
        <v>143</v>
      </c>
    </row>
    <row r="146" spans="1:73">
      <c r="A146" s="365" t="s">
        <v>1171</v>
      </c>
      <c r="B146" s="71" t="s">
        <v>153</v>
      </c>
      <c r="C146" s="71" t="s">
        <v>1174</v>
      </c>
      <c r="D146" s="130">
        <v>0.14285714285714285</v>
      </c>
      <c r="E146" s="72">
        <v>0.28000000000000003</v>
      </c>
      <c r="F146" s="72">
        <v>0.33333333333333331</v>
      </c>
      <c r="G146" s="77">
        <v>17</v>
      </c>
      <c r="H146" s="28">
        <v>63</v>
      </c>
      <c r="I146" s="28">
        <v>7</v>
      </c>
      <c r="J146" s="28">
        <v>9</v>
      </c>
      <c r="K146" s="28">
        <v>0</v>
      </c>
      <c r="L146" s="28">
        <v>0</v>
      </c>
      <c r="M146" s="28">
        <v>4</v>
      </c>
      <c r="N146" s="28">
        <v>7</v>
      </c>
      <c r="O146" s="28">
        <v>12</v>
      </c>
      <c r="P146" s="74">
        <v>25</v>
      </c>
      <c r="Q146" s="77">
        <v>0</v>
      </c>
      <c r="R146" s="28">
        <v>1</v>
      </c>
      <c r="S146" s="74">
        <v>1</v>
      </c>
      <c r="T146" s="77">
        <v>21</v>
      </c>
      <c r="U146" s="72">
        <v>0.61333333333333329</v>
      </c>
      <c r="V146" s="74">
        <v>0</v>
      </c>
      <c r="W146" s="75">
        <v>144</v>
      </c>
      <c r="Z146" s="366" t="s">
        <v>1139</v>
      </c>
      <c r="AA146" s="71" t="s">
        <v>153</v>
      </c>
      <c r="AB146" s="77" t="s">
        <v>1150</v>
      </c>
      <c r="AC146" s="130">
        <v>0.32432432432432434</v>
      </c>
      <c r="AD146" s="72">
        <v>0.375</v>
      </c>
      <c r="AE146" s="73">
        <v>0.43243243243243246</v>
      </c>
      <c r="AF146" s="77">
        <v>11</v>
      </c>
      <c r="AG146" s="28">
        <v>37</v>
      </c>
      <c r="AH146" s="28">
        <v>4</v>
      </c>
      <c r="AI146" s="28">
        <v>12</v>
      </c>
      <c r="AJ146" s="28">
        <v>1</v>
      </c>
      <c r="AK146" s="28">
        <v>0</v>
      </c>
      <c r="AL146" s="28">
        <v>1</v>
      </c>
      <c r="AM146" s="28">
        <v>3</v>
      </c>
      <c r="AN146" s="28">
        <v>3</v>
      </c>
      <c r="AO146" s="74">
        <v>9</v>
      </c>
      <c r="AP146" s="77">
        <v>0</v>
      </c>
      <c r="AQ146" s="28">
        <v>0</v>
      </c>
      <c r="AR146" s="74">
        <v>8</v>
      </c>
      <c r="AS146" s="77">
        <v>16</v>
      </c>
      <c r="AT146" s="72">
        <v>0.80743243243243246</v>
      </c>
      <c r="AU146" s="74">
        <v>1</v>
      </c>
      <c r="AV146" s="75">
        <v>144</v>
      </c>
      <c r="AY146" s="101" t="s">
        <v>1139</v>
      </c>
      <c r="AZ146" s="71" t="s">
        <v>153</v>
      </c>
      <c r="BA146" s="77" t="s">
        <v>1150</v>
      </c>
      <c r="BB146" s="130">
        <v>0.12</v>
      </c>
      <c r="BC146" s="72">
        <v>0.21428571428571427</v>
      </c>
      <c r="BD146" s="73">
        <v>0.12</v>
      </c>
      <c r="BE146" s="77">
        <v>8</v>
      </c>
      <c r="BF146" s="28">
        <v>25</v>
      </c>
      <c r="BG146" s="28">
        <v>2</v>
      </c>
      <c r="BH146" s="28">
        <v>3</v>
      </c>
      <c r="BI146" s="28">
        <v>0</v>
      </c>
      <c r="BJ146" s="28">
        <v>0</v>
      </c>
      <c r="BK146" s="28">
        <v>0</v>
      </c>
      <c r="BL146" s="28">
        <v>0</v>
      </c>
      <c r="BM146" s="28">
        <v>3</v>
      </c>
      <c r="BN146" s="74">
        <v>4</v>
      </c>
      <c r="BO146" s="77">
        <v>0</v>
      </c>
      <c r="BP146" s="28">
        <v>0</v>
      </c>
      <c r="BQ146" s="74">
        <v>3</v>
      </c>
      <c r="BR146" s="77">
        <v>3</v>
      </c>
      <c r="BS146" s="72">
        <v>0.3342857142857143</v>
      </c>
      <c r="BT146" s="74">
        <v>0</v>
      </c>
      <c r="BU146" s="75">
        <v>144</v>
      </c>
    </row>
    <row r="147" spans="1:73">
      <c r="A147" s="365" t="s">
        <v>1171</v>
      </c>
      <c r="B147" s="345" t="s">
        <v>177</v>
      </c>
      <c r="C147" s="71" t="s">
        <v>838</v>
      </c>
      <c r="D147" s="130">
        <v>0.24242424242424243</v>
      </c>
      <c r="E147" s="72">
        <v>0.33333333333333331</v>
      </c>
      <c r="F147" s="72">
        <v>0.36363636363636365</v>
      </c>
      <c r="G147" s="77">
        <v>17</v>
      </c>
      <c r="H147" s="28">
        <v>66</v>
      </c>
      <c r="I147" s="28">
        <v>4</v>
      </c>
      <c r="J147" s="28">
        <v>16</v>
      </c>
      <c r="K147" s="28">
        <v>3</v>
      </c>
      <c r="L147" s="28">
        <v>1</v>
      </c>
      <c r="M147" s="28">
        <v>1</v>
      </c>
      <c r="N147" s="28">
        <v>10</v>
      </c>
      <c r="O147" s="76">
        <v>9</v>
      </c>
      <c r="P147" s="74">
        <v>18</v>
      </c>
      <c r="Q147" s="77">
        <v>0</v>
      </c>
      <c r="R147" s="28">
        <v>2</v>
      </c>
      <c r="S147" s="74">
        <v>3</v>
      </c>
      <c r="T147" s="77">
        <v>24</v>
      </c>
      <c r="U147" s="72">
        <v>0.69696969696969702</v>
      </c>
      <c r="V147" s="74">
        <v>1</v>
      </c>
      <c r="W147" s="75">
        <v>145</v>
      </c>
      <c r="Z147" s="366" t="s">
        <v>1139</v>
      </c>
      <c r="AA147" s="71" t="s">
        <v>177</v>
      </c>
      <c r="AB147" s="77" t="s">
        <v>1146</v>
      </c>
      <c r="AC147" s="130">
        <v>0.2807017543859649</v>
      </c>
      <c r="AD147" s="72">
        <v>0.33870967741935482</v>
      </c>
      <c r="AE147" s="73">
        <v>0.47368421052631576</v>
      </c>
      <c r="AF147" s="77">
        <v>15</v>
      </c>
      <c r="AG147" s="28">
        <v>57</v>
      </c>
      <c r="AH147" s="28">
        <v>6</v>
      </c>
      <c r="AI147" s="28">
        <v>16</v>
      </c>
      <c r="AJ147" s="28">
        <v>2</v>
      </c>
      <c r="AK147" s="28">
        <v>0</v>
      </c>
      <c r="AL147" s="28">
        <v>3</v>
      </c>
      <c r="AM147" s="28">
        <v>7</v>
      </c>
      <c r="AN147" s="28">
        <v>5</v>
      </c>
      <c r="AO147" s="74">
        <v>17</v>
      </c>
      <c r="AP147" s="77">
        <v>0</v>
      </c>
      <c r="AQ147" s="28">
        <v>2</v>
      </c>
      <c r="AR147" s="74">
        <v>4</v>
      </c>
      <c r="AS147" s="77">
        <v>27</v>
      </c>
      <c r="AT147" s="72">
        <v>0.81239388794567058</v>
      </c>
      <c r="AU147" s="74">
        <v>1</v>
      </c>
      <c r="AV147" s="75">
        <v>145</v>
      </c>
      <c r="AY147" s="101" t="s">
        <v>1139</v>
      </c>
      <c r="AZ147" s="71" t="s">
        <v>177</v>
      </c>
      <c r="BA147" s="77" t="s">
        <v>1146</v>
      </c>
      <c r="BB147" s="130">
        <v>0.23076923076923078</v>
      </c>
      <c r="BC147" s="72">
        <v>0.41176470588235292</v>
      </c>
      <c r="BD147" s="73">
        <v>0.5</v>
      </c>
      <c r="BE147" s="77">
        <v>10</v>
      </c>
      <c r="BF147" s="28">
        <v>26</v>
      </c>
      <c r="BG147" s="28">
        <v>4</v>
      </c>
      <c r="BH147" s="28">
        <v>6</v>
      </c>
      <c r="BI147" s="28">
        <v>1</v>
      </c>
      <c r="BJ147" s="28">
        <v>0</v>
      </c>
      <c r="BK147" s="28">
        <v>2</v>
      </c>
      <c r="BL147" s="28">
        <v>3</v>
      </c>
      <c r="BM147" s="28">
        <v>8</v>
      </c>
      <c r="BN147" s="74">
        <v>12</v>
      </c>
      <c r="BO147" s="77">
        <v>0</v>
      </c>
      <c r="BP147" s="28">
        <v>0</v>
      </c>
      <c r="BQ147" s="74">
        <v>1</v>
      </c>
      <c r="BR147" s="77">
        <v>13</v>
      </c>
      <c r="BS147" s="72">
        <v>0.91176470588235292</v>
      </c>
      <c r="BT147" s="74">
        <v>1</v>
      </c>
      <c r="BU147" s="75">
        <v>145</v>
      </c>
    </row>
    <row r="148" spans="1:73">
      <c r="A148" s="365" t="s">
        <v>1171</v>
      </c>
      <c r="B148" s="71" t="s">
        <v>174</v>
      </c>
      <c r="C148" s="71" t="s">
        <v>1175</v>
      </c>
      <c r="D148" s="130">
        <v>0.15151515151515152</v>
      </c>
      <c r="E148" s="72">
        <v>0.2</v>
      </c>
      <c r="F148" s="72">
        <v>0.30303030303030304</v>
      </c>
      <c r="G148" s="77">
        <v>17</v>
      </c>
      <c r="H148" s="28">
        <v>66</v>
      </c>
      <c r="I148" s="28">
        <v>6</v>
      </c>
      <c r="J148" s="28">
        <v>10</v>
      </c>
      <c r="K148" s="28">
        <v>3</v>
      </c>
      <c r="L148" s="28">
        <v>2</v>
      </c>
      <c r="M148" s="28">
        <v>1</v>
      </c>
      <c r="N148" s="28">
        <v>5</v>
      </c>
      <c r="O148" s="28">
        <v>4</v>
      </c>
      <c r="P148" s="74">
        <v>26</v>
      </c>
      <c r="Q148" s="77">
        <v>0</v>
      </c>
      <c r="R148" s="28">
        <v>3</v>
      </c>
      <c r="S148" s="74">
        <v>3</v>
      </c>
      <c r="T148" s="77">
        <v>20</v>
      </c>
      <c r="U148" s="72">
        <v>0.50303030303030305</v>
      </c>
      <c r="V148" s="74">
        <v>1</v>
      </c>
      <c r="W148" s="75">
        <v>146</v>
      </c>
      <c r="Z148" s="366" t="s">
        <v>1139</v>
      </c>
      <c r="AA148" s="345" t="s">
        <v>174</v>
      </c>
      <c r="AB148" s="77" t="s">
        <v>1142</v>
      </c>
      <c r="AC148" s="130">
        <v>0.26666666666666666</v>
      </c>
      <c r="AD148" s="72">
        <v>0.34328358208955223</v>
      </c>
      <c r="AE148" s="73">
        <v>0.5</v>
      </c>
      <c r="AF148" s="77">
        <v>15</v>
      </c>
      <c r="AG148" s="28">
        <v>60</v>
      </c>
      <c r="AH148" s="28">
        <v>9</v>
      </c>
      <c r="AI148" s="28">
        <v>16</v>
      </c>
      <c r="AJ148" s="28">
        <v>3</v>
      </c>
      <c r="AK148" s="28">
        <v>1</v>
      </c>
      <c r="AL148" s="28">
        <v>3</v>
      </c>
      <c r="AM148" s="28">
        <v>15</v>
      </c>
      <c r="AN148" s="28">
        <v>7</v>
      </c>
      <c r="AO148" s="74">
        <v>9</v>
      </c>
      <c r="AP148" s="77">
        <v>0</v>
      </c>
      <c r="AQ148" s="28">
        <v>0</v>
      </c>
      <c r="AR148" s="74">
        <v>5</v>
      </c>
      <c r="AS148" s="77">
        <v>30</v>
      </c>
      <c r="AT148" s="72">
        <v>0.84328358208955223</v>
      </c>
      <c r="AU148" s="74">
        <v>2</v>
      </c>
      <c r="AV148" s="75">
        <v>146</v>
      </c>
      <c r="AY148" s="101" t="s">
        <v>1139</v>
      </c>
      <c r="AZ148" s="71" t="s">
        <v>174</v>
      </c>
      <c r="BA148" s="77" t="s">
        <v>1142</v>
      </c>
      <c r="BB148" s="130">
        <v>0.22500000000000001</v>
      </c>
      <c r="BC148" s="72">
        <v>0.31111111111111112</v>
      </c>
      <c r="BD148" s="73">
        <v>0.65</v>
      </c>
      <c r="BE148" s="77">
        <v>10</v>
      </c>
      <c r="BF148" s="28">
        <v>40</v>
      </c>
      <c r="BG148" s="28">
        <v>8</v>
      </c>
      <c r="BH148" s="28">
        <v>9</v>
      </c>
      <c r="BI148" s="28">
        <v>2</v>
      </c>
      <c r="BJ148" s="28">
        <v>0</v>
      </c>
      <c r="BK148" s="28">
        <v>5</v>
      </c>
      <c r="BL148" s="28">
        <v>9</v>
      </c>
      <c r="BM148" s="28">
        <v>5</v>
      </c>
      <c r="BN148" s="74">
        <v>9</v>
      </c>
      <c r="BO148" s="77">
        <v>0</v>
      </c>
      <c r="BP148" s="28">
        <v>1</v>
      </c>
      <c r="BQ148" s="74">
        <v>7</v>
      </c>
      <c r="BR148" s="77">
        <v>26</v>
      </c>
      <c r="BS148" s="72">
        <v>0.96111111111111114</v>
      </c>
      <c r="BT148" s="74">
        <v>1</v>
      </c>
      <c r="BU148" s="75">
        <v>146</v>
      </c>
    </row>
    <row r="149" spans="1:73">
      <c r="A149" s="365" t="s">
        <v>1171</v>
      </c>
      <c r="B149" s="71" t="s">
        <v>181</v>
      </c>
      <c r="C149" s="71" t="s">
        <v>1177</v>
      </c>
      <c r="D149" s="130">
        <v>0.16949152542372881</v>
      </c>
      <c r="E149" s="72">
        <v>0.24615384615384617</v>
      </c>
      <c r="F149" s="72">
        <v>0.28813559322033899</v>
      </c>
      <c r="G149" s="77">
        <v>17</v>
      </c>
      <c r="H149" s="28">
        <v>59</v>
      </c>
      <c r="I149" s="28">
        <v>6</v>
      </c>
      <c r="J149" s="28">
        <v>10</v>
      </c>
      <c r="K149" s="28">
        <v>2</v>
      </c>
      <c r="L149" s="28">
        <v>1</v>
      </c>
      <c r="M149" s="28">
        <v>1</v>
      </c>
      <c r="N149" s="28">
        <v>3</v>
      </c>
      <c r="O149" s="28">
        <v>6</v>
      </c>
      <c r="P149" s="74">
        <v>27</v>
      </c>
      <c r="Q149" s="77">
        <v>0</v>
      </c>
      <c r="R149" s="28">
        <v>2</v>
      </c>
      <c r="S149" s="74">
        <v>2</v>
      </c>
      <c r="T149" s="77">
        <v>17</v>
      </c>
      <c r="U149" s="72">
        <v>0.53428943937418516</v>
      </c>
      <c r="V149" s="74">
        <v>1</v>
      </c>
      <c r="W149" s="75">
        <v>147</v>
      </c>
      <c r="Z149" s="366" t="s">
        <v>1139</v>
      </c>
      <c r="AA149" s="71" t="s">
        <v>181</v>
      </c>
      <c r="AB149" s="77" t="s">
        <v>1143</v>
      </c>
      <c r="AC149" s="130">
        <v>0.2153846153846154</v>
      </c>
      <c r="AD149" s="72">
        <v>0.29166666666666669</v>
      </c>
      <c r="AE149" s="73">
        <v>0.32307692307692309</v>
      </c>
      <c r="AF149" s="77">
        <v>15</v>
      </c>
      <c r="AG149" s="28">
        <v>65</v>
      </c>
      <c r="AH149" s="28">
        <v>10</v>
      </c>
      <c r="AI149" s="28">
        <v>14</v>
      </c>
      <c r="AJ149" s="28">
        <v>4</v>
      </c>
      <c r="AK149" s="28">
        <v>0</v>
      </c>
      <c r="AL149" s="28">
        <v>1</v>
      </c>
      <c r="AM149" s="28">
        <v>3</v>
      </c>
      <c r="AN149" s="28">
        <v>7</v>
      </c>
      <c r="AO149" s="74">
        <v>23</v>
      </c>
      <c r="AP149" s="77">
        <v>0</v>
      </c>
      <c r="AQ149" s="28">
        <v>2</v>
      </c>
      <c r="AR149" s="74">
        <v>4</v>
      </c>
      <c r="AS149" s="77">
        <v>21</v>
      </c>
      <c r="AT149" s="72">
        <v>0.61474358974358978</v>
      </c>
      <c r="AU149" s="74">
        <v>1</v>
      </c>
      <c r="AV149" s="75">
        <v>147</v>
      </c>
      <c r="AY149" s="101" t="s">
        <v>1139</v>
      </c>
      <c r="AZ149" s="71" t="s">
        <v>181</v>
      </c>
      <c r="BA149" s="77" t="s">
        <v>1143</v>
      </c>
      <c r="BB149" s="130">
        <v>0.24242424242424243</v>
      </c>
      <c r="BC149" s="72">
        <v>0.32432432432432434</v>
      </c>
      <c r="BD149" s="73">
        <v>0.39393939393939392</v>
      </c>
      <c r="BE149" s="77">
        <v>10</v>
      </c>
      <c r="BF149" s="28">
        <v>33</v>
      </c>
      <c r="BG149" s="28">
        <v>2</v>
      </c>
      <c r="BH149" s="28">
        <v>8</v>
      </c>
      <c r="BI149" s="28">
        <v>0</v>
      </c>
      <c r="BJ149" s="28">
        <v>1</v>
      </c>
      <c r="BK149" s="28">
        <v>1</v>
      </c>
      <c r="BL149" s="28">
        <v>3</v>
      </c>
      <c r="BM149" s="28">
        <v>4</v>
      </c>
      <c r="BN149" s="74">
        <v>9</v>
      </c>
      <c r="BO149" s="77">
        <v>0</v>
      </c>
      <c r="BP149" s="28">
        <v>0</v>
      </c>
      <c r="BQ149" s="74">
        <v>4</v>
      </c>
      <c r="BR149" s="77">
        <v>13</v>
      </c>
      <c r="BS149" s="72">
        <v>0.71826371826371826</v>
      </c>
      <c r="BT149" s="74">
        <v>0</v>
      </c>
      <c r="BU149" s="75">
        <v>147</v>
      </c>
    </row>
    <row r="150" spans="1:73">
      <c r="A150" s="365" t="s">
        <v>1171</v>
      </c>
      <c r="B150" s="71" t="s">
        <v>166</v>
      </c>
      <c r="C150" s="71" t="s">
        <v>1172</v>
      </c>
      <c r="D150" s="130">
        <v>0.352112676056338</v>
      </c>
      <c r="E150" s="72">
        <v>0.40259740259740262</v>
      </c>
      <c r="F150" s="72">
        <v>0.49295774647887325</v>
      </c>
      <c r="G150" s="77">
        <v>17</v>
      </c>
      <c r="H150" s="28">
        <v>71</v>
      </c>
      <c r="I150" s="28">
        <v>11</v>
      </c>
      <c r="J150" s="28">
        <v>25</v>
      </c>
      <c r="K150" s="28">
        <v>7</v>
      </c>
      <c r="L150" s="586">
        <v>0</v>
      </c>
      <c r="M150" s="28">
        <v>1</v>
      </c>
      <c r="N150" s="28">
        <v>10</v>
      </c>
      <c r="O150" s="28">
        <v>6</v>
      </c>
      <c r="P150" s="74">
        <v>16</v>
      </c>
      <c r="Q150" s="77">
        <v>4</v>
      </c>
      <c r="R150" s="28">
        <v>5</v>
      </c>
      <c r="S150" s="74">
        <v>7</v>
      </c>
      <c r="T150" s="77">
        <v>35</v>
      </c>
      <c r="U150" s="72">
        <v>0.89555514907627587</v>
      </c>
      <c r="V150" s="74">
        <v>3</v>
      </c>
      <c r="W150" s="75">
        <v>148</v>
      </c>
      <c r="Z150" s="366" t="s">
        <v>1139</v>
      </c>
      <c r="AA150" s="71" t="s">
        <v>166</v>
      </c>
      <c r="AB150" s="77" t="s">
        <v>1149</v>
      </c>
      <c r="AC150" s="130">
        <v>0.15384615384615385</v>
      </c>
      <c r="AD150" s="72">
        <v>0.2413793103448276</v>
      </c>
      <c r="AE150" s="73">
        <v>0.28846153846153844</v>
      </c>
      <c r="AF150" s="77">
        <v>15</v>
      </c>
      <c r="AG150" s="28">
        <v>52</v>
      </c>
      <c r="AH150" s="28">
        <v>6</v>
      </c>
      <c r="AI150" s="28">
        <v>8</v>
      </c>
      <c r="AJ150" s="28">
        <v>1</v>
      </c>
      <c r="AK150" s="28">
        <v>0</v>
      </c>
      <c r="AL150" s="28">
        <v>2</v>
      </c>
      <c r="AM150" s="28">
        <v>5</v>
      </c>
      <c r="AN150" s="28">
        <v>6</v>
      </c>
      <c r="AO150" s="74">
        <v>13</v>
      </c>
      <c r="AP150" s="77">
        <v>0</v>
      </c>
      <c r="AQ150" s="28">
        <v>0</v>
      </c>
      <c r="AR150" s="74">
        <v>5</v>
      </c>
      <c r="AS150" s="77">
        <v>15</v>
      </c>
      <c r="AT150" s="72">
        <v>0.52984084880636606</v>
      </c>
      <c r="AU150" s="74">
        <v>1</v>
      </c>
      <c r="AV150" s="75">
        <v>148</v>
      </c>
      <c r="AY150" s="101" t="s">
        <v>1139</v>
      </c>
      <c r="AZ150" s="71" t="s">
        <v>166</v>
      </c>
      <c r="BA150" s="77" t="s">
        <v>1149</v>
      </c>
      <c r="BB150" s="130">
        <v>0.14814814814814814</v>
      </c>
      <c r="BC150" s="72">
        <v>0.28125</v>
      </c>
      <c r="BD150" s="73">
        <v>0.18518518518518517</v>
      </c>
      <c r="BE150" s="77">
        <v>7</v>
      </c>
      <c r="BF150" s="28">
        <v>27</v>
      </c>
      <c r="BG150" s="28">
        <v>4</v>
      </c>
      <c r="BH150" s="28">
        <v>4</v>
      </c>
      <c r="BI150" s="28">
        <v>1</v>
      </c>
      <c r="BJ150" s="28">
        <v>0</v>
      </c>
      <c r="BK150" s="28">
        <v>0</v>
      </c>
      <c r="BL150" s="28">
        <v>1</v>
      </c>
      <c r="BM150" s="28">
        <v>5</v>
      </c>
      <c r="BN150" s="74">
        <v>11</v>
      </c>
      <c r="BO150" s="77">
        <v>0</v>
      </c>
      <c r="BP150" s="28">
        <v>0</v>
      </c>
      <c r="BQ150" s="74">
        <v>3</v>
      </c>
      <c r="BR150" s="77">
        <v>5</v>
      </c>
      <c r="BS150" s="72">
        <v>0.46643518518518517</v>
      </c>
      <c r="BT150" s="74">
        <v>0</v>
      </c>
      <c r="BU150" s="75">
        <v>148</v>
      </c>
    </row>
    <row r="151" spans="1:73">
      <c r="A151" s="365" t="s">
        <v>1171</v>
      </c>
      <c r="B151" s="71" t="s">
        <v>168</v>
      </c>
      <c r="C151" s="71" t="s">
        <v>1178</v>
      </c>
      <c r="D151" s="130">
        <v>0.171875</v>
      </c>
      <c r="E151" s="72">
        <v>0.2638888888888889</v>
      </c>
      <c r="F151" s="72">
        <v>0.234375</v>
      </c>
      <c r="G151" s="77">
        <v>17</v>
      </c>
      <c r="H151" s="28">
        <v>64</v>
      </c>
      <c r="I151" s="28">
        <v>5</v>
      </c>
      <c r="J151" s="28">
        <v>11</v>
      </c>
      <c r="K151" s="28">
        <v>4</v>
      </c>
      <c r="L151" s="28">
        <v>0</v>
      </c>
      <c r="M151" s="28">
        <v>0</v>
      </c>
      <c r="N151" s="28">
        <v>3</v>
      </c>
      <c r="O151" s="28">
        <v>8</v>
      </c>
      <c r="P151" s="74">
        <v>25</v>
      </c>
      <c r="Q151" s="77">
        <v>0</v>
      </c>
      <c r="R151" s="28">
        <v>0</v>
      </c>
      <c r="S151" s="74">
        <v>5</v>
      </c>
      <c r="T151" s="77">
        <v>15</v>
      </c>
      <c r="U151" s="72">
        <v>0.4982638888888889</v>
      </c>
      <c r="V151" s="74">
        <v>0</v>
      </c>
      <c r="W151" s="75">
        <v>149</v>
      </c>
      <c r="Z151" s="366" t="s">
        <v>1139</v>
      </c>
      <c r="AA151" s="71" t="s">
        <v>168</v>
      </c>
      <c r="AB151" s="77" t="s">
        <v>1145</v>
      </c>
      <c r="AC151" s="130">
        <v>0.234375</v>
      </c>
      <c r="AD151" s="72">
        <v>0.27941176470588236</v>
      </c>
      <c r="AE151" s="73">
        <v>0.34375</v>
      </c>
      <c r="AF151" s="77">
        <v>15</v>
      </c>
      <c r="AG151" s="28">
        <v>64</v>
      </c>
      <c r="AH151" s="28">
        <v>6</v>
      </c>
      <c r="AI151" s="28">
        <v>15</v>
      </c>
      <c r="AJ151" s="28">
        <v>3</v>
      </c>
      <c r="AK151" s="28">
        <v>2</v>
      </c>
      <c r="AL151" s="28">
        <v>0</v>
      </c>
      <c r="AM151" s="28">
        <v>1</v>
      </c>
      <c r="AN151" s="28">
        <v>4</v>
      </c>
      <c r="AO151" s="74">
        <v>19</v>
      </c>
      <c r="AP151" s="77">
        <v>0</v>
      </c>
      <c r="AQ151" s="28">
        <v>4</v>
      </c>
      <c r="AR151" s="74">
        <v>4</v>
      </c>
      <c r="AS151" s="77">
        <v>22</v>
      </c>
      <c r="AT151" s="72">
        <v>0.62316176470588236</v>
      </c>
      <c r="AU151" s="74">
        <v>0</v>
      </c>
      <c r="AV151" s="75">
        <v>149</v>
      </c>
      <c r="AY151" s="101" t="s">
        <v>1139</v>
      </c>
      <c r="AZ151" s="71" t="s">
        <v>168</v>
      </c>
      <c r="BA151" s="77" t="s">
        <v>1145</v>
      </c>
      <c r="BB151" s="130">
        <v>0.25</v>
      </c>
      <c r="BC151" s="72">
        <v>0.2978723404255319</v>
      </c>
      <c r="BD151" s="73">
        <v>0.38636363636363635</v>
      </c>
      <c r="BE151" s="77">
        <v>10</v>
      </c>
      <c r="BF151" s="28">
        <v>44</v>
      </c>
      <c r="BG151" s="28">
        <v>5</v>
      </c>
      <c r="BH151" s="28">
        <v>11</v>
      </c>
      <c r="BI151" s="28">
        <v>3</v>
      </c>
      <c r="BJ151" s="28">
        <v>0</v>
      </c>
      <c r="BK151" s="28">
        <v>1</v>
      </c>
      <c r="BL151" s="28">
        <v>3</v>
      </c>
      <c r="BM151" s="28">
        <v>3</v>
      </c>
      <c r="BN151" s="74">
        <v>8</v>
      </c>
      <c r="BO151" s="77">
        <v>0</v>
      </c>
      <c r="BP151" s="28">
        <v>1</v>
      </c>
      <c r="BQ151" s="74">
        <v>3</v>
      </c>
      <c r="BR151" s="77">
        <v>17</v>
      </c>
      <c r="BS151" s="72">
        <v>0.68423597678916825</v>
      </c>
      <c r="BT151" s="74">
        <v>1</v>
      </c>
      <c r="BU151" s="75">
        <v>149</v>
      </c>
    </row>
    <row r="152" spans="1:73">
      <c r="A152" s="365" t="s">
        <v>1171</v>
      </c>
      <c r="B152" s="71" t="s">
        <v>179</v>
      </c>
      <c r="C152" s="71" t="s">
        <v>1181</v>
      </c>
      <c r="D152" s="130">
        <v>0</v>
      </c>
      <c r="E152" s="72">
        <v>0</v>
      </c>
      <c r="F152" s="72">
        <v>0</v>
      </c>
      <c r="G152" s="77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74">
        <v>0</v>
      </c>
      <c r="Q152" s="77">
        <v>0</v>
      </c>
      <c r="R152" s="28">
        <v>0</v>
      </c>
      <c r="S152" s="74">
        <v>0</v>
      </c>
      <c r="T152" s="77">
        <v>0</v>
      </c>
      <c r="U152" s="72">
        <v>0</v>
      </c>
      <c r="V152" s="74">
        <v>0</v>
      </c>
      <c r="W152" s="75">
        <v>150</v>
      </c>
      <c r="Z152" s="366" t="s">
        <v>1139</v>
      </c>
      <c r="AA152" s="71" t="s">
        <v>179</v>
      </c>
      <c r="AB152" s="77" t="s">
        <v>1152</v>
      </c>
      <c r="AC152" s="130">
        <v>0</v>
      </c>
      <c r="AD152" s="72">
        <v>0</v>
      </c>
      <c r="AE152" s="73">
        <v>0</v>
      </c>
      <c r="AF152" s="77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74">
        <v>0</v>
      </c>
      <c r="AP152" s="77">
        <v>0</v>
      </c>
      <c r="AQ152" s="28">
        <v>0</v>
      </c>
      <c r="AR152" s="74">
        <v>0</v>
      </c>
      <c r="AS152" s="77">
        <v>0</v>
      </c>
      <c r="AT152" s="72">
        <v>0</v>
      </c>
      <c r="AU152" s="74">
        <v>0</v>
      </c>
      <c r="AV152" s="75">
        <v>150</v>
      </c>
      <c r="AY152" s="101" t="s">
        <v>1139</v>
      </c>
      <c r="AZ152" s="71" t="s">
        <v>179</v>
      </c>
      <c r="BA152" s="77" t="s">
        <v>1152</v>
      </c>
      <c r="BB152" s="130">
        <v>0</v>
      </c>
      <c r="BC152" s="72">
        <v>0</v>
      </c>
      <c r="BD152" s="73">
        <v>0</v>
      </c>
      <c r="BE152" s="77">
        <v>0</v>
      </c>
      <c r="BF152" s="28">
        <v>0</v>
      </c>
      <c r="BG152" s="28">
        <v>0</v>
      </c>
      <c r="BH152" s="28">
        <v>0</v>
      </c>
      <c r="BI152" s="28">
        <v>0</v>
      </c>
      <c r="BJ152" s="28">
        <v>0</v>
      </c>
      <c r="BK152" s="28">
        <v>0</v>
      </c>
      <c r="BL152" s="28">
        <v>0</v>
      </c>
      <c r="BM152" s="28">
        <v>0</v>
      </c>
      <c r="BN152" s="74">
        <v>0</v>
      </c>
      <c r="BO152" s="77">
        <v>0</v>
      </c>
      <c r="BP152" s="28">
        <v>0</v>
      </c>
      <c r="BQ152" s="74">
        <v>0</v>
      </c>
      <c r="BR152" s="77">
        <v>0</v>
      </c>
      <c r="BS152" s="72">
        <v>0</v>
      </c>
      <c r="BT152" s="74">
        <v>0</v>
      </c>
      <c r="BU152" s="75">
        <v>150</v>
      </c>
    </row>
    <row r="153" spans="1:73">
      <c r="A153" s="365" t="s">
        <v>1171</v>
      </c>
      <c r="B153" s="71" t="s">
        <v>187</v>
      </c>
      <c r="C153" s="71" t="s">
        <v>1176</v>
      </c>
      <c r="D153" s="130">
        <v>0</v>
      </c>
      <c r="E153" s="72">
        <v>0</v>
      </c>
      <c r="F153" s="72">
        <v>0</v>
      </c>
      <c r="G153" s="77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74">
        <v>0</v>
      </c>
      <c r="Q153" s="77">
        <v>0</v>
      </c>
      <c r="R153" s="28">
        <v>0</v>
      </c>
      <c r="S153" s="74">
        <v>0</v>
      </c>
      <c r="T153" s="77">
        <v>0</v>
      </c>
      <c r="U153" s="72">
        <v>0</v>
      </c>
      <c r="V153" s="74">
        <v>0</v>
      </c>
      <c r="W153" s="75">
        <v>151</v>
      </c>
      <c r="Z153" s="366" t="s">
        <v>1139</v>
      </c>
      <c r="AA153" s="71" t="s">
        <v>187</v>
      </c>
      <c r="AB153" s="77" t="s">
        <v>1148</v>
      </c>
      <c r="AC153" s="130">
        <v>1</v>
      </c>
      <c r="AD153" s="72">
        <v>1</v>
      </c>
      <c r="AE153" s="73">
        <v>4</v>
      </c>
      <c r="AF153" s="77">
        <v>1</v>
      </c>
      <c r="AG153" s="28">
        <v>1</v>
      </c>
      <c r="AH153" s="28">
        <v>1</v>
      </c>
      <c r="AI153" s="28">
        <v>1</v>
      </c>
      <c r="AJ153" s="28">
        <v>0</v>
      </c>
      <c r="AK153" s="28">
        <v>0</v>
      </c>
      <c r="AL153" s="28">
        <v>1</v>
      </c>
      <c r="AM153" s="28">
        <v>4</v>
      </c>
      <c r="AN153" s="28">
        <v>0</v>
      </c>
      <c r="AO153" s="74">
        <v>0</v>
      </c>
      <c r="AP153" s="77">
        <v>0</v>
      </c>
      <c r="AQ153" s="28">
        <v>0</v>
      </c>
      <c r="AR153" s="74">
        <v>0</v>
      </c>
      <c r="AS153" s="77">
        <v>4</v>
      </c>
      <c r="AT153" s="72">
        <v>5</v>
      </c>
      <c r="AU153" s="74">
        <v>1</v>
      </c>
      <c r="AV153" s="75">
        <v>151</v>
      </c>
      <c r="AY153" s="101" t="s">
        <v>1139</v>
      </c>
      <c r="AZ153" s="71" t="s">
        <v>187</v>
      </c>
      <c r="BA153" s="77" t="s">
        <v>1148</v>
      </c>
      <c r="BB153" s="130">
        <v>0</v>
      </c>
      <c r="BC153" s="72">
        <v>0</v>
      </c>
      <c r="BD153" s="73">
        <v>0</v>
      </c>
      <c r="BE153" s="77">
        <v>0</v>
      </c>
      <c r="BF153" s="28">
        <v>0</v>
      </c>
      <c r="BG153" s="28">
        <v>0</v>
      </c>
      <c r="BH153" s="28">
        <v>0</v>
      </c>
      <c r="BI153" s="28">
        <v>0</v>
      </c>
      <c r="BJ153" s="28">
        <v>0</v>
      </c>
      <c r="BK153" s="28">
        <v>0</v>
      </c>
      <c r="BL153" s="28">
        <v>0</v>
      </c>
      <c r="BM153" s="28">
        <v>0</v>
      </c>
      <c r="BN153" s="74">
        <v>0</v>
      </c>
      <c r="BO153" s="77">
        <v>0</v>
      </c>
      <c r="BP153" s="28">
        <v>0</v>
      </c>
      <c r="BQ153" s="74">
        <v>0</v>
      </c>
      <c r="BR153" s="77">
        <v>0</v>
      </c>
      <c r="BS153" s="72">
        <v>0</v>
      </c>
      <c r="BT153" s="74">
        <v>0</v>
      </c>
      <c r="BU153" s="75">
        <v>151</v>
      </c>
    </row>
    <row r="154" spans="1:73">
      <c r="A154" s="365" t="s">
        <v>1171</v>
      </c>
      <c r="B154" s="71" t="s">
        <v>187</v>
      </c>
      <c r="C154" s="71" t="s">
        <v>930</v>
      </c>
      <c r="D154" s="130">
        <v>0</v>
      </c>
      <c r="E154" s="72">
        <v>0</v>
      </c>
      <c r="F154" s="72">
        <v>0</v>
      </c>
      <c r="G154" s="77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74">
        <v>0</v>
      </c>
      <c r="Q154" s="77">
        <v>0</v>
      </c>
      <c r="R154" s="28">
        <v>0</v>
      </c>
      <c r="S154" s="74">
        <v>0</v>
      </c>
      <c r="T154" s="77">
        <v>0</v>
      </c>
      <c r="U154" s="72">
        <v>0</v>
      </c>
      <c r="V154" s="74">
        <v>0</v>
      </c>
      <c r="W154" s="75">
        <v>152</v>
      </c>
      <c r="Z154" s="366" t="s">
        <v>1139</v>
      </c>
      <c r="AA154" s="71" t="s">
        <v>187</v>
      </c>
      <c r="AB154" s="77" t="s">
        <v>1153</v>
      </c>
      <c r="AC154" s="130">
        <v>0.2857142857142857</v>
      </c>
      <c r="AD154" s="72">
        <v>0.2857142857142857</v>
      </c>
      <c r="AE154" s="73">
        <v>0.2857142857142857</v>
      </c>
      <c r="AF154" s="77">
        <v>3</v>
      </c>
      <c r="AG154" s="28">
        <v>7</v>
      </c>
      <c r="AH154" s="28">
        <v>0</v>
      </c>
      <c r="AI154" s="28">
        <v>2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74">
        <v>2</v>
      </c>
      <c r="AP154" s="77">
        <v>0</v>
      </c>
      <c r="AQ154" s="28">
        <v>1</v>
      </c>
      <c r="AR154" s="74">
        <v>1</v>
      </c>
      <c r="AS154" s="77">
        <v>2</v>
      </c>
      <c r="AT154" s="72">
        <v>0.5714285714285714</v>
      </c>
      <c r="AU154" s="74">
        <v>0</v>
      </c>
      <c r="AV154" s="75">
        <v>152</v>
      </c>
      <c r="AY154" s="101" t="s">
        <v>1139</v>
      </c>
      <c r="AZ154" s="71" t="s">
        <v>187</v>
      </c>
      <c r="BA154" s="77" t="s">
        <v>1153</v>
      </c>
      <c r="BB154" s="130">
        <v>0</v>
      </c>
      <c r="BC154" s="72">
        <v>8.3333333333333329E-2</v>
      </c>
      <c r="BD154" s="73">
        <v>0</v>
      </c>
      <c r="BE154" s="77">
        <v>3</v>
      </c>
      <c r="BF154" s="28">
        <v>11</v>
      </c>
      <c r="BG154" s="28">
        <v>0</v>
      </c>
      <c r="BH154" s="28">
        <v>0</v>
      </c>
      <c r="BI154" s="28">
        <v>0</v>
      </c>
      <c r="BJ154" s="28">
        <v>0</v>
      </c>
      <c r="BK154" s="28">
        <v>0</v>
      </c>
      <c r="BL154" s="28">
        <v>0</v>
      </c>
      <c r="BM154" s="28">
        <v>1</v>
      </c>
      <c r="BN154" s="74">
        <v>3</v>
      </c>
      <c r="BO154" s="77">
        <v>0</v>
      </c>
      <c r="BP154" s="28">
        <v>0</v>
      </c>
      <c r="BQ154" s="74">
        <v>0</v>
      </c>
      <c r="BR154" s="77">
        <v>0</v>
      </c>
      <c r="BS154" s="72">
        <v>8.3333333333333329E-2</v>
      </c>
      <c r="BT154" s="74">
        <v>0</v>
      </c>
      <c r="BU154" s="75">
        <v>152</v>
      </c>
    </row>
    <row r="155" spans="1:73">
      <c r="A155" s="365" t="s">
        <v>1171</v>
      </c>
      <c r="B155" s="71" t="s">
        <v>184</v>
      </c>
      <c r="C155" s="71" t="s">
        <v>1180</v>
      </c>
      <c r="D155" s="130">
        <v>0</v>
      </c>
      <c r="E155" s="72">
        <v>0</v>
      </c>
      <c r="F155" s="72">
        <v>0</v>
      </c>
      <c r="G155" s="77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74">
        <v>0</v>
      </c>
      <c r="Q155" s="77">
        <v>0</v>
      </c>
      <c r="R155" s="28">
        <v>0</v>
      </c>
      <c r="S155" s="74">
        <v>0</v>
      </c>
      <c r="T155" s="77">
        <v>0</v>
      </c>
      <c r="U155" s="72">
        <v>0</v>
      </c>
      <c r="V155" s="74">
        <v>0</v>
      </c>
      <c r="W155" s="75">
        <v>153</v>
      </c>
      <c r="Z155" s="366" t="s">
        <v>1139</v>
      </c>
      <c r="AA155" s="71" t="s">
        <v>192</v>
      </c>
      <c r="AB155" s="77" t="s">
        <v>1151</v>
      </c>
      <c r="AC155" s="130">
        <v>0.1111111111111111</v>
      </c>
      <c r="AD155" s="72">
        <v>0.2</v>
      </c>
      <c r="AE155" s="73">
        <v>0.1111111111111111</v>
      </c>
      <c r="AF155" s="77">
        <v>3</v>
      </c>
      <c r="AG155" s="28">
        <v>9</v>
      </c>
      <c r="AH155" s="28">
        <v>1</v>
      </c>
      <c r="AI155" s="28">
        <v>1</v>
      </c>
      <c r="AJ155" s="28">
        <v>0</v>
      </c>
      <c r="AK155" s="28">
        <v>0</v>
      </c>
      <c r="AL155" s="28">
        <v>0</v>
      </c>
      <c r="AM155" s="28">
        <v>0</v>
      </c>
      <c r="AN155" s="28">
        <v>1</v>
      </c>
      <c r="AO155" s="74">
        <v>1</v>
      </c>
      <c r="AP155" s="77">
        <v>0</v>
      </c>
      <c r="AQ155" s="28">
        <v>0</v>
      </c>
      <c r="AR155" s="74">
        <v>1</v>
      </c>
      <c r="AS155" s="77">
        <v>1</v>
      </c>
      <c r="AT155" s="72">
        <v>0.31111111111111112</v>
      </c>
      <c r="AU155" s="74">
        <v>0</v>
      </c>
      <c r="AV155" s="75">
        <v>153</v>
      </c>
      <c r="AY155" s="101" t="s">
        <v>1139</v>
      </c>
      <c r="AZ155" s="71" t="s">
        <v>186</v>
      </c>
      <c r="BA155" s="77" t="s">
        <v>1154</v>
      </c>
      <c r="BB155" s="130">
        <v>0.44444444444444442</v>
      </c>
      <c r="BC155" s="72">
        <v>0.5</v>
      </c>
      <c r="BD155" s="73">
        <v>0.88888888888888884</v>
      </c>
      <c r="BE155" s="77">
        <v>3</v>
      </c>
      <c r="BF155" s="28">
        <v>9</v>
      </c>
      <c r="BG155" s="28">
        <v>1</v>
      </c>
      <c r="BH155" s="28">
        <v>4</v>
      </c>
      <c r="BI155" s="28">
        <v>1</v>
      </c>
      <c r="BJ155" s="28">
        <v>0</v>
      </c>
      <c r="BK155" s="28">
        <v>1</v>
      </c>
      <c r="BL155" s="28">
        <v>2</v>
      </c>
      <c r="BM155" s="28">
        <v>1</v>
      </c>
      <c r="BN155" s="74">
        <v>3</v>
      </c>
      <c r="BO155" s="77">
        <v>0</v>
      </c>
      <c r="BP155" s="28">
        <v>0</v>
      </c>
      <c r="BQ155" s="74">
        <v>2</v>
      </c>
      <c r="BR155" s="77">
        <v>8</v>
      </c>
      <c r="BS155" s="72">
        <v>1.3888888888888888</v>
      </c>
      <c r="BT155" s="74">
        <v>0</v>
      </c>
      <c r="BU155" s="75">
        <v>153</v>
      </c>
    </row>
    <row r="156" spans="1:73">
      <c r="A156" s="365" t="s">
        <v>1171</v>
      </c>
      <c r="B156" s="71" t="s">
        <v>184</v>
      </c>
      <c r="C156" s="71" t="s">
        <v>1182</v>
      </c>
      <c r="D156" s="130">
        <v>0</v>
      </c>
      <c r="E156" s="72">
        <v>0</v>
      </c>
      <c r="F156" s="72">
        <v>0</v>
      </c>
      <c r="G156" s="77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74">
        <v>0</v>
      </c>
      <c r="Q156" s="77">
        <v>0</v>
      </c>
      <c r="R156" s="28">
        <v>0</v>
      </c>
      <c r="S156" s="74">
        <v>0</v>
      </c>
      <c r="T156" s="77">
        <v>0</v>
      </c>
      <c r="U156" s="72">
        <v>0</v>
      </c>
      <c r="V156" s="74">
        <v>0</v>
      </c>
      <c r="W156" s="75">
        <v>154</v>
      </c>
      <c r="Z156" s="366" t="s">
        <v>1139</v>
      </c>
      <c r="AA156" s="71" t="s">
        <v>186</v>
      </c>
      <c r="AB156" s="77" t="s">
        <v>1155</v>
      </c>
      <c r="AC156" s="130">
        <v>0</v>
      </c>
      <c r="AD156" s="72">
        <v>0</v>
      </c>
      <c r="AE156" s="73">
        <v>0</v>
      </c>
      <c r="AF156" s="77">
        <v>0</v>
      </c>
      <c r="AG156" s="28">
        <v>0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74">
        <v>0</v>
      </c>
      <c r="AP156" s="77">
        <v>0</v>
      </c>
      <c r="AQ156" s="28">
        <v>0</v>
      </c>
      <c r="AR156" s="74">
        <v>0</v>
      </c>
      <c r="AS156" s="77">
        <v>0</v>
      </c>
      <c r="AT156" s="72">
        <v>0</v>
      </c>
      <c r="AU156" s="74">
        <v>0</v>
      </c>
      <c r="AV156" s="75">
        <v>154</v>
      </c>
      <c r="AY156" s="101" t="s">
        <v>1139</v>
      </c>
      <c r="AZ156" s="71" t="s">
        <v>186</v>
      </c>
      <c r="BA156" s="77" t="s">
        <v>1155</v>
      </c>
      <c r="BB156" s="130">
        <v>0.16666666666666666</v>
      </c>
      <c r="BC156" s="72">
        <v>0.16666666666666666</v>
      </c>
      <c r="BD156" s="73">
        <v>0.16666666666666666</v>
      </c>
      <c r="BE156" s="77">
        <v>5</v>
      </c>
      <c r="BF156" s="28">
        <v>12</v>
      </c>
      <c r="BG156" s="28">
        <v>2</v>
      </c>
      <c r="BH156" s="28">
        <v>2</v>
      </c>
      <c r="BI156" s="28">
        <v>0</v>
      </c>
      <c r="BJ156" s="28">
        <v>0</v>
      </c>
      <c r="BK156" s="28">
        <v>0</v>
      </c>
      <c r="BL156" s="28">
        <v>0</v>
      </c>
      <c r="BM156" s="28">
        <v>0</v>
      </c>
      <c r="BN156" s="74">
        <v>4</v>
      </c>
      <c r="BO156" s="77">
        <v>1</v>
      </c>
      <c r="BP156" s="28">
        <v>0</v>
      </c>
      <c r="BQ156" s="74">
        <v>1</v>
      </c>
      <c r="BR156" s="77">
        <v>2</v>
      </c>
      <c r="BS156" s="72">
        <v>0.33333333333333331</v>
      </c>
      <c r="BT156" s="74">
        <v>0</v>
      </c>
      <c r="BU156" s="75">
        <v>154</v>
      </c>
    </row>
    <row r="157" spans="1:73">
      <c r="A157" s="101" t="s">
        <v>1200</v>
      </c>
      <c r="B157" s="71" t="s">
        <v>179</v>
      </c>
      <c r="C157" s="71" t="s">
        <v>1210</v>
      </c>
      <c r="D157" s="130">
        <v>0.41666666666666669</v>
      </c>
      <c r="E157" s="72">
        <v>0.41666666666666669</v>
      </c>
      <c r="F157" s="72">
        <v>0.66666666666666663</v>
      </c>
      <c r="G157" s="77">
        <v>3</v>
      </c>
      <c r="H157" s="28">
        <v>12</v>
      </c>
      <c r="I157" s="28">
        <v>2</v>
      </c>
      <c r="J157" s="28">
        <v>5</v>
      </c>
      <c r="K157" s="28">
        <v>0</v>
      </c>
      <c r="L157" s="28">
        <v>0</v>
      </c>
      <c r="M157" s="28">
        <v>1</v>
      </c>
      <c r="N157" s="28">
        <v>3</v>
      </c>
      <c r="O157" s="28">
        <v>0</v>
      </c>
      <c r="P157" s="74">
        <v>4</v>
      </c>
      <c r="Q157" s="77">
        <v>0</v>
      </c>
      <c r="R157" s="28">
        <v>3</v>
      </c>
      <c r="S157" s="74">
        <v>3</v>
      </c>
      <c r="T157" s="77">
        <v>8</v>
      </c>
      <c r="U157" s="72">
        <v>1.0833333333333333</v>
      </c>
      <c r="V157" s="74">
        <v>0</v>
      </c>
      <c r="W157" s="75">
        <v>155</v>
      </c>
      <c r="Z157" s="101" t="s">
        <v>1171</v>
      </c>
      <c r="AA157" s="71" t="s">
        <v>179</v>
      </c>
      <c r="AB157" s="77" t="s">
        <v>864</v>
      </c>
      <c r="AC157" s="130">
        <v>0.25</v>
      </c>
      <c r="AD157" s="72">
        <v>0.3125</v>
      </c>
      <c r="AE157" s="73">
        <v>0.31818181818181818</v>
      </c>
      <c r="AF157" s="77">
        <v>12</v>
      </c>
      <c r="AG157" s="28">
        <v>44</v>
      </c>
      <c r="AH157" s="28">
        <v>1</v>
      </c>
      <c r="AI157" s="28">
        <v>11</v>
      </c>
      <c r="AJ157" s="28">
        <v>3</v>
      </c>
      <c r="AK157" s="28">
        <v>0</v>
      </c>
      <c r="AL157" s="28">
        <v>0</v>
      </c>
      <c r="AM157" s="28">
        <v>2</v>
      </c>
      <c r="AN157" s="28">
        <v>4</v>
      </c>
      <c r="AO157" s="74">
        <v>14</v>
      </c>
      <c r="AP157" s="352">
        <v>0</v>
      </c>
      <c r="AQ157" s="28">
        <v>3</v>
      </c>
      <c r="AR157" s="74">
        <v>3</v>
      </c>
      <c r="AS157" s="77">
        <v>14</v>
      </c>
      <c r="AT157" s="72">
        <v>0.63068181818181812</v>
      </c>
      <c r="AU157" s="74">
        <v>0</v>
      </c>
      <c r="AV157" s="75">
        <v>155</v>
      </c>
      <c r="AY157" s="101" t="s">
        <v>1200</v>
      </c>
      <c r="AZ157" s="71" t="s">
        <v>179</v>
      </c>
      <c r="BA157" s="77" t="s">
        <v>1208</v>
      </c>
      <c r="BB157" s="130">
        <v>0.2</v>
      </c>
      <c r="BC157" s="72">
        <v>0.27272727272727271</v>
      </c>
      <c r="BD157" s="73">
        <v>0.2</v>
      </c>
      <c r="BE157" s="77">
        <v>3</v>
      </c>
      <c r="BF157" s="28">
        <v>10</v>
      </c>
      <c r="BG157" s="28">
        <v>0</v>
      </c>
      <c r="BH157" s="28">
        <v>2</v>
      </c>
      <c r="BI157" s="28">
        <v>0</v>
      </c>
      <c r="BJ157" s="28">
        <v>0</v>
      </c>
      <c r="BK157" s="28">
        <v>0</v>
      </c>
      <c r="BL157" s="28">
        <v>0</v>
      </c>
      <c r="BM157" s="28">
        <v>1</v>
      </c>
      <c r="BN157" s="74">
        <v>3</v>
      </c>
      <c r="BO157" s="77">
        <v>0</v>
      </c>
      <c r="BP157" s="28">
        <v>0</v>
      </c>
      <c r="BQ157" s="74">
        <v>2</v>
      </c>
      <c r="BR157" s="77">
        <v>2</v>
      </c>
      <c r="BS157" s="72">
        <v>0.47272727272727272</v>
      </c>
      <c r="BT157" s="74">
        <v>0</v>
      </c>
      <c r="BU157" s="75">
        <v>155</v>
      </c>
    </row>
    <row r="158" spans="1:73">
      <c r="A158" s="101" t="s">
        <v>1200</v>
      </c>
      <c r="B158" s="71" t="s">
        <v>154</v>
      </c>
      <c r="C158" s="71" t="s">
        <v>1202</v>
      </c>
      <c r="D158" s="130">
        <v>0.33333333333333331</v>
      </c>
      <c r="E158" s="72">
        <v>0.33333333333333331</v>
      </c>
      <c r="F158" s="72">
        <v>0.6</v>
      </c>
      <c r="G158" s="77">
        <v>3</v>
      </c>
      <c r="H158" s="28">
        <v>15</v>
      </c>
      <c r="I158" s="28">
        <v>2</v>
      </c>
      <c r="J158" s="28">
        <v>5</v>
      </c>
      <c r="K158" s="28">
        <v>1</v>
      </c>
      <c r="L158" s="28">
        <v>0</v>
      </c>
      <c r="M158" s="28">
        <v>1</v>
      </c>
      <c r="N158" s="28">
        <v>3</v>
      </c>
      <c r="O158" s="28">
        <v>0</v>
      </c>
      <c r="P158" s="74">
        <v>5</v>
      </c>
      <c r="Q158" s="77">
        <v>0</v>
      </c>
      <c r="R158" s="28">
        <v>3</v>
      </c>
      <c r="S158" s="74">
        <v>3</v>
      </c>
      <c r="T158" s="77">
        <v>9</v>
      </c>
      <c r="U158" s="72">
        <v>0.93333333333333335</v>
      </c>
      <c r="V158" s="74">
        <v>0</v>
      </c>
      <c r="W158" s="75">
        <v>156</v>
      </c>
      <c r="Z158" s="101" t="s">
        <v>1171</v>
      </c>
      <c r="AA158" s="71" t="s">
        <v>154</v>
      </c>
      <c r="AB158" s="77" t="s">
        <v>1173</v>
      </c>
      <c r="AC158" s="130">
        <v>0.20408163265306123</v>
      </c>
      <c r="AD158" s="72">
        <v>0.26415094339622641</v>
      </c>
      <c r="AE158" s="73">
        <v>0.36734693877551022</v>
      </c>
      <c r="AF158" s="77">
        <v>12</v>
      </c>
      <c r="AG158" s="28">
        <v>49</v>
      </c>
      <c r="AH158" s="28">
        <v>3</v>
      </c>
      <c r="AI158" s="28">
        <v>10</v>
      </c>
      <c r="AJ158" s="28">
        <v>2</v>
      </c>
      <c r="AK158" s="28">
        <v>0</v>
      </c>
      <c r="AL158" s="28">
        <v>2</v>
      </c>
      <c r="AM158" s="28">
        <v>8</v>
      </c>
      <c r="AN158" s="28">
        <v>4</v>
      </c>
      <c r="AO158" s="74">
        <v>11</v>
      </c>
      <c r="AP158" s="77">
        <v>0</v>
      </c>
      <c r="AQ158" s="28">
        <v>1</v>
      </c>
      <c r="AR158" s="74">
        <v>4</v>
      </c>
      <c r="AS158" s="77">
        <v>18</v>
      </c>
      <c r="AT158" s="72">
        <v>0.63149788217173664</v>
      </c>
      <c r="AU158" s="74">
        <v>0</v>
      </c>
      <c r="AV158" s="75">
        <v>156</v>
      </c>
      <c r="AY158" s="101" t="s">
        <v>1200</v>
      </c>
      <c r="AZ158" s="71" t="s">
        <v>154</v>
      </c>
      <c r="BA158" s="77" t="s">
        <v>1202</v>
      </c>
      <c r="BB158" s="130">
        <v>0.36363636363636365</v>
      </c>
      <c r="BC158" s="72">
        <v>0.41666666666666669</v>
      </c>
      <c r="BD158" s="73">
        <v>0.54545454545454541</v>
      </c>
      <c r="BE158" s="77">
        <v>3</v>
      </c>
      <c r="BF158" s="28">
        <v>11</v>
      </c>
      <c r="BG158" s="28">
        <v>1</v>
      </c>
      <c r="BH158" s="28">
        <v>4</v>
      </c>
      <c r="BI158" s="28">
        <v>2</v>
      </c>
      <c r="BJ158" s="28">
        <v>0</v>
      </c>
      <c r="BK158" s="28">
        <v>0</v>
      </c>
      <c r="BL158" s="28">
        <v>1</v>
      </c>
      <c r="BM158" s="28">
        <v>1</v>
      </c>
      <c r="BN158" s="74">
        <v>5</v>
      </c>
      <c r="BO158" s="77">
        <v>0</v>
      </c>
      <c r="BP158" s="28">
        <v>2</v>
      </c>
      <c r="BQ158" s="74">
        <v>2</v>
      </c>
      <c r="BR158" s="77">
        <v>6</v>
      </c>
      <c r="BS158" s="72">
        <v>0.96212121212121215</v>
      </c>
      <c r="BT158" s="74">
        <v>0</v>
      </c>
      <c r="BU158" s="75">
        <v>156</v>
      </c>
    </row>
    <row r="159" spans="1:73">
      <c r="A159" s="101" t="s">
        <v>1200</v>
      </c>
      <c r="B159" s="71" t="s">
        <v>172</v>
      </c>
      <c r="C159" s="71" t="s">
        <v>237</v>
      </c>
      <c r="D159" s="130">
        <v>0.23076923076923078</v>
      </c>
      <c r="E159" s="72">
        <v>0.2857142857142857</v>
      </c>
      <c r="F159" s="72">
        <v>0.30769230769230771</v>
      </c>
      <c r="G159" s="77">
        <v>3</v>
      </c>
      <c r="H159" s="28">
        <v>13</v>
      </c>
      <c r="I159" s="28">
        <v>1</v>
      </c>
      <c r="J159" s="28">
        <v>3</v>
      </c>
      <c r="K159" s="28">
        <v>1</v>
      </c>
      <c r="L159" s="28">
        <v>0</v>
      </c>
      <c r="M159" s="28">
        <v>0</v>
      </c>
      <c r="N159" s="28">
        <v>1</v>
      </c>
      <c r="O159" s="28">
        <v>1</v>
      </c>
      <c r="P159" s="74">
        <v>2</v>
      </c>
      <c r="Q159" s="77">
        <v>0</v>
      </c>
      <c r="R159" s="28">
        <v>2</v>
      </c>
      <c r="S159" s="74">
        <v>2</v>
      </c>
      <c r="T159" s="77">
        <v>4</v>
      </c>
      <c r="U159" s="72">
        <v>0.59340659340659341</v>
      </c>
      <c r="V159" s="74">
        <v>0</v>
      </c>
      <c r="W159" s="75">
        <v>157</v>
      </c>
      <c r="Z159" s="101" t="s">
        <v>1171</v>
      </c>
      <c r="AA159" s="71" t="s">
        <v>172</v>
      </c>
      <c r="AB159" s="77" t="s">
        <v>872</v>
      </c>
      <c r="AC159" s="130">
        <v>0.19148936170212766</v>
      </c>
      <c r="AD159" s="72">
        <v>0.28301886792452829</v>
      </c>
      <c r="AE159" s="73">
        <v>0.21276595744680851</v>
      </c>
      <c r="AF159" s="77">
        <v>12</v>
      </c>
      <c r="AG159" s="28">
        <v>47</v>
      </c>
      <c r="AH159" s="28">
        <v>6</v>
      </c>
      <c r="AI159" s="28">
        <v>9</v>
      </c>
      <c r="AJ159" s="28">
        <v>1</v>
      </c>
      <c r="AK159" s="28">
        <v>0</v>
      </c>
      <c r="AL159" s="28">
        <v>0</v>
      </c>
      <c r="AM159" s="28">
        <v>1</v>
      </c>
      <c r="AN159" s="28">
        <v>6</v>
      </c>
      <c r="AO159" s="74">
        <v>11</v>
      </c>
      <c r="AP159" s="77">
        <v>6</v>
      </c>
      <c r="AQ159" s="28">
        <v>2</v>
      </c>
      <c r="AR159" s="74">
        <v>2</v>
      </c>
      <c r="AS159" s="77">
        <v>10</v>
      </c>
      <c r="AT159" s="72">
        <v>0.49578482537133683</v>
      </c>
      <c r="AU159" s="74">
        <v>0</v>
      </c>
      <c r="AV159" s="75">
        <v>157</v>
      </c>
      <c r="AY159" s="101" t="s">
        <v>1200</v>
      </c>
      <c r="AZ159" s="71" t="s">
        <v>172</v>
      </c>
      <c r="BA159" s="77" t="s">
        <v>2185</v>
      </c>
      <c r="BB159" s="130">
        <v>9.0909090909090912E-2</v>
      </c>
      <c r="BC159" s="72">
        <v>0.16666666666666666</v>
      </c>
      <c r="BD159" s="73">
        <v>9.0909090909090912E-2</v>
      </c>
      <c r="BE159" s="77">
        <v>3</v>
      </c>
      <c r="BF159" s="28">
        <v>11</v>
      </c>
      <c r="BG159" s="28">
        <v>1</v>
      </c>
      <c r="BH159" s="28">
        <v>1</v>
      </c>
      <c r="BI159" s="28">
        <v>0</v>
      </c>
      <c r="BJ159" s="28">
        <v>0</v>
      </c>
      <c r="BK159" s="28">
        <v>0</v>
      </c>
      <c r="BL159" s="28">
        <v>1</v>
      </c>
      <c r="BM159" s="28">
        <v>1</v>
      </c>
      <c r="BN159" s="74">
        <v>4</v>
      </c>
      <c r="BO159" s="77">
        <v>0</v>
      </c>
      <c r="BP159" s="28">
        <v>1</v>
      </c>
      <c r="BQ159" s="74">
        <v>1</v>
      </c>
      <c r="BR159" s="77">
        <v>1</v>
      </c>
      <c r="BS159" s="72">
        <v>0.25757575757575757</v>
      </c>
      <c r="BT159" s="74">
        <v>0</v>
      </c>
      <c r="BU159" s="75">
        <v>157</v>
      </c>
    </row>
    <row r="160" spans="1:73">
      <c r="A160" s="101" t="s">
        <v>1200</v>
      </c>
      <c r="B160" s="71" t="s">
        <v>153</v>
      </c>
      <c r="C160" s="71" t="s">
        <v>1205</v>
      </c>
      <c r="D160" s="130">
        <v>0.30769230769230771</v>
      </c>
      <c r="E160" s="72">
        <v>0.30769230769230771</v>
      </c>
      <c r="F160" s="72">
        <v>0.76923076923076927</v>
      </c>
      <c r="G160" s="77">
        <v>3</v>
      </c>
      <c r="H160" s="28">
        <v>13</v>
      </c>
      <c r="I160" s="28">
        <v>3</v>
      </c>
      <c r="J160" s="28">
        <v>4</v>
      </c>
      <c r="K160" s="28">
        <v>1</v>
      </c>
      <c r="L160" s="28">
        <v>1</v>
      </c>
      <c r="M160" s="28">
        <v>1</v>
      </c>
      <c r="N160" s="28">
        <v>3</v>
      </c>
      <c r="O160" s="28">
        <v>0</v>
      </c>
      <c r="P160" s="74">
        <v>1</v>
      </c>
      <c r="Q160" s="77">
        <v>0</v>
      </c>
      <c r="R160" s="28">
        <v>2</v>
      </c>
      <c r="S160" s="74">
        <v>2</v>
      </c>
      <c r="T160" s="77">
        <v>10</v>
      </c>
      <c r="U160" s="72">
        <v>1.0769230769230771</v>
      </c>
      <c r="V160" s="74">
        <v>0</v>
      </c>
      <c r="W160" s="75">
        <v>158</v>
      </c>
      <c r="Z160" s="101" t="s">
        <v>1171</v>
      </c>
      <c r="AA160" s="71" t="s">
        <v>153</v>
      </c>
      <c r="AB160" s="77" t="s">
        <v>1174</v>
      </c>
      <c r="AC160" s="130">
        <v>0.24444444444444444</v>
      </c>
      <c r="AD160" s="72">
        <v>0.34615384615384615</v>
      </c>
      <c r="AE160" s="73">
        <v>0.28888888888888886</v>
      </c>
      <c r="AF160" s="77">
        <v>12</v>
      </c>
      <c r="AG160" s="28">
        <v>45</v>
      </c>
      <c r="AH160" s="28">
        <v>4</v>
      </c>
      <c r="AI160" s="28">
        <v>11</v>
      </c>
      <c r="AJ160" s="28">
        <v>2</v>
      </c>
      <c r="AK160" s="28">
        <v>0</v>
      </c>
      <c r="AL160" s="28">
        <v>0</v>
      </c>
      <c r="AM160" s="28">
        <v>3</v>
      </c>
      <c r="AN160" s="28">
        <v>7</v>
      </c>
      <c r="AO160" s="74">
        <v>15</v>
      </c>
      <c r="AP160" s="77">
        <v>0</v>
      </c>
      <c r="AQ160" s="28">
        <v>2</v>
      </c>
      <c r="AR160" s="74">
        <v>2</v>
      </c>
      <c r="AS160" s="77">
        <v>13</v>
      </c>
      <c r="AT160" s="72">
        <v>0.63504273504273501</v>
      </c>
      <c r="AU160" s="74">
        <v>0</v>
      </c>
      <c r="AV160" s="75">
        <v>158</v>
      </c>
      <c r="AY160" s="101" t="s">
        <v>1200</v>
      </c>
      <c r="AZ160" s="71" t="s">
        <v>153</v>
      </c>
      <c r="BA160" s="77" t="s">
        <v>1205</v>
      </c>
      <c r="BB160" s="130">
        <v>0.35714285714285715</v>
      </c>
      <c r="BC160" s="72">
        <v>0.35714285714285715</v>
      </c>
      <c r="BD160" s="73">
        <v>0.7142857142857143</v>
      </c>
      <c r="BE160" s="77">
        <v>3</v>
      </c>
      <c r="BF160" s="28">
        <v>14</v>
      </c>
      <c r="BG160" s="28">
        <v>1</v>
      </c>
      <c r="BH160" s="28">
        <v>5</v>
      </c>
      <c r="BI160" s="28">
        <v>0</v>
      </c>
      <c r="BJ160" s="28">
        <v>1</v>
      </c>
      <c r="BK160" s="28">
        <v>1</v>
      </c>
      <c r="BL160" s="28">
        <v>1</v>
      </c>
      <c r="BM160" s="28">
        <v>0</v>
      </c>
      <c r="BN160" s="74">
        <v>2</v>
      </c>
      <c r="BO160" s="77">
        <v>0</v>
      </c>
      <c r="BP160" s="28">
        <v>3</v>
      </c>
      <c r="BQ160" s="74">
        <v>3</v>
      </c>
      <c r="BR160" s="77">
        <v>10</v>
      </c>
      <c r="BS160" s="72">
        <v>1.0714285714285714</v>
      </c>
      <c r="BT160" s="74">
        <v>0</v>
      </c>
      <c r="BU160" s="75">
        <v>158</v>
      </c>
    </row>
    <row r="161" spans="1:73">
      <c r="A161" s="101" t="s">
        <v>1200</v>
      </c>
      <c r="B161" s="71" t="s">
        <v>177</v>
      </c>
      <c r="C161" s="71" t="s">
        <v>1206</v>
      </c>
      <c r="D161" s="130">
        <v>8.3333333333333329E-2</v>
      </c>
      <c r="E161" s="72">
        <v>0.15384615384615385</v>
      </c>
      <c r="F161" s="72">
        <v>8.3333333333333329E-2</v>
      </c>
      <c r="G161" s="77">
        <v>3</v>
      </c>
      <c r="H161" s="28">
        <v>12</v>
      </c>
      <c r="I161" s="28">
        <v>0</v>
      </c>
      <c r="J161" s="28">
        <v>1</v>
      </c>
      <c r="K161" s="28">
        <v>0</v>
      </c>
      <c r="L161" s="28">
        <v>0</v>
      </c>
      <c r="M161" s="28">
        <v>0</v>
      </c>
      <c r="N161" s="28">
        <v>2</v>
      </c>
      <c r="O161" s="28">
        <v>1</v>
      </c>
      <c r="P161" s="74">
        <v>5</v>
      </c>
      <c r="Q161" s="77">
        <v>0</v>
      </c>
      <c r="R161" s="28">
        <v>1</v>
      </c>
      <c r="S161" s="74">
        <v>1</v>
      </c>
      <c r="T161" s="77">
        <v>1</v>
      </c>
      <c r="U161" s="72">
        <v>0.23717948717948717</v>
      </c>
      <c r="V161" s="74">
        <v>0</v>
      </c>
      <c r="W161" s="75">
        <v>159</v>
      </c>
      <c r="Z161" s="101" t="s">
        <v>1171</v>
      </c>
      <c r="AA161" s="345" t="s">
        <v>177</v>
      </c>
      <c r="AB161" s="77" t="s">
        <v>838</v>
      </c>
      <c r="AC161" s="130">
        <v>0.25</v>
      </c>
      <c r="AD161" s="72">
        <v>0.26415094339622641</v>
      </c>
      <c r="AE161" s="73">
        <v>0.51923076923076927</v>
      </c>
      <c r="AF161" s="77">
        <v>12</v>
      </c>
      <c r="AG161" s="28">
        <v>52</v>
      </c>
      <c r="AH161" s="28">
        <v>6</v>
      </c>
      <c r="AI161" s="28">
        <v>13</v>
      </c>
      <c r="AJ161" s="28">
        <v>2</v>
      </c>
      <c r="AK161" s="28">
        <v>0</v>
      </c>
      <c r="AL161" s="28">
        <v>4</v>
      </c>
      <c r="AM161" s="28">
        <v>10</v>
      </c>
      <c r="AN161" s="28">
        <v>1</v>
      </c>
      <c r="AO161" s="74">
        <v>12</v>
      </c>
      <c r="AP161" s="77">
        <v>0</v>
      </c>
      <c r="AQ161" s="28">
        <v>0</v>
      </c>
      <c r="AR161" s="74">
        <v>3</v>
      </c>
      <c r="AS161" s="77">
        <v>27</v>
      </c>
      <c r="AT161" s="72">
        <v>0.78338171262699574</v>
      </c>
      <c r="AU161" s="74">
        <v>2</v>
      </c>
      <c r="AV161" s="75">
        <v>159</v>
      </c>
      <c r="AY161" s="101" t="s">
        <v>1200</v>
      </c>
      <c r="AZ161" s="71" t="s">
        <v>177</v>
      </c>
      <c r="BA161" s="77" t="s">
        <v>1206</v>
      </c>
      <c r="BB161" s="130">
        <v>0.2</v>
      </c>
      <c r="BC161" s="72">
        <v>0.33333333333333331</v>
      </c>
      <c r="BD161" s="73">
        <v>0.2</v>
      </c>
      <c r="BE161" s="77">
        <v>3</v>
      </c>
      <c r="BF161" s="28">
        <v>10</v>
      </c>
      <c r="BG161" s="28">
        <v>2</v>
      </c>
      <c r="BH161" s="28">
        <v>2</v>
      </c>
      <c r="BI161" s="28">
        <v>0</v>
      </c>
      <c r="BJ161" s="28">
        <v>0</v>
      </c>
      <c r="BK161" s="28">
        <v>0</v>
      </c>
      <c r="BL161" s="28">
        <v>0</v>
      </c>
      <c r="BM161" s="28">
        <v>2</v>
      </c>
      <c r="BN161" s="74">
        <v>1</v>
      </c>
      <c r="BO161" s="77">
        <v>0</v>
      </c>
      <c r="BP161" s="28">
        <v>0</v>
      </c>
      <c r="BQ161" s="74">
        <v>2</v>
      </c>
      <c r="BR161" s="77">
        <v>2</v>
      </c>
      <c r="BS161" s="72">
        <v>0.53333333333333333</v>
      </c>
      <c r="BT161" s="74">
        <v>0</v>
      </c>
      <c r="BU161" s="75">
        <v>159</v>
      </c>
    </row>
    <row r="162" spans="1:73">
      <c r="A162" s="101" t="s">
        <v>1200</v>
      </c>
      <c r="B162" s="71" t="s">
        <v>174</v>
      </c>
      <c r="C162" s="71" t="s">
        <v>1203</v>
      </c>
      <c r="D162" s="130">
        <v>0.2</v>
      </c>
      <c r="E162" s="72">
        <v>0.2</v>
      </c>
      <c r="F162" s="72">
        <v>0.26666666666666666</v>
      </c>
      <c r="G162" s="77">
        <v>3</v>
      </c>
      <c r="H162" s="28">
        <v>15</v>
      </c>
      <c r="I162" s="28">
        <v>3</v>
      </c>
      <c r="J162" s="28">
        <v>3</v>
      </c>
      <c r="K162" s="28">
        <v>1</v>
      </c>
      <c r="L162" s="28">
        <v>0</v>
      </c>
      <c r="M162" s="28">
        <v>0</v>
      </c>
      <c r="N162" s="28">
        <v>0</v>
      </c>
      <c r="O162" s="28">
        <v>0</v>
      </c>
      <c r="P162" s="74">
        <v>6</v>
      </c>
      <c r="Q162" s="77">
        <v>0</v>
      </c>
      <c r="R162" s="28">
        <v>3</v>
      </c>
      <c r="S162" s="74">
        <v>3</v>
      </c>
      <c r="T162" s="77">
        <v>4</v>
      </c>
      <c r="U162" s="72">
        <v>0.46666666666666667</v>
      </c>
      <c r="V162" s="74">
        <v>0</v>
      </c>
      <c r="W162" s="75">
        <v>160</v>
      </c>
      <c r="Z162" s="101" t="s">
        <v>1171</v>
      </c>
      <c r="AA162" s="71" t="s">
        <v>174</v>
      </c>
      <c r="AB162" s="77" t="s">
        <v>1175</v>
      </c>
      <c r="AC162" s="130">
        <v>0.18421052631578946</v>
      </c>
      <c r="AD162" s="72">
        <v>0.31111111111111112</v>
      </c>
      <c r="AE162" s="73">
        <v>0.5</v>
      </c>
      <c r="AF162" s="77">
        <v>12</v>
      </c>
      <c r="AG162" s="28">
        <v>38</v>
      </c>
      <c r="AH162" s="28">
        <v>5</v>
      </c>
      <c r="AI162" s="28">
        <v>7</v>
      </c>
      <c r="AJ162" s="28">
        <v>1</v>
      </c>
      <c r="AK162" s="28">
        <v>1</v>
      </c>
      <c r="AL162" s="28">
        <v>3</v>
      </c>
      <c r="AM162" s="28">
        <v>7</v>
      </c>
      <c r="AN162" s="28">
        <v>7</v>
      </c>
      <c r="AO162" s="74">
        <v>16</v>
      </c>
      <c r="AP162" s="77">
        <v>0</v>
      </c>
      <c r="AQ162" s="28">
        <v>2</v>
      </c>
      <c r="AR162" s="74">
        <v>3</v>
      </c>
      <c r="AS162" s="77">
        <v>19</v>
      </c>
      <c r="AT162" s="72">
        <v>0.81111111111111112</v>
      </c>
      <c r="AU162" s="74">
        <v>1</v>
      </c>
      <c r="AV162" s="75">
        <v>160</v>
      </c>
      <c r="AY162" s="101" t="s">
        <v>1200</v>
      </c>
      <c r="AZ162" s="71" t="s">
        <v>174</v>
      </c>
      <c r="BA162" s="77" t="s">
        <v>1209</v>
      </c>
      <c r="BB162" s="130">
        <v>0.36363636363636365</v>
      </c>
      <c r="BC162" s="72">
        <v>0.41666666666666669</v>
      </c>
      <c r="BD162" s="73">
        <v>0.90909090909090906</v>
      </c>
      <c r="BE162" s="77">
        <v>3</v>
      </c>
      <c r="BF162" s="28">
        <v>11</v>
      </c>
      <c r="BG162" s="28">
        <v>2</v>
      </c>
      <c r="BH162" s="28">
        <v>4</v>
      </c>
      <c r="BI162" s="28">
        <v>0</v>
      </c>
      <c r="BJ162" s="28">
        <v>0</v>
      </c>
      <c r="BK162" s="28">
        <v>2</v>
      </c>
      <c r="BL162" s="28">
        <v>4</v>
      </c>
      <c r="BM162" s="28">
        <v>1</v>
      </c>
      <c r="BN162" s="74">
        <v>5</v>
      </c>
      <c r="BO162" s="77">
        <v>0</v>
      </c>
      <c r="BP162" s="28">
        <v>3</v>
      </c>
      <c r="BQ162" s="74">
        <v>3</v>
      </c>
      <c r="BR162" s="77">
        <v>10</v>
      </c>
      <c r="BS162" s="72">
        <v>1.3257575757575757</v>
      </c>
      <c r="BT162" s="74">
        <v>1</v>
      </c>
      <c r="BU162" s="75">
        <v>160</v>
      </c>
    </row>
    <row r="163" spans="1:73">
      <c r="A163" s="101" t="s">
        <v>1200</v>
      </c>
      <c r="B163" s="71" t="s">
        <v>383</v>
      </c>
      <c r="C163" s="71" t="s">
        <v>1201</v>
      </c>
      <c r="D163" s="130">
        <v>0.33333333333333331</v>
      </c>
      <c r="E163" s="72">
        <v>0.33333333333333331</v>
      </c>
      <c r="F163" s="72">
        <v>0.4</v>
      </c>
      <c r="G163" s="77">
        <v>3</v>
      </c>
      <c r="H163" s="28">
        <v>15</v>
      </c>
      <c r="I163" s="28">
        <v>0</v>
      </c>
      <c r="J163" s="28">
        <v>5</v>
      </c>
      <c r="K163" s="28">
        <v>1</v>
      </c>
      <c r="L163" s="28">
        <v>0</v>
      </c>
      <c r="M163" s="28">
        <v>0</v>
      </c>
      <c r="N163" s="28">
        <v>0</v>
      </c>
      <c r="O163" s="28">
        <v>0</v>
      </c>
      <c r="P163" s="74">
        <v>3</v>
      </c>
      <c r="Q163" s="77">
        <v>1</v>
      </c>
      <c r="R163" s="28">
        <v>3</v>
      </c>
      <c r="S163" s="74">
        <v>3</v>
      </c>
      <c r="T163" s="77">
        <v>6</v>
      </c>
      <c r="U163" s="72">
        <v>0.73333333333333339</v>
      </c>
      <c r="V163" s="74">
        <v>0</v>
      </c>
      <c r="W163" s="75">
        <v>161</v>
      </c>
      <c r="Z163" s="101" t="s">
        <v>1171</v>
      </c>
      <c r="AA163" s="71" t="s">
        <v>181</v>
      </c>
      <c r="AB163" s="77" t="s">
        <v>998</v>
      </c>
      <c r="AC163" s="130">
        <v>0.13157894736842105</v>
      </c>
      <c r="AD163" s="72">
        <v>0.25</v>
      </c>
      <c r="AE163" s="73">
        <v>0.36842105263157893</v>
      </c>
      <c r="AF163" s="77">
        <v>12</v>
      </c>
      <c r="AG163" s="28">
        <v>38</v>
      </c>
      <c r="AH163" s="28">
        <v>5</v>
      </c>
      <c r="AI163" s="28">
        <v>5</v>
      </c>
      <c r="AJ163" s="28">
        <v>0</v>
      </c>
      <c r="AK163" s="28">
        <v>0</v>
      </c>
      <c r="AL163" s="28">
        <v>3</v>
      </c>
      <c r="AM163" s="28">
        <v>3</v>
      </c>
      <c r="AN163" s="28">
        <v>6</v>
      </c>
      <c r="AO163" s="74">
        <v>15</v>
      </c>
      <c r="AP163" s="77">
        <v>0</v>
      </c>
      <c r="AQ163" s="28">
        <v>0</v>
      </c>
      <c r="AR163" s="74">
        <v>2</v>
      </c>
      <c r="AS163" s="77">
        <v>14</v>
      </c>
      <c r="AT163" s="72">
        <v>0.61842105263157898</v>
      </c>
      <c r="AU163" s="74">
        <v>1</v>
      </c>
      <c r="AV163" s="75">
        <v>161</v>
      </c>
      <c r="AY163" s="101" t="s">
        <v>1200</v>
      </c>
      <c r="AZ163" s="71" t="s">
        <v>181</v>
      </c>
      <c r="BA163" s="77" t="s">
        <v>1204</v>
      </c>
      <c r="BB163" s="130">
        <v>0.1111111111111111</v>
      </c>
      <c r="BC163" s="72">
        <v>0.27272727272727271</v>
      </c>
      <c r="BD163" s="73">
        <v>0.1111111111111111</v>
      </c>
      <c r="BE163" s="77">
        <v>3</v>
      </c>
      <c r="BF163" s="28">
        <v>9</v>
      </c>
      <c r="BG163" s="28">
        <v>0</v>
      </c>
      <c r="BH163" s="28">
        <v>1</v>
      </c>
      <c r="BI163" s="28">
        <v>0</v>
      </c>
      <c r="BJ163" s="28">
        <v>0</v>
      </c>
      <c r="BK163" s="28">
        <v>0</v>
      </c>
      <c r="BL163" s="28">
        <v>2</v>
      </c>
      <c r="BM163" s="28">
        <v>2</v>
      </c>
      <c r="BN163" s="74">
        <v>3</v>
      </c>
      <c r="BO163" s="77">
        <v>0</v>
      </c>
      <c r="BP163" s="28">
        <v>0</v>
      </c>
      <c r="BQ163" s="74">
        <v>1</v>
      </c>
      <c r="BR163" s="77">
        <v>1</v>
      </c>
      <c r="BS163" s="72">
        <v>0.38383838383838381</v>
      </c>
      <c r="BT163" s="74">
        <v>0</v>
      </c>
      <c r="BU163" s="75">
        <v>161</v>
      </c>
    </row>
    <row r="164" spans="1:73">
      <c r="A164" s="101" t="s">
        <v>1200</v>
      </c>
      <c r="B164" s="71" t="s">
        <v>166</v>
      </c>
      <c r="C164" s="71" t="s">
        <v>2185</v>
      </c>
      <c r="D164" s="130">
        <v>0.53846153846153844</v>
      </c>
      <c r="E164" s="72">
        <v>0.6</v>
      </c>
      <c r="F164" s="72">
        <v>0.76923076923076927</v>
      </c>
      <c r="G164" s="77">
        <v>3</v>
      </c>
      <c r="H164" s="28">
        <v>13</v>
      </c>
      <c r="I164" s="28">
        <v>3</v>
      </c>
      <c r="J164" s="28">
        <v>7</v>
      </c>
      <c r="K164" s="28">
        <v>3</v>
      </c>
      <c r="L164" s="28">
        <v>0</v>
      </c>
      <c r="M164" s="28">
        <v>0</v>
      </c>
      <c r="N164" s="28">
        <v>2</v>
      </c>
      <c r="O164" s="28">
        <v>2</v>
      </c>
      <c r="P164" s="74">
        <v>4</v>
      </c>
      <c r="Q164" s="77">
        <v>2</v>
      </c>
      <c r="R164" s="28">
        <v>2</v>
      </c>
      <c r="S164" s="74">
        <v>2</v>
      </c>
      <c r="T164" s="77">
        <v>10</v>
      </c>
      <c r="U164" s="72">
        <v>1.3692307692307693</v>
      </c>
      <c r="V164" s="74">
        <v>1</v>
      </c>
      <c r="W164" s="75">
        <v>162</v>
      </c>
      <c r="Z164" s="101" t="s">
        <v>1171</v>
      </c>
      <c r="AA164" s="71" t="s">
        <v>166</v>
      </c>
      <c r="AB164" s="77" t="s">
        <v>1172</v>
      </c>
      <c r="AC164" s="130">
        <v>0.20408163265306123</v>
      </c>
      <c r="AD164" s="72">
        <v>0.26415094339622641</v>
      </c>
      <c r="AE164" s="73">
        <v>0.32653061224489793</v>
      </c>
      <c r="AF164" s="77">
        <v>12</v>
      </c>
      <c r="AG164" s="28">
        <v>49</v>
      </c>
      <c r="AH164" s="28">
        <v>7</v>
      </c>
      <c r="AI164" s="28">
        <v>10</v>
      </c>
      <c r="AJ164" s="28">
        <v>3</v>
      </c>
      <c r="AK164" s="28">
        <v>0</v>
      </c>
      <c r="AL164" s="28">
        <v>1</v>
      </c>
      <c r="AM164" s="28">
        <v>1</v>
      </c>
      <c r="AN164" s="28">
        <v>4</v>
      </c>
      <c r="AO164" s="74">
        <v>13</v>
      </c>
      <c r="AP164" s="77">
        <v>1</v>
      </c>
      <c r="AQ164" s="28">
        <v>0</v>
      </c>
      <c r="AR164" s="74">
        <v>3</v>
      </c>
      <c r="AS164" s="77">
        <v>16</v>
      </c>
      <c r="AT164" s="72">
        <v>0.59068155564112435</v>
      </c>
      <c r="AU164" s="74">
        <v>0</v>
      </c>
      <c r="AV164" s="75">
        <v>162</v>
      </c>
      <c r="AY164" s="101" t="s">
        <v>1200</v>
      </c>
      <c r="AZ164" s="71" t="s">
        <v>166</v>
      </c>
      <c r="BA164" s="77" t="s">
        <v>1203</v>
      </c>
      <c r="BB164" s="130">
        <v>0.36363636363636365</v>
      </c>
      <c r="BC164" s="72">
        <v>0.36363636363636365</v>
      </c>
      <c r="BD164" s="73">
        <v>0.72727272727272729</v>
      </c>
      <c r="BE164" s="77">
        <v>3</v>
      </c>
      <c r="BF164" s="28">
        <v>11</v>
      </c>
      <c r="BG164" s="28">
        <v>3</v>
      </c>
      <c r="BH164" s="28">
        <v>4</v>
      </c>
      <c r="BI164" s="28">
        <v>1</v>
      </c>
      <c r="BJ164" s="28">
        <v>0</v>
      </c>
      <c r="BK164" s="28">
        <v>1</v>
      </c>
      <c r="BL164" s="28">
        <v>2</v>
      </c>
      <c r="BM164" s="28">
        <v>0</v>
      </c>
      <c r="BN164" s="74">
        <v>2</v>
      </c>
      <c r="BO164" s="77">
        <v>0</v>
      </c>
      <c r="BP164" s="28">
        <v>3</v>
      </c>
      <c r="BQ164" s="74">
        <v>3</v>
      </c>
      <c r="BR164" s="77">
        <v>8</v>
      </c>
      <c r="BS164" s="72">
        <v>1.0909090909090908</v>
      </c>
      <c r="BT164" s="74">
        <v>0</v>
      </c>
      <c r="BU164" s="75">
        <v>162</v>
      </c>
    </row>
    <row r="165" spans="1:73">
      <c r="A165" s="101" t="s">
        <v>1200</v>
      </c>
      <c r="B165" s="71" t="s">
        <v>168</v>
      </c>
      <c r="C165" s="71" t="s">
        <v>1212</v>
      </c>
      <c r="D165" s="130">
        <v>0.25</v>
      </c>
      <c r="E165" s="72">
        <v>0.30769230769230771</v>
      </c>
      <c r="F165" s="72">
        <v>0.33333333333333331</v>
      </c>
      <c r="G165" s="77">
        <v>3</v>
      </c>
      <c r="H165" s="28">
        <v>12</v>
      </c>
      <c r="I165" s="28">
        <v>1</v>
      </c>
      <c r="J165" s="28">
        <v>3</v>
      </c>
      <c r="K165" s="28">
        <v>1</v>
      </c>
      <c r="L165" s="28">
        <v>0</v>
      </c>
      <c r="M165" s="28">
        <v>0</v>
      </c>
      <c r="N165" s="28">
        <v>1</v>
      </c>
      <c r="O165" s="28">
        <v>1</v>
      </c>
      <c r="P165" s="74">
        <v>6</v>
      </c>
      <c r="Q165" s="77">
        <v>0</v>
      </c>
      <c r="R165" s="28">
        <v>2</v>
      </c>
      <c r="S165" s="74">
        <v>2</v>
      </c>
      <c r="T165" s="77">
        <v>4</v>
      </c>
      <c r="U165" s="72">
        <v>0.64102564102564097</v>
      </c>
      <c r="V165" s="74">
        <v>0</v>
      </c>
      <c r="W165" s="75">
        <v>163</v>
      </c>
      <c r="Z165" s="101" t="s">
        <v>1171</v>
      </c>
      <c r="AA165" s="71" t="s">
        <v>168</v>
      </c>
      <c r="AB165" s="77" t="s">
        <v>1176</v>
      </c>
      <c r="AC165" s="130">
        <v>0.28260869565217389</v>
      </c>
      <c r="AD165" s="72">
        <v>0.3125</v>
      </c>
      <c r="AE165" s="73">
        <v>0.47826086956521741</v>
      </c>
      <c r="AF165" s="77">
        <v>12</v>
      </c>
      <c r="AG165" s="28">
        <v>46</v>
      </c>
      <c r="AH165" s="28">
        <v>5</v>
      </c>
      <c r="AI165" s="28">
        <v>13</v>
      </c>
      <c r="AJ165" s="28">
        <v>0</v>
      </c>
      <c r="AK165" s="28">
        <v>0</v>
      </c>
      <c r="AL165" s="28">
        <v>3</v>
      </c>
      <c r="AM165" s="28">
        <v>8</v>
      </c>
      <c r="AN165" s="28">
        <v>2</v>
      </c>
      <c r="AO165" s="74">
        <v>10</v>
      </c>
      <c r="AP165" s="77">
        <v>0</v>
      </c>
      <c r="AQ165" s="28">
        <v>0</v>
      </c>
      <c r="AR165" s="74">
        <v>7</v>
      </c>
      <c r="AS165" s="77">
        <v>22</v>
      </c>
      <c r="AT165" s="72">
        <v>0.79076086956521741</v>
      </c>
      <c r="AU165" s="74">
        <v>2</v>
      </c>
      <c r="AV165" s="75">
        <v>163</v>
      </c>
      <c r="AY165" s="101" t="s">
        <v>1200</v>
      </c>
      <c r="AZ165" s="71" t="s">
        <v>168</v>
      </c>
      <c r="BA165" s="77" t="s">
        <v>1207</v>
      </c>
      <c r="BB165" s="130">
        <v>8.3333333333333329E-2</v>
      </c>
      <c r="BC165" s="72">
        <v>8.3333333333333329E-2</v>
      </c>
      <c r="BD165" s="73">
        <v>8.3333333333333329E-2</v>
      </c>
      <c r="BE165" s="77">
        <v>3</v>
      </c>
      <c r="BF165" s="28">
        <v>12</v>
      </c>
      <c r="BG165" s="28">
        <v>1</v>
      </c>
      <c r="BH165" s="28">
        <v>1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  <c r="BN165" s="74">
        <v>2</v>
      </c>
      <c r="BO165" s="77">
        <v>0</v>
      </c>
      <c r="BP165" s="28">
        <v>0</v>
      </c>
      <c r="BQ165" s="74">
        <v>1</v>
      </c>
      <c r="BR165" s="77">
        <v>1</v>
      </c>
      <c r="BS165" s="72">
        <v>0.16666666666666666</v>
      </c>
      <c r="BT165" s="74">
        <v>0</v>
      </c>
      <c r="BU165" s="75">
        <v>163</v>
      </c>
    </row>
    <row r="166" spans="1:73">
      <c r="A166" s="101" t="s">
        <v>1200</v>
      </c>
      <c r="B166" s="71" t="s">
        <v>179</v>
      </c>
      <c r="C166" s="71" t="s">
        <v>1208</v>
      </c>
      <c r="D166" s="130">
        <v>0</v>
      </c>
      <c r="E166" s="72">
        <v>0</v>
      </c>
      <c r="F166" s="72">
        <v>0</v>
      </c>
      <c r="G166" s="77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74">
        <v>0</v>
      </c>
      <c r="Q166" s="77">
        <v>0</v>
      </c>
      <c r="R166" s="28">
        <v>0</v>
      </c>
      <c r="S166" s="74">
        <v>0</v>
      </c>
      <c r="T166" s="77">
        <v>0</v>
      </c>
      <c r="U166" s="72">
        <v>0</v>
      </c>
      <c r="V166" s="74">
        <v>0</v>
      </c>
      <c r="W166" s="75">
        <v>164</v>
      </c>
      <c r="Z166" s="101" t="s">
        <v>1171</v>
      </c>
      <c r="AA166" s="71" t="s">
        <v>179</v>
      </c>
      <c r="AB166" s="77" t="s">
        <v>1181</v>
      </c>
      <c r="AC166" s="130">
        <v>0</v>
      </c>
      <c r="AD166" s="72">
        <v>0</v>
      </c>
      <c r="AE166" s="73">
        <v>0</v>
      </c>
      <c r="AF166" s="77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74">
        <v>0</v>
      </c>
      <c r="AP166" s="77">
        <v>0</v>
      </c>
      <c r="AQ166" s="28">
        <v>0</v>
      </c>
      <c r="AR166" s="74">
        <v>0</v>
      </c>
      <c r="AS166" s="77">
        <v>0</v>
      </c>
      <c r="AT166" s="72">
        <v>0</v>
      </c>
      <c r="AU166" s="74">
        <v>0</v>
      </c>
      <c r="AV166" s="75">
        <v>164</v>
      </c>
      <c r="AY166" s="101" t="s">
        <v>1200</v>
      </c>
      <c r="AZ166" s="71" t="s">
        <v>308</v>
      </c>
      <c r="BA166" s="77" t="s">
        <v>1210</v>
      </c>
      <c r="BB166" s="130">
        <v>0</v>
      </c>
      <c r="BC166" s="72">
        <v>0</v>
      </c>
      <c r="BD166" s="73">
        <v>0</v>
      </c>
      <c r="BE166" s="77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  <c r="BK166" s="28">
        <v>0</v>
      </c>
      <c r="BL166" s="28">
        <v>0</v>
      </c>
      <c r="BM166" s="28">
        <v>0</v>
      </c>
      <c r="BN166" s="74">
        <v>0</v>
      </c>
      <c r="BO166" s="77">
        <v>0</v>
      </c>
      <c r="BP166" s="28">
        <v>0</v>
      </c>
      <c r="BQ166" s="74">
        <v>0</v>
      </c>
      <c r="BR166" s="77">
        <v>0</v>
      </c>
      <c r="BS166" s="72">
        <v>0</v>
      </c>
      <c r="BT166" s="74">
        <v>0</v>
      </c>
      <c r="BU166" s="75">
        <v>164</v>
      </c>
    </row>
    <row r="167" spans="1:73">
      <c r="A167" s="101" t="s">
        <v>1200</v>
      </c>
      <c r="B167" s="71" t="s">
        <v>187</v>
      </c>
      <c r="C167" s="71" t="s">
        <v>1213</v>
      </c>
      <c r="D167" s="130">
        <v>0</v>
      </c>
      <c r="E167" s="72">
        <v>0</v>
      </c>
      <c r="F167" s="72">
        <v>0</v>
      </c>
      <c r="G167" s="77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74">
        <v>0</v>
      </c>
      <c r="Q167" s="77">
        <v>0</v>
      </c>
      <c r="R167" s="28">
        <v>0</v>
      </c>
      <c r="S167" s="74">
        <v>0</v>
      </c>
      <c r="T167" s="77">
        <v>0</v>
      </c>
      <c r="U167" s="72">
        <v>0</v>
      </c>
      <c r="V167" s="74">
        <v>0</v>
      </c>
      <c r="W167" s="75">
        <v>165</v>
      </c>
      <c r="Z167" s="101" t="s">
        <v>1171</v>
      </c>
      <c r="AA167" s="71" t="s">
        <v>187</v>
      </c>
      <c r="AB167" s="77" t="s">
        <v>1178</v>
      </c>
      <c r="AC167" s="130">
        <v>0</v>
      </c>
      <c r="AD167" s="72">
        <v>0</v>
      </c>
      <c r="AE167" s="73">
        <v>0</v>
      </c>
      <c r="AF167" s="77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74">
        <v>0</v>
      </c>
      <c r="AP167" s="77">
        <v>0</v>
      </c>
      <c r="AQ167" s="28">
        <v>0</v>
      </c>
      <c r="AR167" s="74">
        <v>0</v>
      </c>
      <c r="AS167" s="77">
        <v>0</v>
      </c>
      <c r="AT167" s="72">
        <v>0</v>
      </c>
      <c r="AU167" s="74">
        <v>0</v>
      </c>
      <c r="AV167" s="75">
        <v>165</v>
      </c>
      <c r="AY167" s="101" t="s">
        <v>1200</v>
      </c>
      <c r="AZ167" s="71" t="s">
        <v>187</v>
      </c>
      <c r="BA167" s="77" t="s">
        <v>1212</v>
      </c>
      <c r="BB167" s="130">
        <v>0</v>
      </c>
      <c r="BC167" s="72">
        <v>0</v>
      </c>
      <c r="BD167" s="73">
        <v>0</v>
      </c>
      <c r="BE167" s="77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74">
        <v>0</v>
      </c>
      <c r="BO167" s="77">
        <v>0</v>
      </c>
      <c r="BP167" s="28">
        <v>0</v>
      </c>
      <c r="BQ167" s="74">
        <v>0</v>
      </c>
      <c r="BR167" s="77">
        <v>0</v>
      </c>
      <c r="BS167" s="72">
        <v>0</v>
      </c>
      <c r="BT167" s="74">
        <v>0</v>
      </c>
      <c r="BU167" s="75">
        <v>165</v>
      </c>
    </row>
    <row r="168" spans="1:73">
      <c r="A168" s="101" t="s">
        <v>1200</v>
      </c>
      <c r="B168" s="71" t="s">
        <v>186</v>
      </c>
      <c r="C168" s="71" t="s">
        <v>1204</v>
      </c>
      <c r="D168" s="130">
        <v>0</v>
      </c>
      <c r="E168" s="72">
        <v>0</v>
      </c>
      <c r="F168" s="72">
        <v>0</v>
      </c>
      <c r="G168" s="77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74">
        <v>0</v>
      </c>
      <c r="Q168" s="77">
        <v>0</v>
      </c>
      <c r="R168" s="28">
        <v>0</v>
      </c>
      <c r="S168" s="74">
        <v>0</v>
      </c>
      <c r="T168" s="77">
        <v>0</v>
      </c>
      <c r="U168" s="72">
        <v>0</v>
      </c>
      <c r="V168" s="74">
        <v>0</v>
      </c>
      <c r="W168" s="75">
        <v>166</v>
      </c>
      <c r="Z168" s="101" t="s">
        <v>1171</v>
      </c>
      <c r="AA168" s="71" t="s">
        <v>187</v>
      </c>
      <c r="AB168" s="77" t="s">
        <v>930</v>
      </c>
      <c r="AC168" s="130">
        <v>0</v>
      </c>
      <c r="AD168" s="72">
        <v>0</v>
      </c>
      <c r="AE168" s="73">
        <v>0</v>
      </c>
      <c r="AF168" s="77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74">
        <v>0</v>
      </c>
      <c r="AP168" s="77">
        <v>0</v>
      </c>
      <c r="AQ168" s="28">
        <v>0</v>
      </c>
      <c r="AR168" s="74">
        <v>0</v>
      </c>
      <c r="AS168" s="77">
        <v>0</v>
      </c>
      <c r="AT168" s="72">
        <v>0</v>
      </c>
      <c r="AU168" s="74">
        <v>0</v>
      </c>
      <c r="AV168" s="75">
        <v>166</v>
      </c>
      <c r="AY168" s="101" t="s">
        <v>1200</v>
      </c>
      <c r="AZ168" s="71" t="s">
        <v>187</v>
      </c>
      <c r="BA168" s="77" t="s">
        <v>1213</v>
      </c>
      <c r="BB168" s="130">
        <v>0</v>
      </c>
      <c r="BC168" s="72">
        <v>0</v>
      </c>
      <c r="BD168" s="73">
        <v>0</v>
      </c>
      <c r="BE168" s="77">
        <v>0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0</v>
      </c>
      <c r="BL168" s="28">
        <v>0</v>
      </c>
      <c r="BM168" s="28">
        <v>0</v>
      </c>
      <c r="BN168" s="74">
        <v>0</v>
      </c>
      <c r="BO168" s="77">
        <v>0</v>
      </c>
      <c r="BP168" s="28">
        <v>0</v>
      </c>
      <c r="BQ168" s="74">
        <v>0</v>
      </c>
      <c r="BR168" s="77">
        <v>0</v>
      </c>
      <c r="BS168" s="72">
        <v>0</v>
      </c>
      <c r="BT168" s="74">
        <v>0</v>
      </c>
      <c r="BU168" s="75">
        <v>166</v>
      </c>
    </row>
    <row r="169" spans="1:73">
      <c r="A169" s="101" t="s">
        <v>1200</v>
      </c>
      <c r="B169" s="71" t="s">
        <v>186</v>
      </c>
      <c r="C169" s="71" t="s">
        <v>1211</v>
      </c>
      <c r="D169" s="130">
        <v>0</v>
      </c>
      <c r="E169" s="72">
        <v>0</v>
      </c>
      <c r="F169" s="72">
        <v>0</v>
      </c>
      <c r="G169" s="77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74">
        <v>0</v>
      </c>
      <c r="Q169" s="77">
        <v>0</v>
      </c>
      <c r="R169" s="28">
        <v>0</v>
      </c>
      <c r="S169" s="74">
        <v>0</v>
      </c>
      <c r="T169" s="77">
        <v>0</v>
      </c>
      <c r="U169" s="72">
        <v>0</v>
      </c>
      <c r="V169" s="74">
        <v>0</v>
      </c>
      <c r="W169" s="75">
        <v>167</v>
      </c>
      <c r="Z169" s="101" t="s">
        <v>1171</v>
      </c>
      <c r="AA169" s="71" t="s">
        <v>186</v>
      </c>
      <c r="AB169" s="77" t="s">
        <v>1177</v>
      </c>
      <c r="AC169" s="130">
        <v>0</v>
      </c>
      <c r="AD169" s="72">
        <v>0</v>
      </c>
      <c r="AE169" s="73">
        <v>0</v>
      </c>
      <c r="AF169" s="77">
        <v>2</v>
      </c>
      <c r="AG169" s="28">
        <v>2</v>
      </c>
      <c r="AH169" s="28">
        <v>1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74">
        <v>1</v>
      </c>
      <c r="AP169" s="77">
        <v>0</v>
      </c>
      <c r="AQ169" s="28">
        <v>0</v>
      </c>
      <c r="AR169" s="74">
        <v>0</v>
      </c>
      <c r="AS169" s="77">
        <v>0</v>
      </c>
      <c r="AT169" s="72">
        <v>0</v>
      </c>
      <c r="AU169" s="74">
        <v>0</v>
      </c>
      <c r="AV169" s="75">
        <v>167</v>
      </c>
      <c r="AY169" s="101" t="s">
        <v>1200</v>
      </c>
      <c r="AZ169" s="71" t="s">
        <v>186</v>
      </c>
      <c r="BA169" s="77" t="s">
        <v>1211</v>
      </c>
      <c r="BB169" s="130">
        <v>0</v>
      </c>
      <c r="BC169" s="72">
        <v>0</v>
      </c>
      <c r="BD169" s="73">
        <v>0</v>
      </c>
      <c r="BE169" s="77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74">
        <v>0</v>
      </c>
      <c r="BO169" s="77">
        <v>0</v>
      </c>
      <c r="BP169" s="28">
        <v>0</v>
      </c>
      <c r="BQ169" s="74">
        <v>0</v>
      </c>
      <c r="BR169" s="77">
        <v>0</v>
      </c>
      <c r="BS169" s="72">
        <v>0</v>
      </c>
      <c r="BT169" s="74">
        <v>0</v>
      </c>
      <c r="BU169" s="75">
        <v>167</v>
      </c>
    </row>
    <row r="170" spans="1:73" ht="17" thickBot="1">
      <c r="A170" s="102" t="s">
        <v>1200</v>
      </c>
      <c r="B170" s="78" t="s">
        <v>186</v>
      </c>
      <c r="C170" s="78" t="s">
        <v>1214</v>
      </c>
      <c r="D170" s="131">
        <v>0</v>
      </c>
      <c r="E170" s="79">
        <v>0</v>
      </c>
      <c r="F170" s="79">
        <v>0</v>
      </c>
      <c r="G170" s="103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81">
        <v>0</v>
      </c>
      <c r="Q170" s="103">
        <v>0</v>
      </c>
      <c r="R170" s="25">
        <v>0</v>
      </c>
      <c r="S170" s="81">
        <v>0</v>
      </c>
      <c r="T170" s="103">
        <v>0</v>
      </c>
      <c r="U170" s="79">
        <v>0</v>
      </c>
      <c r="V170" s="81">
        <v>0</v>
      </c>
      <c r="W170" s="82">
        <v>168</v>
      </c>
      <c r="Z170" s="102" t="s">
        <v>1171</v>
      </c>
      <c r="AA170" s="78" t="s">
        <v>186</v>
      </c>
      <c r="AB170" s="103" t="s">
        <v>1179</v>
      </c>
      <c r="AC170" s="131">
        <v>0</v>
      </c>
      <c r="AD170" s="79">
        <v>0</v>
      </c>
      <c r="AE170" s="80">
        <v>0</v>
      </c>
      <c r="AF170" s="103">
        <v>0</v>
      </c>
      <c r="AG170" s="25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>
        <v>0</v>
      </c>
      <c r="AO170" s="81">
        <v>0</v>
      </c>
      <c r="AP170" s="103">
        <v>0</v>
      </c>
      <c r="AQ170" s="25">
        <v>0</v>
      </c>
      <c r="AR170" s="81">
        <v>0</v>
      </c>
      <c r="AS170" s="103">
        <v>0</v>
      </c>
      <c r="AT170" s="79">
        <v>0</v>
      </c>
      <c r="AU170" s="81">
        <v>0</v>
      </c>
      <c r="AV170" s="82">
        <v>168</v>
      </c>
      <c r="AY170" s="102" t="s">
        <v>1200</v>
      </c>
      <c r="AZ170" s="78" t="s">
        <v>184</v>
      </c>
      <c r="BA170" s="103" t="s">
        <v>1214</v>
      </c>
      <c r="BB170" s="131">
        <v>0</v>
      </c>
      <c r="BC170" s="79">
        <v>0</v>
      </c>
      <c r="BD170" s="80">
        <v>0</v>
      </c>
      <c r="BE170" s="103">
        <v>0</v>
      </c>
      <c r="BF170" s="25">
        <v>0</v>
      </c>
      <c r="BG170" s="25">
        <v>0</v>
      </c>
      <c r="BH170" s="25">
        <v>0</v>
      </c>
      <c r="BI170" s="25">
        <v>0</v>
      </c>
      <c r="BJ170" s="25">
        <v>0</v>
      </c>
      <c r="BK170" s="25">
        <v>0</v>
      </c>
      <c r="BL170" s="25">
        <v>0</v>
      </c>
      <c r="BM170" s="25">
        <v>0</v>
      </c>
      <c r="BN170" s="81">
        <v>0</v>
      </c>
      <c r="BO170" s="103">
        <v>0</v>
      </c>
      <c r="BP170" s="25">
        <v>0</v>
      </c>
      <c r="BQ170" s="81">
        <v>0</v>
      </c>
      <c r="BR170" s="103">
        <v>0</v>
      </c>
      <c r="BS170" s="79">
        <v>0</v>
      </c>
      <c r="BT170" s="81">
        <v>0</v>
      </c>
      <c r="BU170" s="82">
        <v>168</v>
      </c>
    </row>
  </sheetData>
  <mergeCells count="3">
    <mergeCell ref="A1:W1"/>
    <mergeCell ref="Z1:AV1"/>
    <mergeCell ref="AY1:BU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BI122"/>
  <sheetViews>
    <sheetView zoomScale="110" zoomScaleNormal="110"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H20" sqref="H20"/>
    </sheetView>
  </sheetViews>
  <sheetFormatPr baseColWidth="10" defaultRowHeight="16"/>
  <cols>
    <col min="1" max="1" width="6.83203125" customWidth="1"/>
    <col min="2" max="2" width="5.5" customWidth="1"/>
    <col min="3" max="3" width="16" bestFit="1" customWidth="1"/>
    <col min="4" max="4" width="8" customWidth="1"/>
    <col min="5" max="5" width="5.6640625" style="126" customWidth="1"/>
    <col min="6" max="6" width="5" customWidth="1"/>
    <col min="7" max="7" width="5.1640625" customWidth="1"/>
    <col min="8" max="8" width="5.6640625" customWidth="1"/>
    <col min="9" max="10" width="5.1640625" customWidth="1"/>
    <col min="11" max="11" width="6.33203125" customWidth="1"/>
    <col min="12" max="12" width="5.1640625" customWidth="1"/>
    <col min="13" max="13" width="6.33203125" customWidth="1"/>
    <col min="14" max="14" width="7.1640625" customWidth="1"/>
    <col min="15" max="15" width="6.33203125" customWidth="1"/>
    <col min="16" max="17" width="6.6640625" customWidth="1"/>
    <col min="18" max="18" width="6.33203125" customWidth="1"/>
    <col min="19" max="19" width="4.6640625" customWidth="1"/>
    <col min="20" max="21" width="2.83203125" customWidth="1"/>
    <col min="22" max="22" width="6.83203125" customWidth="1"/>
    <col min="23" max="23" width="5.5" customWidth="1"/>
    <col min="24" max="24" width="13.6640625" bestFit="1" customWidth="1"/>
    <col min="25" max="25" width="8" customWidth="1"/>
    <col min="26" max="26" width="5.6640625" customWidth="1"/>
    <col min="27" max="27" width="5" customWidth="1"/>
    <col min="28" max="28" width="5.1640625" customWidth="1"/>
    <col min="29" max="29" width="5.6640625" customWidth="1"/>
    <col min="30" max="31" width="5.1640625" customWidth="1"/>
    <col min="32" max="32" width="6.33203125" customWidth="1"/>
    <col min="33" max="33" width="5.1640625" customWidth="1"/>
    <col min="34" max="34" width="6.33203125" customWidth="1"/>
    <col min="35" max="35" width="7.1640625" customWidth="1"/>
    <col min="36" max="36" width="6.33203125" customWidth="1"/>
    <col min="37" max="38" width="6.6640625" customWidth="1"/>
    <col min="39" max="39" width="6.33203125" customWidth="1"/>
    <col min="40" max="40" width="4.6640625" customWidth="1"/>
    <col min="41" max="42" width="2.83203125" customWidth="1"/>
    <col min="43" max="43" width="6.83203125" customWidth="1"/>
    <col min="44" max="44" width="5.5" customWidth="1"/>
    <col min="45" max="45" width="13.6640625" customWidth="1"/>
    <col min="46" max="46" width="8" customWidth="1"/>
    <col min="47" max="47" width="5.6640625" customWidth="1"/>
    <col min="48" max="48" width="5" customWidth="1"/>
    <col min="49" max="49" width="5.1640625" customWidth="1"/>
    <col min="50" max="50" width="5.6640625" customWidth="1"/>
    <col min="51" max="52" width="5.1640625" customWidth="1"/>
    <col min="53" max="53" width="6.33203125" customWidth="1"/>
    <col min="54" max="54" width="5.1640625" customWidth="1"/>
    <col min="55" max="55" width="6.33203125" customWidth="1"/>
    <col min="56" max="56" width="7.1640625" customWidth="1"/>
    <col min="57" max="57" width="6.33203125" customWidth="1"/>
    <col min="58" max="59" width="6.6640625" customWidth="1"/>
    <col min="60" max="60" width="6.33203125" customWidth="1"/>
    <col min="61" max="61" width="4.6640625" customWidth="1"/>
    <col min="62" max="62" width="2.83203125" customWidth="1"/>
  </cols>
  <sheetData>
    <row r="1" spans="1:61" ht="26" thickBot="1">
      <c r="A1" s="1090" t="s">
        <v>2165</v>
      </c>
      <c r="B1" s="1091"/>
      <c r="C1" s="1091"/>
      <c r="D1" s="1091"/>
      <c r="E1" s="1091"/>
      <c r="F1" s="1091"/>
      <c r="G1" s="1091"/>
      <c r="H1" s="1091"/>
      <c r="I1" s="1091"/>
      <c r="J1" s="1091"/>
      <c r="K1" s="1091"/>
      <c r="L1" s="1091"/>
      <c r="M1" s="1091"/>
      <c r="N1" s="1091"/>
      <c r="O1" s="1091"/>
      <c r="P1" s="1091"/>
      <c r="Q1" s="1091"/>
      <c r="R1" s="1091"/>
      <c r="S1" s="1092"/>
      <c r="V1" s="1090" t="s">
        <v>2166</v>
      </c>
      <c r="W1" s="1091"/>
      <c r="X1" s="1091"/>
      <c r="Y1" s="1091"/>
      <c r="Z1" s="1091"/>
      <c r="AA1" s="1091"/>
      <c r="AB1" s="1091"/>
      <c r="AC1" s="1091"/>
      <c r="AD1" s="1091"/>
      <c r="AE1" s="1091"/>
      <c r="AF1" s="1091"/>
      <c r="AG1" s="1091"/>
      <c r="AH1" s="1091"/>
      <c r="AI1" s="1091"/>
      <c r="AJ1" s="1091"/>
      <c r="AK1" s="1091"/>
      <c r="AL1" s="1091"/>
      <c r="AM1" s="1091"/>
      <c r="AN1" s="1092"/>
      <c r="AQ1" s="1090" t="s">
        <v>2167</v>
      </c>
      <c r="AR1" s="1091"/>
      <c r="AS1" s="1091"/>
      <c r="AT1" s="1091"/>
      <c r="AU1" s="1091"/>
      <c r="AV1" s="1091"/>
      <c r="AW1" s="1091"/>
      <c r="AX1" s="1091"/>
      <c r="AY1" s="1091"/>
      <c r="AZ1" s="1091"/>
      <c r="BA1" s="1091"/>
      <c r="BB1" s="1091"/>
      <c r="BC1" s="1091"/>
      <c r="BD1" s="1091"/>
      <c r="BE1" s="1091"/>
      <c r="BF1" s="1091"/>
      <c r="BG1" s="1091"/>
      <c r="BH1" s="1091"/>
      <c r="BI1" s="1092"/>
    </row>
    <row r="2" spans="1:61" ht="17" thickBot="1">
      <c r="A2" s="39" t="s">
        <v>143</v>
      </c>
      <c r="B2" s="187" t="s">
        <v>144</v>
      </c>
      <c r="C2" s="187" t="s">
        <v>145</v>
      </c>
      <c r="D2" s="187" t="s">
        <v>196</v>
      </c>
      <c r="E2" s="188" t="s">
        <v>197</v>
      </c>
      <c r="F2" s="187" t="s">
        <v>198</v>
      </c>
      <c r="G2" s="187" t="s">
        <v>149</v>
      </c>
      <c r="H2" s="187" t="s">
        <v>199</v>
      </c>
      <c r="I2" s="187" t="s">
        <v>152</v>
      </c>
      <c r="J2" s="187" t="s">
        <v>151</v>
      </c>
      <c r="K2" s="187" t="s">
        <v>157</v>
      </c>
      <c r="L2" s="187" t="s">
        <v>158</v>
      </c>
      <c r="M2" s="187" t="s">
        <v>200</v>
      </c>
      <c r="N2" s="187" t="s">
        <v>201</v>
      </c>
      <c r="O2" s="187" t="s">
        <v>202</v>
      </c>
      <c r="P2" s="187" t="s">
        <v>203</v>
      </c>
      <c r="Q2" s="187" t="s">
        <v>204</v>
      </c>
      <c r="R2" s="187" t="s">
        <v>205</v>
      </c>
      <c r="S2" s="189" t="s">
        <v>164</v>
      </c>
      <c r="V2" s="39" t="s">
        <v>143</v>
      </c>
      <c r="W2" s="187" t="s">
        <v>144</v>
      </c>
      <c r="X2" s="187" t="s">
        <v>145</v>
      </c>
      <c r="Y2" s="187" t="s">
        <v>196</v>
      </c>
      <c r="Z2" s="188" t="s">
        <v>197</v>
      </c>
      <c r="AA2" s="187" t="s">
        <v>198</v>
      </c>
      <c r="AB2" s="187" t="s">
        <v>149</v>
      </c>
      <c r="AC2" s="187" t="s">
        <v>199</v>
      </c>
      <c r="AD2" s="187" t="s">
        <v>152</v>
      </c>
      <c r="AE2" s="187" t="s">
        <v>151</v>
      </c>
      <c r="AF2" s="187" t="s">
        <v>157</v>
      </c>
      <c r="AG2" s="187" t="s">
        <v>158</v>
      </c>
      <c r="AH2" s="187" t="s">
        <v>200</v>
      </c>
      <c r="AI2" s="187" t="s">
        <v>201</v>
      </c>
      <c r="AJ2" s="187" t="s">
        <v>202</v>
      </c>
      <c r="AK2" s="187" t="s">
        <v>203</v>
      </c>
      <c r="AL2" s="187" t="s">
        <v>204</v>
      </c>
      <c r="AM2" s="187" t="s">
        <v>205</v>
      </c>
      <c r="AN2" s="189" t="s">
        <v>164</v>
      </c>
      <c r="AQ2" s="39" t="s">
        <v>143</v>
      </c>
      <c r="AR2" s="187" t="s">
        <v>144</v>
      </c>
      <c r="AS2" s="187" t="s">
        <v>145</v>
      </c>
      <c r="AT2" s="187" t="s">
        <v>196</v>
      </c>
      <c r="AU2" s="187" t="s">
        <v>197</v>
      </c>
      <c r="AV2" s="187" t="s">
        <v>198</v>
      </c>
      <c r="AW2" s="187" t="s">
        <v>149</v>
      </c>
      <c r="AX2" s="187" t="s">
        <v>199</v>
      </c>
      <c r="AY2" s="187" t="s">
        <v>152</v>
      </c>
      <c r="AZ2" s="187" t="s">
        <v>151</v>
      </c>
      <c r="BA2" s="187" t="s">
        <v>157</v>
      </c>
      <c r="BB2" s="187" t="s">
        <v>158</v>
      </c>
      <c r="BC2" s="187" t="s">
        <v>200</v>
      </c>
      <c r="BD2" s="187" t="s">
        <v>201</v>
      </c>
      <c r="BE2" s="187" t="s">
        <v>202</v>
      </c>
      <c r="BF2" s="187" t="s">
        <v>203</v>
      </c>
      <c r="BG2" s="187" t="s">
        <v>204</v>
      </c>
      <c r="BH2" s="187" t="s">
        <v>205</v>
      </c>
      <c r="BI2" s="189" t="s">
        <v>164</v>
      </c>
    </row>
    <row r="3" spans="1:61">
      <c r="A3" s="561" t="s">
        <v>165</v>
      </c>
      <c r="B3" s="65" t="s">
        <v>206</v>
      </c>
      <c r="C3" s="68" t="s">
        <v>207</v>
      </c>
      <c r="D3" s="83">
        <v>2.0930232558139537</v>
      </c>
      <c r="E3" s="86">
        <v>4</v>
      </c>
      <c r="F3" s="68">
        <v>2</v>
      </c>
      <c r="G3" s="99">
        <v>6</v>
      </c>
      <c r="H3" s="111">
        <v>43</v>
      </c>
      <c r="I3" s="68">
        <v>31</v>
      </c>
      <c r="J3" s="68">
        <v>10</v>
      </c>
      <c r="K3" s="68">
        <v>15</v>
      </c>
      <c r="L3" s="68">
        <v>42</v>
      </c>
      <c r="M3" s="68">
        <v>0</v>
      </c>
      <c r="N3" s="85">
        <v>1.069767441860465</v>
      </c>
      <c r="O3" s="530">
        <v>6</v>
      </c>
      <c r="P3" s="100">
        <v>4</v>
      </c>
      <c r="Q3" s="68">
        <v>0</v>
      </c>
      <c r="R3" s="68">
        <v>0</v>
      </c>
      <c r="S3" s="70">
        <v>1</v>
      </c>
      <c r="V3" s="97" t="s">
        <v>226</v>
      </c>
      <c r="W3" s="65" t="s">
        <v>206</v>
      </c>
      <c r="X3" s="65" t="s">
        <v>249</v>
      </c>
      <c r="Y3" s="105">
        <v>5.0150021431633096</v>
      </c>
      <c r="Z3" s="363">
        <v>2</v>
      </c>
      <c r="AA3" s="69">
        <v>2</v>
      </c>
      <c r="AB3" s="68">
        <v>4</v>
      </c>
      <c r="AC3" s="84">
        <v>23.33</v>
      </c>
      <c r="AD3" s="68">
        <v>25</v>
      </c>
      <c r="AE3" s="68">
        <v>13</v>
      </c>
      <c r="AF3" s="100">
        <v>15</v>
      </c>
      <c r="AG3" s="100">
        <v>40</v>
      </c>
      <c r="AH3" s="68">
        <v>0</v>
      </c>
      <c r="AI3" s="85">
        <v>1.7145306472353194</v>
      </c>
      <c r="AJ3" s="68">
        <v>2</v>
      </c>
      <c r="AK3" s="68">
        <v>1</v>
      </c>
      <c r="AL3" s="68">
        <v>0</v>
      </c>
      <c r="AM3" s="69">
        <v>0</v>
      </c>
      <c r="AN3" s="113">
        <v>1</v>
      </c>
      <c r="AQ3" s="97" t="s">
        <v>165</v>
      </c>
      <c r="AR3" s="65" t="s">
        <v>206</v>
      </c>
      <c r="AS3" s="68" t="s">
        <v>207</v>
      </c>
      <c r="AT3" s="105">
        <v>3.5202086049543677</v>
      </c>
      <c r="AU3" s="99">
        <v>0</v>
      </c>
      <c r="AV3" s="69">
        <v>0</v>
      </c>
      <c r="AW3" s="68">
        <v>1</v>
      </c>
      <c r="AX3" s="84">
        <v>7.67</v>
      </c>
      <c r="AY3" s="68">
        <v>5</v>
      </c>
      <c r="AZ3" s="68">
        <v>3</v>
      </c>
      <c r="BA3" s="68">
        <v>2</v>
      </c>
      <c r="BB3" s="68">
        <v>12</v>
      </c>
      <c r="BC3" s="68">
        <v>0</v>
      </c>
      <c r="BD3" s="85">
        <v>0.91264667535853983</v>
      </c>
      <c r="BE3" s="68">
        <v>1</v>
      </c>
      <c r="BF3" s="68">
        <v>0</v>
      </c>
      <c r="BG3" s="68">
        <v>0</v>
      </c>
      <c r="BH3" s="69">
        <v>0</v>
      </c>
      <c r="BI3" s="113">
        <v>1</v>
      </c>
    </row>
    <row r="4" spans="1:61">
      <c r="A4" s="366" t="s">
        <v>165</v>
      </c>
      <c r="B4" s="71" t="s">
        <v>206</v>
      </c>
      <c r="C4" s="633" t="s">
        <v>208</v>
      </c>
      <c r="D4" s="88">
        <v>5.2432274978153224</v>
      </c>
      <c r="E4" s="90">
        <v>2</v>
      </c>
      <c r="F4" s="586">
        <v>4</v>
      </c>
      <c r="G4" s="77">
        <v>6</v>
      </c>
      <c r="H4" s="584">
        <v>34.33</v>
      </c>
      <c r="I4" s="76">
        <v>38</v>
      </c>
      <c r="J4" s="76">
        <v>20</v>
      </c>
      <c r="K4" s="28">
        <v>15</v>
      </c>
      <c r="L4" s="28">
        <v>39</v>
      </c>
      <c r="M4" s="28">
        <v>0</v>
      </c>
      <c r="N4" s="89">
        <v>1.5438392076900671</v>
      </c>
      <c r="O4" s="28">
        <v>4</v>
      </c>
      <c r="P4" s="28">
        <v>1</v>
      </c>
      <c r="Q4" s="28">
        <v>0</v>
      </c>
      <c r="R4" s="28">
        <v>0</v>
      </c>
      <c r="S4" s="75">
        <v>2</v>
      </c>
      <c r="V4" s="101" t="s">
        <v>226</v>
      </c>
      <c r="W4" s="71" t="s">
        <v>206</v>
      </c>
      <c r="X4" s="116" t="s">
        <v>250</v>
      </c>
      <c r="Y4" s="106">
        <v>6.9545454545454541</v>
      </c>
      <c r="Z4" s="364">
        <v>1</v>
      </c>
      <c r="AA4" s="104">
        <v>3</v>
      </c>
      <c r="AB4" s="28">
        <v>4</v>
      </c>
      <c r="AC4" s="584">
        <v>22</v>
      </c>
      <c r="AD4" s="28">
        <v>29</v>
      </c>
      <c r="AE4" s="76">
        <v>17</v>
      </c>
      <c r="AF4" s="28">
        <v>4</v>
      </c>
      <c r="AG4" s="28">
        <v>21</v>
      </c>
      <c r="AH4" s="28">
        <v>0</v>
      </c>
      <c r="AI4" s="89">
        <v>1.5</v>
      </c>
      <c r="AJ4" s="28">
        <v>2</v>
      </c>
      <c r="AK4" s="28">
        <v>0</v>
      </c>
      <c r="AL4" s="28">
        <v>0</v>
      </c>
      <c r="AM4" s="74">
        <v>0</v>
      </c>
      <c r="AN4" s="27">
        <v>2</v>
      </c>
      <c r="AQ4" s="101" t="s">
        <v>165</v>
      </c>
      <c r="AR4" s="71" t="s">
        <v>206</v>
      </c>
      <c r="AS4" s="28" t="s">
        <v>209</v>
      </c>
      <c r="AT4" s="106">
        <v>1.5</v>
      </c>
      <c r="AU4" s="77">
        <v>1</v>
      </c>
      <c r="AV4" s="74">
        <v>0</v>
      </c>
      <c r="AW4" s="28">
        <v>1</v>
      </c>
      <c r="AX4" s="584">
        <v>6</v>
      </c>
      <c r="AY4" s="28">
        <v>5</v>
      </c>
      <c r="AZ4" s="28">
        <v>1</v>
      </c>
      <c r="BA4" s="28">
        <v>5</v>
      </c>
      <c r="BB4" s="28">
        <v>3</v>
      </c>
      <c r="BC4" s="28">
        <v>0</v>
      </c>
      <c r="BD4" s="89">
        <v>1.6666666666666667</v>
      </c>
      <c r="BE4" s="28">
        <v>1</v>
      </c>
      <c r="BF4" s="28">
        <v>0</v>
      </c>
      <c r="BG4" s="28">
        <v>0</v>
      </c>
      <c r="BH4" s="74">
        <v>0</v>
      </c>
      <c r="BI4" s="27">
        <v>2</v>
      </c>
    </row>
    <row r="5" spans="1:61">
      <c r="A5" s="366" t="s">
        <v>165</v>
      </c>
      <c r="B5" s="71" t="s">
        <v>206</v>
      </c>
      <c r="C5" s="28" t="s">
        <v>209</v>
      </c>
      <c r="D5" s="88">
        <v>3.6613272311212817</v>
      </c>
      <c r="E5" s="90">
        <v>1</v>
      </c>
      <c r="F5" s="28">
        <v>1</v>
      </c>
      <c r="G5" s="77">
        <v>6</v>
      </c>
      <c r="H5" s="584">
        <v>39.33</v>
      </c>
      <c r="I5" s="28">
        <v>37</v>
      </c>
      <c r="J5" s="28">
        <v>16</v>
      </c>
      <c r="K5" s="28">
        <v>10</v>
      </c>
      <c r="L5" s="28">
        <v>40</v>
      </c>
      <c r="M5" s="28">
        <v>0</v>
      </c>
      <c r="N5" s="89">
        <v>1.1950165268243071</v>
      </c>
      <c r="O5" s="28">
        <v>4</v>
      </c>
      <c r="P5" s="28">
        <v>3</v>
      </c>
      <c r="Q5" s="28">
        <v>0</v>
      </c>
      <c r="R5" s="28">
        <v>0</v>
      </c>
      <c r="S5" s="75">
        <v>3</v>
      </c>
      <c r="V5" s="101" t="s">
        <v>226</v>
      </c>
      <c r="W5" s="71" t="s">
        <v>206</v>
      </c>
      <c r="X5" s="116" t="s">
        <v>252</v>
      </c>
      <c r="Y5" s="106">
        <v>2.6470588235294117</v>
      </c>
      <c r="Z5" s="364">
        <v>1</v>
      </c>
      <c r="AA5" s="74">
        <v>0</v>
      </c>
      <c r="AB5" s="28">
        <v>3</v>
      </c>
      <c r="AC5" s="584">
        <v>17</v>
      </c>
      <c r="AD5" s="28">
        <v>8</v>
      </c>
      <c r="AE5" s="28">
        <v>5</v>
      </c>
      <c r="AF5" s="28">
        <v>6</v>
      </c>
      <c r="AG5" s="28">
        <v>30</v>
      </c>
      <c r="AH5" s="28">
        <v>0</v>
      </c>
      <c r="AI5" s="89">
        <v>0.82352941176470584</v>
      </c>
      <c r="AJ5" s="28">
        <v>1</v>
      </c>
      <c r="AK5" s="28">
        <v>1</v>
      </c>
      <c r="AL5" s="28">
        <v>0</v>
      </c>
      <c r="AM5" s="74">
        <v>0</v>
      </c>
      <c r="AN5" s="27">
        <v>3</v>
      </c>
      <c r="AQ5" s="101" t="s">
        <v>165</v>
      </c>
      <c r="AR5" s="71" t="s">
        <v>206</v>
      </c>
      <c r="AS5" s="28" t="s">
        <v>210</v>
      </c>
      <c r="AT5" s="106">
        <v>0</v>
      </c>
      <c r="AU5" s="77">
        <v>0</v>
      </c>
      <c r="AV5" s="74">
        <v>0</v>
      </c>
      <c r="AW5" s="28">
        <v>1</v>
      </c>
      <c r="AX5" s="584">
        <v>1.67</v>
      </c>
      <c r="AY5" s="28">
        <v>1</v>
      </c>
      <c r="AZ5" s="28">
        <v>0</v>
      </c>
      <c r="BA5" s="28">
        <v>0</v>
      </c>
      <c r="BB5" s="28">
        <v>2</v>
      </c>
      <c r="BC5" s="28">
        <v>0</v>
      </c>
      <c r="BD5" s="89">
        <v>0.5988023952095809</v>
      </c>
      <c r="BE5" s="28">
        <v>0</v>
      </c>
      <c r="BF5" s="28">
        <v>0</v>
      </c>
      <c r="BG5" s="28">
        <v>0</v>
      </c>
      <c r="BH5" s="74">
        <v>0</v>
      </c>
      <c r="BI5" s="27">
        <v>3</v>
      </c>
    </row>
    <row r="6" spans="1:61">
      <c r="A6" s="366" t="s">
        <v>165</v>
      </c>
      <c r="B6" s="71" t="s">
        <v>206</v>
      </c>
      <c r="C6" s="633" t="s">
        <v>211</v>
      </c>
      <c r="D6" s="88">
        <v>1.6363636363636365</v>
      </c>
      <c r="E6" s="90">
        <v>1</v>
      </c>
      <c r="F6" s="28">
        <v>0</v>
      </c>
      <c r="G6" s="77">
        <v>5</v>
      </c>
      <c r="H6" s="584">
        <v>11</v>
      </c>
      <c r="I6" s="28">
        <v>9</v>
      </c>
      <c r="J6" s="28">
        <v>2</v>
      </c>
      <c r="K6" s="28">
        <v>2</v>
      </c>
      <c r="L6" s="28">
        <v>6</v>
      </c>
      <c r="M6" s="28">
        <v>0</v>
      </c>
      <c r="N6" s="89">
        <v>1</v>
      </c>
      <c r="O6" s="28">
        <v>0</v>
      </c>
      <c r="P6" s="28">
        <v>0</v>
      </c>
      <c r="Q6" s="28">
        <v>0</v>
      </c>
      <c r="R6" s="28">
        <v>0</v>
      </c>
      <c r="S6" s="75">
        <v>4</v>
      </c>
      <c r="V6" s="101" t="s">
        <v>226</v>
      </c>
      <c r="W6" s="71" t="s">
        <v>206</v>
      </c>
      <c r="X6" s="116" t="s">
        <v>253</v>
      </c>
      <c r="Y6" s="106">
        <v>3.2142857142857144</v>
      </c>
      <c r="Z6" s="364">
        <v>1</v>
      </c>
      <c r="AA6" s="74">
        <v>0</v>
      </c>
      <c r="AB6" s="28">
        <v>4</v>
      </c>
      <c r="AC6" s="584">
        <v>14</v>
      </c>
      <c r="AD6" s="28">
        <v>16</v>
      </c>
      <c r="AE6" s="28">
        <v>5</v>
      </c>
      <c r="AF6" s="28">
        <v>3</v>
      </c>
      <c r="AG6" s="28">
        <v>15</v>
      </c>
      <c r="AH6" s="28">
        <v>0</v>
      </c>
      <c r="AI6" s="89">
        <v>1.3571428571428572</v>
      </c>
      <c r="AJ6" s="28">
        <v>1</v>
      </c>
      <c r="AK6" s="28">
        <v>0</v>
      </c>
      <c r="AL6" s="28">
        <v>0</v>
      </c>
      <c r="AM6" s="74">
        <v>0</v>
      </c>
      <c r="AN6" s="27">
        <v>4</v>
      </c>
      <c r="AQ6" s="101" t="s">
        <v>165</v>
      </c>
      <c r="AR6" s="71" t="s">
        <v>206</v>
      </c>
      <c r="AS6" s="28" t="s">
        <v>211</v>
      </c>
      <c r="AT6" s="106">
        <v>6.7542213883677293</v>
      </c>
      <c r="AU6" s="77">
        <v>0</v>
      </c>
      <c r="AV6" s="74">
        <v>1</v>
      </c>
      <c r="AW6" s="28">
        <v>1</v>
      </c>
      <c r="AX6" s="584">
        <v>5.33</v>
      </c>
      <c r="AY6" s="28">
        <v>6</v>
      </c>
      <c r="AZ6" s="28">
        <v>4</v>
      </c>
      <c r="BA6" s="28">
        <v>2</v>
      </c>
      <c r="BB6" s="28">
        <v>4</v>
      </c>
      <c r="BC6" s="28">
        <v>0</v>
      </c>
      <c r="BD6" s="89">
        <v>1.5009380863039399</v>
      </c>
      <c r="BE6" s="28">
        <v>0</v>
      </c>
      <c r="BF6" s="28">
        <v>0</v>
      </c>
      <c r="BG6" s="28">
        <v>0</v>
      </c>
      <c r="BH6" s="74">
        <v>0</v>
      </c>
      <c r="BI6" s="27">
        <v>4</v>
      </c>
    </row>
    <row r="7" spans="1:61">
      <c r="A7" s="366" t="s">
        <v>165</v>
      </c>
      <c r="B7" s="71" t="s">
        <v>215</v>
      </c>
      <c r="C7" s="633" t="s">
        <v>216</v>
      </c>
      <c r="D7" s="88">
        <v>0</v>
      </c>
      <c r="E7" s="90">
        <v>0</v>
      </c>
      <c r="F7" s="28">
        <v>0</v>
      </c>
      <c r="G7" s="77">
        <v>0</v>
      </c>
      <c r="H7" s="584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89">
        <v>0</v>
      </c>
      <c r="O7" s="28">
        <v>0</v>
      </c>
      <c r="P7" s="28">
        <v>0</v>
      </c>
      <c r="Q7" s="28">
        <v>0</v>
      </c>
      <c r="R7" s="28">
        <v>0</v>
      </c>
      <c r="S7" s="75">
        <v>5</v>
      </c>
      <c r="V7" s="101" t="s">
        <v>226</v>
      </c>
      <c r="W7" s="71" t="s">
        <v>212</v>
      </c>
      <c r="X7" s="116" t="s">
        <v>254</v>
      </c>
      <c r="Y7" s="106">
        <v>0</v>
      </c>
      <c r="Z7" s="364">
        <v>0</v>
      </c>
      <c r="AA7" s="74">
        <v>0</v>
      </c>
      <c r="AB7" s="28">
        <v>0</v>
      </c>
      <c r="AC7" s="584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89">
        <v>0</v>
      </c>
      <c r="AJ7" s="28">
        <v>0</v>
      </c>
      <c r="AK7" s="28">
        <v>0</v>
      </c>
      <c r="AL7" s="28">
        <v>0</v>
      </c>
      <c r="AM7" s="74">
        <v>0</v>
      </c>
      <c r="AN7" s="27">
        <v>5</v>
      </c>
      <c r="AQ7" s="101" t="s">
        <v>165</v>
      </c>
      <c r="AR7" s="71" t="s">
        <v>212</v>
      </c>
      <c r="AS7" s="28" t="s">
        <v>208</v>
      </c>
      <c r="AT7" s="106">
        <v>0</v>
      </c>
      <c r="AU7" s="77">
        <v>0</v>
      </c>
      <c r="AV7" s="74">
        <v>0</v>
      </c>
      <c r="AW7" s="28">
        <v>0</v>
      </c>
      <c r="AX7" s="584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89">
        <v>0</v>
      </c>
      <c r="BE7" s="28">
        <v>0</v>
      </c>
      <c r="BF7" s="28">
        <v>0</v>
      </c>
      <c r="BG7" s="28">
        <v>0</v>
      </c>
      <c r="BH7" s="74">
        <v>0</v>
      </c>
      <c r="BI7" s="27">
        <v>5</v>
      </c>
    </row>
    <row r="8" spans="1:61">
      <c r="A8" s="366" t="s">
        <v>165</v>
      </c>
      <c r="B8" s="71" t="s">
        <v>212</v>
      </c>
      <c r="C8" s="633" t="s">
        <v>213</v>
      </c>
      <c r="D8" s="88">
        <v>4.823151125401929</v>
      </c>
      <c r="E8" s="90">
        <v>0</v>
      </c>
      <c r="F8" s="28">
        <v>0</v>
      </c>
      <c r="G8" s="77">
        <v>4</v>
      </c>
      <c r="H8" s="584">
        <v>9.33</v>
      </c>
      <c r="I8" s="28">
        <v>10</v>
      </c>
      <c r="J8" s="28">
        <v>5</v>
      </c>
      <c r="K8" s="28">
        <v>5</v>
      </c>
      <c r="L8" s="28">
        <v>6</v>
      </c>
      <c r="M8" s="28">
        <v>0</v>
      </c>
      <c r="N8" s="89">
        <v>1.607717041800643</v>
      </c>
      <c r="O8" s="28">
        <v>0</v>
      </c>
      <c r="P8" s="28">
        <v>0</v>
      </c>
      <c r="Q8" s="28">
        <v>0</v>
      </c>
      <c r="R8" s="28">
        <v>0</v>
      </c>
      <c r="S8" s="75">
        <v>6</v>
      </c>
      <c r="V8" s="101" t="s">
        <v>226</v>
      </c>
      <c r="W8" s="71" t="s">
        <v>215</v>
      </c>
      <c r="X8" s="116" t="s">
        <v>256</v>
      </c>
      <c r="Y8" s="106">
        <v>0</v>
      </c>
      <c r="Z8" s="364">
        <v>0</v>
      </c>
      <c r="AA8" s="74">
        <v>0</v>
      </c>
      <c r="AB8" s="28">
        <v>0</v>
      </c>
      <c r="AC8" s="584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89">
        <v>0</v>
      </c>
      <c r="AJ8" s="28">
        <v>0</v>
      </c>
      <c r="AK8" s="28">
        <v>0</v>
      </c>
      <c r="AL8" s="28">
        <v>0</v>
      </c>
      <c r="AM8" s="74">
        <v>0</v>
      </c>
      <c r="AN8" s="27">
        <v>6</v>
      </c>
      <c r="AQ8" s="101" t="s">
        <v>165</v>
      </c>
      <c r="AR8" s="71" t="s">
        <v>215</v>
      </c>
      <c r="AS8" s="28" t="s">
        <v>213</v>
      </c>
      <c r="AT8" s="106">
        <v>0</v>
      </c>
      <c r="AU8" s="77">
        <v>0</v>
      </c>
      <c r="AV8" s="74">
        <v>0</v>
      </c>
      <c r="AW8" s="28">
        <v>0</v>
      </c>
      <c r="AX8" s="584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89">
        <v>0</v>
      </c>
      <c r="BE8" s="28">
        <v>0</v>
      </c>
      <c r="BF8" s="28">
        <v>0</v>
      </c>
      <c r="BG8" s="28">
        <v>0</v>
      </c>
      <c r="BH8" s="74">
        <v>0</v>
      </c>
      <c r="BI8" s="27">
        <v>6</v>
      </c>
    </row>
    <row r="9" spans="1:61">
      <c r="A9" s="366" t="s">
        <v>165</v>
      </c>
      <c r="B9" s="71" t="s">
        <v>215</v>
      </c>
      <c r="C9" s="633" t="s">
        <v>217</v>
      </c>
      <c r="D9" s="88">
        <v>0</v>
      </c>
      <c r="E9" s="90">
        <v>0</v>
      </c>
      <c r="F9" s="28">
        <v>0</v>
      </c>
      <c r="G9" s="77">
        <v>0</v>
      </c>
      <c r="H9" s="584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89">
        <v>0</v>
      </c>
      <c r="O9" s="28">
        <v>0</v>
      </c>
      <c r="P9" s="28">
        <v>0</v>
      </c>
      <c r="Q9" s="28">
        <v>0</v>
      </c>
      <c r="R9" s="28">
        <v>0</v>
      </c>
      <c r="S9" s="75">
        <v>7</v>
      </c>
      <c r="V9" s="101" t="s">
        <v>226</v>
      </c>
      <c r="W9" s="71" t="s">
        <v>212</v>
      </c>
      <c r="X9" s="116" t="s">
        <v>260</v>
      </c>
      <c r="Y9" s="106">
        <v>3.1746031746031744</v>
      </c>
      <c r="Z9" s="364">
        <v>1</v>
      </c>
      <c r="AA9" s="74">
        <v>0</v>
      </c>
      <c r="AB9" s="28">
        <v>4</v>
      </c>
      <c r="AC9" s="584">
        <v>5.67</v>
      </c>
      <c r="AD9" s="28">
        <v>6</v>
      </c>
      <c r="AE9" s="28">
        <v>2</v>
      </c>
      <c r="AF9" s="28">
        <v>0</v>
      </c>
      <c r="AG9" s="28">
        <v>6</v>
      </c>
      <c r="AH9" s="28">
        <v>0</v>
      </c>
      <c r="AI9" s="89">
        <v>1.0582010582010581</v>
      </c>
      <c r="AJ9" s="28">
        <v>0</v>
      </c>
      <c r="AK9" s="28">
        <v>0</v>
      </c>
      <c r="AL9" s="28">
        <v>0</v>
      </c>
      <c r="AM9" s="74">
        <v>0</v>
      </c>
      <c r="AN9" s="27">
        <v>7</v>
      </c>
      <c r="AQ9" s="101" t="s">
        <v>165</v>
      </c>
      <c r="AR9" s="71" t="s">
        <v>212</v>
      </c>
      <c r="AS9" s="28" t="s">
        <v>218</v>
      </c>
      <c r="AT9" s="106">
        <v>0</v>
      </c>
      <c r="AU9" s="77">
        <v>0</v>
      </c>
      <c r="AV9" s="74">
        <v>0</v>
      </c>
      <c r="AW9" s="28">
        <v>0</v>
      </c>
      <c r="AX9" s="584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89">
        <v>0</v>
      </c>
      <c r="BE9" s="28">
        <v>0</v>
      </c>
      <c r="BF9" s="28">
        <v>0</v>
      </c>
      <c r="BG9" s="28">
        <v>0</v>
      </c>
      <c r="BH9" s="74">
        <v>0</v>
      </c>
      <c r="BI9" s="27">
        <v>7</v>
      </c>
    </row>
    <row r="10" spans="1:61">
      <c r="A10" s="366" t="s">
        <v>165</v>
      </c>
      <c r="B10" s="71" t="s">
        <v>212</v>
      </c>
      <c r="C10" s="633" t="s">
        <v>219</v>
      </c>
      <c r="D10" s="88">
        <v>7.7142857142857144</v>
      </c>
      <c r="E10" s="90">
        <v>0</v>
      </c>
      <c r="F10" s="28">
        <v>0</v>
      </c>
      <c r="G10" s="77">
        <v>7</v>
      </c>
      <c r="H10" s="584">
        <v>7</v>
      </c>
      <c r="I10" s="28">
        <v>6</v>
      </c>
      <c r="J10" s="28">
        <v>6</v>
      </c>
      <c r="K10" s="28">
        <v>4</v>
      </c>
      <c r="L10" s="28">
        <v>9</v>
      </c>
      <c r="M10" s="28">
        <v>1</v>
      </c>
      <c r="N10" s="89">
        <v>1.4285714285714286</v>
      </c>
      <c r="O10" s="28">
        <v>0</v>
      </c>
      <c r="P10" s="28">
        <v>0</v>
      </c>
      <c r="Q10" s="28">
        <v>0</v>
      </c>
      <c r="R10" s="28">
        <v>0</v>
      </c>
      <c r="S10" s="75">
        <v>8</v>
      </c>
      <c r="V10" s="101" t="s">
        <v>226</v>
      </c>
      <c r="W10" s="71" t="s">
        <v>212</v>
      </c>
      <c r="X10" s="116" t="s">
        <v>259</v>
      </c>
      <c r="Y10" s="106">
        <v>0</v>
      </c>
      <c r="Z10" s="364">
        <v>0</v>
      </c>
      <c r="AA10" s="74">
        <v>0</v>
      </c>
      <c r="AB10" s="28">
        <v>0</v>
      </c>
      <c r="AC10" s="584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89">
        <v>0</v>
      </c>
      <c r="AJ10" s="28">
        <v>0</v>
      </c>
      <c r="AK10" s="28">
        <v>0</v>
      </c>
      <c r="AL10" s="28">
        <v>0</v>
      </c>
      <c r="AM10" s="74">
        <v>0</v>
      </c>
      <c r="AN10" s="27">
        <v>8</v>
      </c>
      <c r="AQ10" s="101" t="s">
        <v>165</v>
      </c>
      <c r="AR10" s="71" t="s">
        <v>212</v>
      </c>
      <c r="AS10" s="28" t="s">
        <v>219</v>
      </c>
      <c r="AT10" s="106">
        <v>0</v>
      </c>
      <c r="AU10" s="77">
        <v>0</v>
      </c>
      <c r="AV10" s="74">
        <v>0</v>
      </c>
      <c r="AW10" s="28">
        <v>1</v>
      </c>
      <c r="AX10" s="584">
        <v>1</v>
      </c>
      <c r="AY10" s="28">
        <v>1</v>
      </c>
      <c r="AZ10" s="28">
        <v>0</v>
      </c>
      <c r="BA10" s="28">
        <v>0</v>
      </c>
      <c r="BB10" s="28">
        <v>1</v>
      </c>
      <c r="BC10" s="28">
        <v>0</v>
      </c>
      <c r="BD10" s="89">
        <v>1</v>
      </c>
      <c r="BE10" s="28">
        <v>0</v>
      </c>
      <c r="BF10" s="28">
        <v>0</v>
      </c>
      <c r="BG10" s="28">
        <v>0</v>
      </c>
      <c r="BH10" s="74">
        <v>0</v>
      </c>
      <c r="BI10" s="27">
        <v>8</v>
      </c>
    </row>
    <row r="11" spans="1:61">
      <c r="A11" s="366" t="s">
        <v>165</v>
      </c>
      <c r="B11" s="71" t="s">
        <v>212</v>
      </c>
      <c r="C11" s="633" t="s">
        <v>220</v>
      </c>
      <c r="D11" s="88">
        <v>10.8</v>
      </c>
      <c r="E11" s="90">
        <v>0</v>
      </c>
      <c r="F11" s="28">
        <v>2</v>
      </c>
      <c r="G11" s="77">
        <v>6</v>
      </c>
      <c r="H11" s="584">
        <v>5</v>
      </c>
      <c r="I11" s="28">
        <v>10</v>
      </c>
      <c r="J11" s="28">
        <v>6</v>
      </c>
      <c r="K11" s="28">
        <v>2</v>
      </c>
      <c r="L11" s="28">
        <v>3</v>
      </c>
      <c r="M11" s="28">
        <v>0</v>
      </c>
      <c r="N11" s="89">
        <v>2.4</v>
      </c>
      <c r="O11" s="28">
        <v>0</v>
      </c>
      <c r="P11" s="28">
        <v>0</v>
      </c>
      <c r="Q11" s="28">
        <v>0</v>
      </c>
      <c r="R11" s="28">
        <v>0</v>
      </c>
      <c r="S11" s="75">
        <v>9</v>
      </c>
      <c r="V11" s="101" t="s">
        <v>226</v>
      </c>
      <c r="W11" s="71" t="s">
        <v>212</v>
      </c>
      <c r="X11" s="116" t="s">
        <v>261</v>
      </c>
      <c r="Y11" s="106">
        <v>0</v>
      </c>
      <c r="Z11" s="364">
        <v>0</v>
      </c>
      <c r="AA11" s="74">
        <v>0</v>
      </c>
      <c r="AB11" s="28">
        <v>4</v>
      </c>
      <c r="AC11" s="584">
        <v>6</v>
      </c>
      <c r="AD11" s="28">
        <v>3</v>
      </c>
      <c r="AE11" s="28">
        <v>0</v>
      </c>
      <c r="AF11" s="28">
        <v>1</v>
      </c>
      <c r="AG11" s="28">
        <v>10</v>
      </c>
      <c r="AH11" s="28">
        <v>0</v>
      </c>
      <c r="AI11" s="347">
        <v>0.66666666666666663</v>
      </c>
      <c r="AJ11" s="28">
        <v>0</v>
      </c>
      <c r="AK11" s="28">
        <v>0</v>
      </c>
      <c r="AL11" s="28">
        <v>0</v>
      </c>
      <c r="AM11" s="74">
        <v>0</v>
      </c>
      <c r="AN11" s="27">
        <v>9</v>
      </c>
      <c r="AQ11" s="101" t="s">
        <v>165</v>
      </c>
      <c r="AR11" s="71" t="s">
        <v>212</v>
      </c>
      <c r="AS11" s="28" t="s">
        <v>221</v>
      </c>
      <c r="AT11" s="106">
        <v>6.2355658198614314</v>
      </c>
      <c r="AU11" s="77">
        <v>0</v>
      </c>
      <c r="AV11" s="74">
        <v>1</v>
      </c>
      <c r="AW11" s="28">
        <v>3</v>
      </c>
      <c r="AX11" s="584">
        <v>4.33</v>
      </c>
      <c r="AY11" s="28">
        <v>4</v>
      </c>
      <c r="AZ11" s="28">
        <v>3</v>
      </c>
      <c r="BA11" s="28">
        <v>2</v>
      </c>
      <c r="BB11" s="28">
        <v>7</v>
      </c>
      <c r="BC11" s="28">
        <v>0</v>
      </c>
      <c r="BD11" s="89">
        <v>1.3856812933025404</v>
      </c>
      <c r="BE11" s="28">
        <v>0</v>
      </c>
      <c r="BF11" s="28">
        <v>0</v>
      </c>
      <c r="BG11" s="28">
        <v>0</v>
      </c>
      <c r="BH11" s="74">
        <v>0</v>
      </c>
      <c r="BI11" s="27">
        <v>9</v>
      </c>
    </row>
    <row r="12" spans="1:61">
      <c r="A12" s="366" t="s">
        <v>165</v>
      </c>
      <c r="B12" s="71" t="s">
        <v>212</v>
      </c>
      <c r="C12" s="28" t="s">
        <v>222</v>
      </c>
      <c r="D12" s="88">
        <v>4.9090909090909092</v>
      </c>
      <c r="E12" s="90">
        <v>1</v>
      </c>
      <c r="F12" s="28">
        <v>0</v>
      </c>
      <c r="G12" s="77">
        <v>9</v>
      </c>
      <c r="H12" s="584">
        <v>11</v>
      </c>
      <c r="I12" s="28">
        <v>13</v>
      </c>
      <c r="J12" s="28">
        <v>6</v>
      </c>
      <c r="K12" s="28">
        <v>4</v>
      </c>
      <c r="L12" s="28">
        <v>17</v>
      </c>
      <c r="M12" s="28">
        <v>1</v>
      </c>
      <c r="N12" s="89">
        <v>1.5454545454545454</v>
      </c>
      <c r="O12" s="28">
        <v>0</v>
      </c>
      <c r="P12" s="28">
        <v>0</v>
      </c>
      <c r="Q12" s="28">
        <v>0</v>
      </c>
      <c r="R12" s="28">
        <v>0</v>
      </c>
      <c r="S12" s="75">
        <v>10</v>
      </c>
      <c r="V12" s="101" t="s">
        <v>226</v>
      </c>
      <c r="W12" s="71" t="s">
        <v>212</v>
      </c>
      <c r="X12" s="116" t="s">
        <v>262</v>
      </c>
      <c r="Y12" s="106">
        <v>2.7</v>
      </c>
      <c r="Z12" s="364">
        <v>0</v>
      </c>
      <c r="AA12" s="74">
        <v>0</v>
      </c>
      <c r="AB12" s="28">
        <v>8</v>
      </c>
      <c r="AC12" s="584">
        <v>10</v>
      </c>
      <c r="AD12" s="28">
        <v>6</v>
      </c>
      <c r="AE12" s="28">
        <v>3</v>
      </c>
      <c r="AF12" s="28">
        <v>1</v>
      </c>
      <c r="AG12" s="28">
        <v>13</v>
      </c>
      <c r="AH12" s="28">
        <v>0</v>
      </c>
      <c r="AI12" s="89">
        <v>0.7</v>
      </c>
      <c r="AJ12" s="28">
        <v>0</v>
      </c>
      <c r="AK12" s="28">
        <v>0</v>
      </c>
      <c r="AL12" s="28">
        <v>0</v>
      </c>
      <c r="AM12" s="74">
        <v>0</v>
      </c>
      <c r="AN12" s="27">
        <v>10</v>
      </c>
      <c r="AQ12" s="101" t="s">
        <v>165</v>
      </c>
      <c r="AR12" s="71" t="s">
        <v>212</v>
      </c>
      <c r="AS12" s="28" t="s">
        <v>222</v>
      </c>
      <c r="AT12" s="106">
        <v>0</v>
      </c>
      <c r="AU12" s="77">
        <v>0</v>
      </c>
      <c r="AV12" s="74">
        <v>0</v>
      </c>
      <c r="AW12" s="28">
        <v>1</v>
      </c>
      <c r="AX12" s="584">
        <v>1</v>
      </c>
      <c r="AY12" s="28">
        <v>0</v>
      </c>
      <c r="AZ12" s="28">
        <v>0</v>
      </c>
      <c r="BA12" s="28">
        <v>0</v>
      </c>
      <c r="BB12" s="28">
        <v>1</v>
      </c>
      <c r="BC12" s="28">
        <v>0</v>
      </c>
      <c r="BD12" s="89">
        <v>0</v>
      </c>
      <c r="BE12" s="28">
        <v>0</v>
      </c>
      <c r="BF12" s="28">
        <v>0</v>
      </c>
      <c r="BG12" s="28">
        <v>0</v>
      </c>
      <c r="BH12" s="74">
        <v>0</v>
      </c>
      <c r="BI12" s="27">
        <v>10</v>
      </c>
    </row>
    <row r="13" spans="1:61">
      <c r="A13" s="101" t="s">
        <v>226</v>
      </c>
      <c r="B13" s="71" t="s">
        <v>206</v>
      </c>
      <c r="C13" s="28" t="s">
        <v>249</v>
      </c>
      <c r="D13" s="88">
        <v>2.5714285714285716</v>
      </c>
      <c r="E13" s="90">
        <v>0</v>
      </c>
      <c r="F13" s="28">
        <v>1</v>
      </c>
      <c r="G13" s="77">
        <v>1</v>
      </c>
      <c r="H13" s="584">
        <v>7</v>
      </c>
      <c r="I13" s="28">
        <v>7</v>
      </c>
      <c r="J13" s="28">
        <v>2</v>
      </c>
      <c r="K13" s="28">
        <v>3</v>
      </c>
      <c r="L13" s="28">
        <v>9</v>
      </c>
      <c r="M13" s="28">
        <v>0</v>
      </c>
      <c r="N13" s="89">
        <v>1.4285714285714286</v>
      </c>
      <c r="O13" s="28">
        <v>1</v>
      </c>
      <c r="P13" s="28">
        <v>1</v>
      </c>
      <c r="Q13" s="28">
        <v>0</v>
      </c>
      <c r="R13" s="28">
        <v>0</v>
      </c>
      <c r="S13" s="75">
        <v>11</v>
      </c>
      <c r="V13" s="365" t="s">
        <v>266</v>
      </c>
      <c r="W13" s="71" t="s">
        <v>206</v>
      </c>
      <c r="X13" s="116" t="s">
        <v>284</v>
      </c>
      <c r="Y13" s="106">
        <v>2.5576255131038836</v>
      </c>
      <c r="Z13" s="564">
        <v>4</v>
      </c>
      <c r="AA13" s="74">
        <v>1</v>
      </c>
      <c r="AB13" s="28">
        <v>5</v>
      </c>
      <c r="AC13" s="584">
        <v>31.67</v>
      </c>
      <c r="AD13" s="28">
        <v>29</v>
      </c>
      <c r="AE13" s="28">
        <v>9</v>
      </c>
      <c r="AF13" s="28">
        <v>14</v>
      </c>
      <c r="AG13" s="28">
        <v>29</v>
      </c>
      <c r="AH13" s="28">
        <v>0</v>
      </c>
      <c r="AI13" s="89">
        <v>1.3577518155983579</v>
      </c>
      <c r="AJ13" s="28">
        <v>3</v>
      </c>
      <c r="AK13" s="28">
        <v>2</v>
      </c>
      <c r="AL13" s="28">
        <v>0</v>
      </c>
      <c r="AM13" s="74">
        <v>0</v>
      </c>
      <c r="AN13" s="27">
        <v>11</v>
      </c>
      <c r="AQ13" s="101" t="s">
        <v>226</v>
      </c>
      <c r="AR13" s="71" t="s">
        <v>206</v>
      </c>
      <c r="AS13" s="28" t="s">
        <v>249</v>
      </c>
      <c r="AT13" s="106">
        <v>2.6335040234089249</v>
      </c>
      <c r="AU13" s="77">
        <v>1</v>
      </c>
      <c r="AV13" s="74">
        <v>1</v>
      </c>
      <c r="AW13" s="28">
        <v>2</v>
      </c>
      <c r="AX13" s="584">
        <v>13.67</v>
      </c>
      <c r="AY13" s="28">
        <v>14</v>
      </c>
      <c r="AZ13" s="28">
        <v>4</v>
      </c>
      <c r="BA13" s="28">
        <v>8</v>
      </c>
      <c r="BB13" s="28">
        <v>22</v>
      </c>
      <c r="BC13" s="28">
        <v>0</v>
      </c>
      <c r="BD13" s="89">
        <v>1.6093635698610096</v>
      </c>
      <c r="BE13" s="28">
        <v>2</v>
      </c>
      <c r="BF13" s="28">
        <v>1</v>
      </c>
      <c r="BG13" s="28">
        <v>0</v>
      </c>
      <c r="BH13" s="74">
        <v>0</v>
      </c>
      <c r="BI13" s="27">
        <v>11</v>
      </c>
    </row>
    <row r="14" spans="1:61">
      <c r="A14" s="101" t="s">
        <v>226</v>
      </c>
      <c r="B14" s="71" t="s">
        <v>206</v>
      </c>
      <c r="C14" s="633" t="s">
        <v>250</v>
      </c>
      <c r="D14" s="88">
        <v>1.125</v>
      </c>
      <c r="E14" s="90">
        <v>0</v>
      </c>
      <c r="F14" s="28">
        <v>0</v>
      </c>
      <c r="G14" s="77">
        <v>1</v>
      </c>
      <c r="H14" s="584">
        <v>8</v>
      </c>
      <c r="I14" s="28">
        <v>4</v>
      </c>
      <c r="J14" s="28">
        <v>1</v>
      </c>
      <c r="K14" s="28">
        <v>2</v>
      </c>
      <c r="L14" s="28">
        <v>5</v>
      </c>
      <c r="M14" s="28">
        <v>0</v>
      </c>
      <c r="N14" s="89">
        <v>0.75</v>
      </c>
      <c r="O14" s="28">
        <v>1</v>
      </c>
      <c r="P14" s="28">
        <v>1</v>
      </c>
      <c r="Q14" s="28">
        <v>0</v>
      </c>
      <c r="R14" s="28">
        <v>0</v>
      </c>
      <c r="S14" s="75">
        <v>12</v>
      </c>
      <c r="V14" s="365" t="s">
        <v>266</v>
      </c>
      <c r="W14" s="71" t="s">
        <v>206</v>
      </c>
      <c r="X14" s="116" t="s">
        <v>286</v>
      </c>
      <c r="Y14" s="106">
        <v>4.4540674296319214</v>
      </c>
      <c r="Z14" s="364">
        <v>1</v>
      </c>
      <c r="AA14" s="74">
        <v>1</v>
      </c>
      <c r="AB14" s="28">
        <v>5</v>
      </c>
      <c r="AC14" s="584">
        <v>32.33</v>
      </c>
      <c r="AD14" s="28">
        <v>27</v>
      </c>
      <c r="AE14" s="28">
        <v>16</v>
      </c>
      <c r="AF14" s="28">
        <v>11</v>
      </c>
      <c r="AG14" s="28">
        <v>36</v>
      </c>
      <c r="AH14" s="28">
        <v>0</v>
      </c>
      <c r="AI14" s="89">
        <v>1.1753789050417569</v>
      </c>
      <c r="AJ14" s="28">
        <v>2</v>
      </c>
      <c r="AK14" s="28">
        <v>2</v>
      </c>
      <c r="AL14" s="28">
        <v>0</v>
      </c>
      <c r="AM14" s="74">
        <v>0</v>
      </c>
      <c r="AN14" s="27">
        <v>12</v>
      </c>
      <c r="AQ14" s="101" t="s">
        <v>226</v>
      </c>
      <c r="AR14" s="71" t="s">
        <v>206</v>
      </c>
      <c r="AS14" s="28" t="s">
        <v>251</v>
      </c>
      <c r="AT14" s="106">
        <v>6.7478912839737584</v>
      </c>
      <c r="AU14" s="77">
        <v>1</v>
      </c>
      <c r="AV14" s="74">
        <v>1</v>
      </c>
      <c r="AW14" s="28">
        <v>2</v>
      </c>
      <c r="AX14" s="584">
        <v>10.67</v>
      </c>
      <c r="AY14" s="28">
        <v>13</v>
      </c>
      <c r="AZ14" s="28">
        <v>8</v>
      </c>
      <c r="BA14" s="28">
        <v>6</v>
      </c>
      <c r="BB14" s="28">
        <v>12</v>
      </c>
      <c r="BC14" s="28">
        <v>0</v>
      </c>
      <c r="BD14" s="89">
        <v>1.7806935332708529</v>
      </c>
      <c r="BE14" s="28">
        <v>0</v>
      </c>
      <c r="BF14" s="28">
        <v>0</v>
      </c>
      <c r="BG14" s="28">
        <v>0</v>
      </c>
      <c r="BH14" s="74">
        <v>0</v>
      </c>
      <c r="BI14" s="27">
        <v>12</v>
      </c>
    </row>
    <row r="15" spans="1:61">
      <c r="A15" s="101" t="s">
        <v>226</v>
      </c>
      <c r="B15" s="71" t="s">
        <v>206</v>
      </c>
      <c r="C15" s="633" t="s">
        <v>252</v>
      </c>
      <c r="D15" s="88">
        <v>0</v>
      </c>
      <c r="E15" s="90">
        <v>0</v>
      </c>
      <c r="F15" s="28">
        <v>0</v>
      </c>
      <c r="G15" s="77">
        <v>0</v>
      </c>
      <c r="H15" s="584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89">
        <v>0</v>
      </c>
      <c r="O15" s="28">
        <v>0</v>
      </c>
      <c r="P15" s="28">
        <v>0</v>
      </c>
      <c r="Q15" s="28">
        <v>0</v>
      </c>
      <c r="R15" s="28">
        <v>0</v>
      </c>
      <c r="S15" s="75">
        <v>13</v>
      </c>
      <c r="V15" s="365" t="s">
        <v>266</v>
      </c>
      <c r="W15" s="71" t="s">
        <v>206</v>
      </c>
      <c r="X15" s="116" t="s">
        <v>285</v>
      </c>
      <c r="Y15" s="106">
        <v>3.774193548387097</v>
      </c>
      <c r="Z15" s="564">
        <v>4</v>
      </c>
      <c r="AA15" s="74">
        <v>1</v>
      </c>
      <c r="AB15" s="28">
        <v>5</v>
      </c>
      <c r="AC15" s="584">
        <v>31</v>
      </c>
      <c r="AD15" s="28">
        <v>31</v>
      </c>
      <c r="AE15" s="28">
        <v>13</v>
      </c>
      <c r="AF15" s="28">
        <v>6</v>
      </c>
      <c r="AG15" s="28">
        <v>24</v>
      </c>
      <c r="AH15" s="28">
        <v>0</v>
      </c>
      <c r="AI15" s="89">
        <v>1.1935483870967742</v>
      </c>
      <c r="AJ15" s="28">
        <v>2</v>
      </c>
      <c r="AK15" s="28">
        <v>2</v>
      </c>
      <c r="AL15" s="28">
        <v>0</v>
      </c>
      <c r="AM15" s="74">
        <v>0</v>
      </c>
      <c r="AN15" s="27">
        <v>13</v>
      </c>
      <c r="AQ15" s="101" t="s">
        <v>226</v>
      </c>
      <c r="AR15" s="71" t="s">
        <v>206</v>
      </c>
      <c r="AS15" s="28" t="s">
        <v>250</v>
      </c>
      <c r="AT15" s="106">
        <v>7.2</v>
      </c>
      <c r="AU15" s="77">
        <v>0</v>
      </c>
      <c r="AV15" s="74">
        <v>1</v>
      </c>
      <c r="AW15" s="28">
        <v>1</v>
      </c>
      <c r="AX15" s="584">
        <v>5</v>
      </c>
      <c r="AY15" s="28">
        <v>7</v>
      </c>
      <c r="AZ15" s="28">
        <v>4</v>
      </c>
      <c r="BA15" s="28">
        <v>6</v>
      </c>
      <c r="BB15" s="28">
        <v>5</v>
      </c>
      <c r="BC15" s="28">
        <v>0</v>
      </c>
      <c r="BD15" s="89">
        <v>2.6</v>
      </c>
      <c r="BE15" s="28">
        <v>0</v>
      </c>
      <c r="BF15" s="28">
        <v>0</v>
      </c>
      <c r="BG15" s="28">
        <v>0</v>
      </c>
      <c r="BH15" s="74">
        <v>0</v>
      </c>
      <c r="BI15" s="27">
        <v>13</v>
      </c>
    </row>
    <row r="16" spans="1:61">
      <c r="A16" s="101" t="s">
        <v>226</v>
      </c>
      <c r="B16" s="71" t="s">
        <v>206</v>
      </c>
      <c r="C16" s="633" t="s">
        <v>253</v>
      </c>
      <c r="D16" s="88">
        <v>0</v>
      </c>
      <c r="E16" s="90">
        <v>0</v>
      </c>
      <c r="F16" s="28">
        <v>0</v>
      </c>
      <c r="G16" s="77">
        <v>0</v>
      </c>
      <c r="H16" s="584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89">
        <v>0</v>
      </c>
      <c r="O16" s="28">
        <v>0</v>
      </c>
      <c r="P16" s="28">
        <v>0</v>
      </c>
      <c r="Q16" s="28">
        <v>0</v>
      </c>
      <c r="R16" s="28">
        <v>0</v>
      </c>
      <c r="S16" s="75">
        <v>14</v>
      </c>
      <c r="V16" s="365" t="s">
        <v>266</v>
      </c>
      <c r="W16" s="71" t="s">
        <v>206</v>
      </c>
      <c r="X16" s="116" t="s">
        <v>289</v>
      </c>
      <c r="Y16" s="106">
        <v>3</v>
      </c>
      <c r="Z16" s="364">
        <v>1</v>
      </c>
      <c r="AA16" s="74">
        <v>0</v>
      </c>
      <c r="AB16" s="28">
        <v>3</v>
      </c>
      <c r="AC16" s="584">
        <v>9</v>
      </c>
      <c r="AD16" s="28">
        <v>8</v>
      </c>
      <c r="AE16" s="28">
        <v>3</v>
      </c>
      <c r="AF16" s="28">
        <v>3</v>
      </c>
      <c r="AG16" s="28">
        <v>3</v>
      </c>
      <c r="AH16" s="28">
        <v>0</v>
      </c>
      <c r="AI16" s="89">
        <v>1.2222222222222223</v>
      </c>
      <c r="AJ16" s="28">
        <v>0</v>
      </c>
      <c r="AK16" s="28">
        <v>0</v>
      </c>
      <c r="AL16" s="28">
        <v>0</v>
      </c>
      <c r="AM16" s="74">
        <v>0</v>
      </c>
      <c r="AN16" s="27">
        <v>14</v>
      </c>
      <c r="AQ16" s="101" t="s">
        <v>226</v>
      </c>
      <c r="AR16" s="71" t="s">
        <v>206</v>
      </c>
      <c r="AS16" s="28" t="s">
        <v>253</v>
      </c>
      <c r="AT16" s="106">
        <v>9</v>
      </c>
      <c r="AU16" s="77">
        <v>0</v>
      </c>
      <c r="AV16" s="74">
        <v>0</v>
      </c>
      <c r="AW16" s="28">
        <v>1</v>
      </c>
      <c r="AX16" s="584">
        <v>3</v>
      </c>
      <c r="AY16" s="28">
        <v>5</v>
      </c>
      <c r="AZ16" s="28">
        <v>3</v>
      </c>
      <c r="BA16" s="28">
        <v>2</v>
      </c>
      <c r="BB16" s="28">
        <v>2</v>
      </c>
      <c r="BC16" s="28">
        <v>0</v>
      </c>
      <c r="BD16" s="89">
        <v>2.3333333333333335</v>
      </c>
      <c r="BE16" s="28">
        <v>0</v>
      </c>
      <c r="BF16" s="28">
        <v>0</v>
      </c>
      <c r="BG16" s="28">
        <v>0</v>
      </c>
      <c r="BH16" s="74">
        <v>0</v>
      </c>
      <c r="BI16" s="27">
        <v>14</v>
      </c>
    </row>
    <row r="17" spans="1:61">
      <c r="A17" s="101" t="s">
        <v>226</v>
      </c>
      <c r="B17" s="71" t="s">
        <v>212</v>
      </c>
      <c r="C17" s="633" t="s">
        <v>254</v>
      </c>
      <c r="D17" s="88">
        <v>0</v>
      </c>
      <c r="E17" s="90">
        <v>0</v>
      </c>
      <c r="F17" s="28">
        <v>0</v>
      </c>
      <c r="G17" s="77">
        <v>0</v>
      </c>
      <c r="H17" s="584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89">
        <v>0</v>
      </c>
      <c r="O17" s="28">
        <v>0</v>
      </c>
      <c r="P17" s="28">
        <v>0</v>
      </c>
      <c r="Q17" s="28">
        <v>0</v>
      </c>
      <c r="R17" s="28">
        <v>0</v>
      </c>
      <c r="S17" s="75">
        <v>15</v>
      </c>
      <c r="V17" s="365" t="s">
        <v>266</v>
      </c>
      <c r="W17" s="71" t="s">
        <v>212</v>
      </c>
      <c r="X17" s="116" t="s">
        <v>291</v>
      </c>
      <c r="Y17" s="106">
        <v>0</v>
      </c>
      <c r="Z17" s="364">
        <v>0</v>
      </c>
      <c r="AA17" s="74">
        <v>0</v>
      </c>
      <c r="AB17" s="28">
        <v>0</v>
      </c>
      <c r="AC17" s="584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89">
        <v>0</v>
      </c>
      <c r="AJ17" s="28">
        <v>0</v>
      </c>
      <c r="AK17" s="28">
        <v>0</v>
      </c>
      <c r="AL17" s="28">
        <v>0</v>
      </c>
      <c r="AM17" s="74">
        <v>0</v>
      </c>
      <c r="AN17" s="27">
        <v>15</v>
      </c>
      <c r="AQ17" s="101" t="s">
        <v>226</v>
      </c>
      <c r="AR17" s="71" t="s">
        <v>212</v>
      </c>
      <c r="AS17" s="28" t="s">
        <v>254</v>
      </c>
      <c r="AT17" s="106">
        <v>0</v>
      </c>
      <c r="AU17" s="77">
        <v>0</v>
      </c>
      <c r="AV17" s="74">
        <v>0</v>
      </c>
      <c r="AW17" s="28">
        <v>0</v>
      </c>
      <c r="AX17" s="584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89">
        <v>0</v>
      </c>
      <c r="BE17" s="28">
        <v>0</v>
      </c>
      <c r="BF17" s="28">
        <v>0</v>
      </c>
      <c r="BG17" s="28">
        <v>0</v>
      </c>
      <c r="BH17" s="74">
        <v>0</v>
      </c>
      <c r="BI17" s="27">
        <v>15</v>
      </c>
    </row>
    <row r="18" spans="1:61">
      <c r="A18" s="101" t="s">
        <v>226</v>
      </c>
      <c r="B18" s="71" t="s">
        <v>215</v>
      </c>
      <c r="C18" s="633" t="s">
        <v>255</v>
      </c>
      <c r="D18" s="88">
        <v>0</v>
      </c>
      <c r="E18" s="90">
        <v>0</v>
      </c>
      <c r="F18" s="28">
        <v>0</v>
      </c>
      <c r="G18" s="77">
        <v>0</v>
      </c>
      <c r="H18" s="584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89">
        <v>0</v>
      </c>
      <c r="O18" s="28">
        <v>0</v>
      </c>
      <c r="P18" s="28">
        <v>0</v>
      </c>
      <c r="Q18" s="28">
        <v>0</v>
      </c>
      <c r="R18" s="28">
        <v>0</v>
      </c>
      <c r="S18" s="75">
        <v>16</v>
      </c>
      <c r="V18" s="365" t="s">
        <v>266</v>
      </c>
      <c r="W18" s="71" t="s">
        <v>212</v>
      </c>
      <c r="X18" s="116" t="s">
        <v>293</v>
      </c>
      <c r="Y18" s="106">
        <v>0</v>
      </c>
      <c r="Z18" s="364">
        <v>0</v>
      </c>
      <c r="AA18" s="74">
        <v>0</v>
      </c>
      <c r="AB18" s="28">
        <v>0</v>
      </c>
      <c r="AC18" s="584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89">
        <v>0</v>
      </c>
      <c r="AJ18" s="28">
        <v>0</v>
      </c>
      <c r="AK18" s="28">
        <v>0</v>
      </c>
      <c r="AL18" s="28">
        <v>0</v>
      </c>
      <c r="AM18" s="74">
        <v>0</v>
      </c>
      <c r="AN18" s="27">
        <v>16</v>
      </c>
      <c r="AQ18" s="101" t="s">
        <v>226</v>
      </c>
      <c r="AR18" s="71" t="s">
        <v>215</v>
      </c>
      <c r="AS18" s="28" t="s">
        <v>252</v>
      </c>
      <c r="AT18" s="106">
        <v>7.3569482288828336</v>
      </c>
      <c r="AU18" s="77">
        <v>0</v>
      </c>
      <c r="AV18" s="74">
        <v>0</v>
      </c>
      <c r="AW18" s="28">
        <v>2</v>
      </c>
      <c r="AX18" s="584">
        <v>3.67</v>
      </c>
      <c r="AY18" s="28">
        <v>4</v>
      </c>
      <c r="AZ18" s="28">
        <v>3</v>
      </c>
      <c r="BA18" s="28">
        <v>1</v>
      </c>
      <c r="BB18" s="28">
        <v>3</v>
      </c>
      <c r="BC18" s="28">
        <v>0</v>
      </c>
      <c r="BD18" s="89">
        <v>1.3623978201634879</v>
      </c>
      <c r="BE18" s="28">
        <v>0</v>
      </c>
      <c r="BF18" s="28">
        <v>0</v>
      </c>
      <c r="BG18" s="28">
        <v>0</v>
      </c>
      <c r="BH18" s="74">
        <v>0</v>
      </c>
      <c r="BI18" s="27">
        <v>16</v>
      </c>
    </row>
    <row r="19" spans="1:61">
      <c r="A19" s="101" t="s">
        <v>226</v>
      </c>
      <c r="B19" s="71" t="s">
        <v>215</v>
      </c>
      <c r="C19" s="633" t="s">
        <v>258</v>
      </c>
      <c r="D19" s="88">
        <v>0</v>
      </c>
      <c r="E19" s="90">
        <v>0</v>
      </c>
      <c r="F19" s="28">
        <v>0</v>
      </c>
      <c r="G19" s="77">
        <v>0</v>
      </c>
      <c r="H19" s="584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89">
        <v>0</v>
      </c>
      <c r="O19" s="28">
        <v>0</v>
      </c>
      <c r="P19" s="28">
        <v>0</v>
      </c>
      <c r="Q19" s="28">
        <v>0</v>
      </c>
      <c r="R19" s="28">
        <v>0</v>
      </c>
      <c r="S19" s="75">
        <v>17</v>
      </c>
      <c r="V19" s="365" t="s">
        <v>266</v>
      </c>
      <c r="W19" s="71" t="s">
        <v>212</v>
      </c>
      <c r="X19" s="116" t="s">
        <v>292</v>
      </c>
      <c r="Y19" s="106">
        <v>0</v>
      </c>
      <c r="Z19" s="364">
        <v>0</v>
      </c>
      <c r="AA19" s="74">
        <v>0</v>
      </c>
      <c r="AB19" s="28">
        <v>2</v>
      </c>
      <c r="AC19" s="584">
        <v>2</v>
      </c>
      <c r="AD19" s="28">
        <v>0</v>
      </c>
      <c r="AE19" s="28">
        <v>0</v>
      </c>
      <c r="AF19" s="28">
        <v>1</v>
      </c>
      <c r="AG19" s="28">
        <v>2</v>
      </c>
      <c r="AH19" s="28">
        <v>0</v>
      </c>
      <c r="AI19" s="89">
        <v>0.5</v>
      </c>
      <c r="AJ19" s="28">
        <v>0</v>
      </c>
      <c r="AK19" s="28">
        <v>0</v>
      </c>
      <c r="AL19" s="28">
        <v>0</v>
      </c>
      <c r="AM19" s="74">
        <v>0</v>
      </c>
      <c r="AN19" s="27">
        <v>17</v>
      </c>
      <c r="AQ19" s="101" t="s">
        <v>226</v>
      </c>
      <c r="AR19" s="71" t="s">
        <v>212</v>
      </c>
      <c r="AS19" s="28" t="s">
        <v>257</v>
      </c>
      <c r="AT19" s="106">
        <v>0</v>
      </c>
      <c r="AU19" s="77">
        <v>0</v>
      </c>
      <c r="AV19" s="74">
        <v>0</v>
      </c>
      <c r="AW19" s="28">
        <v>0</v>
      </c>
      <c r="AX19" s="584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89">
        <v>0</v>
      </c>
      <c r="BE19" s="28">
        <v>0</v>
      </c>
      <c r="BF19" s="28">
        <v>0</v>
      </c>
      <c r="BG19" s="28">
        <v>0</v>
      </c>
      <c r="BH19" s="74">
        <v>0</v>
      </c>
      <c r="BI19" s="27">
        <v>17</v>
      </c>
    </row>
    <row r="20" spans="1:61">
      <c r="A20" s="101" t="s">
        <v>226</v>
      </c>
      <c r="B20" s="71" t="s">
        <v>212</v>
      </c>
      <c r="C20" s="633" t="s">
        <v>259</v>
      </c>
      <c r="D20" s="1010" t="s">
        <v>2187</v>
      </c>
      <c r="E20" s="90">
        <v>0</v>
      </c>
      <c r="F20" s="28">
        <v>0</v>
      </c>
      <c r="G20" s="77">
        <v>1</v>
      </c>
      <c r="H20" s="584">
        <v>0</v>
      </c>
      <c r="I20" s="28">
        <v>2</v>
      </c>
      <c r="J20" s="28">
        <v>3</v>
      </c>
      <c r="K20" s="28">
        <v>1</v>
      </c>
      <c r="L20" s="28">
        <v>0</v>
      </c>
      <c r="M20" s="28">
        <v>0</v>
      </c>
      <c r="N20" s="1011" t="s">
        <v>2187</v>
      </c>
      <c r="O20" s="28">
        <v>0</v>
      </c>
      <c r="P20" s="28">
        <v>0</v>
      </c>
      <c r="Q20" s="28">
        <v>0</v>
      </c>
      <c r="R20" s="28">
        <v>0</v>
      </c>
      <c r="S20" s="75">
        <v>18</v>
      </c>
      <c r="V20" s="365" t="s">
        <v>266</v>
      </c>
      <c r="W20" s="71" t="s">
        <v>212</v>
      </c>
      <c r="X20" s="116" t="s">
        <v>294</v>
      </c>
      <c r="Y20" s="106">
        <v>5.7815845824411136</v>
      </c>
      <c r="Z20" s="364">
        <v>0</v>
      </c>
      <c r="AA20" s="74">
        <v>0</v>
      </c>
      <c r="AB20" s="28">
        <v>5</v>
      </c>
      <c r="AC20" s="584">
        <v>4.67</v>
      </c>
      <c r="AD20" s="28">
        <v>5</v>
      </c>
      <c r="AE20" s="28">
        <v>3</v>
      </c>
      <c r="AF20" s="28">
        <v>3</v>
      </c>
      <c r="AG20" s="28">
        <v>4</v>
      </c>
      <c r="AH20" s="28">
        <v>0</v>
      </c>
      <c r="AI20" s="89">
        <v>1.7130620985010707</v>
      </c>
      <c r="AJ20" s="28">
        <v>0</v>
      </c>
      <c r="AK20" s="28">
        <v>0</v>
      </c>
      <c r="AL20" s="28">
        <v>0</v>
      </c>
      <c r="AM20" s="74">
        <v>0</v>
      </c>
      <c r="AN20" s="27">
        <v>18</v>
      </c>
      <c r="AQ20" s="101" t="s">
        <v>226</v>
      </c>
      <c r="AR20" s="71" t="s">
        <v>212</v>
      </c>
      <c r="AS20" s="28" t="s">
        <v>259</v>
      </c>
      <c r="AT20" s="106">
        <v>0</v>
      </c>
      <c r="AU20" s="77">
        <v>0</v>
      </c>
      <c r="AV20" s="74">
        <v>0</v>
      </c>
      <c r="AW20" s="28">
        <v>2</v>
      </c>
      <c r="AX20" s="584">
        <v>1.33</v>
      </c>
      <c r="AY20" s="28">
        <v>1</v>
      </c>
      <c r="AZ20" s="28">
        <v>0</v>
      </c>
      <c r="BA20" s="28">
        <v>1</v>
      </c>
      <c r="BB20" s="28">
        <v>1</v>
      </c>
      <c r="BC20" s="28">
        <v>0</v>
      </c>
      <c r="BD20" s="89">
        <v>1.5037593984962405</v>
      </c>
      <c r="BE20" s="28">
        <v>0</v>
      </c>
      <c r="BF20" s="28">
        <v>0</v>
      </c>
      <c r="BG20" s="28">
        <v>0</v>
      </c>
      <c r="BH20" s="74">
        <v>0</v>
      </c>
      <c r="BI20" s="27">
        <v>18</v>
      </c>
    </row>
    <row r="21" spans="1:61">
      <c r="A21" s="101" t="s">
        <v>226</v>
      </c>
      <c r="B21" s="71" t="s">
        <v>212</v>
      </c>
      <c r="C21" s="633" t="s">
        <v>261</v>
      </c>
      <c r="D21" s="88">
        <v>0</v>
      </c>
      <c r="E21" s="90">
        <v>0</v>
      </c>
      <c r="F21" s="28">
        <v>0</v>
      </c>
      <c r="G21" s="77">
        <v>1</v>
      </c>
      <c r="H21" s="584">
        <v>1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89">
        <v>0</v>
      </c>
      <c r="O21" s="28">
        <v>0</v>
      </c>
      <c r="P21" s="28">
        <v>0</v>
      </c>
      <c r="Q21" s="28">
        <v>0</v>
      </c>
      <c r="R21" s="28">
        <v>0</v>
      </c>
      <c r="S21" s="75">
        <v>19</v>
      </c>
      <c r="V21" s="365" t="s">
        <v>266</v>
      </c>
      <c r="W21" s="71" t="s">
        <v>212</v>
      </c>
      <c r="X21" s="116" t="s">
        <v>295</v>
      </c>
      <c r="Y21" s="106">
        <v>3.3739456419868792</v>
      </c>
      <c r="Z21" s="364">
        <v>0</v>
      </c>
      <c r="AA21" s="74">
        <v>1</v>
      </c>
      <c r="AB21" s="28">
        <v>10</v>
      </c>
      <c r="AC21" s="584">
        <v>10.67</v>
      </c>
      <c r="AD21" s="28">
        <v>12</v>
      </c>
      <c r="AE21" s="28">
        <v>4</v>
      </c>
      <c r="AF21" s="28">
        <v>1</v>
      </c>
      <c r="AG21" s="28">
        <v>16</v>
      </c>
      <c r="AH21" s="28">
        <v>0</v>
      </c>
      <c r="AI21" s="89">
        <v>1.2183692596063731</v>
      </c>
      <c r="AJ21" s="28">
        <v>0</v>
      </c>
      <c r="AK21" s="28">
        <v>0</v>
      </c>
      <c r="AL21" s="28">
        <v>0</v>
      </c>
      <c r="AM21" s="74">
        <v>0</v>
      </c>
      <c r="AN21" s="27">
        <v>19</v>
      </c>
      <c r="AQ21" s="101" t="s">
        <v>226</v>
      </c>
      <c r="AR21" s="71" t="s">
        <v>212</v>
      </c>
      <c r="AS21" s="28" t="s">
        <v>262</v>
      </c>
      <c r="AT21" s="106">
        <v>0</v>
      </c>
      <c r="AU21" s="77">
        <v>0</v>
      </c>
      <c r="AV21" s="74">
        <v>0</v>
      </c>
      <c r="AW21" s="28">
        <v>3</v>
      </c>
      <c r="AX21" s="584">
        <v>4.67</v>
      </c>
      <c r="AY21" s="28">
        <v>3</v>
      </c>
      <c r="AZ21" s="28">
        <v>0</v>
      </c>
      <c r="BA21" s="28">
        <v>2</v>
      </c>
      <c r="BB21" s="28">
        <v>6</v>
      </c>
      <c r="BC21" s="28">
        <v>0</v>
      </c>
      <c r="BD21" s="89">
        <v>1.0706638115631693</v>
      </c>
      <c r="BE21" s="28">
        <v>0</v>
      </c>
      <c r="BF21" s="28">
        <v>0</v>
      </c>
      <c r="BG21" s="28">
        <v>0</v>
      </c>
      <c r="BH21" s="74">
        <v>0</v>
      </c>
      <c r="BI21" s="27">
        <v>19</v>
      </c>
    </row>
    <row r="22" spans="1:61">
      <c r="A22" s="101" t="s">
        <v>226</v>
      </c>
      <c r="B22" s="71" t="s">
        <v>212</v>
      </c>
      <c r="C22" s="633" t="s">
        <v>262</v>
      </c>
      <c r="D22" s="88">
        <v>10.778443113772456</v>
      </c>
      <c r="E22" s="90">
        <v>0</v>
      </c>
      <c r="F22" s="28">
        <v>1</v>
      </c>
      <c r="G22" s="77">
        <v>1</v>
      </c>
      <c r="H22" s="584">
        <v>1.67</v>
      </c>
      <c r="I22" s="28">
        <v>3</v>
      </c>
      <c r="J22" s="28">
        <v>2</v>
      </c>
      <c r="K22" s="28">
        <v>0</v>
      </c>
      <c r="L22" s="28">
        <v>1</v>
      </c>
      <c r="M22" s="28">
        <v>0</v>
      </c>
      <c r="N22" s="89">
        <v>1.7964071856287427</v>
      </c>
      <c r="O22" s="28">
        <v>0</v>
      </c>
      <c r="P22" s="28">
        <v>0</v>
      </c>
      <c r="Q22" s="28">
        <v>0</v>
      </c>
      <c r="R22" s="28">
        <v>0</v>
      </c>
      <c r="S22" s="75">
        <v>20</v>
      </c>
      <c r="V22" s="365" t="s">
        <v>266</v>
      </c>
      <c r="W22" s="345" t="s">
        <v>212</v>
      </c>
      <c r="X22" s="71" t="s">
        <v>296</v>
      </c>
      <c r="Y22" s="106">
        <v>0</v>
      </c>
      <c r="Z22" s="364">
        <v>1</v>
      </c>
      <c r="AA22" s="74">
        <v>0</v>
      </c>
      <c r="AB22" s="76">
        <v>12</v>
      </c>
      <c r="AC22" s="584">
        <v>14.67</v>
      </c>
      <c r="AD22" s="28">
        <v>8</v>
      </c>
      <c r="AE22" s="28">
        <v>0</v>
      </c>
      <c r="AF22" s="28">
        <v>3</v>
      </c>
      <c r="AG22" s="28">
        <v>11</v>
      </c>
      <c r="AH22" s="76">
        <v>5</v>
      </c>
      <c r="AI22" s="89">
        <v>0.74982958418541246</v>
      </c>
      <c r="AJ22" s="28">
        <v>0</v>
      </c>
      <c r="AK22" s="28">
        <v>0</v>
      </c>
      <c r="AL22" s="28">
        <v>0</v>
      </c>
      <c r="AM22" s="74">
        <v>0</v>
      </c>
      <c r="AN22" s="27">
        <v>20</v>
      </c>
      <c r="AQ22" s="101" t="s">
        <v>226</v>
      </c>
      <c r="AR22" s="71" t="s">
        <v>212</v>
      </c>
      <c r="AS22" s="28" t="s">
        <v>261</v>
      </c>
      <c r="AT22" s="106">
        <v>0</v>
      </c>
      <c r="AU22" s="77">
        <v>0</v>
      </c>
      <c r="AV22" s="74">
        <v>0</v>
      </c>
      <c r="AW22" s="28">
        <v>2</v>
      </c>
      <c r="AX22" s="584">
        <v>2</v>
      </c>
      <c r="AY22" s="28">
        <v>0</v>
      </c>
      <c r="AZ22" s="28">
        <v>0</v>
      </c>
      <c r="BA22" s="28">
        <v>2</v>
      </c>
      <c r="BB22" s="28">
        <v>5</v>
      </c>
      <c r="BC22" s="28">
        <v>1</v>
      </c>
      <c r="BD22" s="89">
        <v>1</v>
      </c>
      <c r="BE22" s="28">
        <v>0</v>
      </c>
      <c r="BF22" s="28">
        <v>0</v>
      </c>
      <c r="BG22" s="28">
        <v>0</v>
      </c>
      <c r="BH22" s="74">
        <v>0</v>
      </c>
      <c r="BI22" s="27">
        <v>20</v>
      </c>
    </row>
    <row r="23" spans="1:61">
      <c r="A23" s="101" t="s">
        <v>300</v>
      </c>
      <c r="B23" s="71" t="s">
        <v>206</v>
      </c>
      <c r="C23" s="633" t="s">
        <v>322</v>
      </c>
      <c r="D23" s="88">
        <v>2.1428571428571428</v>
      </c>
      <c r="E23" s="90">
        <v>2</v>
      </c>
      <c r="F23" s="28">
        <v>1</v>
      </c>
      <c r="G23" s="77">
        <v>3</v>
      </c>
      <c r="H23" s="584">
        <v>21</v>
      </c>
      <c r="I23" s="28">
        <v>11</v>
      </c>
      <c r="J23" s="28">
        <v>5</v>
      </c>
      <c r="K23" s="28">
        <v>9</v>
      </c>
      <c r="L23" s="28">
        <v>25</v>
      </c>
      <c r="M23" s="28">
        <v>0</v>
      </c>
      <c r="N23" s="89">
        <v>0.95238095238095233</v>
      </c>
      <c r="O23" s="28">
        <v>2</v>
      </c>
      <c r="P23" s="28">
        <v>2</v>
      </c>
      <c r="Q23" s="28">
        <v>0</v>
      </c>
      <c r="R23" s="28">
        <v>0</v>
      </c>
      <c r="S23" s="75">
        <v>21</v>
      </c>
      <c r="V23" s="101" t="s">
        <v>300</v>
      </c>
      <c r="W23" s="71" t="s">
        <v>206</v>
      </c>
      <c r="X23" s="71" t="s">
        <v>323</v>
      </c>
      <c r="Y23" s="106">
        <v>16.628175519630485</v>
      </c>
      <c r="Z23" s="364">
        <v>0</v>
      </c>
      <c r="AA23" s="74">
        <v>1</v>
      </c>
      <c r="AB23" s="28">
        <v>1</v>
      </c>
      <c r="AC23" s="584">
        <v>4.33</v>
      </c>
      <c r="AD23" s="28">
        <v>10</v>
      </c>
      <c r="AE23" s="28">
        <v>8</v>
      </c>
      <c r="AF23" s="28">
        <v>2</v>
      </c>
      <c r="AG23" s="28">
        <v>3</v>
      </c>
      <c r="AH23" s="28">
        <v>0</v>
      </c>
      <c r="AI23" s="89">
        <v>2.7713625866050808</v>
      </c>
      <c r="AJ23" s="28">
        <v>0</v>
      </c>
      <c r="AK23" s="28">
        <v>0</v>
      </c>
      <c r="AL23" s="28">
        <v>0</v>
      </c>
      <c r="AM23" s="74">
        <v>0</v>
      </c>
      <c r="AN23" s="27">
        <v>21</v>
      </c>
      <c r="AQ23" s="101" t="s">
        <v>394</v>
      </c>
      <c r="AR23" s="71" t="s">
        <v>206</v>
      </c>
      <c r="AS23" s="28" t="s">
        <v>414</v>
      </c>
      <c r="AT23" s="106">
        <v>4.9113233287858113</v>
      </c>
      <c r="AU23" s="77">
        <v>1</v>
      </c>
      <c r="AV23" s="74">
        <v>0</v>
      </c>
      <c r="AW23" s="28">
        <v>1</v>
      </c>
      <c r="AX23" s="584">
        <v>7.33</v>
      </c>
      <c r="AY23" s="28">
        <v>8</v>
      </c>
      <c r="AZ23" s="28">
        <v>4</v>
      </c>
      <c r="BA23" s="28">
        <v>1</v>
      </c>
      <c r="BB23" s="28">
        <v>7</v>
      </c>
      <c r="BC23" s="28">
        <v>0</v>
      </c>
      <c r="BD23" s="89">
        <v>1.2278308321964528</v>
      </c>
      <c r="BE23" s="28">
        <v>0</v>
      </c>
      <c r="BF23" s="28">
        <v>0</v>
      </c>
      <c r="BG23" s="28">
        <v>0</v>
      </c>
      <c r="BH23" s="74">
        <v>0</v>
      </c>
      <c r="BI23" s="27">
        <v>21</v>
      </c>
    </row>
    <row r="24" spans="1:61">
      <c r="A24" s="101" t="s">
        <v>300</v>
      </c>
      <c r="B24" s="71" t="s">
        <v>206</v>
      </c>
      <c r="C24" s="28" t="s">
        <v>323</v>
      </c>
      <c r="D24" s="88">
        <v>2.25</v>
      </c>
      <c r="E24" s="90">
        <v>2</v>
      </c>
      <c r="F24" s="28">
        <v>0</v>
      </c>
      <c r="G24" s="77">
        <v>3</v>
      </c>
      <c r="H24" s="584">
        <v>20</v>
      </c>
      <c r="I24" s="28">
        <v>21</v>
      </c>
      <c r="J24" s="28">
        <v>5</v>
      </c>
      <c r="K24" s="28">
        <v>3</v>
      </c>
      <c r="L24" s="28">
        <v>9</v>
      </c>
      <c r="M24" s="28">
        <v>0</v>
      </c>
      <c r="N24" s="89">
        <v>1.2</v>
      </c>
      <c r="O24" s="28">
        <v>3</v>
      </c>
      <c r="P24" s="28">
        <v>2</v>
      </c>
      <c r="Q24" s="28">
        <v>0</v>
      </c>
      <c r="R24" s="28">
        <v>0</v>
      </c>
      <c r="S24" s="75">
        <v>22</v>
      </c>
      <c r="V24" s="101" t="s">
        <v>300</v>
      </c>
      <c r="W24" s="71" t="s">
        <v>206</v>
      </c>
      <c r="X24" s="116" t="s">
        <v>324</v>
      </c>
      <c r="Y24" s="106">
        <v>1.5873015873015872</v>
      </c>
      <c r="Z24" s="364">
        <v>1</v>
      </c>
      <c r="AA24" s="74">
        <v>0</v>
      </c>
      <c r="AB24" s="28">
        <v>1</v>
      </c>
      <c r="AC24" s="584">
        <v>5.67</v>
      </c>
      <c r="AD24" s="28">
        <v>9</v>
      </c>
      <c r="AE24" s="28">
        <v>1</v>
      </c>
      <c r="AF24" s="28">
        <v>3</v>
      </c>
      <c r="AG24" s="28">
        <v>8</v>
      </c>
      <c r="AH24" s="28">
        <v>0</v>
      </c>
      <c r="AI24" s="89">
        <v>2.1164021164021163</v>
      </c>
      <c r="AJ24" s="28">
        <v>0</v>
      </c>
      <c r="AK24" s="28">
        <v>0</v>
      </c>
      <c r="AL24" s="28">
        <v>0</v>
      </c>
      <c r="AM24" s="74">
        <v>0</v>
      </c>
      <c r="AN24" s="27">
        <v>22</v>
      </c>
      <c r="AQ24" s="101" t="s">
        <v>394</v>
      </c>
      <c r="AR24" s="71" t="s">
        <v>206</v>
      </c>
      <c r="AS24" s="28" t="s">
        <v>415</v>
      </c>
      <c r="AT24" s="106">
        <v>2.5714285714285716</v>
      </c>
      <c r="AU24" s="77">
        <v>0</v>
      </c>
      <c r="AV24" s="74">
        <v>1</v>
      </c>
      <c r="AW24" s="28">
        <v>1</v>
      </c>
      <c r="AX24" s="584">
        <v>7</v>
      </c>
      <c r="AY24" s="28">
        <v>7</v>
      </c>
      <c r="AZ24" s="28">
        <v>2</v>
      </c>
      <c r="BA24" s="28">
        <v>1</v>
      </c>
      <c r="BB24" s="28">
        <v>10</v>
      </c>
      <c r="BC24" s="28">
        <v>0</v>
      </c>
      <c r="BD24" s="89">
        <v>1.1428571428571428</v>
      </c>
      <c r="BE24" s="28">
        <v>1</v>
      </c>
      <c r="BF24" s="28">
        <v>1</v>
      </c>
      <c r="BG24" s="28">
        <v>0</v>
      </c>
      <c r="BH24" s="74">
        <v>0</v>
      </c>
      <c r="BI24" s="27">
        <v>22</v>
      </c>
    </row>
    <row r="25" spans="1:61">
      <c r="A25" s="101" t="s">
        <v>300</v>
      </c>
      <c r="B25" s="71" t="s">
        <v>206</v>
      </c>
      <c r="C25" s="633" t="s">
        <v>326</v>
      </c>
      <c r="D25" s="88">
        <v>2.5714285714285716</v>
      </c>
      <c r="E25" s="90">
        <v>0</v>
      </c>
      <c r="F25" s="28">
        <v>1</v>
      </c>
      <c r="G25" s="77">
        <v>1</v>
      </c>
      <c r="H25" s="584">
        <v>7</v>
      </c>
      <c r="I25" s="28">
        <v>6</v>
      </c>
      <c r="J25" s="28">
        <v>2</v>
      </c>
      <c r="K25" s="28">
        <v>0</v>
      </c>
      <c r="L25" s="28">
        <v>8</v>
      </c>
      <c r="M25" s="28">
        <v>0</v>
      </c>
      <c r="N25" s="89">
        <v>0.8571428571428571</v>
      </c>
      <c r="O25" s="28">
        <v>1</v>
      </c>
      <c r="P25" s="28">
        <v>1</v>
      </c>
      <c r="Q25" s="28">
        <v>0</v>
      </c>
      <c r="R25" s="28">
        <v>0</v>
      </c>
      <c r="S25" s="75">
        <v>23</v>
      </c>
      <c r="V25" s="101" t="s">
        <v>300</v>
      </c>
      <c r="W25" s="71" t="s">
        <v>206</v>
      </c>
      <c r="X25" s="116" t="s">
        <v>326</v>
      </c>
      <c r="Y25" s="106">
        <v>2.6986506746626686</v>
      </c>
      <c r="Z25" s="364">
        <v>0</v>
      </c>
      <c r="AA25" s="74">
        <v>0</v>
      </c>
      <c r="AB25" s="28">
        <v>1</v>
      </c>
      <c r="AC25" s="584">
        <v>6.67</v>
      </c>
      <c r="AD25" s="28">
        <v>6</v>
      </c>
      <c r="AE25" s="28">
        <v>2</v>
      </c>
      <c r="AF25" s="28">
        <v>1</v>
      </c>
      <c r="AG25" s="28">
        <v>7</v>
      </c>
      <c r="AH25" s="28">
        <v>0</v>
      </c>
      <c r="AI25" s="89">
        <v>1.0494752623688155</v>
      </c>
      <c r="AJ25" s="28">
        <v>1</v>
      </c>
      <c r="AK25" s="28">
        <v>0</v>
      </c>
      <c r="AL25" s="28">
        <v>0</v>
      </c>
      <c r="AM25" s="74">
        <v>0</v>
      </c>
      <c r="AN25" s="27">
        <v>23</v>
      </c>
      <c r="AQ25" s="101" t="s">
        <v>394</v>
      </c>
      <c r="AR25" s="71" t="s">
        <v>206</v>
      </c>
      <c r="AS25" s="28" t="s">
        <v>417</v>
      </c>
      <c r="AT25" s="106">
        <v>4.5</v>
      </c>
      <c r="AU25" s="77">
        <v>0</v>
      </c>
      <c r="AV25" s="74">
        <v>1</v>
      </c>
      <c r="AW25" s="28">
        <v>1</v>
      </c>
      <c r="AX25" s="584">
        <v>6</v>
      </c>
      <c r="AY25" s="28">
        <v>6</v>
      </c>
      <c r="AZ25" s="28">
        <v>3</v>
      </c>
      <c r="BA25" s="28">
        <v>3</v>
      </c>
      <c r="BB25" s="28">
        <v>5</v>
      </c>
      <c r="BC25" s="28">
        <v>0</v>
      </c>
      <c r="BD25" s="89">
        <v>1.5</v>
      </c>
      <c r="BE25" s="28">
        <v>1</v>
      </c>
      <c r="BF25" s="28">
        <v>0</v>
      </c>
      <c r="BG25" s="28">
        <v>0</v>
      </c>
      <c r="BH25" s="74">
        <v>0</v>
      </c>
      <c r="BI25" s="27">
        <v>23</v>
      </c>
    </row>
    <row r="26" spans="1:61">
      <c r="A26" s="101" t="s">
        <v>300</v>
      </c>
      <c r="B26" s="71" t="s">
        <v>206</v>
      </c>
      <c r="C26" s="633" t="s">
        <v>324</v>
      </c>
      <c r="D26" s="88">
        <v>0</v>
      </c>
      <c r="E26" s="90">
        <v>0</v>
      </c>
      <c r="F26" s="28">
        <v>0</v>
      </c>
      <c r="G26" s="77">
        <v>1</v>
      </c>
      <c r="H26" s="584">
        <v>0.33</v>
      </c>
      <c r="I26" s="28">
        <v>1</v>
      </c>
      <c r="J26" s="28">
        <v>0</v>
      </c>
      <c r="K26" s="28">
        <v>1</v>
      </c>
      <c r="L26" s="28">
        <v>0</v>
      </c>
      <c r="M26" s="28">
        <v>0</v>
      </c>
      <c r="N26" s="89">
        <v>6.0606060606060606</v>
      </c>
      <c r="O26" s="28">
        <v>0</v>
      </c>
      <c r="P26" s="28">
        <v>0</v>
      </c>
      <c r="Q26" s="28">
        <v>0</v>
      </c>
      <c r="R26" s="28">
        <v>0</v>
      </c>
      <c r="S26" s="75">
        <v>24</v>
      </c>
      <c r="V26" s="101" t="s">
        <v>300</v>
      </c>
      <c r="W26" s="71" t="s">
        <v>206</v>
      </c>
      <c r="X26" s="116" t="s">
        <v>328</v>
      </c>
      <c r="Y26" s="106">
        <v>0</v>
      </c>
      <c r="Z26" s="364">
        <v>0</v>
      </c>
      <c r="AA26" s="74">
        <v>0</v>
      </c>
      <c r="AB26" s="28">
        <v>0</v>
      </c>
      <c r="AC26" s="584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89">
        <v>0</v>
      </c>
      <c r="AJ26" s="28">
        <v>0</v>
      </c>
      <c r="AK26" s="28">
        <v>0</v>
      </c>
      <c r="AL26" s="28">
        <v>0</v>
      </c>
      <c r="AM26" s="74">
        <v>0</v>
      </c>
      <c r="AN26" s="27">
        <v>24</v>
      </c>
      <c r="AQ26" s="101" t="s">
        <v>394</v>
      </c>
      <c r="AR26" s="71" t="s">
        <v>206</v>
      </c>
      <c r="AS26" s="28" t="s">
        <v>418</v>
      </c>
      <c r="AT26" s="106">
        <v>0</v>
      </c>
      <c r="AU26" s="77">
        <v>0</v>
      </c>
      <c r="AV26" s="74">
        <v>0</v>
      </c>
      <c r="AW26" s="28">
        <v>0</v>
      </c>
      <c r="AX26" s="584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89">
        <v>0</v>
      </c>
      <c r="BE26" s="28">
        <v>0</v>
      </c>
      <c r="BF26" s="28">
        <v>0</v>
      </c>
      <c r="BG26" s="28">
        <v>0</v>
      </c>
      <c r="BH26" s="74">
        <v>0</v>
      </c>
      <c r="BI26" s="27">
        <v>24</v>
      </c>
    </row>
    <row r="27" spans="1:61">
      <c r="A27" s="101" t="s">
        <v>300</v>
      </c>
      <c r="B27" s="71" t="s">
        <v>212</v>
      </c>
      <c r="C27" s="633" t="s">
        <v>328</v>
      </c>
      <c r="D27" s="88">
        <v>0</v>
      </c>
      <c r="E27" s="90">
        <v>0</v>
      </c>
      <c r="F27" s="28">
        <v>0</v>
      </c>
      <c r="G27" s="77">
        <v>0</v>
      </c>
      <c r="H27" s="584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89">
        <v>0</v>
      </c>
      <c r="O27" s="28">
        <v>0</v>
      </c>
      <c r="P27" s="28">
        <v>0</v>
      </c>
      <c r="Q27" s="28">
        <v>0</v>
      </c>
      <c r="R27" s="28">
        <v>0</v>
      </c>
      <c r="S27" s="75">
        <v>25</v>
      </c>
      <c r="V27" s="101" t="s">
        <v>300</v>
      </c>
      <c r="W27" s="71" t="s">
        <v>215</v>
      </c>
      <c r="X27" s="116" t="s">
        <v>322</v>
      </c>
      <c r="Y27" s="106">
        <v>0</v>
      </c>
      <c r="Z27" s="364">
        <v>0</v>
      </c>
      <c r="AA27" s="74">
        <v>0</v>
      </c>
      <c r="AB27" s="28">
        <v>0</v>
      </c>
      <c r="AC27" s="584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89">
        <v>0</v>
      </c>
      <c r="AJ27" s="28">
        <v>0</v>
      </c>
      <c r="AK27" s="28">
        <v>0</v>
      </c>
      <c r="AL27" s="28">
        <v>0</v>
      </c>
      <c r="AM27" s="74">
        <v>0</v>
      </c>
      <c r="AN27" s="27">
        <v>25</v>
      </c>
      <c r="AQ27" s="101" t="s">
        <v>394</v>
      </c>
      <c r="AR27" s="71" t="s">
        <v>212</v>
      </c>
      <c r="AS27" s="28" t="s">
        <v>420</v>
      </c>
      <c r="AT27" s="106">
        <v>0</v>
      </c>
      <c r="AU27" s="77">
        <v>0</v>
      </c>
      <c r="AV27" s="74">
        <v>0</v>
      </c>
      <c r="AW27" s="28">
        <v>0</v>
      </c>
      <c r="AX27" s="584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89">
        <v>0</v>
      </c>
      <c r="BE27" s="28">
        <v>0</v>
      </c>
      <c r="BF27" s="28">
        <v>0</v>
      </c>
      <c r="BG27" s="28">
        <v>0</v>
      </c>
      <c r="BH27" s="74">
        <v>0</v>
      </c>
      <c r="BI27" s="27">
        <v>25</v>
      </c>
    </row>
    <row r="28" spans="1:61">
      <c r="A28" s="101" t="s">
        <v>300</v>
      </c>
      <c r="B28" s="71" t="s">
        <v>215</v>
      </c>
      <c r="C28" s="633" t="s">
        <v>329</v>
      </c>
      <c r="D28" s="88">
        <v>0</v>
      </c>
      <c r="E28" s="90">
        <v>0</v>
      </c>
      <c r="F28" s="28">
        <v>0</v>
      </c>
      <c r="G28" s="77">
        <v>0</v>
      </c>
      <c r="H28" s="584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89">
        <v>0</v>
      </c>
      <c r="O28" s="28">
        <v>0</v>
      </c>
      <c r="P28" s="28">
        <v>0</v>
      </c>
      <c r="Q28" s="28">
        <v>0</v>
      </c>
      <c r="R28" s="28">
        <v>0</v>
      </c>
      <c r="S28" s="75">
        <v>26</v>
      </c>
      <c r="V28" s="101" t="s">
        <v>300</v>
      </c>
      <c r="W28" s="71" t="s">
        <v>212</v>
      </c>
      <c r="X28" s="116" t="s">
        <v>331</v>
      </c>
      <c r="Y28" s="106">
        <v>0</v>
      </c>
      <c r="Z28" s="364">
        <v>0</v>
      </c>
      <c r="AA28" s="74">
        <v>0</v>
      </c>
      <c r="AB28" s="28">
        <v>1</v>
      </c>
      <c r="AC28" s="584">
        <v>1</v>
      </c>
      <c r="AD28" s="28">
        <v>1</v>
      </c>
      <c r="AE28" s="28">
        <v>0</v>
      </c>
      <c r="AF28" s="28">
        <v>1</v>
      </c>
      <c r="AG28" s="28">
        <v>1</v>
      </c>
      <c r="AH28" s="28">
        <v>0</v>
      </c>
      <c r="AI28" s="89">
        <v>2</v>
      </c>
      <c r="AJ28" s="28">
        <v>0</v>
      </c>
      <c r="AK28" s="28">
        <v>0</v>
      </c>
      <c r="AL28" s="28">
        <v>0</v>
      </c>
      <c r="AM28" s="74">
        <v>0</v>
      </c>
      <c r="AN28" s="27">
        <v>26</v>
      </c>
      <c r="AQ28" s="101" t="s">
        <v>394</v>
      </c>
      <c r="AR28" s="71" t="s">
        <v>212</v>
      </c>
      <c r="AS28" s="28" t="s">
        <v>422</v>
      </c>
      <c r="AT28" s="106">
        <v>0</v>
      </c>
      <c r="AU28" s="77">
        <v>0</v>
      </c>
      <c r="AV28" s="74">
        <v>0</v>
      </c>
      <c r="AW28" s="28">
        <v>0</v>
      </c>
      <c r="AX28" s="584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89">
        <v>0</v>
      </c>
      <c r="BE28" s="28">
        <v>0</v>
      </c>
      <c r="BF28" s="28">
        <v>0</v>
      </c>
      <c r="BG28" s="28">
        <v>0</v>
      </c>
      <c r="BH28" s="74">
        <v>0</v>
      </c>
      <c r="BI28" s="27">
        <v>26</v>
      </c>
    </row>
    <row r="29" spans="1:61">
      <c r="A29" s="101" t="s">
        <v>300</v>
      </c>
      <c r="B29" s="71" t="s">
        <v>212</v>
      </c>
      <c r="C29" s="633" t="s">
        <v>330</v>
      </c>
      <c r="D29" s="88">
        <v>0</v>
      </c>
      <c r="E29" s="90">
        <v>0</v>
      </c>
      <c r="F29" s="28">
        <v>0</v>
      </c>
      <c r="G29" s="77">
        <v>0</v>
      </c>
      <c r="H29" s="584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89">
        <v>0</v>
      </c>
      <c r="O29" s="28">
        <v>0</v>
      </c>
      <c r="P29" s="28">
        <v>0</v>
      </c>
      <c r="Q29" s="28">
        <v>0</v>
      </c>
      <c r="R29" s="28">
        <v>0</v>
      </c>
      <c r="S29" s="75">
        <v>27</v>
      </c>
      <c r="V29" s="101" t="s">
        <v>300</v>
      </c>
      <c r="W29" s="71" t="s">
        <v>212</v>
      </c>
      <c r="X29" s="116" t="s">
        <v>330</v>
      </c>
      <c r="Y29" s="106">
        <v>3.3707865168539328</v>
      </c>
      <c r="Z29" s="364">
        <v>0</v>
      </c>
      <c r="AA29" s="74">
        <v>0</v>
      </c>
      <c r="AB29" s="28">
        <v>1</v>
      </c>
      <c r="AC29" s="584">
        <v>2.67</v>
      </c>
      <c r="AD29" s="28">
        <v>2</v>
      </c>
      <c r="AE29" s="28">
        <v>1</v>
      </c>
      <c r="AF29" s="28">
        <v>1</v>
      </c>
      <c r="AG29" s="28">
        <v>2</v>
      </c>
      <c r="AH29" s="28">
        <v>0</v>
      </c>
      <c r="AI29" s="89">
        <v>1.1235955056179776</v>
      </c>
      <c r="AJ29" s="28">
        <v>0</v>
      </c>
      <c r="AK29" s="28">
        <v>0</v>
      </c>
      <c r="AL29" s="28">
        <v>0</v>
      </c>
      <c r="AM29" s="74">
        <v>0</v>
      </c>
      <c r="AN29" s="27">
        <v>27</v>
      </c>
      <c r="AQ29" s="101" t="s">
        <v>394</v>
      </c>
      <c r="AR29" s="71" t="s">
        <v>212</v>
      </c>
      <c r="AS29" s="28" t="s">
        <v>416</v>
      </c>
      <c r="AT29" s="106">
        <v>4.5</v>
      </c>
      <c r="AU29" s="77">
        <v>0</v>
      </c>
      <c r="AV29" s="74">
        <v>0</v>
      </c>
      <c r="AW29" s="28">
        <v>1</v>
      </c>
      <c r="AX29" s="584">
        <v>2</v>
      </c>
      <c r="AY29" s="28">
        <v>1</v>
      </c>
      <c r="AZ29" s="28">
        <v>1</v>
      </c>
      <c r="BA29" s="28">
        <v>1</v>
      </c>
      <c r="BB29" s="28">
        <v>1</v>
      </c>
      <c r="BC29" s="28">
        <v>0</v>
      </c>
      <c r="BD29" s="89">
        <v>1</v>
      </c>
      <c r="BE29" s="28">
        <v>0</v>
      </c>
      <c r="BF29" s="28">
        <v>0</v>
      </c>
      <c r="BG29" s="28">
        <v>0</v>
      </c>
      <c r="BH29" s="74">
        <v>0</v>
      </c>
      <c r="BI29" s="27">
        <v>27</v>
      </c>
    </row>
    <row r="30" spans="1:61">
      <c r="A30" s="101" t="s">
        <v>300</v>
      </c>
      <c r="B30" s="71" t="s">
        <v>212</v>
      </c>
      <c r="C30" s="633" t="s">
        <v>327</v>
      </c>
      <c r="D30" s="88">
        <v>0</v>
      </c>
      <c r="E30" s="90">
        <v>0</v>
      </c>
      <c r="F30" s="28">
        <v>0</v>
      </c>
      <c r="G30" s="77">
        <v>1</v>
      </c>
      <c r="H30" s="584">
        <v>1</v>
      </c>
      <c r="I30" s="28">
        <v>1</v>
      </c>
      <c r="J30" s="28">
        <v>0</v>
      </c>
      <c r="K30" s="28">
        <v>0</v>
      </c>
      <c r="L30" s="28">
        <v>0</v>
      </c>
      <c r="M30" s="28">
        <v>0</v>
      </c>
      <c r="N30" s="89">
        <v>1</v>
      </c>
      <c r="O30" s="28">
        <v>0</v>
      </c>
      <c r="P30" s="28">
        <v>0</v>
      </c>
      <c r="Q30" s="28">
        <v>0</v>
      </c>
      <c r="R30" s="28">
        <v>0</v>
      </c>
      <c r="S30" s="75">
        <v>28</v>
      </c>
      <c r="V30" s="101" t="s">
        <v>300</v>
      </c>
      <c r="W30" s="71" t="s">
        <v>212</v>
      </c>
      <c r="X30" s="116" t="s">
        <v>327</v>
      </c>
      <c r="Y30" s="106">
        <v>0</v>
      </c>
      <c r="Z30" s="364">
        <v>0</v>
      </c>
      <c r="AA30" s="74">
        <v>0</v>
      </c>
      <c r="AB30" s="28">
        <v>0</v>
      </c>
      <c r="AC30" s="584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89">
        <v>0</v>
      </c>
      <c r="AJ30" s="28">
        <v>0</v>
      </c>
      <c r="AK30" s="28">
        <v>0</v>
      </c>
      <c r="AL30" s="28">
        <v>0</v>
      </c>
      <c r="AM30" s="74">
        <v>0</v>
      </c>
      <c r="AN30" s="27">
        <v>28</v>
      </c>
      <c r="AQ30" s="101" t="s">
        <v>394</v>
      </c>
      <c r="AR30" s="71" t="s">
        <v>215</v>
      </c>
      <c r="AS30" s="28" t="s">
        <v>423</v>
      </c>
      <c r="AT30" s="106">
        <v>0</v>
      </c>
      <c r="AU30" s="77">
        <v>0</v>
      </c>
      <c r="AV30" s="74">
        <v>0</v>
      </c>
      <c r="AW30" s="28">
        <v>0</v>
      </c>
      <c r="AX30" s="584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89">
        <v>0</v>
      </c>
      <c r="BE30" s="28">
        <v>0</v>
      </c>
      <c r="BF30" s="28">
        <v>0</v>
      </c>
      <c r="BG30" s="28">
        <v>0</v>
      </c>
      <c r="BH30" s="74">
        <v>0</v>
      </c>
      <c r="BI30" s="27">
        <v>28</v>
      </c>
    </row>
    <row r="31" spans="1:61">
      <c r="A31" s="101" t="s">
        <v>300</v>
      </c>
      <c r="B31" s="71" t="s">
        <v>215</v>
      </c>
      <c r="C31" s="633" t="s">
        <v>333</v>
      </c>
      <c r="D31" s="88">
        <v>1.3493253373313343</v>
      </c>
      <c r="E31" s="90">
        <v>0</v>
      </c>
      <c r="F31" s="28">
        <v>1</v>
      </c>
      <c r="G31" s="77">
        <v>6</v>
      </c>
      <c r="H31" s="584">
        <v>6.67</v>
      </c>
      <c r="I31" s="28">
        <v>2</v>
      </c>
      <c r="J31" s="28">
        <v>1</v>
      </c>
      <c r="K31" s="28">
        <v>2</v>
      </c>
      <c r="L31" s="28">
        <v>12</v>
      </c>
      <c r="M31" s="28">
        <v>0</v>
      </c>
      <c r="N31" s="89">
        <v>0.59970014992503751</v>
      </c>
      <c r="O31" s="28">
        <v>0</v>
      </c>
      <c r="P31" s="28">
        <v>0</v>
      </c>
      <c r="Q31" s="28">
        <v>0</v>
      </c>
      <c r="R31" s="28">
        <v>0</v>
      </c>
      <c r="S31" s="75">
        <v>29</v>
      </c>
      <c r="V31" s="101" t="s">
        <v>300</v>
      </c>
      <c r="W31" s="71" t="s">
        <v>212</v>
      </c>
      <c r="X31" s="116" t="s">
        <v>332</v>
      </c>
      <c r="Y31" s="106">
        <v>0</v>
      </c>
      <c r="Z31" s="364">
        <v>0</v>
      </c>
      <c r="AA31" s="74">
        <v>0</v>
      </c>
      <c r="AB31" s="28">
        <v>3</v>
      </c>
      <c r="AC31" s="584">
        <v>3.67</v>
      </c>
      <c r="AD31" s="28">
        <v>0</v>
      </c>
      <c r="AE31" s="28">
        <v>0</v>
      </c>
      <c r="AF31" s="28">
        <v>1</v>
      </c>
      <c r="AG31" s="28">
        <v>6</v>
      </c>
      <c r="AH31" s="28">
        <v>0</v>
      </c>
      <c r="AI31" s="89">
        <v>0.27247956403269757</v>
      </c>
      <c r="AJ31" s="28">
        <v>0</v>
      </c>
      <c r="AK31" s="28">
        <v>0</v>
      </c>
      <c r="AL31" s="28">
        <v>0</v>
      </c>
      <c r="AM31" s="74">
        <v>0</v>
      </c>
      <c r="AN31" s="27">
        <v>29</v>
      </c>
      <c r="AQ31" s="101" t="s">
        <v>394</v>
      </c>
      <c r="AR31" s="71" t="s">
        <v>212</v>
      </c>
      <c r="AS31" s="28" t="s">
        <v>424</v>
      </c>
      <c r="AT31" s="106">
        <v>21.556886227544911</v>
      </c>
      <c r="AU31" s="77">
        <v>0</v>
      </c>
      <c r="AV31" s="74">
        <v>0</v>
      </c>
      <c r="AW31" s="28">
        <v>2</v>
      </c>
      <c r="AX31" s="584">
        <v>1.67</v>
      </c>
      <c r="AY31" s="28">
        <v>8</v>
      </c>
      <c r="AZ31" s="28">
        <v>4</v>
      </c>
      <c r="BA31" s="28">
        <v>0</v>
      </c>
      <c r="BB31" s="28">
        <v>4</v>
      </c>
      <c r="BC31" s="28">
        <v>0</v>
      </c>
      <c r="BD31" s="89">
        <v>4.7904191616766472</v>
      </c>
      <c r="BE31" s="28">
        <v>0</v>
      </c>
      <c r="BF31" s="28">
        <v>0</v>
      </c>
      <c r="BG31" s="28">
        <v>0</v>
      </c>
      <c r="BH31" s="74">
        <v>0</v>
      </c>
      <c r="BI31" s="27">
        <v>29</v>
      </c>
    </row>
    <row r="32" spans="1:61">
      <c r="A32" s="101" t="s">
        <v>300</v>
      </c>
      <c r="B32" s="71" t="s">
        <v>212</v>
      </c>
      <c r="C32" s="28" t="s">
        <v>335</v>
      </c>
      <c r="D32" s="88">
        <v>1.5</v>
      </c>
      <c r="E32" s="90">
        <v>0</v>
      </c>
      <c r="F32" s="28">
        <v>0</v>
      </c>
      <c r="G32" s="77">
        <v>6</v>
      </c>
      <c r="H32" s="584">
        <v>6</v>
      </c>
      <c r="I32" s="28">
        <v>6</v>
      </c>
      <c r="J32" s="28">
        <v>1</v>
      </c>
      <c r="K32" s="28">
        <v>0</v>
      </c>
      <c r="L32" s="28">
        <v>5</v>
      </c>
      <c r="M32" s="28">
        <v>4</v>
      </c>
      <c r="N32" s="89">
        <v>1</v>
      </c>
      <c r="O32" s="28">
        <v>0</v>
      </c>
      <c r="P32" s="28">
        <v>0</v>
      </c>
      <c r="Q32" s="28">
        <v>0</v>
      </c>
      <c r="R32" s="28">
        <v>0</v>
      </c>
      <c r="S32" s="75">
        <v>30</v>
      </c>
      <c r="V32" s="101" t="s">
        <v>300</v>
      </c>
      <c r="W32" s="71" t="s">
        <v>212</v>
      </c>
      <c r="X32" s="71" t="s">
        <v>335</v>
      </c>
      <c r="Y32" s="106">
        <v>13.533834586466165</v>
      </c>
      <c r="Z32" s="364">
        <v>0</v>
      </c>
      <c r="AA32" s="74">
        <v>1</v>
      </c>
      <c r="AB32" s="28">
        <v>2</v>
      </c>
      <c r="AC32" s="584">
        <v>1.33</v>
      </c>
      <c r="AD32" s="28">
        <v>4</v>
      </c>
      <c r="AE32" s="28">
        <v>2</v>
      </c>
      <c r="AF32" s="28">
        <v>1</v>
      </c>
      <c r="AG32" s="28">
        <v>2</v>
      </c>
      <c r="AH32" s="28">
        <v>1</v>
      </c>
      <c r="AI32" s="89">
        <v>3.7593984962406015</v>
      </c>
      <c r="AJ32" s="28">
        <v>0</v>
      </c>
      <c r="AK32" s="28">
        <v>0</v>
      </c>
      <c r="AL32" s="28">
        <v>0</v>
      </c>
      <c r="AM32" s="74">
        <v>0</v>
      </c>
      <c r="AN32" s="27">
        <v>30</v>
      </c>
      <c r="AQ32" s="101" t="s">
        <v>394</v>
      </c>
      <c r="AR32" s="71" t="s">
        <v>212</v>
      </c>
      <c r="AS32" s="28" t="s">
        <v>425</v>
      </c>
      <c r="AT32" s="106">
        <v>3</v>
      </c>
      <c r="AU32" s="77">
        <v>0</v>
      </c>
      <c r="AV32" s="74">
        <v>0</v>
      </c>
      <c r="AW32" s="28">
        <v>3</v>
      </c>
      <c r="AX32" s="584">
        <v>3</v>
      </c>
      <c r="AY32" s="28">
        <v>4</v>
      </c>
      <c r="AZ32" s="28">
        <v>1</v>
      </c>
      <c r="BA32" s="28">
        <v>0</v>
      </c>
      <c r="BB32" s="28">
        <v>2</v>
      </c>
      <c r="BC32" s="28">
        <v>1</v>
      </c>
      <c r="BD32" s="89">
        <v>1.3333333333333333</v>
      </c>
      <c r="BE32" s="28">
        <v>0</v>
      </c>
      <c r="BF32" s="28">
        <v>0</v>
      </c>
      <c r="BG32" s="28">
        <v>0</v>
      </c>
      <c r="BH32" s="74">
        <v>0</v>
      </c>
      <c r="BI32" s="27">
        <v>30</v>
      </c>
    </row>
    <row r="33" spans="1:61">
      <c r="A33" s="101" t="s">
        <v>394</v>
      </c>
      <c r="B33" s="71" t="s">
        <v>206</v>
      </c>
      <c r="C33" s="28" t="s">
        <v>414</v>
      </c>
      <c r="D33" s="88">
        <v>3.5415641908509596</v>
      </c>
      <c r="E33" s="90">
        <v>1</v>
      </c>
      <c r="F33" s="28">
        <v>1</v>
      </c>
      <c r="G33" s="77">
        <v>3</v>
      </c>
      <c r="H33" s="584">
        <v>20.329999999999998</v>
      </c>
      <c r="I33" s="28">
        <v>23</v>
      </c>
      <c r="J33" s="28">
        <v>8</v>
      </c>
      <c r="K33" s="28">
        <v>4</v>
      </c>
      <c r="L33" s="28">
        <v>28</v>
      </c>
      <c r="M33" s="28">
        <v>0</v>
      </c>
      <c r="N33" s="89">
        <v>1.3280865715691097</v>
      </c>
      <c r="O33" s="28">
        <v>2</v>
      </c>
      <c r="P33" s="28">
        <v>2</v>
      </c>
      <c r="Q33" s="28">
        <v>0</v>
      </c>
      <c r="R33" s="28">
        <v>0</v>
      </c>
      <c r="S33" s="75">
        <v>31</v>
      </c>
      <c r="V33" s="101" t="s">
        <v>394</v>
      </c>
      <c r="W33" s="71" t="s">
        <v>206</v>
      </c>
      <c r="X33" s="71" t="s">
        <v>414</v>
      </c>
      <c r="Y33" s="106">
        <v>4.5</v>
      </c>
      <c r="Z33" s="364">
        <v>0</v>
      </c>
      <c r="AA33" s="74">
        <v>1</v>
      </c>
      <c r="AB33" s="28">
        <v>1</v>
      </c>
      <c r="AC33" s="584">
        <v>6</v>
      </c>
      <c r="AD33" s="28">
        <v>6</v>
      </c>
      <c r="AE33" s="28">
        <v>3</v>
      </c>
      <c r="AF33" s="28">
        <v>2</v>
      </c>
      <c r="AG33" s="28">
        <v>3</v>
      </c>
      <c r="AH33" s="28">
        <v>0</v>
      </c>
      <c r="AI33" s="89">
        <v>1.3333333333333333</v>
      </c>
      <c r="AJ33" s="28">
        <v>1</v>
      </c>
      <c r="AK33" s="28">
        <v>0</v>
      </c>
      <c r="AL33" s="28">
        <v>0</v>
      </c>
      <c r="AM33" s="74">
        <v>0</v>
      </c>
      <c r="AN33" s="27">
        <v>31</v>
      </c>
      <c r="AQ33" s="101" t="s">
        <v>539</v>
      </c>
      <c r="AR33" s="71" t="s">
        <v>206</v>
      </c>
      <c r="AS33" s="28" t="s">
        <v>558</v>
      </c>
      <c r="AT33" s="106">
        <v>1.2676056338028168</v>
      </c>
      <c r="AU33" s="77">
        <v>2</v>
      </c>
      <c r="AV33" s="74">
        <v>1</v>
      </c>
      <c r="AW33" s="28">
        <v>3</v>
      </c>
      <c r="AX33" s="584">
        <v>21.3</v>
      </c>
      <c r="AY33" s="28">
        <v>15</v>
      </c>
      <c r="AZ33" s="28">
        <v>3</v>
      </c>
      <c r="BA33" s="28">
        <v>7</v>
      </c>
      <c r="BB33" s="28">
        <v>21</v>
      </c>
      <c r="BC33" s="28">
        <v>0</v>
      </c>
      <c r="BD33" s="89">
        <v>1.0328638497652582</v>
      </c>
      <c r="BE33" s="28">
        <v>3</v>
      </c>
      <c r="BF33" s="76">
        <v>3</v>
      </c>
      <c r="BG33" s="28">
        <v>0</v>
      </c>
      <c r="BH33" s="74">
        <v>0</v>
      </c>
      <c r="BI33" s="27">
        <v>31</v>
      </c>
    </row>
    <row r="34" spans="1:61">
      <c r="A34" s="101" t="s">
        <v>394</v>
      </c>
      <c r="B34" s="71" t="s">
        <v>206</v>
      </c>
      <c r="C34" s="28" t="s">
        <v>415</v>
      </c>
      <c r="D34" s="88">
        <v>3.4285714285714284</v>
      </c>
      <c r="E34" s="90">
        <v>1</v>
      </c>
      <c r="F34" s="28">
        <v>1</v>
      </c>
      <c r="G34" s="77">
        <v>3</v>
      </c>
      <c r="H34" s="584">
        <v>21</v>
      </c>
      <c r="I34" s="28">
        <v>21</v>
      </c>
      <c r="J34" s="28">
        <v>8</v>
      </c>
      <c r="K34" s="28">
        <v>5</v>
      </c>
      <c r="L34" s="28">
        <v>23</v>
      </c>
      <c r="M34" s="28">
        <v>0</v>
      </c>
      <c r="N34" s="89">
        <v>1.2380952380952381</v>
      </c>
      <c r="O34" s="28">
        <v>2</v>
      </c>
      <c r="P34" s="28">
        <v>1</v>
      </c>
      <c r="Q34" s="76">
        <v>1</v>
      </c>
      <c r="R34" s="76">
        <v>1</v>
      </c>
      <c r="S34" s="75">
        <v>32</v>
      </c>
      <c r="V34" s="101" t="s">
        <v>394</v>
      </c>
      <c r="W34" s="71" t="s">
        <v>206</v>
      </c>
      <c r="X34" s="71" t="s">
        <v>415</v>
      </c>
      <c r="Y34" s="106">
        <v>6</v>
      </c>
      <c r="Z34" s="364">
        <v>0</v>
      </c>
      <c r="AA34" s="74">
        <v>1</v>
      </c>
      <c r="AB34" s="28">
        <v>1</v>
      </c>
      <c r="AC34" s="584">
        <v>6</v>
      </c>
      <c r="AD34" s="28">
        <v>9</v>
      </c>
      <c r="AE34" s="28">
        <v>4</v>
      </c>
      <c r="AF34" s="28">
        <v>0</v>
      </c>
      <c r="AG34" s="28">
        <v>4</v>
      </c>
      <c r="AH34" s="28">
        <v>0</v>
      </c>
      <c r="AI34" s="89">
        <v>1.5</v>
      </c>
      <c r="AJ34" s="28">
        <v>0</v>
      </c>
      <c r="AK34" s="28">
        <v>0</v>
      </c>
      <c r="AL34" s="28">
        <v>0</v>
      </c>
      <c r="AM34" s="74">
        <v>0</v>
      </c>
      <c r="AN34" s="27">
        <v>32</v>
      </c>
      <c r="AQ34" s="101" t="s">
        <v>539</v>
      </c>
      <c r="AR34" s="71" t="s">
        <v>206</v>
      </c>
      <c r="AS34" s="28" t="s">
        <v>559</v>
      </c>
      <c r="AT34" s="106">
        <v>8.2669932639314148</v>
      </c>
      <c r="AU34" s="77">
        <v>0</v>
      </c>
      <c r="AV34" s="74">
        <v>2</v>
      </c>
      <c r="AW34" s="28">
        <v>3</v>
      </c>
      <c r="AX34" s="584">
        <v>16.329999999999998</v>
      </c>
      <c r="AY34" s="28">
        <v>23</v>
      </c>
      <c r="AZ34" s="28">
        <v>15</v>
      </c>
      <c r="BA34" s="28">
        <v>10</v>
      </c>
      <c r="BB34" s="28">
        <v>16</v>
      </c>
      <c r="BC34" s="28">
        <v>0</v>
      </c>
      <c r="BD34" s="89">
        <v>2.0208205756276794</v>
      </c>
      <c r="BE34" s="28">
        <v>0</v>
      </c>
      <c r="BF34" s="28">
        <v>0</v>
      </c>
      <c r="BG34" s="28">
        <v>0</v>
      </c>
      <c r="BH34" s="74">
        <v>0</v>
      </c>
      <c r="BI34" s="27">
        <v>32</v>
      </c>
    </row>
    <row r="35" spans="1:61">
      <c r="A35" s="101" t="s">
        <v>394</v>
      </c>
      <c r="B35" s="71" t="s">
        <v>206</v>
      </c>
      <c r="C35" s="633" t="s">
        <v>416</v>
      </c>
      <c r="D35" s="88">
        <v>2.3468057366362451</v>
      </c>
      <c r="E35" s="90">
        <v>0</v>
      </c>
      <c r="F35" s="28">
        <v>0</v>
      </c>
      <c r="G35" s="77">
        <v>1</v>
      </c>
      <c r="H35" s="584">
        <v>7.67</v>
      </c>
      <c r="I35" s="28">
        <v>4</v>
      </c>
      <c r="J35" s="28">
        <v>2</v>
      </c>
      <c r="K35" s="28">
        <v>1</v>
      </c>
      <c r="L35" s="28">
        <v>6</v>
      </c>
      <c r="M35" s="28">
        <v>0</v>
      </c>
      <c r="N35" s="89">
        <v>0.65189048239895697</v>
      </c>
      <c r="O35" s="28">
        <v>1</v>
      </c>
      <c r="P35" s="28">
        <v>1</v>
      </c>
      <c r="Q35" s="28">
        <v>0</v>
      </c>
      <c r="R35" s="28">
        <v>0</v>
      </c>
      <c r="S35" s="75">
        <v>33</v>
      </c>
      <c r="V35" s="101" t="s">
        <v>394</v>
      </c>
      <c r="W35" s="71" t="s">
        <v>206</v>
      </c>
      <c r="X35" s="116" t="s">
        <v>416</v>
      </c>
      <c r="Y35" s="106">
        <v>7.2</v>
      </c>
      <c r="Z35" s="364">
        <v>0</v>
      </c>
      <c r="AA35" s="74">
        <v>0</v>
      </c>
      <c r="AB35" s="28">
        <v>1</v>
      </c>
      <c r="AC35" s="584">
        <v>5</v>
      </c>
      <c r="AD35" s="28">
        <v>5</v>
      </c>
      <c r="AE35" s="28">
        <v>4</v>
      </c>
      <c r="AF35" s="28">
        <v>4</v>
      </c>
      <c r="AG35" s="28">
        <v>5</v>
      </c>
      <c r="AH35" s="28">
        <v>0</v>
      </c>
      <c r="AI35" s="89">
        <v>1.8</v>
      </c>
      <c r="AJ35" s="28">
        <v>0</v>
      </c>
      <c r="AK35" s="28">
        <v>0</v>
      </c>
      <c r="AL35" s="28">
        <v>0</v>
      </c>
      <c r="AM35" s="74">
        <v>0</v>
      </c>
      <c r="AN35" s="27">
        <v>33</v>
      </c>
      <c r="AQ35" s="101" t="s">
        <v>539</v>
      </c>
      <c r="AR35" s="71" t="s">
        <v>206</v>
      </c>
      <c r="AS35" s="28" t="s">
        <v>560</v>
      </c>
      <c r="AT35" s="106">
        <v>4.7661076787290382</v>
      </c>
      <c r="AU35" s="77">
        <v>2</v>
      </c>
      <c r="AV35" s="74">
        <v>0</v>
      </c>
      <c r="AW35" s="28">
        <v>2</v>
      </c>
      <c r="AX35" s="584">
        <v>11.33</v>
      </c>
      <c r="AY35" s="28">
        <v>11</v>
      </c>
      <c r="AZ35" s="28">
        <v>6</v>
      </c>
      <c r="BA35" s="28">
        <v>7</v>
      </c>
      <c r="BB35" s="28">
        <v>15</v>
      </c>
      <c r="BC35" s="28">
        <v>0</v>
      </c>
      <c r="BD35" s="89">
        <v>1.588702559576346</v>
      </c>
      <c r="BE35" s="28">
        <v>0</v>
      </c>
      <c r="BF35" s="28">
        <v>0</v>
      </c>
      <c r="BG35" s="28">
        <v>0</v>
      </c>
      <c r="BH35" s="74">
        <v>0</v>
      </c>
      <c r="BI35" s="27">
        <v>33</v>
      </c>
    </row>
    <row r="36" spans="1:61">
      <c r="A36" s="101" t="s">
        <v>394</v>
      </c>
      <c r="B36" s="71" t="s">
        <v>206</v>
      </c>
      <c r="C36" s="633" t="s">
        <v>417</v>
      </c>
      <c r="D36" s="88">
        <v>0</v>
      </c>
      <c r="E36" s="90">
        <v>0</v>
      </c>
      <c r="F36" s="28">
        <v>0</v>
      </c>
      <c r="G36" s="77">
        <v>0</v>
      </c>
      <c r="H36" s="584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89">
        <v>0</v>
      </c>
      <c r="O36" s="28">
        <v>0</v>
      </c>
      <c r="P36" s="28">
        <v>0</v>
      </c>
      <c r="Q36" s="28">
        <v>0</v>
      </c>
      <c r="R36" s="28">
        <v>0</v>
      </c>
      <c r="S36" s="75">
        <v>34</v>
      </c>
      <c r="V36" s="101" t="s">
        <v>394</v>
      </c>
      <c r="W36" s="71" t="s">
        <v>206</v>
      </c>
      <c r="X36" s="116" t="s">
        <v>417</v>
      </c>
      <c r="Y36" s="106">
        <v>20.300751879699249</v>
      </c>
      <c r="Z36" s="364">
        <v>0</v>
      </c>
      <c r="AA36" s="74">
        <v>1</v>
      </c>
      <c r="AB36" s="28">
        <v>1</v>
      </c>
      <c r="AC36" s="584">
        <v>1.33</v>
      </c>
      <c r="AD36" s="28">
        <v>3</v>
      </c>
      <c r="AE36" s="28">
        <v>3</v>
      </c>
      <c r="AF36" s="28">
        <v>2</v>
      </c>
      <c r="AG36" s="28">
        <v>3</v>
      </c>
      <c r="AH36" s="28">
        <v>0</v>
      </c>
      <c r="AI36" s="89">
        <v>3.7593984962406015</v>
      </c>
      <c r="AJ36" s="28">
        <v>0</v>
      </c>
      <c r="AK36" s="28">
        <v>0</v>
      </c>
      <c r="AL36" s="28">
        <v>0</v>
      </c>
      <c r="AM36" s="74">
        <v>0</v>
      </c>
      <c r="AN36" s="27">
        <v>34</v>
      </c>
      <c r="AQ36" s="101" t="s">
        <v>539</v>
      </c>
      <c r="AR36" s="71" t="s">
        <v>206</v>
      </c>
      <c r="AS36" s="28" t="s">
        <v>562</v>
      </c>
      <c r="AT36" s="106">
        <v>0</v>
      </c>
      <c r="AU36" s="77">
        <v>0</v>
      </c>
      <c r="AV36" s="74">
        <v>0</v>
      </c>
      <c r="AW36" s="28">
        <v>0</v>
      </c>
      <c r="AX36" s="584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89">
        <v>0</v>
      </c>
      <c r="BE36" s="28">
        <v>0</v>
      </c>
      <c r="BF36" s="28">
        <v>0</v>
      </c>
      <c r="BG36" s="28">
        <v>0</v>
      </c>
      <c r="BH36" s="74">
        <v>0</v>
      </c>
      <c r="BI36" s="27">
        <v>34</v>
      </c>
    </row>
    <row r="37" spans="1:61">
      <c r="A37" s="101" t="s">
        <v>394</v>
      </c>
      <c r="B37" s="71" t="s">
        <v>215</v>
      </c>
      <c r="C37" s="633" t="s">
        <v>419</v>
      </c>
      <c r="D37" s="88">
        <v>0</v>
      </c>
      <c r="E37" s="90">
        <v>0</v>
      </c>
      <c r="F37" s="28">
        <v>0</v>
      </c>
      <c r="G37" s="77">
        <v>2</v>
      </c>
      <c r="H37" s="584">
        <v>3.33</v>
      </c>
      <c r="I37" s="28">
        <v>2</v>
      </c>
      <c r="J37" s="28">
        <v>0</v>
      </c>
      <c r="K37" s="28">
        <v>2</v>
      </c>
      <c r="L37" s="28">
        <v>1</v>
      </c>
      <c r="M37" s="28">
        <v>0</v>
      </c>
      <c r="N37" s="89">
        <v>1.2012012012012012</v>
      </c>
      <c r="O37" s="28">
        <v>0</v>
      </c>
      <c r="P37" s="28">
        <v>0</v>
      </c>
      <c r="Q37" s="28">
        <v>0</v>
      </c>
      <c r="R37" s="28">
        <v>0</v>
      </c>
      <c r="S37" s="75">
        <v>35</v>
      </c>
      <c r="V37" s="101" t="s">
        <v>394</v>
      </c>
      <c r="W37" s="71" t="s">
        <v>212</v>
      </c>
      <c r="X37" s="116" t="s">
        <v>420</v>
      </c>
      <c r="Y37" s="106">
        <v>4.5</v>
      </c>
      <c r="Z37" s="364">
        <v>0</v>
      </c>
      <c r="AA37" s="74">
        <v>0</v>
      </c>
      <c r="AB37" s="28">
        <v>2</v>
      </c>
      <c r="AC37" s="584">
        <v>2</v>
      </c>
      <c r="AD37" s="28">
        <v>1</v>
      </c>
      <c r="AE37" s="28">
        <v>1</v>
      </c>
      <c r="AF37" s="28">
        <v>1</v>
      </c>
      <c r="AG37" s="28">
        <v>1</v>
      </c>
      <c r="AH37" s="28">
        <v>0</v>
      </c>
      <c r="AI37" s="89">
        <v>1</v>
      </c>
      <c r="AJ37" s="28">
        <v>0</v>
      </c>
      <c r="AK37" s="28">
        <v>0</v>
      </c>
      <c r="AL37" s="28">
        <v>0</v>
      </c>
      <c r="AM37" s="74">
        <v>0</v>
      </c>
      <c r="AN37" s="27">
        <v>35</v>
      </c>
      <c r="AQ37" s="101" t="s">
        <v>539</v>
      </c>
      <c r="AR37" s="71" t="s">
        <v>212</v>
      </c>
      <c r="AS37" s="28" t="s">
        <v>557</v>
      </c>
      <c r="AT37" s="106">
        <v>7.7253218884120169</v>
      </c>
      <c r="AU37" s="77">
        <v>0</v>
      </c>
      <c r="AV37" s="74">
        <v>0</v>
      </c>
      <c r="AW37" s="28">
        <v>2</v>
      </c>
      <c r="AX37" s="584">
        <v>2.33</v>
      </c>
      <c r="AY37" s="28">
        <v>4</v>
      </c>
      <c r="AZ37" s="28">
        <v>2</v>
      </c>
      <c r="BA37" s="28">
        <v>2</v>
      </c>
      <c r="BB37" s="28">
        <v>4</v>
      </c>
      <c r="BC37" s="28">
        <v>0</v>
      </c>
      <c r="BD37" s="89">
        <v>2.5751072961373391</v>
      </c>
      <c r="BE37" s="28">
        <v>0</v>
      </c>
      <c r="BF37" s="28">
        <v>0</v>
      </c>
      <c r="BG37" s="28">
        <v>0</v>
      </c>
      <c r="BH37" s="74">
        <v>0</v>
      </c>
      <c r="BI37" s="27">
        <v>35</v>
      </c>
    </row>
    <row r="38" spans="1:61">
      <c r="A38" s="101" t="s">
        <v>394</v>
      </c>
      <c r="B38" s="71" t="s">
        <v>215</v>
      </c>
      <c r="C38" s="633" t="s">
        <v>421</v>
      </c>
      <c r="D38" s="88">
        <v>0</v>
      </c>
      <c r="E38" s="90">
        <v>0</v>
      </c>
      <c r="F38" s="28">
        <v>0</v>
      </c>
      <c r="G38" s="77">
        <v>0</v>
      </c>
      <c r="H38" s="584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89">
        <v>0</v>
      </c>
      <c r="O38" s="28">
        <v>0</v>
      </c>
      <c r="P38" s="28">
        <v>0</v>
      </c>
      <c r="Q38" s="28">
        <v>0</v>
      </c>
      <c r="R38" s="28">
        <v>0</v>
      </c>
      <c r="S38" s="75">
        <v>36</v>
      </c>
      <c r="V38" s="101" t="s">
        <v>394</v>
      </c>
      <c r="W38" s="71" t="s">
        <v>212</v>
      </c>
      <c r="X38" s="116" t="s">
        <v>422</v>
      </c>
      <c r="Y38" s="106">
        <v>18</v>
      </c>
      <c r="Z38" s="364">
        <v>0</v>
      </c>
      <c r="AA38" s="74">
        <v>0</v>
      </c>
      <c r="AB38" s="28">
        <v>1</v>
      </c>
      <c r="AC38" s="584">
        <v>1</v>
      </c>
      <c r="AD38" s="28">
        <v>4</v>
      </c>
      <c r="AE38" s="28">
        <v>2</v>
      </c>
      <c r="AF38" s="28">
        <v>0</v>
      </c>
      <c r="AG38" s="28">
        <v>0</v>
      </c>
      <c r="AH38" s="28">
        <v>0</v>
      </c>
      <c r="AI38" s="89">
        <v>4</v>
      </c>
      <c r="AJ38" s="28">
        <v>0</v>
      </c>
      <c r="AK38" s="28">
        <v>0</v>
      </c>
      <c r="AL38" s="28">
        <v>0</v>
      </c>
      <c r="AM38" s="74">
        <v>0</v>
      </c>
      <c r="AN38" s="27">
        <v>36</v>
      </c>
      <c r="AQ38" s="101" t="s">
        <v>539</v>
      </c>
      <c r="AR38" s="71" t="s">
        <v>212</v>
      </c>
      <c r="AS38" s="28" t="s">
        <v>561</v>
      </c>
      <c r="AT38" s="106">
        <v>3.8571428571428572</v>
      </c>
      <c r="AU38" s="77">
        <v>0</v>
      </c>
      <c r="AV38" s="74">
        <v>1</v>
      </c>
      <c r="AW38" s="28">
        <v>3</v>
      </c>
      <c r="AX38" s="584">
        <v>7</v>
      </c>
      <c r="AY38" s="28">
        <v>9</v>
      </c>
      <c r="AZ38" s="28">
        <v>3</v>
      </c>
      <c r="BA38" s="28">
        <v>1</v>
      </c>
      <c r="BB38" s="28">
        <v>13</v>
      </c>
      <c r="BC38" s="28">
        <v>0</v>
      </c>
      <c r="BD38" s="89">
        <v>1.4285714285714286</v>
      </c>
      <c r="BE38" s="28">
        <v>0</v>
      </c>
      <c r="BF38" s="28">
        <v>0</v>
      </c>
      <c r="BG38" s="28">
        <v>0</v>
      </c>
      <c r="BH38" s="74">
        <v>0</v>
      </c>
      <c r="BI38" s="27">
        <v>36</v>
      </c>
    </row>
    <row r="39" spans="1:61">
      <c r="A39" s="101" t="s">
        <v>394</v>
      </c>
      <c r="B39" s="71" t="s">
        <v>212</v>
      </c>
      <c r="C39" s="633" t="s">
        <v>418</v>
      </c>
      <c r="D39" s="88">
        <v>0</v>
      </c>
      <c r="E39" s="90">
        <v>0</v>
      </c>
      <c r="F39" s="28">
        <v>0</v>
      </c>
      <c r="G39" s="77">
        <v>0</v>
      </c>
      <c r="H39" s="584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89">
        <v>0</v>
      </c>
      <c r="O39" s="28">
        <v>0</v>
      </c>
      <c r="P39" s="28">
        <v>0</v>
      </c>
      <c r="Q39" s="28">
        <v>0</v>
      </c>
      <c r="R39" s="28">
        <v>0</v>
      </c>
      <c r="S39" s="75">
        <v>37</v>
      </c>
      <c r="V39" s="101" t="s">
        <v>394</v>
      </c>
      <c r="W39" s="71" t="s">
        <v>212</v>
      </c>
      <c r="X39" s="116" t="s">
        <v>418</v>
      </c>
      <c r="Y39" s="106">
        <v>0</v>
      </c>
      <c r="Z39" s="364">
        <v>0</v>
      </c>
      <c r="AA39" s="74">
        <v>0</v>
      </c>
      <c r="AB39" s="28">
        <v>0</v>
      </c>
      <c r="AC39" s="584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89">
        <v>0</v>
      </c>
      <c r="AJ39" s="28">
        <v>0</v>
      </c>
      <c r="AK39" s="28">
        <v>0</v>
      </c>
      <c r="AL39" s="28">
        <v>0</v>
      </c>
      <c r="AM39" s="74">
        <v>0</v>
      </c>
      <c r="AN39" s="27">
        <v>37</v>
      </c>
      <c r="AQ39" s="101" t="s">
        <v>539</v>
      </c>
      <c r="AR39" s="71" t="s">
        <v>212</v>
      </c>
      <c r="AS39" s="28" t="s">
        <v>556</v>
      </c>
      <c r="AT39" s="106">
        <v>0</v>
      </c>
      <c r="AU39" s="77">
        <v>0</v>
      </c>
      <c r="AV39" s="74">
        <v>0</v>
      </c>
      <c r="AW39" s="28">
        <v>3</v>
      </c>
      <c r="AX39" s="584">
        <v>3.33</v>
      </c>
      <c r="AY39" s="28">
        <v>2</v>
      </c>
      <c r="AZ39" s="28">
        <v>0</v>
      </c>
      <c r="BA39" s="28">
        <v>0</v>
      </c>
      <c r="BB39" s="28">
        <v>2</v>
      </c>
      <c r="BC39" s="28">
        <v>0</v>
      </c>
      <c r="BD39" s="89">
        <v>0.60060060060060061</v>
      </c>
      <c r="BE39" s="28">
        <v>0</v>
      </c>
      <c r="BF39" s="28">
        <v>0</v>
      </c>
      <c r="BG39" s="28">
        <v>0</v>
      </c>
      <c r="BH39" s="74">
        <v>0</v>
      </c>
      <c r="BI39" s="27">
        <v>37</v>
      </c>
    </row>
    <row r="40" spans="1:61">
      <c r="A40" s="101" t="s">
        <v>394</v>
      </c>
      <c r="B40" s="71" t="s">
        <v>212</v>
      </c>
      <c r="C40" s="633" t="s">
        <v>423</v>
      </c>
      <c r="D40" s="88">
        <v>0</v>
      </c>
      <c r="E40" s="90">
        <v>0</v>
      </c>
      <c r="F40" s="28">
        <v>0</v>
      </c>
      <c r="G40" s="77">
        <v>2</v>
      </c>
      <c r="H40" s="584">
        <v>1.67</v>
      </c>
      <c r="I40" s="28">
        <v>1</v>
      </c>
      <c r="J40" s="28">
        <v>0</v>
      </c>
      <c r="K40" s="28">
        <v>2</v>
      </c>
      <c r="L40" s="28">
        <v>1</v>
      </c>
      <c r="M40" s="28">
        <v>0</v>
      </c>
      <c r="N40" s="89">
        <v>1.7964071856287427</v>
      </c>
      <c r="O40" s="28">
        <v>0</v>
      </c>
      <c r="P40" s="28">
        <v>0</v>
      </c>
      <c r="Q40" s="28">
        <v>0</v>
      </c>
      <c r="R40" s="28">
        <v>0</v>
      </c>
      <c r="S40" s="75">
        <v>38</v>
      </c>
      <c r="V40" s="101" t="s">
        <v>394</v>
      </c>
      <c r="W40" s="71" t="s">
        <v>212</v>
      </c>
      <c r="X40" s="116" t="s">
        <v>423</v>
      </c>
      <c r="Y40" s="106">
        <v>0</v>
      </c>
      <c r="Z40" s="364">
        <v>0</v>
      </c>
      <c r="AA40" s="74">
        <v>0</v>
      </c>
      <c r="AB40" s="28">
        <v>0</v>
      </c>
      <c r="AC40" s="584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89">
        <v>0</v>
      </c>
      <c r="AJ40" s="28">
        <v>0</v>
      </c>
      <c r="AK40" s="28">
        <v>0</v>
      </c>
      <c r="AL40" s="28">
        <v>0</v>
      </c>
      <c r="AM40" s="74">
        <v>0</v>
      </c>
      <c r="AN40" s="27">
        <v>38</v>
      </c>
      <c r="AQ40" s="101" t="s">
        <v>539</v>
      </c>
      <c r="AR40" s="71" t="s">
        <v>212</v>
      </c>
      <c r="AS40" s="28" t="s">
        <v>567</v>
      </c>
      <c r="AT40" s="106">
        <v>0</v>
      </c>
      <c r="AU40" s="77">
        <v>0</v>
      </c>
      <c r="AV40" s="74">
        <v>0</v>
      </c>
      <c r="AW40" s="28">
        <v>0</v>
      </c>
      <c r="AX40" s="584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89">
        <v>0</v>
      </c>
      <c r="BE40" s="28">
        <v>0</v>
      </c>
      <c r="BF40" s="28">
        <v>0</v>
      </c>
      <c r="BG40" s="28">
        <v>0</v>
      </c>
      <c r="BH40" s="74">
        <v>0</v>
      </c>
      <c r="BI40" s="27">
        <v>38</v>
      </c>
    </row>
    <row r="41" spans="1:61">
      <c r="A41" s="101" t="s">
        <v>394</v>
      </c>
      <c r="B41" s="71" t="s">
        <v>212</v>
      </c>
      <c r="C41" s="28" t="s">
        <v>424</v>
      </c>
      <c r="D41" s="88">
        <v>16.167664670658684</v>
      </c>
      <c r="E41" s="90">
        <v>0</v>
      </c>
      <c r="F41" s="28">
        <v>1</v>
      </c>
      <c r="G41" s="77">
        <v>2</v>
      </c>
      <c r="H41" s="584">
        <v>1.67</v>
      </c>
      <c r="I41" s="28">
        <v>6</v>
      </c>
      <c r="J41" s="28">
        <v>3</v>
      </c>
      <c r="K41" s="28">
        <v>0</v>
      </c>
      <c r="L41" s="28">
        <v>1</v>
      </c>
      <c r="M41" s="28">
        <v>0</v>
      </c>
      <c r="N41" s="89">
        <v>3.5928143712574854</v>
      </c>
      <c r="O41" s="28">
        <v>0</v>
      </c>
      <c r="P41" s="28">
        <v>0</v>
      </c>
      <c r="Q41" s="28">
        <v>0</v>
      </c>
      <c r="R41" s="28">
        <v>0</v>
      </c>
      <c r="S41" s="75">
        <v>39</v>
      </c>
      <c r="V41" s="101" t="s">
        <v>394</v>
      </c>
      <c r="W41" s="71" t="s">
        <v>212</v>
      </c>
      <c r="X41" s="71" t="s">
        <v>424</v>
      </c>
      <c r="Y41" s="106">
        <v>13.483146067415731</v>
      </c>
      <c r="Z41" s="364">
        <v>0</v>
      </c>
      <c r="AA41" s="74">
        <v>0</v>
      </c>
      <c r="AB41" s="28">
        <v>3</v>
      </c>
      <c r="AC41" s="584">
        <v>2.67</v>
      </c>
      <c r="AD41" s="28">
        <v>5</v>
      </c>
      <c r="AE41" s="28">
        <v>4</v>
      </c>
      <c r="AF41" s="28">
        <v>2</v>
      </c>
      <c r="AG41" s="28">
        <v>4</v>
      </c>
      <c r="AH41" s="28">
        <v>0</v>
      </c>
      <c r="AI41" s="89">
        <v>2.6217228464419478</v>
      </c>
      <c r="AJ41" s="28">
        <v>0</v>
      </c>
      <c r="AK41" s="28">
        <v>0</v>
      </c>
      <c r="AL41" s="28">
        <v>0</v>
      </c>
      <c r="AM41" s="74">
        <v>0</v>
      </c>
      <c r="AN41" s="27">
        <v>39</v>
      </c>
      <c r="AQ41" s="101" t="s">
        <v>539</v>
      </c>
      <c r="AR41" s="71" t="s">
        <v>212</v>
      </c>
      <c r="AS41" s="28" t="s">
        <v>568</v>
      </c>
      <c r="AT41" s="106">
        <v>0</v>
      </c>
      <c r="AU41" s="77">
        <v>0</v>
      </c>
      <c r="AV41" s="74">
        <v>0</v>
      </c>
      <c r="AW41" s="28">
        <v>3</v>
      </c>
      <c r="AX41" s="584">
        <v>2.33</v>
      </c>
      <c r="AY41" s="28">
        <v>2</v>
      </c>
      <c r="AZ41" s="28">
        <v>0</v>
      </c>
      <c r="BA41" s="28">
        <v>1</v>
      </c>
      <c r="BB41" s="28">
        <v>2</v>
      </c>
      <c r="BC41" s="28">
        <v>0</v>
      </c>
      <c r="BD41" s="89">
        <v>1.2875536480686696</v>
      </c>
      <c r="BE41" s="28">
        <v>0</v>
      </c>
      <c r="BF41" s="28">
        <v>0</v>
      </c>
      <c r="BG41" s="28">
        <v>0</v>
      </c>
      <c r="BH41" s="74">
        <v>0</v>
      </c>
      <c r="BI41" s="27">
        <v>39</v>
      </c>
    </row>
    <row r="42" spans="1:61">
      <c r="A42" s="101" t="s">
        <v>394</v>
      </c>
      <c r="B42" s="71" t="s">
        <v>212</v>
      </c>
      <c r="C42" s="28" t="s">
        <v>425</v>
      </c>
      <c r="D42" s="88">
        <v>1.3493253373313343</v>
      </c>
      <c r="E42" s="90">
        <v>2</v>
      </c>
      <c r="F42" s="28">
        <v>0</v>
      </c>
      <c r="G42" s="77">
        <v>5</v>
      </c>
      <c r="H42" s="584">
        <v>6.67</v>
      </c>
      <c r="I42" s="28">
        <v>8</v>
      </c>
      <c r="J42" s="28">
        <v>1</v>
      </c>
      <c r="K42" s="28">
        <v>2</v>
      </c>
      <c r="L42" s="28">
        <v>4</v>
      </c>
      <c r="M42" s="28">
        <v>1</v>
      </c>
      <c r="N42" s="89">
        <v>1.4992503748125938</v>
      </c>
      <c r="O42" s="28">
        <v>0</v>
      </c>
      <c r="P42" s="28">
        <v>0</v>
      </c>
      <c r="Q42" s="28">
        <v>0</v>
      </c>
      <c r="R42" s="28">
        <v>0</v>
      </c>
      <c r="S42" s="75">
        <v>40</v>
      </c>
      <c r="V42" s="101" t="s">
        <v>394</v>
      </c>
      <c r="W42" s="71" t="s">
        <v>212</v>
      </c>
      <c r="X42" s="71" t="s">
        <v>425</v>
      </c>
      <c r="Y42" s="106">
        <v>9</v>
      </c>
      <c r="Z42" s="364">
        <v>0</v>
      </c>
      <c r="AA42" s="74">
        <v>0</v>
      </c>
      <c r="AB42" s="28">
        <v>2</v>
      </c>
      <c r="AC42" s="584">
        <v>2</v>
      </c>
      <c r="AD42" s="28">
        <v>3</v>
      </c>
      <c r="AE42" s="28">
        <v>2</v>
      </c>
      <c r="AF42" s="28">
        <v>3</v>
      </c>
      <c r="AG42" s="28">
        <v>1</v>
      </c>
      <c r="AH42" s="28">
        <v>0</v>
      </c>
      <c r="AI42" s="89">
        <v>3</v>
      </c>
      <c r="AJ42" s="28">
        <v>0</v>
      </c>
      <c r="AK42" s="28">
        <v>0</v>
      </c>
      <c r="AL42" s="28">
        <v>0</v>
      </c>
      <c r="AM42" s="74">
        <v>0</v>
      </c>
      <c r="AN42" s="27">
        <v>40</v>
      </c>
      <c r="AQ42" s="101" t="s">
        <v>539</v>
      </c>
      <c r="AR42" s="71" t="s">
        <v>212</v>
      </c>
      <c r="AS42" s="28" t="s">
        <v>569</v>
      </c>
      <c r="AT42" s="583">
        <v>0</v>
      </c>
      <c r="AU42" s="77">
        <v>0</v>
      </c>
      <c r="AV42" s="74">
        <v>0</v>
      </c>
      <c r="AW42" s="28">
        <v>5</v>
      </c>
      <c r="AX42" s="584">
        <v>5</v>
      </c>
      <c r="AY42" s="28">
        <v>1</v>
      </c>
      <c r="AZ42" s="28">
        <v>0</v>
      </c>
      <c r="BA42" s="28">
        <v>1</v>
      </c>
      <c r="BB42" s="28">
        <v>4</v>
      </c>
      <c r="BC42" s="28">
        <v>4</v>
      </c>
      <c r="BD42" s="89">
        <v>0.4</v>
      </c>
      <c r="BE42" s="28">
        <v>0</v>
      </c>
      <c r="BF42" s="28">
        <v>0</v>
      </c>
      <c r="BG42" s="28">
        <v>0</v>
      </c>
      <c r="BH42" s="74">
        <v>0</v>
      </c>
      <c r="BI42" s="27">
        <v>40</v>
      </c>
    </row>
    <row r="43" spans="1:61">
      <c r="A43" s="101" t="s">
        <v>580</v>
      </c>
      <c r="B43" s="71" t="s">
        <v>206</v>
      </c>
      <c r="C43" s="633" t="s">
        <v>597</v>
      </c>
      <c r="D43" s="88">
        <v>2.1974189047785142</v>
      </c>
      <c r="E43" s="90">
        <v>2</v>
      </c>
      <c r="F43" s="28">
        <v>2</v>
      </c>
      <c r="G43" s="77">
        <v>4</v>
      </c>
      <c r="H43" s="584">
        <v>28.67</v>
      </c>
      <c r="I43" s="28">
        <v>26</v>
      </c>
      <c r="J43" s="28">
        <v>7</v>
      </c>
      <c r="K43" s="28">
        <v>6</v>
      </c>
      <c r="L43" s="28">
        <v>30</v>
      </c>
      <c r="M43" s="28">
        <v>0</v>
      </c>
      <c r="N43" s="89">
        <v>1.1161492849668642</v>
      </c>
      <c r="O43" s="28">
        <v>3</v>
      </c>
      <c r="P43" s="28">
        <v>3</v>
      </c>
      <c r="Q43" s="28">
        <v>0</v>
      </c>
      <c r="R43" s="28">
        <v>0</v>
      </c>
      <c r="S43" s="75">
        <v>41</v>
      </c>
      <c r="V43" s="101" t="s">
        <v>429</v>
      </c>
      <c r="W43" s="71" t="s">
        <v>206</v>
      </c>
      <c r="X43" s="116" t="s">
        <v>448</v>
      </c>
      <c r="Y43" s="106">
        <v>4.0204211869814932</v>
      </c>
      <c r="Z43" s="364">
        <v>1</v>
      </c>
      <c r="AA43" s="74">
        <v>2</v>
      </c>
      <c r="AB43" s="28">
        <v>3</v>
      </c>
      <c r="AC43" s="584">
        <v>15.67</v>
      </c>
      <c r="AD43" s="28">
        <v>20</v>
      </c>
      <c r="AE43" s="28">
        <v>7</v>
      </c>
      <c r="AF43" s="28">
        <v>6</v>
      </c>
      <c r="AG43" s="28">
        <v>13</v>
      </c>
      <c r="AH43" s="28">
        <v>0</v>
      </c>
      <c r="AI43" s="89">
        <v>1.6592214422463305</v>
      </c>
      <c r="AJ43" s="28">
        <v>1</v>
      </c>
      <c r="AK43" s="28">
        <v>1</v>
      </c>
      <c r="AL43" s="28">
        <v>0</v>
      </c>
      <c r="AM43" s="74">
        <v>0</v>
      </c>
      <c r="AN43" s="27">
        <v>41</v>
      </c>
      <c r="AQ43" s="366" t="s">
        <v>580</v>
      </c>
      <c r="AR43" s="71" t="s">
        <v>206</v>
      </c>
      <c r="AS43" s="28" t="s">
        <v>597</v>
      </c>
      <c r="AT43" s="106">
        <v>3.774193548387097</v>
      </c>
      <c r="AU43" s="77">
        <v>2</v>
      </c>
      <c r="AV43" s="104">
        <v>3</v>
      </c>
      <c r="AW43" s="28">
        <v>5</v>
      </c>
      <c r="AX43" s="584">
        <v>31</v>
      </c>
      <c r="AY43" s="28">
        <v>30</v>
      </c>
      <c r="AZ43" s="28">
        <v>13</v>
      </c>
      <c r="BA43" s="76">
        <v>18</v>
      </c>
      <c r="BB43" s="28">
        <v>41</v>
      </c>
      <c r="BC43" s="28">
        <v>0</v>
      </c>
      <c r="BD43" s="89">
        <v>1.5483870967741935</v>
      </c>
      <c r="BE43" s="28">
        <v>2</v>
      </c>
      <c r="BF43" s="28">
        <v>1</v>
      </c>
      <c r="BG43" s="28">
        <v>0</v>
      </c>
      <c r="BH43" s="74">
        <v>0</v>
      </c>
      <c r="BI43" s="27">
        <v>41</v>
      </c>
    </row>
    <row r="44" spans="1:61">
      <c r="A44" s="101" t="s">
        <v>580</v>
      </c>
      <c r="B44" s="71" t="s">
        <v>206</v>
      </c>
      <c r="C44" s="633" t="s">
        <v>598</v>
      </c>
      <c r="D44" s="88">
        <v>5.1272312951006462</v>
      </c>
      <c r="E44" s="90">
        <v>1</v>
      </c>
      <c r="F44" s="28">
        <v>2</v>
      </c>
      <c r="G44" s="77">
        <v>4</v>
      </c>
      <c r="H44" s="584">
        <v>26.33</v>
      </c>
      <c r="I44" s="28">
        <v>25</v>
      </c>
      <c r="J44" s="28">
        <v>15</v>
      </c>
      <c r="K44" s="28">
        <v>9</v>
      </c>
      <c r="L44" s="28">
        <v>18</v>
      </c>
      <c r="M44" s="28">
        <v>0</v>
      </c>
      <c r="N44" s="89">
        <v>1.2913026965438663</v>
      </c>
      <c r="O44" s="28">
        <v>2</v>
      </c>
      <c r="P44" s="28">
        <v>1</v>
      </c>
      <c r="Q44" s="28">
        <v>0</v>
      </c>
      <c r="R44" s="28">
        <v>0</v>
      </c>
      <c r="S44" s="75">
        <v>42</v>
      </c>
      <c r="V44" s="101" t="s">
        <v>429</v>
      </c>
      <c r="W44" s="71" t="s">
        <v>206</v>
      </c>
      <c r="X44" s="116" t="s">
        <v>449</v>
      </c>
      <c r="Y44" s="106">
        <v>7.7142857142857144</v>
      </c>
      <c r="Z44" s="364">
        <v>2</v>
      </c>
      <c r="AA44" s="74">
        <v>1</v>
      </c>
      <c r="AB44" s="28">
        <v>3</v>
      </c>
      <c r="AC44" s="584">
        <v>14</v>
      </c>
      <c r="AD44" s="28">
        <v>18</v>
      </c>
      <c r="AE44" s="28">
        <v>12</v>
      </c>
      <c r="AF44" s="28">
        <v>5</v>
      </c>
      <c r="AG44" s="28">
        <v>14</v>
      </c>
      <c r="AH44" s="28">
        <v>0</v>
      </c>
      <c r="AI44" s="89">
        <v>1.6428571428571428</v>
      </c>
      <c r="AJ44" s="28">
        <v>1</v>
      </c>
      <c r="AK44" s="28">
        <v>1</v>
      </c>
      <c r="AL44" s="28">
        <v>0</v>
      </c>
      <c r="AM44" s="74">
        <v>0</v>
      </c>
      <c r="AN44" s="27">
        <v>42</v>
      </c>
      <c r="AQ44" s="366" t="s">
        <v>580</v>
      </c>
      <c r="AR44" s="71" t="s">
        <v>206</v>
      </c>
      <c r="AS44" s="28" t="s">
        <v>599</v>
      </c>
      <c r="AT44" s="106">
        <v>4.354838709677419</v>
      </c>
      <c r="AU44" s="77">
        <v>1</v>
      </c>
      <c r="AV44" s="74">
        <v>2</v>
      </c>
      <c r="AW44" s="28">
        <v>5</v>
      </c>
      <c r="AX44" s="584">
        <v>31</v>
      </c>
      <c r="AY44" s="28">
        <v>30</v>
      </c>
      <c r="AZ44" s="28">
        <v>15</v>
      </c>
      <c r="BA44" s="28">
        <v>13</v>
      </c>
      <c r="BB44" s="76">
        <v>46</v>
      </c>
      <c r="BC44" s="28">
        <v>0</v>
      </c>
      <c r="BD44" s="89">
        <v>1.3870967741935485</v>
      </c>
      <c r="BE44" s="28">
        <v>3</v>
      </c>
      <c r="BF44" s="28">
        <v>1</v>
      </c>
      <c r="BG44" s="28">
        <v>0</v>
      </c>
      <c r="BH44" s="74">
        <v>0</v>
      </c>
      <c r="BI44" s="27">
        <v>42</v>
      </c>
    </row>
    <row r="45" spans="1:61">
      <c r="A45" s="101" t="s">
        <v>580</v>
      </c>
      <c r="B45" s="71" t="s">
        <v>206</v>
      </c>
      <c r="C45" s="633" t="s">
        <v>599</v>
      </c>
      <c r="D45" s="88">
        <v>4.5</v>
      </c>
      <c r="E45" s="90">
        <v>1</v>
      </c>
      <c r="F45" s="28">
        <v>1</v>
      </c>
      <c r="G45" s="77">
        <v>4</v>
      </c>
      <c r="H45" s="584">
        <v>26</v>
      </c>
      <c r="I45" s="28">
        <v>16</v>
      </c>
      <c r="J45" s="28">
        <v>13</v>
      </c>
      <c r="K45" s="28">
        <v>15</v>
      </c>
      <c r="L45" s="28">
        <v>30</v>
      </c>
      <c r="M45" s="28">
        <v>0</v>
      </c>
      <c r="N45" s="89">
        <v>1.1923076923076923</v>
      </c>
      <c r="O45" s="28">
        <v>2</v>
      </c>
      <c r="P45" s="28">
        <v>1</v>
      </c>
      <c r="Q45" s="28">
        <v>0</v>
      </c>
      <c r="R45" s="28">
        <v>0</v>
      </c>
      <c r="S45" s="75">
        <v>43</v>
      </c>
      <c r="V45" s="101" t="s">
        <v>429</v>
      </c>
      <c r="W45" s="71" t="s">
        <v>206</v>
      </c>
      <c r="X45" s="116" t="s">
        <v>451</v>
      </c>
      <c r="Y45" s="106">
        <v>4.6272493573264786</v>
      </c>
      <c r="Z45" s="364">
        <v>1</v>
      </c>
      <c r="AA45" s="74">
        <v>1</v>
      </c>
      <c r="AB45" s="28">
        <v>2</v>
      </c>
      <c r="AC45" s="584">
        <v>11.67</v>
      </c>
      <c r="AD45" s="28">
        <v>11</v>
      </c>
      <c r="AE45" s="28">
        <v>6</v>
      </c>
      <c r="AF45" s="28">
        <v>1</v>
      </c>
      <c r="AG45" s="28">
        <v>10</v>
      </c>
      <c r="AH45" s="28">
        <v>0</v>
      </c>
      <c r="AI45" s="89">
        <v>1.0282776349614395</v>
      </c>
      <c r="AJ45" s="28">
        <v>1</v>
      </c>
      <c r="AK45" s="28">
        <v>0</v>
      </c>
      <c r="AL45" s="28">
        <v>0</v>
      </c>
      <c r="AM45" s="74">
        <v>0</v>
      </c>
      <c r="AN45" s="27">
        <v>43</v>
      </c>
      <c r="AQ45" s="366" t="s">
        <v>580</v>
      </c>
      <c r="AR45" s="71" t="s">
        <v>206</v>
      </c>
      <c r="AS45" s="28" t="s">
        <v>600</v>
      </c>
      <c r="AT45" s="106">
        <v>3.96</v>
      </c>
      <c r="AU45" s="77">
        <v>1</v>
      </c>
      <c r="AV45" s="74">
        <v>1</v>
      </c>
      <c r="AW45" s="28">
        <v>4</v>
      </c>
      <c r="AX45" s="584">
        <v>25</v>
      </c>
      <c r="AY45" s="28">
        <v>26</v>
      </c>
      <c r="AZ45" s="28">
        <v>11</v>
      </c>
      <c r="BA45" s="28">
        <v>13</v>
      </c>
      <c r="BB45" s="28">
        <v>33</v>
      </c>
      <c r="BC45" s="28">
        <v>0</v>
      </c>
      <c r="BD45" s="89">
        <v>1.56</v>
      </c>
      <c r="BE45" s="28">
        <v>2</v>
      </c>
      <c r="BF45" s="28">
        <v>0</v>
      </c>
      <c r="BG45" s="28">
        <v>0</v>
      </c>
      <c r="BH45" s="74">
        <v>0</v>
      </c>
      <c r="BI45" s="27">
        <v>43</v>
      </c>
    </row>
    <row r="46" spans="1:61">
      <c r="A46" s="101" t="s">
        <v>580</v>
      </c>
      <c r="B46" s="71" t="s">
        <v>206</v>
      </c>
      <c r="C46" s="633" t="s">
        <v>600</v>
      </c>
      <c r="D46" s="88">
        <v>6.1391541609822644</v>
      </c>
      <c r="E46" s="90">
        <v>0</v>
      </c>
      <c r="F46" s="28">
        <v>1</v>
      </c>
      <c r="G46" s="77">
        <v>3</v>
      </c>
      <c r="H46" s="584">
        <v>7.33</v>
      </c>
      <c r="I46" s="28">
        <v>7</v>
      </c>
      <c r="J46" s="28">
        <v>5</v>
      </c>
      <c r="K46" s="28">
        <v>5</v>
      </c>
      <c r="L46" s="28">
        <v>7</v>
      </c>
      <c r="M46" s="28">
        <v>0</v>
      </c>
      <c r="N46" s="89">
        <v>1.6371077762619373</v>
      </c>
      <c r="O46" s="28">
        <v>0</v>
      </c>
      <c r="P46" s="28">
        <v>0</v>
      </c>
      <c r="Q46" s="28">
        <v>0</v>
      </c>
      <c r="R46" s="28">
        <v>0</v>
      </c>
      <c r="S46" s="75">
        <v>44</v>
      </c>
      <c r="V46" s="101" t="s">
        <v>429</v>
      </c>
      <c r="W46" s="71" t="s">
        <v>206</v>
      </c>
      <c r="X46" s="116" t="s">
        <v>450</v>
      </c>
      <c r="Y46" s="106">
        <v>6.5149948293691828</v>
      </c>
      <c r="Z46" s="364">
        <v>0</v>
      </c>
      <c r="AA46" s="74">
        <v>0</v>
      </c>
      <c r="AB46" s="28">
        <v>3</v>
      </c>
      <c r="AC46" s="584">
        <v>9.67</v>
      </c>
      <c r="AD46" s="28">
        <v>7</v>
      </c>
      <c r="AE46" s="28">
        <v>7</v>
      </c>
      <c r="AF46" s="28">
        <v>6</v>
      </c>
      <c r="AG46" s="28">
        <v>4</v>
      </c>
      <c r="AH46" s="28">
        <v>0</v>
      </c>
      <c r="AI46" s="89">
        <v>1.344364012409514</v>
      </c>
      <c r="AJ46" s="28">
        <v>0</v>
      </c>
      <c r="AK46" s="28">
        <v>0</v>
      </c>
      <c r="AL46" s="28">
        <v>0</v>
      </c>
      <c r="AM46" s="74">
        <v>0</v>
      </c>
      <c r="AN46" s="27">
        <v>44</v>
      </c>
      <c r="AQ46" s="366" t="s">
        <v>580</v>
      </c>
      <c r="AR46" s="71" t="s">
        <v>206</v>
      </c>
      <c r="AS46" s="28" t="s">
        <v>598</v>
      </c>
      <c r="AT46" s="106">
        <v>1.9271948608137046</v>
      </c>
      <c r="AU46" s="77">
        <v>0</v>
      </c>
      <c r="AV46" s="74">
        <v>0</v>
      </c>
      <c r="AW46" s="28">
        <v>5</v>
      </c>
      <c r="AX46" s="584">
        <v>4.67</v>
      </c>
      <c r="AY46" s="28">
        <v>3</v>
      </c>
      <c r="AZ46" s="28">
        <v>1</v>
      </c>
      <c r="BA46" s="28">
        <v>3</v>
      </c>
      <c r="BB46" s="28">
        <v>6</v>
      </c>
      <c r="BC46" s="28">
        <v>0</v>
      </c>
      <c r="BD46" s="89">
        <v>1.2847965738758029</v>
      </c>
      <c r="BE46" s="28">
        <v>0</v>
      </c>
      <c r="BF46" s="28">
        <v>0</v>
      </c>
      <c r="BG46" s="28">
        <v>0</v>
      </c>
      <c r="BH46" s="74">
        <v>0</v>
      </c>
      <c r="BI46" s="27">
        <v>44</v>
      </c>
    </row>
    <row r="47" spans="1:61">
      <c r="A47" s="101" t="s">
        <v>580</v>
      </c>
      <c r="B47" s="71" t="s">
        <v>212</v>
      </c>
      <c r="C47" s="633" t="s">
        <v>602</v>
      </c>
      <c r="D47" s="88">
        <v>0</v>
      </c>
      <c r="E47" s="90">
        <v>0</v>
      </c>
      <c r="F47" s="28">
        <v>0</v>
      </c>
      <c r="G47" s="77">
        <v>0</v>
      </c>
      <c r="H47" s="584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89">
        <v>0</v>
      </c>
      <c r="O47" s="28">
        <v>0</v>
      </c>
      <c r="P47" s="28">
        <v>0</v>
      </c>
      <c r="Q47" s="28">
        <v>0</v>
      </c>
      <c r="R47" s="28">
        <v>0</v>
      </c>
      <c r="S47" s="75">
        <v>45</v>
      </c>
      <c r="V47" s="101" t="s">
        <v>429</v>
      </c>
      <c r="W47" s="71" t="s">
        <v>212</v>
      </c>
      <c r="X47" s="116" t="s">
        <v>453</v>
      </c>
      <c r="Y47" s="106">
        <v>0</v>
      </c>
      <c r="Z47" s="364">
        <v>0</v>
      </c>
      <c r="AA47" s="74">
        <v>0</v>
      </c>
      <c r="AB47" s="28">
        <v>0</v>
      </c>
      <c r="AC47" s="584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89">
        <v>0</v>
      </c>
      <c r="AJ47" s="28">
        <v>0</v>
      </c>
      <c r="AK47" s="28">
        <v>0</v>
      </c>
      <c r="AL47" s="28">
        <v>0</v>
      </c>
      <c r="AM47" s="74">
        <v>0</v>
      </c>
      <c r="AN47" s="27">
        <v>45</v>
      </c>
      <c r="AQ47" s="366" t="s">
        <v>580</v>
      </c>
      <c r="AR47" s="71" t="s">
        <v>212</v>
      </c>
      <c r="AS47" s="28" t="s">
        <v>602</v>
      </c>
      <c r="AT47" s="106">
        <v>6</v>
      </c>
      <c r="AU47" s="77">
        <v>0</v>
      </c>
      <c r="AV47" s="74">
        <v>0</v>
      </c>
      <c r="AW47" s="28">
        <v>5</v>
      </c>
      <c r="AX47" s="584">
        <v>3</v>
      </c>
      <c r="AY47" s="28">
        <v>4</v>
      </c>
      <c r="AZ47" s="28">
        <v>2</v>
      </c>
      <c r="BA47" s="28">
        <v>3</v>
      </c>
      <c r="BB47" s="28">
        <v>3</v>
      </c>
      <c r="BC47" s="28">
        <v>0</v>
      </c>
      <c r="BD47" s="89">
        <v>2.3333333333333335</v>
      </c>
      <c r="BE47" s="28">
        <v>0</v>
      </c>
      <c r="BF47" s="28">
        <v>0</v>
      </c>
      <c r="BG47" s="28">
        <v>0</v>
      </c>
      <c r="BH47" s="74">
        <v>0</v>
      </c>
      <c r="BI47" s="27">
        <v>45</v>
      </c>
    </row>
    <row r="48" spans="1:61">
      <c r="A48" s="101" t="s">
        <v>580</v>
      </c>
      <c r="B48" s="71" t="s">
        <v>215</v>
      </c>
      <c r="C48" s="633" t="s">
        <v>601</v>
      </c>
      <c r="D48" s="88">
        <v>0</v>
      </c>
      <c r="E48" s="90">
        <v>0</v>
      </c>
      <c r="F48" s="28">
        <v>0</v>
      </c>
      <c r="G48" s="77">
        <v>0</v>
      </c>
      <c r="H48" s="584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89">
        <v>0</v>
      </c>
      <c r="O48" s="28">
        <v>0</v>
      </c>
      <c r="P48" s="28">
        <v>0</v>
      </c>
      <c r="Q48" s="28">
        <v>0</v>
      </c>
      <c r="R48" s="28">
        <v>0</v>
      </c>
      <c r="S48" s="75">
        <v>46</v>
      </c>
      <c r="V48" s="101" t="s">
        <v>429</v>
      </c>
      <c r="W48" s="71" t="s">
        <v>212</v>
      </c>
      <c r="X48" s="116" t="s">
        <v>455</v>
      </c>
      <c r="Y48" s="106">
        <v>0</v>
      </c>
      <c r="Z48" s="364">
        <v>0</v>
      </c>
      <c r="AA48" s="74">
        <v>0</v>
      </c>
      <c r="AB48" s="28">
        <v>0</v>
      </c>
      <c r="AC48" s="584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89">
        <v>0</v>
      </c>
      <c r="AJ48" s="28">
        <v>0</v>
      </c>
      <c r="AK48" s="28">
        <v>0</v>
      </c>
      <c r="AL48" s="28">
        <v>0</v>
      </c>
      <c r="AM48" s="74">
        <v>0</v>
      </c>
      <c r="AN48" s="27">
        <v>46</v>
      </c>
      <c r="AQ48" s="366" t="s">
        <v>580</v>
      </c>
      <c r="AR48" s="71" t="s">
        <v>212</v>
      </c>
      <c r="AS48" s="28" t="s">
        <v>604</v>
      </c>
      <c r="AT48" s="106">
        <v>0</v>
      </c>
      <c r="AU48" s="77">
        <v>0</v>
      </c>
      <c r="AV48" s="74">
        <v>0</v>
      </c>
      <c r="AW48" s="28">
        <v>1</v>
      </c>
      <c r="AX48" s="584">
        <v>0.67</v>
      </c>
      <c r="AY48" s="28">
        <v>0</v>
      </c>
      <c r="AZ48" s="28">
        <v>0</v>
      </c>
      <c r="BA48" s="28">
        <v>1</v>
      </c>
      <c r="BB48" s="28">
        <v>1</v>
      </c>
      <c r="BC48" s="28">
        <v>0</v>
      </c>
      <c r="BD48" s="89">
        <v>1.4925373134328357</v>
      </c>
      <c r="BE48" s="28">
        <v>0</v>
      </c>
      <c r="BF48" s="28">
        <v>0</v>
      </c>
      <c r="BG48" s="28">
        <v>0</v>
      </c>
      <c r="BH48" s="74">
        <v>0</v>
      </c>
      <c r="BI48" s="27">
        <v>46</v>
      </c>
    </row>
    <row r="49" spans="1:61">
      <c r="A49" s="101" t="s">
        <v>580</v>
      </c>
      <c r="B49" s="71" t="s">
        <v>212</v>
      </c>
      <c r="C49" s="633" t="s">
        <v>603</v>
      </c>
      <c r="D49" s="88">
        <v>0</v>
      </c>
      <c r="E49" s="90">
        <v>0</v>
      </c>
      <c r="F49" s="28">
        <v>0</v>
      </c>
      <c r="G49" s="77">
        <v>0</v>
      </c>
      <c r="H49" s="584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89">
        <v>0</v>
      </c>
      <c r="O49" s="28">
        <v>0</v>
      </c>
      <c r="P49" s="28">
        <v>0</v>
      </c>
      <c r="Q49" s="28">
        <v>0</v>
      </c>
      <c r="R49" s="28">
        <v>0</v>
      </c>
      <c r="S49" s="75">
        <v>47</v>
      </c>
      <c r="V49" s="101" t="s">
        <v>429</v>
      </c>
      <c r="W49" s="71" t="s">
        <v>212</v>
      </c>
      <c r="X49" s="116" t="s">
        <v>457</v>
      </c>
      <c r="Y49" s="106">
        <v>4.9046321525885563</v>
      </c>
      <c r="Z49" s="364">
        <v>0</v>
      </c>
      <c r="AA49" s="74">
        <v>0</v>
      </c>
      <c r="AB49" s="28">
        <v>2</v>
      </c>
      <c r="AC49" s="584">
        <v>3.67</v>
      </c>
      <c r="AD49" s="28">
        <v>3</v>
      </c>
      <c r="AE49" s="28">
        <v>2</v>
      </c>
      <c r="AF49" s="28">
        <v>2</v>
      </c>
      <c r="AG49" s="28">
        <v>2</v>
      </c>
      <c r="AH49" s="28">
        <v>0</v>
      </c>
      <c r="AI49" s="89">
        <v>1.3623978201634879</v>
      </c>
      <c r="AJ49" s="28">
        <v>0</v>
      </c>
      <c r="AK49" s="28">
        <v>0</v>
      </c>
      <c r="AL49" s="28">
        <v>0</v>
      </c>
      <c r="AM49" s="74">
        <v>0</v>
      </c>
      <c r="AN49" s="27">
        <v>47</v>
      </c>
      <c r="AQ49" s="366" t="s">
        <v>580</v>
      </c>
      <c r="AR49" s="71" t="s">
        <v>212</v>
      </c>
      <c r="AS49" s="28" t="s">
        <v>603</v>
      </c>
      <c r="AT49" s="106">
        <v>2.8436018957345972</v>
      </c>
      <c r="AU49" s="77">
        <v>0</v>
      </c>
      <c r="AV49" s="74">
        <v>0</v>
      </c>
      <c r="AW49" s="28">
        <v>5</v>
      </c>
      <c r="AX49" s="584">
        <v>6.33</v>
      </c>
      <c r="AY49" s="28">
        <v>5</v>
      </c>
      <c r="AZ49" s="28">
        <v>2</v>
      </c>
      <c r="BA49" s="28">
        <v>3</v>
      </c>
      <c r="BB49" s="28">
        <v>6</v>
      </c>
      <c r="BC49" s="28">
        <v>1</v>
      </c>
      <c r="BD49" s="89">
        <v>1.2638230647709321</v>
      </c>
      <c r="BE49" s="28">
        <v>0</v>
      </c>
      <c r="BF49" s="28">
        <v>0</v>
      </c>
      <c r="BG49" s="28">
        <v>0</v>
      </c>
      <c r="BH49" s="74">
        <v>0</v>
      </c>
      <c r="BI49" s="27">
        <v>47</v>
      </c>
    </row>
    <row r="50" spans="1:61">
      <c r="A50" s="101" t="s">
        <v>580</v>
      </c>
      <c r="B50" s="71" t="s">
        <v>212</v>
      </c>
      <c r="C50" s="633" t="s">
        <v>605</v>
      </c>
      <c r="D50" s="88">
        <v>4.9046321525885563</v>
      </c>
      <c r="E50" s="90">
        <v>0</v>
      </c>
      <c r="F50" s="28">
        <v>0</v>
      </c>
      <c r="G50" s="77">
        <v>2</v>
      </c>
      <c r="H50" s="584">
        <v>3.67</v>
      </c>
      <c r="I50" s="28">
        <v>4</v>
      </c>
      <c r="J50" s="28">
        <v>2</v>
      </c>
      <c r="K50" s="28">
        <v>2</v>
      </c>
      <c r="L50" s="28">
        <v>0</v>
      </c>
      <c r="M50" s="28">
        <v>0</v>
      </c>
      <c r="N50" s="89">
        <v>1.6348773841961852</v>
      </c>
      <c r="O50" s="28">
        <v>0</v>
      </c>
      <c r="P50" s="28">
        <v>0</v>
      </c>
      <c r="Q50" s="28">
        <v>0</v>
      </c>
      <c r="R50" s="28">
        <v>0</v>
      </c>
      <c r="S50" s="75">
        <v>48</v>
      </c>
      <c r="V50" s="101" t="s">
        <v>429</v>
      </c>
      <c r="W50" s="71" t="s">
        <v>212</v>
      </c>
      <c r="X50" s="116" t="s">
        <v>456</v>
      </c>
      <c r="Y50" s="106">
        <v>1.9271948608137046</v>
      </c>
      <c r="Z50" s="364">
        <v>0</v>
      </c>
      <c r="AA50" s="74">
        <v>0</v>
      </c>
      <c r="AB50" s="28">
        <v>3</v>
      </c>
      <c r="AC50" s="584">
        <v>4.67</v>
      </c>
      <c r="AD50" s="28">
        <v>2</v>
      </c>
      <c r="AE50" s="28">
        <v>1</v>
      </c>
      <c r="AF50" s="28">
        <v>1</v>
      </c>
      <c r="AG50" s="28">
        <v>5</v>
      </c>
      <c r="AH50" s="28">
        <v>0</v>
      </c>
      <c r="AI50" s="89">
        <v>0.64239828693790146</v>
      </c>
      <c r="AJ50" s="28">
        <v>0</v>
      </c>
      <c r="AK50" s="28">
        <v>0</v>
      </c>
      <c r="AL50" s="28">
        <v>0</v>
      </c>
      <c r="AM50" s="74">
        <v>0</v>
      </c>
      <c r="AN50" s="27">
        <v>48</v>
      </c>
      <c r="AQ50" s="366" t="s">
        <v>580</v>
      </c>
      <c r="AR50" s="71" t="s">
        <v>212</v>
      </c>
      <c r="AS50" s="28" t="s">
        <v>605</v>
      </c>
      <c r="AT50" s="106">
        <v>7.7253218884120169</v>
      </c>
      <c r="AU50" s="77">
        <v>0</v>
      </c>
      <c r="AV50" s="74">
        <v>0</v>
      </c>
      <c r="AW50" s="28">
        <v>6</v>
      </c>
      <c r="AX50" s="584">
        <v>2.33</v>
      </c>
      <c r="AY50" s="28">
        <v>7</v>
      </c>
      <c r="AZ50" s="28">
        <v>2</v>
      </c>
      <c r="BA50" s="28">
        <v>3</v>
      </c>
      <c r="BB50" s="28">
        <v>3</v>
      </c>
      <c r="BC50" s="28">
        <v>0</v>
      </c>
      <c r="BD50" s="89">
        <v>4.2918454935622314</v>
      </c>
      <c r="BE50" s="28">
        <v>0</v>
      </c>
      <c r="BF50" s="28">
        <v>0</v>
      </c>
      <c r="BG50" s="28">
        <v>0</v>
      </c>
      <c r="BH50" s="74">
        <v>0</v>
      </c>
      <c r="BI50" s="27">
        <v>48</v>
      </c>
    </row>
    <row r="51" spans="1:61">
      <c r="A51" s="101" t="s">
        <v>580</v>
      </c>
      <c r="B51" s="71" t="s">
        <v>212</v>
      </c>
      <c r="C51" s="633" t="s">
        <v>606</v>
      </c>
      <c r="D51" s="88">
        <v>5.3973013493253372</v>
      </c>
      <c r="E51" s="90">
        <v>1</v>
      </c>
      <c r="F51" s="28">
        <v>0</v>
      </c>
      <c r="G51" s="77">
        <v>6</v>
      </c>
      <c r="H51" s="584">
        <v>6.67</v>
      </c>
      <c r="I51" s="28">
        <v>8</v>
      </c>
      <c r="J51" s="28">
        <v>4</v>
      </c>
      <c r="K51" s="28">
        <v>3</v>
      </c>
      <c r="L51" s="28">
        <v>12</v>
      </c>
      <c r="M51" s="28">
        <v>0</v>
      </c>
      <c r="N51" s="89">
        <v>1.6491754122938531</v>
      </c>
      <c r="O51" s="28">
        <v>0</v>
      </c>
      <c r="P51" s="28">
        <v>0</v>
      </c>
      <c r="Q51" s="28">
        <v>0</v>
      </c>
      <c r="R51" s="28">
        <v>0</v>
      </c>
      <c r="S51" s="75">
        <v>49</v>
      </c>
      <c r="V51" s="101" t="s">
        <v>429</v>
      </c>
      <c r="W51" s="71" t="s">
        <v>212</v>
      </c>
      <c r="X51" s="116" t="s">
        <v>458</v>
      </c>
      <c r="Y51" s="106">
        <v>6.3492063492063489</v>
      </c>
      <c r="Z51" s="364">
        <v>0</v>
      </c>
      <c r="AA51" s="74">
        <v>0</v>
      </c>
      <c r="AB51" s="28">
        <v>5</v>
      </c>
      <c r="AC51" s="584">
        <v>5.67</v>
      </c>
      <c r="AD51" s="28">
        <v>5</v>
      </c>
      <c r="AE51" s="28">
        <v>4</v>
      </c>
      <c r="AF51" s="28">
        <v>2</v>
      </c>
      <c r="AG51" s="28">
        <v>6</v>
      </c>
      <c r="AH51" s="28">
        <v>0</v>
      </c>
      <c r="AI51" s="89">
        <v>1.2345679012345678</v>
      </c>
      <c r="AJ51" s="28">
        <v>0</v>
      </c>
      <c r="AK51" s="28">
        <v>0</v>
      </c>
      <c r="AL51" s="28">
        <v>0</v>
      </c>
      <c r="AM51" s="74">
        <v>0</v>
      </c>
      <c r="AN51" s="27">
        <v>49</v>
      </c>
      <c r="AQ51" s="366" t="s">
        <v>580</v>
      </c>
      <c r="AR51" s="71" t="s">
        <v>212</v>
      </c>
      <c r="AS51" s="28" t="s">
        <v>606</v>
      </c>
      <c r="AT51" s="106">
        <v>2.25</v>
      </c>
      <c r="AU51" s="352">
        <v>3</v>
      </c>
      <c r="AV51" s="74">
        <v>0</v>
      </c>
      <c r="AW51" s="76">
        <v>12</v>
      </c>
      <c r="AX51" s="584">
        <v>12</v>
      </c>
      <c r="AY51" s="28">
        <v>4</v>
      </c>
      <c r="AZ51" s="28">
        <v>3</v>
      </c>
      <c r="BA51" s="28">
        <v>3</v>
      </c>
      <c r="BB51" s="28">
        <v>16</v>
      </c>
      <c r="BC51" s="28">
        <v>0</v>
      </c>
      <c r="BD51" s="347">
        <v>0.58333333333333337</v>
      </c>
      <c r="BE51" s="28">
        <v>0</v>
      </c>
      <c r="BF51" s="28">
        <v>0</v>
      </c>
      <c r="BG51" s="28">
        <v>0</v>
      </c>
      <c r="BH51" s="74">
        <v>0</v>
      </c>
      <c r="BI51" s="27">
        <v>49</v>
      </c>
    </row>
    <row r="52" spans="1:61">
      <c r="A52" s="101" t="s">
        <v>580</v>
      </c>
      <c r="B52" s="71" t="s">
        <v>212</v>
      </c>
      <c r="C52" s="633" t="s">
        <v>607</v>
      </c>
      <c r="D52" s="88">
        <v>0</v>
      </c>
      <c r="E52" s="90">
        <v>1</v>
      </c>
      <c r="F52" s="28">
        <v>0</v>
      </c>
      <c r="G52" s="77">
        <v>8</v>
      </c>
      <c r="H52" s="584">
        <v>10.33</v>
      </c>
      <c r="I52" s="28">
        <v>6</v>
      </c>
      <c r="J52" s="28">
        <v>0</v>
      </c>
      <c r="K52" s="28">
        <v>5</v>
      </c>
      <c r="L52" s="28">
        <v>15</v>
      </c>
      <c r="M52" s="28">
        <v>5</v>
      </c>
      <c r="N52" s="89">
        <v>1.0648596321393997</v>
      </c>
      <c r="O52" s="28">
        <v>0</v>
      </c>
      <c r="P52" s="28">
        <v>0</v>
      </c>
      <c r="Q52" s="28">
        <v>0</v>
      </c>
      <c r="R52" s="28">
        <v>0</v>
      </c>
      <c r="S52" s="75">
        <v>50</v>
      </c>
      <c r="V52" s="101" t="s">
        <v>429</v>
      </c>
      <c r="W52" s="71" t="s">
        <v>215</v>
      </c>
      <c r="X52" s="116" t="s">
        <v>227</v>
      </c>
      <c r="Y52" s="106">
        <v>0</v>
      </c>
      <c r="Z52" s="364">
        <v>0</v>
      </c>
      <c r="AA52" s="74">
        <v>0</v>
      </c>
      <c r="AB52" s="28">
        <v>6</v>
      </c>
      <c r="AC52" s="584">
        <v>5.33</v>
      </c>
      <c r="AD52" s="28">
        <v>4</v>
      </c>
      <c r="AE52" s="28">
        <v>0</v>
      </c>
      <c r="AF52" s="28">
        <v>4</v>
      </c>
      <c r="AG52" s="28">
        <v>10</v>
      </c>
      <c r="AH52" s="28">
        <v>2</v>
      </c>
      <c r="AI52" s="89">
        <v>1.5009380863039399</v>
      </c>
      <c r="AJ52" s="28">
        <v>0</v>
      </c>
      <c r="AK52" s="28">
        <v>0</v>
      </c>
      <c r="AL52" s="28">
        <v>0</v>
      </c>
      <c r="AM52" s="74">
        <v>0</v>
      </c>
      <c r="AN52" s="27">
        <v>50</v>
      </c>
      <c r="AQ52" s="366" t="s">
        <v>580</v>
      </c>
      <c r="AR52" s="71" t="s">
        <v>212</v>
      </c>
      <c r="AS52" s="28" t="s">
        <v>607</v>
      </c>
      <c r="AT52" s="106">
        <v>3.6</v>
      </c>
      <c r="AU52" s="77">
        <v>1</v>
      </c>
      <c r="AV52" s="74">
        <v>0</v>
      </c>
      <c r="AW52" s="28">
        <v>11</v>
      </c>
      <c r="AX52" s="584">
        <v>10</v>
      </c>
      <c r="AY52" s="28">
        <v>7</v>
      </c>
      <c r="AZ52" s="28">
        <v>4</v>
      </c>
      <c r="BA52" s="28">
        <v>4</v>
      </c>
      <c r="BB52" s="28">
        <v>20</v>
      </c>
      <c r="BC52" s="76">
        <v>5</v>
      </c>
      <c r="BD52" s="89">
        <v>1.1000000000000001</v>
      </c>
      <c r="BE52" s="28">
        <v>0</v>
      </c>
      <c r="BF52" s="28">
        <v>0</v>
      </c>
      <c r="BG52" s="28">
        <v>0</v>
      </c>
      <c r="BH52" s="74">
        <v>0</v>
      </c>
      <c r="BI52" s="27">
        <v>50</v>
      </c>
    </row>
    <row r="53" spans="1:61">
      <c r="A53" s="101" t="s">
        <v>611</v>
      </c>
      <c r="B53" s="71" t="s">
        <v>206</v>
      </c>
      <c r="C53" s="28" t="s">
        <v>630</v>
      </c>
      <c r="D53" s="88">
        <v>2.8436018957345972</v>
      </c>
      <c r="E53" s="90">
        <v>0</v>
      </c>
      <c r="F53" s="28">
        <v>1</v>
      </c>
      <c r="G53" s="77">
        <v>1</v>
      </c>
      <c r="H53" s="584">
        <v>6.33</v>
      </c>
      <c r="I53" s="28">
        <v>8</v>
      </c>
      <c r="J53" s="28">
        <v>2</v>
      </c>
      <c r="K53" s="28">
        <v>3</v>
      </c>
      <c r="L53" s="28">
        <v>4</v>
      </c>
      <c r="M53" s="28">
        <v>0</v>
      </c>
      <c r="N53" s="89">
        <v>1.7377567140600316</v>
      </c>
      <c r="O53" s="28">
        <v>1</v>
      </c>
      <c r="P53" s="28">
        <v>0</v>
      </c>
      <c r="Q53" s="28">
        <v>0</v>
      </c>
      <c r="R53" s="28">
        <v>0</v>
      </c>
      <c r="S53" s="75">
        <v>51</v>
      </c>
      <c r="V53" s="101" t="s">
        <v>611</v>
      </c>
      <c r="W53" s="71" t="s">
        <v>206</v>
      </c>
      <c r="X53" s="71" t="s">
        <v>630</v>
      </c>
      <c r="Y53" s="106">
        <v>1.2857142857142858</v>
      </c>
      <c r="Z53" s="364">
        <v>1</v>
      </c>
      <c r="AA53" s="74">
        <v>0</v>
      </c>
      <c r="AB53" s="28">
        <v>1</v>
      </c>
      <c r="AC53" s="584">
        <v>7</v>
      </c>
      <c r="AD53" s="28">
        <v>6</v>
      </c>
      <c r="AE53" s="28">
        <v>1</v>
      </c>
      <c r="AF53" s="28">
        <v>2</v>
      </c>
      <c r="AG53" s="28">
        <v>6</v>
      </c>
      <c r="AH53" s="28">
        <v>0</v>
      </c>
      <c r="AI53" s="89">
        <v>1.1428571428571428</v>
      </c>
      <c r="AJ53" s="28">
        <v>1</v>
      </c>
      <c r="AK53" s="28">
        <v>1</v>
      </c>
      <c r="AL53" s="28">
        <v>0</v>
      </c>
      <c r="AM53" s="74">
        <v>0</v>
      </c>
      <c r="AN53" s="27">
        <v>51</v>
      </c>
      <c r="AQ53" s="101" t="s">
        <v>685</v>
      </c>
      <c r="AR53" s="71" t="s">
        <v>206</v>
      </c>
      <c r="AS53" s="28" t="s">
        <v>687</v>
      </c>
      <c r="AT53" s="106">
        <v>3.068530514831231</v>
      </c>
      <c r="AU53" s="77">
        <v>2</v>
      </c>
      <c r="AV53" s="74">
        <v>2</v>
      </c>
      <c r="AW53" s="28">
        <v>4</v>
      </c>
      <c r="AX53" s="584">
        <v>29.33</v>
      </c>
      <c r="AY53" s="28">
        <v>22</v>
      </c>
      <c r="AZ53" s="28">
        <v>10</v>
      </c>
      <c r="BA53" s="28">
        <v>6</v>
      </c>
      <c r="BB53" s="28">
        <v>40</v>
      </c>
      <c r="BC53" s="28">
        <v>0</v>
      </c>
      <c r="BD53" s="347">
        <v>0.95465393794749409</v>
      </c>
      <c r="BE53" s="28">
        <v>3</v>
      </c>
      <c r="BF53" s="28">
        <v>1</v>
      </c>
      <c r="BG53" s="76">
        <v>1</v>
      </c>
      <c r="BH53" s="104">
        <v>1</v>
      </c>
      <c r="BI53" s="27">
        <v>51</v>
      </c>
    </row>
    <row r="54" spans="1:61">
      <c r="A54" s="101" t="s">
        <v>611</v>
      </c>
      <c r="B54" s="71" t="s">
        <v>206</v>
      </c>
      <c r="C54" s="633" t="s">
        <v>631</v>
      </c>
      <c r="D54" s="88">
        <v>6</v>
      </c>
      <c r="E54" s="90">
        <v>0</v>
      </c>
      <c r="F54" s="28">
        <v>1</v>
      </c>
      <c r="G54" s="77">
        <v>1</v>
      </c>
      <c r="H54" s="584">
        <v>6</v>
      </c>
      <c r="I54" s="28">
        <v>7</v>
      </c>
      <c r="J54" s="28">
        <v>4</v>
      </c>
      <c r="K54" s="28">
        <v>3</v>
      </c>
      <c r="L54" s="28">
        <v>4</v>
      </c>
      <c r="M54" s="28">
        <v>0</v>
      </c>
      <c r="N54" s="89">
        <v>1.6666666666666667</v>
      </c>
      <c r="O54" s="28">
        <v>0</v>
      </c>
      <c r="P54" s="28">
        <v>0</v>
      </c>
      <c r="Q54" s="28">
        <v>0</v>
      </c>
      <c r="R54" s="28">
        <v>0</v>
      </c>
      <c r="S54" s="75">
        <v>52</v>
      </c>
      <c r="V54" s="101" t="s">
        <v>611</v>
      </c>
      <c r="W54" s="71" t="s">
        <v>206</v>
      </c>
      <c r="X54" s="116" t="s">
        <v>632</v>
      </c>
      <c r="Y54" s="106">
        <v>27.038626609442058</v>
      </c>
      <c r="Z54" s="364">
        <v>0</v>
      </c>
      <c r="AA54" s="74">
        <v>1</v>
      </c>
      <c r="AB54" s="28">
        <v>1</v>
      </c>
      <c r="AC54" s="584">
        <v>2.33</v>
      </c>
      <c r="AD54" s="28">
        <v>4</v>
      </c>
      <c r="AE54" s="28">
        <v>7</v>
      </c>
      <c r="AF54" s="28">
        <v>4</v>
      </c>
      <c r="AG54" s="28">
        <v>2</v>
      </c>
      <c r="AH54" s="28">
        <v>0</v>
      </c>
      <c r="AI54" s="89">
        <v>3.4334763948497855</v>
      </c>
      <c r="AJ54" s="28">
        <v>0</v>
      </c>
      <c r="AK54" s="28">
        <v>0</v>
      </c>
      <c r="AL54" s="28">
        <v>0</v>
      </c>
      <c r="AM54" s="74">
        <v>0</v>
      </c>
      <c r="AN54" s="27">
        <v>52</v>
      </c>
      <c r="AQ54" s="101" t="s">
        <v>685</v>
      </c>
      <c r="AR54" s="71" t="s">
        <v>206</v>
      </c>
      <c r="AS54" s="28" t="s">
        <v>704</v>
      </c>
      <c r="AT54" s="106">
        <v>7.6045627376425848</v>
      </c>
      <c r="AU54" s="77">
        <v>1</v>
      </c>
      <c r="AV54" s="74">
        <v>2</v>
      </c>
      <c r="AW54" s="28">
        <v>4</v>
      </c>
      <c r="AX54" s="584">
        <v>23.67</v>
      </c>
      <c r="AY54" s="76">
        <v>38</v>
      </c>
      <c r="AZ54" s="76">
        <v>20</v>
      </c>
      <c r="BA54" s="28">
        <v>10</v>
      </c>
      <c r="BB54" s="28">
        <v>25</v>
      </c>
      <c r="BC54" s="28">
        <v>0</v>
      </c>
      <c r="BD54" s="89">
        <v>2.0278833967046892</v>
      </c>
      <c r="BE54" s="28">
        <v>0</v>
      </c>
      <c r="BF54" s="28">
        <v>0</v>
      </c>
      <c r="BG54" s="28">
        <v>0</v>
      </c>
      <c r="BH54" s="74">
        <v>0</v>
      </c>
      <c r="BI54" s="27">
        <v>52</v>
      </c>
    </row>
    <row r="55" spans="1:61">
      <c r="A55" s="101" t="s">
        <v>611</v>
      </c>
      <c r="B55" s="71" t="s">
        <v>206</v>
      </c>
      <c r="C55" s="633" t="s">
        <v>634</v>
      </c>
      <c r="D55" s="88">
        <v>0</v>
      </c>
      <c r="E55" s="90">
        <v>0</v>
      </c>
      <c r="F55" s="28">
        <v>0</v>
      </c>
      <c r="G55" s="77">
        <v>0</v>
      </c>
      <c r="H55" s="584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89">
        <v>0</v>
      </c>
      <c r="O55" s="28">
        <v>0</v>
      </c>
      <c r="P55" s="28">
        <v>0</v>
      </c>
      <c r="Q55" s="28">
        <v>0</v>
      </c>
      <c r="R55" s="28">
        <v>0</v>
      </c>
      <c r="S55" s="75">
        <v>53</v>
      </c>
      <c r="V55" s="101" t="s">
        <v>611</v>
      </c>
      <c r="W55" s="71" t="s">
        <v>206</v>
      </c>
      <c r="X55" s="116" t="s">
        <v>631</v>
      </c>
      <c r="Y55" s="106">
        <v>10.392609699769054</v>
      </c>
      <c r="Z55" s="364">
        <v>0</v>
      </c>
      <c r="AA55" s="74">
        <v>1</v>
      </c>
      <c r="AB55" s="28">
        <v>1</v>
      </c>
      <c r="AC55" s="584">
        <v>4.33</v>
      </c>
      <c r="AD55" s="28">
        <v>8</v>
      </c>
      <c r="AE55" s="28">
        <v>5</v>
      </c>
      <c r="AF55" s="28">
        <v>5</v>
      </c>
      <c r="AG55" s="28">
        <v>4</v>
      </c>
      <c r="AH55" s="28">
        <v>0</v>
      </c>
      <c r="AI55" s="89">
        <v>3.0023094688221708</v>
      </c>
      <c r="AJ55" s="28">
        <v>0</v>
      </c>
      <c r="AK55" s="28">
        <v>0</v>
      </c>
      <c r="AL55" s="28">
        <v>0</v>
      </c>
      <c r="AM55" s="74">
        <v>0</v>
      </c>
      <c r="AN55" s="27">
        <v>53</v>
      </c>
      <c r="AQ55" s="101" t="s">
        <v>685</v>
      </c>
      <c r="AR55" s="71" t="s">
        <v>206</v>
      </c>
      <c r="AS55" s="28" t="s">
        <v>705</v>
      </c>
      <c r="AT55" s="106">
        <v>2.1974189047785142</v>
      </c>
      <c r="AU55" s="77">
        <v>2</v>
      </c>
      <c r="AV55" s="74">
        <v>0</v>
      </c>
      <c r="AW55" s="28">
        <v>4</v>
      </c>
      <c r="AX55" s="584">
        <v>28.67</v>
      </c>
      <c r="AY55" s="28">
        <v>20</v>
      </c>
      <c r="AZ55" s="28">
        <v>7</v>
      </c>
      <c r="BA55" s="76">
        <v>18</v>
      </c>
      <c r="BB55" s="28">
        <v>23</v>
      </c>
      <c r="BC55" s="28">
        <v>0</v>
      </c>
      <c r="BD55" s="89">
        <v>1.3254272758981513</v>
      </c>
      <c r="BE55" s="28">
        <v>4</v>
      </c>
      <c r="BF55" s="28">
        <v>2</v>
      </c>
      <c r="BG55" s="76">
        <v>1</v>
      </c>
      <c r="BH55" s="74">
        <v>0</v>
      </c>
      <c r="BI55" s="27">
        <v>53</v>
      </c>
    </row>
    <row r="56" spans="1:61">
      <c r="A56" s="101" t="s">
        <v>611</v>
      </c>
      <c r="B56" s="71" t="s">
        <v>206</v>
      </c>
      <c r="C56" s="633" t="s">
        <v>632</v>
      </c>
      <c r="D56" s="88">
        <v>0</v>
      </c>
      <c r="E56" s="90">
        <v>0</v>
      </c>
      <c r="F56" s="28">
        <v>0</v>
      </c>
      <c r="G56" s="77">
        <v>0</v>
      </c>
      <c r="H56" s="584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89">
        <v>0</v>
      </c>
      <c r="O56" s="28">
        <v>0</v>
      </c>
      <c r="P56" s="28">
        <v>0</v>
      </c>
      <c r="Q56" s="28">
        <v>0</v>
      </c>
      <c r="R56" s="28">
        <v>0</v>
      </c>
      <c r="S56" s="75">
        <v>54</v>
      </c>
      <c r="V56" s="101" t="s">
        <v>611</v>
      </c>
      <c r="W56" s="71" t="s">
        <v>365</v>
      </c>
      <c r="X56" s="116" t="s">
        <v>634</v>
      </c>
      <c r="Y56" s="106">
        <v>3</v>
      </c>
      <c r="Z56" s="364">
        <v>0</v>
      </c>
      <c r="AA56" s="74">
        <v>0</v>
      </c>
      <c r="AB56" s="28">
        <v>2</v>
      </c>
      <c r="AC56" s="584">
        <v>3</v>
      </c>
      <c r="AD56" s="28">
        <v>7</v>
      </c>
      <c r="AE56" s="28">
        <v>1</v>
      </c>
      <c r="AF56" s="28">
        <v>2</v>
      </c>
      <c r="AG56" s="28">
        <v>1</v>
      </c>
      <c r="AH56" s="28">
        <v>0</v>
      </c>
      <c r="AI56" s="89">
        <v>3</v>
      </c>
      <c r="AJ56" s="28">
        <v>0</v>
      </c>
      <c r="AK56" s="28">
        <v>0</v>
      </c>
      <c r="AL56" s="28">
        <v>0</v>
      </c>
      <c r="AM56" s="74">
        <v>0</v>
      </c>
      <c r="AN56" s="27">
        <v>54</v>
      </c>
      <c r="AQ56" s="101" t="s">
        <v>685</v>
      </c>
      <c r="AR56" s="71" t="s">
        <v>206</v>
      </c>
      <c r="AS56" s="28" t="s">
        <v>703</v>
      </c>
      <c r="AT56" s="106">
        <v>11.587982832618025</v>
      </c>
      <c r="AU56" s="77">
        <v>0</v>
      </c>
      <c r="AV56" s="74">
        <v>1</v>
      </c>
      <c r="AW56" s="28">
        <v>3</v>
      </c>
      <c r="AX56" s="584">
        <v>2.33</v>
      </c>
      <c r="AY56" s="28">
        <v>4</v>
      </c>
      <c r="AZ56" s="28">
        <v>3</v>
      </c>
      <c r="BA56" s="28">
        <v>1</v>
      </c>
      <c r="BB56" s="28">
        <v>1</v>
      </c>
      <c r="BC56" s="28">
        <v>0</v>
      </c>
      <c r="BD56" s="89">
        <v>2.1459227467811157</v>
      </c>
      <c r="BE56" s="28">
        <v>0</v>
      </c>
      <c r="BF56" s="28">
        <v>0</v>
      </c>
      <c r="BG56" s="28">
        <v>0</v>
      </c>
      <c r="BH56" s="74">
        <v>0</v>
      </c>
      <c r="BI56" s="27">
        <v>54</v>
      </c>
    </row>
    <row r="57" spans="1:61">
      <c r="A57" s="101" t="s">
        <v>611</v>
      </c>
      <c r="B57" s="71" t="s">
        <v>212</v>
      </c>
      <c r="C57" s="633" t="s">
        <v>633</v>
      </c>
      <c r="D57" s="88">
        <v>0</v>
      </c>
      <c r="E57" s="90">
        <v>0</v>
      </c>
      <c r="F57" s="28">
        <v>0</v>
      </c>
      <c r="G57" s="77">
        <v>0</v>
      </c>
      <c r="H57" s="584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89">
        <v>0</v>
      </c>
      <c r="O57" s="28">
        <v>0</v>
      </c>
      <c r="P57" s="28">
        <v>0</v>
      </c>
      <c r="Q57" s="28">
        <v>0</v>
      </c>
      <c r="R57" s="28">
        <v>0</v>
      </c>
      <c r="S57" s="75">
        <v>55</v>
      </c>
      <c r="V57" s="101" t="s">
        <v>611</v>
      </c>
      <c r="W57" s="71" t="s">
        <v>212</v>
      </c>
      <c r="X57" s="116" t="s">
        <v>633</v>
      </c>
      <c r="Y57" s="106">
        <v>0</v>
      </c>
      <c r="Z57" s="364">
        <v>0</v>
      </c>
      <c r="AA57" s="74">
        <v>0</v>
      </c>
      <c r="AB57" s="28">
        <v>0</v>
      </c>
      <c r="AC57" s="584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89">
        <v>0</v>
      </c>
      <c r="AJ57" s="28">
        <v>0</v>
      </c>
      <c r="AK57" s="28">
        <v>0</v>
      </c>
      <c r="AL57" s="28">
        <v>0</v>
      </c>
      <c r="AM57" s="74">
        <v>0</v>
      </c>
      <c r="AN57" s="27">
        <v>55</v>
      </c>
      <c r="AQ57" s="101" t="s">
        <v>685</v>
      </c>
      <c r="AR57" s="71" t="s">
        <v>215</v>
      </c>
      <c r="AS57" s="28" t="s">
        <v>706</v>
      </c>
      <c r="AT57" s="106">
        <v>0</v>
      </c>
      <c r="AU57" s="77">
        <v>0</v>
      </c>
      <c r="AV57" s="74">
        <v>0</v>
      </c>
      <c r="AW57" s="28">
        <v>2</v>
      </c>
      <c r="AX57" s="584">
        <v>3.67</v>
      </c>
      <c r="AY57" s="28">
        <v>6</v>
      </c>
      <c r="AZ57" s="28">
        <v>0</v>
      </c>
      <c r="BA57" s="28">
        <v>3</v>
      </c>
      <c r="BB57" s="28">
        <v>5</v>
      </c>
      <c r="BC57" s="28">
        <v>0</v>
      </c>
      <c r="BD57" s="89">
        <v>2.4523160762942782</v>
      </c>
      <c r="BE57" s="28">
        <v>0</v>
      </c>
      <c r="BF57" s="28">
        <v>0</v>
      </c>
      <c r="BG57" s="28">
        <v>0</v>
      </c>
      <c r="BH57" s="74">
        <v>0</v>
      </c>
      <c r="BI57" s="27">
        <v>55</v>
      </c>
    </row>
    <row r="58" spans="1:61">
      <c r="A58" s="101" t="s">
        <v>611</v>
      </c>
      <c r="B58" s="71" t="s">
        <v>215</v>
      </c>
      <c r="C58" s="633" t="s">
        <v>637</v>
      </c>
      <c r="D58" s="88">
        <v>0</v>
      </c>
      <c r="E58" s="90">
        <v>0</v>
      </c>
      <c r="F58" s="28">
        <v>0</v>
      </c>
      <c r="G58" s="77">
        <v>0</v>
      </c>
      <c r="H58" s="584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89">
        <v>0</v>
      </c>
      <c r="O58" s="28">
        <v>0</v>
      </c>
      <c r="P58" s="28">
        <v>0</v>
      </c>
      <c r="Q58" s="28">
        <v>0</v>
      </c>
      <c r="R58" s="28">
        <v>0</v>
      </c>
      <c r="S58" s="75">
        <v>56</v>
      </c>
      <c r="V58" s="101" t="s">
        <v>611</v>
      </c>
      <c r="W58" s="71" t="s">
        <v>212</v>
      </c>
      <c r="X58" s="116" t="s">
        <v>636</v>
      </c>
      <c r="Y58" s="106">
        <v>0</v>
      </c>
      <c r="Z58" s="364">
        <v>0</v>
      </c>
      <c r="AA58" s="74">
        <v>0</v>
      </c>
      <c r="AB58" s="28">
        <v>0</v>
      </c>
      <c r="AC58" s="584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89">
        <v>0</v>
      </c>
      <c r="AJ58" s="28">
        <v>0</v>
      </c>
      <c r="AK58" s="28">
        <v>0</v>
      </c>
      <c r="AL58" s="28">
        <v>0</v>
      </c>
      <c r="AM58" s="74">
        <v>0</v>
      </c>
      <c r="AN58" s="27">
        <v>56</v>
      </c>
      <c r="AQ58" s="101" t="s">
        <v>685</v>
      </c>
      <c r="AR58" s="71" t="s">
        <v>212</v>
      </c>
      <c r="AS58" s="28" t="s">
        <v>709</v>
      </c>
      <c r="AT58" s="106">
        <v>0</v>
      </c>
      <c r="AU58" s="77">
        <v>0</v>
      </c>
      <c r="AV58" s="74">
        <v>0</v>
      </c>
      <c r="AW58" s="28">
        <v>0</v>
      </c>
      <c r="AX58" s="584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89">
        <v>0</v>
      </c>
      <c r="BE58" s="28">
        <v>0</v>
      </c>
      <c r="BF58" s="28">
        <v>0</v>
      </c>
      <c r="BG58" s="28">
        <v>0</v>
      </c>
      <c r="BH58" s="74">
        <v>0</v>
      </c>
      <c r="BI58" s="27">
        <v>56</v>
      </c>
    </row>
    <row r="59" spans="1:61">
      <c r="A59" s="101" t="s">
        <v>611</v>
      </c>
      <c r="B59" s="71" t="s">
        <v>212</v>
      </c>
      <c r="C59" s="633" t="s">
        <v>635</v>
      </c>
      <c r="D59" s="88">
        <v>0</v>
      </c>
      <c r="E59" s="90">
        <v>0</v>
      </c>
      <c r="F59" s="28">
        <v>0</v>
      </c>
      <c r="G59" s="77">
        <v>0</v>
      </c>
      <c r="H59" s="584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89">
        <v>0</v>
      </c>
      <c r="O59" s="28">
        <v>0</v>
      </c>
      <c r="P59" s="28">
        <v>0</v>
      </c>
      <c r="Q59" s="28">
        <v>0</v>
      </c>
      <c r="R59" s="28">
        <v>0</v>
      </c>
      <c r="S59" s="75">
        <v>57</v>
      </c>
      <c r="V59" s="101" t="s">
        <v>611</v>
      </c>
      <c r="W59" s="71" t="s">
        <v>212</v>
      </c>
      <c r="X59" s="116" t="s">
        <v>635</v>
      </c>
      <c r="Y59" s="106">
        <v>0</v>
      </c>
      <c r="Z59" s="364">
        <v>0</v>
      </c>
      <c r="AA59" s="74">
        <v>0</v>
      </c>
      <c r="AB59" s="28">
        <v>1</v>
      </c>
      <c r="AC59" s="584">
        <v>2</v>
      </c>
      <c r="AD59" s="28">
        <v>0</v>
      </c>
      <c r="AE59" s="28">
        <v>0</v>
      </c>
      <c r="AF59" s="28">
        <v>0</v>
      </c>
      <c r="AG59" s="28">
        <v>4</v>
      </c>
      <c r="AH59" s="28">
        <v>0</v>
      </c>
      <c r="AI59" s="89">
        <v>0</v>
      </c>
      <c r="AJ59" s="28">
        <v>0</v>
      </c>
      <c r="AK59" s="28">
        <v>0</v>
      </c>
      <c r="AL59" s="28">
        <v>0</v>
      </c>
      <c r="AM59" s="74">
        <v>0</v>
      </c>
      <c r="AN59" s="27">
        <v>57</v>
      </c>
      <c r="AQ59" s="101" t="s">
        <v>685</v>
      </c>
      <c r="AR59" s="71" t="s">
        <v>215</v>
      </c>
      <c r="AS59" s="28" t="s">
        <v>707</v>
      </c>
      <c r="AT59" s="106">
        <v>0</v>
      </c>
      <c r="AU59" s="77">
        <v>0</v>
      </c>
      <c r="AV59" s="74">
        <v>0</v>
      </c>
      <c r="AW59" s="28">
        <v>0</v>
      </c>
      <c r="AX59" s="584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89">
        <v>0</v>
      </c>
      <c r="BE59" s="28">
        <v>0</v>
      </c>
      <c r="BF59" s="28">
        <v>0</v>
      </c>
      <c r="BG59" s="28">
        <v>0</v>
      </c>
      <c r="BH59" s="74">
        <v>0</v>
      </c>
      <c r="BI59" s="27">
        <v>57</v>
      </c>
    </row>
    <row r="60" spans="1:61">
      <c r="A60" s="101" t="s">
        <v>611</v>
      </c>
      <c r="B60" s="71" t="s">
        <v>215</v>
      </c>
      <c r="C60" s="28" t="s">
        <v>640</v>
      </c>
      <c r="D60" s="88">
        <v>0</v>
      </c>
      <c r="E60" s="90">
        <v>0</v>
      </c>
      <c r="F60" s="28">
        <v>0</v>
      </c>
      <c r="G60" s="77">
        <v>0</v>
      </c>
      <c r="H60" s="584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89">
        <v>0</v>
      </c>
      <c r="O60" s="28">
        <v>0</v>
      </c>
      <c r="P60" s="28">
        <v>0</v>
      </c>
      <c r="Q60" s="28">
        <v>0</v>
      </c>
      <c r="R60" s="28">
        <v>0</v>
      </c>
      <c r="S60" s="75">
        <v>58</v>
      </c>
      <c r="V60" s="101" t="s">
        <v>611</v>
      </c>
      <c r="W60" s="71" t="s">
        <v>212</v>
      </c>
      <c r="X60" s="116" t="s">
        <v>643</v>
      </c>
      <c r="Y60" s="106">
        <v>3</v>
      </c>
      <c r="Z60" s="364">
        <v>0</v>
      </c>
      <c r="AA60" s="74">
        <v>0</v>
      </c>
      <c r="AB60" s="28">
        <v>2</v>
      </c>
      <c r="AC60" s="584">
        <v>3</v>
      </c>
      <c r="AD60" s="28">
        <v>4</v>
      </c>
      <c r="AE60" s="28">
        <v>1</v>
      </c>
      <c r="AF60" s="28">
        <v>1</v>
      </c>
      <c r="AG60" s="28">
        <v>6</v>
      </c>
      <c r="AH60" s="28">
        <v>0</v>
      </c>
      <c r="AI60" s="89">
        <v>1.6666666666666667</v>
      </c>
      <c r="AJ60" s="28">
        <v>0</v>
      </c>
      <c r="AK60" s="28">
        <v>0</v>
      </c>
      <c r="AL60" s="28">
        <v>0</v>
      </c>
      <c r="AM60" s="74">
        <v>0</v>
      </c>
      <c r="AN60" s="27">
        <v>58</v>
      </c>
      <c r="AQ60" s="101" t="s">
        <v>685</v>
      </c>
      <c r="AR60" s="71" t="s">
        <v>212</v>
      </c>
      <c r="AS60" s="28" t="s">
        <v>710</v>
      </c>
      <c r="AT60" s="106">
        <v>6.7542213883677293</v>
      </c>
      <c r="AU60" s="77">
        <v>0</v>
      </c>
      <c r="AV60" s="74">
        <v>0</v>
      </c>
      <c r="AW60" s="28">
        <v>4</v>
      </c>
      <c r="AX60" s="584">
        <v>5.33</v>
      </c>
      <c r="AY60" s="28">
        <v>7</v>
      </c>
      <c r="AZ60" s="28">
        <v>4</v>
      </c>
      <c r="BA60" s="28">
        <v>2</v>
      </c>
      <c r="BB60" s="28">
        <v>5</v>
      </c>
      <c r="BC60" s="28">
        <v>0</v>
      </c>
      <c r="BD60" s="89">
        <v>1.6885553470919323</v>
      </c>
      <c r="BE60" s="28">
        <v>0</v>
      </c>
      <c r="BF60" s="28">
        <v>0</v>
      </c>
      <c r="BG60" s="28">
        <v>0</v>
      </c>
      <c r="BH60" s="74">
        <v>0</v>
      </c>
      <c r="BI60" s="27">
        <v>58</v>
      </c>
    </row>
    <row r="61" spans="1:61">
      <c r="A61" s="101" t="s">
        <v>611</v>
      </c>
      <c r="B61" s="71" t="s">
        <v>212</v>
      </c>
      <c r="C61" s="633" t="s">
        <v>641</v>
      </c>
      <c r="D61" s="88">
        <v>2.4523160762942782</v>
      </c>
      <c r="E61" s="90">
        <v>0</v>
      </c>
      <c r="F61" s="28">
        <v>0</v>
      </c>
      <c r="G61" s="77">
        <v>2</v>
      </c>
      <c r="H61" s="584">
        <v>3.67</v>
      </c>
      <c r="I61" s="28">
        <v>3</v>
      </c>
      <c r="J61" s="28">
        <v>1</v>
      </c>
      <c r="K61" s="28">
        <v>2</v>
      </c>
      <c r="L61" s="28">
        <v>2</v>
      </c>
      <c r="M61" s="28">
        <v>0</v>
      </c>
      <c r="N61" s="89">
        <v>1.3623978201634879</v>
      </c>
      <c r="O61" s="28">
        <v>0</v>
      </c>
      <c r="P61" s="28">
        <v>0</v>
      </c>
      <c r="Q61" s="28">
        <v>0</v>
      </c>
      <c r="R61" s="28">
        <v>0</v>
      </c>
      <c r="S61" s="75">
        <v>59</v>
      </c>
      <c r="V61" s="101" t="s">
        <v>611</v>
      </c>
      <c r="W61" s="71" t="s">
        <v>215</v>
      </c>
      <c r="X61" s="116" t="s">
        <v>641</v>
      </c>
      <c r="Y61" s="106">
        <v>2.7027027027027026</v>
      </c>
      <c r="Z61" s="364">
        <v>0</v>
      </c>
      <c r="AA61" s="74">
        <v>0</v>
      </c>
      <c r="AB61" s="28">
        <v>2</v>
      </c>
      <c r="AC61" s="584">
        <v>3.33</v>
      </c>
      <c r="AD61" s="28">
        <v>2</v>
      </c>
      <c r="AE61" s="28">
        <v>1</v>
      </c>
      <c r="AF61" s="28">
        <v>4</v>
      </c>
      <c r="AG61" s="28">
        <v>1</v>
      </c>
      <c r="AH61" s="28">
        <v>0</v>
      </c>
      <c r="AI61" s="89">
        <v>1.8018018018018018</v>
      </c>
      <c r="AJ61" s="28">
        <v>0</v>
      </c>
      <c r="AK61" s="28">
        <v>0</v>
      </c>
      <c r="AL61" s="28">
        <v>0</v>
      </c>
      <c r="AM61" s="74">
        <v>0</v>
      </c>
      <c r="AN61" s="27">
        <v>59</v>
      </c>
      <c r="AQ61" s="101" t="s">
        <v>685</v>
      </c>
      <c r="AR61" s="71" t="s">
        <v>212</v>
      </c>
      <c r="AS61" s="28" t="s">
        <v>712</v>
      </c>
      <c r="AT61" s="106">
        <v>6.3492063492063489</v>
      </c>
      <c r="AU61" s="77">
        <v>0</v>
      </c>
      <c r="AV61" s="74">
        <v>1</v>
      </c>
      <c r="AW61" s="28">
        <v>6</v>
      </c>
      <c r="AX61" s="584">
        <v>5.67</v>
      </c>
      <c r="AY61" s="28">
        <v>10</v>
      </c>
      <c r="AZ61" s="28">
        <v>4</v>
      </c>
      <c r="BA61" s="28">
        <v>3</v>
      </c>
      <c r="BB61" s="28">
        <v>2</v>
      </c>
      <c r="BC61" s="28">
        <v>0</v>
      </c>
      <c r="BD61" s="89">
        <v>2.2927689594356262</v>
      </c>
      <c r="BE61" s="28">
        <v>0</v>
      </c>
      <c r="BF61" s="28">
        <v>0</v>
      </c>
      <c r="BG61" s="28">
        <v>0</v>
      </c>
      <c r="BH61" s="74">
        <v>0</v>
      </c>
      <c r="BI61" s="27">
        <v>59</v>
      </c>
    </row>
    <row r="62" spans="1:61">
      <c r="A62" s="101" t="s">
        <v>611</v>
      </c>
      <c r="B62" s="71" t="s">
        <v>215</v>
      </c>
      <c r="C62" s="633" t="s">
        <v>644</v>
      </c>
      <c r="D62" s="88">
        <v>4.5</v>
      </c>
      <c r="E62" s="90">
        <v>0</v>
      </c>
      <c r="F62" s="28">
        <v>0</v>
      </c>
      <c r="G62" s="77">
        <v>2</v>
      </c>
      <c r="H62" s="584">
        <v>2</v>
      </c>
      <c r="I62" s="28">
        <v>2</v>
      </c>
      <c r="J62" s="28">
        <v>1</v>
      </c>
      <c r="K62" s="28">
        <v>2</v>
      </c>
      <c r="L62" s="28">
        <v>4</v>
      </c>
      <c r="M62" s="28">
        <v>0</v>
      </c>
      <c r="N62" s="89">
        <v>2</v>
      </c>
      <c r="O62" s="28">
        <v>0</v>
      </c>
      <c r="P62" s="28">
        <v>0</v>
      </c>
      <c r="Q62" s="28">
        <v>0</v>
      </c>
      <c r="R62" s="28">
        <v>0</v>
      </c>
      <c r="S62" s="75">
        <v>60</v>
      </c>
      <c r="V62" s="101" t="s">
        <v>611</v>
      </c>
      <c r="W62" s="71" t="s">
        <v>212</v>
      </c>
      <c r="X62" s="116" t="s">
        <v>645</v>
      </c>
      <c r="Y62" s="106">
        <v>4.5</v>
      </c>
      <c r="Z62" s="364">
        <v>0</v>
      </c>
      <c r="AA62" s="74">
        <v>0</v>
      </c>
      <c r="AB62" s="28">
        <v>2</v>
      </c>
      <c r="AC62" s="584">
        <v>2</v>
      </c>
      <c r="AD62" s="28">
        <v>3</v>
      </c>
      <c r="AE62" s="28">
        <v>1</v>
      </c>
      <c r="AF62" s="28">
        <v>0</v>
      </c>
      <c r="AG62" s="28">
        <v>2</v>
      </c>
      <c r="AH62" s="28">
        <v>0</v>
      </c>
      <c r="AI62" s="89">
        <v>1.5</v>
      </c>
      <c r="AJ62" s="28">
        <v>0</v>
      </c>
      <c r="AK62" s="28">
        <v>0</v>
      </c>
      <c r="AL62" s="28">
        <v>0</v>
      </c>
      <c r="AM62" s="74">
        <v>0</v>
      </c>
      <c r="AN62" s="27">
        <v>60</v>
      </c>
      <c r="AQ62" s="101" t="s">
        <v>685</v>
      </c>
      <c r="AR62" s="71" t="s">
        <v>212</v>
      </c>
      <c r="AS62" s="28" t="s">
        <v>713</v>
      </c>
      <c r="AT62" s="106">
        <v>4.9113233287858113</v>
      </c>
      <c r="AU62" s="77">
        <v>0</v>
      </c>
      <c r="AV62" s="74">
        <v>1</v>
      </c>
      <c r="AW62" s="28">
        <v>6</v>
      </c>
      <c r="AX62" s="584">
        <v>7.33</v>
      </c>
      <c r="AY62" s="28">
        <v>5</v>
      </c>
      <c r="AZ62" s="28">
        <v>4</v>
      </c>
      <c r="BA62" s="28">
        <v>3</v>
      </c>
      <c r="BB62" s="28">
        <v>7</v>
      </c>
      <c r="BC62" s="28">
        <v>2</v>
      </c>
      <c r="BD62" s="89">
        <v>1.0914051841746248</v>
      </c>
      <c r="BE62" s="28">
        <v>0</v>
      </c>
      <c r="BF62" s="28">
        <v>0</v>
      </c>
      <c r="BG62" s="28">
        <v>0</v>
      </c>
      <c r="BH62" s="74">
        <v>0</v>
      </c>
      <c r="BI62" s="27">
        <v>60</v>
      </c>
    </row>
    <row r="63" spans="1:61">
      <c r="A63" s="136" t="s">
        <v>770</v>
      </c>
      <c r="B63" s="115" t="s">
        <v>206</v>
      </c>
      <c r="C63" s="986" t="s">
        <v>790</v>
      </c>
      <c r="D63" s="349">
        <v>0.78260869565217395</v>
      </c>
      <c r="E63" s="90">
        <v>1</v>
      </c>
      <c r="F63" s="28">
        <v>0</v>
      </c>
      <c r="G63" s="77">
        <v>3</v>
      </c>
      <c r="H63" s="584">
        <v>23</v>
      </c>
      <c r="I63" s="28">
        <v>16</v>
      </c>
      <c r="J63" s="28">
        <v>2</v>
      </c>
      <c r="K63" s="28">
        <v>7</v>
      </c>
      <c r="L63" s="28">
        <v>21</v>
      </c>
      <c r="M63" s="28">
        <v>0</v>
      </c>
      <c r="N63" s="89">
        <v>1</v>
      </c>
      <c r="O63" s="28">
        <v>3</v>
      </c>
      <c r="P63" s="28">
        <v>3</v>
      </c>
      <c r="Q63" s="76">
        <v>1</v>
      </c>
      <c r="R63" s="28">
        <v>0</v>
      </c>
      <c r="S63" s="75">
        <v>61</v>
      </c>
      <c r="V63" s="101" t="s">
        <v>804</v>
      </c>
      <c r="W63" s="71" t="s">
        <v>206</v>
      </c>
      <c r="X63" s="71" t="s">
        <v>820</v>
      </c>
      <c r="Y63" s="106">
        <v>1.125</v>
      </c>
      <c r="Z63" s="364">
        <v>1</v>
      </c>
      <c r="AA63" s="74">
        <v>0</v>
      </c>
      <c r="AB63" s="28">
        <v>1</v>
      </c>
      <c r="AC63" s="584">
        <v>8</v>
      </c>
      <c r="AD63" s="28">
        <v>3</v>
      </c>
      <c r="AE63" s="28">
        <v>1</v>
      </c>
      <c r="AF63" s="28">
        <v>2</v>
      </c>
      <c r="AG63" s="28">
        <v>8</v>
      </c>
      <c r="AH63" s="28">
        <v>0</v>
      </c>
      <c r="AI63" s="89">
        <v>0.625</v>
      </c>
      <c r="AJ63" s="28">
        <v>1</v>
      </c>
      <c r="AK63" s="28">
        <v>1</v>
      </c>
      <c r="AL63" s="28">
        <v>0</v>
      </c>
      <c r="AM63" s="74">
        <v>0</v>
      </c>
      <c r="AN63" s="27">
        <v>61</v>
      </c>
      <c r="AQ63" s="365" t="s">
        <v>770</v>
      </c>
      <c r="AR63" s="71" t="s">
        <v>206</v>
      </c>
      <c r="AS63" s="28" t="s">
        <v>790</v>
      </c>
      <c r="AT63" s="106">
        <v>2.097290999126129</v>
      </c>
      <c r="AU63" s="352">
        <v>3</v>
      </c>
      <c r="AV63" s="74">
        <v>1</v>
      </c>
      <c r="AW63" s="28">
        <v>5</v>
      </c>
      <c r="AX63" s="584">
        <v>34.33</v>
      </c>
      <c r="AY63" s="28">
        <v>28</v>
      </c>
      <c r="AZ63" s="28">
        <v>8</v>
      </c>
      <c r="BA63" s="28">
        <v>16</v>
      </c>
      <c r="BB63" s="28">
        <v>34</v>
      </c>
      <c r="BC63" s="28">
        <v>0</v>
      </c>
      <c r="BD63" s="89">
        <v>1.281677832799301</v>
      </c>
      <c r="BE63" s="28">
        <v>4</v>
      </c>
      <c r="BF63" s="76">
        <v>3</v>
      </c>
      <c r="BG63" s="28">
        <v>0</v>
      </c>
      <c r="BH63" s="74">
        <v>0</v>
      </c>
      <c r="BI63" s="27">
        <v>61</v>
      </c>
    </row>
    <row r="64" spans="1:61">
      <c r="A64" s="136" t="s">
        <v>770</v>
      </c>
      <c r="B64" s="115" t="s">
        <v>206</v>
      </c>
      <c r="C64" s="986" t="s">
        <v>624</v>
      </c>
      <c r="D64" s="88">
        <v>3.6603965429588201</v>
      </c>
      <c r="E64" s="90">
        <v>0</v>
      </c>
      <c r="F64" s="28">
        <v>1</v>
      </c>
      <c r="G64" s="77">
        <v>3</v>
      </c>
      <c r="H64" s="584">
        <v>19.670000000000002</v>
      </c>
      <c r="I64" s="28">
        <v>17</v>
      </c>
      <c r="J64" s="28">
        <v>8</v>
      </c>
      <c r="K64" s="28">
        <v>9</v>
      </c>
      <c r="L64" s="28">
        <v>18</v>
      </c>
      <c r="M64" s="28">
        <v>0</v>
      </c>
      <c r="N64" s="89">
        <v>1.3218098627351296</v>
      </c>
      <c r="O64" s="28">
        <v>3</v>
      </c>
      <c r="P64" s="28">
        <v>1</v>
      </c>
      <c r="Q64" s="28">
        <v>0</v>
      </c>
      <c r="R64" s="28">
        <v>0</v>
      </c>
      <c r="S64" s="75">
        <v>62</v>
      </c>
      <c r="V64" s="101" t="s">
        <v>804</v>
      </c>
      <c r="W64" s="71" t="s">
        <v>206</v>
      </c>
      <c r="X64" s="71" t="s">
        <v>822</v>
      </c>
      <c r="Y64" s="106">
        <v>36</v>
      </c>
      <c r="Z64" s="364">
        <v>0</v>
      </c>
      <c r="AA64" s="74">
        <v>1</v>
      </c>
      <c r="AB64" s="28">
        <v>1</v>
      </c>
      <c r="AC64" s="584">
        <v>2</v>
      </c>
      <c r="AD64" s="28">
        <v>9</v>
      </c>
      <c r="AE64" s="28">
        <v>8</v>
      </c>
      <c r="AF64" s="28">
        <v>1</v>
      </c>
      <c r="AG64" s="28">
        <v>3</v>
      </c>
      <c r="AH64" s="28">
        <v>0</v>
      </c>
      <c r="AI64" s="89">
        <v>5</v>
      </c>
      <c r="AJ64" s="28">
        <v>0</v>
      </c>
      <c r="AK64" s="28">
        <v>0</v>
      </c>
      <c r="AL64" s="28">
        <v>0</v>
      </c>
      <c r="AM64" s="74">
        <v>0</v>
      </c>
      <c r="AN64" s="27">
        <v>62</v>
      </c>
      <c r="AQ64" s="365" t="s">
        <v>770</v>
      </c>
      <c r="AR64" s="345" t="s">
        <v>206</v>
      </c>
      <c r="AS64" s="28" t="s">
        <v>624</v>
      </c>
      <c r="AT64" s="106">
        <v>1.9459459459459461</v>
      </c>
      <c r="AU64" s="352">
        <v>3</v>
      </c>
      <c r="AV64" s="74">
        <v>0</v>
      </c>
      <c r="AW64" s="28">
        <v>5</v>
      </c>
      <c r="AX64" s="582">
        <v>37</v>
      </c>
      <c r="AY64" s="28">
        <v>28</v>
      </c>
      <c r="AZ64" s="28">
        <v>8</v>
      </c>
      <c r="BA64" s="28">
        <v>11</v>
      </c>
      <c r="BB64" s="28">
        <v>43</v>
      </c>
      <c r="BC64" s="28">
        <v>0</v>
      </c>
      <c r="BD64" s="89">
        <v>1.0540540540540539</v>
      </c>
      <c r="BE64" s="76">
        <v>5</v>
      </c>
      <c r="BF64" s="76">
        <v>3</v>
      </c>
      <c r="BG64" s="76">
        <v>1</v>
      </c>
      <c r="BH64" s="74">
        <v>0</v>
      </c>
      <c r="BI64" s="27">
        <v>62</v>
      </c>
    </row>
    <row r="65" spans="1:61">
      <c r="A65" s="136" t="s">
        <v>770</v>
      </c>
      <c r="B65" s="115" t="s">
        <v>206</v>
      </c>
      <c r="C65" s="986" t="s">
        <v>791</v>
      </c>
      <c r="D65" s="88">
        <v>2.5714285714285716</v>
      </c>
      <c r="E65" s="90">
        <v>1</v>
      </c>
      <c r="F65" s="28">
        <v>0</v>
      </c>
      <c r="G65" s="77">
        <v>2</v>
      </c>
      <c r="H65" s="584">
        <v>14</v>
      </c>
      <c r="I65" s="28">
        <v>9</v>
      </c>
      <c r="J65" s="28">
        <v>4</v>
      </c>
      <c r="K65" s="28">
        <v>2</v>
      </c>
      <c r="L65" s="28">
        <v>13</v>
      </c>
      <c r="M65" s="28">
        <v>0</v>
      </c>
      <c r="N65" s="347">
        <v>0.7857142857142857</v>
      </c>
      <c r="O65" s="28">
        <v>2</v>
      </c>
      <c r="P65" s="28">
        <v>2</v>
      </c>
      <c r="Q65" s="28">
        <v>0</v>
      </c>
      <c r="R65" s="28">
        <v>0</v>
      </c>
      <c r="S65" s="75">
        <v>63</v>
      </c>
      <c r="V65" s="101" t="s">
        <v>804</v>
      </c>
      <c r="W65" s="71" t="s">
        <v>365</v>
      </c>
      <c r="X65" s="116" t="s">
        <v>823</v>
      </c>
      <c r="Y65" s="106">
        <v>0</v>
      </c>
      <c r="Z65" s="364">
        <v>0</v>
      </c>
      <c r="AA65" s="74">
        <v>0</v>
      </c>
      <c r="AB65" s="28">
        <v>1</v>
      </c>
      <c r="AC65" s="584">
        <v>7</v>
      </c>
      <c r="AD65" s="28">
        <v>5</v>
      </c>
      <c r="AE65" s="28">
        <v>0</v>
      </c>
      <c r="AF65" s="28">
        <v>2</v>
      </c>
      <c r="AG65" s="28">
        <v>11</v>
      </c>
      <c r="AH65" s="28">
        <v>0</v>
      </c>
      <c r="AI65" s="89">
        <v>1</v>
      </c>
      <c r="AJ65" s="28">
        <v>1</v>
      </c>
      <c r="AK65" s="28">
        <v>1</v>
      </c>
      <c r="AL65" s="28">
        <v>0</v>
      </c>
      <c r="AM65" s="74">
        <v>0</v>
      </c>
      <c r="AN65" s="27">
        <v>63</v>
      </c>
      <c r="AQ65" s="365" t="s">
        <v>770</v>
      </c>
      <c r="AR65" s="71" t="s">
        <v>206</v>
      </c>
      <c r="AS65" s="28" t="s">
        <v>791</v>
      </c>
      <c r="AT65" s="106">
        <v>4.4436004557538933</v>
      </c>
      <c r="AU65" s="77">
        <v>2</v>
      </c>
      <c r="AV65" s="74">
        <v>1</v>
      </c>
      <c r="AW65" s="28">
        <v>4</v>
      </c>
      <c r="AX65" s="584">
        <v>26.33</v>
      </c>
      <c r="AY65" s="28">
        <v>30</v>
      </c>
      <c r="AZ65" s="28">
        <v>13</v>
      </c>
      <c r="BA65" s="28">
        <v>5</v>
      </c>
      <c r="BB65" s="28">
        <v>21</v>
      </c>
      <c r="BC65" s="28">
        <v>0</v>
      </c>
      <c r="BD65" s="89">
        <v>1.329282187618686</v>
      </c>
      <c r="BE65" s="28">
        <v>2</v>
      </c>
      <c r="BF65" s="28">
        <v>1</v>
      </c>
      <c r="BG65" s="28">
        <v>0</v>
      </c>
      <c r="BH65" s="74">
        <v>0</v>
      </c>
      <c r="BI65" s="27">
        <v>63</v>
      </c>
    </row>
    <row r="66" spans="1:61">
      <c r="A66" s="136" t="s">
        <v>770</v>
      </c>
      <c r="B66" s="115" t="s">
        <v>206</v>
      </c>
      <c r="C66" s="633" t="s">
        <v>792</v>
      </c>
      <c r="D66" s="88">
        <v>3.3771106941838647</v>
      </c>
      <c r="E66" s="90">
        <v>1</v>
      </c>
      <c r="F66" s="28">
        <v>1</v>
      </c>
      <c r="G66" s="77">
        <v>2</v>
      </c>
      <c r="H66" s="584">
        <v>5.33</v>
      </c>
      <c r="I66" s="28">
        <v>7</v>
      </c>
      <c r="J66" s="28">
        <v>2</v>
      </c>
      <c r="K66" s="28">
        <v>2</v>
      </c>
      <c r="L66" s="28">
        <v>5</v>
      </c>
      <c r="M66" s="28">
        <v>0</v>
      </c>
      <c r="N66" s="89">
        <v>1.6885553470919323</v>
      </c>
      <c r="O66" s="28">
        <v>0</v>
      </c>
      <c r="P66" s="28">
        <v>0</v>
      </c>
      <c r="Q66" s="28">
        <v>0</v>
      </c>
      <c r="R66" s="28">
        <v>0</v>
      </c>
      <c r="S66" s="75">
        <v>64</v>
      </c>
      <c r="V66" s="101" t="s">
        <v>804</v>
      </c>
      <c r="W66" s="71" t="s">
        <v>206</v>
      </c>
      <c r="X66" s="116" t="s">
        <v>825</v>
      </c>
      <c r="Y66" s="106">
        <v>0</v>
      </c>
      <c r="Z66" s="364">
        <v>0</v>
      </c>
      <c r="AA66" s="74">
        <v>0</v>
      </c>
      <c r="AB66" s="28">
        <v>0</v>
      </c>
      <c r="AC66" s="584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89">
        <v>0</v>
      </c>
      <c r="AJ66" s="28">
        <v>0</v>
      </c>
      <c r="AK66" s="28">
        <v>0</v>
      </c>
      <c r="AL66" s="28">
        <v>0</v>
      </c>
      <c r="AM66" s="74">
        <v>0</v>
      </c>
      <c r="AN66" s="27">
        <v>64</v>
      </c>
      <c r="AQ66" s="365" t="s">
        <v>770</v>
      </c>
      <c r="AR66" s="71" t="s">
        <v>365</v>
      </c>
      <c r="AS66" s="28" t="s">
        <v>792</v>
      </c>
      <c r="AT66" s="106">
        <v>0</v>
      </c>
      <c r="AU66" s="77">
        <v>0</v>
      </c>
      <c r="AV66" s="74">
        <v>0</v>
      </c>
      <c r="AW66" s="28">
        <v>3</v>
      </c>
      <c r="AX66" s="584">
        <v>4.67</v>
      </c>
      <c r="AY66" s="28">
        <v>4</v>
      </c>
      <c r="AZ66" s="28">
        <v>0</v>
      </c>
      <c r="BA66" s="28">
        <v>0</v>
      </c>
      <c r="BB66" s="28">
        <v>4</v>
      </c>
      <c r="BC66" s="28">
        <v>0</v>
      </c>
      <c r="BD66" s="89">
        <v>0.85653104925053536</v>
      </c>
      <c r="BE66" s="28">
        <v>0</v>
      </c>
      <c r="BF66" s="28">
        <v>0</v>
      </c>
      <c r="BG66" s="28">
        <v>0</v>
      </c>
      <c r="BH66" s="74">
        <v>0</v>
      </c>
      <c r="BI66" s="27">
        <v>64</v>
      </c>
    </row>
    <row r="67" spans="1:61">
      <c r="A67" s="136" t="s">
        <v>770</v>
      </c>
      <c r="B67" s="115" t="s">
        <v>212</v>
      </c>
      <c r="C67" s="633" t="s">
        <v>793</v>
      </c>
      <c r="D67" s="88">
        <v>0</v>
      </c>
      <c r="E67" s="90">
        <v>0</v>
      </c>
      <c r="F67" s="28">
        <v>0</v>
      </c>
      <c r="G67" s="77">
        <v>0</v>
      </c>
      <c r="H67" s="584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89">
        <v>0</v>
      </c>
      <c r="O67" s="28">
        <v>0</v>
      </c>
      <c r="P67" s="28">
        <v>0</v>
      </c>
      <c r="Q67" s="28">
        <v>0</v>
      </c>
      <c r="R67" s="28">
        <v>0</v>
      </c>
      <c r="S67" s="75">
        <v>65</v>
      </c>
      <c r="V67" s="101" t="s">
        <v>804</v>
      </c>
      <c r="W67" s="71" t="s">
        <v>212</v>
      </c>
      <c r="X67" s="71" t="s">
        <v>829</v>
      </c>
      <c r="Y67" s="106">
        <v>18</v>
      </c>
      <c r="Z67" s="364">
        <v>0</v>
      </c>
      <c r="AA67" s="74">
        <v>0</v>
      </c>
      <c r="AB67" s="28">
        <v>1</v>
      </c>
      <c r="AC67" s="584">
        <v>2</v>
      </c>
      <c r="AD67" s="28">
        <v>3</v>
      </c>
      <c r="AE67" s="28">
        <v>4</v>
      </c>
      <c r="AF67" s="28">
        <v>2</v>
      </c>
      <c r="AG67" s="28">
        <v>1</v>
      </c>
      <c r="AH67" s="28">
        <v>0</v>
      </c>
      <c r="AI67" s="89">
        <v>2.5</v>
      </c>
      <c r="AJ67" s="28">
        <v>0</v>
      </c>
      <c r="AK67" s="28">
        <v>0</v>
      </c>
      <c r="AL67" s="28">
        <v>0</v>
      </c>
      <c r="AM67" s="74">
        <v>0</v>
      </c>
      <c r="AN67" s="27">
        <v>65</v>
      </c>
      <c r="AQ67" s="365" t="s">
        <v>770</v>
      </c>
      <c r="AR67" s="71" t="s">
        <v>212</v>
      </c>
      <c r="AS67" s="28" t="s">
        <v>793</v>
      </c>
      <c r="AT67" s="106">
        <v>6</v>
      </c>
      <c r="AU67" s="77">
        <v>0</v>
      </c>
      <c r="AV67" s="74">
        <v>0</v>
      </c>
      <c r="AW67" s="28">
        <v>1</v>
      </c>
      <c r="AX67" s="584">
        <v>3</v>
      </c>
      <c r="AY67" s="28">
        <v>5</v>
      </c>
      <c r="AZ67" s="28">
        <v>2</v>
      </c>
      <c r="BA67" s="28">
        <v>1</v>
      </c>
      <c r="BB67" s="28">
        <v>2</v>
      </c>
      <c r="BC67" s="28">
        <v>0</v>
      </c>
      <c r="BD67" s="89">
        <v>2</v>
      </c>
      <c r="BE67" s="28">
        <v>0</v>
      </c>
      <c r="BF67" s="28">
        <v>0</v>
      </c>
      <c r="BG67" s="28">
        <v>0</v>
      </c>
      <c r="BH67" s="74">
        <v>0</v>
      </c>
      <c r="BI67" s="27">
        <v>65</v>
      </c>
    </row>
    <row r="68" spans="1:61">
      <c r="A68" s="136" t="s">
        <v>770</v>
      </c>
      <c r="B68" s="115" t="s">
        <v>212</v>
      </c>
      <c r="C68" s="633" t="s">
        <v>797</v>
      </c>
      <c r="D68" s="88">
        <v>0</v>
      </c>
      <c r="E68" s="90">
        <v>1</v>
      </c>
      <c r="F68" s="28">
        <v>0</v>
      </c>
      <c r="G68" s="77">
        <v>5</v>
      </c>
      <c r="H68" s="584">
        <v>9.33</v>
      </c>
      <c r="I68" s="28">
        <v>4</v>
      </c>
      <c r="J68" s="28">
        <v>0</v>
      </c>
      <c r="K68" s="28">
        <v>0</v>
      </c>
      <c r="L68" s="28">
        <v>13</v>
      </c>
      <c r="M68" s="28">
        <v>1</v>
      </c>
      <c r="N68" s="535">
        <v>0.4287245444801715</v>
      </c>
      <c r="O68" s="28">
        <v>0</v>
      </c>
      <c r="P68" s="28">
        <v>0</v>
      </c>
      <c r="Q68" s="28">
        <v>0</v>
      </c>
      <c r="R68" s="28">
        <v>0</v>
      </c>
      <c r="S68" s="75">
        <v>66</v>
      </c>
      <c r="V68" s="101" t="s">
        <v>804</v>
      </c>
      <c r="W68" s="71" t="s">
        <v>212</v>
      </c>
      <c r="X68" s="116" t="s">
        <v>827</v>
      </c>
      <c r="Y68" s="106">
        <v>0</v>
      </c>
      <c r="Z68" s="364">
        <v>0</v>
      </c>
      <c r="AA68" s="74">
        <v>0</v>
      </c>
      <c r="AB68" s="28">
        <v>0</v>
      </c>
      <c r="AC68" s="584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89">
        <v>0</v>
      </c>
      <c r="AJ68" s="28">
        <v>0</v>
      </c>
      <c r="AK68" s="28">
        <v>0</v>
      </c>
      <c r="AL68" s="28">
        <v>0</v>
      </c>
      <c r="AM68" s="74">
        <v>0</v>
      </c>
      <c r="AN68" s="27">
        <v>66</v>
      </c>
      <c r="AQ68" s="365" t="s">
        <v>770</v>
      </c>
      <c r="AR68" s="71" t="s">
        <v>212</v>
      </c>
      <c r="AS68" s="28" t="s">
        <v>797</v>
      </c>
      <c r="AT68" s="106">
        <v>0</v>
      </c>
      <c r="AU68" s="77">
        <v>1</v>
      </c>
      <c r="AV68" s="74">
        <v>0</v>
      </c>
      <c r="AW68" s="28">
        <v>4</v>
      </c>
      <c r="AX68" s="584">
        <v>4.33</v>
      </c>
      <c r="AY68" s="28">
        <v>0</v>
      </c>
      <c r="AZ68" s="28">
        <v>0</v>
      </c>
      <c r="BA68" s="28">
        <v>3</v>
      </c>
      <c r="BB68" s="28">
        <v>4</v>
      </c>
      <c r="BC68" s="28">
        <v>0</v>
      </c>
      <c r="BD68" s="89">
        <v>0.69284064665127021</v>
      </c>
      <c r="BE68" s="28">
        <v>0</v>
      </c>
      <c r="BF68" s="28">
        <v>0</v>
      </c>
      <c r="BG68" s="28">
        <v>0</v>
      </c>
      <c r="BH68" s="74">
        <v>0</v>
      </c>
      <c r="BI68" s="27">
        <v>66</v>
      </c>
    </row>
    <row r="69" spans="1:61">
      <c r="A69" s="136" t="s">
        <v>770</v>
      </c>
      <c r="B69" s="115" t="s">
        <v>212</v>
      </c>
      <c r="C69" s="633" t="s">
        <v>798</v>
      </c>
      <c r="D69" s="88">
        <v>1.3493253373313343</v>
      </c>
      <c r="E69" s="90">
        <v>0</v>
      </c>
      <c r="F69" s="28">
        <v>1</v>
      </c>
      <c r="G69" s="77">
        <v>4</v>
      </c>
      <c r="H69" s="584">
        <v>6.67</v>
      </c>
      <c r="I69" s="28">
        <v>5</v>
      </c>
      <c r="J69" s="28">
        <v>1</v>
      </c>
      <c r="K69" s="28">
        <v>1</v>
      </c>
      <c r="L69" s="28">
        <v>4</v>
      </c>
      <c r="M69" s="28">
        <v>1</v>
      </c>
      <c r="N69" s="89">
        <v>0.8995502248875562</v>
      </c>
      <c r="O69" s="28">
        <v>0</v>
      </c>
      <c r="P69" s="28">
        <v>0</v>
      </c>
      <c r="Q69" s="28">
        <v>0</v>
      </c>
      <c r="R69" s="28">
        <v>0</v>
      </c>
      <c r="S69" s="75">
        <v>67</v>
      </c>
      <c r="V69" s="101" t="s">
        <v>804</v>
      </c>
      <c r="W69" s="71" t="s">
        <v>212</v>
      </c>
      <c r="X69" s="116" t="s">
        <v>826</v>
      </c>
      <c r="Y69" s="106">
        <v>0</v>
      </c>
      <c r="Z69" s="364">
        <v>0</v>
      </c>
      <c r="AA69" s="74">
        <v>0</v>
      </c>
      <c r="AB69" s="28">
        <v>0</v>
      </c>
      <c r="AC69" s="584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89">
        <v>0</v>
      </c>
      <c r="AJ69" s="28">
        <v>0</v>
      </c>
      <c r="AK69" s="28">
        <v>0</v>
      </c>
      <c r="AL69" s="28">
        <v>0</v>
      </c>
      <c r="AM69" s="74">
        <v>0</v>
      </c>
      <c r="AN69" s="27">
        <v>67</v>
      </c>
      <c r="AQ69" s="365" t="s">
        <v>770</v>
      </c>
      <c r="AR69" s="71" t="s">
        <v>212</v>
      </c>
      <c r="AS69" s="28" t="s">
        <v>798</v>
      </c>
      <c r="AT69" s="106">
        <v>2.0785219399538106</v>
      </c>
      <c r="AU69" s="77">
        <v>0</v>
      </c>
      <c r="AV69" s="74">
        <v>0</v>
      </c>
      <c r="AW69" s="28">
        <v>4</v>
      </c>
      <c r="AX69" s="584">
        <v>4.33</v>
      </c>
      <c r="AY69" s="28">
        <v>2</v>
      </c>
      <c r="AZ69" s="28">
        <v>1</v>
      </c>
      <c r="BA69" s="28">
        <v>2</v>
      </c>
      <c r="BB69" s="28">
        <v>5</v>
      </c>
      <c r="BC69" s="28">
        <v>0</v>
      </c>
      <c r="BD69" s="89">
        <v>0.92378752886836024</v>
      </c>
      <c r="BE69" s="28">
        <v>0</v>
      </c>
      <c r="BF69" s="28">
        <v>0</v>
      </c>
      <c r="BG69" s="28">
        <v>0</v>
      </c>
      <c r="BH69" s="74">
        <v>0</v>
      </c>
      <c r="BI69" s="27">
        <v>67</v>
      </c>
    </row>
    <row r="70" spans="1:61">
      <c r="A70" s="136" t="s">
        <v>770</v>
      </c>
      <c r="B70" s="115" t="s">
        <v>212</v>
      </c>
      <c r="C70" s="633" t="s">
        <v>795</v>
      </c>
      <c r="D70" s="88">
        <v>0</v>
      </c>
      <c r="E70" s="90">
        <v>0</v>
      </c>
      <c r="F70" s="28">
        <v>0</v>
      </c>
      <c r="G70" s="77">
        <v>0</v>
      </c>
      <c r="H70" s="584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89">
        <v>0</v>
      </c>
      <c r="O70" s="28">
        <v>0</v>
      </c>
      <c r="P70" s="28">
        <v>0</v>
      </c>
      <c r="Q70" s="28">
        <v>0</v>
      </c>
      <c r="R70" s="28">
        <v>0</v>
      </c>
      <c r="S70" s="75">
        <v>68</v>
      </c>
      <c r="V70" s="101" t="s">
        <v>804</v>
      </c>
      <c r="W70" s="71" t="s">
        <v>212</v>
      </c>
      <c r="X70" s="71" t="s">
        <v>828</v>
      </c>
      <c r="Y70" s="106">
        <v>6</v>
      </c>
      <c r="Z70" s="364">
        <v>0</v>
      </c>
      <c r="AA70" s="74">
        <v>1</v>
      </c>
      <c r="AB70" s="28">
        <v>2</v>
      </c>
      <c r="AC70" s="584">
        <v>3</v>
      </c>
      <c r="AD70" s="28">
        <v>3</v>
      </c>
      <c r="AE70" s="28">
        <v>2</v>
      </c>
      <c r="AF70" s="28">
        <v>0</v>
      </c>
      <c r="AG70" s="28">
        <v>4</v>
      </c>
      <c r="AH70" s="28">
        <v>0</v>
      </c>
      <c r="AI70" s="89">
        <v>1</v>
      </c>
      <c r="AJ70" s="28">
        <v>0</v>
      </c>
      <c r="AK70" s="28">
        <v>0</v>
      </c>
      <c r="AL70" s="28">
        <v>0</v>
      </c>
      <c r="AM70" s="74">
        <v>0</v>
      </c>
      <c r="AN70" s="27">
        <v>68</v>
      </c>
      <c r="AQ70" s="365" t="s">
        <v>770</v>
      </c>
      <c r="AR70" s="71" t="s">
        <v>215</v>
      </c>
      <c r="AS70" s="28" t="s">
        <v>796</v>
      </c>
      <c r="AT70" s="106">
        <v>0</v>
      </c>
      <c r="AU70" s="77">
        <v>0</v>
      </c>
      <c r="AV70" s="74">
        <v>0</v>
      </c>
      <c r="AW70" s="28">
        <v>0</v>
      </c>
      <c r="AX70" s="584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89">
        <v>0</v>
      </c>
      <c r="BE70" s="28">
        <v>0</v>
      </c>
      <c r="BF70" s="28">
        <v>0</v>
      </c>
      <c r="BG70" s="28">
        <v>0</v>
      </c>
      <c r="BH70" s="74">
        <v>0</v>
      </c>
      <c r="BI70" s="27">
        <v>68</v>
      </c>
    </row>
    <row r="71" spans="1:61">
      <c r="A71" s="136" t="s">
        <v>770</v>
      </c>
      <c r="B71" s="115" t="s">
        <v>212</v>
      </c>
      <c r="C71" s="633" t="s">
        <v>794</v>
      </c>
      <c r="D71" s="88">
        <v>3</v>
      </c>
      <c r="E71" s="90">
        <v>0</v>
      </c>
      <c r="F71" s="28">
        <v>0</v>
      </c>
      <c r="G71" s="77">
        <v>2</v>
      </c>
      <c r="H71" s="584">
        <v>3</v>
      </c>
      <c r="I71" s="28">
        <v>3</v>
      </c>
      <c r="J71" s="28">
        <v>1</v>
      </c>
      <c r="K71" s="28">
        <v>2</v>
      </c>
      <c r="L71" s="28">
        <v>4</v>
      </c>
      <c r="M71" s="28">
        <v>0</v>
      </c>
      <c r="N71" s="89">
        <v>1.6666666666666667</v>
      </c>
      <c r="O71" s="28">
        <v>0</v>
      </c>
      <c r="P71" s="28">
        <v>0</v>
      </c>
      <c r="Q71" s="28">
        <v>0</v>
      </c>
      <c r="R71" s="28">
        <v>0</v>
      </c>
      <c r="S71" s="75">
        <v>69</v>
      </c>
      <c r="V71" s="101" t="s">
        <v>804</v>
      </c>
      <c r="W71" s="71" t="s">
        <v>212</v>
      </c>
      <c r="X71" s="71" t="s">
        <v>830</v>
      </c>
      <c r="Y71" s="106">
        <v>0</v>
      </c>
      <c r="Z71" s="364">
        <v>0</v>
      </c>
      <c r="AA71" s="74">
        <v>0</v>
      </c>
      <c r="AB71" s="28">
        <v>1</v>
      </c>
      <c r="AC71" s="584">
        <v>2</v>
      </c>
      <c r="AD71" s="28">
        <v>0</v>
      </c>
      <c r="AE71" s="28">
        <v>0</v>
      </c>
      <c r="AF71" s="28">
        <v>0</v>
      </c>
      <c r="AG71" s="28">
        <v>2</v>
      </c>
      <c r="AH71" s="28">
        <v>0</v>
      </c>
      <c r="AI71" s="89">
        <v>0</v>
      </c>
      <c r="AJ71" s="28">
        <v>0</v>
      </c>
      <c r="AK71" s="28">
        <v>0</v>
      </c>
      <c r="AL71" s="28">
        <v>0</v>
      </c>
      <c r="AM71" s="74">
        <v>0</v>
      </c>
      <c r="AN71" s="27">
        <v>69</v>
      </c>
      <c r="AQ71" s="365" t="s">
        <v>770</v>
      </c>
      <c r="AR71" s="71" t="s">
        <v>212</v>
      </c>
      <c r="AS71" s="28" t="s">
        <v>799</v>
      </c>
      <c r="AT71" s="106">
        <v>5.8670143415906129</v>
      </c>
      <c r="AU71" s="77">
        <v>0</v>
      </c>
      <c r="AV71" s="74">
        <v>0</v>
      </c>
      <c r="AW71" s="28">
        <v>8</v>
      </c>
      <c r="AX71" s="584">
        <v>7.67</v>
      </c>
      <c r="AY71" s="28">
        <v>8</v>
      </c>
      <c r="AZ71" s="28">
        <v>5</v>
      </c>
      <c r="BA71" s="28">
        <v>6</v>
      </c>
      <c r="BB71" s="28">
        <v>9</v>
      </c>
      <c r="BC71" s="28">
        <v>0</v>
      </c>
      <c r="BD71" s="89">
        <v>1.8252933507170797</v>
      </c>
      <c r="BE71" s="28">
        <v>0</v>
      </c>
      <c r="BF71" s="28">
        <v>0</v>
      </c>
      <c r="BG71" s="28">
        <v>0</v>
      </c>
      <c r="BH71" s="74">
        <v>0</v>
      </c>
      <c r="BI71" s="27">
        <v>69</v>
      </c>
    </row>
    <row r="72" spans="1:61">
      <c r="A72" s="136" t="s">
        <v>770</v>
      </c>
      <c r="B72" s="115" t="s">
        <v>212</v>
      </c>
      <c r="C72" s="633" t="s">
        <v>796</v>
      </c>
      <c r="D72" s="88">
        <v>53.731343283582085</v>
      </c>
      <c r="E72" s="90">
        <v>0</v>
      </c>
      <c r="F72" s="28">
        <v>1</v>
      </c>
      <c r="G72" s="77">
        <v>1</v>
      </c>
      <c r="H72" s="584">
        <v>0.67</v>
      </c>
      <c r="I72" s="28">
        <v>2</v>
      </c>
      <c r="J72" s="28">
        <v>4</v>
      </c>
      <c r="K72" s="28">
        <v>2</v>
      </c>
      <c r="L72" s="28">
        <v>0</v>
      </c>
      <c r="M72" s="28">
        <v>0</v>
      </c>
      <c r="N72" s="89">
        <v>5.9701492537313428</v>
      </c>
      <c r="O72" s="28">
        <v>0</v>
      </c>
      <c r="P72" s="28">
        <v>0</v>
      </c>
      <c r="Q72" s="28">
        <v>0</v>
      </c>
      <c r="R72" s="28">
        <v>0</v>
      </c>
      <c r="S72" s="75">
        <v>70</v>
      </c>
      <c r="V72" s="101" t="s">
        <v>804</v>
      </c>
      <c r="W72" s="71" t="s">
        <v>212</v>
      </c>
      <c r="X72" s="71" t="s">
        <v>831</v>
      </c>
      <c r="Y72" s="106">
        <v>0</v>
      </c>
      <c r="Z72" s="364">
        <v>0</v>
      </c>
      <c r="AA72" s="74">
        <v>0</v>
      </c>
      <c r="AB72" s="28">
        <v>2</v>
      </c>
      <c r="AC72" s="584">
        <v>4</v>
      </c>
      <c r="AD72" s="28">
        <v>1</v>
      </c>
      <c r="AE72" s="28">
        <v>0</v>
      </c>
      <c r="AF72" s="28">
        <v>2</v>
      </c>
      <c r="AG72" s="28">
        <v>7</v>
      </c>
      <c r="AH72" s="28">
        <v>1</v>
      </c>
      <c r="AI72" s="89">
        <v>0.75</v>
      </c>
      <c r="AJ72" s="28">
        <v>0</v>
      </c>
      <c r="AK72" s="28">
        <v>0</v>
      </c>
      <c r="AL72" s="28">
        <v>0</v>
      </c>
      <c r="AM72" s="74">
        <v>0</v>
      </c>
      <c r="AN72" s="27">
        <v>70</v>
      </c>
      <c r="AQ72" s="365" t="s">
        <v>770</v>
      </c>
      <c r="AR72" s="345" t="s">
        <v>212</v>
      </c>
      <c r="AS72" s="28" t="s">
        <v>800</v>
      </c>
      <c r="AT72" s="106">
        <v>1.2857142857142858</v>
      </c>
      <c r="AU72" s="77">
        <v>2</v>
      </c>
      <c r="AV72" s="74">
        <v>1</v>
      </c>
      <c r="AW72" s="28">
        <v>10</v>
      </c>
      <c r="AX72" s="584">
        <v>14</v>
      </c>
      <c r="AY72" s="28">
        <v>8</v>
      </c>
      <c r="AZ72" s="28">
        <v>2</v>
      </c>
      <c r="BA72" s="28">
        <v>2</v>
      </c>
      <c r="BB72" s="28">
        <v>14</v>
      </c>
      <c r="BC72" s="28">
        <v>2</v>
      </c>
      <c r="BD72" s="89">
        <v>0.7142857142857143</v>
      </c>
      <c r="BE72" s="28">
        <v>0</v>
      </c>
      <c r="BF72" s="28">
        <v>0</v>
      </c>
      <c r="BG72" s="28">
        <v>0</v>
      </c>
      <c r="BH72" s="74">
        <v>0</v>
      </c>
      <c r="BI72" s="27">
        <v>70</v>
      </c>
    </row>
    <row r="73" spans="1:61">
      <c r="A73" s="101" t="s">
        <v>804</v>
      </c>
      <c r="B73" s="71" t="s">
        <v>206</v>
      </c>
      <c r="C73" s="28" t="s">
        <v>820</v>
      </c>
      <c r="D73" s="88">
        <v>2.5714285714285716</v>
      </c>
      <c r="E73" s="90">
        <v>1</v>
      </c>
      <c r="F73" s="28">
        <v>1</v>
      </c>
      <c r="G73" s="77">
        <v>2</v>
      </c>
      <c r="H73" s="584">
        <v>14</v>
      </c>
      <c r="I73" s="28">
        <v>11</v>
      </c>
      <c r="J73" s="28">
        <v>4</v>
      </c>
      <c r="K73" s="28">
        <v>3</v>
      </c>
      <c r="L73" s="28">
        <v>16</v>
      </c>
      <c r="M73" s="28">
        <v>0</v>
      </c>
      <c r="N73" s="89">
        <v>1</v>
      </c>
      <c r="O73" s="28">
        <v>2</v>
      </c>
      <c r="P73" s="28">
        <v>1</v>
      </c>
      <c r="Q73" s="28">
        <v>0</v>
      </c>
      <c r="R73" s="28">
        <v>0</v>
      </c>
      <c r="S73" s="75">
        <v>71</v>
      </c>
      <c r="V73" s="101" t="s">
        <v>835</v>
      </c>
      <c r="W73" s="71" t="s">
        <v>365</v>
      </c>
      <c r="X73" s="116" t="s">
        <v>853</v>
      </c>
      <c r="Y73" s="106">
        <v>1.2269938650306749</v>
      </c>
      <c r="Z73" s="364">
        <v>0</v>
      </c>
      <c r="AA73" s="74">
        <v>1</v>
      </c>
      <c r="AB73" s="28">
        <v>2</v>
      </c>
      <c r="AC73" s="584">
        <v>14.67</v>
      </c>
      <c r="AD73" s="28">
        <v>9</v>
      </c>
      <c r="AE73" s="28">
        <v>2</v>
      </c>
      <c r="AF73" s="28">
        <v>3</v>
      </c>
      <c r="AG73" s="28">
        <v>23</v>
      </c>
      <c r="AH73" s="28">
        <v>0</v>
      </c>
      <c r="AI73" s="89">
        <v>0.81799591002044991</v>
      </c>
      <c r="AJ73" s="28">
        <v>2</v>
      </c>
      <c r="AK73" s="28">
        <v>2</v>
      </c>
      <c r="AL73" s="28">
        <v>0</v>
      </c>
      <c r="AM73" s="74">
        <v>0</v>
      </c>
      <c r="AN73" s="27">
        <v>71</v>
      </c>
      <c r="AQ73" s="101" t="s">
        <v>804</v>
      </c>
      <c r="AR73" s="71" t="s">
        <v>206</v>
      </c>
      <c r="AS73" s="28" t="s">
        <v>820</v>
      </c>
      <c r="AT73" s="106">
        <v>10.8</v>
      </c>
      <c r="AU73" s="77">
        <v>0</v>
      </c>
      <c r="AV73" s="74">
        <v>1</v>
      </c>
      <c r="AW73" s="28">
        <v>1</v>
      </c>
      <c r="AX73" s="584">
        <v>5</v>
      </c>
      <c r="AY73" s="28">
        <v>9</v>
      </c>
      <c r="AZ73" s="28">
        <v>6</v>
      </c>
      <c r="BA73" s="28">
        <v>3</v>
      </c>
      <c r="BB73" s="28">
        <v>6</v>
      </c>
      <c r="BC73" s="28">
        <v>0</v>
      </c>
      <c r="BD73" s="89">
        <v>2.4</v>
      </c>
      <c r="BE73" s="28">
        <v>0</v>
      </c>
      <c r="BF73" s="28">
        <v>0</v>
      </c>
      <c r="BG73" s="28">
        <v>0</v>
      </c>
      <c r="BH73" s="74">
        <v>0</v>
      </c>
      <c r="BI73" s="27">
        <v>71</v>
      </c>
    </row>
    <row r="74" spans="1:61">
      <c r="A74" s="101" t="s">
        <v>804</v>
      </c>
      <c r="B74" s="71" t="s">
        <v>206</v>
      </c>
      <c r="C74" s="633" t="s">
        <v>821</v>
      </c>
      <c r="D74" s="88">
        <v>6.4285714285714288</v>
      </c>
      <c r="E74" s="90">
        <v>0</v>
      </c>
      <c r="F74" s="28">
        <v>0</v>
      </c>
      <c r="G74" s="77">
        <v>1</v>
      </c>
      <c r="H74" s="584">
        <v>7</v>
      </c>
      <c r="I74" s="28">
        <v>7</v>
      </c>
      <c r="J74" s="28">
        <v>5</v>
      </c>
      <c r="K74" s="28">
        <v>3</v>
      </c>
      <c r="L74" s="28">
        <v>9</v>
      </c>
      <c r="M74" s="28">
        <v>0</v>
      </c>
      <c r="N74" s="89">
        <v>1.4285714285714286</v>
      </c>
      <c r="O74" s="28">
        <v>0</v>
      </c>
      <c r="P74" s="28">
        <v>0</v>
      </c>
      <c r="Q74" s="28">
        <v>0</v>
      </c>
      <c r="R74" s="28">
        <v>0</v>
      </c>
      <c r="S74" s="75">
        <v>72</v>
      </c>
      <c r="V74" s="101" t="s">
        <v>835</v>
      </c>
      <c r="W74" s="71" t="s">
        <v>206</v>
      </c>
      <c r="X74" s="116" t="s">
        <v>855</v>
      </c>
      <c r="Y74" s="106">
        <v>1.2857142857142858</v>
      </c>
      <c r="Z74" s="364">
        <v>1</v>
      </c>
      <c r="AA74" s="74">
        <v>0</v>
      </c>
      <c r="AB74" s="28">
        <v>1</v>
      </c>
      <c r="AC74" s="584">
        <v>7</v>
      </c>
      <c r="AD74" s="28">
        <v>5</v>
      </c>
      <c r="AE74" s="28">
        <v>1</v>
      </c>
      <c r="AF74" s="28">
        <v>2</v>
      </c>
      <c r="AG74" s="28">
        <v>10</v>
      </c>
      <c r="AH74" s="28">
        <v>0</v>
      </c>
      <c r="AI74" s="89">
        <v>1</v>
      </c>
      <c r="AJ74" s="28">
        <v>1</v>
      </c>
      <c r="AK74" s="28">
        <v>1</v>
      </c>
      <c r="AL74" s="28">
        <v>0</v>
      </c>
      <c r="AM74" s="74">
        <v>0</v>
      </c>
      <c r="AN74" s="27">
        <v>72</v>
      </c>
      <c r="AQ74" s="101" t="s">
        <v>804</v>
      </c>
      <c r="AR74" s="71" t="s">
        <v>206</v>
      </c>
      <c r="AS74" s="28" t="s">
        <v>822</v>
      </c>
      <c r="AT74" s="106">
        <v>3.375</v>
      </c>
      <c r="AU74" s="77">
        <v>1</v>
      </c>
      <c r="AV74" s="74">
        <v>0</v>
      </c>
      <c r="AW74" s="28">
        <v>1</v>
      </c>
      <c r="AX74" s="584">
        <v>8</v>
      </c>
      <c r="AY74" s="28">
        <v>6</v>
      </c>
      <c r="AZ74" s="28">
        <v>3</v>
      </c>
      <c r="BA74" s="28">
        <v>2</v>
      </c>
      <c r="BB74" s="28">
        <v>5</v>
      </c>
      <c r="BC74" s="28">
        <v>0</v>
      </c>
      <c r="BD74" s="89">
        <v>1</v>
      </c>
      <c r="BE74" s="28">
        <v>1</v>
      </c>
      <c r="BF74" s="28">
        <v>0</v>
      </c>
      <c r="BG74" s="28">
        <v>0</v>
      </c>
      <c r="BH74" s="74">
        <v>0</v>
      </c>
      <c r="BI74" s="27">
        <v>72</v>
      </c>
    </row>
    <row r="75" spans="1:61">
      <c r="A75" s="101" t="s">
        <v>804</v>
      </c>
      <c r="B75" s="71" t="s">
        <v>206</v>
      </c>
      <c r="C75" s="28" t="s">
        <v>822</v>
      </c>
      <c r="D75" s="88">
        <v>2.5714285714285716</v>
      </c>
      <c r="E75" s="90">
        <v>0</v>
      </c>
      <c r="F75" s="28">
        <v>1</v>
      </c>
      <c r="G75" s="77">
        <v>1</v>
      </c>
      <c r="H75" s="584">
        <v>7</v>
      </c>
      <c r="I75" s="28">
        <v>6</v>
      </c>
      <c r="J75" s="28">
        <v>2</v>
      </c>
      <c r="K75" s="28">
        <v>0</v>
      </c>
      <c r="L75" s="28">
        <v>8</v>
      </c>
      <c r="M75" s="28">
        <v>0</v>
      </c>
      <c r="N75" s="89">
        <v>0.8571428571428571</v>
      </c>
      <c r="O75" s="28">
        <v>1</v>
      </c>
      <c r="P75" s="28">
        <v>1</v>
      </c>
      <c r="Q75" s="28">
        <v>0</v>
      </c>
      <c r="R75" s="28">
        <v>0</v>
      </c>
      <c r="S75" s="75">
        <v>73</v>
      </c>
      <c r="V75" s="101" t="s">
        <v>835</v>
      </c>
      <c r="W75" s="71" t="s">
        <v>206</v>
      </c>
      <c r="X75" s="116" t="s">
        <v>854</v>
      </c>
      <c r="Y75" s="106">
        <v>13.5</v>
      </c>
      <c r="Z75" s="364">
        <v>0</v>
      </c>
      <c r="AA75" s="74">
        <v>0</v>
      </c>
      <c r="AB75" s="28">
        <v>1</v>
      </c>
      <c r="AC75" s="584">
        <v>4</v>
      </c>
      <c r="AD75" s="28">
        <v>8</v>
      </c>
      <c r="AE75" s="28">
        <v>6</v>
      </c>
      <c r="AF75" s="28">
        <v>3</v>
      </c>
      <c r="AG75" s="28">
        <v>3</v>
      </c>
      <c r="AH75" s="28">
        <v>0</v>
      </c>
      <c r="AI75" s="89">
        <v>2.75</v>
      </c>
      <c r="AJ75" s="28">
        <v>0</v>
      </c>
      <c r="AK75" s="28">
        <v>0</v>
      </c>
      <c r="AL75" s="28">
        <v>0</v>
      </c>
      <c r="AM75" s="74">
        <v>0</v>
      </c>
      <c r="AN75" s="27">
        <v>73</v>
      </c>
      <c r="AQ75" s="101" t="s">
        <v>804</v>
      </c>
      <c r="AR75" s="71" t="s">
        <v>206</v>
      </c>
      <c r="AS75" s="28" t="s">
        <v>824</v>
      </c>
      <c r="AT75" s="106">
        <v>10.8</v>
      </c>
      <c r="AU75" s="77">
        <v>0</v>
      </c>
      <c r="AV75" s="74">
        <v>0</v>
      </c>
      <c r="AW75" s="28">
        <v>1</v>
      </c>
      <c r="AX75" s="584">
        <v>5</v>
      </c>
      <c r="AY75" s="28">
        <v>6</v>
      </c>
      <c r="AZ75" s="28">
        <v>6</v>
      </c>
      <c r="BA75" s="28">
        <v>3</v>
      </c>
      <c r="BB75" s="28">
        <v>5</v>
      </c>
      <c r="BC75" s="28">
        <v>0</v>
      </c>
      <c r="BD75" s="89">
        <v>1.8</v>
      </c>
      <c r="BE75" s="28">
        <v>0</v>
      </c>
      <c r="BF75" s="28">
        <v>0</v>
      </c>
      <c r="BG75" s="28">
        <v>0</v>
      </c>
      <c r="BH75" s="74">
        <v>0</v>
      </c>
      <c r="BI75" s="27">
        <v>73</v>
      </c>
    </row>
    <row r="76" spans="1:61">
      <c r="A76" s="101" t="s">
        <v>804</v>
      </c>
      <c r="B76" s="71" t="s">
        <v>206</v>
      </c>
      <c r="C76" s="633" t="s">
        <v>823</v>
      </c>
      <c r="D76" s="88">
        <v>9</v>
      </c>
      <c r="E76" s="90">
        <v>0</v>
      </c>
      <c r="F76" s="28">
        <v>1</v>
      </c>
      <c r="G76" s="77">
        <v>1</v>
      </c>
      <c r="H76" s="584">
        <v>1</v>
      </c>
      <c r="I76" s="28">
        <v>2</v>
      </c>
      <c r="J76" s="28">
        <v>1</v>
      </c>
      <c r="K76" s="28">
        <v>0</v>
      </c>
      <c r="L76" s="28">
        <v>2</v>
      </c>
      <c r="M76" s="28">
        <v>0</v>
      </c>
      <c r="N76" s="89">
        <v>2</v>
      </c>
      <c r="O76" s="28">
        <v>0</v>
      </c>
      <c r="P76" s="28">
        <v>0</v>
      </c>
      <c r="Q76" s="28">
        <v>0</v>
      </c>
      <c r="R76" s="28">
        <v>0</v>
      </c>
      <c r="S76" s="75">
        <v>74</v>
      </c>
      <c r="V76" s="101" t="s">
        <v>835</v>
      </c>
      <c r="W76" s="71" t="s">
        <v>206</v>
      </c>
      <c r="X76" s="116" t="s">
        <v>857</v>
      </c>
      <c r="Y76" s="106">
        <v>9</v>
      </c>
      <c r="Z76" s="364">
        <v>0</v>
      </c>
      <c r="AA76" s="74">
        <v>0</v>
      </c>
      <c r="AB76" s="28">
        <v>1</v>
      </c>
      <c r="AC76" s="584">
        <v>3</v>
      </c>
      <c r="AD76" s="28">
        <v>4</v>
      </c>
      <c r="AE76" s="28">
        <v>3</v>
      </c>
      <c r="AF76" s="28">
        <v>1</v>
      </c>
      <c r="AG76" s="28">
        <v>3</v>
      </c>
      <c r="AH76" s="28">
        <v>0</v>
      </c>
      <c r="AI76" s="89">
        <v>1.6666666666666667</v>
      </c>
      <c r="AJ76" s="28">
        <v>0</v>
      </c>
      <c r="AK76" s="28">
        <v>0</v>
      </c>
      <c r="AL76" s="28">
        <v>0</v>
      </c>
      <c r="AM76" s="74">
        <v>0</v>
      </c>
      <c r="AN76" s="27">
        <v>74</v>
      </c>
      <c r="AQ76" s="101" t="s">
        <v>804</v>
      </c>
      <c r="AR76" s="71" t="s">
        <v>206</v>
      </c>
      <c r="AS76" s="28" t="s">
        <v>825</v>
      </c>
      <c r="AT76" s="106">
        <v>0</v>
      </c>
      <c r="AU76" s="77">
        <v>0</v>
      </c>
      <c r="AV76" s="74">
        <v>0</v>
      </c>
      <c r="AW76" s="28">
        <v>0</v>
      </c>
      <c r="AX76" s="584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89">
        <v>0</v>
      </c>
      <c r="BE76" s="28">
        <v>0</v>
      </c>
      <c r="BF76" s="28">
        <v>0</v>
      </c>
      <c r="BG76" s="28">
        <v>0</v>
      </c>
      <c r="BH76" s="74">
        <v>0</v>
      </c>
      <c r="BI76" s="27">
        <v>74</v>
      </c>
    </row>
    <row r="77" spans="1:61">
      <c r="A77" s="101" t="s">
        <v>804</v>
      </c>
      <c r="B77" s="71" t="s">
        <v>212</v>
      </c>
      <c r="C77" s="28" t="s">
        <v>743</v>
      </c>
      <c r="D77" s="88">
        <v>0</v>
      </c>
      <c r="E77" s="90">
        <v>0</v>
      </c>
      <c r="F77" s="28">
        <v>0</v>
      </c>
      <c r="G77" s="77">
        <v>0</v>
      </c>
      <c r="H77" s="584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89">
        <v>0</v>
      </c>
      <c r="O77" s="28">
        <v>0</v>
      </c>
      <c r="P77" s="28">
        <v>0</v>
      </c>
      <c r="Q77" s="28">
        <v>0</v>
      </c>
      <c r="R77" s="28">
        <v>0</v>
      </c>
      <c r="S77" s="75">
        <v>75</v>
      </c>
      <c r="V77" s="101" t="s">
        <v>835</v>
      </c>
      <c r="W77" s="71" t="s">
        <v>212</v>
      </c>
      <c r="X77" s="116" t="s">
        <v>858</v>
      </c>
      <c r="Y77" s="106">
        <v>0</v>
      </c>
      <c r="Z77" s="364">
        <v>0</v>
      </c>
      <c r="AA77" s="74">
        <v>0</v>
      </c>
      <c r="AB77" s="28">
        <v>0</v>
      </c>
      <c r="AC77" s="584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89">
        <v>0</v>
      </c>
      <c r="AJ77" s="28">
        <v>0</v>
      </c>
      <c r="AK77" s="28">
        <v>0</v>
      </c>
      <c r="AL77" s="28">
        <v>0</v>
      </c>
      <c r="AM77" s="74">
        <v>0</v>
      </c>
      <c r="AN77" s="27">
        <v>75</v>
      </c>
      <c r="AQ77" s="101" t="s">
        <v>804</v>
      </c>
      <c r="AR77" s="71" t="s">
        <v>212</v>
      </c>
      <c r="AS77" s="28" t="s">
        <v>829</v>
      </c>
      <c r="AT77" s="106">
        <v>13.5</v>
      </c>
      <c r="AU77" s="77">
        <v>0</v>
      </c>
      <c r="AV77" s="74">
        <v>0</v>
      </c>
      <c r="AW77" s="28">
        <v>2</v>
      </c>
      <c r="AX77" s="584">
        <v>2</v>
      </c>
      <c r="AY77" s="28">
        <v>3</v>
      </c>
      <c r="AZ77" s="28">
        <v>3</v>
      </c>
      <c r="BA77" s="28">
        <v>3</v>
      </c>
      <c r="BB77" s="28">
        <v>2</v>
      </c>
      <c r="BC77" s="28">
        <v>0</v>
      </c>
      <c r="BD77" s="89">
        <v>3</v>
      </c>
      <c r="BE77" s="28">
        <v>0</v>
      </c>
      <c r="BF77" s="28">
        <v>0</v>
      </c>
      <c r="BG77" s="28">
        <v>0</v>
      </c>
      <c r="BH77" s="74">
        <v>0</v>
      </c>
      <c r="BI77" s="27">
        <v>75</v>
      </c>
    </row>
    <row r="78" spans="1:61">
      <c r="A78" s="101" t="s">
        <v>804</v>
      </c>
      <c r="B78" s="71" t="s">
        <v>212</v>
      </c>
      <c r="C78" s="633" t="s">
        <v>827</v>
      </c>
      <c r="D78" s="88">
        <v>0</v>
      </c>
      <c r="E78" s="90">
        <v>0</v>
      </c>
      <c r="F78" s="28">
        <v>0</v>
      </c>
      <c r="G78" s="77">
        <v>0</v>
      </c>
      <c r="H78" s="584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89">
        <v>0</v>
      </c>
      <c r="O78" s="28">
        <v>0</v>
      </c>
      <c r="P78" s="28">
        <v>0</v>
      </c>
      <c r="Q78" s="28">
        <v>0</v>
      </c>
      <c r="R78" s="28">
        <v>0</v>
      </c>
      <c r="S78" s="75">
        <v>76</v>
      </c>
      <c r="V78" s="101" t="s">
        <v>835</v>
      </c>
      <c r="W78" s="71" t="s">
        <v>212</v>
      </c>
      <c r="X78" s="116" t="s">
        <v>859</v>
      </c>
      <c r="Y78" s="106">
        <v>0</v>
      </c>
      <c r="Z78" s="364">
        <v>0</v>
      </c>
      <c r="AA78" s="74">
        <v>0</v>
      </c>
      <c r="AB78" s="28">
        <v>0</v>
      </c>
      <c r="AC78" s="584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89">
        <v>0</v>
      </c>
      <c r="AJ78" s="28">
        <v>0</v>
      </c>
      <c r="AK78" s="28">
        <v>0</v>
      </c>
      <c r="AL78" s="28">
        <v>0</v>
      </c>
      <c r="AM78" s="74">
        <v>0</v>
      </c>
      <c r="AN78" s="27">
        <v>76</v>
      </c>
      <c r="AQ78" s="101" t="s">
        <v>804</v>
      </c>
      <c r="AR78" s="71" t="s">
        <v>215</v>
      </c>
      <c r="AS78" s="116" t="s">
        <v>827</v>
      </c>
      <c r="AT78" s="106">
        <v>0</v>
      </c>
      <c r="AU78" s="77">
        <v>0</v>
      </c>
      <c r="AV78" s="74">
        <v>0</v>
      </c>
      <c r="AW78" s="28">
        <v>0</v>
      </c>
      <c r="AX78" s="584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89">
        <v>0</v>
      </c>
      <c r="BE78" s="28">
        <v>0</v>
      </c>
      <c r="BF78" s="28">
        <v>0</v>
      </c>
      <c r="BG78" s="28">
        <v>0</v>
      </c>
      <c r="BH78" s="74">
        <v>0</v>
      </c>
      <c r="BI78" s="27">
        <v>76</v>
      </c>
    </row>
    <row r="79" spans="1:61">
      <c r="A79" s="101" t="s">
        <v>804</v>
      </c>
      <c r="B79" s="71" t="s">
        <v>212</v>
      </c>
      <c r="C79" s="633" t="s">
        <v>826</v>
      </c>
      <c r="D79" s="88">
        <v>0</v>
      </c>
      <c r="E79" s="90">
        <v>0</v>
      </c>
      <c r="F79" s="28">
        <v>0</v>
      </c>
      <c r="G79" s="77">
        <v>0</v>
      </c>
      <c r="H79" s="584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89">
        <v>0</v>
      </c>
      <c r="O79" s="28">
        <v>0</v>
      </c>
      <c r="P79" s="28">
        <v>0</v>
      </c>
      <c r="Q79" s="28">
        <v>0</v>
      </c>
      <c r="R79" s="28">
        <v>0</v>
      </c>
      <c r="S79" s="75">
        <v>77</v>
      </c>
      <c r="V79" s="101" t="s">
        <v>835</v>
      </c>
      <c r="W79" s="71" t="s">
        <v>212</v>
      </c>
      <c r="X79" s="116" t="s">
        <v>861</v>
      </c>
      <c r="Y79" s="106">
        <v>0</v>
      </c>
      <c r="Z79" s="364">
        <v>0</v>
      </c>
      <c r="AA79" s="74">
        <v>0</v>
      </c>
      <c r="AB79" s="28">
        <v>0</v>
      </c>
      <c r="AC79" s="584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89">
        <v>0</v>
      </c>
      <c r="AJ79" s="28">
        <v>0</v>
      </c>
      <c r="AK79" s="28">
        <v>0</v>
      </c>
      <c r="AL79" s="28">
        <v>0</v>
      </c>
      <c r="AM79" s="74">
        <v>0</v>
      </c>
      <c r="AN79" s="27">
        <v>77</v>
      </c>
      <c r="AQ79" s="101" t="s">
        <v>804</v>
      </c>
      <c r="AR79" s="71" t="s">
        <v>212</v>
      </c>
      <c r="AS79" s="28" t="s">
        <v>826</v>
      </c>
      <c r="AT79" s="106">
        <v>0</v>
      </c>
      <c r="AU79" s="77">
        <v>0</v>
      </c>
      <c r="AV79" s="74">
        <v>0</v>
      </c>
      <c r="AW79" s="28">
        <v>0</v>
      </c>
      <c r="AX79" s="584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89">
        <v>0</v>
      </c>
      <c r="BE79" s="28">
        <v>0</v>
      </c>
      <c r="BF79" s="28">
        <v>0</v>
      </c>
      <c r="BG79" s="28">
        <v>0</v>
      </c>
      <c r="BH79" s="74">
        <v>0</v>
      </c>
      <c r="BI79" s="27">
        <v>77</v>
      </c>
    </row>
    <row r="80" spans="1:61">
      <c r="A80" s="101" t="s">
        <v>804</v>
      </c>
      <c r="B80" s="71" t="s">
        <v>212</v>
      </c>
      <c r="C80" s="28" t="s">
        <v>828</v>
      </c>
      <c r="D80" s="88">
        <v>13.432835820895521</v>
      </c>
      <c r="E80" s="90">
        <v>0</v>
      </c>
      <c r="F80" s="28">
        <v>0</v>
      </c>
      <c r="G80" s="77">
        <v>1</v>
      </c>
      <c r="H80" s="584">
        <v>0.67</v>
      </c>
      <c r="I80" s="28">
        <v>3</v>
      </c>
      <c r="J80" s="28">
        <v>1</v>
      </c>
      <c r="K80" s="28">
        <v>1</v>
      </c>
      <c r="L80" s="28">
        <v>2</v>
      </c>
      <c r="M80" s="28">
        <v>0</v>
      </c>
      <c r="N80" s="89">
        <v>5.9701492537313428</v>
      </c>
      <c r="O80" s="28">
        <v>0</v>
      </c>
      <c r="P80" s="28">
        <v>0</v>
      </c>
      <c r="Q80" s="28">
        <v>0</v>
      </c>
      <c r="R80" s="28">
        <v>0</v>
      </c>
      <c r="S80" s="75">
        <v>78</v>
      </c>
      <c r="V80" s="101" t="s">
        <v>835</v>
      </c>
      <c r="W80" s="71" t="s">
        <v>212</v>
      </c>
      <c r="X80" s="116" t="s">
        <v>856</v>
      </c>
      <c r="Y80" s="106">
        <v>0</v>
      </c>
      <c r="Z80" s="364">
        <v>0</v>
      </c>
      <c r="AA80" s="74">
        <v>0</v>
      </c>
      <c r="AB80" s="28">
        <v>0</v>
      </c>
      <c r="AC80" s="584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89">
        <v>0</v>
      </c>
      <c r="AJ80" s="28">
        <v>0</v>
      </c>
      <c r="AK80" s="28">
        <v>0</v>
      </c>
      <c r="AL80" s="28">
        <v>0</v>
      </c>
      <c r="AM80" s="74">
        <v>0</v>
      </c>
      <c r="AN80" s="27">
        <v>78</v>
      </c>
      <c r="AQ80" s="101" t="s">
        <v>804</v>
      </c>
      <c r="AR80" s="71" t="s">
        <v>212</v>
      </c>
      <c r="AS80" s="28" t="s">
        <v>828</v>
      </c>
      <c r="AT80" s="106">
        <v>9</v>
      </c>
      <c r="AU80" s="77">
        <v>0</v>
      </c>
      <c r="AV80" s="74">
        <v>0</v>
      </c>
      <c r="AW80" s="28">
        <v>2</v>
      </c>
      <c r="AX80" s="584">
        <v>2</v>
      </c>
      <c r="AY80" s="28">
        <v>2</v>
      </c>
      <c r="AZ80" s="28">
        <v>2</v>
      </c>
      <c r="BA80" s="28">
        <v>2</v>
      </c>
      <c r="BB80" s="28">
        <v>3</v>
      </c>
      <c r="BC80" s="28">
        <v>0</v>
      </c>
      <c r="BD80" s="89">
        <v>2</v>
      </c>
      <c r="BE80" s="28">
        <v>0</v>
      </c>
      <c r="BF80" s="28">
        <v>0</v>
      </c>
      <c r="BG80" s="28">
        <v>0</v>
      </c>
      <c r="BH80" s="74">
        <v>0</v>
      </c>
      <c r="BI80" s="27">
        <v>78</v>
      </c>
    </row>
    <row r="81" spans="1:61">
      <c r="A81" s="101" t="s">
        <v>804</v>
      </c>
      <c r="B81" s="71" t="s">
        <v>212</v>
      </c>
      <c r="C81" s="28" t="s">
        <v>830</v>
      </c>
      <c r="D81" s="88">
        <v>0</v>
      </c>
      <c r="E81" s="90">
        <v>0</v>
      </c>
      <c r="F81" s="28">
        <v>0</v>
      </c>
      <c r="G81" s="77">
        <v>1</v>
      </c>
      <c r="H81" s="584">
        <v>2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89">
        <v>0</v>
      </c>
      <c r="O81" s="28">
        <v>0</v>
      </c>
      <c r="P81" s="28">
        <v>0</v>
      </c>
      <c r="Q81" s="28">
        <v>0</v>
      </c>
      <c r="R81" s="28">
        <v>0</v>
      </c>
      <c r="S81" s="75">
        <v>79</v>
      </c>
      <c r="V81" s="101" t="s">
        <v>835</v>
      </c>
      <c r="W81" s="71" t="s">
        <v>212</v>
      </c>
      <c r="X81" s="116" t="s">
        <v>863</v>
      </c>
      <c r="Y81" s="106">
        <v>0</v>
      </c>
      <c r="Z81" s="364">
        <v>0</v>
      </c>
      <c r="AA81" s="74">
        <v>0</v>
      </c>
      <c r="AB81" s="28">
        <v>2</v>
      </c>
      <c r="AC81" s="584">
        <v>2</v>
      </c>
      <c r="AD81" s="28">
        <v>1</v>
      </c>
      <c r="AE81" s="28">
        <v>0</v>
      </c>
      <c r="AF81" s="28">
        <v>0</v>
      </c>
      <c r="AG81" s="28">
        <v>2</v>
      </c>
      <c r="AH81" s="28">
        <v>0</v>
      </c>
      <c r="AI81" s="89">
        <v>0.5</v>
      </c>
      <c r="AJ81" s="28">
        <v>0</v>
      </c>
      <c r="AK81" s="28">
        <v>0</v>
      </c>
      <c r="AL81" s="28">
        <v>0</v>
      </c>
      <c r="AM81" s="74">
        <v>0</v>
      </c>
      <c r="AN81" s="27">
        <v>79</v>
      </c>
      <c r="AQ81" s="101" t="s">
        <v>804</v>
      </c>
      <c r="AR81" s="71" t="s">
        <v>212</v>
      </c>
      <c r="AS81" s="28" t="s">
        <v>830</v>
      </c>
      <c r="AT81" s="106">
        <v>0</v>
      </c>
      <c r="AU81" s="77">
        <v>0</v>
      </c>
      <c r="AV81" s="74">
        <v>0</v>
      </c>
      <c r="AW81" s="28">
        <v>1</v>
      </c>
      <c r="AX81" s="584">
        <v>1</v>
      </c>
      <c r="AY81" s="28">
        <v>1</v>
      </c>
      <c r="AZ81" s="28">
        <v>0</v>
      </c>
      <c r="BA81" s="28">
        <v>1</v>
      </c>
      <c r="BB81" s="28">
        <v>0</v>
      </c>
      <c r="BC81" s="28">
        <v>0</v>
      </c>
      <c r="BD81" s="89">
        <v>2</v>
      </c>
      <c r="BE81" s="28">
        <v>0</v>
      </c>
      <c r="BF81" s="28">
        <v>0</v>
      </c>
      <c r="BG81" s="28">
        <v>0</v>
      </c>
      <c r="BH81" s="74">
        <v>0</v>
      </c>
      <c r="BI81" s="27">
        <v>79</v>
      </c>
    </row>
    <row r="82" spans="1:61">
      <c r="A82" s="101" t="s">
        <v>804</v>
      </c>
      <c r="B82" s="71" t="s">
        <v>212</v>
      </c>
      <c r="C82" s="28" t="s">
        <v>831</v>
      </c>
      <c r="D82" s="88">
        <v>5.0656660412757972</v>
      </c>
      <c r="E82" s="90">
        <v>0</v>
      </c>
      <c r="F82" s="28">
        <v>0</v>
      </c>
      <c r="G82" s="77">
        <v>4</v>
      </c>
      <c r="H82" s="584">
        <v>5.33</v>
      </c>
      <c r="I82" s="28">
        <v>4</v>
      </c>
      <c r="J82" s="28">
        <v>3</v>
      </c>
      <c r="K82" s="28">
        <v>1</v>
      </c>
      <c r="L82" s="28">
        <v>12</v>
      </c>
      <c r="M82" s="28">
        <v>1</v>
      </c>
      <c r="N82" s="89">
        <v>0.93808630393996251</v>
      </c>
      <c r="O82" s="28">
        <v>0</v>
      </c>
      <c r="P82" s="28">
        <v>0</v>
      </c>
      <c r="Q82" s="28">
        <v>0</v>
      </c>
      <c r="R82" s="28">
        <v>0</v>
      </c>
      <c r="S82" s="75">
        <v>80</v>
      </c>
      <c r="V82" s="101" t="s">
        <v>835</v>
      </c>
      <c r="W82" s="71" t="s">
        <v>212</v>
      </c>
      <c r="X82" s="116" t="s">
        <v>865</v>
      </c>
      <c r="Y82" s="106">
        <v>6.75</v>
      </c>
      <c r="Z82" s="364">
        <v>0</v>
      </c>
      <c r="AA82" s="74">
        <v>2</v>
      </c>
      <c r="AB82" s="28">
        <v>4</v>
      </c>
      <c r="AC82" s="584">
        <v>4</v>
      </c>
      <c r="AD82" s="28">
        <v>4</v>
      </c>
      <c r="AE82" s="28">
        <v>3</v>
      </c>
      <c r="AF82" s="28">
        <v>0</v>
      </c>
      <c r="AG82" s="28">
        <v>6</v>
      </c>
      <c r="AH82" s="28">
        <v>1</v>
      </c>
      <c r="AI82" s="89">
        <v>1</v>
      </c>
      <c r="AJ82" s="28">
        <v>0</v>
      </c>
      <c r="AK82" s="28">
        <v>0</v>
      </c>
      <c r="AL82" s="28">
        <v>0</v>
      </c>
      <c r="AM82" s="74">
        <v>0</v>
      </c>
      <c r="AN82" s="27">
        <v>80</v>
      </c>
      <c r="AQ82" s="101" t="s">
        <v>804</v>
      </c>
      <c r="AR82" s="71" t="s">
        <v>212</v>
      </c>
      <c r="AS82" s="28" t="s">
        <v>831</v>
      </c>
      <c r="AT82" s="106">
        <v>7.7253218884120169</v>
      </c>
      <c r="AU82" s="77">
        <v>0</v>
      </c>
      <c r="AV82" s="74">
        <v>1</v>
      </c>
      <c r="AW82" s="28">
        <v>2</v>
      </c>
      <c r="AX82" s="584">
        <v>2.33</v>
      </c>
      <c r="AY82" s="28">
        <v>2</v>
      </c>
      <c r="AZ82" s="28">
        <v>2</v>
      </c>
      <c r="BA82" s="28">
        <v>2</v>
      </c>
      <c r="BB82" s="28">
        <v>5</v>
      </c>
      <c r="BC82" s="28">
        <v>1</v>
      </c>
      <c r="BD82" s="89">
        <v>1.7167381974248928</v>
      </c>
      <c r="BE82" s="28">
        <v>0</v>
      </c>
      <c r="BF82" s="28">
        <v>0</v>
      </c>
      <c r="BG82" s="28">
        <v>0</v>
      </c>
      <c r="BH82" s="74">
        <v>0</v>
      </c>
      <c r="BI82" s="27">
        <v>80</v>
      </c>
    </row>
    <row r="83" spans="1:61">
      <c r="A83" s="101" t="s">
        <v>835</v>
      </c>
      <c r="B83" s="71" t="s">
        <v>206</v>
      </c>
      <c r="C83" s="633" t="s">
        <v>853</v>
      </c>
      <c r="D83" s="88">
        <v>3.5</v>
      </c>
      <c r="E83" s="90">
        <v>2</v>
      </c>
      <c r="F83" s="28">
        <v>3</v>
      </c>
      <c r="G83" s="77">
        <v>5</v>
      </c>
      <c r="H83" s="584">
        <v>36</v>
      </c>
      <c r="I83" s="28">
        <v>22</v>
      </c>
      <c r="J83" s="28">
        <v>14</v>
      </c>
      <c r="K83" s="76">
        <v>17</v>
      </c>
      <c r="L83" s="28">
        <v>55</v>
      </c>
      <c r="M83" s="28">
        <v>0</v>
      </c>
      <c r="N83" s="89">
        <v>1.0833333333333333</v>
      </c>
      <c r="O83" s="28">
        <v>2</v>
      </c>
      <c r="P83" s="28">
        <v>2</v>
      </c>
      <c r="Q83" s="28">
        <v>0</v>
      </c>
      <c r="R83" s="28">
        <v>0</v>
      </c>
      <c r="S83" s="75">
        <v>81</v>
      </c>
      <c r="V83" s="101" t="s">
        <v>990</v>
      </c>
      <c r="W83" s="71" t="s">
        <v>206</v>
      </c>
      <c r="X83" s="71" t="s">
        <v>1008</v>
      </c>
      <c r="Y83" s="106">
        <v>9</v>
      </c>
      <c r="Z83" s="364">
        <v>0</v>
      </c>
      <c r="AA83" s="74">
        <v>1</v>
      </c>
      <c r="AB83" s="28">
        <v>1</v>
      </c>
      <c r="AC83" s="584">
        <v>5</v>
      </c>
      <c r="AD83" s="28">
        <v>5</v>
      </c>
      <c r="AE83" s="28">
        <v>5</v>
      </c>
      <c r="AF83" s="28">
        <v>3</v>
      </c>
      <c r="AG83" s="28">
        <v>4</v>
      </c>
      <c r="AH83" s="28">
        <v>0</v>
      </c>
      <c r="AI83" s="89">
        <v>1.6</v>
      </c>
      <c r="AJ83" s="28">
        <v>0</v>
      </c>
      <c r="AK83" s="28">
        <v>0</v>
      </c>
      <c r="AL83" s="28">
        <v>0</v>
      </c>
      <c r="AM83" s="74">
        <v>0</v>
      </c>
      <c r="AN83" s="27">
        <v>81</v>
      </c>
      <c r="AQ83" s="101" t="s">
        <v>952</v>
      </c>
      <c r="AR83" s="71" t="s">
        <v>206</v>
      </c>
      <c r="AS83" s="28" t="s">
        <v>973</v>
      </c>
      <c r="AT83" s="106">
        <v>4.05</v>
      </c>
      <c r="AU83" s="77">
        <v>2</v>
      </c>
      <c r="AV83" s="74">
        <v>0</v>
      </c>
      <c r="AW83" s="28">
        <v>3</v>
      </c>
      <c r="AX83" s="584">
        <v>20</v>
      </c>
      <c r="AY83" s="28">
        <v>18</v>
      </c>
      <c r="AZ83" s="28">
        <v>9</v>
      </c>
      <c r="BA83" s="28">
        <v>6</v>
      </c>
      <c r="BB83" s="28">
        <v>19</v>
      </c>
      <c r="BC83" s="28">
        <v>0</v>
      </c>
      <c r="BD83" s="89">
        <v>1.2</v>
      </c>
      <c r="BE83" s="28">
        <v>2</v>
      </c>
      <c r="BF83" s="28">
        <v>0</v>
      </c>
      <c r="BG83" s="28">
        <v>0</v>
      </c>
      <c r="BH83" s="74">
        <v>0</v>
      </c>
      <c r="BI83" s="27">
        <v>81</v>
      </c>
    </row>
    <row r="84" spans="1:61">
      <c r="A84" s="101" t="s">
        <v>835</v>
      </c>
      <c r="B84" s="71" t="s">
        <v>206</v>
      </c>
      <c r="C84" s="633" t="s">
        <v>855</v>
      </c>
      <c r="D84" s="88">
        <v>3.9031441994940366</v>
      </c>
      <c r="E84" s="90">
        <v>0</v>
      </c>
      <c r="F84" s="28">
        <v>3</v>
      </c>
      <c r="G84" s="77">
        <v>4</v>
      </c>
      <c r="H84" s="584">
        <v>27.67</v>
      </c>
      <c r="I84" s="28">
        <v>28</v>
      </c>
      <c r="J84" s="28">
        <v>12</v>
      </c>
      <c r="K84" s="28">
        <v>7</v>
      </c>
      <c r="L84" s="28">
        <v>24</v>
      </c>
      <c r="M84" s="28">
        <v>0</v>
      </c>
      <c r="N84" s="89">
        <v>1.2649078424286231</v>
      </c>
      <c r="O84" s="28">
        <v>2</v>
      </c>
      <c r="P84" s="28">
        <v>2</v>
      </c>
      <c r="Q84" s="28">
        <v>0</v>
      </c>
      <c r="R84" s="28">
        <v>0</v>
      </c>
      <c r="S84" s="75">
        <v>82</v>
      </c>
      <c r="V84" s="101" t="s">
        <v>990</v>
      </c>
      <c r="W84" s="71" t="s">
        <v>206</v>
      </c>
      <c r="X84" s="116" t="s">
        <v>824</v>
      </c>
      <c r="Y84" s="106">
        <v>1.4218009478672986</v>
      </c>
      <c r="Z84" s="364">
        <v>0</v>
      </c>
      <c r="AA84" s="74">
        <v>1</v>
      </c>
      <c r="AB84" s="28">
        <v>1</v>
      </c>
      <c r="AC84" s="584">
        <v>6.33</v>
      </c>
      <c r="AD84" s="28">
        <v>5</v>
      </c>
      <c r="AE84" s="28">
        <v>1</v>
      </c>
      <c r="AF84" s="28">
        <v>5</v>
      </c>
      <c r="AG84" s="28">
        <v>7</v>
      </c>
      <c r="AH84" s="28">
        <v>0</v>
      </c>
      <c r="AI84" s="89">
        <v>1.5797788309636651</v>
      </c>
      <c r="AJ84" s="28">
        <v>1</v>
      </c>
      <c r="AK84" s="28">
        <v>0</v>
      </c>
      <c r="AL84" s="28">
        <v>0</v>
      </c>
      <c r="AM84" s="74">
        <v>0</v>
      </c>
      <c r="AN84" s="27">
        <v>82</v>
      </c>
      <c r="AQ84" s="101" t="s">
        <v>952</v>
      </c>
      <c r="AR84" s="71" t="s">
        <v>206</v>
      </c>
      <c r="AS84" s="28" t="s">
        <v>972</v>
      </c>
      <c r="AT84" s="106">
        <v>5.060918462980319</v>
      </c>
      <c r="AU84" s="77">
        <v>0</v>
      </c>
      <c r="AV84" s="74">
        <v>2</v>
      </c>
      <c r="AW84" s="28">
        <v>2</v>
      </c>
      <c r="AX84" s="584">
        <v>10.67</v>
      </c>
      <c r="AY84" s="28">
        <v>12</v>
      </c>
      <c r="AZ84" s="28">
        <v>6</v>
      </c>
      <c r="BA84" s="28">
        <v>7</v>
      </c>
      <c r="BB84" s="28">
        <v>9</v>
      </c>
      <c r="BC84" s="28">
        <v>0</v>
      </c>
      <c r="BD84" s="89">
        <v>1.7806935332708529</v>
      </c>
      <c r="BE84" s="28">
        <v>1</v>
      </c>
      <c r="BF84" s="28">
        <v>0</v>
      </c>
      <c r="BG84" s="28">
        <v>0</v>
      </c>
      <c r="BH84" s="74">
        <v>0</v>
      </c>
      <c r="BI84" s="27">
        <v>82</v>
      </c>
    </row>
    <row r="85" spans="1:61">
      <c r="A85" s="101" t="s">
        <v>835</v>
      </c>
      <c r="B85" s="71" t="s">
        <v>206</v>
      </c>
      <c r="C85" s="633" t="s">
        <v>854</v>
      </c>
      <c r="D85" s="88">
        <v>3.9084090011843666</v>
      </c>
      <c r="E85" s="90">
        <v>2</v>
      </c>
      <c r="F85" s="28">
        <v>0</v>
      </c>
      <c r="G85" s="77">
        <v>4</v>
      </c>
      <c r="H85" s="584">
        <v>25.33</v>
      </c>
      <c r="I85" s="28">
        <v>27</v>
      </c>
      <c r="J85" s="28">
        <v>11</v>
      </c>
      <c r="K85" s="28">
        <v>11</v>
      </c>
      <c r="L85" s="28">
        <v>25</v>
      </c>
      <c r="M85" s="28">
        <v>0</v>
      </c>
      <c r="N85" s="89">
        <v>1.5001973943939992</v>
      </c>
      <c r="O85" s="28">
        <v>2</v>
      </c>
      <c r="P85" s="28">
        <v>1</v>
      </c>
      <c r="Q85" s="28">
        <v>0</v>
      </c>
      <c r="R85" s="28">
        <v>0</v>
      </c>
      <c r="S85" s="75">
        <v>83</v>
      </c>
      <c r="V85" s="101" t="s">
        <v>990</v>
      </c>
      <c r="W85" s="71" t="s">
        <v>206</v>
      </c>
      <c r="X85" s="116" t="s">
        <v>1009</v>
      </c>
      <c r="Y85" s="106">
        <v>0</v>
      </c>
      <c r="Z85" s="364">
        <v>0</v>
      </c>
      <c r="AA85" s="74">
        <v>0</v>
      </c>
      <c r="AB85" s="28">
        <v>0</v>
      </c>
      <c r="AC85" s="584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89">
        <v>0</v>
      </c>
      <c r="AJ85" s="28">
        <v>0</v>
      </c>
      <c r="AK85" s="28">
        <v>0</v>
      </c>
      <c r="AL85" s="28">
        <v>0</v>
      </c>
      <c r="AM85" s="74">
        <v>0</v>
      </c>
      <c r="AN85" s="27">
        <v>83</v>
      </c>
      <c r="AQ85" s="101" t="s">
        <v>952</v>
      </c>
      <c r="AR85" s="71" t="s">
        <v>206</v>
      </c>
      <c r="AS85" s="28" t="s">
        <v>975</v>
      </c>
      <c r="AT85" s="106">
        <v>3.6496350364963503</v>
      </c>
      <c r="AU85" s="77">
        <v>1</v>
      </c>
      <c r="AV85" s="74">
        <v>1</v>
      </c>
      <c r="AW85" s="28">
        <v>2</v>
      </c>
      <c r="AX85" s="584">
        <v>12.33</v>
      </c>
      <c r="AY85" s="28">
        <v>12</v>
      </c>
      <c r="AZ85" s="28">
        <v>5</v>
      </c>
      <c r="BA85" s="28">
        <v>7</v>
      </c>
      <c r="BB85" s="28">
        <v>12</v>
      </c>
      <c r="BC85" s="28">
        <v>0</v>
      </c>
      <c r="BD85" s="89">
        <v>1.5409570154095702</v>
      </c>
      <c r="BE85" s="28">
        <v>1</v>
      </c>
      <c r="BF85" s="28">
        <v>1</v>
      </c>
      <c r="BG85" s="28">
        <v>0</v>
      </c>
      <c r="BH85" s="74">
        <v>0</v>
      </c>
      <c r="BI85" s="27">
        <v>83</v>
      </c>
    </row>
    <row r="86" spans="1:61">
      <c r="A86" s="101" t="s">
        <v>835</v>
      </c>
      <c r="B86" s="71" t="s">
        <v>206</v>
      </c>
      <c r="C86" s="633" t="s">
        <v>857</v>
      </c>
      <c r="D86" s="88">
        <v>0</v>
      </c>
      <c r="E86" s="90">
        <v>0</v>
      </c>
      <c r="F86" s="28">
        <v>0</v>
      </c>
      <c r="G86" s="77">
        <v>3</v>
      </c>
      <c r="H86" s="584">
        <v>5.67</v>
      </c>
      <c r="I86" s="28">
        <v>5</v>
      </c>
      <c r="J86" s="28">
        <v>0</v>
      </c>
      <c r="K86" s="28">
        <v>0</v>
      </c>
      <c r="L86" s="28">
        <v>4</v>
      </c>
      <c r="M86" s="28">
        <v>0</v>
      </c>
      <c r="N86" s="89">
        <v>0.88183421516754856</v>
      </c>
      <c r="O86" s="28">
        <v>0</v>
      </c>
      <c r="P86" s="28">
        <v>0</v>
      </c>
      <c r="Q86" s="28">
        <v>0</v>
      </c>
      <c r="R86" s="28">
        <v>0</v>
      </c>
      <c r="S86" s="75">
        <v>84</v>
      </c>
      <c r="V86" s="101" t="s">
        <v>990</v>
      </c>
      <c r="W86" s="71" t="s">
        <v>206</v>
      </c>
      <c r="X86" s="116" t="s">
        <v>1011</v>
      </c>
      <c r="Y86" s="106">
        <v>0</v>
      </c>
      <c r="Z86" s="364">
        <v>0</v>
      </c>
      <c r="AA86" s="74">
        <v>0</v>
      </c>
      <c r="AB86" s="28">
        <v>0</v>
      </c>
      <c r="AC86" s="584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89">
        <v>0</v>
      </c>
      <c r="AJ86" s="28">
        <v>0</v>
      </c>
      <c r="AK86" s="28">
        <v>0</v>
      </c>
      <c r="AL86" s="28">
        <v>0</v>
      </c>
      <c r="AM86" s="74">
        <v>0</v>
      </c>
      <c r="AN86" s="27">
        <v>84</v>
      </c>
      <c r="AQ86" s="101" t="s">
        <v>952</v>
      </c>
      <c r="AR86" s="71" t="s">
        <v>206</v>
      </c>
      <c r="AS86" s="28" t="s">
        <v>974</v>
      </c>
      <c r="AT86" s="106">
        <v>0</v>
      </c>
      <c r="AU86" s="77">
        <v>0</v>
      </c>
      <c r="AV86" s="74">
        <v>0</v>
      </c>
      <c r="AW86" s="28">
        <v>0</v>
      </c>
      <c r="AX86" s="584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89">
        <v>0</v>
      </c>
      <c r="BE86" s="28">
        <v>0</v>
      </c>
      <c r="BF86" s="28">
        <v>0</v>
      </c>
      <c r="BG86" s="28">
        <v>0</v>
      </c>
      <c r="BH86" s="74">
        <v>0</v>
      </c>
      <c r="BI86" s="27">
        <v>84</v>
      </c>
    </row>
    <row r="87" spans="1:61">
      <c r="A87" s="101" t="s">
        <v>835</v>
      </c>
      <c r="B87" s="71" t="s">
        <v>215</v>
      </c>
      <c r="C87" s="633" t="s">
        <v>860</v>
      </c>
      <c r="D87" s="88">
        <v>0</v>
      </c>
      <c r="E87" s="90">
        <v>0</v>
      </c>
      <c r="F87" s="28">
        <v>0</v>
      </c>
      <c r="G87" s="77">
        <v>0</v>
      </c>
      <c r="H87" s="584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89">
        <v>0</v>
      </c>
      <c r="O87" s="28">
        <v>0</v>
      </c>
      <c r="P87" s="28">
        <v>0</v>
      </c>
      <c r="Q87" s="28">
        <v>0</v>
      </c>
      <c r="R87" s="28">
        <v>0</v>
      </c>
      <c r="S87" s="75">
        <v>85</v>
      </c>
      <c r="V87" s="101" t="s">
        <v>990</v>
      </c>
      <c r="W87" s="71" t="s">
        <v>212</v>
      </c>
      <c r="X87" s="116" t="s">
        <v>1013</v>
      </c>
      <c r="Y87" s="106">
        <v>0</v>
      </c>
      <c r="Z87" s="364">
        <v>0</v>
      </c>
      <c r="AA87" s="74">
        <v>0</v>
      </c>
      <c r="AB87" s="28">
        <v>0</v>
      </c>
      <c r="AC87" s="584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89">
        <v>0</v>
      </c>
      <c r="AJ87" s="28">
        <v>0</v>
      </c>
      <c r="AK87" s="28">
        <v>0</v>
      </c>
      <c r="AL87" s="28">
        <v>0</v>
      </c>
      <c r="AM87" s="74">
        <v>0</v>
      </c>
      <c r="AN87" s="27">
        <v>85</v>
      </c>
      <c r="AQ87" s="101" t="s">
        <v>952</v>
      </c>
      <c r="AR87" s="71" t="s">
        <v>212</v>
      </c>
      <c r="AS87" s="28" t="s">
        <v>978</v>
      </c>
      <c r="AT87" s="106">
        <v>0</v>
      </c>
      <c r="AU87" s="77">
        <v>0</v>
      </c>
      <c r="AV87" s="74">
        <v>0</v>
      </c>
      <c r="AW87" s="28">
        <v>0</v>
      </c>
      <c r="AX87" s="584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89">
        <v>0</v>
      </c>
      <c r="BE87" s="28">
        <v>0</v>
      </c>
      <c r="BF87" s="28">
        <v>0</v>
      </c>
      <c r="BG87" s="28">
        <v>0</v>
      </c>
      <c r="BH87" s="74">
        <v>0</v>
      </c>
      <c r="BI87" s="27">
        <v>85</v>
      </c>
    </row>
    <row r="88" spans="1:61">
      <c r="A88" s="101" t="s">
        <v>835</v>
      </c>
      <c r="B88" s="71" t="s">
        <v>212</v>
      </c>
      <c r="C88" s="633" t="s">
        <v>859</v>
      </c>
      <c r="D88" s="88">
        <v>0</v>
      </c>
      <c r="E88" s="90">
        <v>0</v>
      </c>
      <c r="F88" s="28">
        <v>0</v>
      </c>
      <c r="G88" s="77">
        <v>0</v>
      </c>
      <c r="H88" s="584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89">
        <v>0</v>
      </c>
      <c r="O88" s="28">
        <v>0</v>
      </c>
      <c r="P88" s="28">
        <v>0</v>
      </c>
      <c r="Q88" s="28">
        <v>0</v>
      </c>
      <c r="R88" s="28">
        <v>0</v>
      </c>
      <c r="S88" s="75">
        <v>86</v>
      </c>
      <c r="V88" s="101" t="s">
        <v>990</v>
      </c>
      <c r="W88" s="71" t="s">
        <v>215</v>
      </c>
      <c r="X88" s="116" t="s">
        <v>1015</v>
      </c>
      <c r="Y88" s="106">
        <v>0</v>
      </c>
      <c r="Z88" s="364">
        <v>0</v>
      </c>
      <c r="AA88" s="74">
        <v>0</v>
      </c>
      <c r="AB88" s="28">
        <v>0</v>
      </c>
      <c r="AC88" s="584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89">
        <v>0</v>
      </c>
      <c r="AJ88" s="28">
        <v>0</v>
      </c>
      <c r="AK88" s="28">
        <v>0</v>
      </c>
      <c r="AL88" s="28">
        <v>0</v>
      </c>
      <c r="AM88" s="74">
        <v>0</v>
      </c>
      <c r="AN88" s="27">
        <v>86</v>
      </c>
      <c r="AQ88" s="101" t="s">
        <v>952</v>
      </c>
      <c r="AR88" s="71" t="s">
        <v>215</v>
      </c>
      <c r="AS88" s="28" t="s">
        <v>981</v>
      </c>
      <c r="AT88" s="106">
        <v>0</v>
      </c>
      <c r="AU88" s="77">
        <v>0</v>
      </c>
      <c r="AV88" s="74">
        <v>0</v>
      </c>
      <c r="AW88" s="28">
        <v>0</v>
      </c>
      <c r="AX88" s="584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89">
        <v>0</v>
      </c>
      <c r="BE88" s="28">
        <v>0</v>
      </c>
      <c r="BF88" s="28">
        <v>0</v>
      </c>
      <c r="BG88" s="28">
        <v>0</v>
      </c>
      <c r="BH88" s="74">
        <v>0</v>
      </c>
      <c r="BI88" s="27">
        <v>86</v>
      </c>
    </row>
    <row r="89" spans="1:61">
      <c r="A89" s="101" t="s">
        <v>835</v>
      </c>
      <c r="B89" s="71" t="s">
        <v>212</v>
      </c>
      <c r="C89" s="633" t="s">
        <v>861</v>
      </c>
      <c r="D89" s="88">
        <v>0</v>
      </c>
      <c r="E89" s="90">
        <v>0</v>
      </c>
      <c r="F89" s="28">
        <v>0</v>
      </c>
      <c r="G89" s="77">
        <v>1</v>
      </c>
      <c r="H89" s="584">
        <v>1</v>
      </c>
      <c r="I89" s="28">
        <v>1</v>
      </c>
      <c r="J89" s="28">
        <v>0</v>
      </c>
      <c r="K89" s="28">
        <v>0</v>
      </c>
      <c r="L89" s="28">
        <v>1</v>
      </c>
      <c r="M89" s="28">
        <v>0</v>
      </c>
      <c r="N89" s="89">
        <v>1</v>
      </c>
      <c r="O89" s="28">
        <v>0</v>
      </c>
      <c r="P89" s="28">
        <v>0</v>
      </c>
      <c r="Q89" s="28">
        <v>0</v>
      </c>
      <c r="R89" s="28">
        <v>0</v>
      </c>
      <c r="S89" s="75">
        <v>87</v>
      </c>
      <c r="V89" s="101" t="s">
        <v>990</v>
      </c>
      <c r="W89" s="71" t="s">
        <v>212</v>
      </c>
      <c r="X89" s="116" t="s">
        <v>1018</v>
      </c>
      <c r="Y89" s="106">
        <v>0</v>
      </c>
      <c r="Z89" s="364">
        <v>0</v>
      </c>
      <c r="AA89" s="74">
        <v>0</v>
      </c>
      <c r="AB89" s="28">
        <v>0</v>
      </c>
      <c r="AC89" s="584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89">
        <v>0</v>
      </c>
      <c r="AJ89" s="28">
        <v>0</v>
      </c>
      <c r="AK89" s="28">
        <v>0</v>
      </c>
      <c r="AL89" s="28">
        <v>0</v>
      </c>
      <c r="AM89" s="74">
        <v>0</v>
      </c>
      <c r="AN89" s="27">
        <v>87</v>
      </c>
      <c r="AQ89" s="101" t="s">
        <v>952</v>
      </c>
      <c r="AR89" s="71" t="s">
        <v>212</v>
      </c>
      <c r="AS89" s="28" t="s">
        <v>977</v>
      </c>
      <c r="AT89" s="106">
        <v>12.6</v>
      </c>
      <c r="AU89" s="77">
        <v>0</v>
      </c>
      <c r="AV89" s="74">
        <v>1</v>
      </c>
      <c r="AW89" s="28">
        <v>3</v>
      </c>
      <c r="AX89" s="584">
        <v>5</v>
      </c>
      <c r="AY89" s="28">
        <v>7</v>
      </c>
      <c r="AZ89" s="28">
        <v>7</v>
      </c>
      <c r="BA89" s="28">
        <v>3</v>
      </c>
      <c r="BB89" s="28">
        <v>3</v>
      </c>
      <c r="BC89" s="28">
        <v>0</v>
      </c>
      <c r="BD89" s="89">
        <v>2</v>
      </c>
      <c r="BE89" s="28">
        <v>0</v>
      </c>
      <c r="BF89" s="28">
        <v>0</v>
      </c>
      <c r="BG89" s="28">
        <v>0</v>
      </c>
      <c r="BH89" s="74">
        <v>0</v>
      </c>
      <c r="BI89" s="27">
        <v>87</v>
      </c>
    </row>
    <row r="90" spans="1:61">
      <c r="A90" s="101" t="s">
        <v>835</v>
      </c>
      <c r="B90" s="71" t="s">
        <v>215</v>
      </c>
      <c r="C90" s="633" t="s">
        <v>862</v>
      </c>
      <c r="D90" s="88">
        <v>5.1903114186851216</v>
      </c>
      <c r="E90" s="90">
        <v>1</v>
      </c>
      <c r="F90" s="28">
        <v>0</v>
      </c>
      <c r="G90" s="77">
        <v>7</v>
      </c>
      <c r="H90" s="584">
        <v>8.67</v>
      </c>
      <c r="I90" s="28">
        <v>8</v>
      </c>
      <c r="J90" s="28">
        <v>5</v>
      </c>
      <c r="K90" s="28">
        <v>3</v>
      </c>
      <c r="L90" s="28">
        <v>8</v>
      </c>
      <c r="M90" s="28">
        <v>0</v>
      </c>
      <c r="N90" s="89">
        <v>1.2687427912341407</v>
      </c>
      <c r="O90" s="28">
        <v>0</v>
      </c>
      <c r="P90" s="28">
        <v>0</v>
      </c>
      <c r="Q90" s="28">
        <v>0</v>
      </c>
      <c r="R90" s="28">
        <v>0</v>
      </c>
      <c r="S90" s="75">
        <v>88</v>
      </c>
      <c r="V90" s="101" t="s">
        <v>990</v>
      </c>
      <c r="W90" s="71" t="s">
        <v>212</v>
      </c>
      <c r="X90" s="116" t="s">
        <v>1014</v>
      </c>
      <c r="Y90" s="106">
        <v>0</v>
      </c>
      <c r="Z90" s="364">
        <v>0</v>
      </c>
      <c r="AA90" s="74">
        <v>0</v>
      </c>
      <c r="AB90" s="28">
        <v>2</v>
      </c>
      <c r="AC90" s="584">
        <v>2</v>
      </c>
      <c r="AD90" s="28">
        <v>2</v>
      </c>
      <c r="AE90" s="28">
        <v>0</v>
      </c>
      <c r="AF90" s="28">
        <v>1</v>
      </c>
      <c r="AG90" s="28">
        <v>1</v>
      </c>
      <c r="AH90" s="28">
        <v>0</v>
      </c>
      <c r="AI90" s="89">
        <v>1.5</v>
      </c>
      <c r="AJ90" s="28">
        <v>0</v>
      </c>
      <c r="AK90" s="28">
        <v>0</v>
      </c>
      <c r="AL90" s="28">
        <v>0</v>
      </c>
      <c r="AM90" s="74">
        <v>0</v>
      </c>
      <c r="AN90" s="27">
        <v>88</v>
      </c>
      <c r="AQ90" s="101" t="s">
        <v>952</v>
      </c>
      <c r="AR90" s="71" t="s">
        <v>212</v>
      </c>
      <c r="AS90" s="28" t="s">
        <v>985</v>
      </c>
      <c r="AT90" s="106">
        <v>3</v>
      </c>
      <c r="AU90" s="77">
        <v>0</v>
      </c>
      <c r="AV90" s="74">
        <v>0</v>
      </c>
      <c r="AW90" s="28">
        <v>2</v>
      </c>
      <c r="AX90" s="584">
        <v>3</v>
      </c>
      <c r="AY90" s="28">
        <v>3</v>
      </c>
      <c r="AZ90" s="28">
        <v>1</v>
      </c>
      <c r="BA90" s="28">
        <v>2</v>
      </c>
      <c r="BB90" s="28">
        <v>3</v>
      </c>
      <c r="BC90" s="28">
        <v>0</v>
      </c>
      <c r="BD90" s="89">
        <v>1.6666666666666667</v>
      </c>
      <c r="BE90" s="28">
        <v>0</v>
      </c>
      <c r="BF90" s="28">
        <v>0</v>
      </c>
      <c r="BG90" s="28">
        <v>0</v>
      </c>
      <c r="BH90" s="74">
        <v>0</v>
      </c>
      <c r="BI90" s="27">
        <v>88</v>
      </c>
    </row>
    <row r="91" spans="1:61">
      <c r="A91" s="101" t="s">
        <v>835</v>
      </c>
      <c r="B91" s="71" t="s">
        <v>212</v>
      </c>
      <c r="C91" s="633" t="s">
        <v>863</v>
      </c>
      <c r="D91" s="88">
        <v>1.8</v>
      </c>
      <c r="E91" s="90">
        <v>1</v>
      </c>
      <c r="F91" s="28">
        <v>0</v>
      </c>
      <c r="G91" s="77">
        <v>4</v>
      </c>
      <c r="H91" s="584">
        <v>5</v>
      </c>
      <c r="I91" s="28">
        <v>2</v>
      </c>
      <c r="J91" s="28">
        <v>1</v>
      </c>
      <c r="K91" s="28">
        <v>6</v>
      </c>
      <c r="L91" s="28">
        <v>9</v>
      </c>
      <c r="M91" s="28">
        <v>0</v>
      </c>
      <c r="N91" s="89">
        <v>1.6</v>
      </c>
      <c r="O91" s="28">
        <v>0</v>
      </c>
      <c r="P91" s="28">
        <v>0</v>
      </c>
      <c r="Q91" s="28">
        <v>0</v>
      </c>
      <c r="R91" s="28">
        <v>0</v>
      </c>
      <c r="S91" s="75">
        <v>89</v>
      </c>
      <c r="V91" s="101" t="s">
        <v>990</v>
      </c>
      <c r="W91" s="71" t="s">
        <v>212</v>
      </c>
      <c r="X91" s="116" t="s">
        <v>1017</v>
      </c>
      <c r="Y91" s="106">
        <v>0</v>
      </c>
      <c r="Z91" s="364">
        <v>0</v>
      </c>
      <c r="AA91" s="74">
        <v>0</v>
      </c>
      <c r="AB91" s="28">
        <v>1</v>
      </c>
      <c r="AC91" s="584">
        <v>3</v>
      </c>
      <c r="AD91" s="28">
        <v>2</v>
      </c>
      <c r="AE91" s="28">
        <v>0</v>
      </c>
      <c r="AF91" s="28">
        <v>1</v>
      </c>
      <c r="AG91" s="28">
        <v>4</v>
      </c>
      <c r="AH91" s="28">
        <v>0</v>
      </c>
      <c r="AI91" s="89">
        <v>1</v>
      </c>
      <c r="AJ91" s="28">
        <v>0</v>
      </c>
      <c r="AK91" s="28">
        <v>0</v>
      </c>
      <c r="AL91" s="28">
        <v>0</v>
      </c>
      <c r="AM91" s="74">
        <v>0</v>
      </c>
      <c r="AN91" s="27">
        <v>89</v>
      </c>
      <c r="AQ91" s="101" t="s">
        <v>952</v>
      </c>
      <c r="AR91" s="71" t="s">
        <v>212</v>
      </c>
      <c r="AS91" s="28" t="s">
        <v>983</v>
      </c>
      <c r="AT91" s="106">
        <v>5.0656660412757972</v>
      </c>
      <c r="AU91" s="77">
        <v>0</v>
      </c>
      <c r="AV91" s="74">
        <v>0</v>
      </c>
      <c r="AW91" s="28">
        <v>4</v>
      </c>
      <c r="AX91" s="584">
        <v>5.33</v>
      </c>
      <c r="AY91" s="28">
        <v>5</v>
      </c>
      <c r="AZ91" s="28">
        <v>3</v>
      </c>
      <c r="BA91" s="28">
        <v>4</v>
      </c>
      <c r="BB91" s="28">
        <v>8</v>
      </c>
      <c r="BC91" s="28">
        <v>0</v>
      </c>
      <c r="BD91" s="89">
        <v>1.6885553470919323</v>
      </c>
      <c r="BE91" s="28">
        <v>0</v>
      </c>
      <c r="BF91" s="28">
        <v>0</v>
      </c>
      <c r="BG91" s="28">
        <v>0</v>
      </c>
      <c r="BH91" s="74">
        <v>0</v>
      </c>
      <c r="BI91" s="27">
        <v>89</v>
      </c>
    </row>
    <row r="92" spans="1:61">
      <c r="A92" s="101" t="s">
        <v>835</v>
      </c>
      <c r="B92" s="71" t="s">
        <v>212</v>
      </c>
      <c r="C92" s="633" t="s">
        <v>865</v>
      </c>
      <c r="D92" s="88">
        <v>2.5304592314901595</v>
      </c>
      <c r="E92" s="90">
        <v>1</v>
      </c>
      <c r="F92" s="28">
        <v>0</v>
      </c>
      <c r="G92" s="77">
        <v>8</v>
      </c>
      <c r="H92" s="584">
        <v>10.67</v>
      </c>
      <c r="I92" s="28">
        <v>8</v>
      </c>
      <c r="J92" s="28">
        <v>3</v>
      </c>
      <c r="K92" s="28">
        <v>6</v>
      </c>
      <c r="L92" s="28">
        <v>24</v>
      </c>
      <c r="M92" s="28">
        <v>2</v>
      </c>
      <c r="N92" s="89">
        <v>1.3120899718837864</v>
      </c>
      <c r="O92" s="28">
        <v>0</v>
      </c>
      <c r="P92" s="28">
        <v>0</v>
      </c>
      <c r="Q92" s="28">
        <v>0</v>
      </c>
      <c r="R92" s="28">
        <v>0</v>
      </c>
      <c r="S92" s="75">
        <v>90</v>
      </c>
      <c r="V92" s="101" t="s">
        <v>990</v>
      </c>
      <c r="W92" s="71" t="s">
        <v>212</v>
      </c>
      <c r="X92" s="116" t="s">
        <v>1020</v>
      </c>
      <c r="Y92" s="106">
        <v>0</v>
      </c>
      <c r="Z92" s="364">
        <v>0</v>
      </c>
      <c r="AA92" s="74">
        <v>0</v>
      </c>
      <c r="AB92" s="28">
        <v>1</v>
      </c>
      <c r="AC92" s="584">
        <v>1.67</v>
      </c>
      <c r="AD92" s="28">
        <v>2</v>
      </c>
      <c r="AE92" s="28">
        <v>0</v>
      </c>
      <c r="AF92" s="28">
        <v>1</v>
      </c>
      <c r="AG92" s="28">
        <v>3</v>
      </c>
      <c r="AH92" s="28">
        <v>0</v>
      </c>
      <c r="AI92" s="89">
        <v>1.7964071856287427</v>
      </c>
      <c r="AJ92" s="28">
        <v>0</v>
      </c>
      <c r="AK92" s="28">
        <v>0</v>
      </c>
      <c r="AL92" s="28">
        <v>0</v>
      </c>
      <c r="AM92" s="74">
        <v>0</v>
      </c>
      <c r="AN92" s="27">
        <v>90</v>
      </c>
      <c r="AQ92" s="101" t="s">
        <v>952</v>
      </c>
      <c r="AR92" s="71" t="s">
        <v>212</v>
      </c>
      <c r="AS92" s="28" t="s">
        <v>984</v>
      </c>
      <c r="AT92" s="583">
        <v>0</v>
      </c>
      <c r="AU92" s="77">
        <v>0</v>
      </c>
      <c r="AV92" s="74">
        <v>0</v>
      </c>
      <c r="AW92" s="28">
        <v>4</v>
      </c>
      <c r="AX92" s="584">
        <v>5</v>
      </c>
      <c r="AY92" s="28">
        <v>2</v>
      </c>
      <c r="AZ92" s="28">
        <v>0</v>
      </c>
      <c r="BA92" s="28">
        <v>1</v>
      </c>
      <c r="BB92" s="28">
        <v>5</v>
      </c>
      <c r="BC92" s="28">
        <v>1</v>
      </c>
      <c r="BD92" s="89">
        <v>0.6</v>
      </c>
      <c r="BE92" s="28">
        <v>0</v>
      </c>
      <c r="BF92" s="28">
        <v>0</v>
      </c>
      <c r="BG92" s="28">
        <v>0</v>
      </c>
      <c r="BH92" s="74">
        <v>0</v>
      </c>
      <c r="BI92" s="27">
        <v>90</v>
      </c>
    </row>
    <row r="93" spans="1:61">
      <c r="A93" s="101" t="s">
        <v>952</v>
      </c>
      <c r="B93" s="71" t="s">
        <v>206</v>
      </c>
      <c r="C93" s="28" t="s">
        <v>972</v>
      </c>
      <c r="D93" s="88">
        <v>2.5714285714285716</v>
      </c>
      <c r="E93" s="90">
        <v>0</v>
      </c>
      <c r="F93" s="28">
        <v>1</v>
      </c>
      <c r="G93" s="77">
        <v>1</v>
      </c>
      <c r="H93" s="584">
        <v>7</v>
      </c>
      <c r="I93" s="28">
        <v>5</v>
      </c>
      <c r="J93" s="28">
        <v>2</v>
      </c>
      <c r="K93" s="28">
        <v>3</v>
      </c>
      <c r="L93" s="28">
        <v>9</v>
      </c>
      <c r="M93" s="28">
        <v>0</v>
      </c>
      <c r="N93" s="89">
        <v>1.1428571428571428</v>
      </c>
      <c r="O93" s="28">
        <v>1</v>
      </c>
      <c r="P93" s="28">
        <v>1</v>
      </c>
      <c r="Q93" s="28">
        <v>0</v>
      </c>
      <c r="R93" s="28">
        <v>0</v>
      </c>
      <c r="S93" s="75">
        <v>91</v>
      </c>
      <c r="V93" s="101" t="s">
        <v>1025</v>
      </c>
      <c r="W93" s="71" t="s">
        <v>206</v>
      </c>
      <c r="X93" s="71" t="s">
        <v>1045</v>
      </c>
      <c r="Y93" s="583">
        <v>0.9</v>
      </c>
      <c r="Z93" s="364">
        <v>3</v>
      </c>
      <c r="AA93" s="74">
        <v>0</v>
      </c>
      <c r="AB93" s="28">
        <v>3</v>
      </c>
      <c r="AC93" s="584">
        <v>20</v>
      </c>
      <c r="AD93" s="28">
        <v>17</v>
      </c>
      <c r="AE93" s="28">
        <v>2</v>
      </c>
      <c r="AF93" s="28">
        <v>7</v>
      </c>
      <c r="AG93" s="28">
        <v>22</v>
      </c>
      <c r="AH93" s="28">
        <v>0</v>
      </c>
      <c r="AI93" s="89">
        <v>1.2</v>
      </c>
      <c r="AJ93" s="28">
        <v>3</v>
      </c>
      <c r="AK93" s="28">
        <v>1</v>
      </c>
      <c r="AL93" s="28">
        <v>0</v>
      </c>
      <c r="AM93" s="74">
        <v>0</v>
      </c>
      <c r="AN93" s="27">
        <v>91</v>
      </c>
      <c r="AQ93" s="101" t="s">
        <v>1062</v>
      </c>
      <c r="AR93" s="71" t="s">
        <v>206</v>
      </c>
      <c r="AS93" s="28" t="s">
        <v>1082</v>
      </c>
      <c r="AT93" s="106">
        <v>1.2269938650306749</v>
      </c>
      <c r="AU93" s="77">
        <v>1</v>
      </c>
      <c r="AV93" s="74">
        <v>0</v>
      </c>
      <c r="AW93" s="28">
        <v>2</v>
      </c>
      <c r="AX93" s="584">
        <v>14.67</v>
      </c>
      <c r="AY93" s="28">
        <v>8</v>
      </c>
      <c r="AZ93" s="28">
        <v>2</v>
      </c>
      <c r="BA93" s="28">
        <v>7</v>
      </c>
      <c r="BB93" s="28">
        <v>15</v>
      </c>
      <c r="BC93" s="28">
        <v>0</v>
      </c>
      <c r="BD93" s="89">
        <v>1.0224948875255624</v>
      </c>
      <c r="BE93" s="28">
        <v>2</v>
      </c>
      <c r="BF93" s="28">
        <v>1</v>
      </c>
      <c r="BG93" s="28">
        <v>0</v>
      </c>
      <c r="BH93" s="74">
        <v>0</v>
      </c>
      <c r="BI93" s="27">
        <v>91</v>
      </c>
    </row>
    <row r="94" spans="1:61">
      <c r="A94" s="101" t="s">
        <v>952</v>
      </c>
      <c r="B94" s="71" t="s">
        <v>206</v>
      </c>
      <c r="C94" s="28" t="s">
        <v>973</v>
      </c>
      <c r="D94" s="88">
        <v>5.1428571428571432</v>
      </c>
      <c r="E94" s="90">
        <v>0</v>
      </c>
      <c r="F94" s="28">
        <v>0</v>
      </c>
      <c r="G94" s="77">
        <v>1</v>
      </c>
      <c r="H94" s="584">
        <v>7</v>
      </c>
      <c r="I94" s="28">
        <v>6</v>
      </c>
      <c r="J94" s="28">
        <v>4</v>
      </c>
      <c r="K94" s="28">
        <v>2</v>
      </c>
      <c r="L94" s="28">
        <v>4</v>
      </c>
      <c r="M94" s="28">
        <v>0</v>
      </c>
      <c r="N94" s="89">
        <v>1.1428571428571428</v>
      </c>
      <c r="O94" s="28">
        <v>0</v>
      </c>
      <c r="P94" s="28">
        <v>0</v>
      </c>
      <c r="Q94" s="28">
        <v>0</v>
      </c>
      <c r="R94" s="28">
        <v>0</v>
      </c>
      <c r="S94" s="75">
        <v>92</v>
      </c>
      <c r="V94" s="101" t="s">
        <v>1025</v>
      </c>
      <c r="W94" s="71" t="s">
        <v>206</v>
      </c>
      <c r="X94" s="116" t="s">
        <v>1046</v>
      </c>
      <c r="Y94" s="106">
        <v>3.9279869067103115</v>
      </c>
      <c r="Z94" s="364">
        <v>1</v>
      </c>
      <c r="AA94" s="74">
        <v>2</v>
      </c>
      <c r="AB94" s="28">
        <v>3</v>
      </c>
      <c r="AC94" s="584">
        <v>18.329999999999998</v>
      </c>
      <c r="AD94" s="28">
        <v>19</v>
      </c>
      <c r="AE94" s="28">
        <v>8</v>
      </c>
      <c r="AF94" s="28">
        <v>4</v>
      </c>
      <c r="AG94" s="28">
        <v>24</v>
      </c>
      <c r="AH94" s="28">
        <v>0</v>
      </c>
      <c r="AI94" s="89">
        <v>1.2547735951991272</v>
      </c>
      <c r="AJ94" s="28">
        <v>1</v>
      </c>
      <c r="AK94" s="28">
        <v>1</v>
      </c>
      <c r="AL94" s="28">
        <v>0</v>
      </c>
      <c r="AM94" s="74">
        <v>0</v>
      </c>
      <c r="AN94" s="27">
        <v>92</v>
      </c>
      <c r="AQ94" s="101" t="s">
        <v>1062</v>
      </c>
      <c r="AR94" s="71" t="s">
        <v>206</v>
      </c>
      <c r="AS94" s="28" t="s">
        <v>1083</v>
      </c>
      <c r="AT94" s="583">
        <v>1.2</v>
      </c>
      <c r="AU94" s="77">
        <v>0</v>
      </c>
      <c r="AV94" s="74">
        <v>0</v>
      </c>
      <c r="AW94" s="28">
        <v>2</v>
      </c>
      <c r="AX94" s="584">
        <v>15</v>
      </c>
      <c r="AY94" s="28">
        <v>12</v>
      </c>
      <c r="AZ94" s="28">
        <v>2</v>
      </c>
      <c r="BA94" s="28">
        <v>3</v>
      </c>
      <c r="BB94" s="28">
        <v>18</v>
      </c>
      <c r="BC94" s="28">
        <v>0</v>
      </c>
      <c r="BD94" s="89">
        <v>1</v>
      </c>
      <c r="BE94" s="28">
        <v>2</v>
      </c>
      <c r="BF94" s="28">
        <v>1</v>
      </c>
      <c r="BG94" s="76">
        <v>1</v>
      </c>
      <c r="BH94" s="74">
        <v>0</v>
      </c>
      <c r="BI94" s="27">
        <v>92</v>
      </c>
    </row>
    <row r="95" spans="1:61">
      <c r="A95" s="101" t="s">
        <v>952</v>
      </c>
      <c r="B95" s="71" t="s">
        <v>206</v>
      </c>
      <c r="C95" s="633" t="s">
        <v>974</v>
      </c>
      <c r="D95" s="88">
        <v>1.5</v>
      </c>
      <c r="E95" s="90">
        <v>0</v>
      </c>
      <c r="F95" s="28">
        <v>0</v>
      </c>
      <c r="G95" s="77">
        <v>1</v>
      </c>
      <c r="H95" s="584">
        <v>6</v>
      </c>
      <c r="I95" s="28">
        <v>4</v>
      </c>
      <c r="J95" s="28">
        <v>1</v>
      </c>
      <c r="K95" s="28">
        <v>2</v>
      </c>
      <c r="L95" s="28">
        <v>3</v>
      </c>
      <c r="M95" s="28">
        <v>0</v>
      </c>
      <c r="N95" s="89">
        <v>1</v>
      </c>
      <c r="O95" s="28">
        <v>1</v>
      </c>
      <c r="P95" s="28">
        <v>0</v>
      </c>
      <c r="Q95" s="28">
        <v>0</v>
      </c>
      <c r="R95" s="28">
        <v>0</v>
      </c>
      <c r="S95" s="75">
        <v>93</v>
      </c>
      <c r="V95" s="101" t="s">
        <v>1025</v>
      </c>
      <c r="W95" s="71" t="s">
        <v>365</v>
      </c>
      <c r="X95" s="116" t="s">
        <v>1048</v>
      </c>
      <c r="Y95" s="106">
        <v>2.5714285714285716</v>
      </c>
      <c r="Z95" s="364">
        <v>0</v>
      </c>
      <c r="AA95" s="74">
        <v>0</v>
      </c>
      <c r="AB95" s="28">
        <v>1</v>
      </c>
      <c r="AC95" s="584">
        <v>7</v>
      </c>
      <c r="AD95" s="28">
        <v>5</v>
      </c>
      <c r="AE95" s="28">
        <v>2</v>
      </c>
      <c r="AF95" s="28">
        <v>1</v>
      </c>
      <c r="AG95" s="28">
        <v>11</v>
      </c>
      <c r="AH95" s="28">
        <v>0</v>
      </c>
      <c r="AI95" s="89">
        <v>0.8571428571428571</v>
      </c>
      <c r="AJ95" s="28">
        <v>1</v>
      </c>
      <c r="AK95" s="28">
        <v>1</v>
      </c>
      <c r="AL95" s="28">
        <v>0</v>
      </c>
      <c r="AM95" s="74">
        <v>0</v>
      </c>
      <c r="AN95" s="27">
        <v>93</v>
      </c>
      <c r="AQ95" s="101" t="s">
        <v>1062</v>
      </c>
      <c r="AR95" s="71" t="s">
        <v>206</v>
      </c>
      <c r="AS95" s="28" t="s">
        <v>1084</v>
      </c>
      <c r="AT95" s="106">
        <v>16</v>
      </c>
      <c r="AU95" s="77">
        <v>0</v>
      </c>
      <c r="AV95" s="74">
        <v>1</v>
      </c>
      <c r="AW95" s="28">
        <v>2</v>
      </c>
      <c r="AX95" s="584">
        <v>9</v>
      </c>
      <c r="AY95" s="28">
        <v>14</v>
      </c>
      <c r="AZ95" s="28">
        <v>16</v>
      </c>
      <c r="BA95" s="28">
        <v>10</v>
      </c>
      <c r="BB95" s="28">
        <v>15</v>
      </c>
      <c r="BC95" s="28">
        <v>0</v>
      </c>
      <c r="BD95" s="89">
        <v>2.6666666666666665</v>
      </c>
      <c r="BE95" s="28">
        <v>0</v>
      </c>
      <c r="BF95" s="28">
        <v>0</v>
      </c>
      <c r="BG95" s="28">
        <v>0</v>
      </c>
      <c r="BH95" s="74">
        <v>0</v>
      </c>
      <c r="BI95" s="27">
        <v>93</v>
      </c>
    </row>
    <row r="96" spans="1:61">
      <c r="A96" s="101" t="s">
        <v>952</v>
      </c>
      <c r="B96" s="71" t="s">
        <v>206</v>
      </c>
      <c r="C96" s="633" t="s">
        <v>976</v>
      </c>
      <c r="D96" s="88">
        <v>0</v>
      </c>
      <c r="E96" s="90">
        <v>0</v>
      </c>
      <c r="F96" s="28">
        <v>0</v>
      </c>
      <c r="G96" s="77">
        <v>0</v>
      </c>
      <c r="H96" s="584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89">
        <v>0</v>
      </c>
      <c r="O96" s="28">
        <v>0</v>
      </c>
      <c r="P96" s="28">
        <v>0</v>
      </c>
      <c r="Q96" s="28">
        <v>0</v>
      </c>
      <c r="R96" s="28">
        <v>0</v>
      </c>
      <c r="S96" s="75">
        <v>94</v>
      </c>
      <c r="V96" s="101" t="s">
        <v>1025</v>
      </c>
      <c r="W96" s="71" t="s">
        <v>206</v>
      </c>
      <c r="X96" s="116" t="s">
        <v>1049</v>
      </c>
      <c r="Y96" s="106">
        <v>0</v>
      </c>
      <c r="Z96" s="364">
        <v>0</v>
      </c>
      <c r="AA96" s="74">
        <v>0</v>
      </c>
      <c r="AB96" s="28">
        <v>0</v>
      </c>
      <c r="AC96" s="584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89">
        <v>0</v>
      </c>
      <c r="AJ96" s="28">
        <v>0</v>
      </c>
      <c r="AK96" s="28">
        <v>0</v>
      </c>
      <c r="AL96" s="28">
        <v>0</v>
      </c>
      <c r="AM96" s="74">
        <v>0</v>
      </c>
      <c r="AN96" s="27">
        <v>94</v>
      </c>
      <c r="AQ96" s="101" t="s">
        <v>1062</v>
      </c>
      <c r="AR96" s="71" t="s">
        <v>206</v>
      </c>
      <c r="AS96" s="28" t="s">
        <v>1087</v>
      </c>
      <c r="AT96" s="106">
        <v>9</v>
      </c>
      <c r="AU96" s="77">
        <v>0</v>
      </c>
      <c r="AV96" s="74">
        <v>0</v>
      </c>
      <c r="AW96" s="28">
        <v>1</v>
      </c>
      <c r="AX96" s="584">
        <v>2</v>
      </c>
      <c r="AY96" s="28">
        <v>6</v>
      </c>
      <c r="AZ96" s="28">
        <v>2</v>
      </c>
      <c r="BA96" s="28">
        <v>0</v>
      </c>
      <c r="BB96" s="28">
        <v>3</v>
      </c>
      <c r="BC96" s="28">
        <v>0</v>
      </c>
      <c r="BD96" s="89">
        <v>3</v>
      </c>
      <c r="BE96" s="28">
        <v>0</v>
      </c>
      <c r="BF96" s="28">
        <v>0</v>
      </c>
      <c r="BG96" s="28">
        <v>0</v>
      </c>
      <c r="BH96" s="74">
        <v>0</v>
      </c>
      <c r="BI96" s="27">
        <v>94</v>
      </c>
    </row>
    <row r="97" spans="1:61">
      <c r="A97" s="101" t="s">
        <v>952</v>
      </c>
      <c r="B97" s="71" t="s">
        <v>212</v>
      </c>
      <c r="C97" s="633" t="s">
        <v>977</v>
      </c>
      <c r="D97" s="88">
        <v>0</v>
      </c>
      <c r="E97" s="90">
        <v>0</v>
      </c>
      <c r="F97" s="28">
        <v>0</v>
      </c>
      <c r="G97" s="77">
        <v>0</v>
      </c>
      <c r="H97" s="584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89">
        <v>0</v>
      </c>
      <c r="O97" s="28">
        <v>0</v>
      </c>
      <c r="P97" s="28">
        <v>0</v>
      </c>
      <c r="Q97" s="28">
        <v>0</v>
      </c>
      <c r="R97" s="28">
        <v>0</v>
      </c>
      <c r="S97" s="75">
        <v>95</v>
      </c>
      <c r="V97" s="101" t="s">
        <v>1025</v>
      </c>
      <c r="W97" s="71" t="s">
        <v>212</v>
      </c>
      <c r="X97" s="116" t="s">
        <v>1050</v>
      </c>
      <c r="Y97" s="106">
        <v>6</v>
      </c>
      <c r="Z97" s="364">
        <v>0</v>
      </c>
      <c r="AA97" s="74">
        <v>1</v>
      </c>
      <c r="AB97" s="28">
        <v>1</v>
      </c>
      <c r="AC97" s="584">
        <v>3</v>
      </c>
      <c r="AD97" s="28">
        <v>3</v>
      </c>
      <c r="AE97" s="28">
        <v>2</v>
      </c>
      <c r="AF97" s="28">
        <v>1</v>
      </c>
      <c r="AG97" s="28">
        <v>2</v>
      </c>
      <c r="AH97" s="28">
        <v>0</v>
      </c>
      <c r="AI97" s="89">
        <v>1.3333333333333333</v>
      </c>
      <c r="AJ97" s="28">
        <v>0</v>
      </c>
      <c r="AK97" s="28">
        <v>0</v>
      </c>
      <c r="AL97" s="28">
        <v>0</v>
      </c>
      <c r="AM97" s="74">
        <v>0</v>
      </c>
      <c r="AN97" s="27">
        <v>95</v>
      </c>
      <c r="AQ97" s="101" t="s">
        <v>1062</v>
      </c>
      <c r="AR97" s="71" t="s">
        <v>212</v>
      </c>
      <c r="AS97" s="28" t="s">
        <v>1088</v>
      </c>
      <c r="AT97" s="106">
        <v>0</v>
      </c>
      <c r="AU97" s="77">
        <v>0</v>
      </c>
      <c r="AV97" s="74">
        <v>0</v>
      </c>
      <c r="AW97" s="28">
        <v>0</v>
      </c>
      <c r="AX97" s="584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89">
        <v>0</v>
      </c>
      <c r="BE97" s="28">
        <v>0</v>
      </c>
      <c r="BF97" s="28">
        <v>0</v>
      </c>
      <c r="BG97" s="28">
        <v>0</v>
      </c>
      <c r="BH97" s="74">
        <v>0</v>
      </c>
      <c r="BI97" s="27">
        <v>95</v>
      </c>
    </row>
    <row r="98" spans="1:61">
      <c r="A98" s="101" t="s">
        <v>952</v>
      </c>
      <c r="B98" s="71" t="s">
        <v>215</v>
      </c>
      <c r="C98" s="633" t="s">
        <v>979</v>
      </c>
      <c r="D98" s="88">
        <v>0</v>
      </c>
      <c r="E98" s="90">
        <v>0</v>
      </c>
      <c r="F98" s="28">
        <v>0</v>
      </c>
      <c r="G98" s="77">
        <v>0</v>
      </c>
      <c r="H98" s="584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89">
        <v>0</v>
      </c>
      <c r="O98" s="28">
        <v>0</v>
      </c>
      <c r="P98" s="28">
        <v>0</v>
      </c>
      <c r="Q98" s="28">
        <v>0</v>
      </c>
      <c r="R98" s="28">
        <v>0</v>
      </c>
      <c r="S98" s="75">
        <v>96</v>
      </c>
      <c r="V98" s="101" t="s">
        <v>1025</v>
      </c>
      <c r="W98" s="71" t="s">
        <v>215</v>
      </c>
      <c r="X98" s="116" t="s">
        <v>1053</v>
      </c>
      <c r="Y98" s="106">
        <v>0</v>
      </c>
      <c r="Z98" s="364">
        <v>0</v>
      </c>
      <c r="AA98" s="74">
        <v>0</v>
      </c>
      <c r="AB98" s="28">
        <v>0</v>
      </c>
      <c r="AC98" s="584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89">
        <v>0</v>
      </c>
      <c r="AJ98" s="28">
        <v>0</v>
      </c>
      <c r="AK98" s="28">
        <v>0</v>
      </c>
      <c r="AL98" s="28">
        <v>0</v>
      </c>
      <c r="AM98" s="74">
        <v>0</v>
      </c>
      <c r="AN98" s="27">
        <v>96</v>
      </c>
      <c r="AQ98" s="101" t="s">
        <v>1062</v>
      </c>
      <c r="AR98" s="71" t="s">
        <v>212</v>
      </c>
      <c r="AS98" s="28" t="s">
        <v>1086</v>
      </c>
      <c r="AT98" s="106">
        <v>0</v>
      </c>
      <c r="AU98" s="77">
        <v>0</v>
      </c>
      <c r="AV98" s="74">
        <v>0</v>
      </c>
      <c r="AW98" s="28">
        <v>0</v>
      </c>
      <c r="AX98" s="584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89">
        <v>0</v>
      </c>
      <c r="BE98" s="28">
        <v>0</v>
      </c>
      <c r="BF98" s="28">
        <v>0</v>
      </c>
      <c r="BG98" s="28">
        <v>0</v>
      </c>
      <c r="BH98" s="74">
        <v>0</v>
      </c>
      <c r="BI98" s="27">
        <v>96</v>
      </c>
    </row>
    <row r="99" spans="1:61">
      <c r="A99" s="101" t="s">
        <v>952</v>
      </c>
      <c r="B99" s="71" t="s">
        <v>212</v>
      </c>
      <c r="C99" s="633" t="s">
        <v>978</v>
      </c>
      <c r="D99" s="88">
        <v>0</v>
      </c>
      <c r="E99" s="90">
        <v>0</v>
      </c>
      <c r="F99" s="28">
        <v>0</v>
      </c>
      <c r="G99" s="77">
        <v>0</v>
      </c>
      <c r="H99" s="584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89">
        <v>0</v>
      </c>
      <c r="O99" s="28">
        <v>0</v>
      </c>
      <c r="P99" s="28">
        <v>0</v>
      </c>
      <c r="Q99" s="28">
        <v>0</v>
      </c>
      <c r="R99" s="28">
        <v>0</v>
      </c>
      <c r="S99" s="75">
        <v>97</v>
      </c>
      <c r="V99" s="101" t="s">
        <v>1025</v>
      </c>
      <c r="W99" s="71" t="s">
        <v>212</v>
      </c>
      <c r="X99" s="116" t="s">
        <v>1052</v>
      </c>
      <c r="Y99" s="106">
        <v>0</v>
      </c>
      <c r="Z99" s="364">
        <v>0</v>
      </c>
      <c r="AA99" s="74">
        <v>0</v>
      </c>
      <c r="AB99" s="28">
        <v>0</v>
      </c>
      <c r="AC99" s="584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89">
        <v>0</v>
      </c>
      <c r="AJ99" s="28">
        <v>0</v>
      </c>
      <c r="AK99" s="28">
        <v>0</v>
      </c>
      <c r="AL99" s="28">
        <v>0</v>
      </c>
      <c r="AM99" s="74">
        <v>0</v>
      </c>
      <c r="AN99" s="27">
        <v>97</v>
      </c>
      <c r="AQ99" s="101" t="s">
        <v>1062</v>
      </c>
      <c r="AR99" s="71" t="s">
        <v>215</v>
      </c>
      <c r="AS99" s="28" t="s">
        <v>1089</v>
      </c>
      <c r="AT99" s="106">
        <v>0</v>
      </c>
      <c r="AU99" s="77">
        <v>0</v>
      </c>
      <c r="AV99" s="74">
        <v>0</v>
      </c>
      <c r="AW99" s="28">
        <v>0</v>
      </c>
      <c r="AX99" s="584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89">
        <v>0</v>
      </c>
      <c r="BE99" s="28">
        <v>0</v>
      </c>
      <c r="BF99" s="28">
        <v>0</v>
      </c>
      <c r="BG99" s="28">
        <v>0</v>
      </c>
      <c r="BH99" s="74">
        <v>0</v>
      </c>
      <c r="BI99" s="27">
        <v>97</v>
      </c>
    </row>
    <row r="100" spans="1:61">
      <c r="A100" s="101" t="s">
        <v>952</v>
      </c>
      <c r="B100" s="71" t="s">
        <v>212</v>
      </c>
      <c r="C100" s="633" t="s">
        <v>980</v>
      </c>
      <c r="D100" s="88">
        <v>0</v>
      </c>
      <c r="E100" s="90">
        <v>0</v>
      </c>
      <c r="F100" s="28">
        <v>0</v>
      </c>
      <c r="G100" s="77">
        <v>0</v>
      </c>
      <c r="H100" s="584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89">
        <v>0</v>
      </c>
      <c r="O100" s="28">
        <v>0</v>
      </c>
      <c r="P100" s="28">
        <v>0</v>
      </c>
      <c r="Q100" s="28">
        <v>0</v>
      </c>
      <c r="R100" s="28">
        <v>0</v>
      </c>
      <c r="S100" s="75">
        <v>98</v>
      </c>
      <c r="V100" s="101" t="s">
        <v>1025</v>
      </c>
      <c r="W100" s="71" t="s">
        <v>212</v>
      </c>
      <c r="X100" s="71" t="s">
        <v>1057</v>
      </c>
      <c r="Y100" s="106">
        <v>0</v>
      </c>
      <c r="Z100" s="364">
        <v>0</v>
      </c>
      <c r="AA100" s="74">
        <v>0</v>
      </c>
      <c r="AB100" s="28">
        <v>5</v>
      </c>
      <c r="AC100" s="584">
        <v>5.33</v>
      </c>
      <c r="AD100" s="28">
        <v>3</v>
      </c>
      <c r="AE100" s="28">
        <v>0</v>
      </c>
      <c r="AF100" s="28">
        <v>1</v>
      </c>
      <c r="AG100" s="28">
        <v>8</v>
      </c>
      <c r="AH100" s="28">
        <v>0</v>
      </c>
      <c r="AI100" s="89">
        <v>0.75046904315196994</v>
      </c>
      <c r="AJ100" s="28">
        <v>0</v>
      </c>
      <c r="AK100" s="28">
        <v>0</v>
      </c>
      <c r="AL100" s="28">
        <v>0</v>
      </c>
      <c r="AM100" s="74">
        <v>0</v>
      </c>
      <c r="AN100" s="27">
        <v>98</v>
      </c>
      <c r="AQ100" s="101" t="s">
        <v>1062</v>
      </c>
      <c r="AR100" s="71" t="s">
        <v>212</v>
      </c>
      <c r="AS100" s="28" t="s">
        <v>1090</v>
      </c>
      <c r="AT100" s="106">
        <v>18</v>
      </c>
      <c r="AU100" s="77">
        <v>0</v>
      </c>
      <c r="AV100" s="74">
        <v>2</v>
      </c>
      <c r="AW100" s="28">
        <v>4</v>
      </c>
      <c r="AX100" s="584">
        <v>5</v>
      </c>
      <c r="AY100" s="28">
        <v>11</v>
      </c>
      <c r="AZ100" s="28">
        <v>10</v>
      </c>
      <c r="BA100" s="28">
        <v>4</v>
      </c>
      <c r="BB100" s="28">
        <v>7</v>
      </c>
      <c r="BC100" s="28">
        <v>0</v>
      </c>
      <c r="BD100" s="89">
        <v>3</v>
      </c>
      <c r="BE100" s="28">
        <v>0</v>
      </c>
      <c r="BF100" s="28">
        <v>0</v>
      </c>
      <c r="BG100" s="28">
        <v>0</v>
      </c>
      <c r="BH100" s="74">
        <v>0</v>
      </c>
      <c r="BI100" s="27">
        <v>98</v>
      </c>
    </row>
    <row r="101" spans="1:61">
      <c r="A101" s="101" t="s">
        <v>952</v>
      </c>
      <c r="B101" s="71" t="s">
        <v>212</v>
      </c>
      <c r="C101" s="633" t="s">
        <v>983</v>
      </c>
      <c r="D101" s="88">
        <v>9.8092643051771127</v>
      </c>
      <c r="E101" s="90">
        <v>0</v>
      </c>
      <c r="F101" s="28">
        <v>1</v>
      </c>
      <c r="G101" s="77">
        <v>3</v>
      </c>
      <c r="H101" s="584">
        <v>3.67</v>
      </c>
      <c r="I101" s="28">
        <v>5</v>
      </c>
      <c r="J101" s="28">
        <v>4</v>
      </c>
      <c r="K101" s="28">
        <v>1</v>
      </c>
      <c r="L101" s="28">
        <v>5</v>
      </c>
      <c r="M101" s="28">
        <v>0</v>
      </c>
      <c r="N101" s="89">
        <v>1.6348773841961852</v>
      </c>
      <c r="O101" s="28">
        <v>0</v>
      </c>
      <c r="P101" s="28">
        <v>0</v>
      </c>
      <c r="Q101" s="28">
        <v>0</v>
      </c>
      <c r="R101" s="28">
        <v>0</v>
      </c>
      <c r="S101" s="75">
        <v>99</v>
      </c>
      <c r="V101" s="101" t="s">
        <v>1025</v>
      </c>
      <c r="W101" s="71" t="s">
        <v>212</v>
      </c>
      <c r="X101" s="116" t="s">
        <v>1056</v>
      </c>
      <c r="Y101" s="106">
        <v>0</v>
      </c>
      <c r="Z101" s="364">
        <v>0</v>
      </c>
      <c r="AA101" s="74">
        <v>0</v>
      </c>
      <c r="AB101" s="28">
        <v>4</v>
      </c>
      <c r="AC101" s="584">
        <v>5</v>
      </c>
      <c r="AD101" s="28">
        <v>2</v>
      </c>
      <c r="AE101" s="28">
        <v>0</v>
      </c>
      <c r="AF101" s="28">
        <v>2</v>
      </c>
      <c r="AG101" s="28">
        <v>9</v>
      </c>
      <c r="AH101" s="28">
        <v>0</v>
      </c>
      <c r="AI101" s="89">
        <v>0.8</v>
      </c>
      <c r="AJ101" s="28">
        <v>0</v>
      </c>
      <c r="AK101" s="28">
        <v>0</v>
      </c>
      <c r="AL101" s="28">
        <v>0</v>
      </c>
      <c r="AM101" s="74">
        <v>0</v>
      </c>
      <c r="AN101" s="27">
        <v>99</v>
      </c>
      <c r="AQ101" s="101" t="s">
        <v>1062</v>
      </c>
      <c r="AR101" s="71" t="s">
        <v>212</v>
      </c>
      <c r="AS101" s="28" t="s">
        <v>1091</v>
      </c>
      <c r="AT101" s="106">
        <v>0.96463022508038587</v>
      </c>
      <c r="AU101" s="77">
        <v>0</v>
      </c>
      <c r="AV101" s="74">
        <v>1</v>
      </c>
      <c r="AW101" s="28">
        <v>5</v>
      </c>
      <c r="AX101" s="584">
        <v>9.33</v>
      </c>
      <c r="AY101" s="28">
        <v>5</v>
      </c>
      <c r="AZ101" s="28">
        <v>1</v>
      </c>
      <c r="BA101" s="28">
        <v>2</v>
      </c>
      <c r="BB101" s="28">
        <v>17</v>
      </c>
      <c r="BC101" s="28">
        <v>0</v>
      </c>
      <c r="BD101" s="89">
        <v>0.75026795284030012</v>
      </c>
      <c r="BE101" s="28">
        <v>0</v>
      </c>
      <c r="BF101" s="28">
        <v>0</v>
      </c>
      <c r="BG101" s="28">
        <v>0</v>
      </c>
      <c r="BH101" s="74">
        <v>0</v>
      </c>
      <c r="BI101" s="27">
        <v>99</v>
      </c>
    </row>
    <row r="102" spans="1:61">
      <c r="A102" s="101" t="s">
        <v>952</v>
      </c>
      <c r="B102" s="71" t="s">
        <v>212</v>
      </c>
      <c r="C102" s="633" t="s">
        <v>986</v>
      </c>
      <c r="D102" s="88">
        <v>0</v>
      </c>
      <c r="E102" s="90">
        <v>1</v>
      </c>
      <c r="F102" s="28">
        <v>0</v>
      </c>
      <c r="G102" s="77">
        <v>3</v>
      </c>
      <c r="H102" s="584">
        <v>3</v>
      </c>
      <c r="I102" s="28">
        <v>1</v>
      </c>
      <c r="J102" s="28">
        <v>0</v>
      </c>
      <c r="K102" s="28">
        <v>1</v>
      </c>
      <c r="L102" s="28">
        <v>5</v>
      </c>
      <c r="M102" s="28">
        <v>0</v>
      </c>
      <c r="N102" s="89">
        <v>0.66666666666666663</v>
      </c>
      <c r="O102" s="28">
        <v>0</v>
      </c>
      <c r="P102" s="28">
        <v>0</v>
      </c>
      <c r="Q102" s="28">
        <v>0</v>
      </c>
      <c r="R102" s="28">
        <v>0</v>
      </c>
      <c r="S102" s="75">
        <v>100</v>
      </c>
      <c r="V102" s="101" t="s">
        <v>1025</v>
      </c>
      <c r="W102" s="71" t="s">
        <v>212</v>
      </c>
      <c r="X102" s="71" t="s">
        <v>1058</v>
      </c>
      <c r="Y102" s="106">
        <v>8.6434573829531818</v>
      </c>
      <c r="Z102" s="364">
        <v>0</v>
      </c>
      <c r="AA102" s="74">
        <v>0</v>
      </c>
      <c r="AB102" s="28">
        <v>7</v>
      </c>
      <c r="AC102" s="584">
        <v>8.33</v>
      </c>
      <c r="AD102" s="28">
        <v>12</v>
      </c>
      <c r="AE102" s="28">
        <v>8</v>
      </c>
      <c r="AF102" s="28">
        <v>4</v>
      </c>
      <c r="AG102" s="28">
        <v>6</v>
      </c>
      <c r="AH102" s="28">
        <v>2</v>
      </c>
      <c r="AI102" s="89">
        <v>1.9207683073229291</v>
      </c>
      <c r="AJ102" s="28">
        <v>0</v>
      </c>
      <c r="AK102" s="28">
        <v>0</v>
      </c>
      <c r="AL102" s="28">
        <v>0</v>
      </c>
      <c r="AM102" s="74">
        <v>0</v>
      </c>
      <c r="AN102" s="27">
        <v>100</v>
      </c>
      <c r="AQ102" s="101" t="s">
        <v>1062</v>
      </c>
      <c r="AR102" s="71" t="s">
        <v>212</v>
      </c>
      <c r="AS102" s="28" t="s">
        <v>1092</v>
      </c>
      <c r="AT102" s="583">
        <v>0</v>
      </c>
      <c r="AU102" s="77">
        <v>1</v>
      </c>
      <c r="AV102" s="74">
        <v>0</v>
      </c>
      <c r="AW102" s="28">
        <v>5</v>
      </c>
      <c r="AX102" s="584">
        <v>7</v>
      </c>
      <c r="AY102" s="28">
        <v>3</v>
      </c>
      <c r="AZ102" s="28">
        <v>0</v>
      </c>
      <c r="BA102" s="28">
        <v>3</v>
      </c>
      <c r="BB102" s="28">
        <v>13</v>
      </c>
      <c r="BC102" s="28">
        <v>0</v>
      </c>
      <c r="BD102" s="89">
        <v>0.8571428571428571</v>
      </c>
      <c r="BE102" s="28">
        <v>0</v>
      </c>
      <c r="BF102" s="28">
        <v>0</v>
      </c>
      <c r="BG102" s="28">
        <v>0</v>
      </c>
      <c r="BH102" s="74">
        <v>0</v>
      </c>
      <c r="BI102" s="27">
        <v>100</v>
      </c>
    </row>
    <row r="103" spans="1:61">
      <c r="A103" s="365" t="s">
        <v>1171</v>
      </c>
      <c r="B103" s="71" t="s">
        <v>206</v>
      </c>
      <c r="C103" s="28" t="s">
        <v>1184</v>
      </c>
      <c r="D103" s="88">
        <v>2.1</v>
      </c>
      <c r="E103" s="90">
        <v>2</v>
      </c>
      <c r="F103" s="28">
        <v>1</v>
      </c>
      <c r="G103" s="77">
        <v>6</v>
      </c>
      <c r="H103" s="584">
        <v>30</v>
      </c>
      <c r="I103" s="28">
        <v>36</v>
      </c>
      <c r="J103" s="28">
        <v>7</v>
      </c>
      <c r="K103" s="28">
        <v>9</v>
      </c>
      <c r="L103" s="28">
        <v>41</v>
      </c>
      <c r="M103" s="28">
        <v>0</v>
      </c>
      <c r="N103" s="89">
        <v>1.5</v>
      </c>
      <c r="O103" s="28">
        <v>5</v>
      </c>
      <c r="P103" s="76">
        <v>4</v>
      </c>
      <c r="Q103" s="28">
        <v>0</v>
      </c>
      <c r="R103" s="28">
        <v>0</v>
      </c>
      <c r="S103" s="75">
        <v>101</v>
      </c>
      <c r="V103" s="988" t="s">
        <v>1139</v>
      </c>
      <c r="W103" s="115" t="s">
        <v>206</v>
      </c>
      <c r="X103" s="116" t="s">
        <v>559</v>
      </c>
      <c r="Y103" s="106">
        <v>4.0217044366421959</v>
      </c>
      <c r="Z103" s="364">
        <v>1</v>
      </c>
      <c r="AA103" s="104">
        <v>3</v>
      </c>
      <c r="AB103" s="28">
        <v>5</v>
      </c>
      <c r="AC103" s="584">
        <v>31.33</v>
      </c>
      <c r="AD103" s="28">
        <v>27</v>
      </c>
      <c r="AE103" s="28">
        <v>14</v>
      </c>
      <c r="AF103" s="28">
        <v>12</v>
      </c>
      <c r="AG103" s="76">
        <v>40</v>
      </c>
      <c r="AH103" s="28">
        <v>0</v>
      </c>
      <c r="AI103" s="89">
        <v>1.2448132780082988</v>
      </c>
      <c r="AJ103" s="28">
        <v>3</v>
      </c>
      <c r="AK103" s="28">
        <v>2</v>
      </c>
      <c r="AL103" s="28">
        <v>0</v>
      </c>
      <c r="AM103" s="74">
        <v>0</v>
      </c>
      <c r="AN103" s="27">
        <v>101</v>
      </c>
      <c r="AQ103" s="101" t="s">
        <v>1139</v>
      </c>
      <c r="AR103" s="71" t="s">
        <v>206</v>
      </c>
      <c r="AS103" s="28" t="s">
        <v>1158</v>
      </c>
      <c r="AT103" s="106">
        <v>5.2689352360043911</v>
      </c>
      <c r="AU103" s="77">
        <v>1</v>
      </c>
      <c r="AV103" s="74">
        <v>2</v>
      </c>
      <c r="AW103" s="28">
        <v>4</v>
      </c>
      <c r="AX103" s="584">
        <v>27.33</v>
      </c>
      <c r="AY103" s="28">
        <v>27</v>
      </c>
      <c r="AZ103" s="28">
        <v>16</v>
      </c>
      <c r="BA103" s="28">
        <v>8</v>
      </c>
      <c r="BB103" s="28">
        <v>28</v>
      </c>
      <c r="BC103" s="28">
        <v>0</v>
      </c>
      <c r="BD103" s="89">
        <v>1.2806439809732895</v>
      </c>
      <c r="BE103" s="28">
        <v>1</v>
      </c>
      <c r="BF103" s="28">
        <v>0</v>
      </c>
      <c r="BG103" s="28">
        <v>0</v>
      </c>
      <c r="BH103" s="74">
        <v>0</v>
      </c>
      <c r="BI103" s="27">
        <v>101</v>
      </c>
    </row>
    <row r="104" spans="1:61">
      <c r="A104" s="365" t="s">
        <v>1171</v>
      </c>
      <c r="B104" s="345" t="s">
        <v>206</v>
      </c>
      <c r="C104" s="76" t="s">
        <v>1185</v>
      </c>
      <c r="D104" s="88">
        <v>1.6578947368421053</v>
      </c>
      <c r="E104" s="705">
        <v>5</v>
      </c>
      <c r="F104" s="28">
        <v>0</v>
      </c>
      <c r="G104" s="77">
        <v>6</v>
      </c>
      <c r="H104" s="584">
        <v>38</v>
      </c>
      <c r="I104" s="28">
        <v>25</v>
      </c>
      <c r="J104" s="28">
        <v>7</v>
      </c>
      <c r="K104" s="28">
        <v>12</v>
      </c>
      <c r="L104" s="28">
        <v>35</v>
      </c>
      <c r="M104" s="28">
        <v>0</v>
      </c>
      <c r="N104" s="89">
        <v>0.97368421052631582</v>
      </c>
      <c r="O104" s="28">
        <v>5</v>
      </c>
      <c r="P104" s="76">
        <v>4</v>
      </c>
      <c r="Q104" s="28">
        <v>0</v>
      </c>
      <c r="R104" s="28">
        <v>0</v>
      </c>
      <c r="S104" s="75">
        <v>102</v>
      </c>
      <c r="V104" s="988" t="s">
        <v>1139</v>
      </c>
      <c r="W104" s="115" t="s">
        <v>206</v>
      </c>
      <c r="X104" s="115" t="s">
        <v>1158</v>
      </c>
      <c r="Y104" s="106">
        <v>1.5428571428571429</v>
      </c>
      <c r="Z104" s="364">
        <v>3</v>
      </c>
      <c r="AA104" s="74">
        <v>0</v>
      </c>
      <c r="AB104" s="28">
        <v>5</v>
      </c>
      <c r="AC104" s="584">
        <v>35</v>
      </c>
      <c r="AD104" s="76">
        <v>32</v>
      </c>
      <c r="AE104" s="28">
        <v>6</v>
      </c>
      <c r="AF104" s="28">
        <v>7</v>
      </c>
      <c r="AG104" s="28">
        <v>30</v>
      </c>
      <c r="AH104" s="28">
        <v>0</v>
      </c>
      <c r="AI104" s="89">
        <v>1.1142857142857143</v>
      </c>
      <c r="AJ104" s="28">
        <v>4</v>
      </c>
      <c r="AK104" s="76">
        <v>4</v>
      </c>
      <c r="AL104" s="28">
        <v>0</v>
      </c>
      <c r="AM104" s="74">
        <v>0</v>
      </c>
      <c r="AN104" s="27">
        <v>102</v>
      </c>
      <c r="AQ104" s="101" t="s">
        <v>1139</v>
      </c>
      <c r="AR104" s="71" t="s">
        <v>206</v>
      </c>
      <c r="AS104" s="28" t="s">
        <v>286</v>
      </c>
      <c r="AT104" s="106">
        <v>3.3755274261603376</v>
      </c>
      <c r="AU104" s="77">
        <v>2</v>
      </c>
      <c r="AV104" s="74">
        <v>1</v>
      </c>
      <c r="AW104" s="28">
        <v>3</v>
      </c>
      <c r="AX104" s="584">
        <v>21.33</v>
      </c>
      <c r="AY104" s="28">
        <v>24</v>
      </c>
      <c r="AZ104" s="28">
        <v>8</v>
      </c>
      <c r="BA104" s="28">
        <v>3</v>
      </c>
      <c r="BB104" s="28">
        <v>25</v>
      </c>
      <c r="BC104" s="28">
        <v>0</v>
      </c>
      <c r="BD104" s="89">
        <v>1.2658227848101267</v>
      </c>
      <c r="BE104" s="28">
        <v>2</v>
      </c>
      <c r="BF104" s="28">
        <v>2</v>
      </c>
      <c r="BG104" s="28">
        <v>0</v>
      </c>
      <c r="BH104" s="74">
        <v>0</v>
      </c>
      <c r="BI104" s="27">
        <v>102</v>
      </c>
    </row>
    <row r="105" spans="1:61">
      <c r="A105" s="365" t="s">
        <v>1171</v>
      </c>
      <c r="B105" s="71" t="s">
        <v>365</v>
      </c>
      <c r="C105" s="28" t="s">
        <v>1186</v>
      </c>
      <c r="D105" s="88">
        <v>3.7241379310344827</v>
      </c>
      <c r="E105" s="90">
        <v>1</v>
      </c>
      <c r="F105" s="28">
        <v>1</v>
      </c>
      <c r="G105" s="77">
        <v>5</v>
      </c>
      <c r="H105" s="584">
        <v>29</v>
      </c>
      <c r="I105" s="28">
        <v>32</v>
      </c>
      <c r="J105" s="28">
        <v>12</v>
      </c>
      <c r="K105" s="28">
        <v>6</v>
      </c>
      <c r="L105" s="28">
        <v>36</v>
      </c>
      <c r="M105" s="28">
        <v>0</v>
      </c>
      <c r="N105" s="89">
        <v>1.3103448275862069</v>
      </c>
      <c r="O105" s="28">
        <v>4</v>
      </c>
      <c r="P105" s="28">
        <v>2</v>
      </c>
      <c r="Q105" s="28">
        <v>0</v>
      </c>
      <c r="R105" s="28">
        <v>0</v>
      </c>
      <c r="S105" s="75">
        <v>103</v>
      </c>
      <c r="V105" s="988" t="s">
        <v>1139</v>
      </c>
      <c r="W105" s="357" t="s">
        <v>206</v>
      </c>
      <c r="X105" s="116" t="s">
        <v>1159</v>
      </c>
      <c r="Y105" s="106">
        <v>1.3964313421256787</v>
      </c>
      <c r="Z105" s="364">
        <v>3</v>
      </c>
      <c r="AA105" s="74">
        <v>1</v>
      </c>
      <c r="AB105" s="28">
        <v>5</v>
      </c>
      <c r="AC105" s="582">
        <v>38.67</v>
      </c>
      <c r="AD105" s="28">
        <v>23</v>
      </c>
      <c r="AE105" s="28">
        <v>6</v>
      </c>
      <c r="AF105" s="28">
        <v>8</v>
      </c>
      <c r="AG105" s="28">
        <v>25</v>
      </c>
      <c r="AH105" s="28">
        <v>0</v>
      </c>
      <c r="AI105" s="89">
        <v>0.80165502973881564</v>
      </c>
      <c r="AJ105" s="76">
        <v>5</v>
      </c>
      <c r="AK105" s="76">
        <v>4</v>
      </c>
      <c r="AL105" s="76">
        <v>1</v>
      </c>
      <c r="AM105" s="104">
        <v>1</v>
      </c>
      <c r="AN105" s="27">
        <v>103</v>
      </c>
      <c r="AQ105" s="101" t="s">
        <v>1139</v>
      </c>
      <c r="AR105" s="71" t="s">
        <v>206</v>
      </c>
      <c r="AS105" s="28" t="s">
        <v>1159</v>
      </c>
      <c r="AT105" s="106">
        <v>1.6363636363636365</v>
      </c>
      <c r="AU105" s="77">
        <v>1</v>
      </c>
      <c r="AV105" s="74">
        <v>1</v>
      </c>
      <c r="AW105" s="28">
        <v>3</v>
      </c>
      <c r="AX105" s="584">
        <v>22</v>
      </c>
      <c r="AY105" s="28">
        <v>19</v>
      </c>
      <c r="AZ105" s="28">
        <v>4</v>
      </c>
      <c r="BA105" s="28">
        <v>6</v>
      </c>
      <c r="BB105" s="28">
        <v>23</v>
      </c>
      <c r="BC105" s="28">
        <v>0</v>
      </c>
      <c r="BD105" s="89">
        <v>1.1363636363636365</v>
      </c>
      <c r="BE105" s="28">
        <v>2</v>
      </c>
      <c r="BF105" s="28">
        <v>2</v>
      </c>
      <c r="BG105" s="76">
        <v>1</v>
      </c>
      <c r="BH105" s="104">
        <v>1</v>
      </c>
      <c r="BI105" s="27">
        <v>103</v>
      </c>
    </row>
    <row r="106" spans="1:61">
      <c r="A106" s="365" t="s">
        <v>1171</v>
      </c>
      <c r="B106" s="71" t="s">
        <v>206</v>
      </c>
      <c r="C106" s="28" t="s">
        <v>1188</v>
      </c>
      <c r="D106" s="88">
        <v>1.8</v>
      </c>
      <c r="E106" s="90">
        <v>1</v>
      </c>
      <c r="F106" s="28">
        <v>1</v>
      </c>
      <c r="G106" s="77">
        <v>4</v>
      </c>
      <c r="H106" s="584">
        <v>10</v>
      </c>
      <c r="I106" s="28">
        <v>7</v>
      </c>
      <c r="J106" s="28">
        <v>2</v>
      </c>
      <c r="K106" s="28">
        <v>2</v>
      </c>
      <c r="L106" s="28">
        <v>3</v>
      </c>
      <c r="M106" s="28">
        <v>0</v>
      </c>
      <c r="N106" s="89">
        <v>0.9</v>
      </c>
      <c r="O106" s="28">
        <v>0</v>
      </c>
      <c r="P106" s="28">
        <v>0</v>
      </c>
      <c r="Q106" s="28">
        <v>0</v>
      </c>
      <c r="R106" s="28">
        <v>0</v>
      </c>
      <c r="S106" s="75">
        <v>104</v>
      </c>
      <c r="V106" s="988" t="s">
        <v>1139</v>
      </c>
      <c r="W106" s="115" t="s">
        <v>206</v>
      </c>
      <c r="X106" s="116" t="s">
        <v>1047</v>
      </c>
      <c r="Y106" s="106">
        <v>5.4</v>
      </c>
      <c r="Z106" s="364">
        <v>0</v>
      </c>
      <c r="AA106" s="74">
        <v>0</v>
      </c>
      <c r="AB106" s="28">
        <v>3</v>
      </c>
      <c r="AC106" s="584">
        <v>5</v>
      </c>
      <c r="AD106" s="28">
        <v>6</v>
      </c>
      <c r="AE106" s="28">
        <v>3</v>
      </c>
      <c r="AF106" s="28">
        <v>3</v>
      </c>
      <c r="AG106" s="28">
        <v>6</v>
      </c>
      <c r="AH106" s="28">
        <v>0</v>
      </c>
      <c r="AI106" s="89">
        <v>1.8</v>
      </c>
      <c r="AJ106" s="28">
        <v>0</v>
      </c>
      <c r="AK106" s="28">
        <v>0</v>
      </c>
      <c r="AL106" s="28">
        <v>0</v>
      </c>
      <c r="AM106" s="74">
        <v>0</v>
      </c>
      <c r="AN106" s="27">
        <v>104</v>
      </c>
      <c r="AQ106" s="101" t="s">
        <v>1139</v>
      </c>
      <c r="AR106" s="71" t="s">
        <v>206</v>
      </c>
      <c r="AS106" s="28" t="s">
        <v>1047</v>
      </c>
      <c r="AT106" s="106">
        <v>13.483146067415731</v>
      </c>
      <c r="AU106" s="77">
        <v>0</v>
      </c>
      <c r="AV106" s="74">
        <v>1</v>
      </c>
      <c r="AW106" s="28">
        <v>3</v>
      </c>
      <c r="AX106" s="584">
        <v>2.67</v>
      </c>
      <c r="AY106" s="28">
        <v>4</v>
      </c>
      <c r="AZ106" s="28">
        <v>4</v>
      </c>
      <c r="BA106" s="28">
        <v>3</v>
      </c>
      <c r="BB106" s="28">
        <v>3</v>
      </c>
      <c r="BC106" s="28">
        <v>0</v>
      </c>
      <c r="BD106" s="89">
        <v>2.6217228464419478</v>
      </c>
      <c r="BE106" s="28">
        <v>0</v>
      </c>
      <c r="BF106" s="28">
        <v>0</v>
      </c>
      <c r="BG106" s="28">
        <v>0</v>
      </c>
      <c r="BH106" s="74">
        <v>0</v>
      </c>
      <c r="BI106" s="27">
        <v>104</v>
      </c>
    </row>
    <row r="107" spans="1:61">
      <c r="A107" s="365" t="s">
        <v>1171</v>
      </c>
      <c r="B107" s="71" t="s">
        <v>215</v>
      </c>
      <c r="C107" s="28" t="s">
        <v>1191</v>
      </c>
      <c r="D107" s="88">
        <v>0</v>
      </c>
      <c r="E107" s="90">
        <v>0</v>
      </c>
      <c r="F107" s="28">
        <v>0</v>
      </c>
      <c r="G107" s="77">
        <v>0</v>
      </c>
      <c r="H107" s="584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89">
        <v>0</v>
      </c>
      <c r="O107" s="28">
        <v>0</v>
      </c>
      <c r="P107" s="28">
        <v>0</v>
      </c>
      <c r="Q107" s="28">
        <v>0</v>
      </c>
      <c r="R107" s="28">
        <v>0</v>
      </c>
      <c r="S107" s="75">
        <v>105</v>
      </c>
      <c r="V107" s="988" t="s">
        <v>1139</v>
      </c>
      <c r="W107" s="115" t="s">
        <v>212</v>
      </c>
      <c r="X107" s="116" t="s">
        <v>1160</v>
      </c>
      <c r="Y107" s="106">
        <v>0</v>
      </c>
      <c r="Z107" s="364">
        <v>0</v>
      </c>
      <c r="AA107" s="74">
        <v>0</v>
      </c>
      <c r="AB107" s="28">
        <v>3</v>
      </c>
      <c r="AC107" s="584">
        <v>4.67</v>
      </c>
      <c r="AD107" s="28">
        <v>1</v>
      </c>
      <c r="AE107" s="28">
        <v>0</v>
      </c>
      <c r="AF107" s="28">
        <v>1</v>
      </c>
      <c r="AG107" s="28">
        <v>3</v>
      </c>
      <c r="AH107" s="28">
        <v>0</v>
      </c>
      <c r="AI107" s="89">
        <v>0.42826552462526768</v>
      </c>
      <c r="AJ107" s="28">
        <v>0</v>
      </c>
      <c r="AK107" s="28">
        <v>0</v>
      </c>
      <c r="AL107" s="28">
        <v>0</v>
      </c>
      <c r="AM107" s="74">
        <v>0</v>
      </c>
      <c r="AN107" s="27">
        <v>105</v>
      </c>
      <c r="AQ107" s="101" t="s">
        <v>1139</v>
      </c>
      <c r="AR107" s="71" t="s">
        <v>212</v>
      </c>
      <c r="AS107" s="28" t="s">
        <v>1160</v>
      </c>
      <c r="AT107" s="106">
        <v>0</v>
      </c>
      <c r="AU107" s="77">
        <v>0</v>
      </c>
      <c r="AV107" s="74">
        <v>0</v>
      </c>
      <c r="AW107" s="28">
        <v>0</v>
      </c>
      <c r="AX107" s="584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89">
        <v>0</v>
      </c>
      <c r="BE107" s="28">
        <v>0</v>
      </c>
      <c r="BF107" s="28">
        <v>0</v>
      </c>
      <c r="BG107" s="28">
        <v>0</v>
      </c>
      <c r="BH107" s="74">
        <v>0</v>
      </c>
      <c r="BI107" s="27">
        <v>105</v>
      </c>
    </row>
    <row r="108" spans="1:61">
      <c r="A108" s="365" t="s">
        <v>1171</v>
      </c>
      <c r="B108" s="71" t="s">
        <v>215</v>
      </c>
      <c r="C108" s="28" t="s">
        <v>1189</v>
      </c>
      <c r="D108" s="88">
        <v>0</v>
      </c>
      <c r="E108" s="90">
        <v>0</v>
      </c>
      <c r="F108" s="28">
        <v>0</v>
      </c>
      <c r="G108" s="77">
        <v>0</v>
      </c>
      <c r="H108" s="584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89">
        <v>0</v>
      </c>
      <c r="O108" s="28">
        <v>0</v>
      </c>
      <c r="P108" s="28">
        <v>0</v>
      </c>
      <c r="Q108" s="28">
        <v>0</v>
      </c>
      <c r="R108" s="28">
        <v>0</v>
      </c>
      <c r="S108" s="75">
        <v>106</v>
      </c>
      <c r="V108" s="988" t="s">
        <v>1139</v>
      </c>
      <c r="W108" s="115" t="s">
        <v>215</v>
      </c>
      <c r="X108" s="116" t="s">
        <v>1161</v>
      </c>
      <c r="Y108" s="106">
        <v>0</v>
      </c>
      <c r="Z108" s="364">
        <v>0</v>
      </c>
      <c r="AA108" s="74">
        <v>0</v>
      </c>
      <c r="AB108" s="28">
        <v>0</v>
      </c>
      <c r="AC108" s="584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89">
        <v>0</v>
      </c>
      <c r="AJ108" s="28">
        <v>0</v>
      </c>
      <c r="AK108" s="28">
        <v>0</v>
      </c>
      <c r="AL108" s="28">
        <v>0</v>
      </c>
      <c r="AM108" s="74">
        <v>0</v>
      </c>
      <c r="AN108" s="27">
        <v>106</v>
      </c>
      <c r="AQ108" s="101" t="s">
        <v>1139</v>
      </c>
      <c r="AR108" s="71" t="s">
        <v>212</v>
      </c>
      <c r="AS108" s="28" t="s">
        <v>1166</v>
      </c>
      <c r="AT108" s="106">
        <v>0</v>
      </c>
      <c r="AU108" s="77">
        <v>0</v>
      </c>
      <c r="AV108" s="74">
        <v>0</v>
      </c>
      <c r="AW108" s="28">
        <v>0</v>
      </c>
      <c r="AX108" s="584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0</v>
      </c>
      <c r="BD108" s="89">
        <v>0</v>
      </c>
      <c r="BE108" s="28">
        <v>0</v>
      </c>
      <c r="BF108" s="28">
        <v>0</v>
      </c>
      <c r="BG108" s="28">
        <v>0</v>
      </c>
      <c r="BH108" s="74">
        <v>0</v>
      </c>
      <c r="BI108" s="27">
        <v>106</v>
      </c>
    </row>
    <row r="109" spans="1:61">
      <c r="A109" s="365" t="s">
        <v>1171</v>
      </c>
      <c r="B109" s="71" t="s">
        <v>212</v>
      </c>
      <c r="C109" s="633" t="s">
        <v>1195</v>
      </c>
      <c r="D109" s="88">
        <v>0</v>
      </c>
      <c r="E109" s="90">
        <v>0</v>
      </c>
      <c r="F109" s="28">
        <v>0</v>
      </c>
      <c r="G109" s="77">
        <v>1</v>
      </c>
      <c r="H109" s="584">
        <v>2</v>
      </c>
      <c r="I109" s="28">
        <v>2</v>
      </c>
      <c r="J109" s="28">
        <v>0</v>
      </c>
      <c r="K109" s="28">
        <v>0</v>
      </c>
      <c r="L109" s="28">
        <v>4</v>
      </c>
      <c r="M109" s="28">
        <v>0</v>
      </c>
      <c r="N109" s="89">
        <v>1</v>
      </c>
      <c r="O109" s="28">
        <v>0</v>
      </c>
      <c r="P109" s="28">
        <v>0</v>
      </c>
      <c r="Q109" s="28">
        <v>0</v>
      </c>
      <c r="R109" s="28">
        <v>0</v>
      </c>
      <c r="S109" s="75">
        <v>107</v>
      </c>
      <c r="V109" s="988" t="s">
        <v>1139</v>
      </c>
      <c r="W109" s="115" t="s">
        <v>212</v>
      </c>
      <c r="X109" s="116" t="s">
        <v>459</v>
      </c>
      <c r="Y109" s="106">
        <v>9</v>
      </c>
      <c r="Z109" s="364">
        <v>1</v>
      </c>
      <c r="AA109" s="74">
        <v>1</v>
      </c>
      <c r="AB109" s="28">
        <v>2</v>
      </c>
      <c r="AC109" s="584">
        <v>3</v>
      </c>
      <c r="AD109" s="28">
        <v>1</v>
      </c>
      <c r="AE109" s="28">
        <v>3</v>
      </c>
      <c r="AF109" s="28">
        <v>2</v>
      </c>
      <c r="AG109" s="28">
        <v>3</v>
      </c>
      <c r="AH109" s="28">
        <v>0</v>
      </c>
      <c r="AI109" s="89">
        <v>1</v>
      </c>
      <c r="AJ109" s="28">
        <v>0</v>
      </c>
      <c r="AK109" s="28">
        <v>0</v>
      </c>
      <c r="AL109" s="28">
        <v>0</v>
      </c>
      <c r="AM109" s="74">
        <v>0</v>
      </c>
      <c r="AN109" s="27">
        <v>107</v>
      </c>
      <c r="AQ109" s="101" t="s">
        <v>1139</v>
      </c>
      <c r="AR109" s="71" t="s">
        <v>212</v>
      </c>
      <c r="AS109" s="28" t="s">
        <v>1162</v>
      </c>
      <c r="AT109" s="106">
        <v>15.450643776824034</v>
      </c>
      <c r="AU109" s="77">
        <v>0</v>
      </c>
      <c r="AV109" s="74">
        <v>0</v>
      </c>
      <c r="AW109" s="28">
        <v>5</v>
      </c>
      <c r="AX109" s="584">
        <v>2.33</v>
      </c>
      <c r="AY109" s="28">
        <v>5</v>
      </c>
      <c r="AZ109" s="28">
        <v>4</v>
      </c>
      <c r="BA109" s="28">
        <v>3</v>
      </c>
      <c r="BB109" s="28">
        <v>3</v>
      </c>
      <c r="BC109" s="28">
        <v>0</v>
      </c>
      <c r="BD109" s="89">
        <v>3.4334763948497855</v>
      </c>
      <c r="BE109" s="28">
        <v>0</v>
      </c>
      <c r="BF109" s="28">
        <v>0</v>
      </c>
      <c r="BG109" s="28">
        <v>0</v>
      </c>
      <c r="BH109" s="74">
        <v>0</v>
      </c>
      <c r="BI109" s="27">
        <v>107</v>
      </c>
    </row>
    <row r="110" spans="1:61">
      <c r="A110" s="365" t="s">
        <v>1171</v>
      </c>
      <c r="B110" s="71" t="s">
        <v>212</v>
      </c>
      <c r="C110" s="28" t="s">
        <v>1193</v>
      </c>
      <c r="D110" s="88">
        <v>0</v>
      </c>
      <c r="E110" s="90">
        <v>0</v>
      </c>
      <c r="F110" s="28">
        <v>0</v>
      </c>
      <c r="G110" s="77">
        <v>4</v>
      </c>
      <c r="H110" s="584">
        <v>4.33</v>
      </c>
      <c r="I110" s="28">
        <v>4</v>
      </c>
      <c r="J110" s="28">
        <v>0</v>
      </c>
      <c r="K110" s="28">
        <v>1</v>
      </c>
      <c r="L110" s="28">
        <v>6</v>
      </c>
      <c r="M110" s="28">
        <v>0</v>
      </c>
      <c r="N110" s="89">
        <v>1.1547344110854503</v>
      </c>
      <c r="O110" s="28">
        <v>0</v>
      </c>
      <c r="P110" s="28">
        <v>0</v>
      </c>
      <c r="Q110" s="28">
        <v>0</v>
      </c>
      <c r="R110" s="28">
        <v>0</v>
      </c>
      <c r="S110" s="75">
        <v>108</v>
      </c>
      <c r="V110" s="988" t="s">
        <v>1139</v>
      </c>
      <c r="W110" s="115" t="s">
        <v>212</v>
      </c>
      <c r="X110" s="116" t="s">
        <v>1163</v>
      </c>
      <c r="Y110" s="106">
        <v>5.4054054054054053</v>
      </c>
      <c r="Z110" s="364">
        <v>0</v>
      </c>
      <c r="AA110" s="74">
        <v>0</v>
      </c>
      <c r="AB110" s="28">
        <v>3</v>
      </c>
      <c r="AC110" s="584">
        <v>3.33</v>
      </c>
      <c r="AD110" s="28">
        <v>2</v>
      </c>
      <c r="AE110" s="28">
        <v>2</v>
      </c>
      <c r="AF110" s="28">
        <v>2</v>
      </c>
      <c r="AG110" s="28">
        <v>2</v>
      </c>
      <c r="AH110" s="28">
        <v>1</v>
      </c>
      <c r="AI110" s="89">
        <v>1.2012012012012012</v>
      </c>
      <c r="AJ110" s="28">
        <v>0</v>
      </c>
      <c r="AK110" s="28">
        <v>0</v>
      </c>
      <c r="AL110" s="28">
        <v>0</v>
      </c>
      <c r="AM110" s="74">
        <v>0</v>
      </c>
      <c r="AN110" s="27">
        <v>108</v>
      </c>
      <c r="AQ110" s="101" t="s">
        <v>1139</v>
      </c>
      <c r="AR110" s="71" t="s">
        <v>212</v>
      </c>
      <c r="AS110" s="28" t="s">
        <v>1163</v>
      </c>
      <c r="AT110" s="106">
        <v>11.25</v>
      </c>
      <c r="AU110" s="77">
        <v>0</v>
      </c>
      <c r="AV110" s="74">
        <v>0</v>
      </c>
      <c r="AW110" s="28">
        <v>6</v>
      </c>
      <c r="AX110" s="584">
        <v>4</v>
      </c>
      <c r="AY110" s="28">
        <v>6</v>
      </c>
      <c r="AZ110" s="28">
        <v>5</v>
      </c>
      <c r="BA110" s="28">
        <v>2</v>
      </c>
      <c r="BB110" s="28">
        <v>5</v>
      </c>
      <c r="BC110" s="28">
        <v>0</v>
      </c>
      <c r="BD110" s="89">
        <v>2</v>
      </c>
      <c r="BE110" s="28">
        <v>0</v>
      </c>
      <c r="BF110" s="28">
        <v>0</v>
      </c>
      <c r="BG110" s="28">
        <v>0</v>
      </c>
      <c r="BH110" s="74">
        <v>0</v>
      </c>
      <c r="BI110" s="27">
        <v>108</v>
      </c>
    </row>
    <row r="111" spans="1:61">
      <c r="A111" s="365" t="s">
        <v>1171</v>
      </c>
      <c r="B111" s="71" t="s">
        <v>212</v>
      </c>
      <c r="C111" s="28" t="s">
        <v>1194</v>
      </c>
      <c r="D111" s="88">
        <v>2.6986506746626686</v>
      </c>
      <c r="E111" s="90">
        <v>1</v>
      </c>
      <c r="F111" s="28">
        <v>0</v>
      </c>
      <c r="G111" s="77">
        <v>5</v>
      </c>
      <c r="H111" s="584">
        <v>6.67</v>
      </c>
      <c r="I111" s="28">
        <v>6</v>
      </c>
      <c r="J111" s="28">
        <v>2</v>
      </c>
      <c r="K111" s="28">
        <v>1</v>
      </c>
      <c r="L111" s="28">
        <v>6</v>
      </c>
      <c r="M111" s="28">
        <v>0</v>
      </c>
      <c r="N111" s="89">
        <v>1.0494752623688155</v>
      </c>
      <c r="O111" s="28">
        <v>0</v>
      </c>
      <c r="P111" s="28">
        <v>0</v>
      </c>
      <c r="Q111" s="28">
        <v>0</v>
      </c>
      <c r="R111" s="28">
        <v>0</v>
      </c>
      <c r="S111" s="75">
        <v>109</v>
      </c>
      <c r="V111" s="988" t="s">
        <v>1139</v>
      </c>
      <c r="W111" s="115" t="s">
        <v>212</v>
      </c>
      <c r="X111" s="116" t="s">
        <v>1165</v>
      </c>
      <c r="Y111" s="106">
        <v>2.8436018957345972</v>
      </c>
      <c r="Z111" s="364">
        <v>0</v>
      </c>
      <c r="AA111" s="74">
        <v>0</v>
      </c>
      <c r="AB111" s="28">
        <v>6</v>
      </c>
      <c r="AC111" s="584">
        <v>6.33</v>
      </c>
      <c r="AD111" s="28">
        <v>4</v>
      </c>
      <c r="AE111" s="28">
        <v>2</v>
      </c>
      <c r="AF111" s="28">
        <v>6</v>
      </c>
      <c r="AG111" s="28">
        <v>6</v>
      </c>
      <c r="AH111" s="28">
        <v>0</v>
      </c>
      <c r="AI111" s="89">
        <v>1.5797788309636651</v>
      </c>
      <c r="AJ111" s="28">
        <v>0</v>
      </c>
      <c r="AK111" s="28">
        <v>0</v>
      </c>
      <c r="AL111" s="28">
        <v>0</v>
      </c>
      <c r="AM111" s="74">
        <v>0</v>
      </c>
      <c r="AN111" s="27">
        <v>109</v>
      </c>
      <c r="AQ111" s="101" t="s">
        <v>1139</v>
      </c>
      <c r="AR111" s="71" t="s">
        <v>212</v>
      </c>
      <c r="AS111" s="28" t="s">
        <v>1165</v>
      </c>
      <c r="AT111" s="106">
        <v>0</v>
      </c>
      <c r="AU111" s="77">
        <v>0</v>
      </c>
      <c r="AV111" s="74">
        <v>0</v>
      </c>
      <c r="AW111" s="28">
        <v>2</v>
      </c>
      <c r="AX111" s="584">
        <v>1.33</v>
      </c>
      <c r="AY111" s="28">
        <v>3</v>
      </c>
      <c r="AZ111" s="28">
        <v>0</v>
      </c>
      <c r="BA111" s="28">
        <v>2</v>
      </c>
      <c r="BB111" s="28">
        <v>2</v>
      </c>
      <c r="BC111" s="28">
        <v>0</v>
      </c>
      <c r="BD111" s="89">
        <v>3.7593984962406015</v>
      </c>
      <c r="BE111" s="28">
        <v>0</v>
      </c>
      <c r="BF111" s="28">
        <v>0</v>
      </c>
      <c r="BG111" s="28">
        <v>0</v>
      </c>
      <c r="BH111" s="74">
        <v>0</v>
      </c>
      <c r="BI111" s="27">
        <v>109</v>
      </c>
    </row>
    <row r="112" spans="1:61">
      <c r="A112" s="365" t="s">
        <v>1171</v>
      </c>
      <c r="B112" s="345" t="s">
        <v>212</v>
      </c>
      <c r="C112" s="28" t="s">
        <v>1196</v>
      </c>
      <c r="D112" s="88">
        <v>3</v>
      </c>
      <c r="E112" s="90">
        <v>1</v>
      </c>
      <c r="F112" s="28">
        <v>3</v>
      </c>
      <c r="G112" s="352">
        <v>13</v>
      </c>
      <c r="H112" s="584">
        <v>15</v>
      </c>
      <c r="I112" s="28">
        <v>10</v>
      </c>
      <c r="J112" s="28">
        <v>5</v>
      </c>
      <c r="K112" s="28">
        <v>7</v>
      </c>
      <c r="L112" s="586">
        <v>29</v>
      </c>
      <c r="M112" s="586">
        <v>6</v>
      </c>
      <c r="N112" s="89">
        <v>1.1333333333333333</v>
      </c>
      <c r="O112" s="28">
        <v>0</v>
      </c>
      <c r="P112" s="28">
        <v>0</v>
      </c>
      <c r="Q112" s="28">
        <v>0</v>
      </c>
      <c r="R112" s="28">
        <v>0</v>
      </c>
      <c r="S112" s="75">
        <v>110</v>
      </c>
      <c r="V112" s="988" t="s">
        <v>1139</v>
      </c>
      <c r="W112" s="115" t="s">
        <v>212</v>
      </c>
      <c r="X112" s="115" t="s">
        <v>1167</v>
      </c>
      <c r="Y112" s="106">
        <v>4.2174320524835993</v>
      </c>
      <c r="Z112" s="364">
        <v>0</v>
      </c>
      <c r="AA112" s="74">
        <v>2</v>
      </c>
      <c r="AB112" s="28">
        <v>9</v>
      </c>
      <c r="AC112" s="584">
        <v>10.67</v>
      </c>
      <c r="AD112" s="28">
        <v>9</v>
      </c>
      <c r="AE112" s="28">
        <v>5</v>
      </c>
      <c r="AF112" s="28">
        <v>7</v>
      </c>
      <c r="AG112" s="28">
        <v>9</v>
      </c>
      <c r="AH112" s="28">
        <v>3</v>
      </c>
      <c r="AI112" s="89">
        <v>1.499531396438613</v>
      </c>
      <c r="AJ112" s="28">
        <v>0</v>
      </c>
      <c r="AK112" s="28">
        <v>0</v>
      </c>
      <c r="AL112" s="28">
        <v>0</v>
      </c>
      <c r="AM112" s="74">
        <v>0</v>
      </c>
      <c r="AN112" s="27">
        <v>110</v>
      </c>
      <c r="AQ112" s="101" t="s">
        <v>1139</v>
      </c>
      <c r="AR112" s="71" t="s">
        <v>215</v>
      </c>
      <c r="AS112" s="28" t="s">
        <v>1167</v>
      </c>
      <c r="AT112" s="106">
        <v>4.5</v>
      </c>
      <c r="AU112" s="77">
        <v>1</v>
      </c>
      <c r="AV112" s="74">
        <v>0</v>
      </c>
      <c r="AW112" s="28">
        <v>7</v>
      </c>
      <c r="AX112" s="584">
        <v>8</v>
      </c>
      <c r="AY112" s="28">
        <v>8</v>
      </c>
      <c r="AZ112" s="28">
        <v>4</v>
      </c>
      <c r="BA112" s="28">
        <v>3</v>
      </c>
      <c r="BB112" s="28">
        <v>15</v>
      </c>
      <c r="BC112" s="28">
        <v>2</v>
      </c>
      <c r="BD112" s="89">
        <v>1.375</v>
      </c>
      <c r="BE112" s="28">
        <v>0</v>
      </c>
      <c r="BF112" s="28">
        <v>0</v>
      </c>
      <c r="BG112" s="28">
        <v>0</v>
      </c>
      <c r="BH112" s="74">
        <v>0</v>
      </c>
      <c r="BI112" s="27">
        <v>110</v>
      </c>
    </row>
    <row r="113" spans="1:61">
      <c r="A113" s="136" t="s">
        <v>1200</v>
      </c>
      <c r="B113" s="115" t="s">
        <v>206</v>
      </c>
      <c r="C113" s="986" t="s">
        <v>1215</v>
      </c>
      <c r="D113" s="88">
        <v>5.1428571428571432</v>
      </c>
      <c r="E113" s="90">
        <v>0</v>
      </c>
      <c r="F113" s="28">
        <v>1</v>
      </c>
      <c r="G113" s="77">
        <v>1</v>
      </c>
      <c r="H113" s="584">
        <v>7</v>
      </c>
      <c r="I113" s="28">
        <v>7</v>
      </c>
      <c r="J113" s="28">
        <v>4</v>
      </c>
      <c r="K113" s="28">
        <v>1</v>
      </c>
      <c r="L113" s="28">
        <v>10</v>
      </c>
      <c r="M113" s="28">
        <v>0</v>
      </c>
      <c r="N113" s="89">
        <v>1.1428571428571428</v>
      </c>
      <c r="O113" s="28">
        <v>0</v>
      </c>
      <c r="P113" s="28">
        <v>0</v>
      </c>
      <c r="Q113" s="28">
        <v>0</v>
      </c>
      <c r="R113" s="28">
        <v>0</v>
      </c>
      <c r="S113" s="75">
        <v>111</v>
      </c>
      <c r="V113" s="101" t="s">
        <v>1171</v>
      </c>
      <c r="W113" s="71" t="s">
        <v>206</v>
      </c>
      <c r="X113" s="71" t="s">
        <v>1184</v>
      </c>
      <c r="Y113" s="106">
        <v>1.5</v>
      </c>
      <c r="Z113" s="364">
        <v>1</v>
      </c>
      <c r="AA113" s="74">
        <v>1</v>
      </c>
      <c r="AB113" s="28">
        <v>4</v>
      </c>
      <c r="AC113" s="584">
        <v>30</v>
      </c>
      <c r="AD113" s="28">
        <v>18</v>
      </c>
      <c r="AE113" s="28">
        <v>5</v>
      </c>
      <c r="AF113" s="28">
        <v>3</v>
      </c>
      <c r="AG113" s="28">
        <v>31</v>
      </c>
      <c r="AH113" s="28">
        <v>0</v>
      </c>
      <c r="AI113" s="347">
        <v>0.7</v>
      </c>
      <c r="AJ113" s="28">
        <v>4</v>
      </c>
      <c r="AK113" s="76">
        <v>4</v>
      </c>
      <c r="AL113" s="28">
        <v>0</v>
      </c>
      <c r="AM113" s="74">
        <v>0</v>
      </c>
      <c r="AN113" s="27">
        <v>111</v>
      </c>
      <c r="AQ113" s="101" t="s">
        <v>1200</v>
      </c>
      <c r="AR113" s="71" t="s">
        <v>206</v>
      </c>
      <c r="AS113" s="28" t="s">
        <v>1215</v>
      </c>
      <c r="AT113" s="106">
        <v>16.2</v>
      </c>
      <c r="AU113" s="77">
        <v>0</v>
      </c>
      <c r="AV113" s="74">
        <v>1</v>
      </c>
      <c r="AW113" s="28">
        <v>1</v>
      </c>
      <c r="AX113" s="584">
        <v>5</v>
      </c>
      <c r="AY113" s="28">
        <v>8</v>
      </c>
      <c r="AZ113" s="28">
        <v>9</v>
      </c>
      <c r="BA113" s="28">
        <v>7</v>
      </c>
      <c r="BB113" s="28">
        <v>4</v>
      </c>
      <c r="BC113" s="28">
        <v>0</v>
      </c>
      <c r="BD113" s="89">
        <v>3</v>
      </c>
      <c r="BE113" s="28">
        <v>0</v>
      </c>
      <c r="BF113" s="28">
        <v>0</v>
      </c>
      <c r="BG113" s="28">
        <v>0</v>
      </c>
      <c r="BH113" s="74">
        <v>0</v>
      </c>
      <c r="BI113" s="27">
        <v>111</v>
      </c>
    </row>
    <row r="114" spans="1:61">
      <c r="A114" s="136" t="s">
        <v>1200</v>
      </c>
      <c r="B114" s="115" t="s">
        <v>206</v>
      </c>
      <c r="C114" s="986" t="s">
        <v>1216</v>
      </c>
      <c r="D114" s="88">
        <v>6.3492063492063489</v>
      </c>
      <c r="E114" s="90">
        <v>1</v>
      </c>
      <c r="F114" s="28">
        <v>0</v>
      </c>
      <c r="G114" s="77">
        <v>1</v>
      </c>
      <c r="H114" s="584">
        <v>5.67</v>
      </c>
      <c r="I114" s="28">
        <v>6</v>
      </c>
      <c r="J114" s="28">
        <v>4</v>
      </c>
      <c r="K114" s="28">
        <v>5</v>
      </c>
      <c r="L114" s="28">
        <v>7</v>
      </c>
      <c r="M114" s="28">
        <v>0</v>
      </c>
      <c r="N114" s="89">
        <v>1.9400352733686068</v>
      </c>
      <c r="O114" s="28">
        <v>0</v>
      </c>
      <c r="P114" s="28">
        <v>0</v>
      </c>
      <c r="Q114" s="28">
        <v>0</v>
      </c>
      <c r="R114" s="28">
        <v>0</v>
      </c>
      <c r="S114" s="75">
        <v>112</v>
      </c>
      <c r="V114" s="101" t="s">
        <v>1171</v>
      </c>
      <c r="W114" s="71" t="s">
        <v>206</v>
      </c>
      <c r="X114" s="71" t="s">
        <v>1185</v>
      </c>
      <c r="Y114" s="106">
        <v>4.808877928483354</v>
      </c>
      <c r="Z114" s="364">
        <v>1</v>
      </c>
      <c r="AA114" s="104">
        <v>3</v>
      </c>
      <c r="AB114" s="28">
        <v>4</v>
      </c>
      <c r="AC114" s="584">
        <v>24.33</v>
      </c>
      <c r="AD114" s="28">
        <v>27</v>
      </c>
      <c r="AE114" s="28">
        <v>13</v>
      </c>
      <c r="AF114" s="28">
        <v>8</v>
      </c>
      <c r="AG114" s="28">
        <v>29</v>
      </c>
      <c r="AH114" s="28">
        <v>0</v>
      </c>
      <c r="AI114" s="89">
        <v>1.4385532264693794</v>
      </c>
      <c r="AJ114" s="28">
        <v>1</v>
      </c>
      <c r="AK114" s="28">
        <v>0</v>
      </c>
      <c r="AL114" s="28">
        <v>0</v>
      </c>
      <c r="AM114" s="74">
        <v>0</v>
      </c>
      <c r="AN114" s="27">
        <v>112</v>
      </c>
      <c r="AQ114" s="101" t="s">
        <v>1200</v>
      </c>
      <c r="AR114" s="71" t="s">
        <v>206</v>
      </c>
      <c r="AS114" s="28" t="s">
        <v>1216</v>
      </c>
      <c r="AT114" s="106">
        <v>0</v>
      </c>
      <c r="AU114" s="77">
        <v>1</v>
      </c>
      <c r="AV114" s="74">
        <v>0</v>
      </c>
      <c r="AW114" s="28">
        <v>1</v>
      </c>
      <c r="AX114" s="584">
        <v>7.67</v>
      </c>
      <c r="AY114" s="28">
        <v>5</v>
      </c>
      <c r="AZ114" s="28">
        <v>0</v>
      </c>
      <c r="BA114" s="28">
        <v>2</v>
      </c>
      <c r="BB114" s="28">
        <v>5</v>
      </c>
      <c r="BC114" s="28">
        <v>0</v>
      </c>
      <c r="BD114" s="89">
        <v>0.91264667535853983</v>
      </c>
      <c r="BE114" s="28">
        <v>1</v>
      </c>
      <c r="BF114" s="28">
        <v>1</v>
      </c>
      <c r="BG114" s="28">
        <v>0</v>
      </c>
      <c r="BH114" s="74">
        <v>0</v>
      </c>
      <c r="BI114" s="27">
        <v>112</v>
      </c>
    </row>
    <row r="115" spans="1:61">
      <c r="A115" s="136" t="s">
        <v>1200</v>
      </c>
      <c r="B115" s="115" t="s">
        <v>206</v>
      </c>
      <c r="C115" s="633" t="s">
        <v>218</v>
      </c>
      <c r="D115" s="88">
        <v>5.1428571428571432</v>
      </c>
      <c r="E115" s="90">
        <v>0</v>
      </c>
      <c r="F115" s="28">
        <v>0</v>
      </c>
      <c r="G115" s="77">
        <v>1</v>
      </c>
      <c r="H115" s="584">
        <v>7</v>
      </c>
      <c r="I115" s="28">
        <v>5</v>
      </c>
      <c r="J115" s="28">
        <v>4</v>
      </c>
      <c r="K115" s="28">
        <v>1</v>
      </c>
      <c r="L115" s="28">
        <v>8</v>
      </c>
      <c r="M115" s="28">
        <v>0</v>
      </c>
      <c r="N115" s="89">
        <v>0.8571428571428571</v>
      </c>
      <c r="O115" s="28">
        <v>0</v>
      </c>
      <c r="P115" s="28">
        <v>0</v>
      </c>
      <c r="Q115" s="28">
        <v>0</v>
      </c>
      <c r="R115" s="28">
        <v>0</v>
      </c>
      <c r="S115" s="75">
        <v>113</v>
      </c>
      <c r="V115" s="101" t="s">
        <v>1171</v>
      </c>
      <c r="W115" s="71" t="s">
        <v>206</v>
      </c>
      <c r="X115" s="71" t="s">
        <v>1187</v>
      </c>
      <c r="Y115" s="106">
        <v>4.6956521739130439</v>
      </c>
      <c r="Z115" s="364">
        <v>1</v>
      </c>
      <c r="AA115" s="74">
        <v>1</v>
      </c>
      <c r="AB115" s="28">
        <v>4</v>
      </c>
      <c r="AC115" s="584">
        <v>23</v>
      </c>
      <c r="AD115" s="28">
        <v>22</v>
      </c>
      <c r="AE115" s="28">
        <v>12</v>
      </c>
      <c r="AF115" s="28">
        <v>12</v>
      </c>
      <c r="AG115" s="28">
        <v>20</v>
      </c>
      <c r="AH115" s="28">
        <v>0</v>
      </c>
      <c r="AI115" s="89">
        <v>1.4782608695652173</v>
      </c>
      <c r="AJ115" s="28">
        <v>3</v>
      </c>
      <c r="AK115" s="28">
        <v>1</v>
      </c>
      <c r="AL115" s="28">
        <v>0</v>
      </c>
      <c r="AM115" s="74">
        <v>0</v>
      </c>
      <c r="AN115" s="27">
        <v>113</v>
      </c>
      <c r="AQ115" s="101" t="s">
        <v>1200</v>
      </c>
      <c r="AR115" s="71" t="s">
        <v>206</v>
      </c>
      <c r="AS115" s="28" t="s">
        <v>1217</v>
      </c>
      <c r="AT115" s="106">
        <v>7.9365079365079367</v>
      </c>
      <c r="AU115" s="77">
        <v>0</v>
      </c>
      <c r="AV115" s="74">
        <v>1</v>
      </c>
      <c r="AW115" s="28">
        <v>1</v>
      </c>
      <c r="AX115" s="584">
        <v>5.67</v>
      </c>
      <c r="AY115" s="28">
        <v>6</v>
      </c>
      <c r="AZ115" s="28">
        <v>5</v>
      </c>
      <c r="BA115" s="28">
        <v>5</v>
      </c>
      <c r="BB115" s="28">
        <v>3</v>
      </c>
      <c r="BC115" s="28">
        <v>0</v>
      </c>
      <c r="BD115" s="89">
        <v>1.9400352733686068</v>
      </c>
      <c r="BE115" s="28">
        <v>0</v>
      </c>
      <c r="BF115" s="28">
        <v>0</v>
      </c>
      <c r="BG115" s="28">
        <v>0</v>
      </c>
      <c r="BH115" s="74">
        <v>0</v>
      </c>
      <c r="BI115" s="27">
        <v>113</v>
      </c>
    </row>
    <row r="116" spans="1:61">
      <c r="A116" s="136" t="s">
        <v>1200</v>
      </c>
      <c r="B116" s="115" t="s">
        <v>206</v>
      </c>
      <c r="C116" s="986" t="s">
        <v>1217</v>
      </c>
      <c r="D116" s="88">
        <v>0</v>
      </c>
      <c r="E116" s="90">
        <v>0</v>
      </c>
      <c r="F116" s="28">
        <v>0</v>
      </c>
      <c r="G116" s="77">
        <v>0</v>
      </c>
      <c r="H116" s="584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89">
        <v>0</v>
      </c>
      <c r="O116" s="28">
        <v>0</v>
      </c>
      <c r="P116" s="28">
        <v>0</v>
      </c>
      <c r="Q116" s="28">
        <v>0</v>
      </c>
      <c r="R116" s="28">
        <v>0</v>
      </c>
      <c r="S116" s="75">
        <v>114</v>
      </c>
      <c r="V116" s="101" t="s">
        <v>1171</v>
      </c>
      <c r="W116" s="71" t="s">
        <v>206</v>
      </c>
      <c r="X116" s="71" t="s">
        <v>1188</v>
      </c>
      <c r="Y116" s="106">
        <v>9</v>
      </c>
      <c r="Z116" s="364">
        <v>1</v>
      </c>
      <c r="AA116" s="74">
        <v>0</v>
      </c>
      <c r="AB116" s="28">
        <v>3</v>
      </c>
      <c r="AC116" s="584">
        <v>5</v>
      </c>
      <c r="AD116" s="28">
        <v>6</v>
      </c>
      <c r="AE116" s="28">
        <v>5</v>
      </c>
      <c r="AF116" s="28">
        <v>7</v>
      </c>
      <c r="AG116" s="28">
        <v>6</v>
      </c>
      <c r="AH116" s="28">
        <v>0</v>
      </c>
      <c r="AI116" s="89">
        <v>2.6</v>
      </c>
      <c r="AJ116" s="28">
        <v>0</v>
      </c>
      <c r="AK116" s="28">
        <v>0</v>
      </c>
      <c r="AL116" s="28">
        <v>0</v>
      </c>
      <c r="AM116" s="74">
        <v>0</v>
      </c>
      <c r="AN116" s="27">
        <v>114</v>
      </c>
      <c r="AQ116" s="101" t="s">
        <v>1200</v>
      </c>
      <c r="AR116" s="71" t="s">
        <v>206</v>
      </c>
      <c r="AS116" s="28" t="s">
        <v>976</v>
      </c>
      <c r="AT116" s="106">
        <v>6.7669172932330826</v>
      </c>
      <c r="AU116" s="77">
        <v>0</v>
      </c>
      <c r="AV116" s="74">
        <v>0</v>
      </c>
      <c r="AW116" s="28">
        <v>1</v>
      </c>
      <c r="AX116" s="584">
        <v>1.33</v>
      </c>
      <c r="AY116" s="28">
        <v>3</v>
      </c>
      <c r="AZ116" s="28">
        <v>1</v>
      </c>
      <c r="BA116" s="28">
        <v>0</v>
      </c>
      <c r="BB116" s="28">
        <v>2</v>
      </c>
      <c r="BC116" s="28">
        <v>0</v>
      </c>
      <c r="BD116" s="89">
        <v>2.255639097744361</v>
      </c>
      <c r="BE116" s="28">
        <v>0</v>
      </c>
      <c r="BF116" s="28">
        <v>0</v>
      </c>
      <c r="BG116" s="28">
        <v>0</v>
      </c>
      <c r="BH116" s="74">
        <v>0</v>
      </c>
      <c r="BI116" s="27">
        <v>114</v>
      </c>
    </row>
    <row r="117" spans="1:61">
      <c r="A117" s="136" t="s">
        <v>1200</v>
      </c>
      <c r="B117" s="115" t="s">
        <v>212</v>
      </c>
      <c r="C117" s="633" t="s">
        <v>748</v>
      </c>
      <c r="D117" s="88">
        <v>0</v>
      </c>
      <c r="E117" s="90">
        <v>0</v>
      </c>
      <c r="F117" s="28">
        <v>0</v>
      </c>
      <c r="G117" s="77">
        <v>0</v>
      </c>
      <c r="H117" s="584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89">
        <v>0</v>
      </c>
      <c r="O117" s="28">
        <v>0</v>
      </c>
      <c r="P117" s="28">
        <v>0</v>
      </c>
      <c r="Q117" s="28">
        <v>0</v>
      </c>
      <c r="R117" s="28">
        <v>0</v>
      </c>
      <c r="S117" s="75">
        <v>115</v>
      </c>
      <c r="V117" s="101" t="s">
        <v>1171</v>
      </c>
      <c r="W117" s="71" t="s">
        <v>212</v>
      </c>
      <c r="X117" s="71" t="s">
        <v>1190</v>
      </c>
      <c r="Y117" s="106">
        <v>1.8</v>
      </c>
      <c r="Z117" s="364">
        <v>0</v>
      </c>
      <c r="AA117" s="74">
        <v>0</v>
      </c>
      <c r="AB117" s="28">
        <v>3</v>
      </c>
      <c r="AC117" s="584">
        <v>5</v>
      </c>
      <c r="AD117" s="28">
        <v>4</v>
      </c>
      <c r="AE117" s="28">
        <v>1</v>
      </c>
      <c r="AF117" s="28">
        <v>3</v>
      </c>
      <c r="AG117" s="28">
        <v>2</v>
      </c>
      <c r="AH117" s="28">
        <v>0</v>
      </c>
      <c r="AI117" s="89">
        <v>1.4</v>
      </c>
      <c r="AJ117" s="28">
        <v>0</v>
      </c>
      <c r="AK117" s="28">
        <v>0</v>
      </c>
      <c r="AL117" s="28">
        <v>0</v>
      </c>
      <c r="AM117" s="74">
        <v>0</v>
      </c>
      <c r="AN117" s="27">
        <v>115</v>
      </c>
      <c r="AQ117" s="101" t="s">
        <v>1200</v>
      </c>
      <c r="AR117" s="71" t="s">
        <v>212</v>
      </c>
      <c r="AS117" s="28" t="s">
        <v>1218</v>
      </c>
      <c r="AT117" s="106">
        <v>0</v>
      </c>
      <c r="AU117" s="77">
        <v>0</v>
      </c>
      <c r="AV117" s="74">
        <v>0</v>
      </c>
      <c r="AW117" s="28">
        <v>1</v>
      </c>
      <c r="AX117" s="584">
        <v>2</v>
      </c>
      <c r="AY117" s="28">
        <v>1</v>
      </c>
      <c r="AZ117" s="28">
        <v>0</v>
      </c>
      <c r="BA117" s="28">
        <v>0</v>
      </c>
      <c r="BB117" s="28">
        <v>3</v>
      </c>
      <c r="BC117" s="28">
        <v>0</v>
      </c>
      <c r="BD117" s="89">
        <v>0.5</v>
      </c>
      <c r="BE117" s="28">
        <v>0</v>
      </c>
      <c r="BF117" s="28">
        <v>0</v>
      </c>
      <c r="BG117" s="28">
        <v>0</v>
      </c>
      <c r="BH117" s="74">
        <v>0</v>
      </c>
      <c r="BI117" s="27">
        <v>115</v>
      </c>
    </row>
    <row r="118" spans="1:61">
      <c r="A118" s="136" t="s">
        <v>1200</v>
      </c>
      <c r="B118" s="115" t="s">
        <v>212</v>
      </c>
      <c r="C118" s="633" t="s">
        <v>1219</v>
      </c>
      <c r="D118" s="88">
        <v>0</v>
      </c>
      <c r="E118" s="90">
        <v>0</v>
      </c>
      <c r="F118" s="28">
        <v>0</v>
      </c>
      <c r="G118" s="77">
        <v>0</v>
      </c>
      <c r="H118" s="584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89">
        <v>0</v>
      </c>
      <c r="O118" s="28">
        <v>0</v>
      </c>
      <c r="P118" s="28">
        <v>0</v>
      </c>
      <c r="Q118" s="28">
        <v>0</v>
      </c>
      <c r="R118" s="28">
        <v>0</v>
      </c>
      <c r="S118" s="75">
        <v>116</v>
      </c>
      <c r="V118" s="101" t="s">
        <v>1171</v>
      </c>
      <c r="W118" s="71" t="s">
        <v>212</v>
      </c>
      <c r="X118" s="71" t="s">
        <v>1192</v>
      </c>
      <c r="Y118" s="106">
        <v>0</v>
      </c>
      <c r="Z118" s="364">
        <v>0</v>
      </c>
      <c r="AA118" s="74">
        <v>0</v>
      </c>
      <c r="AB118" s="28">
        <v>0</v>
      </c>
      <c r="AC118" s="584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89">
        <v>0</v>
      </c>
      <c r="AJ118" s="28">
        <v>0</v>
      </c>
      <c r="AK118" s="28">
        <v>0</v>
      </c>
      <c r="AL118" s="28">
        <v>0</v>
      </c>
      <c r="AM118" s="74">
        <v>0</v>
      </c>
      <c r="AN118" s="27">
        <v>116</v>
      </c>
      <c r="AQ118" s="101" t="s">
        <v>1200</v>
      </c>
      <c r="AR118" s="71" t="s">
        <v>215</v>
      </c>
      <c r="AS118" s="28" t="s">
        <v>1220</v>
      </c>
      <c r="AT118" s="106">
        <v>0</v>
      </c>
      <c r="AU118" s="77">
        <v>0</v>
      </c>
      <c r="AV118" s="74">
        <v>0</v>
      </c>
      <c r="AW118" s="28">
        <v>0</v>
      </c>
      <c r="AX118" s="584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89">
        <v>0</v>
      </c>
      <c r="BE118" s="28">
        <v>0</v>
      </c>
      <c r="BF118" s="28">
        <v>0</v>
      </c>
      <c r="BG118" s="28">
        <v>0</v>
      </c>
      <c r="BH118" s="74">
        <v>0</v>
      </c>
      <c r="BI118" s="27">
        <v>116</v>
      </c>
    </row>
    <row r="119" spans="1:61">
      <c r="A119" s="136" t="s">
        <v>1200</v>
      </c>
      <c r="B119" s="115" t="s">
        <v>212</v>
      </c>
      <c r="C119" s="633" t="s">
        <v>1221</v>
      </c>
      <c r="D119" s="88">
        <v>0</v>
      </c>
      <c r="E119" s="90">
        <v>0</v>
      </c>
      <c r="F119" s="28">
        <v>0</v>
      </c>
      <c r="G119" s="77">
        <v>0</v>
      </c>
      <c r="H119" s="584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89">
        <v>0</v>
      </c>
      <c r="O119" s="28">
        <v>0</v>
      </c>
      <c r="P119" s="28">
        <v>0</v>
      </c>
      <c r="Q119" s="28">
        <v>0</v>
      </c>
      <c r="R119" s="28">
        <v>0</v>
      </c>
      <c r="S119" s="75">
        <v>117</v>
      </c>
      <c r="V119" s="101" t="s">
        <v>1171</v>
      </c>
      <c r="W119" s="71" t="s">
        <v>212</v>
      </c>
      <c r="X119" s="116" t="s">
        <v>1195</v>
      </c>
      <c r="Y119" s="106">
        <v>0</v>
      </c>
      <c r="Z119" s="364">
        <v>0</v>
      </c>
      <c r="AA119" s="74">
        <v>0</v>
      </c>
      <c r="AB119" s="28">
        <v>2</v>
      </c>
      <c r="AC119" s="584">
        <v>2.33</v>
      </c>
      <c r="AD119" s="28">
        <v>1</v>
      </c>
      <c r="AE119" s="28">
        <v>0</v>
      </c>
      <c r="AF119" s="28">
        <v>0</v>
      </c>
      <c r="AG119" s="28">
        <v>1</v>
      </c>
      <c r="AH119" s="28">
        <v>0</v>
      </c>
      <c r="AI119" s="89">
        <v>0.42918454935622319</v>
      </c>
      <c r="AJ119" s="28">
        <v>0</v>
      </c>
      <c r="AK119" s="28">
        <v>0</v>
      </c>
      <c r="AL119" s="28">
        <v>0</v>
      </c>
      <c r="AM119" s="74">
        <v>0</v>
      </c>
      <c r="AN119" s="27">
        <v>117</v>
      </c>
      <c r="AQ119" s="101" t="s">
        <v>1200</v>
      </c>
      <c r="AR119" s="71" t="s">
        <v>212</v>
      </c>
      <c r="AS119" s="28" t="s">
        <v>1221</v>
      </c>
      <c r="AT119" s="106">
        <v>0</v>
      </c>
      <c r="AU119" s="77">
        <v>0</v>
      </c>
      <c r="AV119" s="74">
        <v>0</v>
      </c>
      <c r="AW119" s="28">
        <v>0</v>
      </c>
      <c r="AX119" s="584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89">
        <v>0</v>
      </c>
      <c r="BE119" s="28">
        <v>0</v>
      </c>
      <c r="BF119" s="28">
        <v>0</v>
      </c>
      <c r="BG119" s="28">
        <v>0</v>
      </c>
      <c r="BH119" s="74">
        <v>0</v>
      </c>
      <c r="BI119" s="27">
        <v>117</v>
      </c>
    </row>
    <row r="120" spans="1:61">
      <c r="A120" s="136" t="s">
        <v>1200</v>
      </c>
      <c r="B120" s="115" t="s">
        <v>215</v>
      </c>
      <c r="C120" s="633" t="s">
        <v>1222</v>
      </c>
      <c r="D120" s="88">
        <v>9</v>
      </c>
      <c r="E120" s="90">
        <v>0</v>
      </c>
      <c r="F120" s="28">
        <v>1</v>
      </c>
      <c r="G120" s="77">
        <v>2</v>
      </c>
      <c r="H120" s="584">
        <v>3</v>
      </c>
      <c r="I120" s="28">
        <v>3</v>
      </c>
      <c r="J120" s="28">
        <v>3</v>
      </c>
      <c r="K120" s="28">
        <v>3</v>
      </c>
      <c r="L120" s="28">
        <v>2</v>
      </c>
      <c r="M120" s="28">
        <v>0</v>
      </c>
      <c r="N120" s="89">
        <v>2</v>
      </c>
      <c r="O120" s="28">
        <v>0</v>
      </c>
      <c r="P120" s="28">
        <v>0</v>
      </c>
      <c r="Q120" s="28">
        <v>0</v>
      </c>
      <c r="R120" s="28">
        <v>0</v>
      </c>
      <c r="S120" s="75">
        <v>118</v>
      </c>
      <c r="V120" s="101" t="s">
        <v>1171</v>
      </c>
      <c r="W120" s="71" t="s">
        <v>212</v>
      </c>
      <c r="X120" s="71" t="s">
        <v>1193</v>
      </c>
      <c r="Y120" s="106">
        <v>4.5</v>
      </c>
      <c r="Z120" s="364">
        <v>0</v>
      </c>
      <c r="AA120" s="74">
        <v>0</v>
      </c>
      <c r="AB120" s="28">
        <v>3</v>
      </c>
      <c r="AC120" s="584">
        <v>2</v>
      </c>
      <c r="AD120" s="28">
        <v>1</v>
      </c>
      <c r="AE120" s="28">
        <v>1</v>
      </c>
      <c r="AF120" s="28">
        <v>2</v>
      </c>
      <c r="AG120" s="28">
        <v>3</v>
      </c>
      <c r="AH120" s="28">
        <v>0</v>
      </c>
      <c r="AI120" s="89">
        <v>1.5</v>
      </c>
      <c r="AJ120" s="28">
        <v>0</v>
      </c>
      <c r="AK120" s="28">
        <v>0</v>
      </c>
      <c r="AL120" s="28">
        <v>0</v>
      </c>
      <c r="AM120" s="74">
        <v>0</v>
      </c>
      <c r="AN120" s="27">
        <v>118</v>
      </c>
      <c r="AQ120" s="101" t="s">
        <v>1200</v>
      </c>
      <c r="AR120" s="71" t="s">
        <v>212</v>
      </c>
      <c r="AS120" s="28" t="s">
        <v>1223</v>
      </c>
      <c r="AT120" s="106">
        <v>18</v>
      </c>
      <c r="AU120" s="77">
        <v>0</v>
      </c>
      <c r="AV120" s="74">
        <v>0</v>
      </c>
      <c r="AW120" s="28">
        <v>2</v>
      </c>
      <c r="AX120" s="584">
        <v>2</v>
      </c>
      <c r="AY120" s="28">
        <v>3</v>
      </c>
      <c r="AZ120" s="28">
        <v>4</v>
      </c>
      <c r="BA120" s="28">
        <v>2</v>
      </c>
      <c r="BB120" s="28">
        <v>1</v>
      </c>
      <c r="BC120" s="28">
        <v>0</v>
      </c>
      <c r="BD120" s="89">
        <v>2.5</v>
      </c>
      <c r="BE120" s="28">
        <v>0</v>
      </c>
      <c r="BF120" s="28">
        <v>0</v>
      </c>
      <c r="BG120" s="28">
        <v>0</v>
      </c>
      <c r="BH120" s="74">
        <v>0</v>
      </c>
      <c r="BI120" s="27">
        <v>118</v>
      </c>
    </row>
    <row r="121" spans="1:61">
      <c r="A121" s="136" t="s">
        <v>1200</v>
      </c>
      <c r="B121" s="115" t="s">
        <v>212</v>
      </c>
      <c r="C121" s="633" t="s">
        <v>1224</v>
      </c>
      <c r="D121" s="88">
        <v>0</v>
      </c>
      <c r="E121" s="90">
        <v>0</v>
      </c>
      <c r="F121" s="28">
        <v>0</v>
      </c>
      <c r="G121" s="77">
        <v>1</v>
      </c>
      <c r="H121" s="584">
        <v>2</v>
      </c>
      <c r="I121" s="28">
        <v>2</v>
      </c>
      <c r="J121" s="28">
        <v>0</v>
      </c>
      <c r="K121" s="28">
        <v>0</v>
      </c>
      <c r="L121" s="28">
        <v>4</v>
      </c>
      <c r="M121" s="28">
        <v>0</v>
      </c>
      <c r="N121" s="89">
        <v>1</v>
      </c>
      <c r="O121" s="28">
        <v>0</v>
      </c>
      <c r="P121" s="28">
        <v>0</v>
      </c>
      <c r="Q121" s="28">
        <v>0</v>
      </c>
      <c r="R121" s="28">
        <v>0</v>
      </c>
      <c r="S121" s="75">
        <v>119</v>
      </c>
      <c r="V121" s="101" t="s">
        <v>1171</v>
      </c>
      <c r="W121" s="71" t="s">
        <v>212</v>
      </c>
      <c r="X121" s="71" t="s">
        <v>1194</v>
      </c>
      <c r="Y121" s="106">
        <v>10.112359550561798</v>
      </c>
      <c r="Z121" s="364">
        <v>0</v>
      </c>
      <c r="AA121" s="74">
        <v>0</v>
      </c>
      <c r="AB121" s="28">
        <v>3</v>
      </c>
      <c r="AC121" s="584">
        <v>2.67</v>
      </c>
      <c r="AD121" s="28">
        <v>4</v>
      </c>
      <c r="AE121" s="28">
        <v>3</v>
      </c>
      <c r="AF121" s="28">
        <v>1</v>
      </c>
      <c r="AG121" s="28">
        <v>1</v>
      </c>
      <c r="AH121" s="28">
        <v>0</v>
      </c>
      <c r="AI121" s="89">
        <v>1.8726591760299627</v>
      </c>
      <c r="AJ121" s="28">
        <v>0</v>
      </c>
      <c r="AK121" s="28">
        <v>0</v>
      </c>
      <c r="AL121" s="28">
        <v>0</v>
      </c>
      <c r="AM121" s="74">
        <v>0</v>
      </c>
      <c r="AN121" s="27">
        <v>119</v>
      </c>
      <c r="AQ121" s="101" t="s">
        <v>1200</v>
      </c>
      <c r="AR121" s="71" t="s">
        <v>212</v>
      </c>
      <c r="AS121" s="28" t="s">
        <v>1225</v>
      </c>
      <c r="AT121" s="106">
        <v>18</v>
      </c>
      <c r="AU121" s="77">
        <v>0</v>
      </c>
      <c r="AV121" s="74">
        <v>0</v>
      </c>
      <c r="AW121" s="28">
        <v>1</v>
      </c>
      <c r="AX121" s="584">
        <v>1</v>
      </c>
      <c r="AY121" s="28">
        <v>3</v>
      </c>
      <c r="AZ121" s="28">
        <v>2</v>
      </c>
      <c r="BA121" s="28">
        <v>2</v>
      </c>
      <c r="BB121" s="28">
        <v>0</v>
      </c>
      <c r="BC121" s="28">
        <v>0</v>
      </c>
      <c r="BD121" s="89">
        <v>5</v>
      </c>
      <c r="BE121" s="28">
        <v>0</v>
      </c>
      <c r="BF121" s="28">
        <v>0</v>
      </c>
      <c r="BG121" s="28">
        <v>0</v>
      </c>
      <c r="BH121" s="74">
        <v>0</v>
      </c>
      <c r="BI121" s="27">
        <v>119</v>
      </c>
    </row>
    <row r="122" spans="1:61" ht="17" thickBot="1">
      <c r="A122" s="138" t="s">
        <v>1200</v>
      </c>
      <c r="B122" s="117" t="s">
        <v>212</v>
      </c>
      <c r="C122" s="987" t="s">
        <v>1225</v>
      </c>
      <c r="D122" s="91">
        <v>2.25</v>
      </c>
      <c r="E122" s="94">
        <v>0</v>
      </c>
      <c r="F122" s="25">
        <v>0</v>
      </c>
      <c r="G122" s="103">
        <v>3</v>
      </c>
      <c r="H122" s="92">
        <v>4</v>
      </c>
      <c r="I122" s="25">
        <v>3</v>
      </c>
      <c r="J122" s="25">
        <v>1</v>
      </c>
      <c r="K122" s="25">
        <v>5</v>
      </c>
      <c r="L122" s="25">
        <v>4</v>
      </c>
      <c r="M122" s="25">
        <v>0</v>
      </c>
      <c r="N122" s="93">
        <v>2</v>
      </c>
      <c r="O122" s="25">
        <v>0</v>
      </c>
      <c r="P122" s="25">
        <v>0</v>
      </c>
      <c r="Q122" s="25">
        <v>0</v>
      </c>
      <c r="R122" s="25">
        <v>0</v>
      </c>
      <c r="S122" s="82">
        <v>120</v>
      </c>
      <c r="V122" s="102" t="s">
        <v>1171</v>
      </c>
      <c r="W122" s="78" t="s">
        <v>212</v>
      </c>
      <c r="X122" s="78" t="s">
        <v>1196</v>
      </c>
      <c r="Y122" s="107">
        <v>0.72992700729927007</v>
      </c>
      <c r="Z122" s="989">
        <v>2</v>
      </c>
      <c r="AA122" s="81">
        <v>1</v>
      </c>
      <c r="AB122" s="25">
        <v>9</v>
      </c>
      <c r="AC122" s="92">
        <v>12.33</v>
      </c>
      <c r="AD122" s="25">
        <v>9</v>
      </c>
      <c r="AE122" s="25">
        <v>1</v>
      </c>
      <c r="AF122" s="25">
        <v>3</v>
      </c>
      <c r="AG122" s="25">
        <v>19</v>
      </c>
      <c r="AH122" s="25">
        <v>2</v>
      </c>
      <c r="AI122" s="93">
        <v>0.97323600973236013</v>
      </c>
      <c r="AJ122" s="25">
        <v>0</v>
      </c>
      <c r="AK122" s="25">
        <v>0</v>
      </c>
      <c r="AL122" s="25">
        <v>0</v>
      </c>
      <c r="AM122" s="81">
        <v>0</v>
      </c>
      <c r="AN122" s="24">
        <v>120</v>
      </c>
      <c r="AQ122" s="102" t="s">
        <v>1200</v>
      </c>
      <c r="AR122" s="78" t="s">
        <v>212</v>
      </c>
      <c r="AS122" s="25" t="s">
        <v>1224</v>
      </c>
      <c r="AT122" s="107">
        <v>7.7253218884120169</v>
      </c>
      <c r="AU122" s="103">
        <v>0</v>
      </c>
      <c r="AV122" s="81">
        <v>0</v>
      </c>
      <c r="AW122" s="25">
        <v>2</v>
      </c>
      <c r="AX122" s="92">
        <v>2.33</v>
      </c>
      <c r="AY122" s="25">
        <v>3</v>
      </c>
      <c r="AZ122" s="25">
        <v>2</v>
      </c>
      <c r="BA122" s="25">
        <v>1</v>
      </c>
      <c r="BB122" s="25">
        <v>4</v>
      </c>
      <c r="BC122" s="25">
        <v>1</v>
      </c>
      <c r="BD122" s="93">
        <v>1.7167381974248928</v>
      </c>
      <c r="BE122" s="25">
        <v>0</v>
      </c>
      <c r="BF122" s="25">
        <v>0</v>
      </c>
      <c r="BG122" s="25">
        <v>0</v>
      </c>
      <c r="BH122" s="81">
        <v>0</v>
      </c>
      <c r="BI122" s="24">
        <v>120</v>
      </c>
    </row>
  </sheetData>
  <mergeCells count="3">
    <mergeCell ref="A1:S1"/>
    <mergeCell ref="V1:AN1"/>
    <mergeCell ref="AQ1:BI1"/>
  </mergeCells>
  <pageMargins left="0.7" right="0.7" top="0.75" bottom="0.75" header="0.3" footer="0.3"/>
  <tableParts count="3">
    <tablePart r:id="rId1"/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GO45"/>
  <sheetViews>
    <sheetView zoomScaleNormal="100"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B43" sqref="B43:C43"/>
    </sheetView>
  </sheetViews>
  <sheetFormatPr baseColWidth="10" defaultRowHeight="16"/>
  <cols>
    <col min="1" max="1" width="2.83203125" bestFit="1" customWidth="1"/>
    <col min="2" max="2" width="2.6640625" customWidth="1"/>
    <col min="3" max="3" width="5.1640625" customWidth="1"/>
    <col min="4" max="5" width="4.33203125" customWidth="1"/>
    <col min="6" max="6" width="2.6640625" customWidth="1"/>
    <col min="7" max="7" width="5.1640625" customWidth="1"/>
    <col min="8" max="9" width="4.33203125" customWidth="1"/>
    <col min="10" max="10" width="2.6640625" customWidth="1"/>
    <col min="11" max="11" width="5.1640625" customWidth="1"/>
    <col min="12" max="13" width="4.33203125" customWidth="1"/>
    <col min="14" max="14" width="2.6640625" customWidth="1"/>
    <col min="15" max="15" width="5.1640625" customWidth="1"/>
    <col min="16" max="17" width="4.33203125" customWidth="1"/>
    <col min="18" max="18" width="2.6640625" customWidth="1"/>
    <col min="19" max="19" width="5.1640625" customWidth="1"/>
    <col min="20" max="21" width="4.33203125" customWidth="1"/>
    <col min="22" max="22" width="3.1640625" bestFit="1" customWidth="1"/>
    <col min="23" max="23" width="2.83203125" customWidth="1"/>
    <col min="24" max="24" width="2.6640625" customWidth="1"/>
    <col min="25" max="25" width="5.1640625" customWidth="1"/>
    <col min="26" max="27" width="4.33203125" customWidth="1"/>
    <col min="28" max="28" width="2.6640625" customWidth="1"/>
    <col min="29" max="29" width="5.1640625" customWidth="1"/>
    <col min="30" max="31" width="4.33203125" customWidth="1"/>
    <col min="32" max="32" width="2.6640625" customWidth="1"/>
    <col min="33" max="33" width="5.1640625" customWidth="1"/>
    <col min="34" max="35" width="4.33203125" customWidth="1"/>
    <col min="36" max="36" width="2.6640625" customWidth="1"/>
    <col min="37" max="37" width="5.1640625" customWidth="1"/>
    <col min="38" max="39" width="4.33203125" customWidth="1"/>
    <col min="40" max="40" width="2.6640625" customWidth="1"/>
    <col min="41" max="41" width="5.1640625" customWidth="1"/>
    <col min="42" max="43" width="4.33203125" customWidth="1"/>
    <col min="44" max="44" width="3.1640625" bestFit="1" customWidth="1"/>
    <col min="45" max="45" width="2.83203125" customWidth="1"/>
    <col min="46" max="46" width="2.6640625" customWidth="1"/>
    <col min="47" max="47" width="5.1640625" customWidth="1"/>
    <col min="48" max="49" width="4.33203125" customWidth="1"/>
    <col min="50" max="50" width="2.6640625" customWidth="1"/>
    <col min="51" max="51" width="5.1640625" customWidth="1"/>
    <col min="52" max="53" width="4.33203125" customWidth="1"/>
    <col min="54" max="54" width="2.6640625" customWidth="1"/>
    <col min="55" max="55" width="5.1640625" customWidth="1"/>
    <col min="56" max="57" width="4.33203125" customWidth="1"/>
    <col min="58" max="58" width="2.6640625" customWidth="1"/>
    <col min="59" max="59" width="5.1640625" customWidth="1"/>
    <col min="60" max="61" width="4.33203125" customWidth="1"/>
    <col min="62" max="62" width="2.6640625" customWidth="1"/>
    <col min="63" max="63" width="5.1640625" customWidth="1"/>
    <col min="64" max="65" width="4.33203125" customWidth="1"/>
    <col min="66" max="66" width="3.1640625" bestFit="1" customWidth="1"/>
    <col min="67" max="67" width="2.83203125" bestFit="1" customWidth="1"/>
    <col min="68" max="68" width="2.6640625" customWidth="1"/>
    <col min="69" max="69" width="5.1640625" customWidth="1"/>
    <col min="70" max="71" width="4.33203125" customWidth="1"/>
    <col min="72" max="72" width="2.6640625" customWidth="1"/>
    <col min="73" max="73" width="5.1640625" customWidth="1"/>
    <col min="74" max="75" width="4.33203125" customWidth="1"/>
    <col min="76" max="76" width="2.6640625" customWidth="1"/>
    <col min="77" max="77" width="5.1640625" customWidth="1"/>
    <col min="78" max="79" width="4.33203125" customWidth="1"/>
    <col min="80" max="80" width="2.6640625" customWidth="1"/>
    <col min="81" max="81" width="5.1640625" customWidth="1"/>
    <col min="82" max="83" width="4.33203125" customWidth="1"/>
    <col min="84" max="84" width="2.6640625" customWidth="1"/>
    <col min="85" max="85" width="5.1640625" customWidth="1"/>
    <col min="86" max="87" width="4.33203125" customWidth="1"/>
    <col min="88" max="88" width="3.1640625" bestFit="1" customWidth="1"/>
    <col min="89" max="89" width="3" customWidth="1"/>
    <col min="90" max="90" width="2.6640625" customWidth="1"/>
    <col min="91" max="91" width="5.1640625" customWidth="1"/>
    <col min="92" max="93" width="4.33203125" customWidth="1"/>
    <col min="94" max="94" width="2.6640625" customWidth="1"/>
    <col min="95" max="95" width="5.1640625" customWidth="1"/>
    <col min="96" max="97" width="4.33203125" customWidth="1"/>
    <col min="98" max="98" width="2.6640625" customWidth="1"/>
    <col min="99" max="99" width="5.1640625" customWidth="1"/>
    <col min="100" max="101" width="4.33203125" customWidth="1"/>
    <col min="102" max="102" width="2.6640625" customWidth="1"/>
    <col min="103" max="103" width="5.1640625" customWidth="1"/>
    <col min="104" max="105" width="4.33203125" customWidth="1"/>
    <col min="106" max="106" width="2.6640625" customWidth="1"/>
    <col min="107" max="107" width="5.1640625" customWidth="1"/>
    <col min="108" max="109" width="4.33203125" customWidth="1"/>
    <col min="110" max="110" width="3.83203125" customWidth="1"/>
    <col min="111" max="111" width="2.83203125" bestFit="1" customWidth="1"/>
    <col min="112" max="112" width="2.6640625" customWidth="1"/>
    <col min="113" max="113" width="5.1640625" customWidth="1"/>
    <col min="114" max="115" width="4.33203125" customWidth="1"/>
    <col min="116" max="116" width="2.6640625" customWidth="1"/>
    <col min="117" max="117" width="5.1640625" customWidth="1"/>
    <col min="118" max="119" width="4.33203125" customWidth="1"/>
    <col min="120" max="120" width="2.6640625" customWidth="1"/>
    <col min="121" max="121" width="5.1640625" customWidth="1"/>
    <col min="122" max="123" width="4.33203125" customWidth="1"/>
    <col min="124" max="124" width="2.6640625" customWidth="1"/>
    <col min="125" max="125" width="5.1640625" customWidth="1"/>
    <col min="126" max="127" width="4.33203125" customWidth="1"/>
    <col min="128" max="128" width="2.6640625" customWidth="1"/>
    <col min="129" max="129" width="5.1640625" customWidth="1"/>
    <col min="130" max="131" width="4.33203125" customWidth="1"/>
    <col min="132" max="132" width="3.1640625" bestFit="1" customWidth="1"/>
    <col min="133" max="133" width="2.83203125" customWidth="1"/>
    <col min="134" max="134" width="2.6640625" customWidth="1"/>
    <col min="135" max="135" width="5.1640625" customWidth="1"/>
    <col min="136" max="137" width="4.33203125" customWidth="1"/>
    <col min="138" max="138" width="2.6640625" customWidth="1"/>
    <col min="139" max="139" width="5.1640625" customWidth="1"/>
    <col min="140" max="141" width="4.33203125" customWidth="1"/>
    <col min="142" max="142" width="2.6640625" customWidth="1"/>
    <col min="143" max="143" width="5.1640625" customWidth="1"/>
    <col min="144" max="145" width="4.33203125" customWidth="1"/>
    <col min="146" max="146" width="2.6640625" customWidth="1"/>
    <col min="147" max="147" width="5.1640625" customWidth="1"/>
    <col min="148" max="149" width="4.33203125" customWidth="1"/>
    <col min="150" max="150" width="2.6640625" customWidth="1"/>
    <col min="151" max="151" width="5.1640625" customWidth="1"/>
    <col min="152" max="153" width="4.33203125" customWidth="1"/>
    <col min="154" max="154" width="3.1640625" bestFit="1" customWidth="1"/>
    <col min="155" max="155" width="2.83203125" customWidth="1"/>
    <col min="156" max="156" width="2.6640625" customWidth="1"/>
    <col min="157" max="157" width="5.1640625" customWidth="1"/>
    <col min="158" max="159" width="4.33203125" customWidth="1"/>
    <col min="160" max="160" width="2.6640625" customWidth="1"/>
    <col min="161" max="161" width="5.1640625" customWidth="1"/>
    <col min="162" max="163" width="4.33203125" customWidth="1"/>
    <col min="164" max="164" width="2.6640625" customWidth="1"/>
    <col min="165" max="165" width="5.1640625" customWidth="1"/>
    <col min="166" max="167" width="4.33203125" customWidth="1"/>
    <col min="168" max="168" width="2.6640625" customWidth="1"/>
    <col min="169" max="169" width="5.1640625" customWidth="1"/>
    <col min="170" max="171" width="4.33203125" customWidth="1"/>
    <col min="172" max="172" width="2.6640625" customWidth="1"/>
    <col min="173" max="173" width="5.1640625" customWidth="1"/>
    <col min="174" max="175" width="4.33203125" customWidth="1"/>
    <col min="176" max="176" width="3.1640625" bestFit="1" customWidth="1"/>
    <col min="177" max="177" width="2.83203125" bestFit="1" customWidth="1"/>
    <col min="178" max="178" width="2.6640625" customWidth="1"/>
    <col min="179" max="179" width="5.1640625" customWidth="1"/>
    <col min="180" max="181" width="4.33203125" customWidth="1"/>
    <col min="182" max="182" width="2.6640625" customWidth="1"/>
    <col min="183" max="183" width="5.1640625" customWidth="1"/>
    <col min="184" max="185" width="4.33203125" customWidth="1"/>
    <col min="186" max="186" width="2.6640625" customWidth="1"/>
    <col min="187" max="187" width="5.1640625" customWidth="1"/>
    <col min="188" max="189" width="4.33203125" customWidth="1"/>
    <col min="190" max="190" width="2.6640625" customWidth="1"/>
    <col min="191" max="191" width="5.1640625" customWidth="1"/>
    <col min="192" max="193" width="4.33203125" customWidth="1"/>
    <col min="194" max="194" width="2.6640625" customWidth="1"/>
    <col min="195" max="195" width="5.1640625" customWidth="1"/>
    <col min="196" max="197" width="4.33203125" customWidth="1"/>
    <col min="198" max="198" width="3.1640625" bestFit="1" customWidth="1"/>
  </cols>
  <sheetData>
    <row r="1" spans="1:197" ht="27">
      <c r="A1" s="199"/>
      <c r="B1" s="1116" t="s">
        <v>137</v>
      </c>
      <c r="C1" s="1117"/>
      <c r="D1" s="1117"/>
      <c r="E1" s="1117"/>
      <c r="F1" s="1117"/>
      <c r="G1" s="1117"/>
      <c r="H1" s="1117"/>
      <c r="I1" s="1117"/>
      <c r="J1" s="1117"/>
      <c r="K1" s="1117"/>
      <c r="L1" s="1117"/>
      <c r="M1" s="1117"/>
      <c r="N1" s="1117"/>
      <c r="O1" s="1117"/>
      <c r="P1" s="1117"/>
      <c r="Q1" s="1117"/>
      <c r="R1" s="1117"/>
      <c r="S1" s="1117"/>
      <c r="T1" s="1117"/>
      <c r="U1" s="1118"/>
      <c r="V1" s="159"/>
      <c r="W1" s="200"/>
      <c r="X1" s="1119" t="s">
        <v>388</v>
      </c>
      <c r="Y1" s="1120"/>
      <c r="Z1" s="1120"/>
      <c r="AA1" s="1120"/>
      <c r="AB1" s="1120"/>
      <c r="AC1" s="1120"/>
      <c r="AD1" s="1120"/>
      <c r="AE1" s="1120"/>
      <c r="AF1" s="1120"/>
      <c r="AG1" s="1120"/>
      <c r="AH1" s="1120"/>
      <c r="AI1" s="1120"/>
      <c r="AJ1" s="1120"/>
      <c r="AK1" s="1120"/>
      <c r="AL1" s="1120"/>
      <c r="AM1" s="1120"/>
      <c r="AN1" s="1120"/>
      <c r="AO1" s="1120"/>
      <c r="AP1" s="1120"/>
      <c r="AQ1" s="1121"/>
      <c r="AR1" s="990"/>
      <c r="AS1" s="990"/>
      <c r="AT1" s="1119" t="s">
        <v>575</v>
      </c>
      <c r="AU1" s="1120"/>
      <c r="AV1" s="1120"/>
      <c r="AW1" s="1120"/>
      <c r="AX1" s="1120"/>
      <c r="AY1" s="1120"/>
      <c r="AZ1" s="1120"/>
      <c r="BA1" s="1120"/>
      <c r="BB1" s="1120"/>
      <c r="BC1" s="1120"/>
      <c r="BD1" s="1120"/>
      <c r="BE1" s="1120"/>
      <c r="BF1" s="1120"/>
      <c r="BG1" s="1120"/>
      <c r="BH1" s="1120"/>
      <c r="BI1" s="1120"/>
      <c r="BJ1" s="1120"/>
      <c r="BK1" s="1120"/>
      <c r="BL1" s="1120"/>
      <c r="BM1" s="1121"/>
      <c r="BO1" s="199"/>
      <c r="BP1" s="1116" t="s">
        <v>138</v>
      </c>
      <c r="BQ1" s="1117"/>
      <c r="BR1" s="1117"/>
      <c r="BS1" s="1117"/>
      <c r="BT1" s="1117"/>
      <c r="BU1" s="1117"/>
      <c r="BV1" s="1117"/>
      <c r="BW1" s="1117"/>
      <c r="BX1" s="1117"/>
      <c r="BY1" s="1117"/>
      <c r="BZ1" s="1117"/>
      <c r="CA1" s="1117"/>
      <c r="CB1" s="1117"/>
      <c r="CC1" s="1117"/>
      <c r="CD1" s="1117"/>
      <c r="CE1" s="1117"/>
      <c r="CF1" s="1117"/>
      <c r="CG1" s="1117"/>
      <c r="CH1" s="1117"/>
      <c r="CI1" s="1118"/>
      <c r="CJ1" s="159"/>
      <c r="CK1" s="200"/>
      <c r="CL1" s="1119" t="s">
        <v>389</v>
      </c>
      <c r="CM1" s="1120"/>
      <c r="CN1" s="1120"/>
      <c r="CO1" s="1120"/>
      <c r="CP1" s="1120"/>
      <c r="CQ1" s="1120"/>
      <c r="CR1" s="1120"/>
      <c r="CS1" s="1120"/>
      <c r="CT1" s="1120"/>
      <c r="CU1" s="1120"/>
      <c r="CV1" s="1120"/>
      <c r="CW1" s="1120"/>
      <c r="CX1" s="1120"/>
      <c r="CY1" s="1120"/>
      <c r="CZ1" s="1120"/>
      <c r="DA1" s="1120"/>
      <c r="DB1" s="1120"/>
      <c r="DC1" s="1120"/>
      <c r="DD1" s="1120"/>
      <c r="DE1" s="1121"/>
      <c r="DF1" s="990"/>
      <c r="DG1" s="990"/>
      <c r="DH1" s="1119" t="s">
        <v>576</v>
      </c>
      <c r="DI1" s="1120"/>
      <c r="DJ1" s="1120"/>
      <c r="DK1" s="1120"/>
      <c r="DL1" s="1120"/>
      <c r="DM1" s="1120"/>
      <c r="DN1" s="1120"/>
      <c r="DO1" s="1120"/>
      <c r="DP1" s="1120"/>
      <c r="DQ1" s="1120"/>
      <c r="DR1" s="1120"/>
      <c r="DS1" s="1120"/>
      <c r="DT1" s="1120"/>
      <c r="DU1" s="1120"/>
      <c r="DV1" s="1120"/>
      <c r="DW1" s="1120"/>
      <c r="DX1" s="1120"/>
      <c r="DY1" s="1120"/>
      <c r="DZ1" s="1120"/>
      <c r="EA1" s="1121"/>
      <c r="EC1" s="199"/>
      <c r="ED1" s="1116" t="s">
        <v>139</v>
      </c>
      <c r="EE1" s="1117"/>
      <c r="EF1" s="1117"/>
      <c r="EG1" s="1117"/>
      <c r="EH1" s="1117"/>
      <c r="EI1" s="1117"/>
      <c r="EJ1" s="1117"/>
      <c r="EK1" s="1117"/>
      <c r="EL1" s="1117"/>
      <c r="EM1" s="1117"/>
      <c r="EN1" s="1117"/>
      <c r="EO1" s="1117"/>
      <c r="EP1" s="1117"/>
      <c r="EQ1" s="1117"/>
      <c r="ER1" s="1117"/>
      <c r="ES1" s="1117"/>
      <c r="ET1" s="1117"/>
      <c r="EU1" s="1117"/>
      <c r="EV1" s="1117"/>
      <c r="EW1" s="1118"/>
      <c r="EX1" s="159"/>
      <c r="EY1" s="200"/>
      <c r="EZ1" s="1119" t="s">
        <v>390</v>
      </c>
      <c r="FA1" s="1120"/>
      <c r="FB1" s="1120"/>
      <c r="FC1" s="1120"/>
      <c r="FD1" s="1120"/>
      <c r="FE1" s="1120"/>
      <c r="FF1" s="1120"/>
      <c r="FG1" s="1120"/>
      <c r="FH1" s="1120"/>
      <c r="FI1" s="1120"/>
      <c r="FJ1" s="1120"/>
      <c r="FK1" s="1120"/>
      <c r="FL1" s="1120"/>
      <c r="FM1" s="1120"/>
      <c r="FN1" s="1120"/>
      <c r="FO1" s="1120"/>
      <c r="FP1" s="1120"/>
      <c r="FQ1" s="1120"/>
      <c r="FR1" s="1120"/>
      <c r="FS1" s="1121"/>
      <c r="FT1" s="362"/>
      <c r="FU1" s="362"/>
      <c r="FV1" s="1119" t="s">
        <v>577</v>
      </c>
      <c r="FW1" s="1120"/>
      <c r="FX1" s="1120"/>
      <c r="FY1" s="1120"/>
      <c r="FZ1" s="1120"/>
      <c r="GA1" s="1120"/>
      <c r="GB1" s="1120"/>
      <c r="GC1" s="1120"/>
      <c r="GD1" s="1120"/>
      <c r="GE1" s="1120"/>
      <c r="GF1" s="1120"/>
      <c r="GG1" s="1120"/>
      <c r="GH1" s="1120"/>
      <c r="GI1" s="1120"/>
      <c r="GJ1" s="1120"/>
      <c r="GK1" s="1120"/>
      <c r="GL1" s="1120"/>
      <c r="GM1" s="1120"/>
      <c r="GN1" s="1120"/>
      <c r="GO1" s="1121"/>
    </row>
    <row r="2" spans="1:197" ht="19">
      <c r="A2" s="163"/>
      <c r="B2" s="1122" t="s">
        <v>300</v>
      </c>
      <c r="C2" s="1123"/>
      <c r="D2" s="1123"/>
      <c r="E2" s="1124"/>
      <c r="F2" s="1122" t="s">
        <v>339</v>
      </c>
      <c r="G2" s="1123"/>
      <c r="H2" s="1123"/>
      <c r="I2" s="1124"/>
      <c r="J2" s="1122" t="s">
        <v>165</v>
      </c>
      <c r="K2" s="1123"/>
      <c r="L2" s="1123"/>
      <c r="M2" s="1124"/>
      <c r="N2" s="1122" t="s">
        <v>226</v>
      </c>
      <c r="O2" s="1123"/>
      <c r="P2" s="1123"/>
      <c r="Q2" s="1124"/>
      <c r="R2" s="1122" t="s">
        <v>266</v>
      </c>
      <c r="S2" s="1123"/>
      <c r="T2" s="1123"/>
      <c r="U2" s="1124"/>
      <c r="V2" s="201"/>
      <c r="W2" s="201"/>
      <c r="X2" s="1069" t="s">
        <v>394</v>
      </c>
      <c r="Y2" s="1070"/>
      <c r="Z2" s="1070"/>
      <c r="AA2" s="1071"/>
      <c r="AB2" s="1069" t="s">
        <v>463</v>
      </c>
      <c r="AC2" s="1070"/>
      <c r="AD2" s="1070"/>
      <c r="AE2" s="1071"/>
      <c r="AF2" s="1069" t="s">
        <v>502</v>
      </c>
      <c r="AG2" s="1070"/>
      <c r="AH2" s="1070"/>
      <c r="AI2" s="1071"/>
      <c r="AJ2" s="1069" t="s">
        <v>539</v>
      </c>
      <c r="AK2" s="1070"/>
      <c r="AL2" s="1070"/>
      <c r="AM2" s="1071"/>
      <c r="AN2" s="1069" t="s">
        <v>429</v>
      </c>
      <c r="AO2" s="1070"/>
      <c r="AP2" s="1070"/>
      <c r="AQ2" s="1071"/>
      <c r="AS2" s="201"/>
      <c r="AT2" s="1125" t="s">
        <v>650</v>
      </c>
      <c r="AU2" s="1126"/>
      <c r="AV2" s="1126"/>
      <c r="AW2" s="1127"/>
      <c r="AX2" s="1125" t="s">
        <v>611</v>
      </c>
      <c r="AY2" s="1126"/>
      <c r="AZ2" s="1126"/>
      <c r="BA2" s="1127"/>
      <c r="BB2" s="1125" t="s">
        <v>717</v>
      </c>
      <c r="BC2" s="1126"/>
      <c r="BD2" s="1126"/>
      <c r="BE2" s="1127"/>
      <c r="BF2" s="1125" t="s">
        <v>685</v>
      </c>
      <c r="BG2" s="1126"/>
      <c r="BH2" s="1126"/>
      <c r="BI2" s="1127"/>
      <c r="BJ2" s="1125" t="s">
        <v>580</v>
      </c>
      <c r="BK2" s="1126"/>
      <c r="BL2" s="1126"/>
      <c r="BM2" s="1127"/>
      <c r="BO2" s="163"/>
      <c r="BP2" s="1122" t="s">
        <v>339</v>
      </c>
      <c r="BQ2" s="1123"/>
      <c r="BR2" s="1123"/>
      <c r="BS2" s="1124"/>
      <c r="BT2" s="1122" t="s">
        <v>165</v>
      </c>
      <c r="BU2" s="1123"/>
      <c r="BV2" s="1123"/>
      <c r="BW2" s="1124"/>
      <c r="BX2" s="1122" t="s">
        <v>226</v>
      </c>
      <c r="BY2" s="1123"/>
      <c r="BZ2" s="1123"/>
      <c r="CA2" s="1124"/>
      <c r="CB2" s="1122" t="s">
        <v>266</v>
      </c>
      <c r="CC2" s="1123"/>
      <c r="CD2" s="1123"/>
      <c r="CE2" s="1124"/>
      <c r="CF2" s="1122" t="s">
        <v>300</v>
      </c>
      <c r="CG2" s="1123"/>
      <c r="CH2" s="1123"/>
      <c r="CI2" s="1124"/>
      <c r="CK2" s="201"/>
      <c r="CL2" s="1069" t="s">
        <v>463</v>
      </c>
      <c r="CM2" s="1070"/>
      <c r="CN2" s="1070"/>
      <c r="CO2" s="1071"/>
      <c r="CP2" s="1069" t="s">
        <v>502</v>
      </c>
      <c r="CQ2" s="1070"/>
      <c r="CR2" s="1070"/>
      <c r="CS2" s="1071"/>
      <c r="CT2" s="1069" t="s">
        <v>539</v>
      </c>
      <c r="CU2" s="1070"/>
      <c r="CV2" s="1070"/>
      <c r="CW2" s="1071"/>
      <c r="CX2" s="1069" t="s">
        <v>429</v>
      </c>
      <c r="CY2" s="1070"/>
      <c r="CZ2" s="1070"/>
      <c r="DA2" s="1071"/>
      <c r="DB2" s="1069" t="s">
        <v>394</v>
      </c>
      <c r="DC2" s="1070"/>
      <c r="DD2" s="1070"/>
      <c r="DE2" s="1071"/>
      <c r="DG2" s="201"/>
      <c r="DH2" s="1125" t="s">
        <v>611</v>
      </c>
      <c r="DI2" s="1126"/>
      <c r="DJ2" s="1126"/>
      <c r="DK2" s="1127"/>
      <c r="DL2" s="1125" t="s">
        <v>717</v>
      </c>
      <c r="DM2" s="1126"/>
      <c r="DN2" s="1126"/>
      <c r="DO2" s="1127"/>
      <c r="DP2" s="1125" t="s">
        <v>685</v>
      </c>
      <c r="DQ2" s="1126"/>
      <c r="DR2" s="1126"/>
      <c r="DS2" s="1127"/>
      <c r="DT2" s="1125" t="s">
        <v>580</v>
      </c>
      <c r="DU2" s="1126"/>
      <c r="DV2" s="1126"/>
      <c r="DW2" s="1127"/>
      <c r="DX2" s="1125" t="s">
        <v>650</v>
      </c>
      <c r="DY2" s="1126"/>
      <c r="DZ2" s="1126"/>
      <c r="EA2" s="1127"/>
      <c r="EC2" s="163"/>
      <c r="ED2" s="1122" t="s">
        <v>165</v>
      </c>
      <c r="EE2" s="1123"/>
      <c r="EF2" s="1123"/>
      <c r="EG2" s="1124"/>
      <c r="EH2" s="1122" t="s">
        <v>226</v>
      </c>
      <c r="EI2" s="1123"/>
      <c r="EJ2" s="1123"/>
      <c r="EK2" s="1124"/>
      <c r="EL2" s="1122" t="s">
        <v>266</v>
      </c>
      <c r="EM2" s="1123"/>
      <c r="EN2" s="1123"/>
      <c r="EO2" s="1124"/>
      <c r="EP2" s="1122" t="s">
        <v>300</v>
      </c>
      <c r="EQ2" s="1123"/>
      <c r="ER2" s="1123"/>
      <c r="ES2" s="1124"/>
      <c r="ET2" s="1122" t="s">
        <v>339</v>
      </c>
      <c r="EU2" s="1123"/>
      <c r="EV2" s="1123"/>
      <c r="EW2" s="1124"/>
      <c r="EY2" s="201"/>
      <c r="EZ2" s="1069" t="s">
        <v>502</v>
      </c>
      <c r="FA2" s="1070"/>
      <c r="FB2" s="1070"/>
      <c r="FC2" s="1071"/>
      <c r="FD2" s="1069" t="s">
        <v>539</v>
      </c>
      <c r="FE2" s="1070"/>
      <c r="FF2" s="1070"/>
      <c r="FG2" s="1071"/>
      <c r="FH2" s="1069" t="s">
        <v>429</v>
      </c>
      <c r="FI2" s="1070"/>
      <c r="FJ2" s="1070"/>
      <c r="FK2" s="1071"/>
      <c r="FL2" s="1069" t="s">
        <v>394</v>
      </c>
      <c r="FM2" s="1070"/>
      <c r="FN2" s="1070"/>
      <c r="FO2" s="1071"/>
      <c r="FP2" s="1069" t="s">
        <v>463</v>
      </c>
      <c r="FQ2" s="1070"/>
      <c r="FR2" s="1070"/>
      <c r="FS2" s="1071"/>
      <c r="FU2" s="201"/>
      <c r="FV2" s="1125" t="s">
        <v>717</v>
      </c>
      <c r="FW2" s="1126"/>
      <c r="FX2" s="1126"/>
      <c r="FY2" s="1127"/>
      <c r="FZ2" s="1125" t="s">
        <v>685</v>
      </c>
      <c r="GA2" s="1126"/>
      <c r="GB2" s="1126"/>
      <c r="GC2" s="1127"/>
      <c r="GD2" s="1125" t="s">
        <v>580</v>
      </c>
      <c r="GE2" s="1126"/>
      <c r="GF2" s="1126"/>
      <c r="GG2" s="1127"/>
      <c r="GH2" s="1125" t="s">
        <v>650</v>
      </c>
      <c r="GI2" s="1126"/>
      <c r="GJ2" s="1126"/>
      <c r="GK2" s="1127"/>
      <c r="GL2" s="1125" t="s">
        <v>611</v>
      </c>
      <c r="GM2" s="1126"/>
      <c r="GN2" s="1126"/>
      <c r="GO2" s="1127"/>
    </row>
    <row r="3" spans="1:197">
      <c r="A3" s="202">
        <v>1</v>
      </c>
      <c r="B3" s="203"/>
      <c r="C3" s="204" t="s">
        <v>463</v>
      </c>
      <c r="D3" s="391">
        <v>7</v>
      </c>
      <c r="E3" s="389">
        <v>6</v>
      </c>
      <c r="F3" s="271"/>
      <c r="G3" s="209" t="s">
        <v>165</v>
      </c>
      <c r="H3" s="393">
        <v>4</v>
      </c>
      <c r="I3" s="397">
        <v>5</v>
      </c>
      <c r="J3" s="271" t="s">
        <v>144</v>
      </c>
      <c r="K3" s="209" t="s">
        <v>339</v>
      </c>
      <c r="L3" s="401">
        <v>5</v>
      </c>
      <c r="M3" s="403">
        <v>4</v>
      </c>
      <c r="N3" s="271"/>
      <c r="O3" s="209" t="s">
        <v>266</v>
      </c>
      <c r="P3" s="393">
        <v>2</v>
      </c>
      <c r="Q3" s="397">
        <v>6</v>
      </c>
      <c r="R3" s="271" t="s">
        <v>144</v>
      </c>
      <c r="S3" s="209" t="s">
        <v>226</v>
      </c>
      <c r="T3" s="401">
        <v>6</v>
      </c>
      <c r="U3" s="399">
        <v>2</v>
      </c>
      <c r="V3" s="163"/>
      <c r="W3" s="202">
        <v>1</v>
      </c>
      <c r="X3" s="203" t="s">
        <v>144</v>
      </c>
      <c r="Y3" s="204" t="s">
        <v>539</v>
      </c>
      <c r="Z3" s="406">
        <v>3</v>
      </c>
      <c r="AA3" s="405">
        <v>9</v>
      </c>
      <c r="AB3" s="271" t="s">
        <v>144</v>
      </c>
      <c r="AC3" s="209" t="s">
        <v>300</v>
      </c>
      <c r="AD3" s="393">
        <v>6</v>
      </c>
      <c r="AE3" s="395">
        <v>7</v>
      </c>
      <c r="AF3" s="203"/>
      <c r="AG3" s="204" t="s">
        <v>429</v>
      </c>
      <c r="AH3" s="406">
        <v>1</v>
      </c>
      <c r="AI3" s="405">
        <v>2</v>
      </c>
      <c r="AJ3" s="203"/>
      <c r="AK3" s="204" t="s">
        <v>394</v>
      </c>
      <c r="AL3" s="391">
        <v>9</v>
      </c>
      <c r="AM3" s="389">
        <v>3</v>
      </c>
      <c r="AN3" s="203" t="s">
        <v>144</v>
      </c>
      <c r="AO3" s="204" t="s">
        <v>502</v>
      </c>
      <c r="AP3" s="391">
        <v>2</v>
      </c>
      <c r="AQ3" s="389">
        <v>1</v>
      </c>
      <c r="AR3" s="163"/>
      <c r="AS3" s="202">
        <v>1</v>
      </c>
      <c r="AT3" s="333" t="s">
        <v>144</v>
      </c>
      <c r="AU3" s="334" t="s">
        <v>685</v>
      </c>
      <c r="AV3" s="416">
        <v>8</v>
      </c>
      <c r="AW3" s="417">
        <v>3</v>
      </c>
      <c r="AX3" s="212"/>
      <c r="AY3" s="213" t="s">
        <v>1229</v>
      </c>
      <c r="AZ3" s="423">
        <v>8</v>
      </c>
      <c r="BA3" s="424">
        <v>9</v>
      </c>
      <c r="BB3" s="333"/>
      <c r="BC3" s="334" t="s">
        <v>580</v>
      </c>
      <c r="BD3" s="413">
        <v>1</v>
      </c>
      <c r="BE3" s="420">
        <v>2</v>
      </c>
      <c r="BF3" s="333"/>
      <c r="BG3" s="334" t="s">
        <v>650</v>
      </c>
      <c r="BH3" s="413">
        <v>3</v>
      </c>
      <c r="BI3" s="412">
        <v>8</v>
      </c>
      <c r="BJ3" s="333" t="s">
        <v>144</v>
      </c>
      <c r="BK3" s="334" t="s">
        <v>717</v>
      </c>
      <c r="BL3" s="416">
        <v>2</v>
      </c>
      <c r="BM3" s="417">
        <v>1</v>
      </c>
      <c r="BO3" s="202">
        <v>1</v>
      </c>
      <c r="BP3" s="203"/>
      <c r="BQ3" s="204" t="s">
        <v>502</v>
      </c>
      <c r="BR3" s="207">
        <v>4</v>
      </c>
      <c r="BS3" s="208">
        <v>3</v>
      </c>
      <c r="BT3" s="271"/>
      <c r="BU3" s="209" t="s">
        <v>226</v>
      </c>
      <c r="BV3" s="216">
        <v>7</v>
      </c>
      <c r="BW3" s="218">
        <v>2</v>
      </c>
      <c r="BX3" s="271" t="s">
        <v>144</v>
      </c>
      <c r="BY3" s="209" t="s">
        <v>165</v>
      </c>
      <c r="BZ3" s="210">
        <v>2</v>
      </c>
      <c r="CA3" s="306">
        <v>7</v>
      </c>
      <c r="CB3" s="271"/>
      <c r="CC3" s="209" t="s">
        <v>300</v>
      </c>
      <c r="CD3" s="216">
        <v>5</v>
      </c>
      <c r="CE3" s="218">
        <v>0</v>
      </c>
      <c r="CF3" s="271" t="s">
        <v>144</v>
      </c>
      <c r="CG3" s="209" t="s">
        <v>266</v>
      </c>
      <c r="CH3" s="210">
        <v>0</v>
      </c>
      <c r="CI3" s="211">
        <v>5</v>
      </c>
      <c r="CJ3" s="163"/>
      <c r="CK3" s="202">
        <v>1</v>
      </c>
      <c r="CL3" s="203" t="s">
        <v>144</v>
      </c>
      <c r="CM3" s="204" t="s">
        <v>429</v>
      </c>
      <c r="CN3" s="205">
        <v>1</v>
      </c>
      <c r="CO3" s="206">
        <v>5</v>
      </c>
      <c r="CP3" s="271" t="s">
        <v>144</v>
      </c>
      <c r="CQ3" s="209" t="s">
        <v>339</v>
      </c>
      <c r="CR3" s="210">
        <v>3</v>
      </c>
      <c r="CS3" s="211">
        <v>4</v>
      </c>
      <c r="CT3" s="203"/>
      <c r="CU3" s="204" t="s">
        <v>394</v>
      </c>
      <c r="CV3" s="207">
        <v>5</v>
      </c>
      <c r="CW3" s="208">
        <v>0</v>
      </c>
      <c r="CX3" s="203"/>
      <c r="CY3" s="204" t="s">
        <v>463</v>
      </c>
      <c r="CZ3" s="207">
        <v>5</v>
      </c>
      <c r="DA3" s="208">
        <v>1</v>
      </c>
      <c r="DB3" s="203" t="s">
        <v>144</v>
      </c>
      <c r="DC3" s="204" t="s">
        <v>539</v>
      </c>
      <c r="DD3" s="205">
        <v>0</v>
      </c>
      <c r="DE3" s="206">
        <v>5</v>
      </c>
      <c r="DF3" s="163"/>
      <c r="DG3" s="202">
        <v>1</v>
      </c>
      <c r="DH3" s="333" t="s">
        <v>144</v>
      </c>
      <c r="DI3" s="334" t="s">
        <v>580</v>
      </c>
      <c r="DJ3" s="337">
        <v>3</v>
      </c>
      <c r="DK3" s="338">
        <v>2</v>
      </c>
      <c r="DL3" s="212"/>
      <c r="DM3" s="213" t="s">
        <v>1139</v>
      </c>
      <c r="DN3" s="304">
        <v>2</v>
      </c>
      <c r="DO3" s="305">
        <v>4</v>
      </c>
      <c r="DP3" s="333"/>
      <c r="DQ3" s="334" t="s">
        <v>650</v>
      </c>
      <c r="DR3" s="335">
        <v>4</v>
      </c>
      <c r="DS3" s="336">
        <v>8</v>
      </c>
      <c r="DT3" s="333"/>
      <c r="DU3" s="334" t="s">
        <v>611</v>
      </c>
      <c r="DV3" s="335">
        <v>2</v>
      </c>
      <c r="DW3" s="344">
        <v>3</v>
      </c>
      <c r="DX3" s="333" t="s">
        <v>144</v>
      </c>
      <c r="DY3" s="334" t="s">
        <v>685</v>
      </c>
      <c r="DZ3" s="337">
        <v>8</v>
      </c>
      <c r="EA3" s="338">
        <v>4</v>
      </c>
      <c r="EC3" s="202">
        <v>1</v>
      </c>
      <c r="ED3" s="203"/>
      <c r="EE3" s="204" t="s">
        <v>539</v>
      </c>
      <c r="EF3" s="205">
        <v>4</v>
      </c>
      <c r="EG3" s="206">
        <v>5</v>
      </c>
      <c r="EH3" s="271"/>
      <c r="EI3" s="209" t="s">
        <v>266</v>
      </c>
      <c r="EJ3" s="216">
        <v>7</v>
      </c>
      <c r="EK3" s="218">
        <v>1</v>
      </c>
      <c r="EL3" s="271" t="s">
        <v>144</v>
      </c>
      <c r="EM3" s="209" t="s">
        <v>226</v>
      </c>
      <c r="EN3" s="210">
        <v>1</v>
      </c>
      <c r="EO3" s="306">
        <v>7</v>
      </c>
      <c r="EP3" s="271"/>
      <c r="EQ3" s="209" t="s">
        <v>339</v>
      </c>
      <c r="ER3" s="216">
        <v>5</v>
      </c>
      <c r="ES3" s="218">
        <v>4</v>
      </c>
      <c r="ET3" s="271" t="s">
        <v>144</v>
      </c>
      <c r="EU3" s="209" t="s">
        <v>300</v>
      </c>
      <c r="EV3" s="210">
        <v>4</v>
      </c>
      <c r="EW3" s="211">
        <v>5</v>
      </c>
      <c r="EX3" s="163"/>
      <c r="EY3" s="202">
        <v>1</v>
      </c>
      <c r="EZ3" s="203" t="s">
        <v>144</v>
      </c>
      <c r="FA3" s="204" t="s">
        <v>394</v>
      </c>
      <c r="FB3" s="207">
        <v>5</v>
      </c>
      <c r="FC3" s="208">
        <v>4</v>
      </c>
      <c r="FD3" s="271" t="s">
        <v>144</v>
      </c>
      <c r="FE3" s="209" t="s">
        <v>165</v>
      </c>
      <c r="FF3" s="216">
        <v>5</v>
      </c>
      <c r="FG3" s="217">
        <v>4</v>
      </c>
      <c r="FH3" s="203"/>
      <c r="FI3" s="204" t="s">
        <v>463</v>
      </c>
      <c r="FJ3" s="207">
        <v>5</v>
      </c>
      <c r="FK3" s="208">
        <v>2</v>
      </c>
      <c r="FL3" s="203"/>
      <c r="FM3" s="204" t="s">
        <v>502</v>
      </c>
      <c r="FN3" s="205">
        <v>4</v>
      </c>
      <c r="FO3" s="206">
        <v>5</v>
      </c>
      <c r="FP3" s="203" t="s">
        <v>144</v>
      </c>
      <c r="FQ3" s="204" t="s">
        <v>429</v>
      </c>
      <c r="FR3" s="205">
        <v>2</v>
      </c>
      <c r="FS3" s="206">
        <v>5</v>
      </c>
      <c r="FT3" s="163"/>
      <c r="FU3" s="202">
        <v>1</v>
      </c>
      <c r="FV3" s="333" t="s">
        <v>144</v>
      </c>
      <c r="FW3" s="334" t="s">
        <v>650</v>
      </c>
      <c r="FX3" s="335">
        <v>7</v>
      </c>
      <c r="FY3" s="336">
        <v>13</v>
      </c>
      <c r="FZ3" s="212"/>
      <c r="GA3" s="213" t="s">
        <v>1171</v>
      </c>
      <c r="GB3" s="214">
        <v>5</v>
      </c>
      <c r="GC3" s="215">
        <v>1</v>
      </c>
      <c r="GD3" s="333"/>
      <c r="GE3" s="334" t="s">
        <v>611</v>
      </c>
      <c r="GF3" s="337">
        <v>3</v>
      </c>
      <c r="GG3" s="338">
        <v>0</v>
      </c>
      <c r="GH3" s="333"/>
      <c r="GI3" s="334" t="s">
        <v>717</v>
      </c>
      <c r="GJ3" s="337">
        <v>13</v>
      </c>
      <c r="GK3" s="339">
        <v>7</v>
      </c>
      <c r="GL3" s="333" t="s">
        <v>144</v>
      </c>
      <c r="GM3" s="334" t="s">
        <v>580</v>
      </c>
      <c r="GN3" s="335">
        <v>0</v>
      </c>
      <c r="GO3" s="336">
        <v>3</v>
      </c>
    </row>
    <row r="4" spans="1:197">
      <c r="A4" s="202">
        <v>2</v>
      </c>
      <c r="B4" s="219"/>
      <c r="C4" s="220" t="s">
        <v>463</v>
      </c>
      <c r="D4" s="392">
        <v>2</v>
      </c>
      <c r="E4" s="390">
        <v>1</v>
      </c>
      <c r="F4" s="229"/>
      <c r="G4" s="230" t="s">
        <v>165</v>
      </c>
      <c r="H4" s="394">
        <v>4</v>
      </c>
      <c r="I4" s="398">
        <v>6</v>
      </c>
      <c r="J4" s="229" t="s">
        <v>144</v>
      </c>
      <c r="K4" s="230" t="s">
        <v>339</v>
      </c>
      <c r="L4" s="402">
        <v>6</v>
      </c>
      <c r="M4" s="404">
        <v>4</v>
      </c>
      <c r="N4" s="229"/>
      <c r="O4" s="230" t="s">
        <v>266</v>
      </c>
      <c r="P4" s="394">
        <v>6</v>
      </c>
      <c r="Q4" s="398">
        <v>8</v>
      </c>
      <c r="R4" s="229" t="s">
        <v>144</v>
      </c>
      <c r="S4" s="230" t="s">
        <v>226</v>
      </c>
      <c r="T4" s="402">
        <v>8</v>
      </c>
      <c r="U4" s="400">
        <v>6</v>
      </c>
      <c r="V4" s="163"/>
      <c r="W4" s="202">
        <v>2</v>
      </c>
      <c r="X4" s="219" t="s">
        <v>144</v>
      </c>
      <c r="Y4" s="220" t="s">
        <v>539</v>
      </c>
      <c r="Z4" s="221">
        <v>3</v>
      </c>
      <c r="AA4" s="222">
        <v>6</v>
      </c>
      <c r="AB4" s="229" t="s">
        <v>144</v>
      </c>
      <c r="AC4" s="230" t="s">
        <v>300</v>
      </c>
      <c r="AD4" s="394">
        <v>1</v>
      </c>
      <c r="AE4" s="396">
        <v>2</v>
      </c>
      <c r="AF4" s="219"/>
      <c r="AG4" s="220" t="s">
        <v>429</v>
      </c>
      <c r="AH4" s="408">
        <v>1</v>
      </c>
      <c r="AI4" s="409">
        <v>2</v>
      </c>
      <c r="AJ4" s="219"/>
      <c r="AK4" s="220" t="s">
        <v>394</v>
      </c>
      <c r="AL4" s="225">
        <v>6</v>
      </c>
      <c r="AM4" s="226">
        <v>3</v>
      </c>
      <c r="AN4" s="219" t="s">
        <v>144</v>
      </c>
      <c r="AO4" s="220" t="s">
        <v>502</v>
      </c>
      <c r="AP4" s="410">
        <v>2</v>
      </c>
      <c r="AQ4" s="411">
        <v>1</v>
      </c>
      <c r="AR4" s="163"/>
      <c r="AS4" s="202">
        <v>2</v>
      </c>
      <c r="AT4" s="313" t="s">
        <v>144</v>
      </c>
      <c r="AU4" s="314" t="s">
        <v>685</v>
      </c>
      <c r="AV4" s="418">
        <v>5</v>
      </c>
      <c r="AW4" s="419">
        <v>8</v>
      </c>
      <c r="AX4" s="233"/>
      <c r="AY4" s="234" t="s">
        <v>1229</v>
      </c>
      <c r="AZ4" s="426">
        <v>7</v>
      </c>
      <c r="BA4" s="425">
        <v>0</v>
      </c>
      <c r="BB4" s="313"/>
      <c r="BC4" s="314" t="s">
        <v>580</v>
      </c>
      <c r="BD4" s="418">
        <v>0</v>
      </c>
      <c r="BE4" s="419">
        <v>1</v>
      </c>
      <c r="BF4" s="313"/>
      <c r="BG4" s="314" t="s">
        <v>650</v>
      </c>
      <c r="BH4" s="415">
        <v>8</v>
      </c>
      <c r="BI4" s="414">
        <v>5</v>
      </c>
      <c r="BJ4" s="313" t="s">
        <v>144</v>
      </c>
      <c r="BK4" s="314" t="s">
        <v>717</v>
      </c>
      <c r="BL4" s="422">
        <v>1</v>
      </c>
      <c r="BM4" s="421">
        <v>0</v>
      </c>
      <c r="BO4" s="202">
        <v>2</v>
      </c>
      <c r="BP4" s="219"/>
      <c r="BQ4" s="220" t="s">
        <v>502</v>
      </c>
      <c r="BR4" s="225">
        <v>15</v>
      </c>
      <c r="BS4" s="226">
        <v>4</v>
      </c>
      <c r="BT4" s="229"/>
      <c r="BU4" s="230" t="s">
        <v>226</v>
      </c>
      <c r="BV4" s="239">
        <v>7</v>
      </c>
      <c r="BW4" s="238">
        <v>12</v>
      </c>
      <c r="BX4" s="229" t="s">
        <v>144</v>
      </c>
      <c r="BY4" s="230" t="s">
        <v>165</v>
      </c>
      <c r="BZ4" s="231">
        <v>12</v>
      </c>
      <c r="CA4" s="264">
        <v>7</v>
      </c>
      <c r="CB4" s="229"/>
      <c r="CC4" s="230" t="s">
        <v>300</v>
      </c>
      <c r="CD4" s="246">
        <v>4</v>
      </c>
      <c r="CE4" s="258">
        <v>1</v>
      </c>
      <c r="CF4" s="229" t="s">
        <v>144</v>
      </c>
      <c r="CG4" s="230" t="s">
        <v>266</v>
      </c>
      <c r="CH4" s="237">
        <v>1</v>
      </c>
      <c r="CI4" s="248">
        <v>4</v>
      </c>
      <c r="CJ4" s="163"/>
      <c r="CK4" s="202">
        <v>2</v>
      </c>
      <c r="CL4" s="219" t="s">
        <v>144</v>
      </c>
      <c r="CM4" s="220" t="s">
        <v>429</v>
      </c>
      <c r="CN4" s="221">
        <v>1</v>
      </c>
      <c r="CO4" s="222">
        <v>3</v>
      </c>
      <c r="CP4" s="229" t="s">
        <v>144</v>
      </c>
      <c r="CQ4" s="230" t="s">
        <v>339</v>
      </c>
      <c r="CR4" s="239">
        <v>4</v>
      </c>
      <c r="CS4" s="240">
        <v>15</v>
      </c>
      <c r="CT4" s="219"/>
      <c r="CU4" s="220" t="s">
        <v>394</v>
      </c>
      <c r="CV4" s="227">
        <v>0</v>
      </c>
      <c r="CW4" s="228">
        <v>5</v>
      </c>
      <c r="CX4" s="219"/>
      <c r="CY4" s="220" t="s">
        <v>463</v>
      </c>
      <c r="CZ4" s="225">
        <v>3</v>
      </c>
      <c r="DA4" s="226">
        <v>1</v>
      </c>
      <c r="DB4" s="219" t="s">
        <v>144</v>
      </c>
      <c r="DC4" s="220" t="s">
        <v>539</v>
      </c>
      <c r="DD4" s="223">
        <v>5</v>
      </c>
      <c r="DE4" s="224">
        <v>0</v>
      </c>
      <c r="DF4" s="163"/>
      <c r="DG4" s="202">
        <v>2</v>
      </c>
      <c r="DH4" s="313" t="s">
        <v>144</v>
      </c>
      <c r="DI4" s="314" t="s">
        <v>580</v>
      </c>
      <c r="DJ4" s="322">
        <v>1</v>
      </c>
      <c r="DK4" s="323">
        <v>2</v>
      </c>
      <c r="DL4" s="233"/>
      <c r="DM4" s="234" t="s">
        <v>1139</v>
      </c>
      <c r="DN4" s="235">
        <v>7</v>
      </c>
      <c r="DO4" s="236">
        <v>9</v>
      </c>
      <c r="DP4" s="313"/>
      <c r="DQ4" s="314" t="s">
        <v>650</v>
      </c>
      <c r="DR4" s="322">
        <v>0</v>
      </c>
      <c r="DS4" s="323">
        <v>14</v>
      </c>
      <c r="DT4" s="313"/>
      <c r="DU4" s="314" t="s">
        <v>611</v>
      </c>
      <c r="DV4" s="318">
        <v>2</v>
      </c>
      <c r="DW4" s="317">
        <v>1</v>
      </c>
      <c r="DX4" s="313" t="s">
        <v>144</v>
      </c>
      <c r="DY4" s="314" t="s">
        <v>685</v>
      </c>
      <c r="DZ4" s="315">
        <v>14</v>
      </c>
      <c r="EA4" s="316">
        <v>0</v>
      </c>
      <c r="EC4" s="202">
        <v>2</v>
      </c>
      <c r="ED4" s="219"/>
      <c r="EE4" s="220" t="s">
        <v>539</v>
      </c>
      <c r="EF4" s="221">
        <v>4</v>
      </c>
      <c r="EG4" s="222">
        <v>7</v>
      </c>
      <c r="EH4" s="229"/>
      <c r="EI4" s="230" t="s">
        <v>266</v>
      </c>
      <c r="EJ4" s="246">
        <v>5</v>
      </c>
      <c r="EK4" s="258">
        <v>4</v>
      </c>
      <c r="EL4" s="229" t="s">
        <v>144</v>
      </c>
      <c r="EM4" s="230" t="s">
        <v>226</v>
      </c>
      <c r="EN4" s="237">
        <v>4</v>
      </c>
      <c r="EO4" s="268">
        <v>5</v>
      </c>
      <c r="EP4" s="229"/>
      <c r="EQ4" s="230" t="s">
        <v>339</v>
      </c>
      <c r="ER4" s="246">
        <v>6</v>
      </c>
      <c r="ES4" s="258">
        <v>5</v>
      </c>
      <c r="ET4" s="229" t="s">
        <v>144</v>
      </c>
      <c r="EU4" s="230" t="s">
        <v>300</v>
      </c>
      <c r="EV4" s="237">
        <v>5</v>
      </c>
      <c r="EW4" s="248">
        <v>6</v>
      </c>
      <c r="EX4" s="163"/>
      <c r="EY4" s="202">
        <v>2</v>
      </c>
      <c r="EZ4" s="219" t="s">
        <v>144</v>
      </c>
      <c r="FA4" s="220" t="s">
        <v>394</v>
      </c>
      <c r="FB4" s="221">
        <v>2</v>
      </c>
      <c r="FC4" s="222">
        <v>3</v>
      </c>
      <c r="FD4" s="229" t="s">
        <v>144</v>
      </c>
      <c r="FE4" s="230" t="s">
        <v>165</v>
      </c>
      <c r="FF4" s="246">
        <v>7</v>
      </c>
      <c r="FG4" s="247">
        <v>4</v>
      </c>
      <c r="FH4" s="219"/>
      <c r="FI4" s="220" t="s">
        <v>463</v>
      </c>
      <c r="FJ4" s="223">
        <v>6</v>
      </c>
      <c r="FK4" s="224">
        <v>5</v>
      </c>
      <c r="FL4" s="219"/>
      <c r="FM4" s="220" t="s">
        <v>502</v>
      </c>
      <c r="FN4" s="225">
        <v>3</v>
      </c>
      <c r="FO4" s="226">
        <v>2</v>
      </c>
      <c r="FP4" s="219" t="s">
        <v>144</v>
      </c>
      <c r="FQ4" s="220" t="s">
        <v>429</v>
      </c>
      <c r="FR4" s="227">
        <v>5</v>
      </c>
      <c r="FS4" s="228">
        <v>6</v>
      </c>
      <c r="FT4" s="163"/>
      <c r="FU4" s="202">
        <v>2</v>
      </c>
      <c r="FV4" s="313" t="s">
        <v>144</v>
      </c>
      <c r="FW4" s="314" t="s">
        <v>650</v>
      </c>
      <c r="FX4" s="318">
        <v>4</v>
      </c>
      <c r="FY4" s="321">
        <v>0</v>
      </c>
      <c r="FZ4" s="233"/>
      <c r="GA4" s="234" t="s">
        <v>1171</v>
      </c>
      <c r="GB4" s="235">
        <v>2</v>
      </c>
      <c r="GC4" s="236">
        <v>5</v>
      </c>
      <c r="GD4" s="313"/>
      <c r="GE4" s="314" t="s">
        <v>611</v>
      </c>
      <c r="GF4" s="318">
        <v>6</v>
      </c>
      <c r="GG4" s="321">
        <v>3</v>
      </c>
      <c r="GH4" s="313"/>
      <c r="GI4" s="314" t="s">
        <v>717</v>
      </c>
      <c r="GJ4" s="322">
        <v>0</v>
      </c>
      <c r="GK4" s="320">
        <v>4</v>
      </c>
      <c r="GL4" s="313" t="s">
        <v>144</v>
      </c>
      <c r="GM4" s="314" t="s">
        <v>580</v>
      </c>
      <c r="GN4" s="311">
        <v>3</v>
      </c>
      <c r="GO4" s="312">
        <v>6</v>
      </c>
    </row>
    <row r="5" spans="1:197">
      <c r="A5" s="202">
        <v>3</v>
      </c>
      <c r="B5" s="271"/>
      <c r="C5" s="245" t="s">
        <v>266</v>
      </c>
      <c r="D5" s="394">
        <v>2</v>
      </c>
      <c r="E5" s="396">
        <v>5</v>
      </c>
      <c r="F5" s="244" t="s">
        <v>144</v>
      </c>
      <c r="G5" s="245" t="s">
        <v>226</v>
      </c>
      <c r="H5" s="433">
        <v>4</v>
      </c>
      <c r="I5" s="432">
        <v>2</v>
      </c>
      <c r="J5" s="241" t="s">
        <v>144</v>
      </c>
      <c r="K5" s="242" t="s">
        <v>539</v>
      </c>
      <c r="L5" s="223">
        <v>5</v>
      </c>
      <c r="M5" s="243">
        <v>2</v>
      </c>
      <c r="N5" s="244"/>
      <c r="O5" s="245" t="s">
        <v>339</v>
      </c>
      <c r="P5" s="394">
        <v>2</v>
      </c>
      <c r="Q5" s="398">
        <v>4</v>
      </c>
      <c r="R5" s="244" t="s">
        <v>144</v>
      </c>
      <c r="S5" s="245" t="s">
        <v>300</v>
      </c>
      <c r="T5" s="402">
        <v>5</v>
      </c>
      <c r="U5" s="400">
        <v>2</v>
      </c>
      <c r="V5" s="163"/>
      <c r="W5" s="202">
        <v>3</v>
      </c>
      <c r="X5" s="241"/>
      <c r="Y5" s="242" t="s">
        <v>502</v>
      </c>
      <c r="Z5" s="225">
        <v>6</v>
      </c>
      <c r="AA5" s="226">
        <v>2</v>
      </c>
      <c r="AB5" s="241" t="s">
        <v>144</v>
      </c>
      <c r="AC5" s="242" t="s">
        <v>429</v>
      </c>
      <c r="AD5" s="221">
        <v>2</v>
      </c>
      <c r="AE5" s="222">
        <v>4</v>
      </c>
      <c r="AF5" s="241" t="s">
        <v>144</v>
      </c>
      <c r="AG5" s="242" t="s">
        <v>394</v>
      </c>
      <c r="AH5" s="227">
        <v>2</v>
      </c>
      <c r="AI5" s="228">
        <v>6</v>
      </c>
      <c r="AJ5" s="244"/>
      <c r="AK5" s="343" t="s">
        <v>165</v>
      </c>
      <c r="AL5" s="239">
        <v>2</v>
      </c>
      <c r="AM5" s="240">
        <v>5</v>
      </c>
      <c r="AN5" s="241"/>
      <c r="AO5" s="242" t="s">
        <v>463</v>
      </c>
      <c r="AP5" s="223">
        <v>4</v>
      </c>
      <c r="AQ5" s="224">
        <v>2</v>
      </c>
      <c r="AR5" s="163"/>
      <c r="AS5" s="202">
        <v>3</v>
      </c>
      <c r="AT5" s="309" t="s">
        <v>144</v>
      </c>
      <c r="AU5" s="310" t="s">
        <v>717</v>
      </c>
      <c r="AV5" s="418">
        <v>2</v>
      </c>
      <c r="AW5" s="419">
        <v>7</v>
      </c>
      <c r="AX5" s="309"/>
      <c r="AY5" s="310" t="s">
        <v>580</v>
      </c>
      <c r="AZ5" s="437">
        <v>2</v>
      </c>
      <c r="BA5" s="438">
        <v>11</v>
      </c>
      <c r="BB5" s="309"/>
      <c r="BC5" s="310" t="s">
        <v>650</v>
      </c>
      <c r="BD5" s="415">
        <v>7</v>
      </c>
      <c r="BE5" s="436">
        <v>2</v>
      </c>
      <c r="BF5" s="249" t="s">
        <v>144</v>
      </c>
      <c r="BG5" s="250" t="s">
        <v>1171</v>
      </c>
      <c r="BH5" s="251">
        <v>2</v>
      </c>
      <c r="BI5" s="252">
        <v>1</v>
      </c>
      <c r="BJ5" s="309" t="s">
        <v>144</v>
      </c>
      <c r="BK5" s="310" t="s">
        <v>611</v>
      </c>
      <c r="BL5" s="422">
        <v>11</v>
      </c>
      <c r="BM5" s="421">
        <v>2</v>
      </c>
      <c r="BO5" s="202">
        <v>3</v>
      </c>
      <c r="BP5" s="271"/>
      <c r="BQ5" s="245" t="s">
        <v>300</v>
      </c>
      <c r="BR5" s="239">
        <v>1</v>
      </c>
      <c r="BS5" s="240">
        <v>6</v>
      </c>
      <c r="BT5" s="244" t="s">
        <v>144</v>
      </c>
      <c r="BU5" s="245" t="s">
        <v>266</v>
      </c>
      <c r="BV5" s="246">
        <v>1</v>
      </c>
      <c r="BW5" s="258">
        <v>0</v>
      </c>
      <c r="BX5" s="241" t="s">
        <v>144</v>
      </c>
      <c r="BY5" s="242" t="s">
        <v>429</v>
      </c>
      <c r="BZ5" s="223">
        <v>9</v>
      </c>
      <c r="CA5" s="243">
        <v>6</v>
      </c>
      <c r="CB5" s="244"/>
      <c r="CC5" s="245" t="s">
        <v>165</v>
      </c>
      <c r="CD5" s="239">
        <v>0</v>
      </c>
      <c r="CE5" s="238">
        <v>1</v>
      </c>
      <c r="CF5" s="244" t="s">
        <v>144</v>
      </c>
      <c r="CG5" s="245" t="s">
        <v>339</v>
      </c>
      <c r="CH5" s="231">
        <v>6</v>
      </c>
      <c r="CI5" s="232">
        <v>1</v>
      </c>
      <c r="CJ5" s="163"/>
      <c r="CK5" s="202">
        <v>3</v>
      </c>
      <c r="CL5" s="241"/>
      <c r="CM5" s="242" t="s">
        <v>539</v>
      </c>
      <c r="CN5" s="221">
        <v>1</v>
      </c>
      <c r="CO5" s="222">
        <v>9</v>
      </c>
      <c r="CP5" s="241" t="s">
        <v>144</v>
      </c>
      <c r="CQ5" s="242" t="s">
        <v>394</v>
      </c>
      <c r="CR5" s="225">
        <v>8</v>
      </c>
      <c r="CS5" s="226">
        <v>6</v>
      </c>
      <c r="CT5" s="241" t="s">
        <v>144</v>
      </c>
      <c r="CU5" s="242" t="s">
        <v>463</v>
      </c>
      <c r="CV5" s="223">
        <v>9</v>
      </c>
      <c r="CW5" s="224">
        <v>1</v>
      </c>
      <c r="CX5" s="244"/>
      <c r="CY5" s="343" t="s">
        <v>226</v>
      </c>
      <c r="CZ5" s="239">
        <v>6</v>
      </c>
      <c r="DA5" s="240">
        <v>9</v>
      </c>
      <c r="DB5" s="241"/>
      <c r="DC5" s="242" t="s">
        <v>502</v>
      </c>
      <c r="DD5" s="227">
        <v>6</v>
      </c>
      <c r="DE5" s="228">
        <v>8</v>
      </c>
      <c r="DF5" s="163"/>
      <c r="DG5" s="202">
        <v>3</v>
      </c>
      <c r="DH5" s="309" t="s">
        <v>144</v>
      </c>
      <c r="DI5" s="310" t="s">
        <v>685</v>
      </c>
      <c r="DJ5" s="322">
        <v>3</v>
      </c>
      <c r="DK5" s="323">
        <v>8</v>
      </c>
      <c r="DL5" s="309"/>
      <c r="DM5" s="310" t="s">
        <v>650</v>
      </c>
      <c r="DN5" s="311">
        <v>1</v>
      </c>
      <c r="DO5" s="312">
        <v>5</v>
      </c>
      <c r="DP5" s="309"/>
      <c r="DQ5" s="310" t="s">
        <v>611</v>
      </c>
      <c r="DR5" s="318">
        <v>8</v>
      </c>
      <c r="DS5" s="321">
        <v>3</v>
      </c>
      <c r="DT5" s="249" t="s">
        <v>144</v>
      </c>
      <c r="DU5" s="250" t="s">
        <v>1200</v>
      </c>
      <c r="DV5" s="251">
        <v>4</v>
      </c>
      <c r="DW5" s="252">
        <v>0</v>
      </c>
      <c r="DX5" s="309" t="s">
        <v>144</v>
      </c>
      <c r="DY5" s="310" t="s">
        <v>717</v>
      </c>
      <c r="DZ5" s="315">
        <v>5</v>
      </c>
      <c r="EA5" s="316">
        <v>1</v>
      </c>
      <c r="EC5" s="202">
        <v>3</v>
      </c>
      <c r="ED5" s="271"/>
      <c r="EE5" s="245" t="s">
        <v>339</v>
      </c>
      <c r="EF5" s="246">
        <v>1</v>
      </c>
      <c r="EG5" s="247">
        <v>0</v>
      </c>
      <c r="EH5" s="244" t="s">
        <v>144</v>
      </c>
      <c r="EI5" s="245" t="s">
        <v>300</v>
      </c>
      <c r="EJ5" s="239">
        <v>3</v>
      </c>
      <c r="EK5" s="238">
        <v>4</v>
      </c>
      <c r="EL5" s="241" t="s">
        <v>144</v>
      </c>
      <c r="EM5" s="242" t="s">
        <v>394</v>
      </c>
      <c r="EN5" s="223">
        <v>5</v>
      </c>
      <c r="EO5" s="243">
        <v>0</v>
      </c>
      <c r="EP5" s="244"/>
      <c r="EQ5" s="245" t="s">
        <v>226</v>
      </c>
      <c r="ER5" s="246">
        <v>4</v>
      </c>
      <c r="ES5" s="258">
        <v>3</v>
      </c>
      <c r="ET5" s="244" t="s">
        <v>144</v>
      </c>
      <c r="EU5" s="245" t="s">
        <v>165</v>
      </c>
      <c r="EV5" s="237">
        <v>0</v>
      </c>
      <c r="EW5" s="248">
        <v>1</v>
      </c>
      <c r="EX5" s="163"/>
      <c r="EY5" s="202">
        <v>3</v>
      </c>
      <c r="EZ5" s="241"/>
      <c r="FA5" s="242" t="s">
        <v>429</v>
      </c>
      <c r="FB5" s="225">
        <v>6</v>
      </c>
      <c r="FC5" s="226">
        <v>2</v>
      </c>
      <c r="FD5" s="241" t="s">
        <v>144</v>
      </c>
      <c r="FE5" s="242" t="s">
        <v>463</v>
      </c>
      <c r="FF5" s="221">
        <v>3</v>
      </c>
      <c r="FG5" s="222">
        <v>11</v>
      </c>
      <c r="FH5" s="241" t="s">
        <v>144</v>
      </c>
      <c r="FI5" s="242" t="s">
        <v>502</v>
      </c>
      <c r="FJ5" s="227">
        <v>2</v>
      </c>
      <c r="FK5" s="228">
        <v>6</v>
      </c>
      <c r="FL5" s="244"/>
      <c r="FM5" s="230" t="s">
        <v>266</v>
      </c>
      <c r="FN5" s="239">
        <v>0</v>
      </c>
      <c r="FO5" s="240">
        <v>5</v>
      </c>
      <c r="FP5" s="241"/>
      <c r="FQ5" s="242" t="s">
        <v>539</v>
      </c>
      <c r="FR5" s="223">
        <v>11</v>
      </c>
      <c r="FS5" s="224">
        <v>3</v>
      </c>
      <c r="FT5" s="163"/>
      <c r="FU5" s="202">
        <v>3</v>
      </c>
      <c r="FV5" s="309" t="s">
        <v>144</v>
      </c>
      <c r="FW5" s="310" t="s">
        <v>580</v>
      </c>
      <c r="FX5" s="318">
        <v>2</v>
      </c>
      <c r="FY5" s="321">
        <v>1</v>
      </c>
      <c r="FZ5" s="309"/>
      <c r="GA5" s="310" t="s">
        <v>611</v>
      </c>
      <c r="GB5" s="315">
        <v>5</v>
      </c>
      <c r="GC5" s="316">
        <v>3</v>
      </c>
      <c r="GD5" s="309"/>
      <c r="GE5" s="310" t="s">
        <v>717</v>
      </c>
      <c r="GF5" s="322">
        <v>1</v>
      </c>
      <c r="GG5" s="323">
        <v>2</v>
      </c>
      <c r="GH5" s="249" t="s">
        <v>144</v>
      </c>
      <c r="GI5" s="250" t="s">
        <v>1265</v>
      </c>
      <c r="GJ5" s="251">
        <v>5</v>
      </c>
      <c r="GK5" s="252">
        <v>4</v>
      </c>
      <c r="GL5" s="309" t="s">
        <v>144</v>
      </c>
      <c r="GM5" s="310" t="s">
        <v>685</v>
      </c>
      <c r="GN5" s="311">
        <v>3</v>
      </c>
      <c r="GO5" s="312">
        <v>5</v>
      </c>
    </row>
    <row r="6" spans="1:197">
      <c r="A6" s="202">
        <v>4</v>
      </c>
      <c r="B6" s="229"/>
      <c r="C6" s="230" t="s">
        <v>266</v>
      </c>
      <c r="D6" s="246">
        <v>8</v>
      </c>
      <c r="E6" s="247">
        <v>2</v>
      </c>
      <c r="F6" s="229" t="s">
        <v>144</v>
      </c>
      <c r="G6" s="230" t="s">
        <v>226</v>
      </c>
      <c r="H6" s="394">
        <v>3</v>
      </c>
      <c r="I6" s="398">
        <v>6</v>
      </c>
      <c r="J6" s="219" t="s">
        <v>144</v>
      </c>
      <c r="K6" s="220" t="s">
        <v>539</v>
      </c>
      <c r="L6" s="227">
        <v>1</v>
      </c>
      <c r="M6" s="253">
        <v>4</v>
      </c>
      <c r="N6" s="229"/>
      <c r="O6" s="230" t="s">
        <v>339</v>
      </c>
      <c r="P6" s="433">
        <v>6</v>
      </c>
      <c r="Q6" s="432">
        <v>3</v>
      </c>
      <c r="R6" s="229" t="s">
        <v>144</v>
      </c>
      <c r="S6" s="230" t="s">
        <v>300</v>
      </c>
      <c r="T6" s="237">
        <v>2</v>
      </c>
      <c r="U6" s="248">
        <v>8</v>
      </c>
      <c r="V6" s="163"/>
      <c r="W6" s="202">
        <v>4</v>
      </c>
      <c r="X6" s="219"/>
      <c r="Y6" s="220" t="s">
        <v>502</v>
      </c>
      <c r="Z6" s="434">
        <v>2</v>
      </c>
      <c r="AA6" s="435">
        <v>3</v>
      </c>
      <c r="AB6" s="219" t="s">
        <v>144</v>
      </c>
      <c r="AC6" s="220" t="s">
        <v>429</v>
      </c>
      <c r="AD6" s="434">
        <v>2</v>
      </c>
      <c r="AE6" s="435">
        <v>5</v>
      </c>
      <c r="AF6" s="219" t="s">
        <v>144</v>
      </c>
      <c r="AG6" s="220" t="s">
        <v>394</v>
      </c>
      <c r="AH6" s="410">
        <v>3</v>
      </c>
      <c r="AI6" s="411">
        <v>2</v>
      </c>
      <c r="AJ6" s="229"/>
      <c r="AK6" s="230" t="s">
        <v>165</v>
      </c>
      <c r="AL6" s="246">
        <v>4</v>
      </c>
      <c r="AM6" s="247">
        <v>1</v>
      </c>
      <c r="AN6" s="219"/>
      <c r="AO6" s="220" t="s">
        <v>463</v>
      </c>
      <c r="AP6" s="410">
        <v>5</v>
      </c>
      <c r="AQ6" s="411">
        <v>2</v>
      </c>
      <c r="AR6" s="163"/>
      <c r="AS6" s="202">
        <v>4</v>
      </c>
      <c r="AT6" s="313" t="s">
        <v>144</v>
      </c>
      <c r="AU6" s="314" t="s">
        <v>717</v>
      </c>
      <c r="AV6" s="322">
        <v>4</v>
      </c>
      <c r="AW6" s="323">
        <v>13</v>
      </c>
      <c r="AX6" s="313"/>
      <c r="AY6" s="314" t="s">
        <v>580</v>
      </c>
      <c r="AZ6" s="422">
        <v>3</v>
      </c>
      <c r="BA6" s="421">
        <v>2</v>
      </c>
      <c r="BB6" s="313"/>
      <c r="BC6" s="314" t="s">
        <v>650</v>
      </c>
      <c r="BD6" s="318">
        <v>13</v>
      </c>
      <c r="BE6" s="321">
        <v>4</v>
      </c>
      <c r="BF6" s="233" t="s">
        <v>144</v>
      </c>
      <c r="BG6" s="234" t="s">
        <v>1171</v>
      </c>
      <c r="BH6" s="254">
        <v>4</v>
      </c>
      <c r="BI6" s="255">
        <v>9</v>
      </c>
      <c r="BJ6" s="313" t="s">
        <v>144</v>
      </c>
      <c r="BK6" s="314" t="s">
        <v>611</v>
      </c>
      <c r="BL6" s="437">
        <v>2</v>
      </c>
      <c r="BM6" s="438">
        <v>3</v>
      </c>
      <c r="BO6" s="202">
        <v>4</v>
      </c>
      <c r="BP6" s="229"/>
      <c r="BQ6" s="230" t="s">
        <v>300</v>
      </c>
      <c r="BR6" s="239">
        <v>3</v>
      </c>
      <c r="BS6" s="240">
        <v>4</v>
      </c>
      <c r="BT6" s="229" t="s">
        <v>144</v>
      </c>
      <c r="BU6" s="230" t="s">
        <v>266</v>
      </c>
      <c r="BV6" s="246">
        <v>8</v>
      </c>
      <c r="BW6" s="258">
        <v>3</v>
      </c>
      <c r="BX6" s="219" t="s">
        <v>144</v>
      </c>
      <c r="BY6" s="220" t="s">
        <v>429</v>
      </c>
      <c r="BZ6" s="227">
        <v>6</v>
      </c>
      <c r="CA6" s="253">
        <v>8</v>
      </c>
      <c r="CB6" s="229"/>
      <c r="CC6" s="230" t="s">
        <v>165</v>
      </c>
      <c r="CD6" s="239">
        <v>3</v>
      </c>
      <c r="CE6" s="246">
        <v>8</v>
      </c>
      <c r="CF6" s="229" t="s">
        <v>144</v>
      </c>
      <c r="CG6" s="230" t="s">
        <v>339</v>
      </c>
      <c r="CH6" s="231">
        <v>4</v>
      </c>
      <c r="CI6" s="232">
        <v>3</v>
      </c>
      <c r="CJ6" s="163"/>
      <c r="CK6" s="202">
        <v>4</v>
      </c>
      <c r="CL6" s="219"/>
      <c r="CM6" s="220" t="s">
        <v>539</v>
      </c>
      <c r="CN6" s="221">
        <v>1</v>
      </c>
      <c r="CO6" s="222">
        <v>8</v>
      </c>
      <c r="CP6" s="219" t="s">
        <v>144</v>
      </c>
      <c r="CQ6" s="220" t="s">
        <v>394</v>
      </c>
      <c r="CR6" s="221">
        <v>1</v>
      </c>
      <c r="CS6" s="222">
        <v>2</v>
      </c>
      <c r="CT6" s="219" t="s">
        <v>144</v>
      </c>
      <c r="CU6" s="220" t="s">
        <v>463</v>
      </c>
      <c r="CV6" s="223">
        <v>8</v>
      </c>
      <c r="CW6" s="224">
        <v>1</v>
      </c>
      <c r="CX6" s="229"/>
      <c r="CY6" s="230" t="s">
        <v>226</v>
      </c>
      <c r="CZ6" s="246">
        <v>8</v>
      </c>
      <c r="DA6" s="247">
        <v>6</v>
      </c>
      <c r="DB6" s="219"/>
      <c r="DC6" s="220" t="s">
        <v>502</v>
      </c>
      <c r="DD6" s="223">
        <v>2</v>
      </c>
      <c r="DE6" s="224">
        <v>1</v>
      </c>
      <c r="DF6" s="163"/>
      <c r="DG6" s="202">
        <v>4</v>
      </c>
      <c r="DH6" s="313" t="s">
        <v>144</v>
      </c>
      <c r="DI6" s="314" t="s">
        <v>685</v>
      </c>
      <c r="DJ6" s="318">
        <v>10</v>
      </c>
      <c r="DK6" s="321">
        <v>4</v>
      </c>
      <c r="DL6" s="313"/>
      <c r="DM6" s="314" t="s">
        <v>650</v>
      </c>
      <c r="DN6" s="315">
        <v>9</v>
      </c>
      <c r="DO6" s="316">
        <v>2</v>
      </c>
      <c r="DP6" s="313"/>
      <c r="DQ6" s="314" t="s">
        <v>611</v>
      </c>
      <c r="DR6" s="322">
        <v>4</v>
      </c>
      <c r="DS6" s="323">
        <v>10</v>
      </c>
      <c r="DT6" s="233" t="s">
        <v>144</v>
      </c>
      <c r="DU6" s="234" t="s">
        <v>1200</v>
      </c>
      <c r="DV6" s="254">
        <v>1</v>
      </c>
      <c r="DW6" s="255">
        <v>7</v>
      </c>
      <c r="DX6" s="313" t="s">
        <v>144</v>
      </c>
      <c r="DY6" s="314" t="s">
        <v>717</v>
      </c>
      <c r="DZ6" s="311">
        <v>2</v>
      </c>
      <c r="EA6" s="312">
        <v>9</v>
      </c>
      <c r="EC6" s="202">
        <v>4</v>
      </c>
      <c r="ED6" s="229"/>
      <c r="EE6" s="230" t="s">
        <v>339</v>
      </c>
      <c r="EF6" s="246">
        <v>10</v>
      </c>
      <c r="EG6" s="247">
        <v>2</v>
      </c>
      <c r="EH6" s="229" t="s">
        <v>144</v>
      </c>
      <c r="EI6" s="230" t="s">
        <v>300</v>
      </c>
      <c r="EJ6" s="246">
        <v>5</v>
      </c>
      <c r="EK6" s="258">
        <v>4</v>
      </c>
      <c r="EL6" s="219" t="s">
        <v>144</v>
      </c>
      <c r="EM6" s="220" t="s">
        <v>394</v>
      </c>
      <c r="EN6" s="227">
        <v>9</v>
      </c>
      <c r="EO6" s="253">
        <v>11</v>
      </c>
      <c r="EP6" s="229"/>
      <c r="EQ6" s="230" t="s">
        <v>226</v>
      </c>
      <c r="ER6" s="239">
        <v>4</v>
      </c>
      <c r="ES6" s="238">
        <v>5</v>
      </c>
      <c r="ET6" s="229" t="s">
        <v>144</v>
      </c>
      <c r="EU6" s="230" t="s">
        <v>165</v>
      </c>
      <c r="EV6" s="237">
        <v>2</v>
      </c>
      <c r="EW6" s="248">
        <v>10</v>
      </c>
      <c r="EX6" s="163"/>
      <c r="EY6" s="202">
        <v>4</v>
      </c>
      <c r="EZ6" s="219"/>
      <c r="FA6" s="220" t="s">
        <v>429</v>
      </c>
      <c r="FB6" s="225">
        <v>7</v>
      </c>
      <c r="FC6" s="226">
        <v>6</v>
      </c>
      <c r="FD6" s="219" t="s">
        <v>144</v>
      </c>
      <c r="FE6" s="220" t="s">
        <v>463</v>
      </c>
      <c r="FF6" s="225">
        <v>8</v>
      </c>
      <c r="FG6" s="226">
        <v>5</v>
      </c>
      <c r="FH6" s="219" t="s">
        <v>144</v>
      </c>
      <c r="FI6" s="220" t="s">
        <v>502</v>
      </c>
      <c r="FJ6" s="227">
        <v>6</v>
      </c>
      <c r="FK6" s="228">
        <v>7</v>
      </c>
      <c r="FL6" s="229"/>
      <c r="FM6" s="230" t="s">
        <v>266</v>
      </c>
      <c r="FN6" s="246">
        <v>11</v>
      </c>
      <c r="FO6" s="247">
        <v>9</v>
      </c>
      <c r="FP6" s="219"/>
      <c r="FQ6" s="220" t="s">
        <v>539</v>
      </c>
      <c r="FR6" s="227">
        <v>5</v>
      </c>
      <c r="FS6" s="228">
        <v>8</v>
      </c>
      <c r="FT6" s="163"/>
      <c r="FU6" s="202">
        <v>4</v>
      </c>
      <c r="FV6" s="313" t="s">
        <v>144</v>
      </c>
      <c r="FW6" s="314" t="s">
        <v>580</v>
      </c>
      <c r="FX6" s="322">
        <v>5</v>
      </c>
      <c r="FY6" s="323">
        <v>7</v>
      </c>
      <c r="FZ6" s="313"/>
      <c r="GA6" s="314" t="s">
        <v>611</v>
      </c>
      <c r="GB6" s="311">
        <v>3</v>
      </c>
      <c r="GC6" s="312">
        <v>5</v>
      </c>
      <c r="GD6" s="313"/>
      <c r="GE6" s="314" t="s">
        <v>717</v>
      </c>
      <c r="GF6" s="318">
        <v>7</v>
      </c>
      <c r="GG6" s="321">
        <v>5</v>
      </c>
      <c r="GH6" s="233" t="s">
        <v>144</v>
      </c>
      <c r="GI6" s="234" t="s">
        <v>1265</v>
      </c>
      <c r="GJ6" s="254">
        <v>4</v>
      </c>
      <c r="GK6" s="255">
        <v>5</v>
      </c>
      <c r="GL6" s="313" t="s">
        <v>144</v>
      </c>
      <c r="GM6" s="314" t="s">
        <v>685</v>
      </c>
      <c r="GN6" s="315">
        <v>5</v>
      </c>
      <c r="GO6" s="316">
        <v>3</v>
      </c>
    </row>
    <row r="7" spans="1:197">
      <c r="A7" s="202">
        <v>5</v>
      </c>
      <c r="B7" s="244"/>
      <c r="C7" s="245" t="s">
        <v>226</v>
      </c>
      <c r="D7" s="246">
        <v>5</v>
      </c>
      <c r="E7" s="247">
        <v>1</v>
      </c>
      <c r="F7" s="241"/>
      <c r="G7" s="242" t="s">
        <v>429</v>
      </c>
      <c r="H7" s="225">
        <v>5</v>
      </c>
      <c r="I7" s="256">
        <v>1</v>
      </c>
      <c r="J7" s="244"/>
      <c r="K7" s="245" t="s">
        <v>266</v>
      </c>
      <c r="L7" s="402">
        <v>8</v>
      </c>
      <c r="M7" s="404">
        <v>1</v>
      </c>
      <c r="N7" s="244" t="s">
        <v>144</v>
      </c>
      <c r="O7" s="245" t="s">
        <v>300</v>
      </c>
      <c r="P7" s="239">
        <v>1</v>
      </c>
      <c r="Q7" s="238">
        <v>5</v>
      </c>
      <c r="R7" s="244" t="s">
        <v>144</v>
      </c>
      <c r="S7" s="245" t="s">
        <v>165</v>
      </c>
      <c r="T7" s="440">
        <v>1</v>
      </c>
      <c r="U7" s="441">
        <v>8</v>
      </c>
      <c r="V7" s="163"/>
      <c r="W7" s="202">
        <v>5</v>
      </c>
      <c r="X7" s="241"/>
      <c r="Y7" s="242" t="s">
        <v>463</v>
      </c>
      <c r="Z7" s="221">
        <v>2</v>
      </c>
      <c r="AA7" s="222">
        <v>6</v>
      </c>
      <c r="AB7" s="241" t="s">
        <v>144</v>
      </c>
      <c r="AC7" s="242" t="s">
        <v>394</v>
      </c>
      <c r="AD7" s="225">
        <v>6</v>
      </c>
      <c r="AE7" s="226">
        <v>2</v>
      </c>
      <c r="AF7" s="241" t="s">
        <v>144</v>
      </c>
      <c r="AG7" s="242" t="s">
        <v>539</v>
      </c>
      <c r="AH7" s="410">
        <v>2</v>
      </c>
      <c r="AI7" s="411">
        <v>0</v>
      </c>
      <c r="AJ7" s="241"/>
      <c r="AK7" s="242" t="s">
        <v>502</v>
      </c>
      <c r="AL7" s="434">
        <v>0</v>
      </c>
      <c r="AM7" s="435">
        <v>2</v>
      </c>
      <c r="AN7" s="244" t="s">
        <v>144</v>
      </c>
      <c r="AO7" s="245" t="s">
        <v>339</v>
      </c>
      <c r="AP7" s="237">
        <v>1</v>
      </c>
      <c r="AQ7" s="248">
        <v>5</v>
      </c>
      <c r="AR7" s="163"/>
      <c r="AS7" s="202">
        <v>5</v>
      </c>
      <c r="AT7" s="309" t="s">
        <v>144</v>
      </c>
      <c r="AU7" s="310" t="s">
        <v>611</v>
      </c>
      <c r="AV7" s="318">
        <v>4</v>
      </c>
      <c r="AW7" s="321">
        <v>3</v>
      </c>
      <c r="AX7" s="309"/>
      <c r="AY7" s="310" t="s">
        <v>650</v>
      </c>
      <c r="AZ7" s="311">
        <v>3</v>
      </c>
      <c r="BA7" s="312">
        <v>4</v>
      </c>
      <c r="BB7" s="309" t="s">
        <v>144</v>
      </c>
      <c r="BC7" s="310" t="s">
        <v>685</v>
      </c>
      <c r="BD7" s="318">
        <v>8</v>
      </c>
      <c r="BE7" s="321">
        <v>4</v>
      </c>
      <c r="BF7" s="309"/>
      <c r="BG7" s="310" t="s">
        <v>717</v>
      </c>
      <c r="BH7" s="311">
        <v>4</v>
      </c>
      <c r="BI7" s="453">
        <v>8</v>
      </c>
      <c r="BJ7" s="249"/>
      <c r="BK7" s="250" t="s">
        <v>1200</v>
      </c>
      <c r="BL7" s="251">
        <v>4</v>
      </c>
      <c r="BM7" s="257">
        <v>1</v>
      </c>
      <c r="BO7" s="202">
        <v>5</v>
      </c>
      <c r="BP7" s="244"/>
      <c r="BQ7" s="245" t="s">
        <v>266</v>
      </c>
      <c r="BR7" s="239">
        <v>4</v>
      </c>
      <c r="BS7" s="240">
        <v>6</v>
      </c>
      <c r="BT7" s="241"/>
      <c r="BU7" s="242" t="s">
        <v>394</v>
      </c>
      <c r="BV7" s="225">
        <v>1</v>
      </c>
      <c r="BW7" s="256">
        <v>0</v>
      </c>
      <c r="BX7" s="244"/>
      <c r="BY7" s="245" t="s">
        <v>300</v>
      </c>
      <c r="BZ7" s="237">
        <v>0</v>
      </c>
      <c r="CA7" s="268">
        <v>3</v>
      </c>
      <c r="CB7" s="244" t="s">
        <v>144</v>
      </c>
      <c r="CC7" s="245" t="s">
        <v>339</v>
      </c>
      <c r="CD7" s="246">
        <v>6</v>
      </c>
      <c r="CE7" s="258">
        <v>4</v>
      </c>
      <c r="CF7" s="244" t="s">
        <v>144</v>
      </c>
      <c r="CG7" s="245" t="s">
        <v>226</v>
      </c>
      <c r="CH7" s="231">
        <v>3</v>
      </c>
      <c r="CI7" s="232">
        <v>0</v>
      </c>
      <c r="CJ7" s="163"/>
      <c r="CK7" s="202">
        <v>5</v>
      </c>
      <c r="CL7" s="241"/>
      <c r="CM7" s="242" t="s">
        <v>502</v>
      </c>
      <c r="CN7" s="221">
        <v>8</v>
      </c>
      <c r="CO7" s="222">
        <v>13</v>
      </c>
      <c r="CP7" s="241" t="s">
        <v>144</v>
      </c>
      <c r="CQ7" s="242" t="s">
        <v>463</v>
      </c>
      <c r="CR7" s="225">
        <v>13</v>
      </c>
      <c r="CS7" s="226">
        <v>8</v>
      </c>
      <c r="CT7" s="241" t="s">
        <v>144</v>
      </c>
      <c r="CU7" s="242" t="s">
        <v>429</v>
      </c>
      <c r="CV7" s="223">
        <v>5</v>
      </c>
      <c r="CW7" s="224">
        <v>0</v>
      </c>
      <c r="CX7" s="241"/>
      <c r="CY7" s="242" t="s">
        <v>539</v>
      </c>
      <c r="CZ7" s="221">
        <v>0</v>
      </c>
      <c r="DA7" s="222">
        <v>5</v>
      </c>
      <c r="DB7" s="244" t="s">
        <v>144</v>
      </c>
      <c r="DC7" s="245" t="s">
        <v>165</v>
      </c>
      <c r="DD7" s="237">
        <v>0</v>
      </c>
      <c r="DE7" s="248">
        <v>1</v>
      </c>
      <c r="DF7" s="163"/>
      <c r="DG7" s="202">
        <v>5</v>
      </c>
      <c r="DH7" s="309" t="s">
        <v>144</v>
      </c>
      <c r="DI7" s="310" t="s">
        <v>717</v>
      </c>
      <c r="DJ7" s="322">
        <v>0</v>
      </c>
      <c r="DK7" s="318">
        <v>2</v>
      </c>
      <c r="DL7" s="309"/>
      <c r="DM7" s="310" t="s">
        <v>611</v>
      </c>
      <c r="DN7" s="315">
        <v>2</v>
      </c>
      <c r="DO7" s="577">
        <v>0</v>
      </c>
      <c r="DP7" s="309" t="s">
        <v>144</v>
      </c>
      <c r="DQ7" s="310" t="s">
        <v>580</v>
      </c>
      <c r="DR7" s="318">
        <v>3</v>
      </c>
      <c r="DS7" s="321">
        <v>1</v>
      </c>
      <c r="DT7" s="309"/>
      <c r="DU7" s="310" t="s">
        <v>685</v>
      </c>
      <c r="DV7" s="311">
        <v>1</v>
      </c>
      <c r="DW7" s="320">
        <v>3</v>
      </c>
      <c r="DX7" s="249"/>
      <c r="DY7" s="250" t="s">
        <v>1265</v>
      </c>
      <c r="DZ7" s="235">
        <v>3</v>
      </c>
      <c r="EA7" s="236">
        <v>4</v>
      </c>
      <c r="EC7" s="202">
        <v>5</v>
      </c>
      <c r="ED7" s="244"/>
      <c r="EE7" s="245" t="s">
        <v>300</v>
      </c>
      <c r="EF7" s="246">
        <v>5</v>
      </c>
      <c r="EG7" s="247">
        <v>0</v>
      </c>
      <c r="EH7" s="241"/>
      <c r="EI7" s="242" t="s">
        <v>463</v>
      </c>
      <c r="EJ7" s="225">
        <v>5</v>
      </c>
      <c r="EK7" s="256">
        <v>2</v>
      </c>
      <c r="EL7" s="244"/>
      <c r="EM7" s="245" t="s">
        <v>339</v>
      </c>
      <c r="EN7" s="237">
        <v>2</v>
      </c>
      <c r="EO7" s="268">
        <v>8</v>
      </c>
      <c r="EP7" s="244" t="s">
        <v>144</v>
      </c>
      <c r="EQ7" s="245" t="s">
        <v>165</v>
      </c>
      <c r="ER7" s="239">
        <v>0</v>
      </c>
      <c r="ES7" s="238">
        <v>5</v>
      </c>
      <c r="ET7" s="244" t="s">
        <v>144</v>
      </c>
      <c r="EU7" s="245" t="s">
        <v>266</v>
      </c>
      <c r="EV7" s="231">
        <v>8</v>
      </c>
      <c r="EW7" s="232">
        <v>2</v>
      </c>
      <c r="EX7" s="163"/>
      <c r="EY7" s="202">
        <v>5</v>
      </c>
      <c r="EZ7" s="241"/>
      <c r="FA7" s="242" t="s">
        <v>539</v>
      </c>
      <c r="FB7" s="221">
        <v>1</v>
      </c>
      <c r="FC7" s="222">
        <v>4</v>
      </c>
      <c r="FD7" s="241" t="s">
        <v>144</v>
      </c>
      <c r="FE7" s="242" t="s">
        <v>502</v>
      </c>
      <c r="FF7" s="225">
        <v>4</v>
      </c>
      <c r="FG7" s="226">
        <v>1</v>
      </c>
      <c r="FH7" s="241" t="s">
        <v>144</v>
      </c>
      <c r="FI7" s="242" t="s">
        <v>394</v>
      </c>
      <c r="FJ7" s="227">
        <v>1</v>
      </c>
      <c r="FK7" s="228">
        <v>7</v>
      </c>
      <c r="FL7" s="241"/>
      <c r="FM7" s="242" t="s">
        <v>429</v>
      </c>
      <c r="FN7" s="225">
        <v>7</v>
      </c>
      <c r="FO7" s="226">
        <v>1</v>
      </c>
      <c r="FP7" s="244" t="s">
        <v>144</v>
      </c>
      <c r="FQ7" s="245" t="s">
        <v>226</v>
      </c>
      <c r="FR7" s="237">
        <v>2</v>
      </c>
      <c r="FS7" s="248">
        <v>5</v>
      </c>
      <c r="FT7" s="163"/>
      <c r="FU7" s="202">
        <v>5</v>
      </c>
      <c r="FV7" s="309" t="s">
        <v>144</v>
      </c>
      <c r="FW7" s="310" t="s">
        <v>685</v>
      </c>
      <c r="FX7" s="318">
        <v>3</v>
      </c>
      <c r="FY7" s="321">
        <v>0</v>
      </c>
      <c r="FZ7" s="309"/>
      <c r="GA7" s="310" t="s">
        <v>717</v>
      </c>
      <c r="GB7" s="311">
        <v>0</v>
      </c>
      <c r="GC7" s="312">
        <v>3</v>
      </c>
      <c r="GD7" s="309" t="s">
        <v>144</v>
      </c>
      <c r="GE7" s="310" t="s">
        <v>650</v>
      </c>
      <c r="GF7" s="318">
        <v>5</v>
      </c>
      <c r="GG7" s="321">
        <v>2</v>
      </c>
      <c r="GH7" s="309"/>
      <c r="GI7" s="310" t="s">
        <v>580</v>
      </c>
      <c r="GJ7" s="311">
        <v>2</v>
      </c>
      <c r="GK7" s="320">
        <v>5</v>
      </c>
      <c r="GL7" s="249"/>
      <c r="GM7" s="250" t="s">
        <v>1229</v>
      </c>
      <c r="GN7" s="251">
        <v>5</v>
      </c>
      <c r="GO7" s="257">
        <v>0</v>
      </c>
    </row>
    <row r="8" spans="1:197">
      <c r="A8" s="202">
        <v>6</v>
      </c>
      <c r="B8" s="229"/>
      <c r="C8" s="230" t="s">
        <v>226</v>
      </c>
      <c r="D8" s="239">
        <v>3</v>
      </c>
      <c r="E8" s="240">
        <v>5</v>
      </c>
      <c r="F8" s="219"/>
      <c r="G8" s="220" t="s">
        <v>429</v>
      </c>
      <c r="H8" s="434">
        <v>8</v>
      </c>
      <c r="I8" s="451">
        <v>9</v>
      </c>
      <c r="J8" s="229"/>
      <c r="K8" s="230" t="s">
        <v>266</v>
      </c>
      <c r="L8" s="231">
        <v>7</v>
      </c>
      <c r="M8" s="264">
        <v>3</v>
      </c>
      <c r="N8" s="229" t="s">
        <v>144</v>
      </c>
      <c r="O8" s="230" t="s">
        <v>300</v>
      </c>
      <c r="P8" s="246">
        <v>5</v>
      </c>
      <c r="Q8" s="258">
        <v>3</v>
      </c>
      <c r="R8" s="229" t="s">
        <v>144</v>
      </c>
      <c r="S8" s="230" t="s">
        <v>165</v>
      </c>
      <c r="T8" s="237">
        <v>3</v>
      </c>
      <c r="U8" s="248">
        <v>7</v>
      </c>
      <c r="V8" s="163"/>
      <c r="W8" s="202">
        <v>6</v>
      </c>
      <c r="X8" s="219"/>
      <c r="Y8" s="220" t="s">
        <v>463</v>
      </c>
      <c r="Z8" s="434">
        <v>2</v>
      </c>
      <c r="AA8" s="435">
        <v>3</v>
      </c>
      <c r="AB8" s="219" t="s">
        <v>144</v>
      </c>
      <c r="AC8" s="220" t="s">
        <v>394</v>
      </c>
      <c r="AD8" s="392">
        <v>3</v>
      </c>
      <c r="AE8" s="390">
        <v>2</v>
      </c>
      <c r="AF8" s="219" t="s">
        <v>144</v>
      </c>
      <c r="AG8" s="220" t="s">
        <v>539</v>
      </c>
      <c r="AH8" s="408">
        <v>3</v>
      </c>
      <c r="AI8" s="409">
        <v>5</v>
      </c>
      <c r="AJ8" s="219"/>
      <c r="AK8" s="220" t="s">
        <v>502</v>
      </c>
      <c r="AL8" s="392">
        <v>5</v>
      </c>
      <c r="AM8" s="390">
        <v>3</v>
      </c>
      <c r="AN8" s="229" t="s">
        <v>144</v>
      </c>
      <c r="AO8" s="230" t="s">
        <v>339</v>
      </c>
      <c r="AP8" s="402">
        <v>9</v>
      </c>
      <c r="AQ8" s="400">
        <v>8</v>
      </c>
      <c r="AR8" s="163"/>
      <c r="AS8" s="202">
        <v>6</v>
      </c>
      <c r="AT8" s="313" t="s">
        <v>144</v>
      </c>
      <c r="AU8" s="314" t="s">
        <v>611</v>
      </c>
      <c r="AV8" s="418">
        <v>1</v>
      </c>
      <c r="AW8" s="419">
        <v>2</v>
      </c>
      <c r="AX8" s="313"/>
      <c r="AY8" s="452" t="s">
        <v>650</v>
      </c>
      <c r="AZ8" s="422">
        <v>2</v>
      </c>
      <c r="BA8" s="421">
        <v>1</v>
      </c>
      <c r="BB8" s="313" t="s">
        <v>144</v>
      </c>
      <c r="BC8" s="314" t="s">
        <v>685</v>
      </c>
      <c r="BD8" s="415">
        <v>9</v>
      </c>
      <c r="BE8" s="436">
        <v>6</v>
      </c>
      <c r="BF8" s="313"/>
      <c r="BG8" s="314" t="s">
        <v>717</v>
      </c>
      <c r="BH8" s="418">
        <v>6</v>
      </c>
      <c r="BI8" s="453">
        <v>9</v>
      </c>
      <c r="BJ8" s="233"/>
      <c r="BK8" s="234" t="s">
        <v>1200</v>
      </c>
      <c r="BL8" s="251">
        <v>6</v>
      </c>
      <c r="BM8" s="257">
        <v>1</v>
      </c>
      <c r="BO8" s="202">
        <v>6</v>
      </c>
      <c r="BP8" s="229"/>
      <c r="BQ8" s="230" t="s">
        <v>266</v>
      </c>
      <c r="BR8" s="239">
        <v>6</v>
      </c>
      <c r="BS8" s="240">
        <v>9</v>
      </c>
      <c r="BT8" s="219"/>
      <c r="BU8" s="220" t="s">
        <v>394</v>
      </c>
      <c r="BV8" s="221">
        <v>1</v>
      </c>
      <c r="BW8" s="259">
        <v>3</v>
      </c>
      <c r="BX8" s="229"/>
      <c r="BY8" s="230" t="s">
        <v>300</v>
      </c>
      <c r="BZ8" s="231">
        <v>15</v>
      </c>
      <c r="CA8" s="264">
        <v>10</v>
      </c>
      <c r="CB8" s="229" t="s">
        <v>144</v>
      </c>
      <c r="CC8" s="230" t="s">
        <v>339</v>
      </c>
      <c r="CD8" s="246">
        <v>9</v>
      </c>
      <c r="CE8" s="258">
        <v>6</v>
      </c>
      <c r="CF8" s="229" t="s">
        <v>144</v>
      </c>
      <c r="CG8" s="230" t="s">
        <v>226</v>
      </c>
      <c r="CH8" s="237">
        <v>10</v>
      </c>
      <c r="CI8" s="248">
        <v>15</v>
      </c>
      <c r="CJ8" s="163"/>
      <c r="CK8" s="202">
        <v>6</v>
      </c>
      <c r="CL8" s="219"/>
      <c r="CM8" s="220" t="s">
        <v>502</v>
      </c>
      <c r="CN8" s="225">
        <v>7</v>
      </c>
      <c r="CO8" s="226">
        <v>6</v>
      </c>
      <c r="CP8" s="219" t="s">
        <v>144</v>
      </c>
      <c r="CQ8" s="220" t="s">
        <v>463</v>
      </c>
      <c r="CR8" s="221">
        <v>6</v>
      </c>
      <c r="CS8" s="222">
        <v>7</v>
      </c>
      <c r="CT8" s="219" t="s">
        <v>144</v>
      </c>
      <c r="CU8" s="220" t="s">
        <v>429</v>
      </c>
      <c r="CV8" s="227">
        <v>7</v>
      </c>
      <c r="CW8" s="228">
        <v>8</v>
      </c>
      <c r="CX8" s="219"/>
      <c r="CY8" s="220" t="s">
        <v>539</v>
      </c>
      <c r="CZ8" s="225">
        <v>8</v>
      </c>
      <c r="DA8" s="226">
        <v>7</v>
      </c>
      <c r="DB8" s="229" t="s">
        <v>144</v>
      </c>
      <c r="DC8" s="230" t="s">
        <v>165</v>
      </c>
      <c r="DD8" s="231">
        <v>3</v>
      </c>
      <c r="DE8" s="232">
        <v>1</v>
      </c>
      <c r="DF8" s="163"/>
      <c r="DG8" s="202">
        <v>6</v>
      </c>
      <c r="DH8" s="313" t="s">
        <v>144</v>
      </c>
      <c r="DI8" s="314" t="s">
        <v>717</v>
      </c>
      <c r="DJ8" s="318">
        <v>8</v>
      </c>
      <c r="DK8" s="321">
        <v>4</v>
      </c>
      <c r="DL8" s="313"/>
      <c r="DM8" s="314" t="s">
        <v>611</v>
      </c>
      <c r="DN8" s="311">
        <v>4</v>
      </c>
      <c r="DO8" s="312">
        <v>8</v>
      </c>
      <c r="DP8" s="313" t="s">
        <v>144</v>
      </c>
      <c r="DQ8" s="314" t="s">
        <v>580</v>
      </c>
      <c r="DR8" s="318">
        <v>3</v>
      </c>
      <c r="DS8" s="321">
        <v>0</v>
      </c>
      <c r="DT8" s="313"/>
      <c r="DU8" s="314" t="s">
        <v>685</v>
      </c>
      <c r="DV8" s="322">
        <v>0</v>
      </c>
      <c r="DW8" s="320">
        <v>3</v>
      </c>
      <c r="DX8" s="233"/>
      <c r="DY8" s="234" t="s">
        <v>1265</v>
      </c>
      <c r="DZ8" s="251">
        <v>6</v>
      </c>
      <c r="EA8" s="257">
        <v>4</v>
      </c>
      <c r="EC8" s="202">
        <v>6</v>
      </c>
      <c r="ED8" s="229"/>
      <c r="EE8" s="230" t="s">
        <v>300</v>
      </c>
      <c r="EF8" s="239">
        <v>2</v>
      </c>
      <c r="EG8" s="240">
        <v>6</v>
      </c>
      <c r="EH8" s="219"/>
      <c r="EI8" s="220" t="s">
        <v>463</v>
      </c>
      <c r="EJ8" s="225">
        <v>6</v>
      </c>
      <c r="EK8" s="256">
        <v>2</v>
      </c>
      <c r="EL8" s="229"/>
      <c r="EM8" s="230" t="s">
        <v>339</v>
      </c>
      <c r="EN8" s="231">
        <v>4</v>
      </c>
      <c r="EO8" s="264">
        <v>3</v>
      </c>
      <c r="EP8" s="229" t="s">
        <v>144</v>
      </c>
      <c r="EQ8" s="230" t="s">
        <v>165</v>
      </c>
      <c r="ER8" s="246">
        <v>6</v>
      </c>
      <c r="ES8" s="258">
        <v>2</v>
      </c>
      <c r="ET8" s="229" t="s">
        <v>144</v>
      </c>
      <c r="EU8" s="230" t="s">
        <v>266</v>
      </c>
      <c r="EV8" s="237">
        <v>3</v>
      </c>
      <c r="EW8" s="248">
        <v>4</v>
      </c>
      <c r="EX8" s="163"/>
      <c r="EY8" s="202">
        <v>6</v>
      </c>
      <c r="EZ8" s="219"/>
      <c r="FA8" s="220" t="s">
        <v>539</v>
      </c>
      <c r="FB8" s="225">
        <v>5</v>
      </c>
      <c r="FC8" s="226">
        <v>1</v>
      </c>
      <c r="FD8" s="219" t="s">
        <v>144</v>
      </c>
      <c r="FE8" s="220" t="s">
        <v>502</v>
      </c>
      <c r="FF8" s="221">
        <v>1</v>
      </c>
      <c r="FG8" s="222">
        <v>5</v>
      </c>
      <c r="FH8" s="219" t="s">
        <v>144</v>
      </c>
      <c r="FI8" s="220" t="s">
        <v>394</v>
      </c>
      <c r="FJ8" s="223">
        <v>1</v>
      </c>
      <c r="FK8" s="224">
        <v>0</v>
      </c>
      <c r="FL8" s="219"/>
      <c r="FM8" s="220" t="s">
        <v>429</v>
      </c>
      <c r="FN8" s="221">
        <v>0</v>
      </c>
      <c r="FO8" s="222">
        <v>1</v>
      </c>
      <c r="FP8" s="229" t="s">
        <v>144</v>
      </c>
      <c r="FQ8" s="230" t="s">
        <v>226</v>
      </c>
      <c r="FR8" s="237">
        <v>2</v>
      </c>
      <c r="FS8" s="248">
        <v>6</v>
      </c>
      <c r="FT8" s="163"/>
      <c r="FU8" s="202">
        <v>6</v>
      </c>
      <c r="FV8" s="313" t="s">
        <v>144</v>
      </c>
      <c r="FW8" s="314" t="s">
        <v>685</v>
      </c>
      <c r="FX8" s="318">
        <v>9</v>
      </c>
      <c r="FY8" s="321">
        <v>3</v>
      </c>
      <c r="FZ8" s="313"/>
      <c r="GA8" s="314" t="s">
        <v>717</v>
      </c>
      <c r="GB8" s="311">
        <v>3</v>
      </c>
      <c r="GC8" s="312">
        <v>9</v>
      </c>
      <c r="GD8" s="313" t="s">
        <v>144</v>
      </c>
      <c r="GE8" s="314" t="s">
        <v>650</v>
      </c>
      <c r="GF8" s="322">
        <v>1</v>
      </c>
      <c r="GG8" s="323">
        <v>2</v>
      </c>
      <c r="GH8" s="313"/>
      <c r="GI8" s="314" t="s">
        <v>580</v>
      </c>
      <c r="GJ8" s="318">
        <v>2</v>
      </c>
      <c r="GK8" s="317">
        <v>1</v>
      </c>
      <c r="GL8" s="233"/>
      <c r="GM8" s="234" t="s">
        <v>1229</v>
      </c>
      <c r="GN8" s="251">
        <v>4</v>
      </c>
      <c r="GO8" s="257">
        <v>2</v>
      </c>
    </row>
    <row r="9" spans="1:197">
      <c r="A9" s="202">
        <v>7</v>
      </c>
      <c r="B9" s="244" t="s">
        <v>144</v>
      </c>
      <c r="C9" s="245" t="s">
        <v>165</v>
      </c>
      <c r="D9" s="246">
        <v>6</v>
      </c>
      <c r="E9" s="247">
        <v>3</v>
      </c>
      <c r="F9" s="244" t="s">
        <v>144</v>
      </c>
      <c r="G9" s="245" t="s">
        <v>266</v>
      </c>
      <c r="H9" s="433">
        <v>5</v>
      </c>
      <c r="I9" s="432">
        <v>4</v>
      </c>
      <c r="J9" s="244"/>
      <c r="K9" s="245" t="s">
        <v>300</v>
      </c>
      <c r="L9" s="237">
        <v>3</v>
      </c>
      <c r="M9" s="268">
        <v>6</v>
      </c>
      <c r="N9" s="241" t="s">
        <v>144</v>
      </c>
      <c r="O9" s="242" t="s">
        <v>502</v>
      </c>
      <c r="P9" s="392">
        <v>16</v>
      </c>
      <c r="Q9" s="456">
        <v>5</v>
      </c>
      <c r="R9" s="244"/>
      <c r="S9" s="245" t="s">
        <v>339</v>
      </c>
      <c r="T9" s="440">
        <v>4</v>
      </c>
      <c r="U9" s="441">
        <v>5</v>
      </c>
      <c r="V9" s="163"/>
      <c r="W9" s="202">
        <v>7</v>
      </c>
      <c r="X9" s="241" t="s">
        <v>144</v>
      </c>
      <c r="Y9" s="242" t="s">
        <v>429</v>
      </c>
      <c r="Z9" s="225">
        <v>5</v>
      </c>
      <c r="AA9" s="226">
        <v>1</v>
      </c>
      <c r="AB9" s="241"/>
      <c r="AC9" s="242" t="s">
        <v>539</v>
      </c>
      <c r="AD9" s="225">
        <v>14</v>
      </c>
      <c r="AE9" s="226">
        <v>9</v>
      </c>
      <c r="AF9" s="244"/>
      <c r="AG9" s="245" t="s">
        <v>226</v>
      </c>
      <c r="AH9" s="440">
        <v>5</v>
      </c>
      <c r="AI9" s="441">
        <v>16</v>
      </c>
      <c r="AJ9" s="241" t="s">
        <v>144</v>
      </c>
      <c r="AK9" s="242" t="s">
        <v>463</v>
      </c>
      <c r="AL9" s="221">
        <v>9</v>
      </c>
      <c r="AM9" s="222">
        <v>14</v>
      </c>
      <c r="AN9" s="241"/>
      <c r="AO9" s="242" t="s">
        <v>394</v>
      </c>
      <c r="AP9" s="227">
        <v>1</v>
      </c>
      <c r="AQ9" s="228">
        <v>5</v>
      </c>
      <c r="AR9" s="163"/>
      <c r="AS9" s="202">
        <v>7</v>
      </c>
      <c r="AT9" s="309"/>
      <c r="AU9" s="310" t="s">
        <v>580</v>
      </c>
      <c r="AV9" s="418">
        <v>3</v>
      </c>
      <c r="AW9" s="419">
        <v>4</v>
      </c>
      <c r="AX9" s="309" t="s">
        <v>144</v>
      </c>
      <c r="AY9" s="310" t="s">
        <v>685</v>
      </c>
      <c r="AZ9" s="437">
        <v>2</v>
      </c>
      <c r="BA9" s="438">
        <v>3</v>
      </c>
      <c r="BB9" s="249" t="s">
        <v>144</v>
      </c>
      <c r="BC9" s="250" t="s">
        <v>1139</v>
      </c>
      <c r="BD9" s="254">
        <v>2</v>
      </c>
      <c r="BE9" s="260">
        <v>3</v>
      </c>
      <c r="BF9" s="309"/>
      <c r="BG9" s="310" t="s">
        <v>611</v>
      </c>
      <c r="BH9" s="422">
        <v>3</v>
      </c>
      <c r="BI9" s="414">
        <v>2</v>
      </c>
      <c r="BJ9" s="309" t="s">
        <v>144</v>
      </c>
      <c r="BK9" s="310" t="s">
        <v>650</v>
      </c>
      <c r="BL9" s="422">
        <v>4</v>
      </c>
      <c r="BM9" s="421">
        <v>3</v>
      </c>
      <c r="BO9" s="202">
        <v>7</v>
      </c>
      <c r="BP9" s="244" t="s">
        <v>144</v>
      </c>
      <c r="BQ9" s="245" t="s">
        <v>226</v>
      </c>
      <c r="BR9" s="246">
        <v>7</v>
      </c>
      <c r="BS9" s="247">
        <v>2</v>
      </c>
      <c r="BT9" s="244" t="s">
        <v>144</v>
      </c>
      <c r="BU9" s="245" t="s">
        <v>300</v>
      </c>
      <c r="BV9" s="246">
        <v>5</v>
      </c>
      <c r="BW9" s="258">
        <v>2</v>
      </c>
      <c r="BX9" s="244"/>
      <c r="BY9" s="245" t="s">
        <v>339</v>
      </c>
      <c r="BZ9" s="237">
        <v>2</v>
      </c>
      <c r="CA9" s="268">
        <v>7</v>
      </c>
      <c r="CB9" s="241" t="s">
        <v>144</v>
      </c>
      <c r="CC9" s="242" t="s">
        <v>539</v>
      </c>
      <c r="CD9" s="225">
        <v>5</v>
      </c>
      <c r="CE9" s="256">
        <v>3</v>
      </c>
      <c r="CF9" s="244"/>
      <c r="CG9" s="245" t="s">
        <v>165</v>
      </c>
      <c r="CH9" s="237">
        <v>2</v>
      </c>
      <c r="CI9" s="248">
        <v>5</v>
      </c>
      <c r="CJ9" s="163"/>
      <c r="CK9" s="202">
        <v>7</v>
      </c>
      <c r="CL9" s="241" t="s">
        <v>144</v>
      </c>
      <c r="CM9" s="242" t="s">
        <v>394</v>
      </c>
      <c r="CN9" s="221">
        <v>2</v>
      </c>
      <c r="CO9" s="222">
        <v>9</v>
      </c>
      <c r="CP9" s="241"/>
      <c r="CQ9" s="242" t="s">
        <v>429</v>
      </c>
      <c r="CR9" s="221">
        <v>3</v>
      </c>
      <c r="CS9" s="222">
        <v>11</v>
      </c>
      <c r="CT9" s="244"/>
      <c r="CU9" s="245" t="s">
        <v>266</v>
      </c>
      <c r="CV9" s="237">
        <v>3</v>
      </c>
      <c r="CW9" s="248">
        <v>5</v>
      </c>
      <c r="CX9" s="241" t="s">
        <v>144</v>
      </c>
      <c r="CY9" s="242" t="s">
        <v>502</v>
      </c>
      <c r="CZ9" s="225">
        <v>11</v>
      </c>
      <c r="DA9" s="226">
        <v>3</v>
      </c>
      <c r="DB9" s="241"/>
      <c r="DC9" s="242" t="s">
        <v>463</v>
      </c>
      <c r="DD9" s="223">
        <v>9</v>
      </c>
      <c r="DE9" s="224">
        <v>2</v>
      </c>
      <c r="DF9" s="163"/>
      <c r="DG9" s="202">
        <v>7</v>
      </c>
      <c r="DH9" s="309"/>
      <c r="DI9" s="310" t="s">
        <v>650</v>
      </c>
      <c r="DJ9" s="318">
        <v>4</v>
      </c>
      <c r="DK9" s="321">
        <v>3</v>
      </c>
      <c r="DL9" s="309" t="s">
        <v>144</v>
      </c>
      <c r="DM9" s="310" t="s">
        <v>580</v>
      </c>
      <c r="DN9" s="315">
        <v>7</v>
      </c>
      <c r="DO9" s="316">
        <v>5</v>
      </c>
      <c r="DP9" s="249" t="s">
        <v>144</v>
      </c>
      <c r="DQ9" s="250" t="s">
        <v>1171</v>
      </c>
      <c r="DR9" s="261">
        <v>2</v>
      </c>
      <c r="DS9" s="262">
        <v>1</v>
      </c>
      <c r="DT9" s="309"/>
      <c r="DU9" s="310" t="s">
        <v>717</v>
      </c>
      <c r="DV9" s="311">
        <v>5</v>
      </c>
      <c r="DW9" s="320">
        <v>7</v>
      </c>
      <c r="DX9" s="309" t="s">
        <v>144</v>
      </c>
      <c r="DY9" s="310" t="s">
        <v>611</v>
      </c>
      <c r="DZ9" s="311">
        <v>3</v>
      </c>
      <c r="EA9" s="312">
        <v>4</v>
      </c>
      <c r="EC9" s="202">
        <v>7</v>
      </c>
      <c r="ED9" s="244" t="s">
        <v>144</v>
      </c>
      <c r="EE9" s="245" t="s">
        <v>266</v>
      </c>
      <c r="EF9" s="246">
        <v>10</v>
      </c>
      <c r="EG9" s="247">
        <v>4</v>
      </c>
      <c r="EH9" s="244" t="s">
        <v>144</v>
      </c>
      <c r="EI9" s="245" t="s">
        <v>339</v>
      </c>
      <c r="EJ9" s="239">
        <v>2</v>
      </c>
      <c r="EK9" s="238">
        <v>13</v>
      </c>
      <c r="EL9" s="244"/>
      <c r="EM9" s="245" t="s">
        <v>165</v>
      </c>
      <c r="EN9" s="237">
        <v>4</v>
      </c>
      <c r="EO9" s="268">
        <v>10</v>
      </c>
      <c r="EP9" s="241" t="s">
        <v>144</v>
      </c>
      <c r="EQ9" s="242" t="s">
        <v>429</v>
      </c>
      <c r="ER9" s="221">
        <v>2</v>
      </c>
      <c r="ES9" s="259">
        <v>3</v>
      </c>
      <c r="ET9" s="244"/>
      <c r="EU9" s="245" t="s">
        <v>226</v>
      </c>
      <c r="EV9" s="231">
        <v>13</v>
      </c>
      <c r="EW9" s="232">
        <v>2</v>
      </c>
      <c r="EX9" s="163"/>
      <c r="EY9" s="202">
        <v>7</v>
      </c>
      <c r="EZ9" s="241" t="s">
        <v>144</v>
      </c>
      <c r="FA9" s="242" t="s">
        <v>463</v>
      </c>
      <c r="FB9" s="225">
        <v>10</v>
      </c>
      <c r="FC9" s="226">
        <v>1</v>
      </c>
      <c r="FD9" s="241"/>
      <c r="FE9" s="242" t="s">
        <v>394</v>
      </c>
      <c r="FF9" s="225">
        <v>3</v>
      </c>
      <c r="FG9" s="226">
        <v>1</v>
      </c>
      <c r="FH9" s="244"/>
      <c r="FI9" s="245" t="s">
        <v>300</v>
      </c>
      <c r="FJ9" s="231">
        <v>3</v>
      </c>
      <c r="FK9" s="232">
        <v>2</v>
      </c>
      <c r="FL9" s="241" t="s">
        <v>144</v>
      </c>
      <c r="FM9" s="242" t="s">
        <v>539</v>
      </c>
      <c r="FN9" s="221">
        <v>1</v>
      </c>
      <c r="FO9" s="222">
        <v>3</v>
      </c>
      <c r="FP9" s="241"/>
      <c r="FQ9" s="242" t="s">
        <v>502</v>
      </c>
      <c r="FR9" s="227">
        <v>1</v>
      </c>
      <c r="FS9" s="228">
        <v>10</v>
      </c>
      <c r="FT9" s="163"/>
      <c r="FU9" s="202">
        <v>7</v>
      </c>
      <c r="FV9" s="309"/>
      <c r="FW9" s="310" t="s">
        <v>611</v>
      </c>
      <c r="FX9" s="318">
        <v>5</v>
      </c>
      <c r="FY9" s="321">
        <v>2</v>
      </c>
      <c r="FZ9" s="309" t="s">
        <v>144</v>
      </c>
      <c r="GA9" s="310" t="s">
        <v>650</v>
      </c>
      <c r="GB9" s="315">
        <v>2</v>
      </c>
      <c r="GC9" s="316">
        <v>1</v>
      </c>
      <c r="GD9" s="249" t="s">
        <v>144</v>
      </c>
      <c r="GE9" s="250" t="s">
        <v>1200</v>
      </c>
      <c r="GF9" s="254">
        <v>6</v>
      </c>
      <c r="GG9" s="260">
        <v>11</v>
      </c>
      <c r="GH9" s="309"/>
      <c r="GI9" s="310" t="s">
        <v>685</v>
      </c>
      <c r="GJ9" s="311">
        <v>1</v>
      </c>
      <c r="GK9" s="320">
        <v>2</v>
      </c>
      <c r="GL9" s="309" t="s">
        <v>144</v>
      </c>
      <c r="GM9" s="310" t="s">
        <v>717</v>
      </c>
      <c r="GN9" s="311">
        <v>2</v>
      </c>
      <c r="GO9" s="312">
        <v>5</v>
      </c>
    </row>
    <row r="10" spans="1:197">
      <c r="A10" s="202">
        <v>8</v>
      </c>
      <c r="B10" s="229" t="s">
        <v>144</v>
      </c>
      <c r="C10" s="230" t="s">
        <v>165</v>
      </c>
      <c r="D10" s="239">
        <v>5</v>
      </c>
      <c r="E10" s="240">
        <v>6</v>
      </c>
      <c r="F10" s="229" t="s">
        <v>144</v>
      </c>
      <c r="G10" s="230" t="s">
        <v>266</v>
      </c>
      <c r="H10" s="394">
        <v>4</v>
      </c>
      <c r="I10" s="398">
        <v>5</v>
      </c>
      <c r="J10" s="229"/>
      <c r="K10" s="230" t="s">
        <v>300</v>
      </c>
      <c r="L10" s="231">
        <v>6</v>
      </c>
      <c r="M10" s="264">
        <v>5</v>
      </c>
      <c r="N10" s="219" t="s">
        <v>144</v>
      </c>
      <c r="O10" s="220" t="s">
        <v>502</v>
      </c>
      <c r="P10" s="392">
        <v>12</v>
      </c>
      <c r="Q10" s="456">
        <v>7</v>
      </c>
      <c r="R10" s="229"/>
      <c r="S10" s="230" t="s">
        <v>339</v>
      </c>
      <c r="T10" s="402">
        <v>5</v>
      </c>
      <c r="U10" s="400">
        <v>4</v>
      </c>
      <c r="V10" s="163"/>
      <c r="W10" s="202">
        <v>8</v>
      </c>
      <c r="X10" s="219" t="s">
        <v>144</v>
      </c>
      <c r="Y10" s="220" t="s">
        <v>429</v>
      </c>
      <c r="Z10" s="225">
        <v>3</v>
      </c>
      <c r="AA10" s="226">
        <v>2</v>
      </c>
      <c r="AB10" s="219"/>
      <c r="AC10" s="220" t="s">
        <v>539</v>
      </c>
      <c r="AD10" s="221">
        <v>7</v>
      </c>
      <c r="AE10" s="222">
        <v>11</v>
      </c>
      <c r="AF10" s="229"/>
      <c r="AG10" s="230" t="s">
        <v>226</v>
      </c>
      <c r="AH10" s="440">
        <v>7</v>
      </c>
      <c r="AI10" s="441">
        <v>12</v>
      </c>
      <c r="AJ10" s="219" t="s">
        <v>144</v>
      </c>
      <c r="AK10" s="220" t="s">
        <v>463</v>
      </c>
      <c r="AL10" s="225">
        <v>11</v>
      </c>
      <c r="AM10" s="226">
        <v>7</v>
      </c>
      <c r="AN10" s="219"/>
      <c r="AO10" s="220" t="s">
        <v>394</v>
      </c>
      <c r="AP10" s="227">
        <v>2</v>
      </c>
      <c r="AQ10" s="228">
        <v>3</v>
      </c>
      <c r="AR10" s="163"/>
      <c r="AS10" s="202">
        <v>8</v>
      </c>
      <c r="AT10" s="313"/>
      <c r="AU10" s="314" t="s">
        <v>580</v>
      </c>
      <c r="AV10" s="415">
        <v>5</v>
      </c>
      <c r="AW10" s="436">
        <v>4</v>
      </c>
      <c r="AX10" s="313" t="s">
        <v>144</v>
      </c>
      <c r="AY10" s="314" t="s">
        <v>685</v>
      </c>
      <c r="AZ10" s="315">
        <v>18</v>
      </c>
      <c r="BA10" s="316">
        <v>5</v>
      </c>
      <c r="BB10" s="233" t="s">
        <v>144</v>
      </c>
      <c r="BC10" s="234" t="s">
        <v>1139</v>
      </c>
      <c r="BD10" s="460">
        <v>8</v>
      </c>
      <c r="BE10" s="459">
        <v>1</v>
      </c>
      <c r="BF10" s="313"/>
      <c r="BG10" s="314" t="s">
        <v>611</v>
      </c>
      <c r="BH10" s="322">
        <v>5</v>
      </c>
      <c r="BI10" s="320">
        <v>18</v>
      </c>
      <c r="BJ10" s="313" t="s">
        <v>144</v>
      </c>
      <c r="BK10" s="314" t="s">
        <v>650</v>
      </c>
      <c r="BL10" s="437">
        <v>4</v>
      </c>
      <c r="BM10" s="438">
        <v>5</v>
      </c>
      <c r="BO10" s="202">
        <v>8</v>
      </c>
      <c r="BP10" s="229" t="s">
        <v>144</v>
      </c>
      <c r="BQ10" s="230" t="s">
        <v>226</v>
      </c>
      <c r="BR10" s="239">
        <v>2</v>
      </c>
      <c r="BS10" s="240">
        <v>4</v>
      </c>
      <c r="BT10" s="229" t="s">
        <v>144</v>
      </c>
      <c r="BU10" s="230" t="s">
        <v>300</v>
      </c>
      <c r="BV10" s="239">
        <v>1</v>
      </c>
      <c r="BW10" s="238">
        <v>4</v>
      </c>
      <c r="BX10" s="229"/>
      <c r="BY10" s="230" t="s">
        <v>339</v>
      </c>
      <c r="BZ10" s="231">
        <v>4</v>
      </c>
      <c r="CA10" s="264">
        <v>2</v>
      </c>
      <c r="CB10" s="219" t="s">
        <v>144</v>
      </c>
      <c r="CC10" s="220" t="s">
        <v>539</v>
      </c>
      <c r="CD10" s="225">
        <v>4</v>
      </c>
      <c r="CE10" s="256">
        <v>1</v>
      </c>
      <c r="CF10" s="229"/>
      <c r="CG10" s="230" t="s">
        <v>165</v>
      </c>
      <c r="CH10" s="231">
        <v>4</v>
      </c>
      <c r="CI10" s="232">
        <v>1</v>
      </c>
      <c r="CJ10" s="163"/>
      <c r="CK10" s="202">
        <v>8</v>
      </c>
      <c r="CL10" s="219" t="s">
        <v>144</v>
      </c>
      <c r="CM10" s="220" t="s">
        <v>394</v>
      </c>
      <c r="CN10" s="225">
        <v>7</v>
      </c>
      <c r="CO10" s="226">
        <v>6</v>
      </c>
      <c r="CP10" s="219"/>
      <c r="CQ10" s="220" t="s">
        <v>429</v>
      </c>
      <c r="CR10" s="221">
        <v>1</v>
      </c>
      <c r="CS10" s="222">
        <v>13</v>
      </c>
      <c r="CT10" s="229"/>
      <c r="CU10" s="230" t="s">
        <v>266</v>
      </c>
      <c r="CV10" s="237">
        <v>1</v>
      </c>
      <c r="CW10" s="248">
        <v>4</v>
      </c>
      <c r="CX10" s="219" t="s">
        <v>144</v>
      </c>
      <c r="CY10" s="220" t="s">
        <v>502</v>
      </c>
      <c r="CZ10" s="225">
        <v>13</v>
      </c>
      <c r="DA10" s="226">
        <v>1</v>
      </c>
      <c r="DB10" s="219"/>
      <c r="DC10" s="220" t="s">
        <v>463</v>
      </c>
      <c r="DD10" s="227">
        <v>6</v>
      </c>
      <c r="DE10" s="228">
        <v>7</v>
      </c>
      <c r="DF10" s="163"/>
      <c r="DG10" s="202">
        <v>8</v>
      </c>
      <c r="DH10" s="313"/>
      <c r="DI10" s="314" t="s">
        <v>650</v>
      </c>
      <c r="DJ10" s="318">
        <v>9</v>
      </c>
      <c r="DK10" s="321">
        <v>6</v>
      </c>
      <c r="DL10" s="313" t="s">
        <v>144</v>
      </c>
      <c r="DM10" s="314" t="s">
        <v>580</v>
      </c>
      <c r="DN10" s="311">
        <v>3</v>
      </c>
      <c r="DO10" s="312">
        <v>5</v>
      </c>
      <c r="DP10" s="233" t="s">
        <v>144</v>
      </c>
      <c r="DQ10" s="234" t="s">
        <v>1171</v>
      </c>
      <c r="DR10" s="261">
        <v>6</v>
      </c>
      <c r="DS10" s="262">
        <v>3</v>
      </c>
      <c r="DT10" s="313"/>
      <c r="DU10" s="314" t="s">
        <v>717</v>
      </c>
      <c r="DV10" s="318">
        <v>5</v>
      </c>
      <c r="DW10" s="317">
        <v>3</v>
      </c>
      <c r="DX10" s="313" t="s">
        <v>144</v>
      </c>
      <c r="DY10" s="314" t="s">
        <v>611</v>
      </c>
      <c r="DZ10" s="311">
        <v>6</v>
      </c>
      <c r="EA10" s="312">
        <v>9</v>
      </c>
      <c r="EC10" s="202">
        <v>8</v>
      </c>
      <c r="ED10" s="229" t="s">
        <v>144</v>
      </c>
      <c r="EE10" s="230" t="s">
        <v>266</v>
      </c>
      <c r="EF10" s="239">
        <v>2</v>
      </c>
      <c r="EG10" s="240">
        <v>4</v>
      </c>
      <c r="EH10" s="229" t="s">
        <v>144</v>
      </c>
      <c r="EI10" s="230" t="s">
        <v>339</v>
      </c>
      <c r="EJ10" s="246">
        <v>9</v>
      </c>
      <c r="EK10" s="258">
        <v>8</v>
      </c>
      <c r="EL10" s="229"/>
      <c r="EM10" s="230" t="s">
        <v>165</v>
      </c>
      <c r="EN10" s="231">
        <v>4</v>
      </c>
      <c r="EO10" s="264">
        <v>2</v>
      </c>
      <c r="EP10" s="219" t="s">
        <v>144</v>
      </c>
      <c r="EQ10" s="220" t="s">
        <v>429</v>
      </c>
      <c r="ER10" s="221">
        <v>1</v>
      </c>
      <c r="ES10" s="259">
        <v>17</v>
      </c>
      <c r="ET10" s="229"/>
      <c r="EU10" s="230" t="s">
        <v>226</v>
      </c>
      <c r="EV10" s="237">
        <v>8</v>
      </c>
      <c r="EW10" s="248">
        <v>9</v>
      </c>
      <c r="EX10" s="163"/>
      <c r="EY10" s="202">
        <v>8</v>
      </c>
      <c r="EZ10" s="219" t="s">
        <v>144</v>
      </c>
      <c r="FA10" s="220" t="s">
        <v>463</v>
      </c>
      <c r="FB10" s="225">
        <v>8</v>
      </c>
      <c r="FC10" s="226">
        <v>7</v>
      </c>
      <c r="FD10" s="219"/>
      <c r="FE10" s="220" t="s">
        <v>394</v>
      </c>
      <c r="FF10" s="221">
        <v>1</v>
      </c>
      <c r="FG10" s="222">
        <v>7</v>
      </c>
      <c r="FH10" s="229"/>
      <c r="FI10" s="230" t="s">
        <v>300</v>
      </c>
      <c r="FJ10" s="231">
        <v>17</v>
      </c>
      <c r="FK10" s="232">
        <v>1</v>
      </c>
      <c r="FL10" s="219" t="s">
        <v>144</v>
      </c>
      <c r="FM10" s="220" t="s">
        <v>539</v>
      </c>
      <c r="FN10" s="225">
        <v>7</v>
      </c>
      <c r="FO10" s="226">
        <v>1</v>
      </c>
      <c r="FP10" s="219"/>
      <c r="FQ10" s="220" t="s">
        <v>502</v>
      </c>
      <c r="FR10" s="227">
        <v>7</v>
      </c>
      <c r="FS10" s="228">
        <v>8</v>
      </c>
      <c r="FT10" s="163"/>
      <c r="FU10" s="202">
        <v>8</v>
      </c>
      <c r="FV10" s="313"/>
      <c r="FW10" s="314" t="s">
        <v>611</v>
      </c>
      <c r="FX10" s="322">
        <v>1</v>
      </c>
      <c r="FY10" s="323">
        <v>8</v>
      </c>
      <c r="FZ10" s="313" t="s">
        <v>144</v>
      </c>
      <c r="GA10" s="314" t="s">
        <v>650</v>
      </c>
      <c r="GB10" s="315">
        <v>4</v>
      </c>
      <c r="GC10" s="316">
        <v>2</v>
      </c>
      <c r="GD10" s="233" t="s">
        <v>144</v>
      </c>
      <c r="GE10" s="234" t="s">
        <v>1200</v>
      </c>
      <c r="GF10" s="254">
        <v>1</v>
      </c>
      <c r="GG10" s="260">
        <v>2</v>
      </c>
      <c r="GH10" s="313"/>
      <c r="GI10" s="314" t="s">
        <v>685</v>
      </c>
      <c r="GJ10" s="322">
        <v>2</v>
      </c>
      <c r="GK10" s="320">
        <v>4</v>
      </c>
      <c r="GL10" s="313" t="s">
        <v>144</v>
      </c>
      <c r="GM10" s="314" t="s">
        <v>717</v>
      </c>
      <c r="GN10" s="315">
        <v>8</v>
      </c>
      <c r="GO10" s="316">
        <v>1</v>
      </c>
    </row>
    <row r="11" spans="1:197">
      <c r="A11" s="202">
        <v>9</v>
      </c>
      <c r="B11" s="244" t="s">
        <v>144</v>
      </c>
      <c r="C11" s="245" t="s">
        <v>339</v>
      </c>
      <c r="D11" s="239">
        <v>2</v>
      </c>
      <c r="E11" s="240">
        <v>5</v>
      </c>
      <c r="F11" s="244"/>
      <c r="G11" s="245" t="s">
        <v>300</v>
      </c>
      <c r="H11" s="246">
        <v>5</v>
      </c>
      <c r="I11" s="258">
        <v>2</v>
      </c>
      <c r="J11" s="244" t="s">
        <v>144</v>
      </c>
      <c r="K11" s="245" t="s">
        <v>226</v>
      </c>
      <c r="L11" s="231">
        <v>5</v>
      </c>
      <c r="M11" s="264">
        <v>0</v>
      </c>
      <c r="N11" s="244"/>
      <c r="O11" s="245" t="s">
        <v>165</v>
      </c>
      <c r="P11" s="239">
        <v>0</v>
      </c>
      <c r="Q11" s="238">
        <v>5</v>
      </c>
      <c r="R11" s="241"/>
      <c r="S11" s="242" t="s">
        <v>394</v>
      </c>
      <c r="T11" s="223">
        <v>7</v>
      </c>
      <c r="U11" s="224">
        <v>4</v>
      </c>
      <c r="V11" s="163"/>
      <c r="W11" s="202">
        <v>9</v>
      </c>
      <c r="X11" s="244" t="s">
        <v>144</v>
      </c>
      <c r="Y11" s="245" t="s">
        <v>266</v>
      </c>
      <c r="Z11" s="239">
        <v>4</v>
      </c>
      <c r="AA11" s="240">
        <v>7</v>
      </c>
      <c r="AB11" s="241"/>
      <c r="AC11" s="242" t="s">
        <v>502</v>
      </c>
      <c r="AD11" s="225">
        <v>13</v>
      </c>
      <c r="AE11" s="226">
        <v>2</v>
      </c>
      <c r="AF11" s="241" t="s">
        <v>144</v>
      </c>
      <c r="AG11" s="242" t="s">
        <v>463</v>
      </c>
      <c r="AH11" s="227">
        <v>2</v>
      </c>
      <c r="AI11" s="228">
        <v>13</v>
      </c>
      <c r="AJ11" s="241" t="s">
        <v>144</v>
      </c>
      <c r="AK11" s="242" t="s">
        <v>429</v>
      </c>
      <c r="AL11" s="225">
        <v>9</v>
      </c>
      <c r="AM11" s="226">
        <v>8</v>
      </c>
      <c r="AN11" s="241"/>
      <c r="AO11" s="242" t="s">
        <v>539</v>
      </c>
      <c r="AP11" s="227">
        <v>8</v>
      </c>
      <c r="AQ11" s="228">
        <v>9</v>
      </c>
      <c r="AR11" s="163"/>
      <c r="AS11" s="202">
        <v>9</v>
      </c>
      <c r="AT11" s="249" t="s">
        <v>144</v>
      </c>
      <c r="AU11" s="250" t="s">
        <v>1265</v>
      </c>
      <c r="AV11" s="461">
        <v>0</v>
      </c>
      <c r="AW11" s="462">
        <v>2</v>
      </c>
      <c r="AX11" s="309" t="s">
        <v>144</v>
      </c>
      <c r="AY11" s="310" t="s">
        <v>717</v>
      </c>
      <c r="AZ11" s="311">
        <v>4</v>
      </c>
      <c r="BA11" s="438">
        <v>9</v>
      </c>
      <c r="BB11" s="309"/>
      <c r="BC11" s="310" t="s">
        <v>611</v>
      </c>
      <c r="BD11" s="318">
        <v>9</v>
      </c>
      <c r="BE11" s="321">
        <v>4</v>
      </c>
      <c r="BF11" s="309" t="s">
        <v>144</v>
      </c>
      <c r="BG11" s="310" t="s">
        <v>580</v>
      </c>
      <c r="BH11" s="311">
        <v>0</v>
      </c>
      <c r="BI11" s="320">
        <v>12</v>
      </c>
      <c r="BJ11" s="309"/>
      <c r="BK11" s="310" t="s">
        <v>685</v>
      </c>
      <c r="BL11" s="315">
        <v>12</v>
      </c>
      <c r="BM11" s="316">
        <v>0</v>
      </c>
      <c r="BO11" s="202">
        <v>9</v>
      </c>
      <c r="BP11" s="244" t="s">
        <v>144</v>
      </c>
      <c r="BQ11" s="245" t="s">
        <v>165</v>
      </c>
      <c r="BR11" s="246">
        <v>3</v>
      </c>
      <c r="BS11" s="247">
        <v>2</v>
      </c>
      <c r="BT11" s="244"/>
      <c r="BU11" s="245" t="s">
        <v>339</v>
      </c>
      <c r="BV11" s="239">
        <v>2</v>
      </c>
      <c r="BW11" s="238">
        <v>3</v>
      </c>
      <c r="BX11" s="244" t="s">
        <v>144</v>
      </c>
      <c r="BY11" s="245" t="s">
        <v>266</v>
      </c>
      <c r="BZ11" s="237">
        <v>3</v>
      </c>
      <c r="CA11" s="268">
        <v>5</v>
      </c>
      <c r="CB11" s="244"/>
      <c r="CC11" s="245" t="s">
        <v>226</v>
      </c>
      <c r="CD11" s="246">
        <v>5</v>
      </c>
      <c r="CE11" s="258">
        <v>3</v>
      </c>
      <c r="CF11" s="241"/>
      <c r="CG11" s="242" t="s">
        <v>463</v>
      </c>
      <c r="CH11" s="227">
        <v>1</v>
      </c>
      <c r="CI11" s="228">
        <v>7</v>
      </c>
      <c r="CJ11" s="163"/>
      <c r="CK11" s="202">
        <v>9</v>
      </c>
      <c r="CL11" s="244" t="s">
        <v>144</v>
      </c>
      <c r="CM11" s="245" t="s">
        <v>300</v>
      </c>
      <c r="CN11" s="246">
        <v>7</v>
      </c>
      <c r="CO11" s="247">
        <v>1</v>
      </c>
      <c r="CP11" s="241"/>
      <c r="CQ11" s="242" t="s">
        <v>539</v>
      </c>
      <c r="CR11" s="221">
        <v>6</v>
      </c>
      <c r="CS11" s="222">
        <v>7</v>
      </c>
      <c r="CT11" s="241" t="s">
        <v>144</v>
      </c>
      <c r="CU11" s="242" t="s">
        <v>502</v>
      </c>
      <c r="CV11" s="223">
        <v>7</v>
      </c>
      <c r="CW11" s="224">
        <v>6</v>
      </c>
      <c r="CX11" s="241" t="s">
        <v>144</v>
      </c>
      <c r="CY11" s="242" t="s">
        <v>394</v>
      </c>
      <c r="CZ11" s="221">
        <v>2</v>
      </c>
      <c r="DA11" s="222">
        <v>14</v>
      </c>
      <c r="DB11" s="241"/>
      <c r="DC11" s="242" t="s">
        <v>429</v>
      </c>
      <c r="DD11" s="223">
        <v>14</v>
      </c>
      <c r="DE11" s="224">
        <v>2</v>
      </c>
      <c r="DF11" s="163"/>
      <c r="DG11" s="202">
        <v>9</v>
      </c>
      <c r="DH11" s="249" t="s">
        <v>144</v>
      </c>
      <c r="DI11" s="250" t="s">
        <v>1229</v>
      </c>
      <c r="DJ11" s="254">
        <v>2</v>
      </c>
      <c r="DK11" s="260">
        <v>3</v>
      </c>
      <c r="DL11" s="309" t="s">
        <v>144</v>
      </c>
      <c r="DM11" s="310" t="s">
        <v>685</v>
      </c>
      <c r="DN11" s="311">
        <v>2</v>
      </c>
      <c r="DO11" s="312">
        <v>9</v>
      </c>
      <c r="DP11" s="309"/>
      <c r="DQ11" s="310" t="s">
        <v>717</v>
      </c>
      <c r="DR11" s="318">
        <v>9</v>
      </c>
      <c r="DS11" s="321">
        <v>2</v>
      </c>
      <c r="DT11" s="309" t="s">
        <v>144</v>
      </c>
      <c r="DU11" s="310" t="s">
        <v>650</v>
      </c>
      <c r="DV11" s="315">
        <v>7</v>
      </c>
      <c r="DW11" s="317">
        <v>3</v>
      </c>
      <c r="DX11" s="309"/>
      <c r="DY11" s="310" t="s">
        <v>580</v>
      </c>
      <c r="DZ11" s="311">
        <v>3</v>
      </c>
      <c r="EA11" s="312">
        <v>7</v>
      </c>
      <c r="EC11" s="202">
        <v>9</v>
      </c>
      <c r="ED11" s="244" t="s">
        <v>144</v>
      </c>
      <c r="EE11" s="245" t="s">
        <v>226</v>
      </c>
      <c r="EF11" s="239">
        <v>0</v>
      </c>
      <c r="EG11" s="240">
        <v>1</v>
      </c>
      <c r="EH11" s="244"/>
      <c r="EI11" s="245" t="s">
        <v>165</v>
      </c>
      <c r="EJ11" s="246">
        <v>1</v>
      </c>
      <c r="EK11" s="258">
        <v>0</v>
      </c>
      <c r="EL11" s="244" t="s">
        <v>144</v>
      </c>
      <c r="EM11" s="245" t="s">
        <v>300</v>
      </c>
      <c r="EN11" s="231">
        <v>11</v>
      </c>
      <c r="EO11" s="264">
        <v>1</v>
      </c>
      <c r="EP11" s="244"/>
      <c r="EQ11" s="245" t="s">
        <v>266</v>
      </c>
      <c r="ER11" s="239">
        <v>1</v>
      </c>
      <c r="ES11" s="238">
        <v>11</v>
      </c>
      <c r="ET11" s="241"/>
      <c r="EU11" s="242" t="s">
        <v>502</v>
      </c>
      <c r="EV11" s="223">
        <v>12</v>
      </c>
      <c r="EW11" s="224">
        <v>2</v>
      </c>
      <c r="EX11" s="163"/>
      <c r="EY11" s="202">
        <v>9</v>
      </c>
      <c r="EZ11" s="244" t="s">
        <v>144</v>
      </c>
      <c r="FA11" s="245" t="s">
        <v>339</v>
      </c>
      <c r="FB11" s="239">
        <v>2</v>
      </c>
      <c r="FC11" s="240">
        <v>12</v>
      </c>
      <c r="FD11" s="241"/>
      <c r="FE11" s="242" t="s">
        <v>429</v>
      </c>
      <c r="FF11" s="225">
        <v>3</v>
      </c>
      <c r="FG11" s="226">
        <v>1</v>
      </c>
      <c r="FH11" s="241" t="s">
        <v>144</v>
      </c>
      <c r="FI11" s="242" t="s">
        <v>539</v>
      </c>
      <c r="FJ11" s="227">
        <v>1</v>
      </c>
      <c r="FK11" s="228">
        <v>3</v>
      </c>
      <c r="FL11" s="241" t="s">
        <v>144</v>
      </c>
      <c r="FM11" s="242" t="s">
        <v>463</v>
      </c>
      <c r="FN11" s="225">
        <v>9</v>
      </c>
      <c r="FO11" s="226">
        <v>8</v>
      </c>
      <c r="FP11" s="241"/>
      <c r="FQ11" s="242" t="s">
        <v>394</v>
      </c>
      <c r="FR11" s="227">
        <v>8</v>
      </c>
      <c r="FS11" s="228">
        <v>9</v>
      </c>
      <c r="FT11" s="163"/>
      <c r="FU11" s="202">
        <v>9</v>
      </c>
      <c r="FV11" s="249" t="s">
        <v>144</v>
      </c>
      <c r="FW11" s="250" t="s">
        <v>1139</v>
      </c>
      <c r="FX11" s="261">
        <v>8</v>
      </c>
      <c r="FY11" s="262">
        <v>2</v>
      </c>
      <c r="FZ11" s="309" t="s">
        <v>144</v>
      </c>
      <c r="GA11" s="310" t="s">
        <v>580</v>
      </c>
      <c r="GB11" s="311">
        <v>2</v>
      </c>
      <c r="GC11" s="312">
        <v>3</v>
      </c>
      <c r="GD11" s="309"/>
      <c r="GE11" s="310" t="s">
        <v>685</v>
      </c>
      <c r="GF11" s="318">
        <v>3</v>
      </c>
      <c r="GG11" s="321">
        <v>2</v>
      </c>
      <c r="GH11" s="309" t="s">
        <v>144</v>
      </c>
      <c r="GI11" s="310" t="s">
        <v>611</v>
      </c>
      <c r="GJ11" s="311">
        <v>2</v>
      </c>
      <c r="GK11" s="320">
        <v>4</v>
      </c>
      <c r="GL11" s="309"/>
      <c r="GM11" s="310" t="s">
        <v>650</v>
      </c>
      <c r="GN11" s="315">
        <v>4</v>
      </c>
      <c r="GO11" s="316">
        <v>2</v>
      </c>
    </row>
    <row r="12" spans="1:197">
      <c r="A12" s="202">
        <v>10</v>
      </c>
      <c r="B12" s="229" t="s">
        <v>144</v>
      </c>
      <c r="C12" s="230" t="s">
        <v>339</v>
      </c>
      <c r="D12" s="394">
        <v>2</v>
      </c>
      <c r="E12" s="396">
        <v>8</v>
      </c>
      <c r="F12" s="229"/>
      <c r="G12" s="230" t="s">
        <v>300</v>
      </c>
      <c r="H12" s="433">
        <v>8</v>
      </c>
      <c r="I12" s="432">
        <v>2</v>
      </c>
      <c r="J12" s="229" t="s">
        <v>144</v>
      </c>
      <c r="K12" s="230" t="s">
        <v>226</v>
      </c>
      <c r="L12" s="440">
        <v>4</v>
      </c>
      <c r="M12" s="463">
        <v>5</v>
      </c>
      <c r="N12" s="229"/>
      <c r="O12" s="230" t="s">
        <v>165</v>
      </c>
      <c r="P12" s="433">
        <v>5</v>
      </c>
      <c r="Q12" s="432">
        <v>4</v>
      </c>
      <c r="R12" s="219"/>
      <c r="S12" s="220" t="s">
        <v>394</v>
      </c>
      <c r="T12" s="408">
        <v>3</v>
      </c>
      <c r="U12" s="409">
        <v>4</v>
      </c>
      <c r="V12" s="163"/>
      <c r="W12" s="202">
        <v>10</v>
      </c>
      <c r="X12" s="229" t="s">
        <v>144</v>
      </c>
      <c r="Y12" s="230" t="s">
        <v>266</v>
      </c>
      <c r="Z12" s="433">
        <v>4</v>
      </c>
      <c r="AA12" s="464">
        <v>3</v>
      </c>
      <c r="AB12" s="219"/>
      <c r="AC12" s="220" t="s">
        <v>502</v>
      </c>
      <c r="AD12" s="221">
        <v>2</v>
      </c>
      <c r="AE12" s="222">
        <v>14</v>
      </c>
      <c r="AF12" s="219" t="s">
        <v>144</v>
      </c>
      <c r="AG12" s="220" t="s">
        <v>463</v>
      </c>
      <c r="AH12" s="223">
        <v>14</v>
      </c>
      <c r="AI12" s="224">
        <v>2</v>
      </c>
      <c r="AJ12" s="219" t="s">
        <v>144</v>
      </c>
      <c r="AK12" s="220" t="s">
        <v>429</v>
      </c>
      <c r="AL12" s="225">
        <v>12</v>
      </c>
      <c r="AM12" s="226">
        <v>6</v>
      </c>
      <c r="AN12" s="219"/>
      <c r="AO12" s="220" t="s">
        <v>539</v>
      </c>
      <c r="AP12" s="227">
        <v>6</v>
      </c>
      <c r="AQ12" s="228">
        <v>12</v>
      </c>
      <c r="AR12" s="163"/>
      <c r="AS12" s="202">
        <v>10</v>
      </c>
      <c r="AT12" s="233" t="s">
        <v>144</v>
      </c>
      <c r="AU12" s="234" t="s">
        <v>1265</v>
      </c>
      <c r="AV12" s="460">
        <v>10</v>
      </c>
      <c r="AW12" s="459">
        <v>9</v>
      </c>
      <c r="AX12" s="313" t="s">
        <v>144</v>
      </c>
      <c r="AY12" s="314" t="s">
        <v>717</v>
      </c>
      <c r="AZ12" s="422">
        <v>7</v>
      </c>
      <c r="BA12" s="421">
        <v>2</v>
      </c>
      <c r="BB12" s="313"/>
      <c r="BC12" s="314" t="s">
        <v>611</v>
      </c>
      <c r="BD12" s="418">
        <v>2</v>
      </c>
      <c r="BE12" s="419">
        <v>7</v>
      </c>
      <c r="BF12" s="313" t="s">
        <v>144</v>
      </c>
      <c r="BG12" s="314" t="s">
        <v>580</v>
      </c>
      <c r="BH12" s="322">
        <v>6</v>
      </c>
      <c r="BI12" s="320">
        <v>7</v>
      </c>
      <c r="BJ12" s="313"/>
      <c r="BK12" s="314" t="s">
        <v>685</v>
      </c>
      <c r="BL12" s="315">
        <v>7</v>
      </c>
      <c r="BM12" s="316">
        <v>6</v>
      </c>
      <c r="BO12" s="202">
        <v>10</v>
      </c>
      <c r="BP12" s="229" t="s">
        <v>144</v>
      </c>
      <c r="BQ12" s="230" t="s">
        <v>165</v>
      </c>
      <c r="BR12" s="246">
        <v>3</v>
      </c>
      <c r="BS12" s="247">
        <v>1</v>
      </c>
      <c r="BT12" s="229"/>
      <c r="BU12" s="230" t="s">
        <v>339</v>
      </c>
      <c r="BV12" s="239">
        <v>1</v>
      </c>
      <c r="BW12" s="238">
        <v>3</v>
      </c>
      <c r="BX12" s="229" t="s">
        <v>144</v>
      </c>
      <c r="BY12" s="230" t="s">
        <v>266</v>
      </c>
      <c r="BZ12" s="237">
        <v>5</v>
      </c>
      <c r="CA12" s="268">
        <v>9</v>
      </c>
      <c r="CB12" s="229"/>
      <c r="CC12" s="230" t="s">
        <v>226</v>
      </c>
      <c r="CD12" s="246">
        <v>9</v>
      </c>
      <c r="CE12" s="258">
        <v>5</v>
      </c>
      <c r="CF12" s="219"/>
      <c r="CG12" s="220" t="s">
        <v>463</v>
      </c>
      <c r="CH12" s="227">
        <v>1</v>
      </c>
      <c r="CI12" s="228">
        <v>7</v>
      </c>
      <c r="CJ12" s="163"/>
      <c r="CK12" s="202">
        <v>10</v>
      </c>
      <c r="CL12" s="229" t="s">
        <v>144</v>
      </c>
      <c r="CM12" s="230" t="s">
        <v>300</v>
      </c>
      <c r="CN12" s="246">
        <v>7</v>
      </c>
      <c r="CO12" s="247">
        <v>1</v>
      </c>
      <c r="CP12" s="219"/>
      <c r="CQ12" s="220" t="s">
        <v>539</v>
      </c>
      <c r="CR12" s="225">
        <v>3</v>
      </c>
      <c r="CS12" s="226">
        <v>0</v>
      </c>
      <c r="CT12" s="219" t="s">
        <v>144</v>
      </c>
      <c r="CU12" s="220" t="s">
        <v>502</v>
      </c>
      <c r="CV12" s="227">
        <v>0</v>
      </c>
      <c r="CW12" s="228">
        <v>3</v>
      </c>
      <c r="CX12" s="219" t="s">
        <v>144</v>
      </c>
      <c r="CY12" s="220" t="s">
        <v>394</v>
      </c>
      <c r="CZ12" s="221">
        <v>4</v>
      </c>
      <c r="DA12" s="222">
        <v>6</v>
      </c>
      <c r="DB12" s="219"/>
      <c r="DC12" s="220" t="s">
        <v>429</v>
      </c>
      <c r="DD12" s="223">
        <v>6</v>
      </c>
      <c r="DE12" s="224">
        <v>4</v>
      </c>
      <c r="DF12" s="163"/>
      <c r="DG12" s="202">
        <v>10</v>
      </c>
      <c r="DH12" s="233" t="s">
        <v>144</v>
      </c>
      <c r="DI12" s="234" t="s">
        <v>1229</v>
      </c>
      <c r="DJ12" s="261">
        <v>5</v>
      </c>
      <c r="DK12" s="262">
        <v>4</v>
      </c>
      <c r="DL12" s="313" t="s">
        <v>144</v>
      </c>
      <c r="DM12" s="314" t="s">
        <v>685</v>
      </c>
      <c r="DN12" s="315">
        <v>12</v>
      </c>
      <c r="DO12" s="316">
        <v>7</v>
      </c>
      <c r="DP12" s="313"/>
      <c r="DQ12" s="314" t="s">
        <v>717</v>
      </c>
      <c r="DR12" s="322">
        <v>7</v>
      </c>
      <c r="DS12" s="323">
        <v>12</v>
      </c>
      <c r="DT12" s="313" t="s">
        <v>144</v>
      </c>
      <c r="DU12" s="314" t="s">
        <v>650</v>
      </c>
      <c r="DV12" s="318">
        <v>8</v>
      </c>
      <c r="DW12" s="317">
        <v>3</v>
      </c>
      <c r="DX12" s="313"/>
      <c r="DY12" s="314" t="s">
        <v>580</v>
      </c>
      <c r="DZ12" s="311">
        <v>3</v>
      </c>
      <c r="EA12" s="312">
        <v>8</v>
      </c>
      <c r="EC12" s="202">
        <v>10</v>
      </c>
      <c r="ED12" s="229" t="s">
        <v>144</v>
      </c>
      <c r="EE12" s="230" t="s">
        <v>226</v>
      </c>
      <c r="EF12" s="246">
        <v>9</v>
      </c>
      <c r="EG12" s="247">
        <v>3</v>
      </c>
      <c r="EH12" s="229"/>
      <c r="EI12" s="230" t="s">
        <v>165</v>
      </c>
      <c r="EJ12" s="239">
        <v>3</v>
      </c>
      <c r="EK12" s="238">
        <v>9</v>
      </c>
      <c r="EL12" s="229" t="s">
        <v>144</v>
      </c>
      <c r="EM12" s="230" t="s">
        <v>300</v>
      </c>
      <c r="EN12" s="231">
        <v>6</v>
      </c>
      <c r="EO12" s="264">
        <v>5</v>
      </c>
      <c r="EP12" s="229"/>
      <c r="EQ12" s="230" t="s">
        <v>266</v>
      </c>
      <c r="ER12" s="239">
        <v>5</v>
      </c>
      <c r="ES12" s="238">
        <v>6</v>
      </c>
      <c r="ET12" s="219"/>
      <c r="EU12" s="220" t="s">
        <v>502</v>
      </c>
      <c r="EV12" s="223">
        <v>5</v>
      </c>
      <c r="EW12" s="224">
        <v>3</v>
      </c>
      <c r="EX12" s="163"/>
      <c r="EY12" s="202">
        <v>10</v>
      </c>
      <c r="EZ12" s="229" t="s">
        <v>144</v>
      </c>
      <c r="FA12" s="230" t="s">
        <v>339</v>
      </c>
      <c r="FB12" s="239">
        <v>3</v>
      </c>
      <c r="FC12" s="240">
        <v>5</v>
      </c>
      <c r="FD12" s="219"/>
      <c r="FE12" s="220" t="s">
        <v>429</v>
      </c>
      <c r="FF12" s="221">
        <v>4</v>
      </c>
      <c r="FG12" s="222">
        <v>8</v>
      </c>
      <c r="FH12" s="219" t="s">
        <v>144</v>
      </c>
      <c r="FI12" s="220" t="s">
        <v>539</v>
      </c>
      <c r="FJ12" s="223">
        <v>8</v>
      </c>
      <c r="FK12" s="224">
        <v>4</v>
      </c>
      <c r="FL12" s="219" t="s">
        <v>144</v>
      </c>
      <c r="FM12" s="220" t="s">
        <v>463</v>
      </c>
      <c r="FN12" s="225">
        <v>8</v>
      </c>
      <c r="FO12" s="226">
        <v>2</v>
      </c>
      <c r="FP12" s="219"/>
      <c r="FQ12" s="220" t="s">
        <v>394</v>
      </c>
      <c r="FR12" s="227">
        <v>2</v>
      </c>
      <c r="FS12" s="228">
        <v>8</v>
      </c>
      <c r="FT12" s="163"/>
      <c r="FU12" s="202">
        <v>10</v>
      </c>
      <c r="FV12" s="233" t="s">
        <v>144</v>
      </c>
      <c r="FW12" s="234" t="s">
        <v>1139</v>
      </c>
      <c r="FX12" s="254">
        <v>3</v>
      </c>
      <c r="FY12" s="260">
        <v>5</v>
      </c>
      <c r="FZ12" s="313" t="s">
        <v>144</v>
      </c>
      <c r="GA12" s="314" t="s">
        <v>580</v>
      </c>
      <c r="GB12" s="311">
        <v>0</v>
      </c>
      <c r="GC12" s="312">
        <v>4</v>
      </c>
      <c r="GD12" s="313"/>
      <c r="GE12" s="314" t="s">
        <v>685</v>
      </c>
      <c r="GF12" s="318">
        <v>4</v>
      </c>
      <c r="GG12" s="321">
        <v>0</v>
      </c>
      <c r="GH12" s="313" t="s">
        <v>144</v>
      </c>
      <c r="GI12" s="314" t="s">
        <v>611</v>
      </c>
      <c r="GJ12" s="322">
        <v>0</v>
      </c>
      <c r="GK12" s="320">
        <v>9</v>
      </c>
      <c r="GL12" s="313"/>
      <c r="GM12" s="314" t="s">
        <v>650</v>
      </c>
      <c r="GN12" s="315">
        <v>9</v>
      </c>
      <c r="GO12" s="316">
        <v>0</v>
      </c>
    </row>
    <row r="13" spans="1:197">
      <c r="A13" s="202">
        <v>11</v>
      </c>
      <c r="B13" s="309" t="s">
        <v>144</v>
      </c>
      <c r="C13" s="310" t="s">
        <v>717</v>
      </c>
      <c r="D13" s="422">
        <v>10</v>
      </c>
      <c r="E13" s="421">
        <v>5</v>
      </c>
      <c r="F13" s="309"/>
      <c r="G13" s="310" t="s">
        <v>685</v>
      </c>
      <c r="H13" s="315">
        <v>13</v>
      </c>
      <c r="I13" s="317">
        <v>6</v>
      </c>
      <c r="J13" s="241"/>
      <c r="K13" s="242" t="s">
        <v>429</v>
      </c>
      <c r="L13" s="223">
        <v>7</v>
      </c>
      <c r="M13" s="243">
        <v>5</v>
      </c>
      <c r="N13" s="309" t="s">
        <v>144</v>
      </c>
      <c r="O13" s="310" t="s">
        <v>580</v>
      </c>
      <c r="P13" s="422">
        <v>5</v>
      </c>
      <c r="Q13" s="414">
        <v>3</v>
      </c>
      <c r="R13" s="241"/>
      <c r="S13" s="242" t="s">
        <v>502</v>
      </c>
      <c r="T13" s="408">
        <v>1</v>
      </c>
      <c r="U13" s="409">
        <v>3</v>
      </c>
      <c r="V13" s="163"/>
      <c r="W13" s="202">
        <v>11</v>
      </c>
      <c r="X13" s="309"/>
      <c r="Y13" s="310" t="s">
        <v>650</v>
      </c>
      <c r="Z13" s="422">
        <v>3</v>
      </c>
      <c r="AA13" s="421">
        <v>2</v>
      </c>
      <c r="AB13" s="309" t="s">
        <v>144</v>
      </c>
      <c r="AC13" s="310" t="s">
        <v>611</v>
      </c>
      <c r="AD13" s="311">
        <v>1</v>
      </c>
      <c r="AE13" s="312">
        <v>6</v>
      </c>
      <c r="AF13" s="244" t="s">
        <v>144</v>
      </c>
      <c r="AG13" s="245" t="s">
        <v>266</v>
      </c>
      <c r="AH13" s="402">
        <v>3</v>
      </c>
      <c r="AI13" s="400">
        <v>1</v>
      </c>
      <c r="AJ13" s="249" t="s">
        <v>144</v>
      </c>
      <c r="AK13" s="250" t="s">
        <v>990</v>
      </c>
      <c r="AL13" s="426">
        <v>5</v>
      </c>
      <c r="AM13" s="425">
        <v>4</v>
      </c>
      <c r="AN13" s="244" t="s">
        <v>144</v>
      </c>
      <c r="AO13" s="245" t="s">
        <v>165</v>
      </c>
      <c r="AP13" s="237">
        <v>5</v>
      </c>
      <c r="AQ13" s="248">
        <v>7</v>
      </c>
      <c r="AR13" s="163"/>
      <c r="AS13" s="202">
        <v>11</v>
      </c>
      <c r="AT13" s="241" t="s">
        <v>144</v>
      </c>
      <c r="AU13" s="242" t="s">
        <v>394</v>
      </c>
      <c r="AV13" s="408">
        <v>2</v>
      </c>
      <c r="AW13" s="409">
        <v>3</v>
      </c>
      <c r="AX13" s="241"/>
      <c r="AY13" s="242" t="s">
        <v>463</v>
      </c>
      <c r="AZ13" s="225">
        <v>6</v>
      </c>
      <c r="BA13" s="226">
        <v>1</v>
      </c>
      <c r="BB13" s="244"/>
      <c r="BC13" s="245" t="s">
        <v>300</v>
      </c>
      <c r="BD13" s="440">
        <v>5</v>
      </c>
      <c r="BE13" s="441">
        <v>10</v>
      </c>
      <c r="BF13" s="244" t="s">
        <v>144</v>
      </c>
      <c r="BG13" s="245" t="s">
        <v>339</v>
      </c>
      <c r="BH13" s="239">
        <v>6</v>
      </c>
      <c r="BI13" s="238">
        <v>13</v>
      </c>
      <c r="BJ13" s="244"/>
      <c r="BK13" s="245" t="s">
        <v>226</v>
      </c>
      <c r="BL13" s="394">
        <v>3</v>
      </c>
      <c r="BM13" s="396">
        <v>5</v>
      </c>
      <c r="BO13" s="202">
        <v>11</v>
      </c>
      <c r="BP13" s="309" t="s">
        <v>144</v>
      </c>
      <c r="BQ13" s="310" t="s">
        <v>685</v>
      </c>
      <c r="BR13" s="315">
        <v>2</v>
      </c>
      <c r="BS13" s="316">
        <v>1</v>
      </c>
      <c r="BT13" s="309"/>
      <c r="BU13" s="310" t="s">
        <v>580</v>
      </c>
      <c r="BV13" s="311">
        <v>1</v>
      </c>
      <c r="BW13" s="320">
        <v>2</v>
      </c>
      <c r="BX13" s="241"/>
      <c r="BY13" s="242" t="s">
        <v>394</v>
      </c>
      <c r="BZ13" s="227">
        <v>7</v>
      </c>
      <c r="CA13" s="253">
        <v>13</v>
      </c>
      <c r="CB13" s="309" t="s">
        <v>144</v>
      </c>
      <c r="CC13" s="310" t="s">
        <v>650</v>
      </c>
      <c r="CD13" s="315">
        <v>6</v>
      </c>
      <c r="CE13" s="317">
        <v>3</v>
      </c>
      <c r="CF13" s="241"/>
      <c r="CG13" s="242" t="s">
        <v>539</v>
      </c>
      <c r="CH13" s="223">
        <v>4</v>
      </c>
      <c r="CI13" s="224">
        <v>3</v>
      </c>
      <c r="CJ13" s="163"/>
      <c r="CK13" s="202">
        <v>11</v>
      </c>
      <c r="CL13" s="309"/>
      <c r="CM13" s="310" t="s">
        <v>611</v>
      </c>
      <c r="CN13" s="311">
        <v>3</v>
      </c>
      <c r="CO13" s="312">
        <v>7</v>
      </c>
      <c r="CP13" s="309" t="s">
        <v>144</v>
      </c>
      <c r="CQ13" s="310" t="s">
        <v>717</v>
      </c>
      <c r="CR13" s="315">
        <v>4</v>
      </c>
      <c r="CS13" s="316">
        <v>3</v>
      </c>
      <c r="CT13" s="244" t="s">
        <v>144</v>
      </c>
      <c r="CU13" s="245" t="s">
        <v>300</v>
      </c>
      <c r="CV13" s="237">
        <v>3</v>
      </c>
      <c r="CW13" s="248">
        <v>4</v>
      </c>
      <c r="CX13" s="249" t="s">
        <v>144</v>
      </c>
      <c r="CY13" s="250" t="s">
        <v>1062</v>
      </c>
      <c r="CZ13" s="251">
        <v>3</v>
      </c>
      <c r="DA13" s="257">
        <v>2</v>
      </c>
      <c r="DB13" s="244" t="s">
        <v>144</v>
      </c>
      <c r="DC13" s="245" t="s">
        <v>226</v>
      </c>
      <c r="DD13" s="231">
        <v>13</v>
      </c>
      <c r="DE13" s="232">
        <v>7</v>
      </c>
      <c r="DF13" s="163"/>
      <c r="DG13" s="202">
        <v>11</v>
      </c>
      <c r="DH13" s="241" t="s">
        <v>144</v>
      </c>
      <c r="DI13" s="242" t="s">
        <v>463</v>
      </c>
      <c r="DJ13" s="223">
        <v>7</v>
      </c>
      <c r="DK13" s="224">
        <v>3</v>
      </c>
      <c r="DL13" s="241"/>
      <c r="DM13" s="242" t="s">
        <v>502</v>
      </c>
      <c r="DN13" s="221">
        <v>3</v>
      </c>
      <c r="DO13" s="222">
        <v>4</v>
      </c>
      <c r="DP13" s="244"/>
      <c r="DQ13" s="245" t="s">
        <v>339</v>
      </c>
      <c r="DR13" s="237">
        <v>1</v>
      </c>
      <c r="DS13" s="248">
        <v>2</v>
      </c>
      <c r="DT13" s="244" t="s">
        <v>144</v>
      </c>
      <c r="DU13" s="245" t="s">
        <v>165</v>
      </c>
      <c r="DV13" s="246">
        <v>2</v>
      </c>
      <c r="DW13" s="258">
        <v>1</v>
      </c>
      <c r="DX13" s="244"/>
      <c r="DY13" s="245" t="s">
        <v>266</v>
      </c>
      <c r="DZ13" s="239">
        <v>3</v>
      </c>
      <c r="EA13" s="240">
        <v>6</v>
      </c>
      <c r="EC13" s="202">
        <v>11</v>
      </c>
      <c r="ED13" s="309" t="s">
        <v>144</v>
      </c>
      <c r="EE13" s="310" t="s">
        <v>580</v>
      </c>
      <c r="EF13" s="311">
        <v>5</v>
      </c>
      <c r="EG13" s="312">
        <v>6</v>
      </c>
      <c r="EH13" s="309"/>
      <c r="EI13" s="310" t="s">
        <v>650</v>
      </c>
      <c r="EJ13" s="315">
        <v>10</v>
      </c>
      <c r="EK13" s="317">
        <v>7</v>
      </c>
      <c r="EL13" s="241"/>
      <c r="EM13" s="242" t="s">
        <v>463</v>
      </c>
      <c r="EN13" s="223">
        <v>10</v>
      </c>
      <c r="EO13" s="243">
        <v>6</v>
      </c>
      <c r="EP13" s="309" t="s">
        <v>144</v>
      </c>
      <c r="EQ13" s="310" t="s">
        <v>611</v>
      </c>
      <c r="ER13" s="311">
        <v>1</v>
      </c>
      <c r="ES13" s="320">
        <v>2</v>
      </c>
      <c r="ET13" s="241"/>
      <c r="EU13" s="242" t="s">
        <v>429</v>
      </c>
      <c r="EV13" s="223">
        <v>3</v>
      </c>
      <c r="EW13" s="224">
        <v>2</v>
      </c>
      <c r="EX13" s="163"/>
      <c r="EY13" s="202">
        <v>11</v>
      </c>
      <c r="EZ13" s="309"/>
      <c r="FA13" s="310" t="s">
        <v>717</v>
      </c>
      <c r="FB13" s="311">
        <v>2</v>
      </c>
      <c r="FC13" s="312">
        <v>3</v>
      </c>
      <c r="FD13" s="309" t="s">
        <v>144</v>
      </c>
      <c r="FE13" s="310" t="s">
        <v>685</v>
      </c>
      <c r="FF13" s="311">
        <v>5</v>
      </c>
      <c r="FG13" s="312">
        <v>10</v>
      </c>
      <c r="FH13" s="244" t="s">
        <v>144</v>
      </c>
      <c r="FI13" s="245" t="s">
        <v>339</v>
      </c>
      <c r="FJ13" s="237">
        <v>2</v>
      </c>
      <c r="FK13" s="248">
        <v>3</v>
      </c>
      <c r="FL13" s="249" t="s">
        <v>144</v>
      </c>
      <c r="FM13" s="250" t="s">
        <v>1025</v>
      </c>
      <c r="FN13" s="235">
        <v>2</v>
      </c>
      <c r="FO13" s="236">
        <v>6</v>
      </c>
      <c r="FP13" s="244" t="s">
        <v>144</v>
      </c>
      <c r="FQ13" s="245" t="s">
        <v>266</v>
      </c>
      <c r="FR13" s="237">
        <v>6</v>
      </c>
      <c r="FS13" s="248">
        <v>10</v>
      </c>
      <c r="FT13" s="163"/>
      <c r="FU13" s="202">
        <v>11</v>
      </c>
      <c r="FV13" s="241" t="s">
        <v>144</v>
      </c>
      <c r="FW13" s="242" t="s">
        <v>502</v>
      </c>
      <c r="FX13" s="223">
        <v>3</v>
      </c>
      <c r="FY13" s="224">
        <v>2</v>
      </c>
      <c r="FZ13" s="241"/>
      <c r="GA13" s="242" t="s">
        <v>539</v>
      </c>
      <c r="GB13" s="225">
        <v>10</v>
      </c>
      <c r="GC13" s="226">
        <v>5</v>
      </c>
      <c r="GD13" s="244"/>
      <c r="GE13" s="245" t="s">
        <v>165</v>
      </c>
      <c r="GF13" s="231">
        <v>6</v>
      </c>
      <c r="GG13" s="232">
        <v>5</v>
      </c>
      <c r="GH13" s="244" t="s">
        <v>144</v>
      </c>
      <c r="GI13" s="245" t="s">
        <v>226</v>
      </c>
      <c r="GJ13" s="239">
        <v>7</v>
      </c>
      <c r="GK13" s="238">
        <v>10</v>
      </c>
      <c r="GL13" s="244"/>
      <c r="GM13" s="245" t="s">
        <v>300</v>
      </c>
      <c r="GN13" s="246">
        <v>2</v>
      </c>
      <c r="GO13" s="247">
        <v>1</v>
      </c>
    </row>
    <row r="14" spans="1:197">
      <c r="A14" s="202">
        <v>12</v>
      </c>
      <c r="B14" s="313" t="s">
        <v>144</v>
      </c>
      <c r="C14" s="314" t="s">
        <v>717</v>
      </c>
      <c r="D14" s="422">
        <v>7</v>
      </c>
      <c r="E14" s="316">
        <v>1</v>
      </c>
      <c r="F14" s="313"/>
      <c r="G14" s="314" t="s">
        <v>685</v>
      </c>
      <c r="H14" s="315">
        <v>9</v>
      </c>
      <c r="I14" s="317">
        <v>3</v>
      </c>
      <c r="J14" s="219"/>
      <c r="K14" s="220" t="s">
        <v>429</v>
      </c>
      <c r="L14" s="410">
        <v>2</v>
      </c>
      <c r="M14" s="465">
        <v>0</v>
      </c>
      <c r="N14" s="313" t="s">
        <v>144</v>
      </c>
      <c r="O14" s="314" t="s">
        <v>580</v>
      </c>
      <c r="P14" s="422">
        <v>13</v>
      </c>
      <c r="Q14" s="414">
        <v>7</v>
      </c>
      <c r="R14" s="219"/>
      <c r="S14" s="220" t="s">
        <v>502</v>
      </c>
      <c r="T14" s="410">
        <v>4</v>
      </c>
      <c r="U14" s="411">
        <v>2</v>
      </c>
      <c r="V14" s="163"/>
      <c r="W14" s="202">
        <v>12</v>
      </c>
      <c r="X14" s="313"/>
      <c r="Y14" s="314" t="s">
        <v>650</v>
      </c>
      <c r="Z14" s="422">
        <v>7</v>
      </c>
      <c r="AA14" s="421">
        <v>6</v>
      </c>
      <c r="AB14" s="313" t="s">
        <v>144</v>
      </c>
      <c r="AC14" s="314" t="s">
        <v>611</v>
      </c>
      <c r="AD14" s="311">
        <v>2</v>
      </c>
      <c r="AE14" s="312">
        <v>7</v>
      </c>
      <c r="AF14" s="229" t="s">
        <v>144</v>
      </c>
      <c r="AG14" s="230" t="s">
        <v>266</v>
      </c>
      <c r="AH14" s="440">
        <v>2</v>
      </c>
      <c r="AI14" s="441">
        <v>4</v>
      </c>
      <c r="AJ14" s="233" t="s">
        <v>144</v>
      </c>
      <c r="AK14" s="234" t="s">
        <v>990</v>
      </c>
      <c r="AL14" s="430">
        <v>3</v>
      </c>
      <c r="AM14" s="429">
        <v>4</v>
      </c>
      <c r="AN14" s="229" t="s">
        <v>144</v>
      </c>
      <c r="AO14" s="230" t="s">
        <v>165</v>
      </c>
      <c r="AP14" s="440">
        <v>0</v>
      </c>
      <c r="AQ14" s="441">
        <v>2</v>
      </c>
      <c r="AR14" s="163"/>
      <c r="AS14" s="202">
        <v>12</v>
      </c>
      <c r="AT14" s="219" t="s">
        <v>144</v>
      </c>
      <c r="AU14" s="220" t="s">
        <v>394</v>
      </c>
      <c r="AV14" s="408">
        <v>6</v>
      </c>
      <c r="AW14" s="409">
        <v>7</v>
      </c>
      <c r="AX14" s="219"/>
      <c r="AY14" s="220" t="s">
        <v>463</v>
      </c>
      <c r="AZ14" s="225">
        <v>7</v>
      </c>
      <c r="BA14" s="226">
        <v>2</v>
      </c>
      <c r="BB14" s="229"/>
      <c r="BC14" s="230" t="s">
        <v>300</v>
      </c>
      <c r="BD14" s="237">
        <v>1</v>
      </c>
      <c r="BE14" s="248">
        <v>7</v>
      </c>
      <c r="BF14" s="229" t="s">
        <v>144</v>
      </c>
      <c r="BG14" s="230" t="s">
        <v>339</v>
      </c>
      <c r="BH14" s="237">
        <v>3</v>
      </c>
      <c r="BI14" s="238">
        <v>9</v>
      </c>
      <c r="BJ14" s="229"/>
      <c r="BK14" s="230" t="s">
        <v>226</v>
      </c>
      <c r="BL14" s="394">
        <v>7</v>
      </c>
      <c r="BM14" s="396">
        <v>13</v>
      </c>
      <c r="BO14" s="202">
        <v>12</v>
      </c>
      <c r="BP14" s="313" t="s">
        <v>144</v>
      </c>
      <c r="BQ14" s="314" t="s">
        <v>685</v>
      </c>
      <c r="BR14" s="315">
        <v>8</v>
      </c>
      <c r="BS14" s="316">
        <v>0</v>
      </c>
      <c r="BT14" s="313"/>
      <c r="BU14" s="314" t="s">
        <v>580</v>
      </c>
      <c r="BV14" s="315">
        <v>8</v>
      </c>
      <c r="BW14" s="317">
        <v>5</v>
      </c>
      <c r="BX14" s="219"/>
      <c r="BY14" s="220" t="s">
        <v>394</v>
      </c>
      <c r="BZ14" s="227">
        <v>4</v>
      </c>
      <c r="CA14" s="253">
        <v>5</v>
      </c>
      <c r="CB14" s="313" t="s">
        <v>144</v>
      </c>
      <c r="CC14" s="314" t="s">
        <v>650</v>
      </c>
      <c r="CD14" s="315">
        <v>7</v>
      </c>
      <c r="CE14" s="317">
        <v>5</v>
      </c>
      <c r="CF14" s="219"/>
      <c r="CG14" s="220" t="s">
        <v>539</v>
      </c>
      <c r="CH14" s="223">
        <v>5</v>
      </c>
      <c r="CI14" s="224">
        <v>4</v>
      </c>
      <c r="CJ14" s="163"/>
      <c r="CK14" s="202">
        <v>12</v>
      </c>
      <c r="CL14" s="313"/>
      <c r="CM14" s="314" t="s">
        <v>611</v>
      </c>
      <c r="CN14" s="315">
        <v>3</v>
      </c>
      <c r="CO14" s="316">
        <v>1</v>
      </c>
      <c r="CP14" s="313" t="s">
        <v>144</v>
      </c>
      <c r="CQ14" s="314" t="s">
        <v>717</v>
      </c>
      <c r="CR14" s="311">
        <v>8</v>
      </c>
      <c r="CS14" s="312">
        <v>11</v>
      </c>
      <c r="CT14" s="229" t="s">
        <v>144</v>
      </c>
      <c r="CU14" s="230" t="s">
        <v>300</v>
      </c>
      <c r="CV14" s="237">
        <v>4</v>
      </c>
      <c r="CW14" s="248">
        <v>5</v>
      </c>
      <c r="CX14" s="233" t="s">
        <v>144</v>
      </c>
      <c r="CY14" s="234" t="s">
        <v>1062</v>
      </c>
      <c r="CZ14" s="235">
        <v>3</v>
      </c>
      <c r="DA14" s="236">
        <v>4</v>
      </c>
      <c r="DB14" s="229" t="s">
        <v>144</v>
      </c>
      <c r="DC14" s="230" t="s">
        <v>226</v>
      </c>
      <c r="DD14" s="231">
        <v>5</v>
      </c>
      <c r="DE14" s="232">
        <v>4</v>
      </c>
      <c r="DF14" s="163"/>
      <c r="DG14" s="202">
        <v>12</v>
      </c>
      <c r="DH14" s="219" t="s">
        <v>144</v>
      </c>
      <c r="DI14" s="220" t="s">
        <v>463</v>
      </c>
      <c r="DJ14" s="227">
        <v>1</v>
      </c>
      <c r="DK14" s="228">
        <v>3</v>
      </c>
      <c r="DL14" s="219"/>
      <c r="DM14" s="220" t="s">
        <v>502</v>
      </c>
      <c r="DN14" s="225">
        <v>11</v>
      </c>
      <c r="DO14" s="226">
        <v>8</v>
      </c>
      <c r="DP14" s="229"/>
      <c r="DQ14" s="230" t="s">
        <v>339</v>
      </c>
      <c r="DR14" s="237">
        <v>0</v>
      </c>
      <c r="DS14" s="248">
        <v>8</v>
      </c>
      <c r="DT14" s="229" t="s">
        <v>144</v>
      </c>
      <c r="DU14" s="230" t="s">
        <v>165</v>
      </c>
      <c r="DV14" s="237">
        <v>5</v>
      </c>
      <c r="DW14" s="238">
        <v>8</v>
      </c>
      <c r="DX14" s="229"/>
      <c r="DY14" s="230" t="s">
        <v>266</v>
      </c>
      <c r="DZ14" s="239">
        <v>5</v>
      </c>
      <c r="EA14" s="240">
        <v>7</v>
      </c>
      <c r="EC14" s="202">
        <v>12</v>
      </c>
      <c r="ED14" s="313" t="s">
        <v>144</v>
      </c>
      <c r="EE14" s="314" t="s">
        <v>580</v>
      </c>
      <c r="EF14" s="315">
        <v>4</v>
      </c>
      <c r="EG14" s="316">
        <v>0</v>
      </c>
      <c r="EH14" s="313"/>
      <c r="EI14" s="314" t="s">
        <v>650</v>
      </c>
      <c r="EJ14" s="315">
        <v>5</v>
      </c>
      <c r="EK14" s="317">
        <v>1</v>
      </c>
      <c r="EL14" s="219"/>
      <c r="EM14" s="220" t="s">
        <v>463</v>
      </c>
      <c r="EN14" s="227">
        <v>5</v>
      </c>
      <c r="EO14" s="253">
        <v>7</v>
      </c>
      <c r="EP14" s="313" t="s">
        <v>144</v>
      </c>
      <c r="EQ14" s="314" t="s">
        <v>611</v>
      </c>
      <c r="ER14" s="311">
        <v>0</v>
      </c>
      <c r="ES14" s="320">
        <v>5</v>
      </c>
      <c r="ET14" s="219"/>
      <c r="EU14" s="220" t="s">
        <v>429</v>
      </c>
      <c r="EV14" s="227">
        <v>5</v>
      </c>
      <c r="EW14" s="228">
        <v>15</v>
      </c>
      <c r="EX14" s="163"/>
      <c r="EY14" s="202">
        <v>12</v>
      </c>
      <c r="EZ14" s="313"/>
      <c r="FA14" s="314" t="s">
        <v>717</v>
      </c>
      <c r="FB14" s="311">
        <v>4</v>
      </c>
      <c r="FC14" s="312">
        <v>5</v>
      </c>
      <c r="FD14" s="313" t="s">
        <v>144</v>
      </c>
      <c r="FE14" s="314" t="s">
        <v>685</v>
      </c>
      <c r="FF14" s="311">
        <v>4</v>
      </c>
      <c r="FG14" s="312">
        <v>5</v>
      </c>
      <c r="FH14" s="229" t="s">
        <v>144</v>
      </c>
      <c r="FI14" s="230" t="s">
        <v>339</v>
      </c>
      <c r="FJ14" s="231">
        <v>15</v>
      </c>
      <c r="FK14" s="232">
        <v>5</v>
      </c>
      <c r="FL14" s="233" t="s">
        <v>144</v>
      </c>
      <c r="FM14" s="234" t="s">
        <v>1025</v>
      </c>
      <c r="FN14" s="251">
        <v>10</v>
      </c>
      <c r="FO14" s="257">
        <v>7</v>
      </c>
      <c r="FP14" s="229" t="s">
        <v>144</v>
      </c>
      <c r="FQ14" s="230" t="s">
        <v>266</v>
      </c>
      <c r="FR14" s="231">
        <v>7</v>
      </c>
      <c r="FS14" s="232">
        <v>5</v>
      </c>
      <c r="FT14" s="163"/>
      <c r="FU14" s="202">
        <v>12</v>
      </c>
      <c r="FV14" s="219" t="s">
        <v>144</v>
      </c>
      <c r="FW14" s="220" t="s">
        <v>502</v>
      </c>
      <c r="FX14" s="223">
        <v>5</v>
      </c>
      <c r="FY14" s="224">
        <v>4</v>
      </c>
      <c r="FZ14" s="219"/>
      <c r="GA14" s="220" t="s">
        <v>539</v>
      </c>
      <c r="GB14" s="225">
        <v>5</v>
      </c>
      <c r="GC14" s="226">
        <v>4</v>
      </c>
      <c r="GD14" s="229"/>
      <c r="GE14" s="230" t="s">
        <v>165</v>
      </c>
      <c r="GF14" s="237">
        <v>0</v>
      </c>
      <c r="GG14" s="248">
        <v>4</v>
      </c>
      <c r="GH14" s="229" t="s">
        <v>144</v>
      </c>
      <c r="GI14" s="230" t="s">
        <v>226</v>
      </c>
      <c r="GJ14" s="237">
        <v>1</v>
      </c>
      <c r="GK14" s="238">
        <v>5</v>
      </c>
      <c r="GL14" s="229"/>
      <c r="GM14" s="230" t="s">
        <v>300</v>
      </c>
      <c r="GN14" s="246">
        <v>5</v>
      </c>
      <c r="GO14" s="247">
        <v>0</v>
      </c>
    </row>
    <row r="15" spans="1:197">
      <c r="A15" s="202">
        <v>13</v>
      </c>
      <c r="B15" s="263"/>
      <c r="C15" s="250" t="s">
        <v>869</v>
      </c>
      <c r="D15" s="251">
        <v>5</v>
      </c>
      <c r="E15" s="257">
        <v>2</v>
      </c>
      <c r="F15" s="309"/>
      <c r="G15" s="310" t="s">
        <v>717</v>
      </c>
      <c r="H15" s="437">
        <v>6</v>
      </c>
      <c r="I15" s="453">
        <v>12</v>
      </c>
      <c r="J15" s="309" t="s">
        <v>144</v>
      </c>
      <c r="K15" s="310" t="s">
        <v>685</v>
      </c>
      <c r="L15" s="318">
        <v>1</v>
      </c>
      <c r="M15" s="319">
        <v>0</v>
      </c>
      <c r="N15" s="241" t="s">
        <v>144</v>
      </c>
      <c r="O15" s="242" t="s">
        <v>394</v>
      </c>
      <c r="P15" s="221">
        <v>1</v>
      </c>
      <c r="Q15" s="259">
        <v>2</v>
      </c>
      <c r="R15" s="241" t="s">
        <v>144</v>
      </c>
      <c r="S15" s="242" t="s">
        <v>539</v>
      </c>
      <c r="T15" s="227">
        <v>1</v>
      </c>
      <c r="U15" s="228">
        <v>5</v>
      </c>
      <c r="V15" s="163"/>
      <c r="W15" s="202">
        <v>13</v>
      </c>
      <c r="X15" s="244"/>
      <c r="Y15" s="245" t="s">
        <v>226</v>
      </c>
      <c r="Z15" s="246">
        <v>2</v>
      </c>
      <c r="AA15" s="247">
        <v>1</v>
      </c>
      <c r="AB15" s="309" t="s">
        <v>144</v>
      </c>
      <c r="AC15" s="310" t="s">
        <v>650</v>
      </c>
      <c r="AD15" s="437">
        <v>1</v>
      </c>
      <c r="AE15" s="438">
        <v>4</v>
      </c>
      <c r="AF15" s="309"/>
      <c r="AG15" s="310" t="s">
        <v>611</v>
      </c>
      <c r="AH15" s="415">
        <v>1</v>
      </c>
      <c r="AI15" s="436">
        <v>0</v>
      </c>
      <c r="AJ15" s="244"/>
      <c r="AK15" s="245" t="s">
        <v>266</v>
      </c>
      <c r="AL15" s="246">
        <v>5</v>
      </c>
      <c r="AM15" s="247">
        <v>1</v>
      </c>
      <c r="AN15" s="309" t="s">
        <v>144</v>
      </c>
      <c r="AO15" s="310" t="s">
        <v>580</v>
      </c>
      <c r="AP15" s="322">
        <v>3</v>
      </c>
      <c r="AQ15" s="323">
        <v>7</v>
      </c>
      <c r="AR15" s="163"/>
      <c r="AS15" s="202">
        <v>13</v>
      </c>
      <c r="AT15" s="241"/>
      <c r="AU15" s="242" t="s">
        <v>463</v>
      </c>
      <c r="AV15" s="410">
        <v>4</v>
      </c>
      <c r="AW15" s="411">
        <v>1</v>
      </c>
      <c r="AX15" s="241" t="s">
        <v>144</v>
      </c>
      <c r="AY15" s="242" t="s">
        <v>502</v>
      </c>
      <c r="AZ15" s="434">
        <v>0</v>
      </c>
      <c r="BA15" s="435">
        <v>1</v>
      </c>
      <c r="BB15" s="244" t="s">
        <v>144</v>
      </c>
      <c r="BC15" s="245" t="s">
        <v>339</v>
      </c>
      <c r="BD15" s="402">
        <v>12</v>
      </c>
      <c r="BE15" s="400">
        <v>6</v>
      </c>
      <c r="BF15" s="244"/>
      <c r="BG15" s="245" t="s">
        <v>165</v>
      </c>
      <c r="BH15" s="239">
        <v>0</v>
      </c>
      <c r="BI15" s="238">
        <v>1</v>
      </c>
      <c r="BJ15" s="241"/>
      <c r="BK15" s="242" t="s">
        <v>429</v>
      </c>
      <c r="BL15" s="225">
        <v>7</v>
      </c>
      <c r="BM15" s="226">
        <v>3</v>
      </c>
      <c r="BO15" s="202">
        <v>13</v>
      </c>
      <c r="BP15" s="263"/>
      <c r="BQ15" s="250" t="s">
        <v>903</v>
      </c>
      <c r="BR15" s="251">
        <v>5</v>
      </c>
      <c r="BS15" s="257">
        <v>3</v>
      </c>
      <c r="BT15" s="309"/>
      <c r="BU15" s="310" t="s">
        <v>685</v>
      </c>
      <c r="BV15" s="311">
        <v>2</v>
      </c>
      <c r="BW15" s="320">
        <v>3</v>
      </c>
      <c r="BX15" s="309" t="s">
        <v>144</v>
      </c>
      <c r="BY15" s="310" t="s">
        <v>580</v>
      </c>
      <c r="BZ15" s="322">
        <v>3</v>
      </c>
      <c r="CA15" s="324">
        <v>11</v>
      </c>
      <c r="CB15" s="241" t="s">
        <v>144</v>
      </c>
      <c r="CC15" s="242" t="s">
        <v>463</v>
      </c>
      <c r="CD15" s="225">
        <v>6</v>
      </c>
      <c r="CE15" s="256">
        <v>1</v>
      </c>
      <c r="CF15" s="241" t="s">
        <v>144</v>
      </c>
      <c r="CG15" s="242" t="s">
        <v>429</v>
      </c>
      <c r="CH15" s="223">
        <v>7</v>
      </c>
      <c r="CI15" s="224">
        <v>2</v>
      </c>
      <c r="CJ15" s="163"/>
      <c r="CK15" s="202">
        <v>13</v>
      </c>
      <c r="CL15" s="244"/>
      <c r="CM15" s="245" t="s">
        <v>266</v>
      </c>
      <c r="CN15" s="239">
        <v>1</v>
      </c>
      <c r="CO15" s="240">
        <v>6</v>
      </c>
      <c r="CP15" s="309" t="s">
        <v>144</v>
      </c>
      <c r="CQ15" s="310" t="s">
        <v>611</v>
      </c>
      <c r="CR15" s="311">
        <v>0</v>
      </c>
      <c r="CS15" s="312">
        <v>6</v>
      </c>
      <c r="CT15" s="309"/>
      <c r="CU15" s="310" t="s">
        <v>717</v>
      </c>
      <c r="CV15" s="318">
        <v>4</v>
      </c>
      <c r="CW15" s="321">
        <v>2</v>
      </c>
      <c r="CX15" s="244"/>
      <c r="CY15" s="245" t="s">
        <v>300</v>
      </c>
      <c r="CZ15" s="239">
        <v>2</v>
      </c>
      <c r="DA15" s="240">
        <v>7</v>
      </c>
      <c r="DB15" s="309" t="s">
        <v>144</v>
      </c>
      <c r="DC15" s="310" t="s">
        <v>650</v>
      </c>
      <c r="DD15" s="318">
        <v>6</v>
      </c>
      <c r="DE15" s="321">
        <v>0</v>
      </c>
      <c r="DF15" s="163"/>
      <c r="DG15" s="202">
        <v>13</v>
      </c>
      <c r="DH15" s="241"/>
      <c r="DI15" s="242" t="s">
        <v>502</v>
      </c>
      <c r="DJ15" s="223">
        <v>6</v>
      </c>
      <c r="DK15" s="224">
        <v>0</v>
      </c>
      <c r="DL15" s="241" t="s">
        <v>144</v>
      </c>
      <c r="DM15" s="242" t="s">
        <v>539</v>
      </c>
      <c r="DN15" s="221">
        <v>2</v>
      </c>
      <c r="DO15" s="222">
        <v>4</v>
      </c>
      <c r="DP15" s="244" t="s">
        <v>144</v>
      </c>
      <c r="DQ15" s="245" t="s">
        <v>165</v>
      </c>
      <c r="DR15" s="231">
        <v>3</v>
      </c>
      <c r="DS15" s="232">
        <v>2</v>
      </c>
      <c r="DT15" s="244"/>
      <c r="DU15" s="245" t="s">
        <v>226</v>
      </c>
      <c r="DV15" s="246">
        <v>11</v>
      </c>
      <c r="DW15" s="258">
        <v>3</v>
      </c>
      <c r="DX15" s="241"/>
      <c r="DY15" s="242" t="s">
        <v>394</v>
      </c>
      <c r="DZ15" s="221">
        <v>0</v>
      </c>
      <c r="EA15" s="222">
        <v>6</v>
      </c>
      <c r="EC15" s="202">
        <v>13</v>
      </c>
      <c r="ED15" s="263"/>
      <c r="EE15" s="250" t="s">
        <v>804</v>
      </c>
      <c r="EF15" s="251">
        <v>4</v>
      </c>
      <c r="EG15" s="257">
        <v>3</v>
      </c>
      <c r="EH15" s="309"/>
      <c r="EI15" s="310" t="s">
        <v>580</v>
      </c>
      <c r="EJ15" s="315">
        <v>4</v>
      </c>
      <c r="EK15" s="317">
        <v>0</v>
      </c>
      <c r="EL15" s="309" t="s">
        <v>144</v>
      </c>
      <c r="EM15" s="310" t="s">
        <v>650</v>
      </c>
      <c r="EN15" s="318">
        <v>6</v>
      </c>
      <c r="EO15" s="319">
        <v>3</v>
      </c>
      <c r="EP15" s="241" t="s">
        <v>144</v>
      </c>
      <c r="EQ15" s="242" t="s">
        <v>502</v>
      </c>
      <c r="ER15" s="221">
        <v>2</v>
      </c>
      <c r="ES15" s="259">
        <v>10</v>
      </c>
      <c r="ET15" s="241" t="s">
        <v>144</v>
      </c>
      <c r="EU15" s="242" t="s">
        <v>394</v>
      </c>
      <c r="EV15" s="227">
        <v>3</v>
      </c>
      <c r="EW15" s="228">
        <v>8</v>
      </c>
      <c r="EX15" s="163"/>
      <c r="EY15" s="202">
        <v>13</v>
      </c>
      <c r="EZ15" s="244"/>
      <c r="FA15" s="245" t="s">
        <v>300</v>
      </c>
      <c r="FB15" s="246">
        <v>10</v>
      </c>
      <c r="FC15" s="247">
        <v>2</v>
      </c>
      <c r="FD15" s="309" t="s">
        <v>144</v>
      </c>
      <c r="FE15" s="310" t="s">
        <v>717</v>
      </c>
      <c r="FF15" s="315">
        <v>2</v>
      </c>
      <c r="FG15" s="316">
        <v>1</v>
      </c>
      <c r="FH15" s="309"/>
      <c r="FI15" s="310" t="s">
        <v>685</v>
      </c>
      <c r="FJ15" s="322">
        <v>1</v>
      </c>
      <c r="FK15" s="323">
        <v>10</v>
      </c>
      <c r="FL15" s="244"/>
      <c r="FM15" s="245" t="s">
        <v>339</v>
      </c>
      <c r="FN15" s="246">
        <v>8</v>
      </c>
      <c r="FO15" s="247">
        <v>3</v>
      </c>
      <c r="FP15" s="309" t="s">
        <v>144</v>
      </c>
      <c r="FQ15" s="310" t="s">
        <v>611</v>
      </c>
      <c r="FR15" s="322">
        <v>0</v>
      </c>
      <c r="FS15" s="323">
        <v>5</v>
      </c>
      <c r="FT15" s="163"/>
      <c r="FU15" s="202">
        <v>13</v>
      </c>
      <c r="FV15" s="241"/>
      <c r="FW15" s="242" t="s">
        <v>539</v>
      </c>
      <c r="FX15" s="227">
        <v>1</v>
      </c>
      <c r="FY15" s="228">
        <v>2</v>
      </c>
      <c r="FZ15" s="241" t="s">
        <v>144</v>
      </c>
      <c r="GA15" s="242" t="s">
        <v>429</v>
      </c>
      <c r="GB15" s="225">
        <v>10</v>
      </c>
      <c r="GC15" s="226">
        <v>1</v>
      </c>
      <c r="GD15" s="244" t="s">
        <v>144</v>
      </c>
      <c r="GE15" s="245" t="s">
        <v>226</v>
      </c>
      <c r="GF15" s="237">
        <v>0</v>
      </c>
      <c r="GG15" s="248">
        <v>4</v>
      </c>
      <c r="GH15" s="244"/>
      <c r="GI15" s="245" t="s">
        <v>266</v>
      </c>
      <c r="GJ15" s="239">
        <v>3</v>
      </c>
      <c r="GK15" s="238">
        <v>6</v>
      </c>
      <c r="GL15" s="241"/>
      <c r="GM15" s="242" t="s">
        <v>463</v>
      </c>
      <c r="GN15" s="225">
        <v>5</v>
      </c>
      <c r="GO15" s="226">
        <v>0</v>
      </c>
    </row>
    <row r="16" spans="1:197">
      <c r="A16" s="202">
        <v>14</v>
      </c>
      <c r="B16" s="265"/>
      <c r="C16" s="234" t="s">
        <v>869</v>
      </c>
      <c r="D16" s="251">
        <v>4</v>
      </c>
      <c r="E16" s="257">
        <v>2</v>
      </c>
      <c r="F16" s="313"/>
      <c r="G16" s="314" t="s">
        <v>717</v>
      </c>
      <c r="H16" s="315">
        <v>6</v>
      </c>
      <c r="I16" s="317">
        <v>4</v>
      </c>
      <c r="J16" s="313" t="s">
        <v>144</v>
      </c>
      <c r="K16" s="314" t="s">
        <v>685</v>
      </c>
      <c r="L16" s="318">
        <v>2</v>
      </c>
      <c r="M16" s="319">
        <v>1</v>
      </c>
      <c r="N16" s="219" t="s">
        <v>144</v>
      </c>
      <c r="O16" s="220" t="s">
        <v>394</v>
      </c>
      <c r="P16" s="221">
        <v>1</v>
      </c>
      <c r="Q16" s="259">
        <v>3</v>
      </c>
      <c r="R16" s="219" t="s">
        <v>144</v>
      </c>
      <c r="S16" s="220" t="s">
        <v>539</v>
      </c>
      <c r="T16" s="227">
        <v>3</v>
      </c>
      <c r="U16" s="228">
        <v>5</v>
      </c>
      <c r="V16" s="163"/>
      <c r="W16" s="202">
        <v>14</v>
      </c>
      <c r="X16" s="229"/>
      <c r="Y16" s="230" t="s">
        <v>226</v>
      </c>
      <c r="Z16" s="246">
        <v>3</v>
      </c>
      <c r="AA16" s="247">
        <v>1</v>
      </c>
      <c r="AB16" s="313" t="s">
        <v>144</v>
      </c>
      <c r="AC16" s="314" t="s">
        <v>650</v>
      </c>
      <c r="AD16" s="437">
        <v>1</v>
      </c>
      <c r="AE16" s="438">
        <v>2</v>
      </c>
      <c r="AF16" s="313"/>
      <c r="AG16" s="314" t="s">
        <v>611</v>
      </c>
      <c r="AH16" s="318">
        <v>3</v>
      </c>
      <c r="AI16" s="321">
        <v>2</v>
      </c>
      <c r="AJ16" s="229"/>
      <c r="AK16" s="230" t="s">
        <v>266</v>
      </c>
      <c r="AL16" s="246">
        <v>5</v>
      </c>
      <c r="AM16" s="247">
        <v>3</v>
      </c>
      <c r="AN16" s="313" t="s">
        <v>144</v>
      </c>
      <c r="AO16" s="314" t="s">
        <v>580</v>
      </c>
      <c r="AP16" s="322">
        <v>5</v>
      </c>
      <c r="AQ16" s="323">
        <v>6</v>
      </c>
      <c r="AR16" s="163"/>
      <c r="AS16" s="202">
        <v>14</v>
      </c>
      <c r="AT16" s="219"/>
      <c r="AU16" s="220" t="s">
        <v>463</v>
      </c>
      <c r="AV16" s="410">
        <v>2</v>
      </c>
      <c r="AW16" s="411">
        <v>1</v>
      </c>
      <c r="AX16" s="219" t="s">
        <v>144</v>
      </c>
      <c r="AY16" s="220" t="s">
        <v>502</v>
      </c>
      <c r="AZ16" s="221">
        <v>2</v>
      </c>
      <c r="BA16" s="222">
        <v>3</v>
      </c>
      <c r="BB16" s="229" t="s">
        <v>144</v>
      </c>
      <c r="BC16" s="230" t="s">
        <v>339</v>
      </c>
      <c r="BD16" s="237">
        <v>4</v>
      </c>
      <c r="BE16" s="248">
        <v>6</v>
      </c>
      <c r="BF16" s="229"/>
      <c r="BG16" s="230" t="s">
        <v>165</v>
      </c>
      <c r="BH16" s="237">
        <v>1</v>
      </c>
      <c r="BI16" s="238">
        <v>2</v>
      </c>
      <c r="BJ16" s="219"/>
      <c r="BK16" s="220" t="s">
        <v>429</v>
      </c>
      <c r="BL16" s="225">
        <v>6</v>
      </c>
      <c r="BM16" s="226">
        <v>5</v>
      </c>
      <c r="BO16" s="202">
        <v>14</v>
      </c>
      <c r="BP16" s="265"/>
      <c r="BQ16" s="234" t="s">
        <v>903</v>
      </c>
      <c r="BR16" s="235">
        <v>1</v>
      </c>
      <c r="BS16" s="236">
        <v>2</v>
      </c>
      <c r="BT16" s="313"/>
      <c r="BU16" s="314" t="s">
        <v>685</v>
      </c>
      <c r="BV16" s="315">
        <v>4</v>
      </c>
      <c r="BW16" s="317">
        <v>0</v>
      </c>
      <c r="BX16" s="313" t="s">
        <v>144</v>
      </c>
      <c r="BY16" s="314" t="s">
        <v>580</v>
      </c>
      <c r="BZ16" s="318">
        <v>6</v>
      </c>
      <c r="CA16" s="319">
        <v>5</v>
      </c>
      <c r="CB16" s="219" t="s">
        <v>144</v>
      </c>
      <c r="CC16" s="220" t="s">
        <v>463</v>
      </c>
      <c r="CD16" s="221">
        <v>3</v>
      </c>
      <c r="CE16" s="259">
        <v>4</v>
      </c>
      <c r="CF16" s="219" t="s">
        <v>144</v>
      </c>
      <c r="CG16" s="220" t="s">
        <v>429</v>
      </c>
      <c r="CH16" s="223">
        <v>5</v>
      </c>
      <c r="CI16" s="224">
        <v>4</v>
      </c>
      <c r="CJ16" s="163"/>
      <c r="CK16" s="202">
        <v>14</v>
      </c>
      <c r="CL16" s="229"/>
      <c r="CM16" s="230" t="s">
        <v>266</v>
      </c>
      <c r="CN16" s="246">
        <v>4</v>
      </c>
      <c r="CO16" s="247">
        <v>3</v>
      </c>
      <c r="CP16" s="313" t="s">
        <v>144</v>
      </c>
      <c r="CQ16" s="314" t="s">
        <v>611</v>
      </c>
      <c r="CR16" s="315">
        <v>8</v>
      </c>
      <c r="CS16" s="316">
        <v>6</v>
      </c>
      <c r="CT16" s="313"/>
      <c r="CU16" s="314" t="s">
        <v>717</v>
      </c>
      <c r="CV16" s="322">
        <v>2</v>
      </c>
      <c r="CW16" s="323">
        <v>5</v>
      </c>
      <c r="CX16" s="229"/>
      <c r="CY16" s="230" t="s">
        <v>300</v>
      </c>
      <c r="CZ16" s="239">
        <v>4</v>
      </c>
      <c r="DA16" s="240">
        <v>5</v>
      </c>
      <c r="DB16" s="313" t="s">
        <v>144</v>
      </c>
      <c r="DC16" s="314" t="s">
        <v>650</v>
      </c>
      <c r="DD16" s="322">
        <v>2</v>
      </c>
      <c r="DE16" s="323">
        <v>6</v>
      </c>
      <c r="DF16" s="163"/>
      <c r="DG16" s="202">
        <v>14</v>
      </c>
      <c r="DH16" s="219"/>
      <c r="DI16" s="220" t="s">
        <v>502</v>
      </c>
      <c r="DJ16" s="227">
        <v>6</v>
      </c>
      <c r="DK16" s="228">
        <v>8</v>
      </c>
      <c r="DL16" s="219" t="s">
        <v>144</v>
      </c>
      <c r="DM16" s="220" t="s">
        <v>539</v>
      </c>
      <c r="DN16" s="225">
        <v>5</v>
      </c>
      <c r="DO16" s="226">
        <v>2</v>
      </c>
      <c r="DP16" s="229" t="s">
        <v>144</v>
      </c>
      <c r="DQ16" s="230" t="s">
        <v>165</v>
      </c>
      <c r="DR16" s="237">
        <v>0</v>
      </c>
      <c r="DS16" s="248">
        <v>4</v>
      </c>
      <c r="DT16" s="229"/>
      <c r="DU16" s="230" t="s">
        <v>226</v>
      </c>
      <c r="DV16" s="237">
        <v>5</v>
      </c>
      <c r="DW16" s="238">
        <v>6</v>
      </c>
      <c r="DX16" s="219"/>
      <c r="DY16" s="220" t="s">
        <v>394</v>
      </c>
      <c r="DZ16" s="225">
        <v>6</v>
      </c>
      <c r="EA16" s="226">
        <v>2</v>
      </c>
      <c r="EC16" s="202">
        <v>14</v>
      </c>
      <c r="ED16" s="265"/>
      <c r="EE16" s="234" t="s">
        <v>804</v>
      </c>
      <c r="EF16" s="251">
        <v>3</v>
      </c>
      <c r="EG16" s="257">
        <v>0</v>
      </c>
      <c r="EH16" s="313"/>
      <c r="EI16" s="314" t="s">
        <v>580</v>
      </c>
      <c r="EJ16" s="315">
        <v>5</v>
      </c>
      <c r="EK16" s="317">
        <v>2</v>
      </c>
      <c r="EL16" s="313" t="s">
        <v>144</v>
      </c>
      <c r="EM16" s="314" t="s">
        <v>650</v>
      </c>
      <c r="EN16" s="318">
        <v>7</v>
      </c>
      <c r="EO16" s="319">
        <v>5</v>
      </c>
      <c r="EP16" s="219" t="s">
        <v>144</v>
      </c>
      <c r="EQ16" s="220" t="s">
        <v>502</v>
      </c>
      <c r="ER16" s="221">
        <v>2</v>
      </c>
      <c r="ES16" s="259">
        <v>5</v>
      </c>
      <c r="ET16" s="219" t="s">
        <v>144</v>
      </c>
      <c r="EU16" s="220" t="s">
        <v>394</v>
      </c>
      <c r="EV16" s="227">
        <v>2</v>
      </c>
      <c r="EW16" s="228">
        <v>3</v>
      </c>
      <c r="EX16" s="163"/>
      <c r="EY16" s="202">
        <v>14</v>
      </c>
      <c r="EZ16" s="229"/>
      <c r="FA16" s="230" t="s">
        <v>300</v>
      </c>
      <c r="FB16" s="246">
        <v>5</v>
      </c>
      <c r="FC16" s="247">
        <v>2</v>
      </c>
      <c r="FD16" s="313" t="s">
        <v>144</v>
      </c>
      <c r="FE16" s="314" t="s">
        <v>717</v>
      </c>
      <c r="FF16" s="315">
        <v>4</v>
      </c>
      <c r="FG16" s="316">
        <v>3</v>
      </c>
      <c r="FH16" s="313"/>
      <c r="FI16" s="314" t="s">
        <v>685</v>
      </c>
      <c r="FJ16" s="318">
        <v>7</v>
      </c>
      <c r="FK16" s="321">
        <v>0</v>
      </c>
      <c r="FL16" s="229"/>
      <c r="FM16" s="230" t="s">
        <v>339</v>
      </c>
      <c r="FN16" s="246">
        <v>3</v>
      </c>
      <c r="FO16" s="247">
        <v>2</v>
      </c>
      <c r="FP16" s="313" t="s">
        <v>144</v>
      </c>
      <c r="FQ16" s="314" t="s">
        <v>611</v>
      </c>
      <c r="FR16" s="322">
        <v>0</v>
      </c>
      <c r="FS16" s="323">
        <v>2</v>
      </c>
      <c r="FT16" s="163"/>
      <c r="FU16" s="202">
        <v>14</v>
      </c>
      <c r="FV16" s="219"/>
      <c r="FW16" s="220" t="s">
        <v>539</v>
      </c>
      <c r="FX16" s="227">
        <v>3</v>
      </c>
      <c r="FY16" s="228">
        <v>4</v>
      </c>
      <c r="FZ16" s="219" t="s">
        <v>144</v>
      </c>
      <c r="GA16" s="220" t="s">
        <v>429</v>
      </c>
      <c r="GB16" s="221">
        <v>0</v>
      </c>
      <c r="GC16" s="222">
        <v>7</v>
      </c>
      <c r="GD16" s="229" t="s">
        <v>144</v>
      </c>
      <c r="GE16" s="230" t="s">
        <v>226</v>
      </c>
      <c r="GF16" s="237">
        <v>2</v>
      </c>
      <c r="GG16" s="248">
        <v>5</v>
      </c>
      <c r="GH16" s="229"/>
      <c r="GI16" s="230" t="s">
        <v>266</v>
      </c>
      <c r="GJ16" s="237">
        <v>5</v>
      </c>
      <c r="GK16" s="238">
        <v>7</v>
      </c>
      <c r="GL16" s="219"/>
      <c r="GM16" s="220" t="s">
        <v>463</v>
      </c>
      <c r="GN16" s="225">
        <v>2</v>
      </c>
      <c r="GO16" s="226">
        <v>0</v>
      </c>
    </row>
    <row r="17" spans="1:197">
      <c r="A17" s="202">
        <v>15</v>
      </c>
      <c r="B17" s="241" t="s">
        <v>144</v>
      </c>
      <c r="C17" s="242" t="s">
        <v>429</v>
      </c>
      <c r="D17" s="225">
        <v>9</v>
      </c>
      <c r="E17" s="226">
        <v>1</v>
      </c>
      <c r="F17" s="249" t="s">
        <v>144</v>
      </c>
      <c r="G17" s="250" t="s">
        <v>903</v>
      </c>
      <c r="H17" s="235">
        <v>3</v>
      </c>
      <c r="I17" s="255">
        <v>4</v>
      </c>
      <c r="J17" s="249" t="s">
        <v>144</v>
      </c>
      <c r="K17" s="250" t="s">
        <v>804</v>
      </c>
      <c r="L17" s="461">
        <v>4</v>
      </c>
      <c r="M17" s="470">
        <v>5</v>
      </c>
      <c r="N17" s="309"/>
      <c r="O17" s="310" t="s">
        <v>685</v>
      </c>
      <c r="P17" s="422">
        <v>5</v>
      </c>
      <c r="Q17" s="414">
        <v>4</v>
      </c>
      <c r="R17" s="309"/>
      <c r="S17" s="310" t="s">
        <v>717</v>
      </c>
      <c r="T17" s="318">
        <v>4</v>
      </c>
      <c r="U17" s="321">
        <v>1</v>
      </c>
      <c r="V17" s="163"/>
      <c r="W17" s="202">
        <v>15</v>
      </c>
      <c r="X17" s="249" t="s">
        <v>144</v>
      </c>
      <c r="Y17" s="250" t="s">
        <v>1025</v>
      </c>
      <c r="Z17" s="426">
        <v>5</v>
      </c>
      <c r="AA17" s="425">
        <v>1</v>
      </c>
      <c r="AB17" s="309"/>
      <c r="AC17" s="310" t="s">
        <v>580</v>
      </c>
      <c r="AD17" s="315">
        <v>4</v>
      </c>
      <c r="AE17" s="316">
        <v>2</v>
      </c>
      <c r="AF17" s="309" t="s">
        <v>144</v>
      </c>
      <c r="AG17" s="310" t="s">
        <v>650</v>
      </c>
      <c r="AH17" s="418">
        <v>2</v>
      </c>
      <c r="AI17" s="419">
        <v>4</v>
      </c>
      <c r="AJ17" s="309"/>
      <c r="AK17" s="310" t="s">
        <v>611</v>
      </c>
      <c r="AL17" s="437">
        <v>4</v>
      </c>
      <c r="AM17" s="438">
        <v>6</v>
      </c>
      <c r="AN17" s="244"/>
      <c r="AO17" s="245" t="s">
        <v>300</v>
      </c>
      <c r="AP17" s="237">
        <v>1</v>
      </c>
      <c r="AQ17" s="248">
        <v>9</v>
      </c>
      <c r="AR17" s="163"/>
      <c r="AS17" s="202">
        <v>15</v>
      </c>
      <c r="AT17" s="241"/>
      <c r="AU17" s="242" t="s">
        <v>502</v>
      </c>
      <c r="AV17" s="410">
        <v>4</v>
      </c>
      <c r="AW17" s="411">
        <v>2</v>
      </c>
      <c r="AX17" s="241" t="s">
        <v>144</v>
      </c>
      <c r="AY17" s="242" t="s">
        <v>539</v>
      </c>
      <c r="AZ17" s="392">
        <v>6</v>
      </c>
      <c r="BA17" s="390">
        <v>4</v>
      </c>
      <c r="BB17" s="244" t="s">
        <v>144</v>
      </c>
      <c r="BC17" s="245" t="s">
        <v>266</v>
      </c>
      <c r="BD17" s="402">
        <v>4</v>
      </c>
      <c r="BE17" s="400">
        <v>1</v>
      </c>
      <c r="BF17" s="244" t="s">
        <v>144</v>
      </c>
      <c r="BG17" s="245" t="s">
        <v>226</v>
      </c>
      <c r="BH17" s="394">
        <v>4</v>
      </c>
      <c r="BI17" s="398">
        <v>5</v>
      </c>
      <c r="BJ17" s="241" t="s">
        <v>144</v>
      </c>
      <c r="BK17" s="242" t="s">
        <v>463</v>
      </c>
      <c r="BL17" s="221">
        <v>2</v>
      </c>
      <c r="BM17" s="222">
        <v>4</v>
      </c>
      <c r="BO17" s="202">
        <v>15</v>
      </c>
      <c r="BP17" s="241" t="s">
        <v>144</v>
      </c>
      <c r="BQ17" s="242" t="s">
        <v>394</v>
      </c>
      <c r="BR17" s="225">
        <v>10</v>
      </c>
      <c r="BS17" s="226">
        <v>2</v>
      </c>
      <c r="BT17" s="249" t="s">
        <v>144</v>
      </c>
      <c r="BU17" s="250" t="s">
        <v>804</v>
      </c>
      <c r="BV17" s="235">
        <v>3</v>
      </c>
      <c r="BW17" s="255">
        <v>12</v>
      </c>
      <c r="BX17" s="249" t="s">
        <v>144</v>
      </c>
      <c r="BY17" s="250" t="s">
        <v>835</v>
      </c>
      <c r="BZ17" s="254">
        <v>1</v>
      </c>
      <c r="CA17" s="267">
        <v>3</v>
      </c>
      <c r="CB17" s="309"/>
      <c r="CC17" s="310" t="s">
        <v>580</v>
      </c>
      <c r="CD17" s="311">
        <v>3</v>
      </c>
      <c r="CE17" s="320">
        <v>6</v>
      </c>
      <c r="CF17" s="309"/>
      <c r="CG17" s="310" t="s">
        <v>685</v>
      </c>
      <c r="CH17" s="318">
        <v>2</v>
      </c>
      <c r="CI17" s="321">
        <v>0</v>
      </c>
      <c r="CJ17" s="163"/>
      <c r="CK17" s="202">
        <v>15</v>
      </c>
      <c r="CL17" s="249" t="s">
        <v>144</v>
      </c>
      <c r="CM17" s="250" t="s">
        <v>1096</v>
      </c>
      <c r="CN17" s="235">
        <v>1</v>
      </c>
      <c r="CO17" s="236">
        <v>3</v>
      </c>
      <c r="CP17" s="309"/>
      <c r="CQ17" s="310" t="s">
        <v>650</v>
      </c>
      <c r="CR17" s="315">
        <v>4</v>
      </c>
      <c r="CS17" s="316">
        <v>3</v>
      </c>
      <c r="CT17" s="309" t="s">
        <v>144</v>
      </c>
      <c r="CU17" s="310" t="s">
        <v>611</v>
      </c>
      <c r="CV17" s="318">
        <v>4</v>
      </c>
      <c r="CW17" s="321">
        <v>0</v>
      </c>
      <c r="CX17" s="309"/>
      <c r="CY17" s="310" t="s">
        <v>717</v>
      </c>
      <c r="CZ17" s="315">
        <v>3</v>
      </c>
      <c r="DA17" s="316">
        <v>1</v>
      </c>
      <c r="DB17" s="244"/>
      <c r="DC17" s="245" t="s">
        <v>339</v>
      </c>
      <c r="DD17" s="237">
        <v>2</v>
      </c>
      <c r="DE17" s="248">
        <v>10</v>
      </c>
      <c r="DF17" s="163"/>
      <c r="DG17" s="202">
        <v>15</v>
      </c>
      <c r="DH17" s="241"/>
      <c r="DI17" s="242" t="s">
        <v>539</v>
      </c>
      <c r="DJ17" s="227">
        <v>0</v>
      </c>
      <c r="DK17" s="228">
        <v>4</v>
      </c>
      <c r="DL17" s="241" t="s">
        <v>144</v>
      </c>
      <c r="DM17" s="242" t="s">
        <v>429</v>
      </c>
      <c r="DN17" s="221">
        <v>1</v>
      </c>
      <c r="DO17" s="222">
        <v>3</v>
      </c>
      <c r="DP17" s="244" t="s">
        <v>144</v>
      </c>
      <c r="DQ17" s="245" t="s">
        <v>300</v>
      </c>
      <c r="DR17" s="237">
        <v>0</v>
      </c>
      <c r="DS17" s="248">
        <v>2</v>
      </c>
      <c r="DT17" s="244" t="s">
        <v>144</v>
      </c>
      <c r="DU17" s="245" t="s">
        <v>266</v>
      </c>
      <c r="DV17" s="246">
        <v>6</v>
      </c>
      <c r="DW17" s="258">
        <v>3</v>
      </c>
      <c r="DX17" s="241" t="s">
        <v>144</v>
      </c>
      <c r="DY17" s="242" t="s">
        <v>502</v>
      </c>
      <c r="DZ17" s="221">
        <v>3</v>
      </c>
      <c r="EA17" s="222">
        <v>4</v>
      </c>
      <c r="EC17" s="202">
        <v>15</v>
      </c>
      <c r="ED17" s="241" t="s">
        <v>144</v>
      </c>
      <c r="EE17" s="242" t="s">
        <v>463</v>
      </c>
      <c r="EF17" s="225">
        <v>6</v>
      </c>
      <c r="EG17" s="226">
        <v>2</v>
      </c>
      <c r="EH17" s="249" t="s">
        <v>144</v>
      </c>
      <c r="EI17" s="250" t="s">
        <v>835</v>
      </c>
      <c r="EJ17" s="235">
        <v>4</v>
      </c>
      <c r="EK17" s="255">
        <v>7</v>
      </c>
      <c r="EL17" s="249" t="s">
        <v>144</v>
      </c>
      <c r="EM17" s="250" t="s">
        <v>770</v>
      </c>
      <c r="EN17" s="261">
        <v>7</v>
      </c>
      <c r="EO17" s="266">
        <v>6</v>
      </c>
      <c r="EP17" s="309"/>
      <c r="EQ17" s="310" t="s">
        <v>650</v>
      </c>
      <c r="ER17" s="311">
        <v>2</v>
      </c>
      <c r="ES17" s="320">
        <v>3</v>
      </c>
      <c r="ET17" s="309"/>
      <c r="EU17" s="310" t="s">
        <v>580</v>
      </c>
      <c r="EV17" s="318">
        <v>5</v>
      </c>
      <c r="EW17" s="321">
        <v>3</v>
      </c>
      <c r="EX17" s="163"/>
      <c r="EY17" s="202">
        <v>15</v>
      </c>
      <c r="EZ17" s="249" t="s">
        <v>144</v>
      </c>
      <c r="FA17" s="250" t="s">
        <v>952</v>
      </c>
      <c r="FB17" s="235">
        <v>6</v>
      </c>
      <c r="FC17" s="236">
        <v>8</v>
      </c>
      <c r="FD17" s="309"/>
      <c r="FE17" s="310" t="s">
        <v>611</v>
      </c>
      <c r="FF17" s="315">
        <v>7</v>
      </c>
      <c r="FG17" s="316">
        <v>2</v>
      </c>
      <c r="FH17" s="309" t="s">
        <v>144</v>
      </c>
      <c r="FI17" s="310" t="s">
        <v>717</v>
      </c>
      <c r="FJ17" s="318">
        <v>7</v>
      </c>
      <c r="FK17" s="321">
        <v>4</v>
      </c>
      <c r="FL17" s="309"/>
      <c r="FM17" s="310" t="s">
        <v>685</v>
      </c>
      <c r="FN17" s="315">
        <v>5</v>
      </c>
      <c r="FO17" s="316">
        <v>4</v>
      </c>
      <c r="FP17" s="244"/>
      <c r="FQ17" s="245" t="s">
        <v>165</v>
      </c>
      <c r="FR17" s="237">
        <v>2</v>
      </c>
      <c r="FS17" s="248">
        <v>6</v>
      </c>
      <c r="FT17" s="163"/>
      <c r="FU17" s="202">
        <v>15</v>
      </c>
      <c r="FV17" s="241"/>
      <c r="FW17" s="242" t="s">
        <v>429</v>
      </c>
      <c r="FX17" s="227">
        <v>4</v>
      </c>
      <c r="FY17" s="228">
        <v>7</v>
      </c>
      <c r="FZ17" s="241" t="s">
        <v>144</v>
      </c>
      <c r="GA17" s="242" t="s">
        <v>394</v>
      </c>
      <c r="GB17" s="221">
        <v>4</v>
      </c>
      <c r="GC17" s="222">
        <v>5</v>
      </c>
      <c r="GD17" s="244" t="s">
        <v>144</v>
      </c>
      <c r="GE17" s="245" t="s">
        <v>339</v>
      </c>
      <c r="GF17" s="237">
        <v>3</v>
      </c>
      <c r="GG17" s="248">
        <v>5</v>
      </c>
      <c r="GH17" s="244" t="s">
        <v>144</v>
      </c>
      <c r="GI17" s="245" t="s">
        <v>300</v>
      </c>
      <c r="GJ17" s="246">
        <v>3</v>
      </c>
      <c r="GK17" s="258">
        <v>2</v>
      </c>
      <c r="GL17" s="241" t="s">
        <v>144</v>
      </c>
      <c r="GM17" s="242" t="s">
        <v>539</v>
      </c>
      <c r="GN17" s="221">
        <v>2</v>
      </c>
      <c r="GO17" s="222">
        <v>7</v>
      </c>
    </row>
    <row r="18" spans="1:197">
      <c r="A18" s="202">
        <v>16</v>
      </c>
      <c r="B18" s="219" t="s">
        <v>144</v>
      </c>
      <c r="C18" s="220" t="s">
        <v>429</v>
      </c>
      <c r="D18" s="225">
        <v>4</v>
      </c>
      <c r="E18" s="226">
        <v>3</v>
      </c>
      <c r="F18" s="233" t="s">
        <v>144</v>
      </c>
      <c r="G18" s="234" t="s">
        <v>903</v>
      </c>
      <c r="H18" s="430">
        <v>0</v>
      </c>
      <c r="I18" s="468">
        <v>4</v>
      </c>
      <c r="J18" s="233" t="s">
        <v>144</v>
      </c>
      <c r="K18" s="234" t="s">
        <v>804</v>
      </c>
      <c r="L18" s="254">
        <v>2</v>
      </c>
      <c r="M18" s="267">
        <v>3</v>
      </c>
      <c r="N18" s="313"/>
      <c r="O18" s="314" t="s">
        <v>685</v>
      </c>
      <c r="P18" s="311">
        <v>3</v>
      </c>
      <c r="Q18" s="320">
        <v>4</v>
      </c>
      <c r="R18" s="313"/>
      <c r="S18" s="314" t="s">
        <v>717</v>
      </c>
      <c r="T18" s="322">
        <v>4</v>
      </c>
      <c r="U18" s="323">
        <v>8</v>
      </c>
      <c r="V18" s="163"/>
      <c r="W18" s="202">
        <v>16</v>
      </c>
      <c r="X18" s="233" t="s">
        <v>144</v>
      </c>
      <c r="Y18" s="234" t="s">
        <v>1025</v>
      </c>
      <c r="Z18" s="426">
        <v>3</v>
      </c>
      <c r="AA18" s="425">
        <v>2</v>
      </c>
      <c r="AB18" s="313"/>
      <c r="AC18" s="314" t="s">
        <v>580</v>
      </c>
      <c r="AD18" s="437">
        <v>4</v>
      </c>
      <c r="AE18" s="438">
        <v>7</v>
      </c>
      <c r="AF18" s="313" t="s">
        <v>144</v>
      </c>
      <c r="AG18" s="314" t="s">
        <v>650</v>
      </c>
      <c r="AH18" s="415">
        <v>8</v>
      </c>
      <c r="AI18" s="436">
        <v>4</v>
      </c>
      <c r="AJ18" s="313"/>
      <c r="AK18" s="314" t="s">
        <v>611</v>
      </c>
      <c r="AL18" s="437">
        <v>5</v>
      </c>
      <c r="AM18" s="438">
        <v>7</v>
      </c>
      <c r="AN18" s="229"/>
      <c r="AO18" s="230" t="s">
        <v>300</v>
      </c>
      <c r="AP18" s="237">
        <v>3</v>
      </c>
      <c r="AQ18" s="248">
        <v>4</v>
      </c>
      <c r="AR18" s="163"/>
      <c r="AS18" s="202">
        <v>16</v>
      </c>
      <c r="AT18" s="219"/>
      <c r="AU18" s="220" t="s">
        <v>502</v>
      </c>
      <c r="AV18" s="408">
        <v>4</v>
      </c>
      <c r="AW18" s="409">
        <v>8</v>
      </c>
      <c r="AX18" s="219" t="s">
        <v>144</v>
      </c>
      <c r="AY18" s="220" t="s">
        <v>539</v>
      </c>
      <c r="AZ18" s="392">
        <v>7</v>
      </c>
      <c r="BA18" s="390">
        <v>5</v>
      </c>
      <c r="BB18" s="229" t="s">
        <v>144</v>
      </c>
      <c r="BC18" s="230" t="s">
        <v>266</v>
      </c>
      <c r="BD18" s="440">
        <v>4</v>
      </c>
      <c r="BE18" s="441">
        <v>8</v>
      </c>
      <c r="BF18" s="229" t="s">
        <v>144</v>
      </c>
      <c r="BG18" s="230" t="s">
        <v>226</v>
      </c>
      <c r="BH18" s="231">
        <v>4</v>
      </c>
      <c r="BI18" s="258">
        <v>3</v>
      </c>
      <c r="BJ18" s="219" t="s">
        <v>144</v>
      </c>
      <c r="BK18" s="220" t="s">
        <v>463</v>
      </c>
      <c r="BL18" s="392">
        <v>7</v>
      </c>
      <c r="BM18" s="390">
        <v>4</v>
      </c>
      <c r="BO18" s="202">
        <v>16</v>
      </c>
      <c r="BP18" s="219" t="s">
        <v>144</v>
      </c>
      <c r="BQ18" s="220" t="s">
        <v>394</v>
      </c>
      <c r="BR18" s="221">
        <v>3</v>
      </c>
      <c r="BS18" s="222">
        <v>4</v>
      </c>
      <c r="BT18" s="233" t="s">
        <v>144</v>
      </c>
      <c r="BU18" s="234" t="s">
        <v>804</v>
      </c>
      <c r="BV18" s="235">
        <v>6</v>
      </c>
      <c r="BW18" s="255">
        <v>12</v>
      </c>
      <c r="BX18" s="233" t="s">
        <v>144</v>
      </c>
      <c r="BY18" s="234" t="s">
        <v>835</v>
      </c>
      <c r="BZ18" s="261">
        <v>7</v>
      </c>
      <c r="CA18" s="266">
        <v>1</v>
      </c>
      <c r="CB18" s="313"/>
      <c r="CC18" s="314" t="s">
        <v>580</v>
      </c>
      <c r="CD18" s="311">
        <v>2</v>
      </c>
      <c r="CE18" s="320">
        <v>4</v>
      </c>
      <c r="CF18" s="313"/>
      <c r="CG18" s="314" t="s">
        <v>685</v>
      </c>
      <c r="CH18" s="322">
        <v>5</v>
      </c>
      <c r="CI18" s="323">
        <v>9</v>
      </c>
      <c r="CJ18" s="163"/>
      <c r="CK18" s="202">
        <v>16</v>
      </c>
      <c r="CL18" s="233" t="s">
        <v>144</v>
      </c>
      <c r="CM18" s="234" t="s">
        <v>1096</v>
      </c>
      <c r="CN18" s="235">
        <v>0</v>
      </c>
      <c r="CO18" s="236">
        <v>5</v>
      </c>
      <c r="CP18" s="313"/>
      <c r="CQ18" s="314" t="s">
        <v>650</v>
      </c>
      <c r="CR18" s="315">
        <v>7</v>
      </c>
      <c r="CS18" s="316">
        <v>4</v>
      </c>
      <c r="CT18" s="313" t="s">
        <v>144</v>
      </c>
      <c r="CU18" s="314" t="s">
        <v>611</v>
      </c>
      <c r="CV18" s="322">
        <v>5</v>
      </c>
      <c r="CW18" s="323">
        <v>7</v>
      </c>
      <c r="CX18" s="313"/>
      <c r="CY18" s="314" t="s">
        <v>717</v>
      </c>
      <c r="CZ18" s="311">
        <v>8</v>
      </c>
      <c r="DA18" s="312">
        <v>9</v>
      </c>
      <c r="DB18" s="229"/>
      <c r="DC18" s="230" t="s">
        <v>339</v>
      </c>
      <c r="DD18" s="231">
        <v>4</v>
      </c>
      <c r="DE18" s="232">
        <v>3</v>
      </c>
      <c r="DF18" s="163"/>
      <c r="DG18" s="202">
        <v>16</v>
      </c>
      <c r="DH18" s="219"/>
      <c r="DI18" s="220" t="s">
        <v>539</v>
      </c>
      <c r="DJ18" s="223">
        <v>7</v>
      </c>
      <c r="DK18" s="224">
        <v>5</v>
      </c>
      <c r="DL18" s="219" t="s">
        <v>144</v>
      </c>
      <c r="DM18" s="220" t="s">
        <v>429</v>
      </c>
      <c r="DN18" s="225">
        <v>9</v>
      </c>
      <c r="DO18" s="226">
        <v>8</v>
      </c>
      <c r="DP18" s="229" t="s">
        <v>144</v>
      </c>
      <c r="DQ18" s="230" t="s">
        <v>300</v>
      </c>
      <c r="DR18" s="231">
        <v>9</v>
      </c>
      <c r="DS18" s="232">
        <v>5</v>
      </c>
      <c r="DT18" s="229" t="s">
        <v>144</v>
      </c>
      <c r="DU18" s="230" t="s">
        <v>266</v>
      </c>
      <c r="DV18" s="246">
        <v>4</v>
      </c>
      <c r="DW18" s="237">
        <v>2</v>
      </c>
      <c r="DX18" s="219" t="s">
        <v>144</v>
      </c>
      <c r="DY18" s="220" t="s">
        <v>502</v>
      </c>
      <c r="DZ18" s="221">
        <v>4</v>
      </c>
      <c r="EA18" s="222">
        <v>7</v>
      </c>
      <c r="EC18" s="202">
        <v>16</v>
      </c>
      <c r="ED18" s="219" t="s">
        <v>144</v>
      </c>
      <c r="EE18" s="220" t="s">
        <v>463</v>
      </c>
      <c r="EF18" s="225">
        <v>7</v>
      </c>
      <c r="EG18" s="226">
        <v>3</v>
      </c>
      <c r="EH18" s="233" t="s">
        <v>144</v>
      </c>
      <c r="EI18" s="234" t="s">
        <v>835</v>
      </c>
      <c r="EJ18" s="251">
        <v>10</v>
      </c>
      <c r="EK18" s="252">
        <v>1</v>
      </c>
      <c r="EL18" s="233" t="s">
        <v>144</v>
      </c>
      <c r="EM18" s="234" t="s">
        <v>770</v>
      </c>
      <c r="EN18" s="254">
        <v>2</v>
      </c>
      <c r="EO18" s="267">
        <v>3</v>
      </c>
      <c r="EP18" s="313"/>
      <c r="EQ18" s="314" t="s">
        <v>650</v>
      </c>
      <c r="ER18" s="311">
        <v>6</v>
      </c>
      <c r="ES18" s="320">
        <v>10</v>
      </c>
      <c r="ET18" s="313"/>
      <c r="EU18" s="314" t="s">
        <v>580</v>
      </c>
      <c r="EV18" s="322">
        <v>3</v>
      </c>
      <c r="EW18" s="323">
        <v>5</v>
      </c>
      <c r="EX18" s="163"/>
      <c r="EY18" s="202">
        <v>16</v>
      </c>
      <c r="EZ18" s="233" t="s">
        <v>144</v>
      </c>
      <c r="FA18" s="234" t="s">
        <v>952</v>
      </c>
      <c r="FB18" s="235">
        <v>4</v>
      </c>
      <c r="FC18" s="236">
        <v>5</v>
      </c>
      <c r="FD18" s="313"/>
      <c r="FE18" s="314" t="s">
        <v>611</v>
      </c>
      <c r="FF18" s="315">
        <v>6</v>
      </c>
      <c r="FG18" s="316">
        <v>1</v>
      </c>
      <c r="FH18" s="313" t="s">
        <v>144</v>
      </c>
      <c r="FI18" s="314" t="s">
        <v>717</v>
      </c>
      <c r="FJ18" s="322">
        <v>4</v>
      </c>
      <c r="FK18" s="323">
        <v>6</v>
      </c>
      <c r="FL18" s="313"/>
      <c r="FM18" s="314" t="s">
        <v>685</v>
      </c>
      <c r="FN18" s="315">
        <v>9</v>
      </c>
      <c r="FO18" s="316">
        <v>4</v>
      </c>
      <c r="FP18" s="229"/>
      <c r="FQ18" s="230" t="s">
        <v>165</v>
      </c>
      <c r="FR18" s="237">
        <v>3</v>
      </c>
      <c r="FS18" s="248">
        <v>7</v>
      </c>
      <c r="FT18" s="163"/>
      <c r="FU18" s="202">
        <v>16</v>
      </c>
      <c r="FV18" s="219"/>
      <c r="FW18" s="220" t="s">
        <v>429</v>
      </c>
      <c r="FX18" s="223">
        <v>6</v>
      </c>
      <c r="FY18" s="224">
        <v>4</v>
      </c>
      <c r="FZ18" s="219" t="s">
        <v>144</v>
      </c>
      <c r="GA18" s="220" t="s">
        <v>394</v>
      </c>
      <c r="GB18" s="221">
        <v>4</v>
      </c>
      <c r="GC18" s="222">
        <v>9</v>
      </c>
      <c r="GD18" s="229" t="s">
        <v>144</v>
      </c>
      <c r="GE18" s="230" t="s">
        <v>339</v>
      </c>
      <c r="GF18" s="231">
        <v>5</v>
      </c>
      <c r="GG18" s="232">
        <v>3</v>
      </c>
      <c r="GH18" s="229" t="s">
        <v>144</v>
      </c>
      <c r="GI18" s="230" t="s">
        <v>300</v>
      </c>
      <c r="GJ18" s="231">
        <v>10</v>
      </c>
      <c r="GK18" s="258">
        <v>6</v>
      </c>
      <c r="GL18" s="219" t="s">
        <v>144</v>
      </c>
      <c r="GM18" s="220" t="s">
        <v>539</v>
      </c>
      <c r="GN18" s="221">
        <v>1</v>
      </c>
      <c r="GO18" s="222">
        <v>6</v>
      </c>
    </row>
    <row r="19" spans="1:197">
      <c r="A19" s="202">
        <v>17</v>
      </c>
      <c r="B19" s="241"/>
      <c r="C19" s="242" t="s">
        <v>502</v>
      </c>
      <c r="D19" s="221">
        <v>3</v>
      </c>
      <c r="E19" s="222">
        <v>4</v>
      </c>
      <c r="F19" s="309" t="s">
        <v>144</v>
      </c>
      <c r="G19" s="310" t="s">
        <v>580</v>
      </c>
      <c r="H19" s="437">
        <v>3</v>
      </c>
      <c r="I19" s="453">
        <v>5</v>
      </c>
      <c r="J19" s="241"/>
      <c r="K19" s="242" t="s">
        <v>394</v>
      </c>
      <c r="L19" s="410">
        <v>8</v>
      </c>
      <c r="M19" s="465">
        <v>3</v>
      </c>
      <c r="N19" s="309"/>
      <c r="O19" s="310" t="s">
        <v>717</v>
      </c>
      <c r="P19" s="422">
        <v>8</v>
      </c>
      <c r="Q19" s="414">
        <v>0</v>
      </c>
      <c r="R19" s="309" t="s">
        <v>144</v>
      </c>
      <c r="S19" s="310" t="s">
        <v>685</v>
      </c>
      <c r="T19" s="418">
        <v>0</v>
      </c>
      <c r="U19" s="419">
        <v>4</v>
      </c>
      <c r="V19" s="163"/>
      <c r="W19" s="202">
        <v>17</v>
      </c>
      <c r="X19" s="244" t="s">
        <v>144</v>
      </c>
      <c r="Y19" s="245" t="s">
        <v>165</v>
      </c>
      <c r="Z19" s="394">
        <v>3</v>
      </c>
      <c r="AA19" s="396">
        <v>8</v>
      </c>
      <c r="AB19" s="249"/>
      <c r="AC19" s="250" t="s">
        <v>1096</v>
      </c>
      <c r="AD19" s="426">
        <v>6</v>
      </c>
      <c r="AE19" s="425">
        <v>3</v>
      </c>
      <c r="AF19" s="244" t="s">
        <v>144</v>
      </c>
      <c r="AG19" s="245" t="s">
        <v>300</v>
      </c>
      <c r="AH19" s="231">
        <v>4</v>
      </c>
      <c r="AI19" s="232">
        <v>3</v>
      </c>
      <c r="AJ19" s="309" t="s">
        <v>144</v>
      </c>
      <c r="AK19" s="310" t="s">
        <v>650</v>
      </c>
      <c r="AL19" s="311">
        <v>3</v>
      </c>
      <c r="AM19" s="312">
        <v>5</v>
      </c>
      <c r="AN19" s="309"/>
      <c r="AO19" s="310" t="s">
        <v>611</v>
      </c>
      <c r="AP19" s="322">
        <v>0</v>
      </c>
      <c r="AQ19" s="323">
        <v>8</v>
      </c>
      <c r="AR19" s="163"/>
      <c r="AS19" s="202">
        <v>17</v>
      </c>
      <c r="AT19" s="241"/>
      <c r="AU19" s="242" t="s">
        <v>539</v>
      </c>
      <c r="AV19" s="223">
        <v>5</v>
      </c>
      <c r="AW19" s="224">
        <v>3</v>
      </c>
      <c r="AX19" s="241" t="s">
        <v>144</v>
      </c>
      <c r="AY19" s="242" t="s">
        <v>429</v>
      </c>
      <c r="AZ19" s="225">
        <v>8</v>
      </c>
      <c r="BA19" s="226">
        <v>0</v>
      </c>
      <c r="BB19" s="244" t="s">
        <v>144</v>
      </c>
      <c r="BC19" s="245" t="s">
        <v>226</v>
      </c>
      <c r="BD19" s="440">
        <v>0</v>
      </c>
      <c r="BE19" s="441">
        <v>8</v>
      </c>
      <c r="BF19" s="244"/>
      <c r="BG19" s="245" t="s">
        <v>266</v>
      </c>
      <c r="BH19" s="433">
        <v>4</v>
      </c>
      <c r="BI19" s="432">
        <v>0</v>
      </c>
      <c r="BJ19" s="244"/>
      <c r="BK19" s="245" t="s">
        <v>339</v>
      </c>
      <c r="BL19" s="433">
        <v>5</v>
      </c>
      <c r="BM19" s="464">
        <v>3</v>
      </c>
      <c r="BO19" s="202">
        <v>17</v>
      </c>
      <c r="BP19" s="241"/>
      <c r="BQ19" s="242" t="s">
        <v>539</v>
      </c>
      <c r="BR19" s="225">
        <v>3</v>
      </c>
      <c r="BS19" s="226">
        <v>1</v>
      </c>
      <c r="BT19" s="309" t="s">
        <v>144</v>
      </c>
      <c r="BU19" s="310" t="s">
        <v>650</v>
      </c>
      <c r="BV19" s="315">
        <v>7</v>
      </c>
      <c r="BW19" s="317">
        <v>3</v>
      </c>
      <c r="BX19" s="241"/>
      <c r="BY19" s="242" t="s">
        <v>463</v>
      </c>
      <c r="BZ19" s="223">
        <v>5</v>
      </c>
      <c r="CA19" s="243">
        <v>2</v>
      </c>
      <c r="CB19" s="309"/>
      <c r="CC19" s="310" t="s">
        <v>685</v>
      </c>
      <c r="CD19" s="315">
        <v>1</v>
      </c>
      <c r="CE19" s="317">
        <v>0</v>
      </c>
      <c r="CF19" s="309" t="s">
        <v>144</v>
      </c>
      <c r="CG19" s="310" t="s">
        <v>580</v>
      </c>
      <c r="CH19" s="318">
        <v>3</v>
      </c>
      <c r="CI19" s="321">
        <v>1</v>
      </c>
      <c r="CJ19" s="163"/>
      <c r="CK19" s="202">
        <v>17</v>
      </c>
      <c r="CL19" s="244" t="s">
        <v>144</v>
      </c>
      <c r="CM19" s="245" t="s">
        <v>226</v>
      </c>
      <c r="CN19" s="239">
        <v>2</v>
      </c>
      <c r="CO19" s="240">
        <v>5</v>
      </c>
      <c r="CP19" s="249"/>
      <c r="CQ19" s="250" t="s">
        <v>952</v>
      </c>
      <c r="CR19" s="251">
        <v>5</v>
      </c>
      <c r="CS19" s="257">
        <v>2</v>
      </c>
      <c r="CT19" s="244" t="s">
        <v>144</v>
      </c>
      <c r="CU19" s="245" t="s">
        <v>339</v>
      </c>
      <c r="CV19" s="237">
        <v>1</v>
      </c>
      <c r="CW19" s="248">
        <v>3</v>
      </c>
      <c r="CX19" s="309" t="s">
        <v>144</v>
      </c>
      <c r="CY19" s="310" t="s">
        <v>611</v>
      </c>
      <c r="CZ19" s="311">
        <v>1</v>
      </c>
      <c r="DA19" s="312">
        <v>10</v>
      </c>
      <c r="DB19" s="309"/>
      <c r="DC19" s="310" t="s">
        <v>717</v>
      </c>
      <c r="DD19" s="322">
        <v>4</v>
      </c>
      <c r="DE19" s="323">
        <v>5</v>
      </c>
      <c r="DF19" s="163"/>
      <c r="DG19" s="202">
        <v>17</v>
      </c>
      <c r="DH19" s="241"/>
      <c r="DI19" s="242" t="s">
        <v>429</v>
      </c>
      <c r="DJ19" s="223">
        <v>10</v>
      </c>
      <c r="DK19" s="224">
        <v>1</v>
      </c>
      <c r="DL19" s="241" t="s">
        <v>144</v>
      </c>
      <c r="DM19" s="242" t="s">
        <v>394</v>
      </c>
      <c r="DN19" s="225">
        <v>5</v>
      </c>
      <c r="DO19" s="226">
        <v>4</v>
      </c>
      <c r="DP19" s="244" t="s">
        <v>144</v>
      </c>
      <c r="DQ19" s="245" t="s">
        <v>266</v>
      </c>
      <c r="DR19" s="237">
        <v>0</v>
      </c>
      <c r="DS19" s="248">
        <v>1</v>
      </c>
      <c r="DT19" s="244"/>
      <c r="DU19" s="245" t="s">
        <v>300</v>
      </c>
      <c r="DV19" s="239">
        <v>1</v>
      </c>
      <c r="DW19" s="238">
        <v>3</v>
      </c>
      <c r="DX19" s="244"/>
      <c r="DY19" s="245" t="s">
        <v>165</v>
      </c>
      <c r="DZ19" s="239">
        <v>3</v>
      </c>
      <c r="EA19" s="240">
        <v>7</v>
      </c>
      <c r="EC19" s="202">
        <v>17</v>
      </c>
      <c r="ED19" s="241"/>
      <c r="EE19" s="242" t="s">
        <v>429</v>
      </c>
      <c r="EF19" s="221">
        <v>0</v>
      </c>
      <c r="EG19" s="222">
        <v>5</v>
      </c>
      <c r="EH19" s="309" t="s">
        <v>144</v>
      </c>
      <c r="EI19" s="310" t="s">
        <v>611</v>
      </c>
      <c r="EJ19" s="315">
        <v>9</v>
      </c>
      <c r="EK19" s="317">
        <v>2</v>
      </c>
      <c r="EL19" s="241"/>
      <c r="EM19" s="242" t="s">
        <v>502</v>
      </c>
      <c r="EN19" s="227">
        <v>1</v>
      </c>
      <c r="EO19" s="253">
        <v>2</v>
      </c>
      <c r="EP19" s="309"/>
      <c r="EQ19" s="310" t="s">
        <v>580</v>
      </c>
      <c r="ER19" s="311">
        <v>2</v>
      </c>
      <c r="ES19" s="320">
        <v>3</v>
      </c>
      <c r="ET19" s="309" t="s">
        <v>144</v>
      </c>
      <c r="EU19" s="310" t="s">
        <v>650</v>
      </c>
      <c r="EV19" s="318">
        <v>4</v>
      </c>
      <c r="EW19" s="321">
        <v>1</v>
      </c>
      <c r="EX19" s="163"/>
      <c r="EY19" s="202">
        <v>17</v>
      </c>
      <c r="EZ19" s="244" t="s">
        <v>144</v>
      </c>
      <c r="FA19" s="245" t="s">
        <v>266</v>
      </c>
      <c r="FB19" s="246">
        <v>2</v>
      </c>
      <c r="FC19" s="247">
        <v>1</v>
      </c>
      <c r="FD19" s="249"/>
      <c r="FE19" s="250" t="s">
        <v>990</v>
      </c>
      <c r="FF19" s="235">
        <v>0</v>
      </c>
      <c r="FG19" s="236">
        <v>1</v>
      </c>
      <c r="FH19" s="244" t="s">
        <v>144</v>
      </c>
      <c r="FI19" s="245" t="s">
        <v>165</v>
      </c>
      <c r="FJ19" s="231">
        <v>5</v>
      </c>
      <c r="FK19" s="232">
        <v>0</v>
      </c>
      <c r="FL19" s="309" t="s">
        <v>144</v>
      </c>
      <c r="FM19" s="310" t="s">
        <v>717</v>
      </c>
      <c r="FN19" s="311">
        <v>6</v>
      </c>
      <c r="FO19" s="312">
        <v>9</v>
      </c>
      <c r="FP19" s="309"/>
      <c r="FQ19" s="310" t="s">
        <v>685</v>
      </c>
      <c r="FR19" s="322">
        <v>1</v>
      </c>
      <c r="FS19" s="323">
        <v>11</v>
      </c>
      <c r="FT19" s="163"/>
      <c r="FU19" s="202">
        <v>17</v>
      </c>
      <c r="FV19" s="241"/>
      <c r="FW19" s="242" t="s">
        <v>394</v>
      </c>
      <c r="FX19" s="223">
        <v>9</v>
      </c>
      <c r="FY19" s="224">
        <v>6</v>
      </c>
      <c r="FZ19" s="241" t="s">
        <v>144</v>
      </c>
      <c r="GA19" s="242" t="s">
        <v>463</v>
      </c>
      <c r="GB19" s="225">
        <v>11</v>
      </c>
      <c r="GC19" s="226">
        <v>1</v>
      </c>
      <c r="GD19" s="244" t="s">
        <v>144</v>
      </c>
      <c r="GE19" s="245" t="s">
        <v>300</v>
      </c>
      <c r="GF19" s="231">
        <v>3</v>
      </c>
      <c r="GG19" s="232">
        <v>2</v>
      </c>
      <c r="GH19" s="244"/>
      <c r="GI19" s="245" t="s">
        <v>339</v>
      </c>
      <c r="GJ19" s="239">
        <v>1</v>
      </c>
      <c r="GK19" s="238">
        <v>4</v>
      </c>
      <c r="GL19" s="244"/>
      <c r="GM19" s="245" t="s">
        <v>226</v>
      </c>
      <c r="GN19" s="239">
        <v>2</v>
      </c>
      <c r="GO19" s="240">
        <v>9</v>
      </c>
    </row>
    <row r="20" spans="1:197">
      <c r="A20" s="202">
        <v>18</v>
      </c>
      <c r="B20" s="219"/>
      <c r="C20" s="220" t="s">
        <v>502</v>
      </c>
      <c r="D20" s="221">
        <v>5</v>
      </c>
      <c r="E20" s="222">
        <v>6</v>
      </c>
      <c r="F20" s="313" t="s">
        <v>144</v>
      </c>
      <c r="G20" s="314" t="s">
        <v>580</v>
      </c>
      <c r="H20" s="311">
        <v>7</v>
      </c>
      <c r="I20" s="320">
        <v>9</v>
      </c>
      <c r="J20" s="219"/>
      <c r="K20" s="220" t="s">
        <v>394</v>
      </c>
      <c r="L20" s="227">
        <v>2</v>
      </c>
      <c r="M20" s="253">
        <v>6</v>
      </c>
      <c r="N20" s="313"/>
      <c r="O20" s="314" t="s">
        <v>717</v>
      </c>
      <c r="P20" s="311">
        <v>4</v>
      </c>
      <c r="Q20" s="453">
        <v>5</v>
      </c>
      <c r="R20" s="313" t="s">
        <v>144</v>
      </c>
      <c r="S20" s="314" t="s">
        <v>685</v>
      </c>
      <c r="T20" s="418">
        <v>2</v>
      </c>
      <c r="U20" s="419">
        <v>10</v>
      </c>
      <c r="V20" s="163"/>
      <c r="W20" s="202">
        <v>18</v>
      </c>
      <c r="X20" s="229" t="s">
        <v>144</v>
      </c>
      <c r="Y20" s="230" t="s">
        <v>165</v>
      </c>
      <c r="Z20" s="246">
        <v>6</v>
      </c>
      <c r="AA20" s="247">
        <v>2</v>
      </c>
      <c r="AB20" s="233"/>
      <c r="AC20" s="234" t="s">
        <v>1096</v>
      </c>
      <c r="AD20" s="251">
        <v>6</v>
      </c>
      <c r="AE20" s="257">
        <v>5</v>
      </c>
      <c r="AF20" s="229" t="s">
        <v>144</v>
      </c>
      <c r="AG20" s="230" t="s">
        <v>300</v>
      </c>
      <c r="AH20" s="231">
        <v>6</v>
      </c>
      <c r="AI20" s="232">
        <v>5</v>
      </c>
      <c r="AJ20" s="313" t="s">
        <v>144</v>
      </c>
      <c r="AK20" s="314" t="s">
        <v>650</v>
      </c>
      <c r="AL20" s="422">
        <v>5</v>
      </c>
      <c r="AM20" s="421">
        <v>4</v>
      </c>
      <c r="AN20" s="313"/>
      <c r="AO20" s="314" t="s">
        <v>611</v>
      </c>
      <c r="AP20" s="418">
        <v>4</v>
      </c>
      <c r="AQ20" s="419">
        <v>6</v>
      </c>
      <c r="AR20" s="163"/>
      <c r="AS20" s="202">
        <v>18</v>
      </c>
      <c r="AT20" s="219"/>
      <c r="AU20" s="220" t="s">
        <v>539</v>
      </c>
      <c r="AV20" s="408">
        <v>4</v>
      </c>
      <c r="AW20" s="409">
        <v>5</v>
      </c>
      <c r="AX20" s="219" t="s">
        <v>144</v>
      </c>
      <c r="AY20" s="220" t="s">
        <v>429</v>
      </c>
      <c r="AZ20" s="392">
        <v>6</v>
      </c>
      <c r="BA20" s="390">
        <v>4</v>
      </c>
      <c r="BB20" s="229" t="s">
        <v>144</v>
      </c>
      <c r="BC20" s="230" t="s">
        <v>226</v>
      </c>
      <c r="BD20" s="231">
        <v>5</v>
      </c>
      <c r="BE20" s="232">
        <v>4</v>
      </c>
      <c r="BF20" s="229"/>
      <c r="BG20" s="230" t="s">
        <v>266</v>
      </c>
      <c r="BH20" s="402">
        <v>10</v>
      </c>
      <c r="BI20" s="432">
        <v>2</v>
      </c>
      <c r="BJ20" s="229"/>
      <c r="BK20" s="230" t="s">
        <v>339</v>
      </c>
      <c r="BL20" s="246">
        <v>9</v>
      </c>
      <c r="BM20" s="247">
        <v>7</v>
      </c>
      <c r="BO20" s="202">
        <v>18</v>
      </c>
      <c r="BP20" s="219"/>
      <c r="BQ20" s="220" t="s">
        <v>539</v>
      </c>
      <c r="BR20" s="225">
        <v>3</v>
      </c>
      <c r="BS20" s="226">
        <v>2</v>
      </c>
      <c r="BT20" s="313" t="s">
        <v>144</v>
      </c>
      <c r="BU20" s="314" t="s">
        <v>650</v>
      </c>
      <c r="BV20" s="311">
        <v>2</v>
      </c>
      <c r="BW20" s="320">
        <v>3</v>
      </c>
      <c r="BX20" s="219"/>
      <c r="BY20" s="220" t="s">
        <v>463</v>
      </c>
      <c r="BZ20" s="223">
        <v>5</v>
      </c>
      <c r="CA20" s="243">
        <v>1</v>
      </c>
      <c r="CB20" s="313"/>
      <c r="CC20" s="314" t="s">
        <v>685</v>
      </c>
      <c r="CD20" s="315">
        <v>12</v>
      </c>
      <c r="CE20" s="317">
        <v>5</v>
      </c>
      <c r="CF20" s="313" t="s">
        <v>144</v>
      </c>
      <c r="CG20" s="314" t="s">
        <v>580</v>
      </c>
      <c r="CH20" s="318">
        <v>13</v>
      </c>
      <c r="CI20" s="321">
        <v>6</v>
      </c>
      <c r="CJ20" s="163"/>
      <c r="CK20" s="202">
        <v>18</v>
      </c>
      <c r="CL20" s="229" t="s">
        <v>144</v>
      </c>
      <c r="CM20" s="230" t="s">
        <v>226</v>
      </c>
      <c r="CN20" s="239">
        <v>1</v>
      </c>
      <c r="CO20" s="240">
        <v>5</v>
      </c>
      <c r="CP20" s="233"/>
      <c r="CQ20" s="234" t="s">
        <v>952</v>
      </c>
      <c r="CR20" s="235">
        <v>5</v>
      </c>
      <c r="CS20" s="236">
        <v>6</v>
      </c>
      <c r="CT20" s="229" t="s">
        <v>144</v>
      </c>
      <c r="CU20" s="230" t="s">
        <v>339</v>
      </c>
      <c r="CV20" s="237">
        <v>2</v>
      </c>
      <c r="CW20" s="248">
        <v>3</v>
      </c>
      <c r="CX20" s="313" t="s">
        <v>144</v>
      </c>
      <c r="CY20" s="314" t="s">
        <v>611</v>
      </c>
      <c r="CZ20" s="315">
        <v>8</v>
      </c>
      <c r="DA20" s="316">
        <v>3</v>
      </c>
      <c r="DB20" s="313"/>
      <c r="DC20" s="314" t="s">
        <v>717</v>
      </c>
      <c r="DD20" s="318">
        <v>7</v>
      </c>
      <c r="DE20" s="321">
        <v>2</v>
      </c>
      <c r="DF20" s="163"/>
      <c r="DG20" s="202">
        <v>18</v>
      </c>
      <c r="DH20" s="219"/>
      <c r="DI20" s="220" t="s">
        <v>429</v>
      </c>
      <c r="DJ20" s="227">
        <v>3</v>
      </c>
      <c r="DK20" s="228">
        <v>8</v>
      </c>
      <c r="DL20" s="219" t="s">
        <v>144</v>
      </c>
      <c r="DM20" s="220" t="s">
        <v>394</v>
      </c>
      <c r="DN20" s="221">
        <v>2</v>
      </c>
      <c r="DO20" s="222">
        <v>7</v>
      </c>
      <c r="DP20" s="229" t="s">
        <v>144</v>
      </c>
      <c r="DQ20" s="230" t="s">
        <v>266</v>
      </c>
      <c r="DR20" s="237">
        <v>5</v>
      </c>
      <c r="DS20" s="248">
        <v>12</v>
      </c>
      <c r="DT20" s="229"/>
      <c r="DU20" s="230" t="s">
        <v>300</v>
      </c>
      <c r="DV20" s="237">
        <v>6</v>
      </c>
      <c r="DW20" s="238">
        <v>13</v>
      </c>
      <c r="DX20" s="229"/>
      <c r="DY20" s="230" t="s">
        <v>165</v>
      </c>
      <c r="DZ20" s="246">
        <v>3</v>
      </c>
      <c r="EA20" s="247">
        <v>2</v>
      </c>
      <c r="EC20" s="202">
        <v>18</v>
      </c>
      <c r="ED20" s="219"/>
      <c r="EE20" s="220" t="s">
        <v>429</v>
      </c>
      <c r="EF20" s="221">
        <v>2</v>
      </c>
      <c r="EG20" s="222">
        <v>13</v>
      </c>
      <c r="EH20" s="313" t="s">
        <v>144</v>
      </c>
      <c r="EI20" s="314" t="s">
        <v>611</v>
      </c>
      <c r="EJ20" s="311">
        <v>3</v>
      </c>
      <c r="EK20" s="320">
        <v>4</v>
      </c>
      <c r="EL20" s="219"/>
      <c r="EM20" s="220" t="s">
        <v>502</v>
      </c>
      <c r="EN20" s="227">
        <v>4</v>
      </c>
      <c r="EO20" s="253">
        <v>6</v>
      </c>
      <c r="EP20" s="313"/>
      <c r="EQ20" s="314" t="s">
        <v>580</v>
      </c>
      <c r="ER20" s="311">
        <v>4</v>
      </c>
      <c r="ES20" s="320">
        <v>8</v>
      </c>
      <c r="ET20" s="313" t="s">
        <v>144</v>
      </c>
      <c r="EU20" s="314" t="s">
        <v>650</v>
      </c>
      <c r="EV20" s="318">
        <v>9</v>
      </c>
      <c r="EW20" s="321">
        <v>6</v>
      </c>
      <c r="EX20" s="163"/>
      <c r="EY20" s="202">
        <v>18</v>
      </c>
      <c r="EZ20" s="229" t="s">
        <v>144</v>
      </c>
      <c r="FA20" s="230" t="s">
        <v>266</v>
      </c>
      <c r="FB20" s="246">
        <v>6</v>
      </c>
      <c r="FC20" s="247">
        <v>4</v>
      </c>
      <c r="FD20" s="233"/>
      <c r="FE20" s="234" t="s">
        <v>990</v>
      </c>
      <c r="FF20" s="251">
        <v>5</v>
      </c>
      <c r="FG20" s="257">
        <v>2</v>
      </c>
      <c r="FH20" s="229" t="s">
        <v>144</v>
      </c>
      <c r="FI20" s="230" t="s">
        <v>165</v>
      </c>
      <c r="FJ20" s="231">
        <v>13</v>
      </c>
      <c r="FK20" s="232">
        <v>2</v>
      </c>
      <c r="FL20" s="313" t="s">
        <v>144</v>
      </c>
      <c r="FM20" s="314" t="s">
        <v>717</v>
      </c>
      <c r="FN20" s="311">
        <v>3</v>
      </c>
      <c r="FO20" s="312">
        <v>5</v>
      </c>
      <c r="FP20" s="313"/>
      <c r="FQ20" s="314" t="s">
        <v>685</v>
      </c>
      <c r="FR20" s="318">
        <v>4</v>
      </c>
      <c r="FS20" s="321">
        <v>1</v>
      </c>
      <c r="FT20" s="163"/>
      <c r="FU20" s="202">
        <v>18</v>
      </c>
      <c r="FV20" s="219"/>
      <c r="FW20" s="220" t="s">
        <v>394</v>
      </c>
      <c r="FX20" s="223">
        <v>5</v>
      </c>
      <c r="FY20" s="224">
        <v>3</v>
      </c>
      <c r="FZ20" s="219" t="s">
        <v>144</v>
      </c>
      <c r="GA20" s="220" t="s">
        <v>463</v>
      </c>
      <c r="GB20" s="221">
        <v>1</v>
      </c>
      <c r="GC20" s="222">
        <v>4</v>
      </c>
      <c r="GD20" s="229" t="s">
        <v>144</v>
      </c>
      <c r="GE20" s="230" t="s">
        <v>300</v>
      </c>
      <c r="GF20" s="231">
        <v>8</v>
      </c>
      <c r="GG20" s="232">
        <v>4</v>
      </c>
      <c r="GH20" s="229"/>
      <c r="GI20" s="230" t="s">
        <v>339</v>
      </c>
      <c r="GJ20" s="237">
        <v>6</v>
      </c>
      <c r="GK20" s="238">
        <v>9</v>
      </c>
      <c r="GL20" s="229"/>
      <c r="GM20" s="230" t="s">
        <v>226</v>
      </c>
      <c r="GN20" s="246">
        <v>4</v>
      </c>
      <c r="GO20" s="247">
        <v>3</v>
      </c>
    </row>
    <row r="21" spans="1:197">
      <c r="A21" s="202">
        <v>19</v>
      </c>
      <c r="B21" s="309" t="s">
        <v>144</v>
      </c>
      <c r="C21" s="310" t="s">
        <v>611</v>
      </c>
      <c r="D21" s="311">
        <v>4</v>
      </c>
      <c r="E21" s="312">
        <v>7</v>
      </c>
      <c r="F21" s="241"/>
      <c r="G21" s="242" t="s">
        <v>539</v>
      </c>
      <c r="H21" s="392">
        <v>6</v>
      </c>
      <c r="I21" s="456">
        <v>0</v>
      </c>
      <c r="J21" s="309" t="s">
        <v>144</v>
      </c>
      <c r="K21" s="310" t="s">
        <v>717</v>
      </c>
      <c r="L21" s="322">
        <v>9</v>
      </c>
      <c r="M21" s="324">
        <v>10</v>
      </c>
      <c r="N21" s="241"/>
      <c r="O21" s="242" t="s">
        <v>463</v>
      </c>
      <c r="P21" s="434">
        <v>2</v>
      </c>
      <c r="Q21" s="451">
        <v>8</v>
      </c>
      <c r="R21" s="249"/>
      <c r="S21" s="250" t="s">
        <v>770</v>
      </c>
      <c r="T21" s="460">
        <v>5</v>
      </c>
      <c r="U21" s="459">
        <v>4</v>
      </c>
      <c r="V21" s="269"/>
      <c r="W21" s="202">
        <v>19</v>
      </c>
      <c r="X21" s="309"/>
      <c r="Y21" s="310" t="s">
        <v>685</v>
      </c>
      <c r="Z21" s="311">
        <v>5</v>
      </c>
      <c r="AA21" s="312">
        <v>8</v>
      </c>
      <c r="AB21" s="244" t="s">
        <v>144</v>
      </c>
      <c r="AC21" s="245" t="s">
        <v>226</v>
      </c>
      <c r="AD21" s="433">
        <v>8</v>
      </c>
      <c r="AE21" s="464">
        <v>2</v>
      </c>
      <c r="AF21" s="309"/>
      <c r="AG21" s="310" t="s">
        <v>580</v>
      </c>
      <c r="AH21" s="415">
        <v>6</v>
      </c>
      <c r="AI21" s="436">
        <v>5</v>
      </c>
      <c r="AJ21" s="244" t="s">
        <v>144</v>
      </c>
      <c r="AK21" s="245" t="s">
        <v>339</v>
      </c>
      <c r="AL21" s="394">
        <v>0</v>
      </c>
      <c r="AM21" s="396">
        <v>6</v>
      </c>
      <c r="AN21" s="309"/>
      <c r="AO21" s="310" t="s">
        <v>650</v>
      </c>
      <c r="AP21" s="415">
        <v>5</v>
      </c>
      <c r="AQ21" s="436">
        <v>4</v>
      </c>
      <c r="AR21" s="163"/>
      <c r="AS21" s="202">
        <v>19</v>
      </c>
      <c r="AT21" s="241" t="s">
        <v>144</v>
      </c>
      <c r="AU21" s="242" t="s">
        <v>429</v>
      </c>
      <c r="AV21" s="408">
        <v>4</v>
      </c>
      <c r="AW21" s="409">
        <v>5</v>
      </c>
      <c r="AX21" s="244"/>
      <c r="AY21" s="245" t="s">
        <v>300</v>
      </c>
      <c r="AZ21" s="246">
        <v>7</v>
      </c>
      <c r="BA21" s="247">
        <v>4</v>
      </c>
      <c r="BB21" s="244"/>
      <c r="BC21" s="245" t="s">
        <v>165</v>
      </c>
      <c r="BD21" s="231">
        <v>10</v>
      </c>
      <c r="BE21" s="232">
        <v>9</v>
      </c>
      <c r="BF21" s="241" t="s">
        <v>144</v>
      </c>
      <c r="BG21" s="242" t="s">
        <v>394</v>
      </c>
      <c r="BH21" s="225">
        <v>8</v>
      </c>
      <c r="BI21" s="256">
        <v>5</v>
      </c>
      <c r="BJ21" s="241" t="s">
        <v>144</v>
      </c>
      <c r="BK21" s="242" t="s">
        <v>502</v>
      </c>
      <c r="BL21" s="434">
        <v>5</v>
      </c>
      <c r="BM21" s="435">
        <v>6</v>
      </c>
      <c r="BO21" s="202">
        <v>19</v>
      </c>
      <c r="BP21" s="309" t="s">
        <v>144</v>
      </c>
      <c r="BQ21" s="310" t="s">
        <v>717</v>
      </c>
      <c r="BR21" s="311">
        <v>1</v>
      </c>
      <c r="BS21" s="312">
        <v>4</v>
      </c>
      <c r="BT21" s="241"/>
      <c r="BU21" s="242" t="s">
        <v>429</v>
      </c>
      <c r="BV21" s="221">
        <v>1</v>
      </c>
      <c r="BW21" s="259">
        <v>4</v>
      </c>
      <c r="BX21" s="309" t="s">
        <v>144</v>
      </c>
      <c r="BY21" s="310" t="s">
        <v>685</v>
      </c>
      <c r="BZ21" s="318">
        <v>6</v>
      </c>
      <c r="CA21" s="319">
        <v>4</v>
      </c>
      <c r="CB21" s="241"/>
      <c r="CC21" s="242" t="s">
        <v>502</v>
      </c>
      <c r="CD21" s="225">
        <v>5</v>
      </c>
      <c r="CE21" s="256">
        <v>2</v>
      </c>
      <c r="CF21" s="249"/>
      <c r="CG21" s="250" t="s">
        <v>869</v>
      </c>
      <c r="CH21" s="261">
        <v>2</v>
      </c>
      <c r="CI21" s="262">
        <v>1</v>
      </c>
      <c r="CJ21" s="269"/>
      <c r="CK21" s="202">
        <v>19</v>
      </c>
      <c r="CL21" s="309"/>
      <c r="CM21" s="310" t="s">
        <v>580</v>
      </c>
      <c r="CN21" s="315">
        <v>9</v>
      </c>
      <c r="CO21" s="316">
        <v>7</v>
      </c>
      <c r="CP21" s="244" t="s">
        <v>144</v>
      </c>
      <c r="CQ21" s="245" t="s">
        <v>266</v>
      </c>
      <c r="CR21" s="239">
        <v>2</v>
      </c>
      <c r="CS21" s="240">
        <v>5</v>
      </c>
      <c r="CT21" s="309"/>
      <c r="CU21" s="310" t="s">
        <v>650</v>
      </c>
      <c r="CV21" s="318">
        <v>10</v>
      </c>
      <c r="CW21" s="321">
        <v>0</v>
      </c>
      <c r="CX21" s="244" t="s">
        <v>144</v>
      </c>
      <c r="CY21" s="245" t="s">
        <v>165</v>
      </c>
      <c r="CZ21" s="246">
        <v>4</v>
      </c>
      <c r="DA21" s="247">
        <v>1</v>
      </c>
      <c r="DB21" s="309"/>
      <c r="DC21" s="310" t="s">
        <v>611</v>
      </c>
      <c r="DD21" s="322">
        <v>2</v>
      </c>
      <c r="DE21" s="323">
        <v>3</v>
      </c>
      <c r="DF21" s="163"/>
      <c r="DG21" s="202">
        <v>19</v>
      </c>
      <c r="DH21" s="241" t="s">
        <v>144</v>
      </c>
      <c r="DI21" s="242" t="s">
        <v>394</v>
      </c>
      <c r="DJ21" s="223">
        <v>3</v>
      </c>
      <c r="DK21" s="224">
        <v>2</v>
      </c>
      <c r="DL21" s="244"/>
      <c r="DM21" s="245" t="s">
        <v>339</v>
      </c>
      <c r="DN21" s="246">
        <v>4</v>
      </c>
      <c r="DO21" s="247">
        <v>1</v>
      </c>
      <c r="DP21" s="244"/>
      <c r="DQ21" s="245" t="s">
        <v>226</v>
      </c>
      <c r="DR21" s="237">
        <v>4</v>
      </c>
      <c r="DS21" s="248">
        <v>6</v>
      </c>
      <c r="DT21" s="241" t="s">
        <v>144</v>
      </c>
      <c r="DU21" s="242" t="s">
        <v>463</v>
      </c>
      <c r="DV21" s="221">
        <v>7</v>
      </c>
      <c r="DW21" s="259">
        <v>9</v>
      </c>
      <c r="DX21" s="241" t="s">
        <v>144</v>
      </c>
      <c r="DY21" s="242" t="s">
        <v>539</v>
      </c>
      <c r="DZ21" s="221">
        <v>0</v>
      </c>
      <c r="EA21" s="222">
        <v>10</v>
      </c>
      <c r="EC21" s="202">
        <v>19</v>
      </c>
      <c r="ED21" s="309" t="s">
        <v>144</v>
      </c>
      <c r="EE21" s="310" t="s">
        <v>685</v>
      </c>
      <c r="EF21" s="311">
        <v>7</v>
      </c>
      <c r="EG21" s="312">
        <v>11</v>
      </c>
      <c r="EH21" s="241"/>
      <c r="EI21" s="242" t="s">
        <v>394</v>
      </c>
      <c r="EJ21" s="221">
        <v>2</v>
      </c>
      <c r="EK21" s="259">
        <v>8</v>
      </c>
      <c r="EL21" s="309" t="s">
        <v>144</v>
      </c>
      <c r="EM21" s="310" t="s">
        <v>580</v>
      </c>
      <c r="EN21" s="322">
        <v>3</v>
      </c>
      <c r="EO21" s="324">
        <v>5</v>
      </c>
      <c r="EP21" s="241"/>
      <c r="EQ21" s="242" t="s">
        <v>539</v>
      </c>
      <c r="ER21" s="225">
        <v>7</v>
      </c>
      <c r="ES21" s="256">
        <v>6</v>
      </c>
      <c r="ET21" s="249"/>
      <c r="EU21" s="250" t="s">
        <v>903</v>
      </c>
      <c r="EV21" s="254">
        <v>5</v>
      </c>
      <c r="EW21" s="260">
        <v>6</v>
      </c>
      <c r="EX21" s="269"/>
      <c r="EY21" s="202">
        <v>19</v>
      </c>
      <c r="EZ21" s="309"/>
      <c r="FA21" s="310" t="s">
        <v>650</v>
      </c>
      <c r="FB21" s="311">
        <v>3</v>
      </c>
      <c r="FC21" s="312">
        <v>7</v>
      </c>
      <c r="FD21" s="244" t="s">
        <v>144</v>
      </c>
      <c r="FE21" s="245" t="s">
        <v>300</v>
      </c>
      <c r="FF21" s="239">
        <v>6</v>
      </c>
      <c r="FG21" s="240">
        <v>7</v>
      </c>
      <c r="FH21" s="309"/>
      <c r="FI21" s="310" t="s">
        <v>611</v>
      </c>
      <c r="FJ21" s="322">
        <v>6</v>
      </c>
      <c r="FK21" s="323">
        <v>15</v>
      </c>
      <c r="FL21" s="244" t="s">
        <v>144</v>
      </c>
      <c r="FM21" s="245" t="s">
        <v>226</v>
      </c>
      <c r="FN21" s="246">
        <v>8</v>
      </c>
      <c r="FO21" s="247">
        <v>2</v>
      </c>
      <c r="FP21" s="309"/>
      <c r="FQ21" s="310" t="s">
        <v>717</v>
      </c>
      <c r="FR21" s="322">
        <v>2</v>
      </c>
      <c r="FS21" s="323">
        <v>7</v>
      </c>
      <c r="FT21" s="163"/>
      <c r="FU21" s="202">
        <v>19</v>
      </c>
      <c r="FV21" s="241" t="s">
        <v>144</v>
      </c>
      <c r="FW21" s="242" t="s">
        <v>463</v>
      </c>
      <c r="FX21" s="223">
        <v>7</v>
      </c>
      <c r="FY21" s="224">
        <v>2</v>
      </c>
      <c r="FZ21" s="244"/>
      <c r="GA21" s="245" t="s">
        <v>165</v>
      </c>
      <c r="GB21" s="246">
        <v>11</v>
      </c>
      <c r="GC21" s="247">
        <v>7</v>
      </c>
      <c r="GD21" s="244"/>
      <c r="GE21" s="245" t="s">
        <v>266</v>
      </c>
      <c r="GF21" s="231">
        <v>5</v>
      </c>
      <c r="GG21" s="232">
        <v>3</v>
      </c>
      <c r="GH21" s="241" t="s">
        <v>144</v>
      </c>
      <c r="GI21" s="242" t="s">
        <v>502</v>
      </c>
      <c r="GJ21" s="225">
        <v>7</v>
      </c>
      <c r="GK21" s="256">
        <v>3</v>
      </c>
      <c r="GL21" s="241" t="s">
        <v>144</v>
      </c>
      <c r="GM21" s="242" t="s">
        <v>429</v>
      </c>
      <c r="GN21" s="225">
        <v>15</v>
      </c>
      <c r="GO21" s="226">
        <v>6</v>
      </c>
    </row>
    <row r="22" spans="1:197">
      <c r="A22" s="202">
        <v>20</v>
      </c>
      <c r="B22" s="313" t="s">
        <v>144</v>
      </c>
      <c r="C22" s="314" t="s">
        <v>611</v>
      </c>
      <c r="D22" s="311">
        <v>4</v>
      </c>
      <c r="E22" s="312">
        <v>7</v>
      </c>
      <c r="F22" s="219"/>
      <c r="G22" s="220" t="s">
        <v>539</v>
      </c>
      <c r="H22" s="221">
        <v>2</v>
      </c>
      <c r="I22" s="259">
        <v>6</v>
      </c>
      <c r="J22" s="313" t="s">
        <v>144</v>
      </c>
      <c r="K22" s="314" t="s">
        <v>717</v>
      </c>
      <c r="L22" s="318">
        <v>2</v>
      </c>
      <c r="M22" s="319">
        <v>1</v>
      </c>
      <c r="N22" s="219"/>
      <c r="O22" s="220" t="s">
        <v>463</v>
      </c>
      <c r="P22" s="225">
        <v>7</v>
      </c>
      <c r="Q22" s="256">
        <v>2</v>
      </c>
      <c r="R22" s="233"/>
      <c r="S22" s="234" t="s">
        <v>770</v>
      </c>
      <c r="T22" s="461">
        <v>7</v>
      </c>
      <c r="U22" s="462">
        <v>10</v>
      </c>
      <c r="V22" s="269"/>
      <c r="W22" s="202">
        <v>20</v>
      </c>
      <c r="X22" s="313"/>
      <c r="Y22" s="314" t="s">
        <v>685</v>
      </c>
      <c r="Z22" s="315">
        <v>6</v>
      </c>
      <c r="AA22" s="316">
        <v>2</v>
      </c>
      <c r="AB22" s="229" t="s">
        <v>144</v>
      </c>
      <c r="AC22" s="230" t="s">
        <v>226</v>
      </c>
      <c r="AD22" s="239">
        <v>2</v>
      </c>
      <c r="AE22" s="396">
        <v>7</v>
      </c>
      <c r="AF22" s="313"/>
      <c r="AG22" s="314" t="s">
        <v>580</v>
      </c>
      <c r="AH22" s="415">
        <v>5</v>
      </c>
      <c r="AI22" s="436">
        <v>4</v>
      </c>
      <c r="AJ22" s="229" t="s">
        <v>144</v>
      </c>
      <c r="AK22" s="230" t="s">
        <v>339</v>
      </c>
      <c r="AL22" s="246">
        <v>6</v>
      </c>
      <c r="AM22" s="247">
        <v>2</v>
      </c>
      <c r="AN22" s="313"/>
      <c r="AO22" s="314" t="s">
        <v>650</v>
      </c>
      <c r="AP22" s="415">
        <v>8</v>
      </c>
      <c r="AQ22" s="436">
        <v>5</v>
      </c>
      <c r="AR22" s="163"/>
      <c r="AS22" s="202">
        <v>20</v>
      </c>
      <c r="AT22" s="219" t="s">
        <v>144</v>
      </c>
      <c r="AU22" s="220" t="s">
        <v>429</v>
      </c>
      <c r="AV22" s="408">
        <v>5</v>
      </c>
      <c r="AW22" s="409">
        <v>8</v>
      </c>
      <c r="AX22" s="229"/>
      <c r="AY22" s="230" t="s">
        <v>300</v>
      </c>
      <c r="AZ22" s="246">
        <v>7</v>
      </c>
      <c r="BA22" s="247">
        <v>4</v>
      </c>
      <c r="BB22" s="229"/>
      <c r="BC22" s="230" t="s">
        <v>165</v>
      </c>
      <c r="BD22" s="237">
        <v>1</v>
      </c>
      <c r="BE22" s="248">
        <v>2</v>
      </c>
      <c r="BF22" s="219" t="s">
        <v>144</v>
      </c>
      <c r="BG22" s="220" t="s">
        <v>394</v>
      </c>
      <c r="BH22" s="227">
        <v>2</v>
      </c>
      <c r="BI22" s="259">
        <v>6</v>
      </c>
      <c r="BJ22" s="219" t="s">
        <v>144</v>
      </c>
      <c r="BK22" s="220" t="s">
        <v>502</v>
      </c>
      <c r="BL22" s="434">
        <v>4</v>
      </c>
      <c r="BM22" s="435">
        <v>5</v>
      </c>
      <c r="BO22" s="202">
        <v>20</v>
      </c>
      <c r="BP22" s="313" t="s">
        <v>144</v>
      </c>
      <c r="BQ22" s="314" t="s">
        <v>717</v>
      </c>
      <c r="BR22" s="315">
        <v>5</v>
      </c>
      <c r="BS22" s="316">
        <v>1</v>
      </c>
      <c r="BT22" s="219"/>
      <c r="BU22" s="220" t="s">
        <v>429</v>
      </c>
      <c r="BV22" s="225">
        <v>6</v>
      </c>
      <c r="BW22" s="256">
        <v>5</v>
      </c>
      <c r="BX22" s="313" t="s">
        <v>144</v>
      </c>
      <c r="BY22" s="314" t="s">
        <v>685</v>
      </c>
      <c r="BZ22" s="318">
        <v>4</v>
      </c>
      <c r="CA22" s="319">
        <v>3</v>
      </c>
      <c r="CB22" s="219"/>
      <c r="CC22" s="220" t="s">
        <v>502</v>
      </c>
      <c r="CD22" s="225">
        <v>7</v>
      </c>
      <c r="CE22" s="256">
        <v>3</v>
      </c>
      <c r="CF22" s="233"/>
      <c r="CG22" s="234" t="s">
        <v>869</v>
      </c>
      <c r="CH22" s="261">
        <v>7</v>
      </c>
      <c r="CI22" s="262">
        <v>6</v>
      </c>
      <c r="CJ22" s="269"/>
      <c r="CK22" s="202">
        <v>20</v>
      </c>
      <c r="CL22" s="313"/>
      <c r="CM22" s="314" t="s">
        <v>580</v>
      </c>
      <c r="CN22" s="315">
        <v>6</v>
      </c>
      <c r="CO22" s="316">
        <v>2</v>
      </c>
      <c r="CP22" s="229" t="s">
        <v>144</v>
      </c>
      <c r="CQ22" s="230" t="s">
        <v>266</v>
      </c>
      <c r="CR22" s="239">
        <v>3</v>
      </c>
      <c r="CS22" s="240">
        <v>7</v>
      </c>
      <c r="CT22" s="313"/>
      <c r="CU22" s="314" t="s">
        <v>650</v>
      </c>
      <c r="CV22" s="322">
        <v>2</v>
      </c>
      <c r="CW22" s="323">
        <v>8</v>
      </c>
      <c r="CX22" s="229" t="s">
        <v>144</v>
      </c>
      <c r="CY22" s="230" t="s">
        <v>165</v>
      </c>
      <c r="CZ22" s="239">
        <v>5</v>
      </c>
      <c r="DA22" s="240">
        <v>6</v>
      </c>
      <c r="DB22" s="313"/>
      <c r="DC22" s="314" t="s">
        <v>611</v>
      </c>
      <c r="DD22" s="318">
        <v>4</v>
      </c>
      <c r="DE22" s="321">
        <v>2</v>
      </c>
      <c r="DF22" s="163"/>
      <c r="DG22" s="202">
        <v>20</v>
      </c>
      <c r="DH22" s="219" t="s">
        <v>144</v>
      </c>
      <c r="DI22" s="220" t="s">
        <v>394</v>
      </c>
      <c r="DJ22" s="227">
        <v>2</v>
      </c>
      <c r="DK22" s="228">
        <v>4</v>
      </c>
      <c r="DL22" s="229"/>
      <c r="DM22" s="230" t="s">
        <v>339</v>
      </c>
      <c r="DN22" s="239">
        <v>1</v>
      </c>
      <c r="DO22" s="240">
        <v>5</v>
      </c>
      <c r="DP22" s="229"/>
      <c r="DQ22" s="230" t="s">
        <v>226</v>
      </c>
      <c r="DR22" s="237">
        <v>3</v>
      </c>
      <c r="DS22" s="248">
        <v>4</v>
      </c>
      <c r="DT22" s="219" t="s">
        <v>144</v>
      </c>
      <c r="DU22" s="220" t="s">
        <v>463</v>
      </c>
      <c r="DV22" s="227">
        <v>2</v>
      </c>
      <c r="DW22" s="259">
        <v>6</v>
      </c>
      <c r="DX22" s="219" t="s">
        <v>144</v>
      </c>
      <c r="DY22" s="220" t="s">
        <v>539</v>
      </c>
      <c r="DZ22" s="225">
        <v>8</v>
      </c>
      <c r="EA22" s="226">
        <v>2</v>
      </c>
      <c r="EC22" s="202">
        <v>20</v>
      </c>
      <c r="ED22" s="313" t="s">
        <v>144</v>
      </c>
      <c r="EE22" s="314" t="s">
        <v>685</v>
      </c>
      <c r="EF22" s="311">
        <v>3</v>
      </c>
      <c r="EG22" s="312">
        <v>5</v>
      </c>
      <c r="EH22" s="219"/>
      <c r="EI22" s="220" t="s">
        <v>394</v>
      </c>
      <c r="EJ22" s="221">
        <v>5</v>
      </c>
      <c r="EK22" s="259">
        <v>8</v>
      </c>
      <c r="EL22" s="313" t="s">
        <v>144</v>
      </c>
      <c r="EM22" s="314" t="s">
        <v>580</v>
      </c>
      <c r="EN22" s="318">
        <v>18</v>
      </c>
      <c r="EO22" s="319">
        <v>2</v>
      </c>
      <c r="EP22" s="219"/>
      <c r="EQ22" s="220" t="s">
        <v>539</v>
      </c>
      <c r="ER22" s="225">
        <v>9</v>
      </c>
      <c r="ES22" s="256">
        <v>3</v>
      </c>
      <c r="ET22" s="233"/>
      <c r="EU22" s="234" t="s">
        <v>903</v>
      </c>
      <c r="EV22" s="261">
        <v>3</v>
      </c>
      <c r="EW22" s="262">
        <v>0</v>
      </c>
      <c r="EX22" s="269"/>
      <c r="EY22" s="202">
        <v>20</v>
      </c>
      <c r="EZ22" s="313"/>
      <c r="FA22" s="314" t="s">
        <v>650</v>
      </c>
      <c r="FB22" s="315">
        <v>1</v>
      </c>
      <c r="FC22" s="316">
        <v>0</v>
      </c>
      <c r="FD22" s="229" t="s">
        <v>144</v>
      </c>
      <c r="FE22" s="230" t="s">
        <v>300</v>
      </c>
      <c r="FF22" s="239">
        <v>3</v>
      </c>
      <c r="FG22" s="240">
        <v>9</v>
      </c>
      <c r="FH22" s="313"/>
      <c r="FI22" s="314" t="s">
        <v>611</v>
      </c>
      <c r="FJ22" s="322">
        <v>2</v>
      </c>
      <c r="FK22" s="323">
        <v>9</v>
      </c>
      <c r="FL22" s="229" t="s">
        <v>144</v>
      </c>
      <c r="FM22" s="230" t="s">
        <v>226</v>
      </c>
      <c r="FN22" s="246">
        <v>8</v>
      </c>
      <c r="FO22" s="247">
        <v>5</v>
      </c>
      <c r="FP22" s="313"/>
      <c r="FQ22" s="314" t="s">
        <v>717</v>
      </c>
      <c r="FR22" s="322">
        <v>2</v>
      </c>
      <c r="FS22" s="323">
        <v>9</v>
      </c>
      <c r="FT22" s="163"/>
      <c r="FU22" s="202">
        <v>20</v>
      </c>
      <c r="FV22" s="219" t="s">
        <v>144</v>
      </c>
      <c r="FW22" s="220" t="s">
        <v>463</v>
      </c>
      <c r="FX22" s="223">
        <v>9</v>
      </c>
      <c r="FY22" s="224">
        <v>2</v>
      </c>
      <c r="FZ22" s="229"/>
      <c r="GA22" s="230" t="s">
        <v>165</v>
      </c>
      <c r="GB22" s="246">
        <v>5</v>
      </c>
      <c r="GC22" s="247">
        <v>3</v>
      </c>
      <c r="GD22" s="229"/>
      <c r="GE22" s="230" t="s">
        <v>266</v>
      </c>
      <c r="GF22" s="237">
        <v>2</v>
      </c>
      <c r="GG22" s="248">
        <v>18</v>
      </c>
      <c r="GH22" s="219" t="s">
        <v>144</v>
      </c>
      <c r="GI22" s="220" t="s">
        <v>502</v>
      </c>
      <c r="GJ22" s="227">
        <v>0</v>
      </c>
      <c r="GK22" s="259">
        <v>1</v>
      </c>
      <c r="GL22" s="219" t="s">
        <v>144</v>
      </c>
      <c r="GM22" s="220" t="s">
        <v>429</v>
      </c>
      <c r="GN22" s="225">
        <v>9</v>
      </c>
      <c r="GO22" s="226">
        <v>2</v>
      </c>
    </row>
    <row r="23" spans="1:197">
      <c r="A23" s="202">
        <v>21</v>
      </c>
      <c r="B23" s="309"/>
      <c r="C23" s="310" t="s">
        <v>650</v>
      </c>
      <c r="D23" s="437">
        <v>0</v>
      </c>
      <c r="E23" s="438">
        <v>4</v>
      </c>
      <c r="F23" s="309" t="s">
        <v>144</v>
      </c>
      <c r="G23" s="310" t="s">
        <v>611</v>
      </c>
      <c r="H23" s="315">
        <v>3</v>
      </c>
      <c r="I23" s="317">
        <v>2</v>
      </c>
      <c r="J23" s="249"/>
      <c r="K23" s="250" t="s">
        <v>804</v>
      </c>
      <c r="L23" s="261">
        <v>5</v>
      </c>
      <c r="M23" s="266">
        <v>3</v>
      </c>
      <c r="N23" s="241" t="s">
        <v>144</v>
      </c>
      <c r="O23" s="242" t="s">
        <v>429</v>
      </c>
      <c r="P23" s="225">
        <v>4</v>
      </c>
      <c r="Q23" s="256">
        <v>0</v>
      </c>
      <c r="R23" s="309"/>
      <c r="S23" s="310" t="s">
        <v>580</v>
      </c>
      <c r="T23" s="318">
        <v>6</v>
      </c>
      <c r="U23" s="321">
        <v>5</v>
      </c>
      <c r="V23" s="163"/>
      <c r="W23" s="202">
        <v>21</v>
      </c>
      <c r="X23" s="309" t="s">
        <v>144</v>
      </c>
      <c r="Y23" s="310" t="s">
        <v>717</v>
      </c>
      <c r="Z23" s="311">
        <v>0</v>
      </c>
      <c r="AA23" s="312">
        <v>1</v>
      </c>
      <c r="AB23" s="309"/>
      <c r="AC23" s="310" t="s">
        <v>685</v>
      </c>
      <c r="AD23" s="437">
        <v>2</v>
      </c>
      <c r="AE23" s="438">
        <v>6</v>
      </c>
      <c r="AF23" s="249" t="s">
        <v>144</v>
      </c>
      <c r="AG23" s="250" t="s">
        <v>952</v>
      </c>
      <c r="AH23" s="261">
        <v>6</v>
      </c>
      <c r="AI23" s="262">
        <v>4</v>
      </c>
      <c r="AJ23" s="249"/>
      <c r="AK23" s="250" t="s">
        <v>990</v>
      </c>
      <c r="AL23" s="426">
        <v>8</v>
      </c>
      <c r="AM23" s="425">
        <v>1</v>
      </c>
      <c r="AN23" s="244"/>
      <c r="AO23" s="245" t="s">
        <v>226</v>
      </c>
      <c r="AP23" s="237">
        <v>0</v>
      </c>
      <c r="AQ23" s="248">
        <v>4</v>
      </c>
      <c r="AR23" s="163"/>
      <c r="AS23" s="202">
        <v>21</v>
      </c>
      <c r="AT23" s="244" t="s">
        <v>144</v>
      </c>
      <c r="AU23" s="245" t="s">
        <v>300</v>
      </c>
      <c r="AV23" s="402">
        <v>4</v>
      </c>
      <c r="AW23" s="400">
        <v>0</v>
      </c>
      <c r="AX23" s="244"/>
      <c r="AY23" s="245" t="s">
        <v>339</v>
      </c>
      <c r="AZ23" s="239">
        <v>2</v>
      </c>
      <c r="BA23" s="240">
        <v>3</v>
      </c>
      <c r="BB23" s="241"/>
      <c r="BC23" s="242" t="s">
        <v>394</v>
      </c>
      <c r="BD23" s="223">
        <v>1</v>
      </c>
      <c r="BE23" s="224">
        <v>0</v>
      </c>
      <c r="BF23" s="241" t="s">
        <v>144</v>
      </c>
      <c r="BG23" s="242" t="s">
        <v>463</v>
      </c>
      <c r="BH23" s="392">
        <v>6</v>
      </c>
      <c r="BI23" s="456">
        <v>2</v>
      </c>
      <c r="BJ23" s="244" t="s">
        <v>144</v>
      </c>
      <c r="BK23" s="245" t="s">
        <v>266</v>
      </c>
      <c r="BL23" s="239">
        <v>5</v>
      </c>
      <c r="BM23" s="240">
        <v>6</v>
      </c>
      <c r="BO23" s="202">
        <v>21</v>
      </c>
      <c r="BP23" s="309"/>
      <c r="BQ23" s="310" t="s">
        <v>611</v>
      </c>
      <c r="BR23" s="315">
        <v>9</v>
      </c>
      <c r="BS23" s="316">
        <v>2</v>
      </c>
      <c r="BT23" s="309" t="s">
        <v>144</v>
      </c>
      <c r="BU23" s="310" t="s">
        <v>717</v>
      </c>
      <c r="BV23" s="315">
        <v>4</v>
      </c>
      <c r="BW23" s="317">
        <v>1</v>
      </c>
      <c r="BX23" s="249"/>
      <c r="BY23" s="250" t="s">
        <v>835</v>
      </c>
      <c r="BZ23" s="254">
        <v>2</v>
      </c>
      <c r="CA23" s="267">
        <v>3</v>
      </c>
      <c r="CB23" s="241" t="s">
        <v>144</v>
      </c>
      <c r="CC23" s="242" t="s">
        <v>394</v>
      </c>
      <c r="CD23" s="221">
        <v>5</v>
      </c>
      <c r="CE23" s="259">
        <v>6</v>
      </c>
      <c r="CF23" s="309"/>
      <c r="CG23" s="310" t="s">
        <v>650</v>
      </c>
      <c r="CH23" s="318">
        <v>3</v>
      </c>
      <c r="CI23" s="321">
        <v>2</v>
      </c>
      <c r="CJ23" s="163"/>
      <c r="CK23" s="202">
        <v>21</v>
      </c>
      <c r="CL23" s="309" t="s">
        <v>144</v>
      </c>
      <c r="CM23" s="310" t="s">
        <v>685</v>
      </c>
      <c r="CN23" s="311">
        <v>3</v>
      </c>
      <c r="CO23" s="312">
        <v>12</v>
      </c>
      <c r="CP23" s="309"/>
      <c r="CQ23" s="310" t="s">
        <v>580</v>
      </c>
      <c r="CR23" s="311">
        <v>0</v>
      </c>
      <c r="CS23" s="312">
        <v>6</v>
      </c>
      <c r="CT23" s="249" t="s">
        <v>144</v>
      </c>
      <c r="CU23" s="250" t="s">
        <v>990</v>
      </c>
      <c r="CV23" s="254">
        <v>1</v>
      </c>
      <c r="CW23" s="260">
        <v>3</v>
      </c>
      <c r="CX23" s="249"/>
      <c r="CY23" s="250" t="s">
        <v>1062</v>
      </c>
      <c r="CZ23" s="251">
        <v>6</v>
      </c>
      <c r="DA23" s="257">
        <v>2</v>
      </c>
      <c r="DB23" s="244"/>
      <c r="DC23" s="245" t="s">
        <v>266</v>
      </c>
      <c r="DD23" s="231">
        <v>6</v>
      </c>
      <c r="DE23" s="232">
        <v>5</v>
      </c>
      <c r="DF23" s="163"/>
      <c r="DG23" s="202">
        <v>21</v>
      </c>
      <c r="DH23" s="244" t="s">
        <v>144</v>
      </c>
      <c r="DI23" s="245" t="s">
        <v>339</v>
      </c>
      <c r="DJ23" s="237">
        <v>2</v>
      </c>
      <c r="DK23" s="248">
        <v>9</v>
      </c>
      <c r="DL23" s="244"/>
      <c r="DM23" s="245" t="s">
        <v>165</v>
      </c>
      <c r="DN23" s="239">
        <v>1</v>
      </c>
      <c r="DO23" s="240">
        <v>4</v>
      </c>
      <c r="DP23" s="241"/>
      <c r="DQ23" s="242" t="s">
        <v>463</v>
      </c>
      <c r="DR23" s="223">
        <v>12</v>
      </c>
      <c r="DS23" s="224">
        <v>3</v>
      </c>
      <c r="DT23" s="241" t="s">
        <v>144</v>
      </c>
      <c r="DU23" s="242" t="s">
        <v>502</v>
      </c>
      <c r="DV23" s="225">
        <v>6</v>
      </c>
      <c r="DW23" s="256">
        <v>0</v>
      </c>
      <c r="DX23" s="244" t="s">
        <v>144</v>
      </c>
      <c r="DY23" s="245" t="s">
        <v>300</v>
      </c>
      <c r="DZ23" s="239">
        <v>2</v>
      </c>
      <c r="EA23" s="240">
        <v>3</v>
      </c>
      <c r="EC23" s="202">
        <v>21</v>
      </c>
      <c r="ED23" s="309"/>
      <c r="EE23" s="310" t="s">
        <v>717</v>
      </c>
      <c r="EF23" s="315">
        <v>8</v>
      </c>
      <c r="EG23" s="316">
        <v>4</v>
      </c>
      <c r="EH23" s="309" t="s">
        <v>144</v>
      </c>
      <c r="EI23" s="310" t="s">
        <v>685</v>
      </c>
      <c r="EJ23" s="315">
        <v>4</v>
      </c>
      <c r="EK23" s="317">
        <v>1</v>
      </c>
      <c r="EL23" s="249"/>
      <c r="EM23" s="250" t="s">
        <v>770</v>
      </c>
      <c r="EN23" s="261">
        <v>1</v>
      </c>
      <c r="EO23" s="266">
        <v>0</v>
      </c>
      <c r="EP23" s="241" t="s">
        <v>144</v>
      </c>
      <c r="EQ23" s="242" t="s">
        <v>463</v>
      </c>
      <c r="ER23" s="225">
        <v>5</v>
      </c>
      <c r="ES23" s="256">
        <v>4</v>
      </c>
      <c r="ET23" s="309"/>
      <c r="EU23" s="310" t="s">
        <v>611</v>
      </c>
      <c r="EV23" s="318">
        <v>4</v>
      </c>
      <c r="EW23" s="321">
        <v>3</v>
      </c>
      <c r="EX23" s="163"/>
      <c r="EY23" s="202">
        <v>21</v>
      </c>
      <c r="EZ23" s="309" t="s">
        <v>144</v>
      </c>
      <c r="FA23" s="310" t="s">
        <v>580</v>
      </c>
      <c r="FB23" s="311">
        <v>2</v>
      </c>
      <c r="FC23" s="312">
        <v>8</v>
      </c>
      <c r="FD23" s="309"/>
      <c r="FE23" s="310" t="s">
        <v>650</v>
      </c>
      <c r="FF23" s="315">
        <v>7</v>
      </c>
      <c r="FG23" s="316">
        <v>6</v>
      </c>
      <c r="FH23" s="249" t="s">
        <v>144</v>
      </c>
      <c r="FI23" s="250" t="s">
        <v>1062</v>
      </c>
      <c r="FJ23" s="261">
        <v>11</v>
      </c>
      <c r="FK23" s="262">
        <v>3</v>
      </c>
      <c r="FL23" s="249"/>
      <c r="FM23" s="250" t="s">
        <v>1025</v>
      </c>
      <c r="FN23" s="235">
        <v>2</v>
      </c>
      <c r="FO23" s="236">
        <v>4</v>
      </c>
      <c r="FP23" s="244"/>
      <c r="FQ23" s="245" t="s">
        <v>300</v>
      </c>
      <c r="FR23" s="237">
        <v>4</v>
      </c>
      <c r="FS23" s="248">
        <v>5</v>
      </c>
      <c r="FT23" s="163"/>
      <c r="FU23" s="202">
        <v>21</v>
      </c>
      <c r="FV23" s="244" t="s">
        <v>144</v>
      </c>
      <c r="FW23" s="245" t="s">
        <v>165</v>
      </c>
      <c r="FX23" s="237">
        <v>4</v>
      </c>
      <c r="FY23" s="248">
        <v>8</v>
      </c>
      <c r="FZ23" s="244"/>
      <c r="GA23" s="245" t="s">
        <v>226</v>
      </c>
      <c r="GB23" s="239">
        <v>1</v>
      </c>
      <c r="GC23" s="240">
        <v>4</v>
      </c>
      <c r="GD23" s="241"/>
      <c r="GE23" s="242" t="s">
        <v>502</v>
      </c>
      <c r="GF23" s="223">
        <v>8</v>
      </c>
      <c r="GG23" s="224">
        <v>2</v>
      </c>
      <c r="GH23" s="241" t="s">
        <v>144</v>
      </c>
      <c r="GI23" s="242" t="s">
        <v>539</v>
      </c>
      <c r="GJ23" s="221">
        <v>6</v>
      </c>
      <c r="GK23" s="259">
        <v>7</v>
      </c>
      <c r="GL23" s="244" t="s">
        <v>144</v>
      </c>
      <c r="GM23" s="245" t="s">
        <v>339</v>
      </c>
      <c r="GN23" s="239">
        <v>3</v>
      </c>
      <c r="GO23" s="240">
        <v>4</v>
      </c>
    </row>
    <row r="24" spans="1:197">
      <c r="A24" s="202">
        <v>22</v>
      </c>
      <c r="B24" s="313"/>
      <c r="C24" s="314" t="s">
        <v>650</v>
      </c>
      <c r="D24" s="422">
        <v>12</v>
      </c>
      <c r="E24" s="316">
        <v>7</v>
      </c>
      <c r="F24" s="313" t="s">
        <v>144</v>
      </c>
      <c r="G24" s="314" t="s">
        <v>611</v>
      </c>
      <c r="H24" s="437">
        <v>2</v>
      </c>
      <c r="I24" s="453">
        <v>4</v>
      </c>
      <c r="J24" s="233"/>
      <c r="K24" s="234" t="s">
        <v>804</v>
      </c>
      <c r="L24" s="254">
        <v>1</v>
      </c>
      <c r="M24" s="267">
        <v>3</v>
      </c>
      <c r="N24" s="219" t="s">
        <v>144</v>
      </c>
      <c r="O24" s="220" t="s">
        <v>429</v>
      </c>
      <c r="P24" s="221">
        <v>1</v>
      </c>
      <c r="Q24" s="259">
        <v>6</v>
      </c>
      <c r="R24" s="313"/>
      <c r="S24" s="314" t="s">
        <v>580</v>
      </c>
      <c r="T24" s="418">
        <v>5</v>
      </c>
      <c r="U24" s="419">
        <v>7</v>
      </c>
      <c r="V24" s="163"/>
      <c r="W24" s="202">
        <v>22</v>
      </c>
      <c r="X24" s="313" t="s">
        <v>144</v>
      </c>
      <c r="Y24" s="314" t="s">
        <v>717</v>
      </c>
      <c r="Z24" s="422">
        <v>4</v>
      </c>
      <c r="AA24" s="421">
        <v>3</v>
      </c>
      <c r="AB24" s="313"/>
      <c r="AC24" s="314" t="s">
        <v>685</v>
      </c>
      <c r="AD24" s="437">
        <v>5</v>
      </c>
      <c r="AE24" s="438">
        <v>7</v>
      </c>
      <c r="AF24" s="233" t="s">
        <v>144</v>
      </c>
      <c r="AG24" s="234" t="s">
        <v>952</v>
      </c>
      <c r="AH24" s="460">
        <v>4</v>
      </c>
      <c r="AI24" s="459">
        <v>0</v>
      </c>
      <c r="AJ24" s="233"/>
      <c r="AK24" s="234" t="s">
        <v>990</v>
      </c>
      <c r="AL24" s="430">
        <v>0</v>
      </c>
      <c r="AM24" s="429">
        <v>6</v>
      </c>
      <c r="AN24" s="229"/>
      <c r="AO24" s="230" t="s">
        <v>226</v>
      </c>
      <c r="AP24" s="231">
        <v>6</v>
      </c>
      <c r="AQ24" s="232">
        <v>1</v>
      </c>
      <c r="AR24" s="163"/>
      <c r="AS24" s="202">
        <v>22</v>
      </c>
      <c r="AT24" s="229" t="s">
        <v>144</v>
      </c>
      <c r="AU24" s="230" t="s">
        <v>300</v>
      </c>
      <c r="AV24" s="237">
        <v>7</v>
      </c>
      <c r="AW24" s="441">
        <v>12</v>
      </c>
      <c r="AX24" s="229"/>
      <c r="AY24" s="230" t="s">
        <v>339</v>
      </c>
      <c r="AZ24" s="433">
        <v>4</v>
      </c>
      <c r="BA24" s="464">
        <v>2</v>
      </c>
      <c r="BB24" s="219"/>
      <c r="BC24" s="220" t="s">
        <v>394</v>
      </c>
      <c r="BD24" s="408">
        <v>3</v>
      </c>
      <c r="BE24" s="409">
        <v>4</v>
      </c>
      <c r="BF24" s="219" t="s">
        <v>144</v>
      </c>
      <c r="BG24" s="220" t="s">
        <v>463</v>
      </c>
      <c r="BH24" s="410">
        <v>7</v>
      </c>
      <c r="BI24" s="456">
        <v>5</v>
      </c>
      <c r="BJ24" s="229" t="s">
        <v>144</v>
      </c>
      <c r="BK24" s="230" t="s">
        <v>266</v>
      </c>
      <c r="BL24" s="433">
        <v>7</v>
      </c>
      <c r="BM24" s="464">
        <v>5</v>
      </c>
      <c r="BO24" s="202">
        <v>22</v>
      </c>
      <c r="BP24" s="313"/>
      <c r="BQ24" s="314" t="s">
        <v>611</v>
      </c>
      <c r="BR24" s="311">
        <v>3</v>
      </c>
      <c r="BS24" s="312">
        <v>8</v>
      </c>
      <c r="BT24" s="313" t="s">
        <v>144</v>
      </c>
      <c r="BU24" s="314" t="s">
        <v>717</v>
      </c>
      <c r="BV24" s="315">
        <v>10</v>
      </c>
      <c r="BW24" s="317">
        <v>1</v>
      </c>
      <c r="BX24" s="233"/>
      <c r="BY24" s="234" t="s">
        <v>835</v>
      </c>
      <c r="BZ24" s="261">
        <v>7</v>
      </c>
      <c r="CA24" s="266">
        <v>6</v>
      </c>
      <c r="CB24" s="219" t="s">
        <v>144</v>
      </c>
      <c r="CC24" s="220" t="s">
        <v>394</v>
      </c>
      <c r="CD24" s="225">
        <v>1</v>
      </c>
      <c r="CE24" s="256">
        <v>0</v>
      </c>
      <c r="CF24" s="313"/>
      <c r="CG24" s="314" t="s">
        <v>650</v>
      </c>
      <c r="CH24" s="318">
        <v>13</v>
      </c>
      <c r="CI24" s="321">
        <v>2</v>
      </c>
      <c r="CJ24" s="163"/>
      <c r="CK24" s="202">
        <v>22</v>
      </c>
      <c r="CL24" s="313" t="s">
        <v>144</v>
      </c>
      <c r="CM24" s="314" t="s">
        <v>685</v>
      </c>
      <c r="CN24" s="311">
        <v>2</v>
      </c>
      <c r="CO24" s="312">
        <v>8</v>
      </c>
      <c r="CP24" s="313"/>
      <c r="CQ24" s="314" t="s">
        <v>580</v>
      </c>
      <c r="CR24" s="315">
        <v>5</v>
      </c>
      <c r="CS24" s="316">
        <v>4</v>
      </c>
      <c r="CT24" s="233" t="s">
        <v>144</v>
      </c>
      <c r="CU24" s="234" t="s">
        <v>990</v>
      </c>
      <c r="CV24" s="254">
        <v>2</v>
      </c>
      <c r="CW24" s="260">
        <v>5</v>
      </c>
      <c r="CX24" s="233"/>
      <c r="CY24" s="234" t="s">
        <v>1062</v>
      </c>
      <c r="CZ24" s="235">
        <v>0</v>
      </c>
      <c r="DA24" s="236">
        <v>5</v>
      </c>
      <c r="DB24" s="229"/>
      <c r="DC24" s="230" t="s">
        <v>266</v>
      </c>
      <c r="DD24" s="237">
        <v>0</v>
      </c>
      <c r="DE24" s="248">
        <v>1</v>
      </c>
      <c r="DF24" s="163"/>
      <c r="DG24" s="202">
        <v>22</v>
      </c>
      <c r="DH24" s="229" t="s">
        <v>144</v>
      </c>
      <c r="DI24" s="230" t="s">
        <v>339</v>
      </c>
      <c r="DJ24" s="231">
        <v>8</v>
      </c>
      <c r="DK24" s="232">
        <v>3</v>
      </c>
      <c r="DL24" s="229"/>
      <c r="DM24" s="230" t="s">
        <v>165</v>
      </c>
      <c r="DN24" s="239">
        <v>1</v>
      </c>
      <c r="DO24" s="240">
        <v>10</v>
      </c>
      <c r="DP24" s="219"/>
      <c r="DQ24" s="220" t="s">
        <v>463</v>
      </c>
      <c r="DR24" s="223">
        <v>8</v>
      </c>
      <c r="DS24" s="224">
        <v>2</v>
      </c>
      <c r="DT24" s="219" t="s">
        <v>144</v>
      </c>
      <c r="DU24" s="220" t="s">
        <v>502</v>
      </c>
      <c r="DV24" s="227">
        <v>4</v>
      </c>
      <c r="DW24" s="259">
        <v>5</v>
      </c>
      <c r="DX24" s="229" t="s">
        <v>144</v>
      </c>
      <c r="DY24" s="230" t="s">
        <v>300</v>
      </c>
      <c r="DZ24" s="239">
        <v>2</v>
      </c>
      <c r="EA24" s="240">
        <v>13</v>
      </c>
      <c r="EC24" s="202">
        <v>22</v>
      </c>
      <c r="ED24" s="313"/>
      <c r="EE24" s="314" t="s">
        <v>717</v>
      </c>
      <c r="EF24" s="315">
        <v>8</v>
      </c>
      <c r="EG24" s="316">
        <v>3</v>
      </c>
      <c r="EH24" s="313" t="s">
        <v>144</v>
      </c>
      <c r="EI24" s="314" t="s">
        <v>685</v>
      </c>
      <c r="EJ24" s="315">
        <v>15</v>
      </c>
      <c r="EK24" s="317">
        <v>1</v>
      </c>
      <c r="EL24" s="233"/>
      <c r="EM24" s="234" t="s">
        <v>770</v>
      </c>
      <c r="EN24" s="254">
        <v>3</v>
      </c>
      <c r="EO24" s="267">
        <v>4</v>
      </c>
      <c r="EP24" s="219" t="s">
        <v>144</v>
      </c>
      <c r="EQ24" s="220" t="s">
        <v>463</v>
      </c>
      <c r="ER24" s="221">
        <v>4</v>
      </c>
      <c r="ES24" s="259">
        <v>7</v>
      </c>
      <c r="ET24" s="313"/>
      <c r="EU24" s="314" t="s">
        <v>611</v>
      </c>
      <c r="EV24" s="318">
        <v>5</v>
      </c>
      <c r="EW24" s="321">
        <v>4</v>
      </c>
      <c r="EX24" s="163"/>
      <c r="EY24" s="202">
        <v>22</v>
      </c>
      <c r="EZ24" s="313" t="s">
        <v>144</v>
      </c>
      <c r="FA24" s="314" t="s">
        <v>580</v>
      </c>
      <c r="FB24" s="311">
        <v>7</v>
      </c>
      <c r="FC24" s="312">
        <v>10</v>
      </c>
      <c r="FD24" s="313"/>
      <c r="FE24" s="314" t="s">
        <v>650</v>
      </c>
      <c r="FF24" s="315">
        <v>5</v>
      </c>
      <c r="FG24" s="316">
        <v>4</v>
      </c>
      <c r="FH24" s="233" t="s">
        <v>144</v>
      </c>
      <c r="FI24" s="234" t="s">
        <v>1062</v>
      </c>
      <c r="FJ24" s="254">
        <v>1</v>
      </c>
      <c r="FK24" s="260">
        <v>3</v>
      </c>
      <c r="FL24" s="233"/>
      <c r="FM24" s="234" t="s">
        <v>1025</v>
      </c>
      <c r="FN24" s="251">
        <v>6</v>
      </c>
      <c r="FO24" s="257">
        <v>0</v>
      </c>
      <c r="FP24" s="229"/>
      <c r="FQ24" s="230" t="s">
        <v>300</v>
      </c>
      <c r="FR24" s="231">
        <v>7</v>
      </c>
      <c r="FS24" s="232">
        <v>4</v>
      </c>
      <c r="FT24" s="163"/>
      <c r="FU24" s="202">
        <v>22</v>
      </c>
      <c r="FV24" s="229" t="s">
        <v>144</v>
      </c>
      <c r="FW24" s="230" t="s">
        <v>165</v>
      </c>
      <c r="FX24" s="237">
        <v>3</v>
      </c>
      <c r="FY24" s="248">
        <v>8</v>
      </c>
      <c r="FZ24" s="229"/>
      <c r="GA24" s="230" t="s">
        <v>226</v>
      </c>
      <c r="GB24" s="239">
        <v>1</v>
      </c>
      <c r="GC24" s="240">
        <v>15</v>
      </c>
      <c r="GD24" s="219"/>
      <c r="GE24" s="220" t="s">
        <v>502</v>
      </c>
      <c r="GF24" s="223">
        <v>10</v>
      </c>
      <c r="GG24" s="224">
        <v>7</v>
      </c>
      <c r="GH24" s="219" t="s">
        <v>144</v>
      </c>
      <c r="GI24" s="220" t="s">
        <v>539</v>
      </c>
      <c r="GJ24" s="227">
        <v>4</v>
      </c>
      <c r="GK24" s="259">
        <v>5</v>
      </c>
      <c r="GL24" s="229" t="s">
        <v>144</v>
      </c>
      <c r="GM24" s="230" t="s">
        <v>339</v>
      </c>
      <c r="GN24" s="239">
        <v>4</v>
      </c>
      <c r="GO24" s="240">
        <v>5</v>
      </c>
    </row>
    <row r="25" spans="1:197">
      <c r="A25" s="202">
        <v>23</v>
      </c>
      <c r="B25" s="241" t="s">
        <v>144</v>
      </c>
      <c r="C25" s="242" t="s">
        <v>539</v>
      </c>
      <c r="D25" s="434">
        <v>1</v>
      </c>
      <c r="E25" s="435">
        <v>2</v>
      </c>
      <c r="F25" s="309" t="s">
        <v>144</v>
      </c>
      <c r="G25" s="310" t="s">
        <v>650</v>
      </c>
      <c r="H25" s="437">
        <v>6</v>
      </c>
      <c r="I25" s="453">
        <v>7</v>
      </c>
      <c r="J25" s="309"/>
      <c r="K25" s="310" t="s">
        <v>611</v>
      </c>
      <c r="L25" s="322">
        <v>2</v>
      </c>
      <c r="M25" s="324">
        <v>4</v>
      </c>
      <c r="N25" s="249"/>
      <c r="O25" s="250" t="s">
        <v>835</v>
      </c>
      <c r="P25" s="251">
        <v>7</v>
      </c>
      <c r="Q25" s="252">
        <v>2</v>
      </c>
      <c r="R25" s="249" t="s">
        <v>144</v>
      </c>
      <c r="S25" s="250" t="s">
        <v>770</v>
      </c>
      <c r="T25" s="254">
        <v>1</v>
      </c>
      <c r="U25" s="462">
        <v>2</v>
      </c>
      <c r="V25" s="269"/>
      <c r="W25" s="202">
        <v>23</v>
      </c>
      <c r="X25" s="309" t="s">
        <v>144</v>
      </c>
      <c r="Y25" s="310" t="s">
        <v>580</v>
      </c>
      <c r="Z25" s="437">
        <v>1</v>
      </c>
      <c r="AA25" s="438">
        <v>8</v>
      </c>
      <c r="AB25" s="309"/>
      <c r="AC25" s="310" t="s">
        <v>717</v>
      </c>
      <c r="AD25" s="315">
        <v>6</v>
      </c>
      <c r="AE25" s="316">
        <v>5</v>
      </c>
      <c r="AF25" s="309" t="s">
        <v>144</v>
      </c>
      <c r="AG25" s="310" t="s">
        <v>685</v>
      </c>
      <c r="AH25" s="318">
        <v>4</v>
      </c>
      <c r="AI25" s="321">
        <v>2</v>
      </c>
      <c r="AJ25" s="244"/>
      <c r="AK25" s="245" t="s">
        <v>300</v>
      </c>
      <c r="AL25" s="433">
        <v>2</v>
      </c>
      <c r="AM25" s="464">
        <v>1</v>
      </c>
      <c r="AN25" s="249"/>
      <c r="AO25" s="250" t="s">
        <v>1062</v>
      </c>
      <c r="AP25" s="261">
        <v>7</v>
      </c>
      <c r="AQ25" s="262">
        <v>1</v>
      </c>
      <c r="AR25" s="269"/>
      <c r="AS25" s="202">
        <v>23</v>
      </c>
      <c r="AT25" s="244"/>
      <c r="AU25" s="245" t="s">
        <v>339</v>
      </c>
      <c r="AV25" s="402">
        <v>7</v>
      </c>
      <c r="AW25" s="400">
        <v>6</v>
      </c>
      <c r="AX25" s="244" t="s">
        <v>144</v>
      </c>
      <c r="AY25" s="245" t="s">
        <v>165</v>
      </c>
      <c r="AZ25" s="246">
        <v>4</v>
      </c>
      <c r="BA25" s="247">
        <v>2</v>
      </c>
      <c r="BB25" s="241" t="s">
        <v>144</v>
      </c>
      <c r="BC25" s="242" t="s">
        <v>463</v>
      </c>
      <c r="BD25" s="227">
        <v>5</v>
      </c>
      <c r="BE25" s="228">
        <v>6</v>
      </c>
      <c r="BF25" s="241"/>
      <c r="BG25" s="242" t="s">
        <v>502</v>
      </c>
      <c r="BH25" s="221">
        <v>2</v>
      </c>
      <c r="BI25" s="259">
        <v>4</v>
      </c>
      <c r="BJ25" s="241"/>
      <c r="BK25" s="242" t="s">
        <v>394</v>
      </c>
      <c r="BL25" s="392">
        <v>8</v>
      </c>
      <c r="BM25" s="390">
        <v>1</v>
      </c>
      <c r="BO25" s="202">
        <v>23</v>
      </c>
      <c r="BP25" s="241" t="s">
        <v>144</v>
      </c>
      <c r="BQ25" s="242" t="s">
        <v>429</v>
      </c>
      <c r="BR25" s="225">
        <v>4</v>
      </c>
      <c r="BS25" s="226">
        <v>2</v>
      </c>
      <c r="BT25" s="309" t="s">
        <v>144</v>
      </c>
      <c r="BU25" s="310" t="s">
        <v>611</v>
      </c>
      <c r="BV25" s="311">
        <v>4</v>
      </c>
      <c r="BW25" s="320">
        <v>8</v>
      </c>
      <c r="BX25" s="309"/>
      <c r="BY25" s="310" t="s">
        <v>717</v>
      </c>
      <c r="BZ25" s="322">
        <v>1</v>
      </c>
      <c r="CA25" s="324">
        <v>5</v>
      </c>
      <c r="CB25" s="249"/>
      <c r="CC25" s="250" t="s">
        <v>770</v>
      </c>
      <c r="CD25" s="251">
        <v>2</v>
      </c>
      <c r="CE25" s="252">
        <v>1</v>
      </c>
      <c r="CF25" s="249" t="s">
        <v>144</v>
      </c>
      <c r="CG25" s="250" t="s">
        <v>869</v>
      </c>
      <c r="CH25" s="261">
        <v>5</v>
      </c>
      <c r="CI25" s="262">
        <v>1</v>
      </c>
      <c r="CJ25" s="269"/>
      <c r="CK25" s="202">
        <v>23</v>
      </c>
      <c r="CL25" s="309" t="s">
        <v>144</v>
      </c>
      <c r="CM25" s="310" t="s">
        <v>650</v>
      </c>
      <c r="CN25" s="311">
        <v>2</v>
      </c>
      <c r="CO25" s="312">
        <v>3</v>
      </c>
      <c r="CP25" s="309"/>
      <c r="CQ25" s="310" t="s">
        <v>685</v>
      </c>
      <c r="CR25" s="315">
        <v>13</v>
      </c>
      <c r="CS25" s="316">
        <v>1</v>
      </c>
      <c r="CT25" s="309" t="s">
        <v>144</v>
      </c>
      <c r="CU25" s="310" t="s">
        <v>580</v>
      </c>
      <c r="CV25" s="318">
        <v>8</v>
      </c>
      <c r="CW25" s="321">
        <v>4</v>
      </c>
      <c r="CX25" s="244"/>
      <c r="CY25" s="245" t="s">
        <v>339</v>
      </c>
      <c r="CZ25" s="239">
        <v>2</v>
      </c>
      <c r="DA25" s="240">
        <v>4</v>
      </c>
      <c r="DB25" s="249"/>
      <c r="DC25" s="250" t="s">
        <v>1025</v>
      </c>
      <c r="DD25" s="261">
        <v>2</v>
      </c>
      <c r="DE25" s="262">
        <v>1</v>
      </c>
      <c r="DF25" s="269"/>
      <c r="DG25" s="202">
        <v>23</v>
      </c>
      <c r="DH25" s="244"/>
      <c r="DI25" s="245" t="s">
        <v>165</v>
      </c>
      <c r="DJ25" s="231">
        <v>8</v>
      </c>
      <c r="DK25" s="232">
        <v>4</v>
      </c>
      <c r="DL25" s="244" t="s">
        <v>144</v>
      </c>
      <c r="DM25" s="245" t="s">
        <v>226</v>
      </c>
      <c r="DN25" s="246">
        <v>5</v>
      </c>
      <c r="DO25" s="247">
        <v>1</v>
      </c>
      <c r="DP25" s="241" t="s">
        <v>144</v>
      </c>
      <c r="DQ25" s="242" t="s">
        <v>502</v>
      </c>
      <c r="DR25" s="227">
        <v>1</v>
      </c>
      <c r="DS25" s="228">
        <v>13</v>
      </c>
      <c r="DT25" s="241"/>
      <c r="DU25" s="242" t="s">
        <v>539</v>
      </c>
      <c r="DV25" s="221">
        <v>4</v>
      </c>
      <c r="DW25" s="259">
        <v>8</v>
      </c>
      <c r="DX25" s="241"/>
      <c r="DY25" s="242" t="s">
        <v>463</v>
      </c>
      <c r="DZ25" s="225">
        <v>3</v>
      </c>
      <c r="EA25" s="226">
        <v>2</v>
      </c>
      <c r="EC25" s="202">
        <v>23</v>
      </c>
      <c r="ED25" s="241" t="s">
        <v>144</v>
      </c>
      <c r="EE25" s="242" t="s">
        <v>394</v>
      </c>
      <c r="EF25" s="225">
        <v>12</v>
      </c>
      <c r="EG25" s="226">
        <v>4</v>
      </c>
      <c r="EH25" s="309" t="s">
        <v>144</v>
      </c>
      <c r="EI25" s="310" t="s">
        <v>717</v>
      </c>
      <c r="EJ25" s="315">
        <v>13</v>
      </c>
      <c r="EK25" s="317">
        <v>6</v>
      </c>
      <c r="EL25" s="309"/>
      <c r="EM25" s="310" t="s">
        <v>685</v>
      </c>
      <c r="EN25" s="322">
        <v>8</v>
      </c>
      <c r="EO25" s="324">
        <v>12</v>
      </c>
      <c r="EP25" s="249"/>
      <c r="EQ25" s="250" t="s">
        <v>869</v>
      </c>
      <c r="ER25" s="251">
        <v>2</v>
      </c>
      <c r="ES25" s="252">
        <v>0</v>
      </c>
      <c r="ET25" s="249" t="s">
        <v>144</v>
      </c>
      <c r="EU25" s="250" t="s">
        <v>903</v>
      </c>
      <c r="EV25" s="254">
        <v>0</v>
      </c>
      <c r="EW25" s="260">
        <v>3</v>
      </c>
      <c r="EX25" s="269"/>
      <c r="EY25" s="202">
        <v>23</v>
      </c>
      <c r="EZ25" s="309" t="s">
        <v>144</v>
      </c>
      <c r="FA25" s="310" t="s">
        <v>611</v>
      </c>
      <c r="FB25" s="315">
        <v>9</v>
      </c>
      <c r="FC25" s="316">
        <v>3</v>
      </c>
      <c r="FD25" s="309"/>
      <c r="FE25" s="310" t="s">
        <v>580</v>
      </c>
      <c r="FF25" s="315">
        <v>4</v>
      </c>
      <c r="FG25" s="316">
        <v>2</v>
      </c>
      <c r="FH25" s="309" t="s">
        <v>144</v>
      </c>
      <c r="FI25" s="310" t="s">
        <v>650</v>
      </c>
      <c r="FJ25" s="318">
        <v>5</v>
      </c>
      <c r="FK25" s="321">
        <v>1</v>
      </c>
      <c r="FL25" s="244"/>
      <c r="FM25" s="245" t="s">
        <v>165</v>
      </c>
      <c r="FN25" s="239">
        <v>4</v>
      </c>
      <c r="FO25" s="240">
        <v>12</v>
      </c>
      <c r="FP25" s="249"/>
      <c r="FQ25" s="250" t="s">
        <v>1096</v>
      </c>
      <c r="FR25" s="261">
        <v>5</v>
      </c>
      <c r="FS25" s="262">
        <v>3</v>
      </c>
      <c r="FT25" s="269"/>
      <c r="FU25" s="202">
        <v>23</v>
      </c>
      <c r="FV25" s="244"/>
      <c r="FW25" s="245" t="s">
        <v>226</v>
      </c>
      <c r="FX25" s="237">
        <v>6</v>
      </c>
      <c r="FY25" s="248">
        <v>13</v>
      </c>
      <c r="FZ25" s="244" t="s">
        <v>144</v>
      </c>
      <c r="GA25" s="245" t="s">
        <v>266</v>
      </c>
      <c r="GB25" s="246">
        <v>12</v>
      </c>
      <c r="GC25" s="247">
        <v>8</v>
      </c>
      <c r="GD25" s="241" t="s">
        <v>144</v>
      </c>
      <c r="GE25" s="242" t="s">
        <v>539</v>
      </c>
      <c r="GF25" s="227">
        <v>2</v>
      </c>
      <c r="GG25" s="228">
        <v>4</v>
      </c>
      <c r="GH25" s="241"/>
      <c r="GI25" s="242" t="s">
        <v>429</v>
      </c>
      <c r="GJ25" s="221">
        <v>1</v>
      </c>
      <c r="GK25" s="259">
        <v>5</v>
      </c>
      <c r="GL25" s="241"/>
      <c r="GM25" s="242" t="s">
        <v>502</v>
      </c>
      <c r="GN25" s="221">
        <v>3</v>
      </c>
      <c r="GO25" s="222">
        <v>9</v>
      </c>
    </row>
    <row r="26" spans="1:197">
      <c r="A26" s="202">
        <v>24</v>
      </c>
      <c r="B26" s="219" t="s">
        <v>144</v>
      </c>
      <c r="C26" s="220" t="s">
        <v>539</v>
      </c>
      <c r="D26" s="392">
        <v>4</v>
      </c>
      <c r="E26" s="390">
        <v>1</v>
      </c>
      <c r="F26" s="313" t="s">
        <v>144</v>
      </c>
      <c r="G26" s="314" t="s">
        <v>650</v>
      </c>
      <c r="H26" s="437">
        <v>1</v>
      </c>
      <c r="I26" s="453">
        <v>3</v>
      </c>
      <c r="J26" s="313"/>
      <c r="K26" s="314" t="s">
        <v>611</v>
      </c>
      <c r="L26" s="415">
        <v>7</v>
      </c>
      <c r="M26" s="474">
        <v>6</v>
      </c>
      <c r="N26" s="233"/>
      <c r="O26" s="234" t="s">
        <v>835</v>
      </c>
      <c r="P26" s="235">
        <v>2</v>
      </c>
      <c r="Q26" s="255">
        <v>6</v>
      </c>
      <c r="R26" s="233" t="s">
        <v>144</v>
      </c>
      <c r="S26" s="234" t="s">
        <v>770</v>
      </c>
      <c r="T26" s="460">
        <v>4</v>
      </c>
      <c r="U26" s="459">
        <v>2</v>
      </c>
      <c r="V26" s="269"/>
      <c r="W26" s="202">
        <v>24</v>
      </c>
      <c r="X26" s="313" t="s">
        <v>144</v>
      </c>
      <c r="Y26" s="314" t="s">
        <v>580</v>
      </c>
      <c r="Z26" s="311">
        <v>2</v>
      </c>
      <c r="AA26" s="312">
        <v>4</v>
      </c>
      <c r="AB26" s="313"/>
      <c r="AC26" s="314" t="s">
        <v>717</v>
      </c>
      <c r="AD26" s="315">
        <v>11</v>
      </c>
      <c r="AE26" s="316">
        <v>4</v>
      </c>
      <c r="AF26" s="313" t="s">
        <v>144</v>
      </c>
      <c r="AG26" s="314" t="s">
        <v>685</v>
      </c>
      <c r="AH26" s="322">
        <v>1</v>
      </c>
      <c r="AI26" s="323">
        <v>5</v>
      </c>
      <c r="AJ26" s="229"/>
      <c r="AK26" s="230" t="s">
        <v>300</v>
      </c>
      <c r="AL26" s="394">
        <v>1</v>
      </c>
      <c r="AM26" s="396">
        <v>4</v>
      </c>
      <c r="AN26" s="233"/>
      <c r="AO26" s="234" t="s">
        <v>1062</v>
      </c>
      <c r="AP26" s="254">
        <v>2</v>
      </c>
      <c r="AQ26" s="260">
        <v>4</v>
      </c>
      <c r="AR26" s="269"/>
      <c r="AS26" s="202">
        <v>24</v>
      </c>
      <c r="AT26" s="229"/>
      <c r="AU26" s="230" t="s">
        <v>339</v>
      </c>
      <c r="AV26" s="402">
        <v>3</v>
      </c>
      <c r="AW26" s="400">
        <v>1</v>
      </c>
      <c r="AX26" s="229" t="s">
        <v>144</v>
      </c>
      <c r="AY26" s="230" t="s">
        <v>165</v>
      </c>
      <c r="AZ26" s="394">
        <v>6</v>
      </c>
      <c r="BA26" s="396">
        <v>7</v>
      </c>
      <c r="BB26" s="219" t="s">
        <v>144</v>
      </c>
      <c r="BC26" s="220" t="s">
        <v>463</v>
      </c>
      <c r="BD26" s="227">
        <v>4</v>
      </c>
      <c r="BE26" s="228">
        <v>11</v>
      </c>
      <c r="BF26" s="219"/>
      <c r="BG26" s="220" t="s">
        <v>502</v>
      </c>
      <c r="BH26" s="223">
        <v>5</v>
      </c>
      <c r="BI26" s="256">
        <v>1</v>
      </c>
      <c r="BJ26" s="219"/>
      <c r="BK26" s="220" t="s">
        <v>394</v>
      </c>
      <c r="BL26" s="225">
        <v>4</v>
      </c>
      <c r="BM26" s="226">
        <v>2</v>
      </c>
      <c r="BO26" s="202">
        <v>24</v>
      </c>
      <c r="BP26" s="219" t="s">
        <v>144</v>
      </c>
      <c r="BQ26" s="220" t="s">
        <v>429</v>
      </c>
      <c r="BR26" s="221">
        <v>2</v>
      </c>
      <c r="BS26" s="222">
        <v>6</v>
      </c>
      <c r="BT26" s="313" t="s">
        <v>144</v>
      </c>
      <c r="BU26" s="314" t="s">
        <v>611</v>
      </c>
      <c r="BV26" s="315">
        <v>7</v>
      </c>
      <c r="BW26" s="317">
        <v>4</v>
      </c>
      <c r="BX26" s="313"/>
      <c r="BY26" s="314" t="s">
        <v>717</v>
      </c>
      <c r="BZ26" s="318">
        <v>7</v>
      </c>
      <c r="CA26" s="319">
        <v>6</v>
      </c>
      <c r="CB26" s="233"/>
      <c r="CC26" s="234" t="s">
        <v>770</v>
      </c>
      <c r="CD26" s="251">
        <v>5</v>
      </c>
      <c r="CE26" s="252">
        <v>2</v>
      </c>
      <c r="CF26" s="233" t="s">
        <v>144</v>
      </c>
      <c r="CG26" s="234" t="s">
        <v>869</v>
      </c>
      <c r="CH26" s="254">
        <v>2</v>
      </c>
      <c r="CI26" s="260">
        <v>3</v>
      </c>
      <c r="CJ26" s="269"/>
      <c r="CK26" s="202">
        <v>24</v>
      </c>
      <c r="CL26" s="313" t="s">
        <v>144</v>
      </c>
      <c r="CM26" s="314" t="s">
        <v>650</v>
      </c>
      <c r="CN26" s="311">
        <v>1</v>
      </c>
      <c r="CO26" s="312">
        <v>2</v>
      </c>
      <c r="CP26" s="313"/>
      <c r="CQ26" s="314" t="s">
        <v>685</v>
      </c>
      <c r="CR26" s="311">
        <v>3</v>
      </c>
      <c r="CS26" s="312">
        <v>4</v>
      </c>
      <c r="CT26" s="313" t="s">
        <v>144</v>
      </c>
      <c r="CU26" s="314" t="s">
        <v>580</v>
      </c>
      <c r="CV26" s="318">
        <v>8</v>
      </c>
      <c r="CW26" s="321">
        <v>2</v>
      </c>
      <c r="CX26" s="229"/>
      <c r="CY26" s="230" t="s">
        <v>339</v>
      </c>
      <c r="CZ26" s="246">
        <v>6</v>
      </c>
      <c r="DA26" s="247">
        <v>2</v>
      </c>
      <c r="DB26" s="233"/>
      <c r="DC26" s="234" t="s">
        <v>1025</v>
      </c>
      <c r="DD26" s="261">
        <v>10</v>
      </c>
      <c r="DE26" s="262">
        <v>1</v>
      </c>
      <c r="DF26" s="269"/>
      <c r="DG26" s="202">
        <v>24</v>
      </c>
      <c r="DH26" s="229"/>
      <c r="DI26" s="230" t="s">
        <v>165</v>
      </c>
      <c r="DJ26" s="237">
        <v>4</v>
      </c>
      <c r="DK26" s="248">
        <v>7</v>
      </c>
      <c r="DL26" s="229" t="s">
        <v>144</v>
      </c>
      <c r="DM26" s="230" t="s">
        <v>226</v>
      </c>
      <c r="DN26" s="239">
        <v>6</v>
      </c>
      <c r="DO26" s="240">
        <v>7</v>
      </c>
      <c r="DP26" s="219" t="s">
        <v>144</v>
      </c>
      <c r="DQ26" s="220" t="s">
        <v>502</v>
      </c>
      <c r="DR26" s="223">
        <v>4</v>
      </c>
      <c r="DS26" s="224">
        <v>3</v>
      </c>
      <c r="DT26" s="219"/>
      <c r="DU26" s="220" t="s">
        <v>539</v>
      </c>
      <c r="DV26" s="227">
        <v>2</v>
      </c>
      <c r="DW26" s="259">
        <v>8</v>
      </c>
      <c r="DX26" s="219"/>
      <c r="DY26" s="220" t="s">
        <v>463</v>
      </c>
      <c r="DZ26" s="225">
        <v>2</v>
      </c>
      <c r="EA26" s="226">
        <v>1</v>
      </c>
      <c r="EC26" s="202">
        <v>24</v>
      </c>
      <c r="ED26" s="219" t="s">
        <v>144</v>
      </c>
      <c r="EE26" s="220" t="s">
        <v>394</v>
      </c>
      <c r="EF26" s="221">
        <v>5</v>
      </c>
      <c r="EG26" s="222">
        <v>6</v>
      </c>
      <c r="EH26" s="313" t="s">
        <v>144</v>
      </c>
      <c r="EI26" s="314" t="s">
        <v>717</v>
      </c>
      <c r="EJ26" s="315">
        <v>5</v>
      </c>
      <c r="EK26" s="317">
        <v>4</v>
      </c>
      <c r="EL26" s="313"/>
      <c r="EM26" s="314" t="s">
        <v>685</v>
      </c>
      <c r="EN26" s="322">
        <v>0</v>
      </c>
      <c r="EO26" s="324">
        <v>5</v>
      </c>
      <c r="EP26" s="233"/>
      <c r="EQ26" s="234" t="s">
        <v>869</v>
      </c>
      <c r="ER26" s="235">
        <v>3</v>
      </c>
      <c r="ES26" s="255">
        <v>4</v>
      </c>
      <c r="ET26" s="233" t="s">
        <v>144</v>
      </c>
      <c r="EU26" s="234" t="s">
        <v>903</v>
      </c>
      <c r="EV26" s="254">
        <v>5</v>
      </c>
      <c r="EW26" s="260">
        <v>7</v>
      </c>
      <c r="EX26" s="269"/>
      <c r="EY26" s="202">
        <v>24</v>
      </c>
      <c r="EZ26" s="313" t="s">
        <v>144</v>
      </c>
      <c r="FA26" s="314" t="s">
        <v>611</v>
      </c>
      <c r="FB26" s="311">
        <v>1</v>
      </c>
      <c r="FC26" s="312">
        <v>2</v>
      </c>
      <c r="FD26" s="313"/>
      <c r="FE26" s="314" t="s">
        <v>580</v>
      </c>
      <c r="FF26" s="315">
        <v>6</v>
      </c>
      <c r="FG26" s="316">
        <v>4</v>
      </c>
      <c r="FH26" s="313" t="s">
        <v>144</v>
      </c>
      <c r="FI26" s="314" t="s">
        <v>650</v>
      </c>
      <c r="FJ26" s="322">
        <v>5</v>
      </c>
      <c r="FK26" s="323">
        <v>6</v>
      </c>
      <c r="FL26" s="229"/>
      <c r="FM26" s="230" t="s">
        <v>165</v>
      </c>
      <c r="FN26" s="246">
        <v>6</v>
      </c>
      <c r="FO26" s="247">
        <v>5</v>
      </c>
      <c r="FP26" s="233"/>
      <c r="FQ26" s="234" t="s">
        <v>1096</v>
      </c>
      <c r="FR26" s="254">
        <v>2</v>
      </c>
      <c r="FS26" s="260">
        <v>9</v>
      </c>
      <c r="FT26" s="269"/>
      <c r="FU26" s="202">
        <v>24</v>
      </c>
      <c r="FV26" s="229"/>
      <c r="FW26" s="230" t="s">
        <v>226</v>
      </c>
      <c r="FX26" s="237">
        <v>4</v>
      </c>
      <c r="FY26" s="248">
        <v>5</v>
      </c>
      <c r="FZ26" s="229" t="s">
        <v>144</v>
      </c>
      <c r="GA26" s="230" t="s">
        <v>266</v>
      </c>
      <c r="GB26" s="246">
        <v>5</v>
      </c>
      <c r="GC26" s="247">
        <v>0</v>
      </c>
      <c r="GD26" s="219" t="s">
        <v>144</v>
      </c>
      <c r="GE26" s="220" t="s">
        <v>539</v>
      </c>
      <c r="GF26" s="227">
        <v>4</v>
      </c>
      <c r="GG26" s="228">
        <v>6</v>
      </c>
      <c r="GH26" s="219"/>
      <c r="GI26" s="220" t="s">
        <v>429</v>
      </c>
      <c r="GJ26" s="223">
        <v>6</v>
      </c>
      <c r="GK26" s="256">
        <v>5</v>
      </c>
      <c r="GL26" s="219"/>
      <c r="GM26" s="220" t="s">
        <v>502</v>
      </c>
      <c r="GN26" s="225">
        <v>2</v>
      </c>
      <c r="GO26" s="226">
        <v>1</v>
      </c>
    </row>
    <row r="27" spans="1:197">
      <c r="A27" s="202">
        <v>25</v>
      </c>
      <c r="B27" s="309"/>
      <c r="C27" s="310" t="s">
        <v>580</v>
      </c>
      <c r="D27" s="422">
        <v>2</v>
      </c>
      <c r="E27" s="421">
        <v>1</v>
      </c>
      <c r="F27" s="249"/>
      <c r="G27" s="250" t="s">
        <v>903</v>
      </c>
      <c r="H27" s="235">
        <v>2</v>
      </c>
      <c r="I27" s="255">
        <v>3</v>
      </c>
      <c r="J27" s="309"/>
      <c r="K27" s="310" t="s">
        <v>650</v>
      </c>
      <c r="L27" s="415">
        <v>7</v>
      </c>
      <c r="M27" s="474">
        <v>2</v>
      </c>
      <c r="N27" s="309" t="s">
        <v>144</v>
      </c>
      <c r="O27" s="310" t="s">
        <v>611</v>
      </c>
      <c r="P27" s="311">
        <v>4</v>
      </c>
      <c r="Q27" s="320">
        <v>5</v>
      </c>
      <c r="R27" s="241"/>
      <c r="S27" s="242" t="s">
        <v>463</v>
      </c>
      <c r="T27" s="223">
        <v>6</v>
      </c>
      <c r="U27" s="224">
        <v>5</v>
      </c>
      <c r="V27" s="163"/>
      <c r="W27" s="202">
        <v>25</v>
      </c>
      <c r="X27" s="249"/>
      <c r="Y27" s="250" t="s">
        <v>1025</v>
      </c>
      <c r="Z27" s="426">
        <v>2</v>
      </c>
      <c r="AA27" s="425">
        <v>1</v>
      </c>
      <c r="AB27" s="244" t="s">
        <v>144</v>
      </c>
      <c r="AC27" s="245" t="s">
        <v>266</v>
      </c>
      <c r="AD27" s="239">
        <v>5</v>
      </c>
      <c r="AE27" s="240">
        <v>6</v>
      </c>
      <c r="AF27" s="309"/>
      <c r="AG27" s="310" t="s">
        <v>717</v>
      </c>
      <c r="AH27" s="415">
        <v>8</v>
      </c>
      <c r="AI27" s="436">
        <v>3</v>
      </c>
      <c r="AJ27" s="309" t="s">
        <v>144</v>
      </c>
      <c r="AK27" s="310" t="s">
        <v>685</v>
      </c>
      <c r="AL27" s="437">
        <v>1</v>
      </c>
      <c r="AM27" s="438">
        <v>2</v>
      </c>
      <c r="AN27" s="249" t="s">
        <v>144</v>
      </c>
      <c r="AO27" s="250" t="s">
        <v>1062</v>
      </c>
      <c r="AP27" s="254">
        <v>2</v>
      </c>
      <c r="AQ27" s="260">
        <v>14</v>
      </c>
      <c r="AR27" s="269"/>
      <c r="AS27" s="202">
        <v>25</v>
      </c>
      <c r="AT27" s="244" t="s">
        <v>144</v>
      </c>
      <c r="AU27" s="245" t="s">
        <v>165</v>
      </c>
      <c r="AV27" s="440">
        <v>2</v>
      </c>
      <c r="AW27" s="441">
        <v>7</v>
      </c>
      <c r="AX27" s="244"/>
      <c r="AY27" s="245" t="s">
        <v>226</v>
      </c>
      <c r="AZ27" s="246">
        <v>5</v>
      </c>
      <c r="BA27" s="247">
        <v>4</v>
      </c>
      <c r="BB27" s="241" t="s">
        <v>144</v>
      </c>
      <c r="BC27" s="242" t="s">
        <v>502</v>
      </c>
      <c r="BD27" s="408">
        <v>3</v>
      </c>
      <c r="BE27" s="409">
        <v>8</v>
      </c>
      <c r="BF27" s="241"/>
      <c r="BG27" s="242" t="s">
        <v>539</v>
      </c>
      <c r="BH27" s="392">
        <v>2</v>
      </c>
      <c r="BI27" s="456">
        <v>1</v>
      </c>
      <c r="BJ27" s="244" t="s">
        <v>144</v>
      </c>
      <c r="BK27" s="245" t="s">
        <v>300</v>
      </c>
      <c r="BL27" s="394">
        <v>1</v>
      </c>
      <c r="BM27" s="396">
        <v>2</v>
      </c>
      <c r="BO27" s="202">
        <v>25</v>
      </c>
      <c r="BP27" s="309"/>
      <c r="BQ27" s="310" t="s">
        <v>650</v>
      </c>
      <c r="BR27" s="315">
        <v>4</v>
      </c>
      <c r="BS27" s="316">
        <v>1</v>
      </c>
      <c r="BT27" s="249"/>
      <c r="BU27" s="250" t="s">
        <v>804</v>
      </c>
      <c r="BV27" s="251">
        <v>6</v>
      </c>
      <c r="BW27" s="252">
        <v>1</v>
      </c>
      <c r="BX27" s="309"/>
      <c r="BY27" s="310" t="s">
        <v>611</v>
      </c>
      <c r="BZ27" s="318">
        <v>3</v>
      </c>
      <c r="CA27" s="319">
        <v>1</v>
      </c>
      <c r="CB27" s="309" t="s">
        <v>144</v>
      </c>
      <c r="CC27" s="310" t="s">
        <v>717</v>
      </c>
      <c r="CD27" s="315">
        <v>5</v>
      </c>
      <c r="CE27" s="317">
        <v>1</v>
      </c>
      <c r="CF27" s="241"/>
      <c r="CG27" s="242" t="s">
        <v>502</v>
      </c>
      <c r="CH27" s="227">
        <v>2</v>
      </c>
      <c r="CI27" s="228">
        <v>14</v>
      </c>
      <c r="CJ27" s="163"/>
      <c r="CK27" s="202">
        <v>25</v>
      </c>
      <c r="CL27" s="249"/>
      <c r="CM27" s="250" t="s">
        <v>1096</v>
      </c>
      <c r="CN27" s="235">
        <v>4</v>
      </c>
      <c r="CO27" s="236">
        <v>13</v>
      </c>
      <c r="CP27" s="244" t="s">
        <v>144</v>
      </c>
      <c r="CQ27" s="245" t="s">
        <v>300</v>
      </c>
      <c r="CR27" s="246">
        <v>14</v>
      </c>
      <c r="CS27" s="247">
        <v>2</v>
      </c>
      <c r="CT27" s="309"/>
      <c r="CU27" s="310" t="s">
        <v>685</v>
      </c>
      <c r="CV27" s="318">
        <v>3</v>
      </c>
      <c r="CW27" s="321">
        <v>2</v>
      </c>
      <c r="CX27" s="309" t="s">
        <v>144</v>
      </c>
      <c r="CY27" s="310" t="s">
        <v>580</v>
      </c>
      <c r="CZ27" s="315">
        <v>5</v>
      </c>
      <c r="DA27" s="316">
        <v>2</v>
      </c>
      <c r="DB27" s="249" t="s">
        <v>144</v>
      </c>
      <c r="DC27" s="250" t="s">
        <v>1025</v>
      </c>
      <c r="DD27" s="254">
        <v>3</v>
      </c>
      <c r="DE27" s="260">
        <v>4</v>
      </c>
      <c r="DF27" s="269"/>
      <c r="DG27" s="202">
        <v>25</v>
      </c>
      <c r="DH27" s="244" t="s">
        <v>144</v>
      </c>
      <c r="DI27" s="245" t="s">
        <v>226</v>
      </c>
      <c r="DJ27" s="237">
        <v>1</v>
      </c>
      <c r="DK27" s="248">
        <v>3</v>
      </c>
      <c r="DL27" s="244"/>
      <c r="DM27" s="245" t="s">
        <v>266</v>
      </c>
      <c r="DN27" s="239">
        <v>1</v>
      </c>
      <c r="DO27" s="240">
        <v>5</v>
      </c>
      <c r="DP27" s="241" t="s">
        <v>144</v>
      </c>
      <c r="DQ27" s="242" t="s">
        <v>539</v>
      </c>
      <c r="DR27" s="227">
        <v>2</v>
      </c>
      <c r="DS27" s="228">
        <v>3</v>
      </c>
      <c r="DT27" s="241"/>
      <c r="DU27" s="242" t="s">
        <v>429</v>
      </c>
      <c r="DV27" s="221">
        <v>2</v>
      </c>
      <c r="DW27" s="259">
        <v>5</v>
      </c>
      <c r="DX27" s="244" t="s">
        <v>144</v>
      </c>
      <c r="DY27" s="245" t="s">
        <v>339</v>
      </c>
      <c r="DZ27" s="239">
        <v>1</v>
      </c>
      <c r="EA27" s="240">
        <v>4</v>
      </c>
      <c r="EC27" s="202">
        <v>25</v>
      </c>
      <c r="ED27" s="309"/>
      <c r="EE27" s="310" t="s">
        <v>611</v>
      </c>
      <c r="EF27" s="311">
        <v>1</v>
      </c>
      <c r="EG27" s="312">
        <v>2</v>
      </c>
      <c r="EH27" s="249"/>
      <c r="EI27" s="250" t="s">
        <v>835</v>
      </c>
      <c r="EJ27" s="235">
        <v>3</v>
      </c>
      <c r="EK27" s="255">
        <v>7</v>
      </c>
      <c r="EL27" s="309"/>
      <c r="EM27" s="310" t="s">
        <v>717</v>
      </c>
      <c r="EN27" s="322">
        <v>4</v>
      </c>
      <c r="EO27" s="324">
        <v>8</v>
      </c>
      <c r="EP27" s="309" t="s">
        <v>144</v>
      </c>
      <c r="EQ27" s="310" t="s">
        <v>685</v>
      </c>
      <c r="ER27" s="311">
        <v>3</v>
      </c>
      <c r="ES27" s="320">
        <v>13</v>
      </c>
      <c r="ET27" s="241"/>
      <c r="EU27" s="242" t="s">
        <v>539</v>
      </c>
      <c r="EV27" s="223">
        <v>3</v>
      </c>
      <c r="EW27" s="224">
        <v>0</v>
      </c>
      <c r="EX27" s="163"/>
      <c r="EY27" s="202">
        <v>25</v>
      </c>
      <c r="EZ27" s="249"/>
      <c r="FA27" s="250" t="s">
        <v>952</v>
      </c>
      <c r="FB27" s="235">
        <v>2</v>
      </c>
      <c r="FC27" s="236">
        <v>6</v>
      </c>
      <c r="FD27" s="244" t="s">
        <v>144</v>
      </c>
      <c r="FE27" s="245" t="s">
        <v>339</v>
      </c>
      <c r="FF27" s="239">
        <v>0</v>
      </c>
      <c r="FG27" s="240">
        <v>3</v>
      </c>
      <c r="FH27" s="309"/>
      <c r="FI27" s="310" t="s">
        <v>580</v>
      </c>
      <c r="FJ27" s="322">
        <v>2</v>
      </c>
      <c r="FK27" s="323">
        <v>3</v>
      </c>
      <c r="FL27" s="309" t="s">
        <v>144</v>
      </c>
      <c r="FM27" s="310" t="s">
        <v>650</v>
      </c>
      <c r="FN27" s="315">
        <v>7</v>
      </c>
      <c r="FO27" s="316">
        <v>1</v>
      </c>
      <c r="FP27" s="249" t="s">
        <v>144</v>
      </c>
      <c r="FQ27" s="250" t="s">
        <v>1096</v>
      </c>
      <c r="FR27" s="254">
        <v>1</v>
      </c>
      <c r="FS27" s="260">
        <v>7</v>
      </c>
      <c r="FT27" s="269"/>
      <c r="FU27" s="202">
        <v>25</v>
      </c>
      <c r="FV27" s="244" t="s">
        <v>144</v>
      </c>
      <c r="FW27" s="245" t="s">
        <v>266</v>
      </c>
      <c r="FX27" s="231">
        <v>8</v>
      </c>
      <c r="FY27" s="232">
        <v>4</v>
      </c>
      <c r="FZ27" s="244"/>
      <c r="GA27" s="245" t="s">
        <v>300</v>
      </c>
      <c r="GB27" s="246">
        <v>13</v>
      </c>
      <c r="GC27" s="247">
        <v>3</v>
      </c>
      <c r="GD27" s="241" t="s">
        <v>144</v>
      </c>
      <c r="GE27" s="242" t="s">
        <v>429</v>
      </c>
      <c r="GF27" s="223">
        <v>3</v>
      </c>
      <c r="GG27" s="224">
        <v>2</v>
      </c>
      <c r="GH27" s="241"/>
      <c r="GI27" s="242" t="s">
        <v>394</v>
      </c>
      <c r="GJ27" s="221">
        <v>1</v>
      </c>
      <c r="GK27" s="259">
        <v>7</v>
      </c>
      <c r="GL27" s="244" t="s">
        <v>144</v>
      </c>
      <c r="GM27" s="245" t="s">
        <v>165</v>
      </c>
      <c r="GN27" s="246">
        <v>2</v>
      </c>
      <c r="GO27" s="247">
        <v>1</v>
      </c>
    </row>
    <row r="28" spans="1:197">
      <c r="A28" s="202">
        <v>26</v>
      </c>
      <c r="B28" s="313"/>
      <c r="C28" s="314" t="s">
        <v>580</v>
      </c>
      <c r="D28" s="437">
        <v>5</v>
      </c>
      <c r="E28" s="438">
        <v>13</v>
      </c>
      <c r="F28" s="233"/>
      <c r="G28" s="234" t="s">
        <v>903</v>
      </c>
      <c r="H28" s="426">
        <v>8</v>
      </c>
      <c r="I28" s="469">
        <v>2</v>
      </c>
      <c r="J28" s="313"/>
      <c r="K28" s="314" t="s">
        <v>650</v>
      </c>
      <c r="L28" s="418">
        <v>0</v>
      </c>
      <c r="M28" s="467">
        <v>5</v>
      </c>
      <c r="N28" s="313" t="s">
        <v>144</v>
      </c>
      <c r="O28" s="314" t="s">
        <v>611</v>
      </c>
      <c r="P28" s="422">
        <v>8</v>
      </c>
      <c r="Q28" s="414">
        <v>4</v>
      </c>
      <c r="R28" s="219"/>
      <c r="S28" s="220" t="s">
        <v>463</v>
      </c>
      <c r="T28" s="227">
        <v>6</v>
      </c>
      <c r="U28" s="228">
        <v>7</v>
      </c>
      <c r="V28" s="163"/>
      <c r="W28" s="202">
        <v>26</v>
      </c>
      <c r="X28" s="233"/>
      <c r="Y28" s="234" t="s">
        <v>1025</v>
      </c>
      <c r="Z28" s="426">
        <v>4</v>
      </c>
      <c r="AA28" s="425">
        <v>1</v>
      </c>
      <c r="AB28" s="229" t="s">
        <v>144</v>
      </c>
      <c r="AC28" s="230" t="s">
        <v>266</v>
      </c>
      <c r="AD28" s="246">
        <v>7</v>
      </c>
      <c r="AE28" s="247">
        <v>6</v>
      </c>
      <c r="AF28" s="313"/>
      <c r="AG28" s="314" t="s">
        <v>717</v>
      </c>
      <c r="AH28" s="415">
        <v>7</v>
      </c>
      <c r="AI28" s="436">
        <v>5</v>
      </c>
      <c r="AJ28" s="313" t="s">
        <v>144</v>
      </c>
      <c r="AK28" s="314" t="s">
        <v>685</v>
      </c>
      <c r="AL28" s="422">
        <v>16</v>
      </c>
      <c r="AM28" s="421">
        <v>3</v>
      </c>
      <c r="AN28" s="233" t="s">
        <v>144</v>
      </c>
      <c r="AO28" s="234" t="s">
        <v>1062</v>
      </c>
      <c r="AP28" s="461">
        <v>3</v>
      </c>
      <c r="AQ28" s="462">
        <v>7</v>
      </c>
      <c r="AR28" s="269"/>
      <c r="AS28" s="202">
        <v>26</v>
      </c>
      <c r="AT28" s="229" t="s">
        <v>144</v>
      </c>
      <c r="AU28" s="230" t="s">
        <v>165</v>
      </c>
      <c r="AV28" s="402">
        <v>5</v>
      </c>
      <c r="AW28" s="400">
        <v>0</v>
      </c>
      <c r="AX28" s="229"/>
      <c r="AY28" s="230" t="s">
        <v>226</v>
      </c>
      <c r="AZ28" s="394">
        <v>4</v>
      </c>
      <c r="BA28" s="396">
        <v>8</v>
      </c>
      <c r="BB28" s="219" t="s">
        <v>144</v>
      </c>
      <c r="BC28" s="220" t="s">
        <v>502</v>
      </c>
      <c r="BD28" s="408">
        <v>5</v>
      </c>
      <c r="BE28" s="409">
        <v>7</v>
      </c>
      <c r="BF28" s="219"/>
      <c r="BG28" s="220" t="s">
        <v>539</v>
      </c>
      <c r="BH28" s="408">
        <v>3</v>
      </c>
      <c r="BI28" s="451">
        <v>16</v>
      </c>
      <c r="BJ28" s="229" t="s">
        <v>144</v>
      </c>
      <c r="BK28" s="230" t="s">
        <v>300</v>
      </c>
      <c r="BL28" s="433">
        <v>13</v>
      </c>
      <c r="BM28" s="464">
        <v>5</v>
      </c>
      <c r="BO28" s="202">
        <v>26</v>
      </c>
      <c r="BP28" s="313"/>
      <c r="BQ28" s="314" t="s">
        <v>650</v>
      </c>
      <c r="BR28" s="311">
        <v>0</v>
      </c>
      <c r="BS28" s="312">
        <v>6</v>
      </c>
      <c r="BT28" s="233"/>
      <c r="BU28" s="234" t="s">
        <v>804</v>
      </c>
      <c r="BV28" s="251">
        <v>12</v>
      </c>
      <c r="BW28" s="252">
        <v>4</v>
      </c>
      <c r="BX28" s="313"/>
      <c r="BY28" s="314" t="s">
        <v>611</v>
      </c>
      <c r="BZ28" s="318">
        <v>3</v>
      </c>
      <c r="CA28" s="319">
        <v>2</v>
      </c>
      <c r="CB28" s="313" t="s">
        <v>144</v>
      </c>
      <c r="CC28" s="314" t="s">
        <v>717</v>
      </c>
      <c r="CD28" s="315">
        <v>4</v>
      </c>
      <c r="CE28" s="317">
        <v>2</v>
      </c>
      <c r="CF28" s="219"/>
      <c r="CG28" s="220" t="s">
        <v>502</v>
      </c>
      <c r="CH28" s="223">
        <v>5</v>
      </c>
      <c r="CI28" s="224">
        <v>4</v>
      </c>
      <c r="CJ28" s="163"/>
      <c r="CK28" s="202">
        <v>26</v>
      </c>
      <c r="CL28" s="233"/>
      <c r="CM28" s="234" t="s">
        <v>1096</v>
      </c>
      <c r="CN28" s="251">
        <v>6</v>
      </c>
      <c r="CO28" s="257">
        <v>5</v>
      </c>
      <c r="CP28" s="229" t="s">
        <v>144</v>
      </c>
      <c r="CQ28" s="230" t="s">
        <v>300</v>
      </c>
      <c r="CR28" s="239">
        <v>4</v>
      </c>
      <c r="CS28" s="240">
        <v>5</v>
      </c>
      <c r="CT28" s="313"/>
      <c r="CU28" s="314" t="s">
        <v>685</v>
      </c>
      <c r="CV28" s="322">
        <v>2</v>
      </c>
      <c r="CW28" s="323">
        <v>5</v>
      </c>
      <c r="CX28" s="313" t="s">
        <v>144</v>
      </c>
      <c r="CY28" s="314" t="s">
        <v>580</v>
      </c>
      <c r="CZ28" s="311">
        <v>3</v>
      </c>
      <c r="DA28" s="312">
        <v>5</v>
      </c>
      <c r="DB28" s="233" t="s">
        <v>144</v>
      </c>
      <c r="DC28" s="234" t="s">
        <v>1025</v>
      </c>
      <c r="DD28" s="261">
        <v>4</v>
      </c>
      <c r="DE28" s="262">
        <v>3</v>
      </c>
      <c r="DF28" s="269"/>
      <c r="DG28" s="202">
        <v>26</v>
      </c>
      <c r="DH28" s="229" t="s">
        <v>144</v>
      </c>
      <c r="DI28" s="230" t="s">
        <v>226</v>
      </c>
      <c r="DJ28" s="237">
        <v>2</v>
      </c>
      <c r="DK28" s="248">
        <v>3</v>
      </c>
      <c r="DL28" s="229"/>
      <c r="DM28" s="230" t="s">
        <v>266</v>
      </c>
      <c r="DN28" s="239">
        <v>2</v>
      </c>
      <c r="DO28" s="240">
        <v>5</v>
      </c>
      <c r="DP28" s="219" t="s">
        <v>144</v>
      </c>
      <c r="DQ28" s="220" t="s">
        <v>539</v>
      </c>
      <c r="DR28" s="223">
        <v>5</v>
      </c>
      <c r="DS28" s="224">
        <v>2</v>
      </c>
      <c r="DT28" s="219"/>
      <c r="DU28" s="220" t="s">
        <v>429</v>
      </c>
      <c r="DV28" s="223">
        <v>5</v>
      </c>
      <c r="DW28" s="256">
        <v>3</v>
      </c>
      <c r="DX28" s="229" t="s">
        <v>144</v>
      </c>
      <c r="DY28" s="230" t="s">
        <v>339</v>
      </c>
      <c r="DZ28" s="246">
        <v>6</v>
      </c>
      <c r="EA28" s="247">
        <v>0</v>
      </c>
      <c r="EC28" s="202">
        <v>26</v>
      </c>
      <c r="ED28" s="313"/>
      <c r="EE28" s="314" t="s">
        <v>611</v>
      </c>
      <c r="EF28" s="315">
        <v>6</v>
      </c>
      <c r="EG28" s="316">
        <v>0</v>
      </c>
      <c r="EH28" s="233"/>
      <c r="EI28" s="234" t="s">
        <v>835</v>
      </c>
      <c r="EJ28" s="235">
        <v>0</v>
      </c>
      <c r="EK28" s="255">
        <v>9</v>
      </c>
      <c r="EL28" s="313"/>
      <c r="EM28" s="314" t="s">
        <v>717</v>
      </c>
      <c r="EN28" s="318">
        <v>2</v>
      </c>
      <c r="EO28" s="319">
        <v>1</v>
      </c>
      <c r="EP28" s="313" t="s">
        <v>144</v>
      </c>
      <c r="EQ28" s="314" t="s">
        <v>685</v>
      </c>
      <c r="ER28" s="311">
        <v>3</v>
      </c>
      <c r="ES28" s="320">
        <v>4</v>
      </c>
      <c r="ET28" s="219"/>
      <c r="EU28" s="220" t="s">
        <v>539</v>
      </c>
      <c r="EV28" s="227">
        <v>1</v>
      </c>
      <c r="EW28" s="228">
        <v>3</v>
      </c>
      <c r="EX28" s="163"/>
      <c r="EY28" s="202">
        <v>26</v>
      </c>
      <c r="EZ28" s="233"/>
      <c r="FA28" s="234" t="s">
        <v>952</v>
      </c>
      <c r="FB28" s="235">
        <v>1</v>
      </c>
      <c r="FC28" s="236">
        <v>4</v>
      </c>
      <c r="FD28" s="229" t="s">
        <v>144</v>
      </c>
      <c r="FE28" s="230" t="s">
        <v>339</v>
      </c>
      <c r="FF28" s="246">
        <v>3</v>
      </c>
      <c r="FG28" s="247">
        <v>1</v>
      </c>
      <c r="FH28" s="313"/>
      <c r="FI28" s="314" t="s">
        <v>580</v>
      </c>
      <c r="FJ28" s="322">
        <v>3</v>
      </c>
      <c r="FK28" s="323">
        <v>6</v>
      </c>
      <c r="FL28" s="313" t="s">
        <v>144</v>
      </c>
      <c r="FM28" s="314" t="s">
        <v>650</v>
      </c>
      <c r="FN28" s="311">
        <v>3</v>
      </c>
      <c r="FO28" s="312">
        <v>4</v>
      </c>
      <c r="FP28" s="233" t="s">
        <v>144</v>
      </c>
      <c r="FQ28" s="234" t="s">
        <v>1096</v>
      </c>
      <c r="FR28" s="261">
        <v>6</v>
      </c>
      <c r="FS28" s="262">
        <v>4</v>
      </c>
      <c r="FT28" s="269"/>
      <c r="FU28" s="202">
        <v>26</v>
      </c>
      <c r="FV28" s="229" t="s">
        <v>144</v>
      </c>
      <c r="FW28" s="230" t="s">
        <v>266</v>
      </c>
      <c r="FX28" s="237">
        <v>1</v>
      </c>
      <c r="FY28" s="248">
        <v>2</v>
      </c>
      <c r="FZ28" s="229"/>
      <c r="GA28" s="230" t="s">
        <v>300</v>
      </c>
      <c r="GB28" s="246">
        <v>4</v>
      </c>
      <c r="GC28" s="247">
        <v>3</v>
      </c>
      <c r="GD28" s="219" t="s">
        <v>144</v>
      </c>
      <c r="GE28" s="220" t="s">
        <v>429</v>
      </c>
      <c r="GF28" s="223">
        <v>6</v>
      </c>
      <c r="GG28" s="224">
        <v>3</v>
      </c>
      <c r="GH28" s="219"/>
      <c r="GI28" s="220" t="s">
        <v>394</v>
      </c>
      <c r="GJ28" s="223">
        <v>4</v>
      </c>
      <c r="GK28" s="256">
        <v>3</v>
      </c>
      <c r="GL28" s="229" t="s">
        <v>144</v>
      </c>
      <c r="GM28" s="230" t="s">
        <v>165</v>
      </c>
      <c r="GN28" s="239">
        <v>0</v>
      </c>
      <c r="GO28" s="240">
        <v>6</v>
      </c>
    </row>
    <row r="29" spans="1:197">
      <c r="A29" s="202">
        <v>27</v>
      </c>
      <c r="B29" s="249" t="s">
        <v>144</v>
      </c>
      <c r="C29" s="250" t="s">
        <v>869</v>
      </c>
      <c r="D29" s="251">
        <v>4</v>
      </c>
      <c r="E29" s="257">
        <v>3</v>
      </c>
      <c r="F29" s="241"/>
      <c r="G29" s="242" t="s">
        <v>394</v>
      </c>
      <c r="H29" s="225">
        <v>6</v>
      </c>
      <c r="I29" s="256">
        <v>4</v>
      </c>
      <c r="J29" s="309" t="s">
        <v>144</v>
      </c>
      <c r="K29" s="310" t="s">
        <v>580</v>
      </c>
      <c r="L29" s="418">
        <v>1</v>
      </c>
      <c r="M29" s="467">
        <v>7</v>
      </c>
      <c r="N29" s="309"/>
      <c r="O29" s="310" t="s">
        <v>650</v>
      </c>
      <c r="P29" s="311">
        <v>4</v>
      </c>
      <c r="Q29" s="320">
        <v>5</v>
      </c>
      <c r="R29" s="309" t="s">
        <v>144</v>
      </c>
      <c r="S29" s="310" t="s">
        <v>611</v>
      </c>
      <c r="T29" s="415">
        <v>1</v>
      </c>
      <c r="U29" s="436">
        <v>0</v>
      </c>
      <c r="V29" s="163"/>
      <c r="W29" s="202">
        <v>27</v>
      </c>
      <c r="X29" s="244" t="s">
        <v>144</v>
      </c>
      <c r="Y29" s="245" t="s">
        <v>339</v>
      </c>
      <c r="Z29" s="239">
        <v>4</v>
      </c>
      <c r="AA29" s="240">
        <v>6</v>
      </c>
      <c r="AB29" s="249" t="s">
        <v>144</v>
      </c>
      <c r="AC29" s="250" t="s">
        <v>1096</v>
      </c>
      <c r="AD29" s="251">
        <v>3</v>
      </c>
      <c r="AE29" s="257">
        <v>2</v>
      </c>
      <c r="AF29" s="249"/>
      <c r="AG29" s="250" t="s">
        <v>952</v>
      </c>
      <c r="AH29" s="254">
        <v>1</v>
      </c>
      <c r="AI29" s="260">
        <v>2</v>
      </c>
      <c r="AJ29" s="309" t="s">
        <v>144</v>
      </c>
      <c r="AK29" s="310" t="s">
        <v>717</v>
      </c>
      <c r="AL29" s="422">
        <v>2</v>
      </c>
      <c r="AM29" s="421">
        <v>1</v>
      </c>
      <c r="AN29" s="309" t="s">
        <v>144</v>
      </c>
      <c r="AO29" s="310" t="s">
        <v>685</v>
      </c>
      <c r="AP29" s="415">
        <v>12</v>
      </c>
      <c r="AQ29" s="474">
        <v>7</v>
      </c>
      <c r="AR29" s="163"/>
      <c r="AS29" s="202">
        <v>27</v>
      </c>
      <c r="AT29" s="244" t="s">
        <v>144</v>
      </c>
      <c r="AU29" s="245" t="s">
        <v>226</v>
      </c>
      <c r="AV29" s="231">
        <v>5</v>
      </c>
      <c r="AW29" s="232">
        <v>4</v>
      </c>
      <c r="AX29" s="244"/>
      <c r="AY29" s="245" t="s">
        <v>266</v>
      </c>
      <c r="AZ29" s="394">
        <v>0</v>
      </c>
      <c r="BA29" s="396">
        <v>1</v>
      </c>
      <c r="BB29" s="241"/>
      <c r="BC29" s="242" t="s">
        <v>539</v>
      </c>
      <c r="BD29" s="408">
        <v>1</v>
      </c>
      <c r="BE29" s="409">
        <v>2</v>
      </c>
      <c r="BF29" s="241"/>
      <c r="BG29" s="242" t="s">
        <v>429</v>
      </c>
      <c r="BH29" s="434">
        <v>7</v>
      </c>
      <c r="BI29" s="451">
        <v>12</v>
      </c>
      <c r="BJ29" s="244"/>
      <c r="BK29" s="245" t="s">
        <v>165</v>
      </c>
      <c r="BL29" s="433">
        <v>7</v>
      </c>
      <c r="BM29" s="464">
        <v>1</v>
      </c>
      <c r="BO29" s="202">
        <v>27</v>
      </c>
      <c r="BP29" s="249" t="s">
        <v>144</v>
      </c>
      <c r="BQ29" s="250" t="s">
        <v>903</v>
      </c>
      <c r="BR29" s="235">
        <v>2</v>
      </c>
      <c r="BS29" s="236">
        <v>3</v>
      </c>
      <c r="BT29" s="241"/>
      <c r="BU29" s="242" t="s">
        <v>463</v>
      </c>
      <c r="BV29" s="221">
        <v>1</v>
      </c>
      <c r="BW29" s="259">
        <v>2</v>
      </c>
      <c r="BX29" s="309" t="s">
        <v>144</v>
      </c>
      <c r="BY29" s="310" t="s">
        <v>650</v>
      </c>
      <c r="BZ29" s="318">
        <v>8</v>
      </c>
      <c r="CA29" s="319">
        <v>7</v>
      </c>
      <c r="CB29" s="309"/>
      <c r="CC29" s="310" t="s">
        <v>611</v>
      </c>
      <c r="CD29" s="315">
        <v>3</v>
      </c>
      <c r="CE29" s="317">
        <v>1</v>
      </c>
      <c r="CF29" s="309" t="s">
        <v>144</v>
      </c>
      <c r="CG29" s="310" t="s">
        <v>717</v>
      </c>
      <c r="CH29" s="322">
        <v>1</v>
      </c>
      <c r="CI29" s="323">
        <v>4</v>
      </c>
      <c r="CJ29" s="163"/>
      <c r="CK29" s="202">
        <v>27</v>
      </c>
      <c r="CL29" s="244" t="s">
        <v>144</v>
      </c>
      <c r="CM29" s="245" t="s">
        <v>165</v>
      </c>
      <c r="CN29" s="246">
        <v>2</v>
      </c>
      <c r="CO29" s="247">
        <v>1</v>
      </c>
      <c r="CP29" s="249" t="s">
        <v>144</v>
      </c>
      <c r="CQ29" s="250" t="s">
        <v>952</v>
      </c>
      <c r="CR29" s="235">
        <v>8</v>
      </c>
      <c r="CS29" s="236">
        <v>10</v>
      </c>
      <c r="CT29" s="249"/>
      <c r="CU29" s="250" t="s">
        <v>990</v>
      </c>
      <c r="CV29" s="254">
        <v>2</v>
      </c>
      <c r="CW29" s="260">
        <v>6</v>
      </c>
      <c r="CX29" s="309" t="s">
        <v>144</v>
      </c>
      <c r="CY29" s="310" t="s">
        <v>685</v>
      </c>
      <c r="CZ29" s="311">
        <v>4</v>
      </c>
      <c r="DA29" s="312">
        <v>6</v>
      </c>
      <c r="DB29" s="309" t="s">
        <v>144</v>
      </c>
      <c r="DC29" s="310" t="s">
        <v>580</v>
      </c>
      <c r="DD29" s="318">
        <v>12</v>
      </c>
      <c r="DE29" s="319">
        <v>3</v>
      </c>
      <c r="DF29" s="163"/>
      <c r="DG29" s="202">
        <v>27</v>
      </c>
      <c r="DH29" s="244" t="s">
        <v>144</v>
      </c>
      <c r="DI29" s="245" t="s">
        <v>266</v>
      </c>
      <c r="DJ29" s="237">
        <v>1</v>
      </c>
      <c r="DK29" s="248">
        <v>3</v>
      </c>
      <c r="DL29" s="244"/>
      <c r="DM29" s="245" t="s">
        <v>300</v>
      </c>
      <c r="DN29" s="246">
        <v>4</v>
      </c>
      <c r="DO29" s="247">
        <v>1</v>
      </c>
      <c r="DP29" s="241"/>
      <c r="DQ29" s="242" t="s">
        <v>429</v>
      </c>
      <c r="DR29" s="223">
        <v>6</v>
      </c>
      <c r="DS29" s="224">
        <v>4</v>
      </c>
      <c r="DT29" s="241"/>
      <c r="DU29" s="242" t="s">
        <v>394</v>
      </c>
      <c r="DV29" s="221">
        <v>3</v>
      </c>
      <c r="DW29" s="259">
        <v>12</v>
      </c>
      <c r="DX29" s="244"/>
      <c r="DY29" s="245" t="s">
        <v>226</v>
      </c>
      <c r="DZ29" s="239">
        <v>7</v>
      </c>
      <c r="EA29" s="240">
        <v>8</v>
      </c>
      <c r="EC29" s="202">
        <v>27</v>
      </c>
      <c r="ED29" s="249" t="s">
        <v>144</v>
      </c>
      <c r="EE29" s="250" t="s">
        <v>804</v>
      </c>
      <c r="EF29" s="251">
        <v>10</v>
      </c>
      <c r="EG29" s="257">
        <v>3</v>
      </c>
      <c r="EH29" s="241"/>
      <c r="EI29" s="242" t="s">
        <v>502</v>
      </c>
      <c r="EJ29" s="225">
        <v>17</v>
      </c>
      <c r="EK29" s="256">
        <v>7</v>
      </c>
      <c r="EL29" s="309" t="s">
        <v>144</v>
      </c>
      <c r="EM29" s="310" t="s">
        <v>611</v>
      </c>
      <c r="EN29" s="318">
        <v>7</v>
      </c>
      <c r="EO29" s="319">
        <v>5</v>
      </c>
      <c r="EP29" s="309"/>
      <c r="EQ29" s="310" t="s">
        <v>717</v>
      </c>
      <c r="ER29" s="311">
        <v>4</v>
      </c>
      <c r="ES29" s="320">
        <v>6</v>
      </c>
      <c r="ET29" s="309" t="s">
        <v>144</v>
      </c>
      <c r="EU29" s="310" t="s">
        <v>685</v>
      </c>
      <c r="EV29" s="322">
        <v>3</v>
      </c>
      <c r="EW29" s="323">
        <v>6</v>
      </c>
      <c r="EX29" s="163"/>
      <c r="EY29" s="202">
        <v>27</v>
      </c>
      <c r="EZ29" s="244" t="s">
        <v>144</v>
      </c>
      <c r="FA29" s="245" t="s">
        <v>226</v>
      </c>
      <c r="FB29" s="239">
        <v>7</v>
      </c>
      <c r="FC29" s="240">
        <v>17</v>
      </c>
      <c r="FD29" s="249" t="s">
        <v>144</v>
      </c>
      <c r="FE29" s="250" t="s">
        <v>990</v>
      </c>
      <c r="FF29" s="251">
        <v>6</v>
      </c>
      <c r="FG29" s="257">
        <v>2</v>
      </c>
      <c r="FH29" s="249"/>
      <c r="FI29" s="250" t="s">
        <v>1062</v>
      </c>
      <c r="FJ29" s="254">
        <v>2</v>
      </c>
      <c r="FK29" s="260">
        <v>10</v>
      </c>
      <c r="FL29" s="309" t="s">
        <v>144</v>
      </c>
      <c r="FM29" s="310" t="s">
        <v>580</v>
      </c>
      <c r="FN29" s="311">
        <v>0</v>
      </c>
      <c r="FO29" s="312">
        <v>2</v>
      </c>
      <c r="FP29" s="309" t="s">
        <v>144</v>
      </c>
      <c r="FQ29" s="310" t="s">
        <v>650</v>
      </c>
      <c r="FR29" s="322">
        <v>0</v>
      </c>
      <c r="FS29" s="324">
        <v>4</v>
      </c>
      <c r="FT29" s="163"/>
      <c r="FU29" s="202">
        <v>27</v>
      </c>
      <c r="FV29" s="244" t="s">
        <v>144</v>
      </c>
      <c r="FW29" s="245" t="s">
        <v>300</v>
      </c>
      <c r="FX29" s="231">
        <v>6</v>
      </c>
      <c r="FY29" s="232">
        <v>4</v>
      </c>
      <c r="FZ29" s="244"/>
      <c r="GA29" s="245" t="s">
        <v>339</v>
      </c>
      <c r="GB29" s="246">
        <v>6</v>
      </c>
      <c r="GC29" s="247">
        <v>3</v>
      </c>
      <c r="GD29" s="241"/>
      <c r="GE29" s="242" t="s">
        <v>394</v>
      </c>
      <c r="GF29" s="223">
        <v>2</v>
      </c>
      <c r="GG29" s="224">
        <v>0</v>
      </c>
      <c r="GH29" s="241"/>
      <c r="GI29" s="242" t="s">
        <v>463</v>
      </c>
      <c r="GJ29" s="225">
        <v>4</v>
      </c>
      <c r="GK29" s="256">
        <v>0</v>
      </c>
      <c r="GL29" s="244"/>
      <c r="GM29" s="245" t="s">
        <v>266</v>
      </c>
      <c r="GN29" s="239">
        <v>5</v>
      </c>
      <c r="GO29" s="240">
        <v>7</v>
      </c>
    </row>
    <row r="30" spans="1:197">
      <c r="A30" s="202">
        <v>28</v>
      </c>
      <c r="B30" s="233" t="s">
        <v>144</v>
      </c>
      <c r="C30" s="234" t="s">
        <v>869</v>
      </c>
      <c r="D30" s="430">
        <v>2</v>
      </c>
      <c r="E30" s="429">
        <v>3</v>
      </c>
      <c r="F30" s="219"/>
      <c r="G30" s="220" t="s">
        <v>394</v>
      </c>
      <c r="H30" s="434">
        <v>5</v>
      </c>
      <c r="I30" s="451">
        <v>8</v>
      </c>
      <c r="J30" s="313" t="s">
        <v>144</v>
      </c>
      <c r="K30" s="314" t="s">
        <v>580</v>
      </c>
      <c r="L30" s="415">
        <v>8</v>
      </c>
      <c r="M30" s="474">
        <v>2</v>
      </c>
      <c r="N30" s="313"/>
      <c r="O30" s="314" t="s">
        <v>650</v>
      </c>
      <c r="P30" s="315">
        <v>9</v>
      </c>
      <c r="Q30" s="317">
        <v>2</v>
      </c>
      <c r="R30" s="313" t="s">
        <v>144</v>
      </c>
      <c r="S30" s="314" t="s">
        <v>611</v>
      </c>
      <c r="T30" s="415">
        <v>11</v>
      </c>
      <c r="U30" s="436">
        <v>7</v>
      </c>
      <c r="V30" s="163"/>
      <c r="W30" s="202">
        <v>28</v>
      </c>
      <c r="X30" s="229" t="s">
        <v>144</v>
      </c>
      <c r="Y30" s="230" t="s">
        <v>339</v>
      </c>
      <c r="Z30" s="433">
        <v>8</v>
      </c>
      <c r="AA30" s="464">
        <v>5</v>
      </c>
      <c r="AB30" s="233" t="s">
        <v>144</v>
      </c>
      <c r="AC30" s="234" t="s">
        <v>1096</v>
      </c>
      <c r="AD30" s="235">
        <v>0</v>
      </c>
      <c r="AE30" s="236">
        <v>3</v>
      </c>
      <c r="AF30" s="233"/>
      <c r="AG30" s="234" t="s">
        <v>952</v>
      </c>
      <c r="AH30" s="460">
        <v>3</v>
      </c>
      <c r="AI30" s="459">
        <v>2</v>
      </c>
      <c r="AJ30" s="313" t="s">
        <v>144</v>
      </c>
      <c r="AK30" s="314" t="s">
        <v>717</v>
      </c>
      <c r="AL30" s="311">
        <v>2</v>
      </c>
      <c r="AM30" s="312">
        <v>3</v>
      </c>
      <c r="AN30" s="313" t="s">
        <v>144</v>
      </c>
      <c r="AO30" s="314" t="s">
        <v>685</v>
      </c>
      <c r="AP30" s="318">
        <v>8</v>
      </c>
      <c r="AQ30" s="321">
        <v>5</v>
      </c>
      <c r="AR30" s="163"/>
      <c r="AS30" s="202">
        <v>28</v>
      </c>
      <c r="AT30" s="229" t="s">
        <v>144</v>
      </c>
      <c r="AU30" s="230" t="s">
        <v>226</v>
      </c>
      <c r="AV30" s="237">
        <v>2</v>
      </c>
      <c r="AW30" s="248">
        <v>9</v>
      </c>
      <c r="AX30" s="229"/>
      <c r="AY30" s="230" t="s">
        <v>266</v>
      </c>
      <c r="AZ30" s="394">
        <v>7</v>
      </c>
      <c r="BA30" s="396">
        <v>11</v>
      </c>
      <c r="BB30" s="219"/>
      <c r="BC30" s="220" t="s">
        <v>539</v>
      </c>
      <c r="BD30" s="410">
        <v>3</v>
      </c>
      <c r="BE30" s="224">
        <v>2</v>
      </c>
      <c r="BF30" s="219"/>
      <c r="BG30" s="220" t="s">
        <v>429</v>
      </c>
      <c r="BH30" s="227">
        <v>5</v>
      </c>
      <c r="BI30" s="259">
        <v>8</v>
      </c>
      <c r="BJ30" s="229"/>
      <c r="BK30" s="230" t="s">
        <v>165</v>
      </c>
      <c r="BL30" s="394">
        <v>2</v>
      </c>
      <c r="BM30" s="396">
        <v>8</v>
      </c>
      <c r="BO30" s="202">
        <v>28</v>
      </c>
      <c r="BP30" s="233" t="s">
        <v>144</v>
      </c>
      <c r="BQ30" s="234" t="s">
        <v>903</v>
      </c>
      <c r="BR30" s="251">
        <v>9</v>
      </c>
      <c r="BS30" s="257">
        <v>0</v>
      </c>
      <c r="BT30" s="219"/>
      <c r="BU30" s="220" t="s">
        <v>463</v>
      </c>
      <c r="BV30" s="225">
        <v>5</v>
      </c>
      <c r="BW30" s="256">
        <v>3</v>
      </c>
      <c r="BX30" s="313" t="s">
        <v>144</v>
      </c>
      <c r="BY30" s="314" t="s">
        <v>650</v>
      </c>
      <c r="BZ30" s="318">
        <v>3</v>
      </c>
      <c r="CA30" s="319">
        <v>2</v>
      </c>
      <c r="CB30" s="313"/>
      <c r="CC30" s="314" t="s">
        <v>611</v>
      </c>
      <c r="CD30" s="315">
        <v>2</v>
      </c>
      <c r="CE30" s="317">
        <v>1</v>
      </c>
      <c r="CF30" s="313" t="s">
        <v>144</v>
      </c>
      <c r="CG30" s="314" t="s">
        <v>717</v>
      </c>
      <c r="CH30" s="318">
        <v>3</v>
      </c>
      <c r="CI30" s="321">
        <v>2</v>
      </c>
      <c r="CJ30" s="163"/>
      <c r="CK30" s="202">
        <v>28</v>
      </c>
      <c r="CL30" s="229" t="s">
        <v>144</v>
      </c>
      <c r="CM30" s="230" t="s">
        <v>165</v>
      </c>
      <c r="CN30" s="239">
        <v>3</v>
      </c>
      <c r="CO30" s="240">
        <v>5</v>
      </c>
      <c r="CP30" s="233" t="s">
        <v>144</v>
      </c>
      <c r="CQ30" s="234" t="s">
        <v>952</v>
      </c>
      <c r="CR30" s="251">
        <v>3</v>
      </c>
      <c r="CS30" s="257">
        <v>2</v>
      </c>
      <c r="CT30" s="233"/>
      <c r="CU30" s="234" t="s">
        <v>990</v>
      </c>
      <c r="CV30" s="254">
        <v>3</v>
      </c>
      <c r="CW30" s="260">
        <v>4</v>
      </c>
      <c r="CX30" s="313" t="s">
        <v>144</v>
      </c>
      <c r="CY30" s="314" t="s">
        <v>685</v>
      </c>
      <c r="CZ30" s="315">
        <v>4</v>
      </c>
      <c r="DA30" s="316">
        <v>2</v>
      </c>
      <c r="DB30" s="313" t="s">
        <v>144</v>
      </c>
      <c r="DC30" s="314" t="s">
        <v>580</v>
      </c>
      <c r="DD30" s="318">
        <v>7</v>
      </c>
      <c r="DE30" s="321">
        <v>0</v>
      </c>
      <c r="DF30" s="163"/>
      <c r="DG30" s="202">
        <v>28</v>
      </c>
      <c r="DH30" s="229" t="s">
        <v>144</v>
      </c>
      <c r="DI30" s="230" t="s">
        <v>266</v>
      </c>
      <c r="DJ30" s="237">
        <v>1</v>
      </c>
      <c r="DK30" s="248">
        <v>2</v>
      </c>
      <c r="DL30" s="229"/>
      <c r="DM30" s="230" t="s">
        <v>300</v>
      </c>
      <c r="DN30" s="239">
        <v>2</v>
      </c>
      <c r="DO30" s="240">
        <v>3</v>
      </c>
      <c r="DP30" s="219"/>
      <c r="DQ30" s="220" t="s">
        <v>429</v>
      </c>
      <c r="DR30" s="227">
        <v>2</v>
      </c>
      <c r="DS30" s="228">
        <v>4</v>
      </c>
      <c r="DT30" s="219"/>
      <c r="DU30" s="220" t="s">
        <v>394</v>
      </c>
      <c r="DV30" s="227">
        <v>0</v>
      </c>
      <c r="DW30" s="259">
        <v>7</v>
      </c>
      <c r="DX30" s="229"/>
      <c r="DY30" s="230" t="s">
        <v>226</v>
      </c>
      <c r="DZ30" s="239">
        <v>2</v>
      </c>
      <c r="EA30" s="240">
        <v>3</v>
      </c>
      <c r="EC30" s="202">
        <v>28</v>
      </c>
      <c r="ED30" s="233" t="s">
        <v>144</v>
      </c>
      <c r="EE30" s="234" t="s">
        <v>804</v>
      </c>
      <c r="EF30" s="251">
        <v>10</v>
      </c>
      <c r="EG30" s="257">
        <v>2</v>
      </c>
      <c r="EH30" s="219"/>
      <c r="EI30" s="220" t="s">
        <v>502</v>
      </c>
      <c r="EJ30" s="225">
        <v>4</v>
      </c>
      <c r="EK30" s="256">
        <v>3</v>
      </c>
      <c r="EL30" s="313" t="s">
        <v>144</v>
      </c>
      <c r="EM30" s="314" t="s">
        <v>611</v>
      </c>
      <c r="EN30" s="322">
        <v>0</v>
      </c>
      <c r="EO30" s="324">
        <v>1</v>
      </c>
      <c r="EP30" s="313"/>
      <c r="EQ30" s="314" t="s">
        <v>717</v>
      </c>
      <c r="ER30" s="315">
        <v>3</v>
      </c>
      <c r="ES30" s="317">
        <v>2</v>
      </c>
      <c r="ET30" s="313" t="s">
        <v>144</v>
      </c>
      <c r="EU30" s="314" t="s">
        <v>685</v>
      </c>
      <c r="EV30" s="322">
        <v>4</v>
      </c>
      <c r="EW30" s="323">
        <v>5</v>
      </c>
      <c r="EX30" s="163"/>
      <c r="EY30" s="202">
        <v>28</v>
      </c>
      <c r="EZ30" s="229" t="s">
        <v>144</v>
      </c>
      <c r="FA30" s="230" t="s">
        <v>226</v>
      </c>
      <c r="FB30" s="239">
        <v>3</v>
      </c>
      <c r="FC30" s="240">
        <v>4</v>
      </c>
      <c r="FD30" s="233" t="s">
        <v>144</v>
      </c>
      <c r="FE30" s="234" t="s">
        <v>990</v>
      </c>
      <c r="FF30" s="235">
        <v>2</v>
      </c>
      <c r="FG30" s="236">
        <v>7</v>
      </c>
      <c r="FH30" s="233"/>
      <c r="FI30" s="234" t="s">
        <v>1062</v>
      </c>
      <c r="FJ30" s="254">
        <v>2</v>
      </c>
      <c r="FK30" s="260">
        <v>3</v>
      </c>
      <c r="FL30" s="313" t="s">
        <v>144</v>
      </c>
      <c r="FM30" s="314" t="s">
        <v>580</v>
      </c>
      <c r="FN30" s="311">
        <v>7</v>
      </c>
      <c r="FO30" s="312">
        <v>8</v>
      </c>
      <c r="FP30" s="313" t="s">
        <v>144</v>
      </c>
      <c r="FQ30" s="314" t="s">
        <v>650</v>
      </c>
      <c r="FR30" s="318">
        <v>4</v>
      </c>
      <c r="FS30" s="321">
        <v>3</v>
      </c>
      <c r="FT30" s="163"/>
      <c r="FU30" s="202">
        <v>28</v>
      </c>
      <c r="FV30" s="229" t="s">
        <v>144</v>
      </c>
      <c r="FW30" s="230" t="s">
        <v>300</v>
      </c>
      <c r="FX30" s="237">
        <v>2</v>
      </c>
      <c r="FY30" s="248">
        <v>3</v>
      </c>
      <c r="FZ30" s="229"/>
      <c r="GA30" s="230" t="s">
        <v>339</v>
      </c>
      <c r="GB30" s="246">
        <v>5</v>
      </c>
      <c r="GC30" s="247">
        <v>4</v>
      </c>
      <c r="GD30" s="219"/>
      <c r="GE30" s="220" t="s">
        <v>394</v>
      </c>
      <c r="GF30" s="223">
        <v>8</v>
      </c>
      <c r="GG30" s="224">
        <v>7</v>
      </c>
      <c r="GH30" s="219"/>
      <c r="GI30" s="220" t="s">
        <v>463</v>
      </c>
      <c r="GJ30" s="227">
        <v>3</v>
      </c>
      <c r="GK30" s="259">
        <v>4</v>
      </c>
      <c r="GL30" s="229"/>
      <c r="GM30" s="230" t="s">
        <v>266</v>
      </c>
      <c r="GN30" s="246">
        <v>1</v>
      </c>
      <c r="GO30" s="247">
        <v>0</v>
      </c>
    </row>
    <row r="31" spans="1:197">
      <c r="A31" s="202">
        <v>29</v>
      </c>
      <c r="B31" s="309"/>
      <c r="C31" s="310" t="s">
        <v>685</v>
      </c>
      <c r="D31" s="437">
        <v>5</v>
      </c>
      <c r="E31" s="438">
        <v>12</v>
      </c>
      <c r="F31" s="241" t="s">
        <v>144</v>
      </c>
      <c r="G31" s="242" t="s">
        <v>502</v>
      </c>
      <c r="H31" s="434">
        <v>1</v>
      </c>
      <c r="I31" s="451">
        <v>4</v>
      </c>
      <c r="J31" s="241" t="s">
        <v>144</v>
      </c>
      <c r="K31" s="242" t="s">
        <v>463</v>
      </c>
      <c r="L31" s="227">
        <v>0</v>
      </c>
      <c r="M31" s="253">
        <v>8</v>
      </c>
      <c r="N31" s="249" t="s">
        <v>144</v>
      </c>
      <c r="O31" s="250" t="s">
        <v>835</v>
      </c>
      <c r="P31" s="426">
        <v>4</v>
      </c>
      <c r="Q31" s="469">
        <v>3</v>
      </c>
      <c r="R31" s="309" t="s">
        <v>144</v>
      </c>
      <c r="S31" s="310" t="s">
        <v>650</v>
      </c>
      <c r="T31" s="318">
        <v>3</v>
      </c>
      <c r="U31" s="321">
        <v>2</v>
      </c>
      <c r="V31" s="163"/>
      <c r="W31" s="202">
        <v>29</v>
      </c>
      <c r="X31" s="309"/>
      <c r="Y31" s="310" t="s">
        <v>611</v>
      </c>
      <c r="Z31" s="315">
        <v>7</v>
      </c>
      <c r="AA31" s="316">
        <v>2</v>
      </c>
      <c r="AB31" s="244"/>
      <c r="AC31" s="245" t="s">
        <v>165</v>
      </c>
      <c r="AD31" s="246">
        <v>8</v>
      </c>
      <c r="AE31" s="247">
        <v>0</v>
      </c>
      <c r="AF31" s="244"/>
      <c r="AG31" s="245" t="s">
        <v>339</v>
      </c>
      <c r="AH31" s="402">
        <v>4</v>
      </c>
      <c r="AI31" s="400">
        <v>1</v>
      </c>
      <c r="AJ31" s="309"/>
      <c r="AK31" s="310" t="s">
        <v>580</v>
      </c>
      <c r="AL31" s="315">
        <v>4</v>
      </c>
      <c r="AM31" s="316">
        <v>3</v>
      </c>
      <c r="AN31" s="309" t="s">
        <v>144</v>
      </c>
      <c r="AO31" s="310" t="s">
        <v>717</v>
      </c>
      <c r="AP31" s="418">
        <v>5</v>
      </c>
      <c r="AQ31" s="419">
        <v>10</v>
      </c>
      <c r="AR31" s="163"/>
      <c r="AS31" s="202">
        <v>29</v>
      </c>
      <c r="AT31" s="244"/>
      <c r="AU31" s="245" t="s">
        <v>266</v>
      </c>
      <c r="AV31" s="237">
        <v>2</v>
      </c>
      <c r="AW31" s="248">
        <v>3</v>
      </c>
      <c r="AX31" s="241" t="s">
        <v>144</v>
      </c>
      <c r="AY31" s="242" t="s">
        <v>394</v>
      </c>
      <c r="AZ31" s="221">
        <v>2</v>
      </c>
      <c r="BA31" s="222">
        <v>7</v>
      </c>
      <c r="BB31" s="241"/>
      <c r="BC31" s="242" t="s">
        <v>429</v>
      </c>
      <c r="BD31" s="410">
        <v>10</v>
      </c>
      <c r="BE31" s="411">
        <v>5</v>
      </c>
      <c r="BF31" s="244" t="s">
        <v>144</v>
      </c>
      <c r="BG31" s="245" t="s">
        <v>300</v>
      </c>
      <c r="BH31" s="433">
        <v>12</v>
      </c>
      <c r="BI31" s="432">
        <v>5</v>
      </c>
      <c r="BJ31" s="241" t="s">
        <v>144</v>
      </c>
      <c r="BK31" s="242" t="s">
        <v>539</v>
      </c>
      <c r="BL31" s="221">
        <v>3</v>
      </c>
      <c r="BM31" s="222">
        <v>4</v>
      </c>
      <c r="BO31" s="202">
        <v>29</v>
      </c>
      <c r="BP31" s="309"/>
      <c r="BQ31" s="310" t="s">
        <v>580</v>
      </c>
      <c r="BR31" s="311">
        <v>2</v>
      </c>
      <c r="BS31" s="312">
        <v>3</v>
      </c>
      <c r="BT31" s="241" t="s">
        <v>144</v>
      </c>
      <c r="BU31" s="242" t="s">
        <v>539</v>
      </c>
      <c r="BV31" s="225">
        <v>3</v>
      </c>
      <c r="BW31" s="256">
        <v>1</v>
      </c>
      <c r="BX31" s="241" t="s">
        <v>144</v>
      </c>
      <c r="BY31" s="242" t="s">
        <v>502</v>
      </c>
      <c r="BZ31" s="223">
        <v>11</v>
      </c>
      <c r="CA31" s="243">
        <v>9</v>
      </c>
      <c r="CB31" s="249" t="s">
        <v>144</v>
      </c>
      <c r="CC31" s="250" t="s">
        <v>770</v>
      </c>
      <c r="CD31" s="251">
        <v>7</v>
      </c>
      <c r="CE31" s="252">
        <v>0</v>
      </c>
      <c r="CF31" s="309" t="s">
        <v>144</v>
      </c>
      <c r="CG31" s="310" t="s">
        <v>611</v>
      </c>
      <c r="CH31" s="322">
        <v>3</v>
      </c>
      <c r="CI31" s="323">
        <v>10</v>
      </c>
      <c r="CJ31" s="163"/>
      <c r="CK31" s="202">
        <v>29</v>
      </c>
      <c r="CL31" s="309"/>
      <c r="CM31" s="310" t="s">
        <v>717</v>
      </c>
      <c r="CN31" s="315">
        <v>9</v>
      </c>
      <c r="CO31" s="316">
        <v>8</v>
      </c>
      <c r="CP31" s="244"/>
      <c r="CQ31" s="245" t="s">
        <v>226</v>
      </c>
      <c r="CR31" s="239">
        <v>9</v>
      </c>
      <c r="CS31" s="240">
        <v>11</v>
      </c>
      <c r="CT31" s="244"/>
      <c r="CU31" s="245" t="s">
        <v>165</v>
      </c>
      <c r="CV31" s="237">
        <v>1</v>
      </c>
      <c r="CW31" s="248">
        <v>3</v>
      </c>
      <c r="CX31" s="309"/>
      <c r="CY31" s="310" t="s">
        <v>650</v>
      </c>
      <c r="CZ31" s="315">
        <v>6</v>
      </c>
      <c r="DA31" s="316">
        <v>4</v>
      </c>
      <c r="DB31" s="309" t="s">
        <v>144</v>
      </c>
      <c r="DC31" s="310" t="s">
        <v>685</v>
      </c>
      <c r="DD31" s="322">
        <v>0</v>
      </c>
      <c r="DE31" s="323">
        <v>1</v>
      </c>
      <c r="DF31" s="163"/>
      <c r="DG31" s="202">
        <v>29</v>
      </c>
      <c r="DH31" s="244"/>
      <c r="DI31" s="245" t="s">
        <v>300</v>
      </c>
      <c r="DJ31" s="231">
        <v>10</v>
      </c>
      <c r="DK31" s="232">
        <v>3</v>
      </c>
      <c r="DL31" s="241" t="s">
        <v>144</v>
      </c>
      <c r="DM31" s="242" t="s">
        <v>463</v>
      </c>
      <c r="DN31" s="221">
        <v>8</v>
      </c>
      <c r="DO31" s="222">
        <v>9</v>
      </c>
      <c r="DP31" s="241"/>
      <c r="DQ31" s="242" t="s">
        <v>394</v>
      </c>
      <c r="DR31" s="223">
        <v>1</v>
      </c>
      <c r="DS31" s="224">
        <v>0</v>
      </c>
      <c r="DT31" s="244" t="s">
        <v>144</v>
      </c>
      <c r="DU31" s="245" t="s">
        <v>339</v>
      </c>
      <c r="DV31" s="246">
        <v>3</v>
      </c>
      <c r="DW31" s="258">
        <v>2</v>
      </c>
      <c r="DX31" s="241" t="s">
        <v>144</v>
      </c>
      <c r="DY31" s="242" t="s">
        <v>429</v>
      </c>
      <c r="DZ31" s="221">
        <v>4</v>
      </c>
      <c r="EA31" s="222">
        <v>6</v>
      </c>
      <c r="EC31" s="202">
        <v>29</v>
      </c>
      <c r="ED31" s="309"/>
      <c r="EE31" s="310" t="s">
        <v>650</v>
      </c>
      <c r="EF31" s="315">
        <v>4</v>
      </c>
      <c r="EG31" s="316">
        <v>0</v>
      </c>
      <c r="EH31" s="241" t="s">
        <v>144</v>
      </c>
      <c r="EI31" s="242" t="s">
        <v>429</v>
      </c>
      <c r="EJ31" s="225">
        <v>8</v>
      </c>
      <c r="EK31" s="256">
        <v>6</v>
      </c>
      <c r="EL31" s="241" t="s">
        <v>144</v>
      </c>
      <c r="EM31" s="242" t="s">
        <v>539</v>
      </c>
      <c r="EN31" s="227">
        <v>1</v>
      </c>
      <c r="EO31" s="253">
        <v>2</v>
      </c>
      <c r="EP31" s="249" t="s">
        <v>144</v>
      </c>
      <c r="EQ31" s="250" t="s">
        <v>869</v>
      </c>
      <c r="ER31" s="235">
        <v>3</v>
      </c>
      <c r="ES31" s="255">
        <v>4</v>
      </c>
      <c r="ET31" s="309" t="s">
        <v>144</v>
      </c>
      <c r="EU31" s="310" t="s">
        <v>717</v>
      </c>
      <c r="EV31" s="318">
        <v>5</v>
      </c>
      <c r="EW31" s="321">
        <v>1</v>
      </c>
      <c r="EX31" s="163"/>
      <c r="EY31" s="202">
        <v>29</v>
      </c>
      <c r="EZ31" s="309"/>
      <c r="FA31" s="310" t="s">
        <v>685</v>
      </c>
      <c r="FB31" s="315">
        <v>3</v>
      </c>
      <c r="FC31" s="316">
        <v>2</v>
      </c>
      <c r="FD31" s="244"/>
      <c r="FE31" s="245" t="s">
        <v>266</v>
      </c>
      <c r="FF31" s="246">
        <v>2</v>
      </c>
      <c r="FG31" s="247">
        <v>1</v>
      </c>
      <c r="FH31" s="244"/>
      <c r="FI31" s="245" t="s">
        <v>226</v>
      </c>
      <c r="FJ31" s="237">
        <v>6</v>
      </c>
      <c r="FK31" s="248">
        <v>8</v>
      </c>
      <c r="FL31" s="309"/>
      <c r="FM31" s="310" t="s">
        <v>611</v>
      </c>
      <c r="FN31" s="315">
        <v>6</v>
      </c>
      <c r="FO31" s="316">
        <v>3</v>
      </c>
      <c r="FP31" s="309" t="s">
        <v>144</v>
      </c>
      <c r="FQ31" s="310" t="s">
        <v>580</v>
      </c>
      <c r="FR31" s="318">
        <v>9</v>
      </c>
      <c r="FS31" s="321">
        <v>3</v>
      </c>
      <c r="FT31" s="163"/>
      <c r="FU31" s="202">
        <v>29</v>
      </c>
      <c r="FV31" s="244"/>
      <c r="FW31" s="245" t="s">
        <v>339</v>
      </c>
      <c r="FX31" s="237">
        <v>1</v>
      </c>
      <c r="FY31" s="248">
        <v>5</v>
      </c>
      <c r="FZ31" s="241" t="s">
        <v>144</v>
      </c>
      <c r="GA31" s="242" t="s">
        <v>502</v>
      </c>
      <c r="GB31" s="221">
        <v>2</v>
      </c>
      <c r="GC31" s="222">
        <v>3</v>
      </c>
      <c r="GD31" s="241"/>
      <c r="GE31" s="242" t="s">
        <v>463</v>
      </c>
      <c r="GF31" s="227">
        <v>3</v>
      </c>
      <c r="GG31" s="228">
        <v>9</v>
      </c>
      <c r="GH31" s="244" t="s">
        <v>144</v>
      </c>
      <c r="GI31" s="245" t="s">
        <v>165</v>
      </c>
      <c r="GJ31" s="239">
        <v>0</v>
      </c>
      <c r="GK31" s="238">
        <v>4</v>
      </c>
      <c r="GL31" s="241" t="s">
        <v>144</v>
      </c>
      <c r="GM31" s="242" t="s">
        <v>394</v>
      </c>
      <c r="GN31" s="221">
        <v>3</v>
      </c>
      <c r="GO31" s="222">
        <v>6</v>
      </c>
    </row>
    <row r="32" spans="1:197">
      <c r="A32" s="202">
        <v>30</v>
      </c>
      <c r="B32" s="313"/>
      <c r="C32" s="314" t="s">
        <v>685</v>
      </c>
      <c r="D32" s="315">
        <v>8</v>
      </c>
      <c r="E32" s="316">
        <v>7</v>
      </c>
      <c r="F32" s="219" t="s">
        <v>144</v>
      </c>
      <c r="G32" s="220" t="s">
        <v>502</v>
      </c>
      <c r="H32" s="434">
        <v>2</v>
      </c>
      <c r="I32" s="451">
        <v>6</v>
      </c>
      <c r="J32" s="219" t="s">
        <v>144</v>
      </c>
      <c r="K32" s="220" t="s">
        <v>463</v>
      </c>
      <c r="L32" s="227">
        <v>2</v>
      </c>
      <c r="M32" s="253">
        <v>6</v>
      </c>
      <c r="N32" s="233" t="s">
        <v>144</v>
      </c>
      <c r="O32" s="234" t="s">
        <v>835</v>
      </c>
      <c r="P32" s="426">
        <v>6</v>
      </c>
      <c r="Q32" s="469">
        <v>3</v>
      </c>
      <c r="R32" s="313" t="s">
        <v>144</v>
      </c>
      <c r="S32" s="314" t="s">
        <v>650</v>
      </c>
      <c r="T32" s="318">
        <v>4</v>
      </c>
      <c r="U32" s="321">
        <v>0</v>
      </c>
      <c r="V32" s="163"/>
      <c r="W32" s="202">
        <v>30</v>
      </c>
      <c r="X32" s="313"/>
      <c r="Y32" s="314" t="s">
        <v>611</v>
      </c>
      <c r="Z32" s="315">
        <v>6</v>
      </c>
      <c r="AA32" s="316">
        <v>2</v>
      </c>
      <c r="AB32" s="229"/>
      <c r="AC32" s="230" t="s">
        <v>165</v>
      </c>
      <c r="AD32" s="246">
        <v>6</v>
      </c>
      <c r="AE32" s="247">
        <v>2</v>
      </c>
      <c r="AF32" s="229"/>
      <c r="AG32" s="230" t="s">
        <v>339</v>
      </c>
      <c r="AH32" s="402">
        <v>6</v>
      </c>
      <c r="AI32" s="400">
        <v>2</v>
      </c>
      <c r="AJ32" s="313"/>
      <c r="AK32" s="314" t="s">
        <v>580</v>
      </c>
      <c r="AL32" s="437">
        <v>2</v>
      </c>
      <c r="AM32" s="438">
        <v>5</v>
      </c>
      <c r="AN32" s="313" t="s">
        <v>144</v>
      </c>
      <c r="AO32" s="314" t="s">
        <v>717</v>
      </c>
      <c r="AP32" s="415">
        <v>9</v>
      </c>
      <c r="AQ32" s="436">
        <v>4</v>
      </c>
      <c r="AR32" s="163"/>
      <c r="AS32" s="202">
        <v>30</v>
      </c>
      <c r="AT32" s="229"/>
      <c r="AU32" s="230" t="s">
        <v>266</v>
      </c>
      <c r="AV32" s="237">
        <v>0</v>
      </c>
      <c r="AW32" s="248">
        <v>4</v>
      </c>
      <c r="AX32" s="219" t="s">
        <v>144</v>
      </c>
      <c r="AY32" s="220" t="s">
        <v>394</v>
      </c>
      <c r="AZ32" s="221">
        <v>2</v>
      </c>
      <c r="BA32" s="222">
        <v>6</v>
      </c>
      <c r="BB32" s="219"/>
      <c r="BC32" s="220" t="s">
        <v>429</v>
      </c>
      <c r="BD32" s="408">
        <v>4</v>
      </c>
      <c r="BE32" s="409">
        <v>9</v>
      </c>
      <c r="BF32" s="229" t="s">
        <v>144</v>
      </c>
      <c r="BG32" s="230" t="s">
        <v>300</v>
      </c>
      <c r="BH32" s="237">
        <v>7</v>
      </c>
      <c r="BI32" s="238">
        <v>8</v>
      </c>
      <c r="BJ32" s="219" t="s">
        <v>144</v>
      </c>
      <c r="BK32" s="220" t="s">
        <v>539</v>
      </c>
      <c r="BL32" s="392">
        <v>5</v>
      </c>
      <c r="BM32" s="390">
        <v>2</v>
      </c>
      <c r="BO32" s="202">
        <v>30</v>
      </c>
      <c r="BP32" s="313"/>
      <c r="BQ32" s="314" t="s">
        <v>580</v>
      </c>
      <c r="BR32" s="311">
        <v>4</v>
      </c>
      <c r="BS32" s="312">
        <v>10</v>
      </c>
      <c r="BT32" s="219" t="s">
        <v>144</v>
      </c>
      <c r="BU32" s="220" t="s">
        <v>539</v>
      </c>
      <c r="BV32" s="225">
        <v>5</v>
      </c>
      <c r="BW32" s="256">
        <v>4</v>
      </c>
      <c r="BX32" s="219" t="s">
        <v>144</v>
      </c>
      <c r="BY32" s="220" t="s">
        <v>502</v>
      </c>
      <c r="BZ32" s="223">
        <v>7</v>
      </c>
      <c r="CA32" s="243">
        <v>3</v>
      </c>
      <c r="CB32" s="233" t="s">
        <v>144</v>
      </c>
      <c r="CC32" s="234" t="s">
        <v>770</v>
      </c>
      <c r="CD32" s="235">
        <v>3</v>
      </c>
      <c r="CE32" s="255">
        <v>4</v>
      </c>
      <c r="CF32" s="313" t="s">
        <v>144</v>
      </c>
      <c r="CG32" s="314" t="s">
        <v>611</v>
      </c>
      <c r="CH32" s="322">
        <v>6</v>
      </c>
      <c r="CI32" s="323">
        <v>8</v>
      </c>
      <c r="CJ32" s="163"/>
      <c r="CK32" s="202">
        <v>30</v>
      </c>
      <c r="CL32" s="313"/>
      <c r="CM32" s="314" t="s">
        <v>717</v>
      </c>
      <c r="CN32" s="311">
        <v>0</v>
      </c>
      <c r="CO32" s="312">
        <v>7</v>
      </c>
      <c r="CP32" s="229"/>
      <c r="CQ32" s="230" t="s">
        <v>226</v>
      </c>
      <c r="CR32" s="239">
        <v>3</v>
      </c>
      <c r="CS32" s="240">
        <v>7</v>
      </c>
      <c r="CT32" s="229"/>
      <c r="CU32" s="230" t="s">
        <v>165</v>
      </c>
      <c r="CV32" s="237">
        <v>4</v>
      </c>
      <c r="CW32" s="248">
        <v>5</v>
      </c>
      <c r="CX32" s="313"/>
      <c r="CY32" s="314" t="s">
        <v>650</v>
      </c>
      <c r="CZ32" s="315">
        <v>3</v>
      </c>
      <c r="DA32" s="316">
        <v>1</v>
      </c>
      <c r="DB32" s="313" t="s">
        <v>144</v>
      </c>
      <c r="DC32" s="314" t="s">
        <v>685</v>
      </c>
      <c r="DD32" s="318">
        <v>6</v>
      </c>
      <c r="DE32" s="321">
        <v>2</v>
      </c>
      <c r="DF32" s="163"/>
      <c r="DG32" s="202">
        <v>30</v>
      </c>
      <c r="DH32" s="229"/>
      <c r="DI32" s="230" t="s">
        <v>300</v>
      </c>
      <c r="DJ32" s="231">
        <v>8</v>
      </c>
      <c r="DK32" s="232">
        <v>6</v>
      </c>
      <c r="DL32" s="219" t="s">
        <v>144</v>
      </c>
      <c r="DM32" s="220" t="s">
        <v>463</v>
      </c>
      <c r="DN32" s="225">
        <v>7</v>
      </c>
      <c r="DO32" s="226">
        <v>0</v>
      </c>
      <c r="DP32" s="219"/>
      <c r="DQ32" s="220" t="s">
        <v>394</v>
      </c>
      <c r="DR32" s="227">
        <v>2</v>
      </c>
      <c r="DS32" s="228">
        <v>6</v>
      </c>
      <c r="DT32" s="229" t="s">
        <v>144</v>
      </c>
      <c r="DU32" s="230" t="s">
        <v>339</v>
      </c>
      <c r="DV32" s="231">
        <v>10</v>
      </c>
      <c r="DW32" s="258">
        <v>4</v>
      </c>
      <c r="DX32" s="219" t="s">
        <v>144</v>
      </c>
      <c r="DY32" s="220" t="s">
        <v>429</v>
      </c>
      <c r="DZ32" s="221">
        <v>1</v>
      </c>
      <c r="EA32" s="222">
        <v>3</v>
      </c>
      <c r="EC32" s="202">
        <v>30</v>
      </c>
      <c r="ED32" s="313"/>
      <c r="EE32" s="314" t="s">
        <v>650</v>
      </c>
      <c r="EF32" s="315">
        <v>6</v>
      </c>
      <c r="EG32" s="316">
        <v>3</v>
      </c>
      <c r="EH32" s="219" t="s">
        <v>144</v>
      </c>
      <c r="EI32" s="220" t="s">
        <v>429</v>
      </c>
      <c r="EJ32" s="225">
        <v>6</v>
      </c>
      <c r="EK32" s="256">
        <v>5</v>
      </c>
      <c r="EL32" s="219" t="s">
        <v>144</v>
      </c>
      <c r="EM32" s="220" t="s">
        <v>539</v>
      </c>
      <c r="EN32" s="227">
        <v>2</v>
      </c>
      <c r="EO32" s="253">
        <v>3</v>
      </c>
      <c r="EP32" s="233" t="s">
        <v>144</v>
      </c>
      <c r="EQ32" s="234" t="s">
        <v>869</v>
      </c>
      <c r="ER32" s="235">
        <v>1</v>
      </c>
      <c r="ES32" s="255">
        <v>2</v>
      </c>
      <c r="ET32" s="313" t="s">
        <v>144</v>
      </c>
      <c r="EU32" s="314" t="s">
        <v>717</v>
      </c>
      <c r="EV32" s="318">
        <v>5</v>
      </c>
      <c r="EW32" s="321">
        <v>2</v>
      </c>
      <c r="EX32" s="163"/>
      <c r="EY32" s="202">
        <v>30</v>
      </c>
      <c r="EZ32" s="313"/>
      <c r="FA32" s="314" t="s">
        <v>685</v>
      </c>
      <c r="FB32" s="315">
        <v>3</v>
      </c>
      <c r="FC32" s="316">
        <v>2</v>
      </c>
      <c r="FD32" s="229"/>
      <c r="FE32" s="230" t="s">
        <v>266</v>
      </c>
      <c r="FF32" s="246">
        <v>3</v>
      </c>
      <c r="FG32" s="247">
        <v>2</v>
      </c>
      <c r="FH32" s="229"/>
      <c r="FI32" s="230" t="s">
        <v>226</v>
      </c>
      <c r="FJ32" s="237">
        <v>5</v>
      </c>
      <c r="FK32" s="248">
        <v>6</v>
      </c>
      <c r="FL32" s="313"/>
      <c r="FM32" s="314" t="s">
        <v>611</v>
      </c>
      <c r="FN32" s="315">
        <v>3</v>
      </c>
      <c r="FO32" s="316">
        <v>0</v>
      </c>
      <c r="FP32" s="313" t="s">
        <v>144</v>
      </c>
      <c r="FQ32" s="314" t="s">
        <v>580</v>
      </c>
      <c r="FR32" s="322">
        <v>1</v>
      </c>
      <c r="FS32" s="323">
        <v>3</v>
      </c>
      <c r="FT32" s="163"/>
      <c r="FU32" s="202">
        <v>30</v>
      </c>
      <c r="FV32" s="229"/>
      <c r="FW32" s="230" t="s">
        <v>339</v>
      </c>
      <c r="FX32" s="237">
        <v>2</v>
      </c>
      <c r="FY32" s="248">
        <v>5</v>
      </c>
      <c r="FZ32" s="219" t="s">
        <v>144</v>
      </c>
      <c r="GA32" s="220" t="s">
        <v>502</v>
      </c>
      <c r="GB32" s="221">
        <v>2</v>
      </c>
      <c r="GC32" s="222">
        <v>3</v>
      </c>
      <c r="GD32" s="219"/>
      <c r="GE32" s="220" t="s">
        <v>463</v>
      </c>
      <c r="GF32" s="223">
        <v>3</v>
      </c>
      <c r="GG32" s="224">
        <v>1</v>
      </c>
      <c r="GH32" s="229" t="s">
        <v>144</v>
      </c>
      <c r="GI32" s="230" t="s">
        <v>165</v>
      </c>
      <c r="GJ32" s="237">
        <v>3</v>
      </c>
      <c r="GK32" s="238">
        <v>6</v>
      </c>
      <c r="GL32" s="219" t="s">
        <v>144</v>
      </c>
      <c r="GM32" s="220" t="s">
        <v>394</v>
      </c>
      <c r="GN32" s="221">
        <v>0</v>
      </c>
      <c r="GO32" s="222">
        <v>3</v>
      </c>
    </row>
    <row r="33" spans="1:197">
      <c r="A33" s="202">
        <v>31</v>
      </c>
      <c r="B33" s="241" t="s">
        <v>144</v>
      </c>
      <c r="C33" s="242" t="s">
        <v>394</v>
      </c>
      <c r="D33" s="225">
        <v>6</v>
      </c>
      <c r="E33" s="226">
        <v>5</v>
      </c>
      <c r="F33" s="244" t="s">
        <v>144</v>
      </c>
      <c r="G33" s="245" t="s">
        <v>165</v>
      </c>
      <c r="H33" s="433">
        <v>4</v>
      </c>
      <c r="I33" s="432">
        <v>3</v>
      </c>
      <c r="J33" s="244"/>
      <c r="K33" s="245" t="s">
        <v>339</v>
      </c>
      <c r="L33" s="440">
        <v>3</v>
      </c>
      <c r="M33" s="463">
        <v>4</v>
      </c>
      <c r="N33" s="244" t="s">
        <v>144</v>
      </c>
      <c r="O33" s="245" t="s">
        <v>266</v>
      </c>
      <c r="P33" s="433">
        <v>9</v>
      </c>
      <c r="Q33" s="432">
        <v>8</v>
      </c>
      <c r="R33" s="244"/>
      <c r="S33" s="245" t="s">
        <v>226</v>
      </c>
      <c r="T33" s="440">
        <v>8</v>
      </c>
      <c r="U33" s="441">
        <v>9</v>
      </c>
      <c r="V33" s="163"/>
      <c r="W33" s="202">
        <v>31</v>
      </c>
      <c r="X33" s="244"/>
      <c r="Y33" s="245" t="s">
        <v>300</v>
      </c>
      <c r="Z33" s="239">
        <v>5</v>
      </c>
      <c r="AA33" s="240">
        <v>6</v>
      </c>
      <c r="AB33" s="241" t="s">
        <v>144</v>
      </c>
      <c r="AC33" s="242" t="s">
        <v>502</v>
      </c>
      <c r="AD33" s="392">
        <v>6</v>
      </c>
      <c r="AE33" s="390">
        <v>5</v>
      </c>
      <c r="AF33" s="241"/>
      <c r="AG33" s="242" t="s">
        <v>463</v>
      </c>
      <c r="AH33" s="408">
        <v>5</v>
      </c>
      <c r="AI33" s="409">
        <v>6</v>
      </c>
      <c r="AJ33" s="241"/>
      <c r="AK33" s="242" t="s">
        <v>429</v>
      </c>
      <c r="AL33" s="221">
        <v>2</v>
      </c>
      <c r="AM33" s="222">
        <v>8</v>
      </c>
      <c r="AN33" s="241" t="s">
        <v>144</v>
      </c>
      <c r="AO33" s="242" t="s">
        <v>539</v>
      </c>
      <c r="AP33" s="223">
        <v>8</v>
      </c>
      <c r="AQ33" s="224">
        <v>2</v>
      </c>
      <c r="AR33" s="163"/>
      <c r="AS33" s="202">
        <v>31</v>
      </c>
      <c r="AT33" s="249"/>
      <c r="AU33" s="250" t="s">
        <v>1265</v>
      </c>
      <c r="AV33" s="460">
        <v>3</v>
      </c>
      <c r="AW33" s="459">
        <v>2</v>
      </c>
      <c r="AX33" s="309"/>
      <c r="AY33" s="310" t="s">
        <v>717</v>
      </c>
      <c r="AZ33" s="422">
        <v>10</v>
      </c>
      <c r="BA33" s="421">
        <v>0</v>
      </c>
      <c r="BB33" s="309" t="s">
        <v>144</v>
      </c>
      <c r="BC33" s="310" t="s">
        <v>611</v>
      </c>
      <c r="BD33" s="418">
        <v>0</v>
      </c>
      <c r="BE33" s="419">
        <v>10</v>
      </c>
      <c r="BF33" s="309"/>
      <c r="BG33" s="310" t="s">
        <v>580</v>
      </c>
      <c r="BH33" s="311">
        <v>3</v>
      </c>
      <c r="BI33" s="320">
        <v>4</v>
      </c>
      <c r="BJ33" s="309" t="s">
        <v>144</v>
      </c>
      <c r="BK33" s="310" t="s">
        <v>685</v>
      </c>
      <c r="BL33" s="315">
        <v>4</v>
      </c>
      <c r="BM33" s="316">
        <v>3</v>
      </c>
      <c r="BO33" s="202">
        <v>31</v>
      </c>
      <c r="BP33" s="241" t="s">
        <v>144</v>
      </c>
      <c r="BQ33" s="242" t="s">
        <v>463</v>
      </c>
      <c r="BR33" s="225">
        <v>8</v>
      </c>
      <c r="BS33" s="226">
        <v>5</v>
      </c>
      <c r="BT33" s="244" t="s">
        <v>144</v>
      </c>
      <c r="BU33" s="245" t="s">
        <v>226</v>
      </c>
      <c r="BV33" s="239">
        <v>6</v>
      </c>
      <c r="BW33" s="238">
        <v>7</v>
      </c>
      <c r="BX33" s="244"/>
      <c r="BY33" s="245" t="s">
        <v>165</v>
      </c>
      <c r="BZ33" s="231">
        <v>7</v>
      </c>
      <c r="CA33" s="264">
        <v>6</v>
      </c>
      <c r="CB33" s="244" t="s">
        <v>144</v>
      </c>
      <c r="CC33" s="245" t="s">
        <v>300</v>
      </c>
      <c r="CD33" s="239">
        <v>2</v>
      </c>
      <c r="CE33" s="238">
        <v>3</v>
      </c>
      <c r="CF33" s="244"/>
      <c r="CG33" s="245" t="s">
        <v>266</v>
      </c>
      <c r="CH33" s="231">
        <v>3</v>
      </c>
      <c r="CI33" s="232">
        <v>2</v>
      </c>
      <c r="CJ33" s="163"/>
      <c r="CK33" s="202">
        <v>31</v>
      </c>
      <c r="CL33" s="244"/>
      <c r="CM33" s="245" t="s">
        <v>339</v>
      </c>
      <c r="CN33" s="239">
        <v>5</v>
      </c>
      <c r="CO33" s="240">
        <v>8</v>
      </c>
      <c r="CP33" s="241" t="s">
        <v>144</v>
      </c>
      <c r="CQ33" s="242" t="s">
        <v>539</v>
      </c>
      <c r="CR33" s="225">
        <v>4</v>
      </c>
      <c r="CS33" s="226">
        <v>2</v>
      </c>
      <c r="CT33" s="241"/>
      <c r="CU33" s="242" t="s">
        <v>502</v>
      </c>
      <c r="CV33" s="227">
        <v>2</v>
      </c>
      <c r="CW33" s="228">
        <v>4</v>
      </c>
      <c r="CX33" s="241"/>
      <c r="CY33" s="242" t="s">
        <v>394</v>
      </c>
      <c r="CZ33" s="225">
        <v>6</v>
      </c>
      <c r="DA33" s="226">
        <v>3</v>
      </c>
      <c r="DB33" s="241" t="s">
        <v>144</v>
      </c>
      <c r="DC33" s="242" t="s">
        <v>429</v>
      </c>
      <c r="DD33" s="227">
        <v>3</v>
      </c>
      <c r="DE33" s="228">
        <v>6</v>
      </c>
      <c r="DF33" s="163"/>
      <c r="DG33" s="202">
        <v>31</v>
      </c>
      <c r="DH33" s="249"/>
      <c r="DI33" s="250" t="s">
        <v>1229</v>
      </c>
      <c r="DJ33" s="261">
        <v>2</v>
      </c>
      <c r="DK33" s="262">
        <v>1</v>
      </c>
      <c r="DL33" s="309"/>
      <c r="DM33" s="310" t="s">
        <v>685</v>
      </c>
      <c r="DN33" s="311">
        <v>4</v>
      </c>
      <c r="DO33" s="312">
        <v>9</v>
      </c>
      <c r="DP33" s="309" t="s">
        <v>144</v>
      </c>
      <c r="DQ33" s="310" t="s">
        <v>717</v>
      </c>
      <c r="DR33" s="318">
        <v>9</v>
      </c>
      <c r="DS33" s="321">
        <v>4</v>
      </c>
      <c r="DT33" s="309"/>
      <c r="DU33" s="310" t="s">
        <v>650</v>
      </c>
      <c r="DV33" s="315">
        <v>7</v>
      </c>
      <c r="DW33" s="317">
        <v>2</v>
      </c>
      <c r="DX33" s="309" t="s">
        <v>144</v>
      </c>
      <c r="DY33" s="310" t="s">
        <v>580</v>
      </c>
      <c r="DZ33" s="311">
        <v>2</v>
      </c>
      <c r="EA33" s="312">
        <v>7</v>
      </c>
      <c r="EC33" s="202">
        <v>31</v>
      </c>
      <c r="ED33" s="241" t="s">
        <v>144</v>
      </c>
      <c r="EE33" s="242" t="s">
        <v>502</v>
      </c>
      <c r="EF33" s="225">
        <v>4</v>
      </c>
      <c r="EG33" s="226">
        <v>3</v>
      </c>
      <c r="EH33" s="244" t="s">
        <v>144</v>
      </c>
      <c r="EI33" s="245" t="s">
        <v>266</v>
      </c>
      <c r="EJ33" s="239">
        <v>4</v>
      </c>
      <c r="EK33" s="238">
        <v>5</v>
      </c>
      <c r="EL33" s="244"/>
      <c r="EM33" s="245" t="s">
        <v>226</v>
      </c>
      <c r="EN33" s="231">
        <v>5</v>
      </c>
      <c r="EO33" s="264">
        <v>4</v>
      </c>
      <c r="EP33" s="244" t="s">
        <v>144</v>
      </c>
      <c r="EQ33" s="245" t="s">
        <v>339</v>
      </c>
      <c r="ER33" s="239">
        <v>0</v>
      </c>
      <c r="ES33" s="238">
        <v>9</v>
      </c>
      <c r="ET33" s="244"/>
      <c r="EU33" s="245" t="s">
        <v>300</v>
      </c>
      <c r="EV33" s="231">
        <v>9</v>
      </c>
      <c r="EW33" s="232">
        <v>0</v>
      </c>
      <c r="EX33" s="163"/>
      <c r="EY33" s="202">
        <v>31</v>
      </c>
      <c r="EZ33" s="244"/>
      <c r="FA33" s="245" t="s">
        <v>165</v>
      </c>
      <c r="FB33" s="239">
        <v>3</v>
      </c>
      <c r="FC33" s="240">
        <v>4</v>
      </c>
      <c r="FD33" s="241" t="s">
        <v>144</v>
      </c>
      <c r="FE33" s="242" t="s">
        <v>429</v>
      </c>
      <c r="FF33" s="221">
        <v>1</v>
      </c>
      <c r="FG33" s="222">
        <v>7</v>
      </c>
      <c r="FH33" s="241"/>
      <c r="FI33" s="242" t="s">
        <v>539</v>
      </c>
      <c r="FJ33" s="223">
        <v>7</v>
      </c>
      <c r="FK33" s="224">
        <v>1</v>
      </c>
      <c r="FL33" s="241"/>
      <c r="FM33" s="242" t="s">
        <v>463</v>
      </c>
      <c r="FN33" s="221">
        <v>4</v>
      </c>
      <c r="FO33" s="222">
        <v>5</v>
      </c>
      <c r="FP33" s="241" t="s">
        <v>144</v>
      </c>
      <c r="FQ33" s="242" t="s">
        <v>394</v>
      </c>
      <c r="FR33" s="223">
        <v>5</v>
      </c>
      <c r="FS33" s="224">
        <v>4</v>
      </c>
      <c r="FT33" s="163"/>
      <c r="FU33" s="202">
        <v>31</v>
      </c>
      <c r="FV33" s="249"/>
      <c r="FW33" s="250" t="s">
        <v>1139</v>
      </c>
      <c r="FX33" s="254">
        <v>1</v>
      </c>
      <c r="FY33" s="260">
        <v>3</v>
      </c>
      <c r="FZ33" s="309"/>
      <c r="GA33" s="310" t="s">
        <v>580</v>
      </c>
      <c r="GB33" s="311">
        <v>6</v>
      </c>
      <c r="GC33" s="312">
        <v>10</v>
      </c>
      <c r="GD33" s="309" t="s">
        <v>144</v>
      </c>
      <c r="GE33" s="310" t="s">
        <v>685</v>
      </c>
      <c r="GF33" s="318">
        <v>10</v>
      </c>
      <c r="GG33" s="321">
        <v>6</v>
      </c>
      <c r="GH33" s="309"/>
      <c r="GI33" s="310" t="s">
        <v>611</v>
      </c>
      <c r="GJ33" s="311">
        <v>1</v>
      </c>
      <c r="GK33" s="320">
        <v>5</v>
      </c>
      <c r="GL33" s="309" t="s">
        <v>144</v>
      </c>
      <c r="GM33" s="310" t="s">
        <v>650</v>
      </c>
      <c r="GN33" s="315">
        <v>5</v>
      </c>
      <c r="GO33" s="316">
        <v>1</v>
      </c>
    </row>
    <row r="34" spans="1:197">
      <c r="A34" s="202">
        <v>32</v>
      </c>
      <c r="B34" s="219" t="s">
        <v>144</v>
      </c>
      <c r="C34" s="220" t="s">
        <v>394</v>
      </c>
      <c r="D34" s="221">
        <v>3</v>
      </c>
      <c r="E34" s="222">
        <v>4</v>
      </c>
      <c r="F34" s="229" t="s">
        <v>144</v>
      </c>
      <c r="G34" s="230" t="s">
        <v>165</v>
      </c>
      <c r="H34" s="394">
        <v>3</v>
      </c>
      <c r="I34" s="398">
        <v>4</v>
      </c>
      <c r="J34" s="229"/>
      <c r="K34" s="230" t="s">
        <v>339</v>
      </c>
      <c r="L34" s="402">
        <v>4</v>
      </c>
      <c r="M34" s="404">
        <v>3</v>
      </c>
      <c r="N34" s="229" t="s">
        <v>144</v>
      </c>
      <c r="O34" s="230" t="s">
        <v>266</v>
      </c>
      <c r="P34" s="246">
        <v>6</v>
      </c>
      <c r="Q34" s="258">
        <v>1</v>
      </c>
      <c r="R34" s="229"/>
      <c r="S34" s="230" t="s">
        <v>226</v>
      </c>
      <c r="T34" s="237">
        <v>1</v>
      </c>
      <c r="U34" s="248">
        <v>6</v>
      </c>
      <c r="V34" s="163"/>
      <c r="W34" s="202">
        <v>32</v>
      </c>
      <c r="X34" s="229"/>
      <c r="Y34" s="230" t="s">
        <v>300</v>
      </c>
      <c r="Z34" s="246">
        <v>4</v>
      </c>
      <c r="AA34" s="247">
        <v>3</v>
      </c>
      <c r="AB34" s="219" t="s">
        <v>144</v>
      </c>
      <c r="AC34" s="220" t="s">
        <v>502</v>
      </c>
      <c r="AD34" s="221">
        <v>2</v>
      </c>
      <c r="AE34" s="222">
        <v>3</v>
      </c>
      <c r="AF34" s="219"/>
      <c r="AG34" s="220" t="s">
        <v>463</v>
      </c>
      <c r="AH34" s="223">
        <v>3</v>
      </c>
      <c r="AI34" s="224">
        <v>2</v>
      </c>
      <c r="AJ34" s="219"/>
      <c r="AK34" s="220" t="s">
        <v>429</v>
      </c>
      <c r="AL34" s="225">
        <v>6</v>
      </c>
      <c r="AM34" s="226">
        <v>2</v>
      </c>
      <c r="AN34" s="219" t="s">
        <v>144</v>
      </c>
      <c r="AO34" s="220" t="s">
        <v>539</v>
      </c>
      <c r="AP34" s="227">
        <v>2</v>
      </c>
      <c r="AQ34" s="228">
        <v>6</v>
      </c>
      <c r="AR34" s="163"/>
      <c r="AS34" s="202">
        <v>32</v>
      </c>
      <c r="AT34" s="233"/>
      <c r="AU34" s="234" t="s">
        <v>1265</v>
      </c>
      <c r="AV34" s="254">
        <v>1</v>
      </c>
      <c r="AW34" s="260">
        <v>3</v>
      </c>
      <c r="AX34" s="313"/>
      <c r="AY34" s="314" t="s">
        <v>717</v>
      </c>
      <c r="AZ34" s="315">
        <v>9</v>
      </c>
      <c r="BA34" s="316">
        <v>8</v>
      </c>
      <c r="BB34" s="313" t="s">
        <v>144</v>
      </c>
      <c r="BC34" s="314" t="s">
        <v>611</v>
      </c>
      <c r="BD34" s="322">
        <v>8</v>
      </c>
      <c r="BE34" s="323">
        <v>9</v>
      </c>
      <c r="BF34" s="313"/>
      <c r="BG34" s="314" t="s">
        <v>580</v>
      </c>
      <c r="BH34" s="318">
        <v>3</v>
      </c>
      <c r="BI34" s="317">
        <v>2</v>
      </c>
      <c r="BJ34" s="313" t="s">
        <v>144</v>
      </c>
      <c r="BK34" s="314" t="s">
        <v>685</v>
      </c>
      <c r="BL34" s="311">
        <v>2</v>
      </c>
      <c r="BM34" s="312">
        <v>3</v>
      </c>
      <c r="BO34" s="202">
        <v>32</v>
      </c>
      <c r="BP34" s="219" t="s">
        <v>144</v>
      </c>
      <c r="BQ34" s="220" t="s">
        <v>463</v>
      </c>
      <c r="BR34" s="221">
        <v>3</v>
      </c>
      <c r="BS34" s="222">
        <v>7</v>
      </c>
      <c r="BT34" s="229" t="s">
        <v>144</v>
      </c>
      <c r="BU34" s="230" t="s">
        <v>226</v>
      </c>
      <c r="BV34" s="239">
        <v>0</v>
      </c>
      <c r="BW34" s="238">
        <v>3</v>
      </c>
      <c r="BX34" s="229"/>
      <c r="BY34" s="230" t="s">
        <v>165</v>
      </c>
      <c r="BZ34" s="231">
        <v>3</v>
      </c>
      <c r="CA34" s="264">
        <v>0</v>
      </c>
      <c r="CB34" s="229" t="s">
        <v>144</v>
      </c>
      <c r="CC34" s="230" t="s">
        <v>300</v>
      </c>
      <c r="CD34" s="246">
        <v>5</v>
      </c>
      <c r="CE34" s="258">
        <v>1</v>
      </c>
      <c r="CF34" s="229"/>
      <c r="CG34" s="230" t="s">
        <v>266</v>
      </c>
      <c r="CH34" s="237">
        <v>1</v>
      </c>
      <c r="CI34" s="248">
        <v>5</v>
      </c>
      <c r="CJ34" s="163"/>
      <c r="CK34" s="202">
        <v>32</v>
      </c>
      <c r="CL34" s="229"/>
      <c r="CM34" s="230" t="s">
        <v>339</v>
      </c>
      <c r="CN34" s="246">
        <v>7</v>
      </c>
      <c r="CO34" s="247">
        <v>3</v>
      </c>
      <c r="CP34" s="219" t="s">
        <v>144</v>
      </c>
      <c r="CQ34" s="220" t="s">
        <v>539</v>
      </c>
      <c r="CR34" s="225">
        <v>11</v>
      </c>
      <c r="CS34" s="226">
        <v>8</v>
      </c>
      <c r="CT34" s="219"/>
      <c r="CU34" s="220" t="s">
        <v>502</v>
      </c>
      <c r="CV34" s="227">
        <v>8</v>
      </c>
      <c r="CW34" s="228">
        <v>11</v>
      </c>
      <c r="CX34" s="219"/>
      <c r="CY34" s="220" t="s">
        <v>394</v>
      </c>
      <c r="CZ34" s="225">
        <v>5</v>
      </c>
      <c r="DA34" s="226">
        <v>4</v>
      </c>
      <c r="DB34" s="219" t="s">
        <v>144</v>
      </c>
      <c r="DC34" s="220" t="s">
        <v>429</v>
      </c>
      <c r="DD34" s="227">
        <v>4</v>
      </c>
      <c r="DE34" s="228">
        <v>5</v>
      </c>
      <c r="DF34" s="163"/>
      <c r="DG34" s="202">
        <v>32</v>
      </c>
      <c r="DH34" s="233"/>
      <c r="DI34" s="234" t="s">
        <v>1229</v>
      </c>
      <c r="DJ34" s="261">
        <v>10</v>
      </c>
      <c r="DK34" s="262">
        <v>8</v>
      </c>
      <c r="DL34" s="313"/>
      <c r="DM34" s="314" t="s">
        <v>685</v>
      </c>
      <c r="DN34" s="315">
        <v>8</v>
      </c>
      <c r="DO34" s="316">
        <v>5</v>
      </c>
      <c r="DP34" s="313" t="s">
        <v>144</v>
      </c>
      <c r="DQ34" s="314" t="s">
        <v>717</v>
      </c>
      <c r="DR34" s="322">
        <v>5</v>
      </c>
      <c r="DS34" s="323">
        <v>8</v>
      </c>
      <c r="DT34" s="313"/>
      <c r="DU34" s="314" t="s">
        <v>650</v>
      </c>
      <c r="DV34" s="318">
        <v>8</v>
      </c>
      <c r="DW34" s="317">
        <v>4</v>
      </c>
      <c r="DX34" s="313" t="s">
        <v>144</v>
      </c>
      <c r="DY34" s="314" t="s">
        <v>580</v>
      </c>
      <c r="DZ34" s="311">
        <v>4</v>
      </c>
      <c r="EA34" s="312">
        <v>8</v>
      </c>
      <c r="EC34" s="202">
        <v>32</v>
      </c>
      <c r="ED34" s="219" t="s">
        <v>144</v>
      </c>
      <c r="EE34" s="220" t="s">
        <v>502</v>
      </c>
      <c r="EF34" s="221">
        <v>4</v>
      </c>
      <c r="EG34" s="222">
        <v>13</v>
      </c>
      <c r="EH34" s="229" t="s">
        <v>144</v>
      </c>
      <c r="EI34" s="230" t="s">
        <v>266</v>
      </c>
      <c r="EJ34" s="246">
        <v>6</v>
      </c>
      <c r="EK34" s="258">
        <v>5</v>
      </c>
      <c r="EL34" s="229"/>
      <c r="EM34" s="230" t="s">
        <v>226</v>
      </c>
      <c r="EN34" s="237">
        <v>5</v>
      </c>
      <c r="EO34" s="268">
        <v>6</v>
      </c>
      <c r="EP34" s="229" t="s">
        <v>144</v>
      </c>
      <c r="EQ34" s="230" t="s">
        <v>339</v>
      </c>
      <c r="ER34" s="246">
        <v>6</v>
      </c>
      <c r="ES34" s="258">
        <v>4</v>
      </c>
      <c r="ET34" s="229"/>
      <c r="EU34" s="230" t="s">
        <v>300</v>
      </c>
      <c r="EV34" s="237">
        <v>4</v>
      </c>
      <c r="EW34" s="248">
        <v>6</v>
      </c>
      <c r="EX34" s="163"/>
      <c r="EY34" s="202">
        <v>32</v>
      </c>
      <c r="EZ34" s="229"/>
      <c r="FA34" s="230" t="s">
        <v>165</v>
      </c>
      <c r="FB34" s="246">
        <v>13</v>
      </c>
      <c r="FC34" s="247">
        <v>4</v>
      </c>
      <c r="FD34" s="219" t="s">
        <v>144</v>
      </c>
      <c r="FE34" s="220" t="s">
        <v>429</v>
      </c>
      <c r="FF34" s="221">
        <v>7</v>
      </c>
      <c r="FG34" s="222">
        <v>9</v>
      </c>
      <c r="FH34" s="219"/>
      <c r="FI34" s="220" t="s">
        <v>539</v>
      </c>
      <c r="FJ34" s="223">
        <v>9</v>
      </c>
      <c r="FK34" s="224">
        <v>7</v>
      </c>
      <c r="FL34" s="219"/>
      <c r="FM34" s="220" t="s">
        <v>463</v>
      </c>
      <c r="FN34" s="225">
        <v>10</v>
      </c>
      <c r="FO34" s="226">
        <v>5</v>
      </c>
      <c r="FP34" s="219" t="s">
        <v>144</v>
      </c>
      <c r="FQ34" s="220" t="s">
        <v>394</v>
      </c>
      <c r="FR34" s="227">
        <v>5</v>
      </c>
      <c r="FS34" s="228">
        <v>10</v>
      </c>
      <c r="FT34" s="163"/>
      <c r="FU34" s="202">
        <v>32</v>
      </c>
      <c r="FV34" s="233"/>
      <c r="FW34" s="234" t="s">
        <v>1139</v>
      </c>
      <c r="FX34" s="254">
        <v>6</v>
      </c>
      <c r="FY34" s="260">
        <v>8</v>
      </c>
      <c r="FZ34" s="313"/>
      <c r="GA34" s="314" t="s">
        <v>580</v>
      </c>
      <c r="GB34" s="315">
        <v>5</v>
      </c>
      <c r="GC34" s="316">
        <v>0</v>
      </c>
      <c r="GD34" s="313" t="s">
        <v>144</v>
      </c>
      <c r="GE34" s="314" t="s">
        <v>685</v>
      </c>
      <c r="GF34" s="322">
        <v>0</v>
      </c>
      <c r="GG34" s="323">
        <v>5</v>
      </c>
      <c r="GH34" s="313"/>
      <c r="GI34" s="314" t="s">
        <v>611</v>
      </c>
      <c r="GJ34" s="318">
        <v>3</v>
      </c>
      <c r="GK34" s="317">
        <v>0</v>
      </c>
      <c r="GL34" s="313" t="s">
        <v>144</v>
      </c>
      <c r="GM34" s="314" t="s">
        <v>650</v>
      </c>
      <c r="GN34" s="311">
        <v>0</v>
      </c>
      <c r="GO34" s="312">
        <v>3</v>
      </c>
    </row>
    <row r="35" spans="1:197">
      <c r="A35" s="202">
        <v>33</v>
      </c>
      <c r="B35" s="244" t="s">
        <v>144</v>
      </c>
      <c r="C35" s="245" t="s">
        <v>266</v>
      </c>
      <c r="D35" s="433">
        <v>6</v>
      </c>
      <c r="E35" s="464">
        <v>0</v>
      </c>
      <c r="F35" s="244"/>
      <c r="G35" s="245" t="s">
        <v>226</v>
      </c>
      <c r="H35" s="239">
        <v>3</v>
      </c>
      <c r="I35" s="238">
        <v>9</v>
      </c>
      <c r="J35" s="241"/>
      <c r="K35" s="242" t="s">
        <v>502</v>
      </c>
      <c r="L35" s="410">
        <v>6</v>
      </c>
      <c r="M35" s="465">
        <v>4</v>
      </c>
      <c r="N35" s="244" t="s">
        <v>144</v>
      </c>
      <c r="O35" s="245" t="s">
        <v>339</v>
      </c>
      <c r="P35" s="246">
        <v>9</v>
      </c>
      <c r="Q35" s="258">
        <v>3</v>
      </c>
      <c r="R35" s="244"/>
      <c r="S35" s="245" t="s">
        <v>300</v>
      </c>
      <c r="T35" s="440">
        <v>0</v>
      </c>
      <c r="U35" s="441">
        <v>6</v>
      </c>
      <c r="V35" s="163"/>
      <c r="W35" s="202">
        <v>33</v>
      </c>
      <c r="X35" s="241"/>
      <c r="Y35" s="242" t="s">
        <v>429</v>
      </c>
      <c r="Z35" s="225">
        <v>12</v>
      </c>
      <c r="AA35" s="226">
        <v>2</v>
      </c>
      <c r="AB35" s="241" t="s">
        <v>144</v>
      </c>
      <c r="AC35" s="242" t="s">
        <v>539</v>
      </c>
      <c r="AD35" s="225">
        <v>4</v>
      </c>
      <c r="AE35" s="226">
        <v>3</v>
      </c>
      <c r="AF35" s="244" t="s">
        <v>144</v>
      </c>
      <c r="AG35" s="245" t="s">
        <v>165</v>
      </c>
      <c r="AH35" s="440">
        <v>4</v>
      </c>
      <c r="AI35" s="441">
        <v>6</v>
      </c>
      <c r="AJ35" s="241"/>
      <c r="AK35" s="242" t="s">
        <v>463</v>
      </c>
      <c r="AL35" s="221">
        <v>3</v>
      </c>
      <c r="AM35" s="222">
        <v>4</v>
      </c>
      <c r="AN35" s="241" t="s">
        <v>144</v>
      </c>
      <c r="AO35" s="242" t="s">
        <v>394</v>
      </c>
      <c r="AP35" s="227">
        <v>2</v>
      </c>
      <c r="AQ35" s="228">
        <v>12</v>
      </c>
      <c r="AR35" s="163"/>
      <c r="AS35" s="202">
        <v>33</v>
      </c>
      <c r="AT35" s="309" t="s">
        <v>144</v>
      </c>
      <c r="AU35" s="310" t="s">
        <v>580</v>
      </c>
      <c r="AV35" s="322">
        <v>5</v>
      </c>
      <c r="AW35" s="323">
        <v>6</v>
      </c>
      <c r="AX35" s="309"/>
      <c r="AY35" s="310" t="s">
        <v>685</v>
      </c>
      <c r="AZ35" s="315">
        <v>4</v>
      </c>
      <c r="BA35" s="316">
        <v>2</v>
      </c>
      <c r="BB35" s="249"/>
      <c r="BC35" s="250" t="s">
        <v>1139</v>
      </c>
      <c r="BD35" s="461">
        <v>3</v>
      </c>
      <c r="BE35" s="462">
        <v>4</v>
      </c>
      <c r="BF35" s="309" t="s">
        <v>144</v>
      </c>
      <c r="BG35" s="310" t="s">
        <v>611</v>
      </c>
      <c r="BH35" s="311">
        <v>2</v>
      </c>
      <c r="BI35" s="320">
        <v>4</v>
      </c>
      <c r="BJ35" s="309"/>
      <c r="BK35" s="310" t="s">
        <v>650</v>
      </c>
      <c r="BL35" s="315">
        <v>6</v>
      </c>
      <c r="BM35" s="316">
        <v>5</v>
      </c>
      <c r="BO35" s="202">
        <v>33</v>
      </c>
      <c r="BP35" s="244" t="s">
        <v>144</v>
      </c>
      <c r="BQ35" s="245" t="s">
        <v>300</v>
      </c>
      <c r="BR35" s="246">
        <v>1</v>
      </c>
      <c r="BS35" s="247">
        <v>0</v>
      </c>
      <c r="BT35" s="244"/>
      <c r="BU35" s="245" t="s">
        <v>266</v>
      </c>
      <c r="BV35" s="246">
        <v>5</v>
      </c>
      <c r="BW35" s="258">
        <v>0</v>
      </c>
      <c r="BX35" s="241"/>
      <c r="BY35" s="242" t="s">
        <v>539</v>
      </c>
      <c r="BZ35" s="223">
        <v>9</v>
      </c>
      <c r="CA35" s="243">
        <v>8</v>
      </c>
      <c r="CB35" s="244" t="s">
        <v>144</v>
      </c>
      <c r="CC35" s="245" t="s">
        <v>165</v>
      </c>
      <c r="CD35" s="239">
        <v>0</v>
      </c>
      <c r="CE35" s="238">
        <v>5</v>
      </c>
      <c r="CF35" s="244"/>
      <c r="CG35" s="245" t="s">
        <v>339</v>
      </c>
      <c r="CH35" s="237">
        <v>0</v>
      </c>
      <c r="CI35" s="248">
        <v>1</v>
      </c>
      <c r="CJ35" s="163"/>
      <c r="CK35" s="202">
        <v>33</v>
      </c>
      <c r="CL35" s="241"/>
      <c r="CM35" s="242" t="s">
        <v>394</v>
      </c>
      <c r="CN35" s="225">
        <v>2</v>
      </c>
      <c r="CO35" s="226">
        <v>1</v>
      </c>
      <c r="CP35" s="241" t="s">
        <v>144</v>
      </c>
      <c r="CQ35" s="242" t="s">
        <v>429</v>
      </c>
      <c r="CR35" s="225">
        <v>6</v>
      </c>
      <c r="CS35" s="226">
        <v>5</v>
      </c>
      <c r="CT35" s="244" t="s">
        <v>144</v>
      </c>
      <c r="CU35" s="245" t="s">
        <v>226</v>
      </c>
      <c r="CV35" s="237">
        <v>8</v>
      </c>
      <c r="CW35" s="248">
        <v>9</v>
      </c>
      <c r="CX35" s="241"/>
      <c r="CY35" s="242" t="s">
        <v>502</v>
      </c>
      <c r="CZ35" s="221">
        <v>5</v>
      </c>
      <c r="DA35" s="222">
        <v>6</v>
      </c>
      <c r="DB35" s="241" t="s">
        <v>144</v>
      </c>
      <c r="DC35" s="242" t="s">
        <v>463</v>
      </c>
      <c r="DD35" s="227">
        <v>1</v>
      </c>
      <c r="DE35" s="228">
        <v>2</v>
      </c>
      <c r="DF35" s="163"/>
      <c r="DG35" s="202">
        <v>33</v>
      </c>
      <c r="DH35" s="309" t="s">
        <v>144</v>
      </c>
      <c r="DI35" s="310" t="s">
        <v>650</v>
      </c>
      <c r="DJ35" s="318">
        <v>7</v>
      </c>
      <c r="DK35" s="321">
        <v>5</v>
      </c>
      <c r="DL35" s="309"/>
      <c r="DM35" s="310" t="s">
        <v>580</v>
      </c>
      <c r="DN35" s="311">
        <v>0</v>
      </c>
      <c r="DO35" s="312">
        <v>6</v>
      </c>
      <c r="DP35" s="249"/>
      <c r="DQ35" s="250" t="s">
        <v>1171</v>
      </c>
      <c r="DR35" s="261">
        <v>8</v>
      </c>
      <c r="DS35" s="262">
        <v>3</v>
      </c>
      <c r="DT35" s="309" t="s">
        <v>144</v>
      </c>
      <c r="DU35" s="310" t="s">
        <v>717</v>
      </c>
      <c r="DV35" s="315">
        <v>6</v>
      </c>
      <c r="DW35" s="317">
        <v>0</v>
      </c>
      <c r="DX35" s="309"/>
      <c r="DY35" s="310" t="s">
        <v>611</v>
      </c>
      <c r="DZ35" s="311">
        <v>5</v>
      </c>
      <c r="EA35" s="312">
        <v>7</v>
      </c>
      <c r="EC35" s="202">
        <v>33</v>
      </c>
      <c r="ED35" s="244" t="s">
        <v>144</v>
      </c>
      <c r="EE35" s="245" t="s">
        <v>339</v>
      </c>
      <c r="EF35" s="239">
        <v>0</v>
      </c>
      <c r="EG35" s="240">
        <v>10</v>
      </c>
      <c r="EH35" s="244"/>
      <c r="EI35" s="245" t="s">
        <v>300</v>
      </c>
      <c r="EJ35" s="239">
        <v>2</v>
      </c>
      <c r="EK35" s="238">
        <v>9</v>
      </c>
      <c r="EL35" s="241"/>
      <c r="EM35" s="242" t="s">
        <v>429</v>
      </c>
      <c r="EN35" s="227">
        <v>5</v>
      </c>
      <c r="EO35" s="253">
        <v>7</v>
      </c>
      <c r="EP35" s="244" t="s">
        <v>144</v>
      </c>
      <c r="EQ35" s="245" t="s">
        <v>226</v>
      </c>
      <c r="ER35" s="246">
        <v>9</v>
      </c>
      <c r="ES35" s="258">
        <v>2</v>
      </c>
      <c r="ET35" s="244"/>
      <c r="EU35" s="245" t="s">
        <v>165</v>
      </c>
      <c r="EV35" s="231">
        <v>10</v>
      </c>
      <c r="EW35" s="232">
        <v>0</v>
      </c>
      <c r="EX35" s="163"/>
      <c r="EY35" s="202">
        <v>33</v>
      </c>
      <c r="EZ35" s="241"/>
      <c r="FA35" s="242" t="s">
        <v>463</v>
      </c>
      <c r="FB35" s="225">
        <v>9</v>
      </c>
      <c r="FC35" s="226">
        <v>8</v>
      </c>
      <c r="FD35" s="241" t="s">
        <v>144</v>
      </c>
      <c r="FE35" s="242" t="s">
        <v>394</v>
      </c>
      <c r="FF35" s="225">
        <v>10</v>
      </c>
      <c r="FG35" s="226">
        <v>7</v>
      </c>
      <c r="FH35" s="244" t="s">
        <v>144</v>
      </c>
      <c r="FI35" s="245" t="s">
        <v>266</v>
      </c>
      <c r="FJ35" s="231">
        <v>7</v>
      </c>
      <c r="FK35" s="232">
        <v>5</v>
      </c>
      <c r="FL35" s="241"/>
      <c r="FM35" s="242" t="s">
        <v>539</v>
      </c>
      <c r="FN35" s="221">
        <v>7</v>
      </c>
      <c r="FO35" s="222">
        <v>10</v>
      </c>
      <c r="FP35" s="241" t="s">
        <v>144</v>
      </c>
      <c r="FQ35" s="242" t="s">
        <v>502</v>
      </c>
      <c r="FR35" s="227">
        <v>8</v>
      </c>
      <c r="FS35" s="228">
        <v>9</v>
      </c>
      <c r="FT35" s="163"/>
      <c r="FU35" s="202">
        <v>33</v>
      </c>
      <c r="FV35" s="309" t="s">
        <v>144</v>
      </c>
      <c r="FW35" s="310" t="s">
        <v>611</v>
      </c>
      <c r="FX35" s="322">
        <v>1</v>
      </c>
      <c r="FY35" s="323">
        <v>2</v>
      </c>
      <c r="FZ35" s="309"/>
      <c r="GA35" s="310" t="s">
        <v>650</v>
      </c>
      <c r="GB35" s="315">
        <v>10</v>
      </c>
      <c r="GC35" s="316">
        <v>1</v>
      </c>
      <c r="GD35" s="249"/>
      <c r="GE35" s="250" t="s">
        <v>1200</v>
      </c>
      <c r="GF35" s="261">
        <v>7</v>
      </c>
      <c r="GG35" s="262">
        <v>0</v>
      </c>
      <c r="GH35" s="309" t="s">
        <v>144</v>
      </c>
      <c r="GI35" s="310" t="s">
        <v>685</v>
      </c>
      <c r="GJ35" s="311">
        <v>1</v>
      </c>
      <c r="GK35" s="320">
        <v>10</v>
      </c>
      <c r="GL35" s="309"/>
      <c r="GM35" s="310" t="s">
        <v>717</v>
      </c>
      <c r="GN35" s="315">
        <v>2</v>
      </c>
      <c r="GO35" s="316">
        <v>1</v>
      </c>
    </row>
    <row r="36" spans="1:197">
      <c r="A36" s="202">
        <v>34</v>
      </c>
      <c r="B36" s="229" t="s">
        <v>144</v>
      </c>
      <c r="C36" s="230" t="s">
        <v>266</v>
      </c>
      <c r="D36" s="246">
        <v>6</v>
      </c>
      <c r="E36" s="247">
        <v>2</v>
      </c>
      <c r="F36" s="229"/>
      <c r="G36" s="230" t="s">
        <v>226</v>
      </c>
      <c r="H36" s="394">
        <v>2</v>
      </c>
      <c r="I36" s="398">
        <v>7</v>
      </c>
      <c r="J36" s="219"/>
      <c r="K36" s="220" t="s">
        <v>502</v>
      </c>
      <c r="L36" s="410">
        <v>13</v>
      </c>
      <c r="M36" s="465">
        <v>4</v>
      </c>
      <c r="N36" s="229" t="s">
        <v>144</v>
      </c>
      <c r="O36" s="230" t="s">
        <v>339</v>
      </c>
      <c r="P36" s="433">
        <v>7</v>
      </c>
      <c r="Q36" s="432">
        <v>2</v>
      </c>
      <c r="R36" s="229"/>
      <c r="S36" s="230" t="s">
        <v>300</v>
      </c>
      <c r="T36" s="237">
        <v>2</v>
      </c>
      <c r="U36" s="248">
        <v>6</v>
      </c>
      <c r="V36" s="163"/>
      <c r="W36" s="202">
        <v>34</v>
      </c>
      <c r="X36" s="219"/>
      <c r="Y36" s="220" t="s">
        <v>429</v>
      </c>
      <c r="Z36" s="221">
        <v>3</v>
      </c>
      <c r="AA36" s="222">
        <v>6</v>
      </c>
      <c r="AB36" s="219" t="s">
        <v>144</v>
      </c>
      <c r="AC36" s="220" t="s">
        <v>539</v>
      </c>
      <c r="AD36" s="392">
        <v>3</v>
      </c>
      <c r="AE36" s="390">
        <v>2</v>
      </c>
      <c r="AF36" s="229" t="s">
        <v>144</v>
      </c>
      <c r="AG36" s="230" t="s">
        <v>165</v>
      </c>
      <c r="AH36" s="440">
        <v>4</v>
      </c>
      <c r="AI36" s="441">
        <v>13</v>
      </c>
      <c r="AJ36" s="219"/>
      <c r="AK36" s="220" t="s">
        <v>463</v>
      </c>
      <c r="AL36" s="434">
        <v>2</v>
      </c>
      <c r="AM36" s="435">
        <v>3</v>
      </c>
      <c r="AN36" s="219" t="s">
        <v>144</v>
      </c>
      <c r="AO36" s="220" t="s">
        <v>394</v>
      </c>
      <c r="AP36" s="223">
        <v>6</v>
      </c>
      <c r="AQ36" s="224">
        <v>3</v>
      </c>
      <c r="AR36" s="163"/>
      <c r="AS36" s="202">
        <v>34</v>
      </c>
      <c r="AT36" s="313" t="s">
        <v>144</v>
      </c>
      <c r="AU36" s="314" t="s">
        <v>580</v>
      </c>
      <c r="AV36" s="418">
        <v>7</v>
      </c>
      <c r="AW36" s="419">
        <v>8</v>
      </c>
      <c r="AX36" s="313"/>
      <c r="AY36" s="314" t="s">
        <v>685</v>
      </c>
      <c r="AZ36" s="422">
        <v>4</v>
      </c>
      <c r="BA36" s="421">
        <v>2</v>
      </c>
      <c r="BB36" s="233"/>
      <c r="BC36" s="234" t="s">
        <v>1139</v>
      </c>
      <c r="BD36" s="461">
        <v>1</v>
      </c>
      <c r="BE36" s="462">
        <v>6</v>
      </c>
      <c r="BF36" s="313" t="s">
        <v>144</v>
      </c>
      <c r="BG36" s="314" t="s">
        <v>611</v>
      </c>
      <c r="BH36" s="418">
        <v>2</v>
      </c>
      <c r="BI36" s="453">
        <v>4</v>
      </c>
      <c r="BJ36" s="313"/>
      <c r="BK36" s="314" t="s">
        <v>650</v>
      </c>
      <c r="BL36" s="422">
        <v>8</v>
      </c>
      <c r="BM36" s="421">
        <v>7</v>
      </c>
      <c r="BO36" s="202">
        <v>34</v>
      </c>
      <c r="BP36" s="229" t="s">
        <v>144</v>
      </c>
      <c r="BQ36" s="230" t="s">
        <v>300</v>
      </c>
      <c r="BR36" s="239">
        <v>1</v>
      </c>
      <c r="BS36" s="240">
        <v>2</v>
      </c>
      <c r="BT36" s="229"/>
      <c r="BU36" s="230" t="s">
        <v>266</v>
      </c>
      <c r="BV36" s="239">
        <v>1</v>
      </c>
      <c r="BW36" s="238">
        <v>5</v>
      </c>
      <c r="BX36" s="219"/>
      <c r="BY36" s="220" t="s">
        <v>539</v>
      </c>
      <c r="BZ36" s="223">
        <v>7</v>
      </c>
      <c r="CA36" s="243">
        <v>3</v>
      </c>
      <c r="CB36" s="229" t="s">
        <v>144</v>
      </c>
      <c r="CC36" s="230" t="s">
        <v>165</v>
      </c>
      <c r="CD36" s="246">
        <v>5</v>
      </c>
      <c r="CE36" s="258">
        <v>1</v>
      </c>
      <c r="CF36" s="229"/>
      <c r="CG36" s="230" t="s">
        <v>339</v>
      </c>
      <c r="CH36" s="231">
        <v>2</v>
      </c>
      <c r="CI36" s="232">
        <v>1</v>
      </c>
      <c r="CJ36" s="163"/>
      <c r="CK36" s="202">
        <v>34</v>
      </c>
      <c r="CL36" s="219"/>
      <c r="CM36" s="220" t="s">
        <v>394</v>
      </c>
      <c r="CN36" s="221">
        <v>6</v>
      </c>
      <c r="CO36" s="222">
        <v>12</v>
      </c>
      <c r="CP36" s="219" t="s">
        <v>144</v>
      </c>
      <c r="CQ36" s="220" t="s">
        <v>429</v>
      </c>
      <c r="CR36" s="225">
        <v>6</v>
      </c>
      <c r="CS36" s="226">
        <v>4</v>
      </c>
      <c r="CT36" s="229" t="s">
        <v>144</v>
      </c>
      <c r="CU36" s="230" t="s">
        <v>226</v>
      </c>
      <c r="CV36" s="237">
        <v>3</v>
      </c>
      <c r="CW36" s="248">
        <v>7</v>
      </c>
      <c r="CX36" s="219"/>
      <c r="CY36" s="220" t="s">
        <v>502</v>
      </c>
      <c r="CZ36" s="221">
        <v>4</v>
      </c>
      <c r="DA36" s="222">
        <v>6</v>
      </c>
      <c r="DB36" s="219" t="s">
        <v>144</v>
      </c>
      <c r="DC36" s="220" t="s">
        <v>463</v>
      </c>
      <c r="DD36" s="223">
        <v>12</v>
      </c>
      <c r="DE36" s="224">
        <v>6</v>
      </c>
      <c r="DF36" s="163"/>
      <c r="DG36" s="202">
        <v>34</v>
      </c>
      <c r="DH36" s="313" t="s">
        <v>144</v>
      </c>
      <c r="DI36" s="314" t="s">
        <v>650</v>
      </c>
      <c r="DJ36" s="322">
        <v>3</v>
      </c>
      <c r="DK36" s="323">
        <v>6</v>
      </c>
      <c r="DL36" s="313"/>
      <c r="DM36" s="314" t="s">
        <v>580</v>
      </c>
      <c r="DN36" s="315">
        <v>3</v>
      </c>
      <c r="DO36" s="316">
        <v>2</v>
      </c>
      <c r="DP36" s="233"/>
      <c r="DQ36" s="234" t="s">
        <v>1171</v>
      </c>
      <c r="DR36" s="261">
        <v>5</v>
      </c>
      <c r="DS36" s="262">
        <v>4</v>
      </c>
      <c r="DT36" s="313" t="s">
        <v>144</v>
      </c>
      <c r="DU36" s="314" t="s">
        <v>717</v>
      </c>
      <c r="DV36" s="322">
        <v>2</v>
      </c>
      <c r="DW36" s="320">
        <v>3</v>
      </c>
      <c r="DX36" s="313"/>
      <c r="DY36" s="314" t="s">
        <v>611</v>
      </c>
      <c r="DZ36" s="315">
        <v>6</v>
      </c>
      <c r="EA36" s="316">
        <v>3</v>
      </c>
      <c r="EC36" s="202">
        <v>34</v>
      </c>
      <c r="ED36" s="229" t="s">
        <v>144</v>
      </c>
      <c r="EE36" s="230" t="s">
        <v>339</v>
      </c>
      <c r="EF36" s="246">
        <v>6</v>
      </c>
      <c r="EG36" s="247">
        <v>0</v>
      </c>
      <c r="EH36" s="229"/>
      <c r="EI36" s="230" t="s">
        <v>300</v>
      </c>
      <c r="EJ36" s="246">
        <v>4</v>
      </c>
      <c r="EK36" s="258">
        <v>2</v>
      </c>
      <c r="EL36" s="219"/>
      <c r="EM36" s="220" t="s">
        <v>429</v>
      </c>
      <c r="EN36" s="227">
        <v>2</v>
      </c>
      <c r="EO36" s="253">
        <v>9</v>
      </c>
      <c r="EP36" s="229" t="s">
        <v>144</v>
      </c>
      <c r="EQ36" s="230" t="s">
        <v>226</v>
      </c>
      <c r="ER36" s="239">
        <v>2</v>
      </c>
      <c r="ES36" s="238">
        <v>4</v>
      </c>
      <c r="ET36" s="229"/>
      <c r="EU36" s="230" t="s">
        <v>165</v>
      </c>
      <c r="EV36" s="237">
        <v>0</v>
      </c>
      <c r="EW36" s="248">
        <v>6</v>
      </c>
      <c r="EX36" s="163"/>
      <c r="EY36" s="202">
        <v>34</v>
      </c>
      <c r="EZ36" s="219"/>
      <c r="FA36" s="220" t="s">
        <v>463</v>
      </c>
      <c r="FB36" s="221">
        <v>0</v>
      </c>
      <c r="FC36" s="222">
        <v>4</v>
      </c>
      <c r="FD36" s="219" t="s">
        <v>144</v>
      </c>
      <c r="FE36" s="220" t="s">
        <v>394</v>
      </c>
      <c r="FF36" s="221">
        <v>4</v>
      </c>
      <c r="FG36" s="222">
        <v>7</v>
      </c>
      <c r="FH36" s="229" t="s">
        <v>144</v>
      </c>
      <c r="FI36" s="230" t="s">
        <v>266</v>
      </c>
      <c r="FJ36" s="231">
        <v>9</v>
      </c>
      <c r="FK36" s="232">
        <v>2</v>
      </c>
      <c r="FL36" s="219"/>
      <c r="FM36" s="220" t="s">
        <v>539</v>
      </c>
      <c r="FN36" s="225">
        <v>7</v>
      </c>
      <c r="FO36" s="226">
        <v>4</v>
      </c>
      <c r="FP36" s="219" t="s">
        <v>144</v>
      </c>
      <c r="FQ36" s="220" t="s">
        <v>502</v>
      </c>
      <c r="FR36" s="223">
        <v>4</v>
      </c>
      <c r="FS36" s="224">
        <v>0</v>
      </c>
      <c r="FT36" s="163"/>
      <c r="FU36" s="202">
        <v>34</v>
      </c>
      <c r="FV36" s="313" t="s">
        <v>144</v>
      </c>
      <c r="FW36" s="314" t="s">
        <v>611</v>
      </c>
      <c r="FX36" s="318">
        <v>7</v>
      </c>
      <c r="FY36" s="321">
        <v>1</v>
      </c>
      <c r="FZ36" s="313"/>
      <c r="GA36" s="314" t="s">
        <v>650</v>
      </c>
      <c r="GB36" s="311">
        <v>2</v>
      </c>
      <c r="GC36" s="312">
        <v>4</v>
      </c>
      <c r="GD36" s="233"/>
      <c r="GE36" s="234" t="s">
        <v>1200</v>
      </c>
      <c r="GF36" s="261">
        <v>4</v>
      </c>
      <c r="GG36" s="262">
        <v>1</v>
      </c>
      <c r="GH36" s="313" t="s">
        <v>144</v>
      </c>
      <c r="GI36" s="314" t="s">
        <v>685</v>
      </c>
      <c r="GJ36" s="318">
        <v>4</v>
      </c>
      <c r="GK36" s="317">
        <v>2</v>
      </c>
      <c r="GL36" s="313"/>
      <c r="GM36" s="314" t="s">
        <v>717</v>
      </c>
      <c r="GN36" s="311">
        <v>1</v>
      </c>
      <c r="GO36" s="312">
        <v>7</v>
      </c>
    </row>
    <row r="37" spans="1:197">
      <c r="A37" s="202">
        <v>35</v>
      </c>
      <c r="B37" s="244" t="s">
        <v>144</v>
      </c>
      <c r="C37" s="245" t="s">
        <v>226</v>
      </c>
      <c r="D37" s="394">
        <v>4</v>
      </c>
      <c r="E37" s="396">
        <v>5</v>
      </c>
      <c r="F37" s="241" t="s">
        <v>144</v>
      </c>
      <c r="G37" s="242" t="s">
        <v>463</v>
      </c>
      <c r="H37" s="434">
        <v>3</v>
      </c>
      <c r="I37" s="451">
        <v>14</v>
      </c>
      <c r="J37" s="244" t="s">
        <v>144</v>
      </c>
      <c r="K37" s="245" t="s">
        <v>266</v>
      </c>
      <c r="L37" s="231">
        <v>5</v>
      </c>
      <c r="M37" s="264">
        <v>4</v>
      </c>
      <c r="N37" s="244"/>
      <c r="O37" s="245" t="s">
        <v>300</v>
      </c>
      <c r="P37" s="433">
        <v>5</v>
      </c>
      <c r="Q37" s="432">
        <v>4</v>
      </c>
      <c r="R37" s="244"/>
      <c r="S37" s="245" t="s">
        <v>165</v>
      </c>
      <c r="T37" s="237">
        <v>4</v>
      </c>
      <c r="U37" s="248">
        <v>5</v>
      </c>
      <c r="V37" s="163"/>
      <c r="W37" s="202">
        <v>35</v>
      </c>
      <c r="X37" s="241"/>
      <c r="Y37" s="242" t="s">
        <v>539</v>
      </c>
      <c r="Z37" s="225">
        <v>6</v>
      </c>
      <c r="AA37" s="226">
        <v>5</v>
      </c>
      <c r="AB37" s="244"/>
      <c r="AC37" s="245" t="s">
        <v>339</v>
      </c>
      <c r="AD37" s="433">
        <v>14</v>
      </c>
      <c r="AE37" s="464">
        <v>3</v>
      </c>
      <c r="AF37" s="241" t="s">
        <v>144</v>
      </c>
      <c r="AG37" s="242" t="s">
        <v>429</v>
      </c>
      <c r="AH37" s="408">
        <v>1</v>
      </c>
      <c r="AI37" s="409">
        <v>8</v>
      </c>
      <c r="AJ37" s="241" t="s">
        <v>144</v>
      </c>
      <c r="AK37" s="242" t="s">
        <v>394</v>
      </c>
      <c r="AL37" s="221">
        <v>5</v>
      </c>
      <c r="AM37" s="222">
        <v>6</v>
      </c>
      <c r="AN37" s="241"/>
      <c r="AO37" s="242" t="s">
        <v>502</v>
      </c>
      <c r="AP37" s="410">
        <v>8</v>
      </c>
      <c r="AQ37" s="411">
        <v>1</v>
      </c>
      <c r="AR37" s="163"/>
      <c r="AS37" s="202">
        <v>35</v>
      </c>
      <c r="AT37" s="309"/>
      <c r="AU37" s="310" t="s">
        <v>685</v>
      </c>
      <c r="AV37" s="418">
        <v>4</v>
      </c>
      <c r="AW37" s="419">
        <v>5</v>
      </c>
      <c r="AX37" s="249" t="s">
        <v>144</v>
      </c>
      <c r="AY37" s="250" t="s">
        <v>1229</v>
      </c>
      <c r="AZ37" s="235">
        <v>2</v>
      </c>
      <c r="BA37" s="236">
        <v>4</v>
      </c>
      <c r="BB37" s="309" t="s">
        <v>144</v>
      </c>
      <c r="BC37" s="310" t="s">
        <v>580</v>
      </c>
      <c r="BD37" s="318">
        <v>5</v>
      </c>
      <c r="BE37" s="321">
        <v>3</v>
      </c>
      <c r="BF37" s="309" t="s">
        <v>144</v>
      </c>
      <c r="BG37" s="310" t="s">
        <v>650</v>
      </c>
      <c r="BH37" s="422">
        <v>5</v>
      </c>
      <c r="BI37" s="414">
        <v>4</v>
      </c>
      <c r="BJ37" s="309"/>
      <c r="BK37" s="310" t="s">
        <v>717</v>
      </c>
      <c r="BL37" s="311">
        <v>3</v>
      </c>
      <c r="BM37" s="312">
        <v>5</v>
      </c>
      <c r="BO37" s="202">
        <v>35</v>
      </c>
      <c r="BP37" s="244" t="s">
        <v>144</v>
      </c>
      <c r="BQ37" s="245" t="s">
        <v>266</v>
      </c>
      <c r="BR37" s="246">
        <v>9</v>
      </c>
      <c r="BS37" s="247">
        <v>4</v>
      </c>
      <c r="BT37" s="241" t="s">
        <v>144</v>
      </c>
      <c r="BU37" s="242" t="s">
        <v>502</v>
      </c>
      <c r="BV37" s="221">
        <v>3</v>
      </c>
      <c r="BW37" s="259">
        <v>4</v>
      </c>
      <c r="BX37" s="244" t="s">
        <v>144</v>
      </c>
      <c r="BY37" s="245" t="s">
        <v>300</v>
      </c>
      <c r="BZ37" s="237">
        <v>1</v>
      </c>
      <c r="CA37" s="268">
        <v>4</v>
      </c>
      <c r="CB37" s="244"/>
      <c r="CC37" s="245" t="s">
        <v>339</v>
      </c>
      <c r="CD37" s="239">
        <v>4</v>
      </c>
      <c r="CE37" s="238">
        <v>9</v>
      </c>
      <c r="CF37" s="244"/>
      <c r="CG37" s="245" t="s">
        <v>226</v>
      </c>
      <c r="CH37" s="231">
        <v>4</v>
      </c>
      <c r="CI37" s="232">
        <v>1</v>
      </c>
      <c r="CJ37" s="163"/>
      <c r="CK37" s="202">
        <v>35</v>
      </c>
      <c r="CL37" s="241"/>
      <c r="CM37" s="242" t="s">
        <v>429</v>
      </c>
      <c r="CN37" s="221">
        <v>5</v>
      </c>
      <c r="CO37" s="222">
        <v>8</v>
      </c>
      <c r="CP37" s="244"/>
      <c r="CQ37" s="245" t="s">
        <v>165</v>
      </c>
      <c r="CR37" s="246">
        <v>4</v>
      </c>
      <c r="CS37" s="247">
        <v>3</v>
      </c>
      <c r="CT37" s="241" t="s">
        <v>144</v>
      </c>
      <c r="CU37" s="242" t="s">
        <v>394</v>
      </c>
      <c r="CV37" s="223">
        <v>13</v>
      </c>
      <c r="CW37" s="224">
        <v>7</v>
      </c>
      <c r="CX37" s="241" t="s">
        <v>144</v>
      </c>
      <c r="CY37" s="242" t="s">
        <v>463</v>
      </c>
      <c r="CZ37" s="225">
        <v>8</v>
      </c>
      <c r="DA37" s="226">
        <v>5</v>
      </c>
      <c r="DB37" s="241"/>
      <c r="DC37" s="242" t="s">
        <v>539</v>
      </c>
      <c r="DD37" s="227">
        <v>7</v>
      </c>
      <c r="DE37" s="228">
        <v>13</v>
      </c>
      <c r="DF37" s="163"/>
      <c r="DG37" s="202">
        <v>35</v>
      </c>
      <c r="DH37" s="309"/>
      <c r="DI37" s="310" t="s">
        <v>580</v>
      </c>
      <c r="DJ37" s="322">
        <v>4</v>
      </c>
      <c r="DK37" s="323">
        <v>7</v>
      </c>
      <c r="DL37" s="249" t="s">
        <v>144</v>
      </c>
      <c r="DM37" s="250" t="s">
        <v>1139</v>
      </c>
      <c r="DN37" s="235">
        <v>0</v>
      </c>
      <c r="DO37" s="236">
        <v>4</v>
      </c>
      <c r="DP37" s="309" t="s">
        <v>144</v>
      </c>
      <c r="DQ37" s="310" t="s">
        <v>650</v>
      </c>
      <c r="DR37" s="322">
        <v>2</v>
      </c>
      <c r="DS37" s="323">
        <v>3</v>
      </c>
      <c r="DT37" s="309" t="s">
        <v>144</v>
      </c>
      <c r="DU37" s="310" t="s">
        <v>611</v>
      </c>
      <c r="DV37" s="315">
        <v>7</v>
      </c>
      <c r="DW37" s="317">
        <v>4</v>
      </c>
      <c r="DX37" s="309"/>
      <c r="DY37" s="310" t="s">
        <v>685</v>
      </c>
      <c r="DZ37" s="315">
        <v>3</v>
      </c>
      <c r="EA37" s="316">
        <v>2</v>
      </c>
      <c r="EC37" s="202">
        <v>35</v>
      </c>
      <c r="ED37" s="244" t="s">
        <v>144</v>
      </c>
      <c r="EE37" s="245" t="s">
        <v>300</v>
      </c>
      <c r="EF37" s="246">
        <v>8</v>
      </c>
      <c r="EG37" s="247">
        <v>6</v>
      </c>
      <c r="EH37" s="241" t="s">
        <v>144</v>
      </c>
      <c r="EI37" s="242" t="s">
        <v>539</v>
      </c>
      <c r="EJ37" s="225">
        <v>4</v>
      </c>
      <c r="EK37" s="256">
        <v>3</v>
      </c>
      <c r="EL37" s="244" t="s">
        <v>144</v>
      </c>
      <c r="EM37" s="245" t="s">
        <v>339</v>
      </c>
      <c r="EN37" s="231">
        <v>6</v>
      </c>
      <c r="EO37" s="264">
        <v>1</v>
      </c>
      <c r="EP37" s="244"/>
      <c r="EQ37" s="245" t="s">
        <v>165</v>
      </c>
      <c r="ER37" s="239">
        <v>6</v>
      </c>
      <c r="ES37" s="238">
        <v>8</v>
      </c>
      <c r="ET37" s="244"/>
      <c r="EU37" s="245" t="s">
        <v>266</v>
      </c>
      <c r="EV37" s="237">
        <v>1</v>
      </c>
      <c r="EW37" s="248">
        <v>6</v>
      </c>
      <c r="EX37" s="163"/>
      <c r="EY37" s="202">
        <v>35</v>
      </c>
      <c r="EZ37" s="241"/>
      <c r="FA37" s="242" t="s">
        <v>394</v>
      </c>
      <c r="FB37" s="225">
        <v>9</v>
      </c>
      <c r="FC37" s="226">
        <v>8</v>
      </c>
      <c r="FD37" s="244"/>
      <c r="FE37" s="245" t="s">
        <v>226</v>
      </c>
      <c r="FF37" s="239">
        <v>3</v>
      </c>
      <c r="FG37" s="240">
        <v>4</v>
      </c>
      <c r="FH37" s="241" t="s">
        <v>144</v>
      </c>
      <c r="FI37" s="242" t="s">
        <v>463</v>
      </c>
      <c r="FJ37" s="223">
        <v>8</v>
      </c>
      <c r="FK37" s="224">
        <v>1</v>
      </c>
      <c r="FL37" s="241" t="s">
        <v>144</v>
      </c>
      <c r="FM37" s="242" t="s">
        <v>502</v>
      </c>
      <c r="FN37" s="221">
        <v>8</v>
      </c>
      <c r="FO37" s="222">
        <v>9</v>
      </c>
      <c r="FP37" s="241"/>
      <c r="FQ37" s="242" t="s">
        <v>429</v>
      </c>
      <c r="FR37" s="227">
        <v>1</v>
      </c>
      <c r="FS37" s="228">
        <v>8</v>
      </c>
      <c r="FT37" s="163"/>
      <c r="FU37" s="202">
        <v>35</v>
      </c>
      <c r="FV37" s="309"/>
      <c r="FW37" s="310" t="s">
        <v>650</v>
      </c>
      <c r="FX37" s="318">
        <v>4</v>
      </c>
      <c r="FY37" s="321">
        <v>3</v>
      </c>
      <c r="FZ37" s="249" t="s">
        <v>144</v>
      </c>
      <c r="GA37" s="250" t="s">
        <v>1171</v>
      </c>
      <c r="GB37" s="235">
        <v>1</v>
      </c>
      <c r="GC37" s="236">
        <v>3</v>
      </c>
      <c r="GD37" s="309" t="s">
        <v>144</v>
      </c>
      <c r="GE37" s="310" t="s">
        <v>611</v>
      </c>
      <c r="GF37" s="318">
        <v>10</v>
      </c>
      <c r="GG37" s="321">
        <v>7</v>
      </c>
      <c r="GH37" s="309" t="s">
        <v>144</v>
      </c>
      <c r="GI37" s="310" t="s">
        <v>717</v>
      </c>
      <c r="GJ37" s="311">
        <v>3</v>
      </c>
      <c r="GK37" s="320">
        <v>4</v>
      </c>
      <c r="GL37" s="309"/>
      <c r="GM37" s="310" t="s">
        <v>580</v>
      </c>
      <c r="GN37" s="311">
        <v>7</v>
      </c>
      <c r="GO37" s="312">
        <v>10</v>
      </c>
    </row>
    <row r="38" spans="1:197">
      <c r="A38" s="202">
        <v>36</v>
      </c>
      <c r="B38" s="229" t="s">
        <v>144</v>
      </c>
      <c r="C38" s="230" t="s">
        <v>226</v>
      </c>
      <c r="D38" s="433">
        <v>5</v>
      </c>
      <c r="E38" s="464">
        <v>2</v>
      </c>
      <c r="F38" s="219" t="s">
        <v>144</v>
      </c>
      <c r="G38" s="220" t="s">
        <v>463</v>
      </c>
      <c r="H38" s="221">
        <v>2</v>
      </c>
      <c r="I38" s="451">
        <v>3</v>
      </c>
      <c r="J38" s="229" t="s">
        <v>144</v>
      </c>
      <c r="K38" s="230" t="s">
        <v>266</v>
      </c>
      <c r="L38" s="231">
        <v>12</v>
      </c>
      <c r="M38" s="264">
        <v>2</v>
      </c>
      <c r="N38" s="229"/>
      <c r="O38" s="230" t="s">
        <v>300</v>
      </c>
      <c r="P38" s="394">
        <v>2</v>
      </c>
      <c r="Q38" s="398">
        <v>5</v>
      </c>
      <c r="R38" s="229"/>
      <c r="S38" s="230" t="s">
        <v>165</v>
      </c>
      <c r="T38" s="237">
        <v>2</v>
      </c>
      <c r="U38" s="248">
        <v>12</v>
      </c>
      <c r="V38" s="163"/>
      <c r="W38" s="202">
        <v>36</v>
      </c>
      <c r="X38" s="219"/>
      <c r="Y38" s="220" t="s">
        <v>539</v>
      </c>
      <c r="Z38" s="434">
        <v>4</v>
      </c>
      <c r="AA38" s="451">
        <v>7</v>
      </c>
      <c r="AB38" s="229"/>
      <c r="AC38" s="230" t="s">
        <v>339</v>
      </c>
      <c r="AD38" s="246">
        <v>3</v>
      </c>
      <c r="AE38" s="247">
        <v>2</v>
      </c>
      <c r="AF38" s="219" t="s">
        <v>144</v>
      </c>
      <c r="AG38" s="220" t="s">
        <v>429</v>
      </c>
      <c r="AH38" s="408">
        <v>6</v>
      </c>
      <c r="AI38" s="409">
        <v>7</v>
      </c>
      <c r="AJ38" s="219" t="s">
        <v>144</v>
      </c>
      <c r="AK38" s="220" t="s">
        <v>394</v>
      </c>
      <c r="AL38" s="392">
        <v>7</v>
      </c>
      <c r="AM38" s="390">
        <v>4</v>
      </c>
      <c r="AN38" s="219"/>
      <c r="AO38" s="220" t="s">
        <v>502</v>
      </c>
      <c r="AP38" s="410">
        <v>7</v>
      </c>
      <c r="AQ38" s="411">
        <v>6</v>
      </c>
      <c r="AR38" s="163"/>
      <c r="AS38" s="202">
        <v>36</v>
      </c>
      <c r="AT38" s="313"/>
      <c r="AU38" s="314" t="s">
        <v>685</v>
      </c>
      <c r="AV38" s="322">
        <v>7</v>
      </c>
      <c r="AW38" s="323">
        <v>12</v>
      </c>
      <c r="AX38" s="233" t="s">
        <v>144</v>
      </c>
      <c r="AY38" s="234" t="s">
        <v>1229</v>
      </c>
      <c r="AZ38" s="251">
        <v>8</v>
      </c>
      <c r="BA38" s="257">
        <v>6</v>
      </c>
      <c r="BB38" s="313" t="s">
        <v>144</v>
      </c>
      <c r="BC38" s="314" t="s">
        <v>580</v>
      </c>
      <c r="BD38" s="418">
        <v>1</v>
      </c>
      <c r="BE38" s="419">
        <v>12</v>
      </c>
      <c r="BF38" s="313" t="s">
        <v>144</v>
      </c>
      <c r="BG38" s="314" t="s">
        <v>650</v>
      </c>
      <c r="BH38" s="318">
        <v>12</v>
      </c>
      <c r="BI38" s="317">
        <v>7</v>
      </c>
      <c r="BJ38" s="313"/>
      <c r="BK38" s="314" t="s">
        <v>717</v>
      </c>
      <c r="BL38" s="422">
        <v>12</v>
      </c>
      <c r="BM38" s="421">
        <v>1</v>
      </c>
      <c r="BO38" s="202">
        <v>36</v>
      </c>
      <c r="BP38" s="229" t="s">
        <v>144</v>
      </c>
      <c r="BQ38" s="230" t="s">
        <v>266</v>
      </c>
      <c r="BR38" s="239">
        <v>1</v>
      </c>
      <c r="BS38" s="240">
        <v>2</v>
      </c>
      <c r="BT38" s="219" t="s">
        <v>144</v>
      </c>
      <c r="BU38" s="220" t="s">
        <v>502</v>
      </c>
      <c r="BV38" s="225">
        <v>8</v>
      </c>
      <c r="BW38" s="256">
        <v>1</v>
      </c>
      <c r="BX38" s="229" t="s">
        <v>144</v>
      </c>
      <c r="BY38" s="230" t="s">
        <v>300</v>
      </c>
      <c r="BZ38" s="231">
        <v>4</v>
      </c>
      <c r="CA38" s="264">
        <v>2</v>
      </c>
      <c r="CB38" s="229"/>
      <c r="CC38" s="230" t="s">
        <v>339</v>
      </c>
      <c r="CD38" s="246">
        <v>2</v>
      </c>
      <c r="CE38" s="258">
        <v>1</v>
      </c>
      <c r="CF38" s="229"/>
      <c r="CG38" s="230" t="s">
        <v>226</v>
      </c>
      <c r="CH38" s="237">
        <v>2</v>
      </c>
      <c r="CI38" s="248">
        <v>4</v>
      </c>
      <c r="CJ38" s="163"/>
      <c r="CK38" s="202">
        <v>36</v>
      </c>
      <c r="CL38" s="219"/>
      <c r="CM38" s="220" t="s">
        <v>429</v>
      </c>
      <c r="CN38" s="221">
        <v>2</v>
      </c>
      <c r="CO38" s="259">
        <v>7</v>
      </c>
      <c r="CP38" s="229"/>
      <c r="CQ38" s="230" t="s">
        <v>165</v>
      </c>
      <c r="CR38" s="239">
        <v>1</v>
      </c>
      <c r="CS38" s="240">
        <v>8</v>
      </c>
      <c r="CT38" s="219" t="s">
        <v>144</v>
      </c>
      <c r="CU38" s="220" t="s">
        <v>394</v>
      </c>
      <c r="CV38" s="223">
        <v>6</v>
      </c>
      <c r="CW38" s="224">
        <v>2</v>
      </c>
      <c r="CX38" s="219" t="s">
        <v>144</v>
      </c>
      <c r="CY38" s="220" t="s">
        <v>463</v>
      </c>
      <c r="CZ38" s="225">
        <v>7</v>
      </c>
      <c r="DA38" s="226">
        <v>2</v>
      </c>
      <c r="DB38" s="219"/>
      <c r="DC38" s="220" t="s">
        <v>539</v>
      </c>
      <c r="DD38" s="227">
        <v>2</v>
      </c>
      <c r="DE38" s="228">
        <v>6</v>
      </c>
      <c r="DF38" s="163"/>
      <c r="DG38" s="202">
        <v>36</v>
      </c>
      <c r="DH38" s="313"/>
      <c r="DI38" s="314" t="s">
        <v>580</v>
      </c>
      <c r="DJ38" s="318">
        <v>6</v>
      </c>
      <c r="DK38" s="321">
        <v>4</v>
      </c>
      <c r="DL38" s="233" t="s">
        <v>144</v>
      </c>
      <c r="DM38" s="234" t="s">
        <v>1139</v>
      </c>
      <c r="DN38" s="235">
        <v>0</v>
      </c>
      <c r="DO38" s="236">
        <v>10</v>
      </c>
      <c r="DP38" s="313" t="s">
        <v>144</v>
      </c>
      <c r="DQ38" s="314" t="s">
        <v>650</v>
      </c>
      <c r="DR38" s="322">
        <v>3</v>
      </c>
      <c r="DS38" s="323">
        <v>11</v>
      </c>
      <c r="DT38" s="313" t="s">
        <v>144</v>
      </c>
      <c r="DU38" s="314" t="s">
        <v>611</v>
      </c>
      <c r="DV38" s="322">
        <v>4</v>
      </c>
      <c r="DW38" s="320">
        <v>6</v>
      </c>
      <c r="DX38" s="313"/>
      <c r="DY38" s="314" t="s">
        <v>685</v>
      </c>
      <c r="DZ38" s="315">
        <v>11</v>
      </c>
      <c r="EA38" s="316">
        <v>3</v>
      </c>
      <c r="EC38" s="202">
        <v>36</v>
      </c>
      <c r="ED38" s="229" t="s">
        <v>144</v>
      </c>
      <c r="EE38" s="230" t="s">
        <v>300</v>
      </c>
      <c r="EF38" s="239">
        <v>4</v>
      </c>
      <c r="EG38" s="240">
        <v>6</v>
      </c>
      <c r="EH38" s="219" t="s">
        <v>144</v>
      </c>
      <c r="EI38" s="220" t="s">
        <v>539</v>
      </c>
      <c r="EJ38" s="221">
        <v>6</v>
      </c>
      <c r="EK38" s="259">
        <v>9</v>
      </c>
      <c r="EL38" s="229" t="s">
        <v>144</v>
      </c>
      <c r="EM38" s="230" t="s">
        <v>339</v>
      </c>
      <c r="EN38" s="231">
        <v>5</v>
      </c>
      <c r="EO38" s="264">
        <v>2</v>
      </c>
      <c r="EP38" s="229"/>
      <c r="EQ38" s="230" t="s">
        <v>165</v>
      </c>
      <c r="ER38" s="246">
        <v>6</v>
      </c>
      <c r="ES38" s="258">
        <v>4</v>
      </c>
      <c r="ET38" s="229"/>
      <c r="EU38" s="230" t="s">
        <v>266</v>
      </c>
      <c r="EV38" s="237">
        <v>2</v>
      </c>
      <c r="EW38" s="248">
        <v>5</v>
      </c>
      <c r="EX38" s="163"/>
      <c r="EY38" s="202">
        <v>36</v>
      </c>
      <c r="EZ38" s="219"/>
      <c r="FA38" s="220" t="s">
        <v>394</v>
      </c>
      <c r="FB38" s="225">
        <v>5</v>
      </c>
      <c r="FC38" s="256">
        <v>4</v>
      </c>
      <c r="FD38" s="229"/>
      <c r="FE38" s="230" t="s">
        <v>226</v>
      </c>
      <c r="FF38" s="246">
        <v>9</v>
      </c>
      <c r="FG38" s="247">
        <v>6</v>
      </c>
      <c r="FH38" s="219" t="s">
        <v>144</v>
      </c>
      <c r="FI38" s="220" t="s">
        <v>463</v>
      </c>
      <c r="FJ38" s="223">
        <v>13</v>
      </c>
      <c r="FK38" s="224">
        <v>3</v>
      </c>
      <c r="FL38" s="219" t="s">
        <v>144</v>
      </c>
      <c r="FM38" s="220" t="s">
        <v>502</v>
      </c>
      <c r="FN38" s="221">
        <v>4</v>
      </c>
      <c r="FO38" s="222">
        <v>5</v>
      </c>
      <c r="FP38" s="219"/>
      <c r="FQ38" s="220" t="s">
        <v>429</v>
      </c>
      <c r="FR38" s="227">
        <v>3</v>
      </c>
      <c r="FS38" s="228">
        <v>13</v>
      </c>
      <c r="FT38" s="163"/>
      <c r="FU38" s="202">
        <v>36</v>
      </c>
      <c r="FV38" s="313"/>
      <c r="FW38" s="314" t="s">
        <v>650</v>
      </c>
      <c r="FX38" s="322">
        <v>4</v>
      </c>
      <c r="FY38" s="323">
        <v>7</v>
      </c>
      <c r="FZ38" s="233" t="s">
        <v>144</v>
      </c>
      <c r="GA38" s="234" t="s">
        <v>1171</v>
      </c>
      <c r="GB38" s="251">
        <v>2</v>
      </c>
      <c r="GC38" s="257">
        <v>1</v>
      </c>
      <c r="GD38" s="313" t="s">
        <v>144</v>
      </c>
      <c r="GE38" s="314" t="s">
        <v>611</v>
      </c>
      <c r="GF38" s="318">
        <v>6</v>
      </c>
      <c r="GG38" s="321">
        <v>5</v>
      </c>
      <c r="GH38" s="313" t="s">
        <v>144</v>
      </c>
      <c r="GI38" s="314" t="s">
        <v>717</v>
      </c>
      <c r="GJ38" s="318">
        <v>7</v>
      </c>
      <c r="GK38" s="317">
        <v>4</v>
      </c>
      <c r="GL38" s="313"/>
      <c r="GM38" s="314" t="s">
        <v>580</v>
      </c>
      <c r="GN38" s="311">
        <v>5</v>
      </c>
      <c r="GO38" s="312">
        <v>6</v>
      </c>
    </row>
    <row r="39" spans="1:197">
      <c r="A39" s="202">
        <v>37</v>
      </c>
      <c r="B39" s="244"/>
      <c r="C39" s="245" t="s">
        <v>165</v>
      </c>
      <c r="D39" s="394">
        <v>1</v>
      </c>
      <c r="E39" s="396">
        <v>6</v>
      </c>
      <c r="F39" s="244"/>
      <c r="G39" s="245" t="s">
        <v>266</v>
      </c>
      <c r="H39" s="246">
        <v>1</v>
      </c>
      <c r="I39" s="258">
        <v>0</v>
      </c>
      <c r="J39" s="244" t="s">
        <v>144</v>
      </c>
      <c r="K39" s="245" t="s">
        <v>300</v>
      </c>
      <c r="L39" s="402">
        <v>6</v>
      </c>
      <c r="M39" s="404">
        <v>1</v>
      </c>
      <c r="N39" s="241"/>
      <c r="O39" s="242" t="s">
        <v>539</v>
      </c>
      <c r="P39" s="434">
        <v>0</v>
      </c>
      <c r="Q39" s="451">
        <v>4</v>
      </c>
      <c r="R39" s="244" t="s">
        <v>144</v>
      </c>
      <c r="S39" s="245" t="s">
        <v>339</v>
      </c>
      <c r="T39" s="237">
        <v>0</v>
      </c>
      <c r="U39" s="248">
        <v>1</v>
      </c>
      <c r="V39" s="163"/>
      <c r="W39" s="202">
        <v>37</v>
      </c>
      <c r="X39" s="241" t="s">
        <v>144</v>
      </c>
      <c r="Y39" s="242" t="s">
        <v>502</v>
      </c>
      <c r="Z39" s="392">
        <v>1</v>
      </c>
      <c r="AA39" s="390">
        <v>0</v>
      </c>
      <c r="AB39" s="241"/>
      <c r="AC39" s="242" t="s">
        <v>429</v>
      </c>
      <c r="AD39" s="434">
        <v>2</v>
      </c>
      <c r="AE39" s="435">
        <v>3</v>
      </c>
      <c r="AF39" s="241"/>
      <c r="AG39" s="242" t="s">
        <v>394</v>
      </c>
      <c r="AH39" s="408">
        <v>0</v>
      </c>
      <c r="AI39" s="409">
        <v>1</v>
      </c>
      <c r="AJ39" s="244" t="s">
        <v>144</v>
      </c>
      <c r="AK39" s="245" t="s">
        <v>226</v>
      </c>
      <c r="AL39" s="433">
        <v>4</v>
      </c>
      <c r="AM39" s="464">
        <v>0</v>
      </c>
      <c r="AN39" s="241" t="s">
        <v>144</v>
      </c>
      <c r="AO39" s="242" t="s">
        <v>463</v>
      </c>
      <c r="AP39" s="410">
        <v>3</v>
      </c>
      <c r="AQ39" s="411">
        <v>2</v>
      </c>
      <c r="AR39" s="163"/>
      <c r="AS39" s="202">
        <v>37</v>
      </c>
      <c r="AT39" s="309"/>
      <c r="AU39" s="310" t="s">
        <v>717</v>
      </c>
      <c r="AV39" s="418">
        <v>0</v>
      </c>
      <c r="AW39" s="419">
        <v>7</v>
      </c>
      <c r="AX39" s="309" t="s">
        <v>144</v>
      </c>
      <c r="AY39" s="310" t="s">
        <v>580</v>
      </c>
      <c r="AZ39" s="437">
        <v>1</v>
      </c>
      <c r="BA39" s="438">
        <v>9</v>
      </c>
      <c r="BB39" s="309" t="s">
        <v>144</v>
      </c>
      <c r="BC39" s="310" t="s">
        <v>650</v>
      </c>
      <c r="BD39" s="415">
        <v>7</v>
      </c>
      <c r="BE39" s="436">
        <v>0</v>
      </c>
      <c r="BF39" s="249"/>
      <c r="BG39" s="250" t="s">
        <v>1171</v>
      </c>
      <c r="BH39" s="430">
        <v>2</v>
      </c>
      <c r="BI39" s="468">
        <v>5</v>
      </c>
      <c r="BJ39" s="309"/>
      <c r="BK39" s="310" t="s">
        <v>611</v>
      </c>
      <c r="BL39" s="422">
        <v>9</v>
      </c>
      <c r="BM39" s="421">
        <v>1</v>
      </c>
      <c r="BO39" s="202">
        <v>37</v>
      </c>
      <c r="BP39" s="244"/>
      <c r="BQ39" s="245" t="s">
        <v>226</v>
      </c>
      <c r="BR39" s="239">
        <v>2</v>
      </c>
      <c r="BS39" s="240">
        <v>3</v>
      </c>
      <c r="BT39" s="244"/>
      <c r="BU39" s="245" t="s">
        <v>300</v>
      </c>
      <c r="BV39" s="246">
        <v>2</v>
      </c>
      <c r="BW39" s="258">
        <v>0</v>
      </c>
      <c r="BX39" s="244" t="s">
        <v>144</v>
      </c>
      <c r="BY39" s="245" t="s">
        <v>339</v>
      </c>
      <c r="BZ39" s="231">
        <v>3</v>
      </c>
      <c r="CA39" s="264">
        <v>2</v>
      </c>
      <c r="CB39" s="241"/>
      <c r="CC39" s="242" t="s">
        <v>429</v>
      </c>
      <c r="CD39" s="225">
        <v>5</v>
      </c>
      <c r="CE39" s="256">
        <v>3</v>
      </c>
      <c r="CF39" s="244" t="s">
        <v>144</v>
      </c>
      <c r="CG39" s="245" t="s">
        <v>165</v>
      </c>
      <c r="CH39" s="237">
        <v>0</v>
      </c>
      <c r="CI39" s="248">
        <v>2</v>
      </c>
      <c r="CJ39" s="163"/>
      <c r="CK39" s="202">
        <v>37</v>
      </c>
      <c r="CL39" s="241" t="s">
        <v>144</v>
      </c>
      <c r="CM39" s="242" t="s">
        <v>539</v>
      </c>
      <c r="CN39" s="221">
        <v>3</v>
      </c>
      <c r="CO39" s="222">
        <v>4</v>
      </c>
      <c r="CP39" s="241"/>
      <c r="CQ39" s="242" t="s">
        <v>394</v>
      </c>
      <c r="CR39" s="221">
        <v>6</v>
      </c>
      <c r="CS39" s="222">
        <v>9</v>
      </c>
      <c r="CT39" s="241"/>
      <c r="CU39" s="242" t="s">
        <v>463</v>
      </c>
      <c r="CV39" s="223">
        <v>4</v>
      </c>
      <c r="CW39" s="224">
        <v>3</v>
      </c>
      <c r="CX39" s="244" t="s">
        <v>144</v>
      </c>
      <c r="CY39" s="245" t="s">
        <v>266</v>
      </c>
      <c r="CZ39" s="239">
        <v>3</v>
      </c>
      <c r="DA39" s="240">
        <v>5</v>
      </c>
      <c r="DB39" s="241" t="s">
        <v>144</v>
      </c>
      <c r="DC39" s="242" t="s">
        <v>502</v>
      </c>
      <c r="DD39" s="223">
        <v>9</v>
      </c>
      <c r="DE39" s="224">
        <v>6</v>
      </c>
      <c r="DF39" s="163"/>
      <c r="DG39" s="202">
        <v>37</v>
      </c>
      <c r="DH39" s="309"/>
      <c r="DI39" s="310" t="s">
        <v>685</v>
      </c>
      <c r="DJ39" s="318">
        <v>2</v>
      </c>
      <c r="DK39" s="321">
        <v>1</v>
      </c>
      <c r="DL39" s="309" t="s">
        <v>144</v>
      </c>
      <c r="DM39" s="310" t="s">
        <v>650</v>
      </c>
      <c r="DN39" s="311">
        <v>1</v>
      </c>
      <c r="DO39" s="312">
        <v>2</v>
      </c>
      <c r="DP39" s="309" t="s">
        <v>144</v>
      </c>
      <c r="DQ39" s="310" t="s">
        <v>611</v>
      </c>
      <c r="DR39" s="322">
        <v>1</v>
      </c>
      <c r="DS39" s="323">
        <v>2</v>
      </c>
      <c r="DT39" s="249"/>
      <c r="DU39" s="250" t="s">
        <v>1200</v>
      </c>
      <c r="DV39" s="251">
        <v>2</v>
      </c>
      <c r="DW39" s="252">
        <v>1</v>
      </c>
      <c r="DX39" s="309"/>
      <c r="DY39" s="310" t="s">
        <v>717</v>
      </c>
      <c r="DZ39" s="315">
        <v>2</v>
      </c>
      <c r="EA39" s="316">
        <v>1</v>
      </c>
      <c r="EC39" s="202">
        <v>37</v>
      </c>
      <c r="ED39" s="244"/>
      <c r="EE39" s="245" t="s">
        <v>266</v>
      </c>
      <c r="EF39" s="246">
        <v>5</v>
      </c>
      <c r="EG39" s="247">
        <v>3</v>
      </c>
      <c r="EH39" s="244"/>
      <c r="EI39" s="245" t="s">
        <v>339</v>
      </c>
      <c r="EJ39" s="246">
        <v>7</v>
      </c>
      <c r="EK39" s="258">
        <v>2</v>
      </c>
      <c r="EL39" s="244" t="s">
        <v>144</v>
      </c>
      <c r="EM39" s="245" t="s">
        <v>165</v>
      </c>
      <c r="EN39" s="237">
        <v>3</v>
      </c>
      <c r="EO39" s="268">
        <v>5</v>
      </c>
      <c r="EP39" s="241"/>
      <c r="EQ39" s="242" t="s">
        <v>394</v>
      </c>
      <c r="ER39" s="225">
        <v>3</v>
      </c>
      <c r="ES39" s="256">
        <v>0</v>
      </c>
      <c r="ET39" s="244" t="s">
        <v>144</v>
      </c>
      <c r="EU39" s="245" t="s">
        <v>226</v>
      </c>
      <c r="EV39" s="237">
        <v>2</v>
      </c>
      <c r="EW39" s="248">
        <v>7</v>
      </c>
      <c r="EX39" s="163"/>
      <c r="EY39" s="202">
        <v>37</v>
      </c>
      <c r="EZ39" s="241" t="s">
        <v>144</v>
      </c>
      <c r="FA39" s="242" t="s">
        <v>429</v>
      </c>
      <c r="FB39" s="221">
        <v>3</v>
      </c>
      <c r="FC39" s="222">
        <v>4</v>
      </c>
      <c r="FD39" s="241"/>
      <c r="FE39" s="242" t="s">
        <v>463</v>
      </c>
      <c r="FF39" s="225">
        <v>9</v>
      </c>
      <c r="FG39" s="226">
        <v>4</v>
      </c>
      <c r="FH39" s="241"/>
      <c r="FI39" s="242" t="s">
        <v>502</v>
      </c>
      <c r="FJ39" s="223">
        <v>4</v>
      </c>
      <c r="FK39" s="224">
        <v>3</v>
      </c>
      <c r="FL39" s="244" t="s">
        <v>144</v>
      </c>
      <c r="FM39" s="245" t="s">
        <v>300</v>
      </c>
      <c r="FN39" s="239">
        <v>0</v>
      </c>
      <c r="FO39" s="240">
        <v>3</v>
      </c>
      <c r="FP39" s="241" t="s">
        <v>144</v>
      </c>
      <c r="FQ39" s="242" t="s">
        <v>539</v>
      </c>
      <c r="FR39" s="227">
        <v>4</v>
      </c>
      <c r="FS39" s="228">
        <v>9</v>
      </c>
      <c r="FT39" s="163"/>
      <c r="FU39" s="202">
        <v>37</v>
      </c>
      <c r="FV39" s="309"/>
      <c r="FW39" s="310" t="s">
        <v>580</v>
      </c>
      <c r="FX39" s="318">
        <v>5</v>
      </c>
      <c r="FY39" s="321">
        <v>4</v>
      </c>
      <c r="FZ39" s="309" t="s">
        <v>144</v>
      </c>
      <c r="GA39" s="310" t="s">
        <v>611</v>
      </c>
      <c r="GB39" s="315">
        <v>4</v>
      </c>
      <c r="GC39" s="316">
        <v>0</v>
      </c>
      <c r="GD39" s="309" t="s">
        <v>144</v>
      </c>
      <c r="GE39" s="310" t="s">
        <v>717</v>
      </c>
      <c r="GF39" s="322">
        <v>4</v>
      </c>
      <c r="GG39" s="323">
        <v>5</v>
      </c>
      <c r="GH39" s="249"/>
      <c r="GI39" s="250" t="s">
        <v>1265</v>
      </c>
      <c r="GJ39" s="251">
        <v>13</v>
      </c>
      <c r="GK39" s="252">
        <v>6</v>
      </c>
      <c r="GL39" s="309"/>
      <c r="GM39" s="310" t="s">
        <v>685</v>
      </c>
      <c r="GN39" s="311">
        <v>0</v>
      </c>
      <c r="GO39" s="312">
        <v>4</v>
      </c>
    </row>
    <row r="40" spans="1:197">
      <c r="A40" s="202">
        <v>38</v>
      </c>
      <c r="B40" s="229"/>
      <c r="C40" s="230" t="s">
        <v>165</v>
      </c>
      <c r="D40" s="433">
        <v>5</v>
      </c>
      <c r="E40" s="464">
        <v>4</v>
      </c>
      <c r="F40" s="229"/>
      <c r="G40" s="230" t="s">
        <v>266</v>
      </c>
      <c r="H40" s="246">
        <v>5</v>
      </c>
      <c r="I40" s="258">
        <v>0</v>
      </c>
      <c r="J40" s="229" t="s">
        <v>144</v>
      </c>
      <c r="K40" s="230" t="s">
        <v>300</v>
      </c>
      <c r="L40" s="440">
        <v>4</v>
      </c>
      <c r="M40" s="463">
        <v>6</v>
      </c>
      <c r="N40" s="219"/>
      <c r="O40" s="220" t="s">
        <v>539</v>
      </c>
      <c r="P40" s="225">
        <v>9</v>
      </c>
      <c r="Q40" s="256">
        <v>1</v>
      </c>
      <c r="R40" s="229" t="s">
        <v>144</v>
      </c>
      <c r="S40" s="230" t="s">
        <v>339</v>
      </c>
      <c r="T40" s="237">
        <v>0</v>
      </c>
      <c r="U40" s="248">
        <v>5</v>
      </c>
      <c r="V40" s="163"/>
      <c r="W40" s="202">
        <v>38</v>
      </c>
      <c r="X40" s="219" t="s">
        <v>144</v>
      </c>
      <c r="Y40" s="220" t="s">
        <v>502</v>
      </c>
      <c r="Z40" s="392">
        <v>9</v>
      </c>
      <c r="AA40" s="390">
        <v>2</v>
      </c>
      <c r="AB40" s="219"/>
      <c r="AC40" s="220" t="s">
        <v>429</v>
      </c>
      <c r="AD40" s="392">
        <v>4</v>
      </c>
      <c r="AE40" s="390">
        <v>1</v>
      </c>
      <c r="AF40" s="219"/>
      <c r="AG40" s="220" t="s">
        <v>394</v>
      </c>
      <c r="AH40" s="408">
        <v>2</v>
      </c>
      <c r="AI40" s="409">
        <v>9</v>
      </c>
      <c r="AJ40" s="229" t="s">
        <v>144</v>
      </c>
      <c r="AK40" s="230" t="s">
        <v>226</v>
      </c>
      <c r="AL40" s="239">
        <v>1</v>
      </c>
      <c r="AM40" s="240">
        <v>9</v>
      </c>
      <c r="AN40" s="219" t="s">
        <v>144</v>
      </c>
      <c r="AO40" s="220" t="s">
        <v>463</v>
      </c>
      <c r="AP40" s="408">
        <v>1</v>
      </c>
      <c r="AQ40" s="409">
        <v>4</v>
      </c>
      <c r="AR40" s="163"/>
      <c r="AS40" s="202">
        <v>38</v>
      </c>
      <c r="AT40" s="313"/>
      <c r="AU40" s="314" t="s">
        <v>717</v>
      </c>
      <c r="AV40" s="318">
        <v>6</v>
      </c>
      <c r="AW40" s="321">
        <v>4</v>
      </c>
      <c r="AX40" s="313" t="s">
        <v>144</v>
      </c>
      <c r="AY40" s="314" t="s">
        <v>580</v>
      </c>
      <c r="AZ40" s="422">
        <v>5</v>
      </c>
      <c r="BA40" s="421">
        <v>0</v>
      </c>
      <c r="BB40" s="313" t="s">
        <v>144</v>
      </c>
      <c r="BC40" s="314" t="s">
        <v>650</v>
      </c>
      <c r="BD40" s="322">
        <v>4</v>
      </c>
      <c r="BE40" s="323">
        <v>6</v>
      </c>
      <c r="BF40" s="233"/>
      <c r="BG40" s="234" t="s">
        <v>1171</v>
      </c>
      <c r="BH40" s="254">
        <v>0</v>
      </c>
      <c r="BI40" s="255">
        <v>6</v>
      </c>
      <c r="BJ40" s="313"/>
      <c r="BK40" s="314" t="s">
        <v>611</v>
      </c>
      <c r="BL40" s="437">
        <v>0</v>
      </c>
      <c r="BM40" s="438">
        <v>5</v>
      </c>
      <c r="BO40" s="202">
        <v>38</v>
      </c>
      <c r="BP40" s="229"/>
      <c r="BQ40" s="230" t="s">
        <v>226</v>
      </c>
      <c r="BR40" s="246">
        <v>5</v>
      </c>
      <c r="BS40" s="247">
        <v>2</v>
      </c>
      <c r="BT40" s="229"/>
      <c r="BU40" s="230" t="s">
        <v>300</v>
      </c>
      <c r="BV40" s="239">
        <v>4</v>
      </c>
      <c r="BW40" s="238">
        <v>5</v>
      </c>
      <c r="BX40" s="229" t="s">
        <v>144</v>
      </c>
      <c r="BY40" s="230" t="s">
        <v>339</v>
      </c>
      <c r="BZ40" s="237">
        <v>2</v>
      </c>
      <c r="CA40" s="268">
        <v>5</v>
      </c>
      <c r="CB40" s="219"/>
      <c r="CC40" s="220" t="s">
        <v>429</v>
      </c>
      <c r="CD40" s="225">
        <v>5</v>
      </c>
      <c r="CE40" s="256">
        <v>4</v>
      </c>
      <c r="CF40" s="229" t="s">
        <v>144</v>
      </c>
      <c r="CG40" s="230" t="s">
        <v>165</v>
      </c>
      <c r="CH40" s="231">
        <v>5</v>
      </c>
      <c r="CI40" s="232">
        <v>4</v>
      </c>
      <c r="CJ40" s="163"/>
      <c r="CK40" s="202">
        <v>38</v>
      </c>
      <c r="CL40" s="219" t="s">
        <v>144</v>
      </c>
      <c r="CM40" s="220" t="s">
        <v>539</v>
      </c>
      <c r="CN40" s="221">
        <v>2</v>
      </c>
      <c r="CO40" s="222">
        <v>4</v>
      </c>
      <c r="CP40" s="219"/>
      <c r="CQ40" s="220" t="s">
        <v>394</v>
      </c>
      <c r="CR40" s="221">
        <v>2</v>
      </c>
      <c r="CS40" s="222">
        <v>11</v>
      </c>
      <c r="CT40" s="219"/>
      <c r="CU40" s="220" t="s">
        <v>463</v>
      </c>
      <c r="CV40" s="223">
        <v>4</v>
      </c>
      <c r="CW40" s="224">
        <v>2</v>
      </c>
      <c r="CX40" s="229" t="s">
        <v>144</v>
      </c>
      <c r="CY40" s="230" t="s">
        <v>266</v>
      </c>
      <c r="CZ40" s="239">
        <v>4</v>
      </c>
      <c r="DA40" s="240">
        <v>5</v>
      </c>
      <c r="DB40" s="219" t="s">
        <v>144</v>
      </c>
      <c r="DC40" s="220" t="s">
        <v>502</v>
      </c>
      <c r="DD40" s="223">
        <v>11</v>
      </c>
      <c r="DE40" s="224">
        <v>2</v>
      </c>
      <c r="DF40" s="163"/>
      <c r="DG40" s="202">
        <v>38</v>
      </c>
      <c r="DH40" s="313"/>
      <c r="DI40" s="314" t="s">
        <v>685</v>
      </c>
      <c r="DJ40" s="322">
        <v>2</v>
      </c>
      <c r="DK40" s="323">
        <v>9</v>
      </c>
      <c r="DL40" s="313" t="s">
        <v>144</v>
      </c>
      <c r="DM40" s="314" t="s">
        <v>650</v>
      </c>
      <c r="DN40" s="311">
        <v>1</v>
      </c>
      <c r="DO40" s="312">
        <v>5</v>
      </c>
      <c r="DP40" s="313" t="s">
        <v>144</v>
      </c>
      <c r="DQ40" s="314" t="s">
        <v>611</v>
      </c>
      <c r="DR40" s="318">
        <v>9</v>
      </c>
      <c r="DS40" s="321">
        <v>2</v>
      </c>
      <c r="DT40" s="233"/>
      <c r="DU40" s="234" t="s">
        <v>1200</v>
      </c>
      <c r="DV40" s="261">
        <v>9</v>
      </c>
      <c r="DW40" s="252">
        <v>3</v>
      </c>
      <c r="DX40" s="313"/>
      <c r="DY40" s="314" t="s">
        <v>717</v>
      </c>
      <c r="DZ40" s="315">
        <v>5</v>
      </c>
      <c r="EA40" s="316">
        <v>1</v>
      </c>
      <c r="EC40" s="202">
        <v>38</v>
      </c>
      <c r="ED40" s="229"/>
      <c r="EE40" s="230" t="s">
        <v>266</v>
      </c>
      <c r="EF40" s="239">
        <v>4</v>
      </c>
      <c r="EG40" s="240">
        <v>18</v>
      </c>
      <c r="EH40" s="229"/>
      <c r="EI40" s="230" t="s">
        <v>339</v>
      </c>
      <c r="EJ40" s="246">
        <v>9</v>
      </c>
      <c r="EK40" s="258">
        <v>4</v>
      </c>
      <c r="EL40" s="229" t="s">
        <v>144</v>
      </c>
      <c r="EM40" s="230" t="s">
        <v>165</v>
      </c>
      <c r="EN40" s="231">
        <v>18</v>
      </c>
      <c r="EO40" s="264">
        <v>4</v>
      </c>
      <c r="EP40" s="219"/>
      <c r="EQ40" s="220" t="s">
        <v>394</v>
      </c>
      <c r="ER40" s="225">
        <v>10</v>
      </c>
      <c r="ES40" s="256">
        <v>7</v>
      </c>
      <c r="ET40" s="229" t="s">
        <v>144</v>
      </c>
      <c r="EU40" s="230" t="s">
        <v>226</v>
      </c>
      <c r="EV40" s="237">
        <v>4</v>
      </c>
      <c r="EW40" s="248">
        <v>9</v>
      </c>
      <c r="EX40" s="163"/>
      <c r="EY40" s="202">
        <v>38</v>
      </c>
      <c r="EZ40" s="219" t="s">
        <v>144</v>
      </c>
      <c r="FA40" s="220" t="s">
        <v>429</v>
      </c>
      <c r="FB40" s="221">
        <v>4</v>
      </c>
      <c r="FC40" s="222">
        <v>7</v>
      </c>
      <c r="FD40" s="219"/>
      <c r="FE40" s="220" t="s">
        <v>463</v>
      </c>
      <c r="FF40" s="221">
        <v>1</v>
      </c>
      <c r="FG40" s="222">
        <v>2</v>
      </c>
      <c r="FH40" s="219"/>
      <c r="FI40" s="220" t="s">
        <v>502</v>
      </c>
      <c r="FJ40" s="223">
        <v>7</v>
      </c>
      <c r="FK40" s="224">
        <v>4</v>
      </c>
      <c r="FL40" s="229" t="s">
        <v>144</v>
      </c>
      <c r="FM40" s="230" t="s">
        <v>300</v>
      </c>
      <c r="FN40" s="239">
        <v>7</v>
      </c>
      <c r="FO40" s="240">
        <v>10</v>
      </c>
      <c r="FP40" s="219" t="s">
        <v>144</v>
      </c>
      <c r="FQ40" s="220" t="s">
        <v>539</v>
      </c>
      <c r="FR40" s="223">
        <v>2</v>
      </c>
      <c r="FS40" s="224">
        <v>1</v>
      </c>
      <c r="FT40" s="163"/>
      <c r="FU40" s="202">
        <v>38</v>
      </c>
      <c r="FV40" s="313"/>
      <c r="FW40" s="314" t="s">
        <v>580</v>
      </c>
      <c r="FX40" s="318">
        <v>10</v>
      </c>
      <c r="FY40" s="321">
        <v>3</v>
      </c>
      <c r="FZ40" s="313" t="s">
        <v>144</v>
      </c>
      <c r="GA40" s="314" t="s">
        <v>611</v>
      </c>
      <c r="GB40" s="311">
        <v>4</v>
      </c>
      <c r="GC40" s="312">
        <v>8</v>
      </c>
      <c r="GD40" s="313" t="s">
        <v>144</v>
      </c>
      <c r="GE40" s="314" t="s">
        <v>717</v>
      </c>
      <c r="GF40" s="322">
        <v>3</v>
      </c>
      <c r="GG40" s="323">
        <v>10</v>
      </c>
      <c r="GH40" s="233"/>
      <c r="GI40" s="234" t="s">
        <v>1265</v>
      </c>
      <c r="GJ40" s="254">
        <v>0</v>
      </c>
      <c r="GK40" s="255">
        <v>7</v>
      </c>
      <c r="GL40" s="313"/>
      <c r="GM40" s="314" t="s">
        <v>685</v>
      </c>
      <c r="GN40" s="315">
        <v>8</v>
      </c>
      <c r="GO40" s="316">
        <v>4</v>
      </c>
    </row>
    <row r="41" spans="1:197">
      <c r="A41" s="202">
        <v>39</v>
      </c>
      <c r="B41" s="271"/>
      <c r="C41" s="272" t="s">
        <v>339</v>
      </c>
      <c r="D41" s="433">
        <v>4</v>
      </c>
      <c r="E41" s="464">
        <v>3</v>
      </c>
      <c r="F41" s="271" t="s">
        <v>144</v>
      </c>
      <c r="G41" s="272" t="s">
        <v>300</v>
      </c>
      <c r="H41" s="394">
        <v>3</v>
      </c>
      <c r="I41" s="398">
        <v>4</v>
      </c>
      <c r="J41" s="271"/>
      <c r="K41" s="272" t="s">
        <v>226</v>
      </c>
      <c r="L41" s="231">
        <v>8</v>
      </c>
      <c r="M41" s="264">
        <v>1</v>
      </c>
      <c r="N41" s="271" t="s">
        <v>144</v>
      </c>
      <c r="O41" s="272" t="s">
        <v>165</v>
      </c>
      <c r="P41" s="239">
        <v>1</v>
      </c>
      <c r="Q41" s="238">
        <v>8</v>
      </c>
      <c r="R41" s="203" t="s">
        <v>144</v>
      </c>
      <c r="S41" s="270" t="s">
        <v>429</v>
      </c>
      <c r="T41" s="227">
        <v>3</v>
      </c>
      <c r="U41" s="228">
        <v>6</v>
      </c>
      <c r="V41" s="163"/>
      <c r="W41" s="202">
        <v>39</v>
      </c>
      <c r="X41" s="203" t="s">
        <v>144</v>
      </c>
      <c r="Y41" s="270" t="s">
        <v>463</v>
      </c>
      <c r="Z41" s="434">
        <v>4</v>
      </c>
      <c r="AA41" s="435">
        <v>6</v>
      </c>
      <c r="AB41" s="203"/>
      <c r="AC41" s="270" t="s">
        <v>394</v>
      </c>
      <c r="AD41" s="392">
        <v>6</v>
      </c>
      <c r="AE41" s="390">
        <v>4</v>
      </c>
      <c r="AF41" s="203"/>
      <c r="AG41" s="270" t="s">
        <v>539</v>
      </c>
      <c r="AH41" s="410">
        <v>8</v>
      </c>
      <c r="AI41" s="411">
        <v>4</v>
      </c>
      <c r="AJ41" s="203" t="s">
        <v>144</v>
      </c>
      <c r="AK41" s="270" t="s">
        <v>502</v>
      </c>
      <c r="AL41" s="408">
        <v>4</v>
      </c>
      <c r="AM41" s="409">
        <v>8</v>
      </c>
      <c r="AN41" s="271"/>
      <c r="AO41" s="272" t="s">
        <v>266</v>
      </c>
      <c r="AP41" s="231">
        <v>6</v>
      </c>
      <c r="AQ41" s="232">
        <v>3</v>
      </c>
      <c r="AR41" s="163"/>
      <c r="AS41" s="202">
        <v>39</v>
      </c>
      <c r="AT41" s="325"/>
      <c r="AU41" s="326" t="s">
        <v>611</v>
      </c>
      <c r="AV41" s="322">
        <v>3</v>
      </c>
      <c r="AW41" s="323">
        <v>6</v>
      </c>
      <c r="AX41" s="325" t="s">
        <v>144</v>
      </c>
      <c r="AY41" s="326" t="s">
        <v>650</v>
      </c>
      <c r="AZ41" s="315">
        <v>6</v>
      </c>
      <c r="BA41" s="316">
        <v>3</v>
      </c>
      <c r="BB41" s="325"/>
      <c r="BC41" s="326" t="s">
        <v>685</v>
      </c>
      <c r="BD41" s="318">
        <v>5</v>
      </c>
      <c r="BE41" s="321">
        <v>4</v>
      </c>
      <c r="BF41" s="325" t="s">
        <v>144</v>
      </c>
      <c r="BG41" s="326" t="s">
        <v>717</v>
      </c>
      <c r="BH41" s="311">
        <v>4</v>
      </c>
      <c r="BI41" s="320">
        <v>5</v>
      </c>
      <c r="BJ41" s="273" t="s">
        <v>144</v>
      </c>
      <c r="BK41" s="274" t="s">
        <v>1200</v>
      </c>
      <c r="BL41" s="251">
        <v>7</v>
      </c>
      <c r="BM41" s="257">
        <v>1</v>
      </c>
      <c r="BO41" s="202">
        <v>39</v>
      </c>
      <c r="BP41" s="271"/>
      <c r="BQ41" s="272" t="s">
        <v>165</v>
      </c>
      <c r="BR41" s="246">
        <v>8</v>
      </c>
      <c r="BS41" s="247">
        <v>4</v>
      </c>
      <c r="BT41" s="271" t="s">
        <v>144</v>
      </c>
      <c r="BU41" s="272" t="s">
        <v>339</v>
      </c>
      <c r="BV41" s="239">
        <v>4</v>
      </c>
      <c r="BW41" s="238">
        <v>8</v>
      </c>
      <c r="BX41" s="271"/>
      <c r="BY41" s="272" t="s">
        <v>266</v>
      </c>
      <c r="BZ41" s="231">
        <v>4</v>
      </c>
      <c r="CA41" s="264">
        <v>1</v>
      </c>
      <c r="CB41" s="271" t="s">
        <v>144</v>
      </c>
      <c r="CC41" s="272" t="s">
        <v>226</v>
      </c>
      <c r="CD41" s="239">
        <v>1</v>
      </c>
      <c r="CE41" s="238">
        <v>4</v>
      </c>
      <c r="CF41" s="203" t="s">
        <v>144</v>
      </c>
      <c r="CG41" s="270" t="s">
        <v>394</v>
      </c>
      <c r="CH41" s="223">
        <v>3</v>
      </c>
      <c r="CI41" s="224">
        <v>2</v>
      </c>
      <c r="CJ41" s="163"/>
      <c r="CK41" s="202">
        <v>39</v>
      </c>
      <c r="CL41" s="203" t="s">
        <v>144</v>
      </c>
      <c r="CM41" s="270" t="s">
        <v>502</v>
      </c>
      <c r="CN41" s="225">
        <v>11</v>
      </c>
      <c r="CO41" s="226">
        <v>8</v>
      </c>
      <c r="CP41" s="203"/>
      <c r="CQ41" s="270" t="s">
        <v>463</v>
      </c>
      <c r="CR41" s="221">
        <v>8</v>
      </c>
      <c r="CS41" s="222">
        <v>11</v>
      </c>
      <c r="CT41" s="203"/>
      <c r="CU41" s="270" t="s">
        <v>429</v>
      </c>
      <c r="CV41" s="227">
        <v>4</v>
      </c>
      <c r="CW41" s="228">
        <v>8</v>
      </c>
      <c r="CX41" s="203" t="s">
        <v>144</v>
      </c>
      <c r="CY41" s="270" t="s">
        <v>539</v>
      </c>
      <c r="CZ41" s="223">
        <v>8</v>
      </c>
      <c r="DA41" s="224">
        <v>4</v>
      </c>
      <c r="DB41" s="271"/>
      <c r="DC41" s="272" t="s">
        <v>300</v>
      </c>
      <c r="DD41" s="237">
        <v>2</v>
      </c>
      <c r="DE41" s="248">
        <v>3</v>
      </c>
      <c r="DF41" s="163"/>
      <c r="DG41" s="202">
        <v>39</v>
      </c>
      <c r="DH41" s="325"/>
      <c r="DI41" s="326" t="s">
        <v>717</v>
      </c>
      <c r="DJ41" s="318">
        <v>1</v>
      </c>
      <c r="DK41" s="321">
        <v>0</v>
      </c>
      <c r="DL41" s="325" t="s">
        <v>144</v>
      </c>
      <c r="DM41" s="326" t="s">
        <v>611</v>
      </c>
      <c r="DN41" s="311">
        <v>0</v>
      </c>
      <c r="DO41" s="312">
        <v>1</v>
      </c>
      <c r="DP41" s="325"/>
      <c r="DQ41" s="326" t="s">
        <v>580</v>
      </c>
      <c r="DR41" s="318">
        <v>3</v>
      </c>
      <c r="DS41" s="321">
        <v>2</v>
      </c>
      <c r="DT41" s="325" t="s">
        <v>144</v>
      </c>
      <c r="DU41" s="326" t="s">
        <v>685</v>
      </c>
      <c r="DV41" s="311">
        <v>2</v>
      </c>
      <c r="DW41" s="320">
        <v>3</v>
      </c>
      <c r="DX41" s="273" t="s">
        <v>144</v>
      </c>
      <c r="DY41" s="274" t="s">
        <v>1265</v>
      </c>
      <c r="DZ41" s="235">
        <v>2</v>
      </c>
      <c r="EA41" s="236">
        <v>4</v>
      </c>
      <c r="EC41" s="202">
        <v>39</v>
      </c>
      <c r="ED41" s="271"/>
      <c r="EE41" s="272" t="s">
        <v>226</v>
      </c>
      <c r="EF41" s="239">
        <v>3</v>
      </c>
      <c r="EG41" s="240">
        <v>8</v>
      </c>
      <c r="EH41" s="271" t="s">
        <v>144</v>
      </c>
      <c r="EI41" s="272" t="s">
        <v>165</v>
      </c>
      <c r="EJ41" s="246">
        <v>8</v>
      </c>
      <c r="EK41" s="258">
        <v>3</v>
      </c>
      <c r="EL41" s="271"/>
      <c r="EM41" s="272" t="s">
        <v>300</v>
      </c>
      <c r="EN41" s="231">
        <v>6</v>
      </c>
      <c r="EO41" s="264">
        <v>2</v>
      </c>
      <c r="EP41" s="271" t="s">
        <v>144</v>
      </c>
      <c r="EQ41" s="272" t="s">
        <v>266</v>
      </c>
      <c r="ER41" s="239">
        <v>2</v>
      </c>
      <c r="ES41" s="238">
        <v>6</v>
      </c>
      <c r="ET41" s="203" t="s">
        <v>144</v>
      </c>
      <c r="EU41" s="270" t="s">
        <v>463</v>
      </c>
      <c r="EV41" s="227">
        <v>4</v>
      </c>
      <c r="EW41" s="228">
        <v>10</v>
      </c>
      <c r="EX41" s="163"/>
      <c r="EY41" s="202">
        <v>39</v>
      </c>
      <c r="EZ41" s="203" t="s">
        <v>144</v>
      </c>
      <c r="FA41" s="270" t="s">
        <v>539</v>
      </c>
      <c r="FB41" s="225">
        <v>8</v>
      </c>
      <c r="FC41" s="226">
        <v>3</v>
      </c>
      <c r="FD41" s="203"/>
      <c r="FE41" s="270" t="s">
        <v>502</v>
      </c>
      <c r="FF41" s="221">
        <v>3</v>
      </c>
      <c r="FG41" s="222">
        <v>8</v>
      </c>
      <c r="FH41" s="203"/>
      <c r="FI41" s="270" t="s">
        <v>394</v>
      </c>
      <c r="FJ41" s="227">
        <v>2</v>
      </c>
      <c r="FK41" s="228">
        <v>5</v>
      </c>
      <c r="FL41" s="203" t="s">
        <v>144</v>
      </c>
      <c r="FM41" s="270" t="s">
        <v>429</v>
      </c>
      <c r="FN41" s="223">
        <v>5</v>
      </c>
      <c r="FO41" s="224">
        <v>2</v>
      </c>
      <c r="FP41" s="271"/>
      <c r="FQ41" s="272" t="s">
        <v>339</v>
      </c>
      <c r="FR41" s="231">
        <v>10</v>
      </c>
      <c r="FS41" s="232">
        <v>4</v>
      </c>
      <c r="FT41" s="163"/>
      <c r="FU41" s="202">
        <v>39</v>
      </c>
      <c r="FV41" s="325"/>
      <c r="FW41" s="326" t="s">
        <v>685</v>
      </c>
      <c r="FX41" s="322">
        <v>6</v>
      </c>
      <c r="FY41" s="323">
        <v>7</v>
      </c>
      <c r="FZ41" s="325" t="s">
        <v>144</v>
      </c>
      <c r="GA41" s="326" t="s">
        <v>717</v>
      </c>
      <c r="GB41" s="315">
        <v>7</v>
      </c>
      <c r="GC41" s="316">
        <v>6</v>
      </c>
      <c r="GD41" s="325"/>
      <c r="GE41" s="326" t="s">
        <v>650</v>
      </c>
      <c r="GF41" s="318">
        <v>7</v>
      </c>
      <c r="GG41" s="321">
        <v>5</v>
      </c>
      <c r="GH41" s="325" t="s">
        <v>144</v>
      </c>
      <c r="GI41" s="326" t="s">
        <v>580</v>
      </c>
      <c r="GJ41" s="311">
        <v>5</v>
      </c>
      <c r="GK41" s="320">
        <v>7</v>
      </c>
      <c r="GL41" s="273"/>
      <c r="GM41" s="274" t="s">
        <v>1229</v>
      </c>
      <c r="GN41" s="251">
        <v>12</v>
      </c>
      <c r="GO41" s="257">
        <v>6</v>
      </c>
    </row>
    <row r="42" spans="1:197">
      <c r="A42" s="202">
        <v>40</v>
      </c>
      <c r="B42" s="282"/>
      <c r="C42" s="283" t="s">
        <v>339</v>
      </c>
      <c r="D42" s="286">
        <v>9</v>
      </c>
      <c r="E42" s="287">
        <v>3</v>
      </c>
      <c r="F42" s="282" t="s">
        <v>144</v>
      </c>
      <c r="G42" s="283" t="s">
        <v>300</v>
      </c>
      <c r="H42" s="284">
        <v>3</v>
      </c>
      <c r="I42" s="340">
        <v>9</v>
      </c>
      <c r="J42" s="282"/>
      <c r="K42" s="283" t="s">
        <v>226</v>
      </c>
      <c r="L42" s="487">
        <v>0</v>
      </c>
      <c r="M42" s="488">
        <v>5</v>
      </c>
      <c r="N42" s="282" t="s">
        <v>144</v>
      </c>
      <c r="O42" s="283" t="s">
        <v>165</v>
      </c>
      <c r="P42" s="490">
        <v>5</v>
      </c>
      <c r="Q42" s="489">
        <v>0</v>
      </c>
      <c r="R42" s="275" t="s">
        <v>144</v>
      </c>
      <c r="S42" s="276" t="s">
        <v>429</v>
      </c>
      <c r="T42" s="277">
        <v>6</v>
      </c>
      <c r="U42" s="278">
        <v>1</v>
      </c>
      <c r="V42" s="163"/>
      <c r="W42" s="202">
        <v>40</v>
      </c>
      <c r="X42" s="275" t="s">
        <v>144</v>
      </c>
      <c r="Y42" s="276" t="s">
        <v>463</v>
      </c>
      <c r="Z42" s="279">
        <v>5</v>
      </c>
      <c r="AA42" s="278">
        <v>4</v>
      </c>
      <c r="AB42" s="275"/>
      <c r="AC42" s="276" t="s">
        <v>394</v>
      </c>
      <c r="AD42" s="280">
        <v>4</v>
      </c>
      <c r="AE42" s="281">
        <v>5</v>
      </c>
      <c r="AF42" s="275"/>
      <c r="AG42" s="276" t="s">
        <v>539</v>
      </c>
      <c r="AH42" s="492">
        <v>8</v>
      </c>
      <c r="AI42" s="491">
        <v>1</v>
      </c>
      <c r="AJ42" s="275" t="s">
        <v>144</v>
      </c>
      <c r="AK42" s="276" t="s">
        <v>502</v>
      </c>
      <c r="AL42" s="493">
        <v>1</v>
      </c>
      <c r="AM42" s="494">
        <v>8</v>
      </c>
      <c r="AN42" s="282"/>
      <c r="AO42" s="283" t="s">
        <v>266</v>
      </c>
      <c r="AP42" s="284">
        <v>1</v>
      </c>
      <c r="AQ42" s="285">
        <v>6</v>
      </c>
      <c r="AR42" s="163"/>
      <c r="AS42" s="202">
        <v>40</v>
      </c>
      <c r="AT42" s="327"/>
      <c r="AU42" s="328" t="s">
        <v>611</v>
      </c>
      <c r="AV42" s="329">
        <v>6</v>
      </c>
      <c r="AW42" s="330">
        <v>9</v>
      </c>
      <c r="AX42" s="327" t="s">
        <v>144</v>
      </c>
      <c r="AY42" s="328" t="s">
        <v>650</v>
      </c>
      <c r="AZ42" s="331">
        <v>9</v>
      </c>
      <c r="BA42" s="332">
        <v>6</v>
      </c>
      <c r="BB42" s="327"/>
      <c r="BC42" s="328" t="s">
        <v>685</v>
      </c>
      <c r="BD42" s="495">
        <v>3</v>
      </c>
      <c r="BE42" s="496">
        <v>6</v>
      </c>
      <c r="BF42" s="327" t="s">
        <v>144</v>
      </c>
      <c r="BG42" s="328" t="s">
        <v>717</v>
      </c>
      <c r="BH42" s="498">
        <v>6</v>
      </c>
      <c r="BI42" s="497">
        <v>3</v>
      </c>
      <c r="BJ42" s="288" t="s">
        <v>144</v>
      </c>
      <c r="BK42" s="289" t="s">
        <v>1200</v>
      </c>
      <c r="BL42" s="290">
        <v>1</v>
      </c>
      <c r="BM42" s="291">
        <v>5</v>
      </c>
      <c r="BO42" s="202">
        <v>40</v>
      </c>
      <c r="BP42" s="282"/>
      <c r="BQ42" s="283" t="s">
        <v>165</v>
      </c>
      <c r="BR42" s="284">
        <v>3</v>
      </c>
      <c r="BS42" s="285">
        <v>6</v>
      </c>
      <c r="BT42" s="282" t="s">
        <v>144</v>
      </c>
      <c r="BU42" s="283" t="s">
        <v>339</v>
      </c>
      <c r="BV42" s="286">
        <v>6</v>
      </c>
      <c r="BW42" s="342">
        <v>3</v>
      </c>
      <c r="BX42" s="282"/>
      <c r="BY42" s="283" t="s">
        <v>266</v>
      </c>
      <c r="BZ42" s="283">
        <v>6</v>
      </c>
      <c r="CA42" s="340">
        <v>7</v>
      </c>
      <c r="CB42" s="282" t="s">
        <v>144</v>
      </c>
      <c r="CC42" s="283" t="s">
        <v>226</v>
      </c>
      <c r="CD42" s="341">
        <v>7</v>
      </c>
      <c r="CE42" s="342">
        <v>6</v>
      </c>
      <c r="CF42" s="275" t="s">
        <v>144</v>
      </c>
      <c r="CG42" s="276" t="s">
        <v>394</v>
      </c>
      <c r="CH42" s="276">
        <v>3</v>
      </c>
      <c r="CI42" s="281">
        <v>4</v>
      </c>
      <c r="CJ42" s="163"/>
      <c r="CK42" s="202">
        <v>40</v>
      </c>
      <c r="CL42" s="275" t="s">
        <v>144</v>
      </c>
      <c r="CM42" s="276" t="s">
        <v>502</v>
      </c>
      <c r="CN42" s="280">
        <v>4</v>
      </c>
      <c r="CO42" s="281">
        <v>5</v>
      </c>
      <c r="CP42" s="275"/>
      <c r="CQ42" s="276" t="s">
        <v>463</v>
      </c>
      <c r="CR42" s="279">
        <v>5</v>
      </c>
      <c r="CS42" s="278">
        <v>4</v>
      </c>
      <c r="CT42" s="275"/>
      <c r="CU42" s="276" t="s">
        <v>429</v>
      </c>
      <c r="CV42" s="279">
        <v>4</v>
      </c>
      <c r="CW42" s="278">
        <v>3</v>
      </c>
      <c r="CX42" s="275" t="s">
        <v>144</v>
      </c>
      <c r="CY42" s="276" t="s">
        <v>539</v>
      </c>
      <c r="CZ42" s="280">
        <v>3</v>
      </c>
      <c r="DA42" s="281">
        <v>4</v>
      </c>
      <c r="DB42" s="282"/>
      <c r="DC42" s="283" t="s">
        <v>300</v>
      </c>
      <c r="DD42" s="286">
        <v>4</v>
      </c>
      <c r="DE42" s="287">
        <v>3</v>
      </c>
      <c r="DF42" s="163"/>
      <c r="DG42" s="202">
        <v>40</v>
      </c>
      <c r="DH42" s="327"/>
      <c r="DI42" s="328" t="s">
        <v>717</v>
      </c>
      <c r="DJ42" s="331">
        <v>5</v>
      </c>
      <c r="DK42" s="332">
        <v>2</v>
      </c>
      <c r="DL42" s="327" t="s">
        <v>144</v>
      </c>
      <c r="DM42" s="328" t="s">
        <v>611</v>
      </c>
      <c r="DN42" s="329">
        <v>2</v>
      </c>
      <c r="DO42" s="330">
        <v>5</v>
      </c>
      <c r="DP42" s="327"/>
      <c r="DQ42" s="328" t="s">
        <v>580</v>
      </c>
      <c r="DR42" s="329">
        <v>0</v>
      </c>
      <c r="DS42" s="330">
        <v>6</v>
      </c>
      <c r="DT42" s="327" t="s">
        <v>144</v>
      </c>
      <c r="DU42" s="328" t="s">
        <v>685</v>
      </c>
      <c r="DV42" s="331">
        <v>6</v>
      </c>
      <c r="DW42" s="332">
        <v>0</v>
      </c>
      <c r="DX42" s="288" t="s">
        <v>144</v>
      </c>
      <c r="DY42" s="289" t="s">
        <v>1265</v>
      </c>
      <c r="DZ42" s="290">
        <v>3</v>
      </c>
      <c r="EA42" s="291">
        <v>6</v>
      </c>
      <c r="EC42" s="202">
        <v>40</v>
      </c>
      <c r="ED42" s="282"/>
      <c r="EE42" s="283" t="s">
        <v>226</v>
      </c>
      <c r="EF42" s="286">
        <v>6</v>
      </c>
      <c r="EG42" s="287">
        <v>3</v>
      </c>
      <c r="EH42" s="282" t="s">
        <v>144</v>
      </c>
      <c r="EI42" s="283" t="s">
        <v>165</v>
      </c>
      <c r="EJ42" s="284">
        <v>3</v>
      </c>
      <c r="EK42" s="340">
        <v>6</v>
      </c>
      <c r="EL42" s="282"/>
      <c r="EM42" s="283" t="s">
        <v>300</v>
      </c>
      <c r="EN42" s="341">
        <v>2</v>
      </c>
      <c r="EO42" s="342">
        <v>1</v>
      </c>
      <c r="EP42" s="282" t="s">
        <v>144</v>
      </c>
      <c r="EQ42" s="283" t="s">
        <v>266</v>
      </c>
      <c r="ER42" s="283">
        <v>1</v>
      </c>
      <c r="ES42" s="340">
        <v>2</v>
      </c>
      <c r="ET42" s="275" t="s">
        <v>144</v>
      </c>
      <c r="EU42" s="276" t="s">
        <v>463</v>
      </c>
      <c r="EV42" s="277">
        <v>10</v>
      </c>
      <c r="EW42" s="278">
        <v>8</v>
      </c>
      <c r="EX42" s="163"/>
      <c r="EY42" s="202">
        <v>40</v>
      </c>
      <c r="EZ42" s="275" t="s">
        <v>144</v>
      </c>
      <c r="FA42" s="276" t="s">
        <v>539</v>
      </c>
      <c r="FB42" s="279">
        <v>3</v>
      </c>
      <c r="FC42" s="278">
        <v>1</v>
      </c>
      <c r="FD42" s="275"/>
      <c r="FE42" s="276" t="s">
        <v>502</v>
      </c>
      <c r="FF42" s="280">
        <v>1</v>
      </c>
      <c r="FG42" s="281">
        <v>3</v>
      </c>
      <c r="FH42" s="275"/>
      <c r="FI42" s="276" t="s">
        <v>394</v>
      </c>
      <c r="FJ42" s="280">
        <v>3</v>
      </c>
      <c r="FK42" s="281">
        <v>7</v>
      </c>
      <c r="FL42" s="275" t="s">
        <v>144</v>
      </c>
      <c r="FM42" s="276" t="s">
        <v>429</v>
      </c>
      <c r="FN42" s="279">
        <v>7</v>
      </c>
      <c r="FO42" s="278">
        <v>3</v>
      </c>
      <c r="FP42" s="282"/>
      <c r="FQ42" s="283" t="s">
        <v>339</v>
      </c>
      <c r="FR42" s="284">
        <v>8</v>
      </c>
      <c r="FS42" s="285">
        <v>10</v>
      </c>
      <c r="FT42" s="163"/>
      <c r="FU42" s="202">
        <v>40</v>
      </c>
      <c r="FV42" s="327"/>
      <c r="FW42" s="328" t="s">
        <v>685</v>
      </c>
      <c r="FX42" s="329">
        <v>1</v>
      </c>
      <c r="FY42" s="330">
        <v>7</v>
      </c>
      <c r="FZ42" s="327" t="s">
        <v>144</v>
      </c>
      <c r="GA42" s="328" t="s">
        <v>717</v>
      </c>
      <c r="GB42" s="331">
        <v>7</v>
      </c>
      <c r="GC42" s="332">
        <v>1</v>
      </c>
      <c r="GD42" s="327"/>
      <c r="GE42" s="328" t="s">
        <v>650</v>
      </c>
      <c r="GF42" s="331">
        <v>6</v>
      </c>
      <c r="GG42" s="332">
        <v>3</v>
      </c>
      <c r="GH42" s="327" t="s">
        <v>144</v>
      </c>
      <c r="GI42" s="328" t="s">
        <v>580</v>
      </c>
      <c r="GJ42" s="329">
        <v>3</v>
      </c>
      <c r="GK42" s="330">
        <v>6</v>
      </c>
      <c r="GL42" s="288"/>
      <c r="GM42" s="289" t="s">
        <v>1229</v>
      </c>
      <c r="GN42" s="290">
        <v>1</v>
      </c>
      <c r="GO42" s="291">
        <v>7</v>
      </c>
    </row>
    <row r="43" spans="1:197">
      <c r="B43" s="1128" t="s">
        <v>195</v>
      </c>
      <c r="C43" s="1129"/>
      <c r="D43" s="292"/>
      <c r="E43" s="293"/>
      <c r="F43" s="1128" t="s">
        <v>195</v>
      </c>
      <c r="G43" s="1129"/>
      <c r="H43" s="292"/>
      <c r="I43" s="294"/>
      <c r="J43" s="1128" t="s">
        <v>195</v>
      </c>
      <c r="K43" s="1129"/>
      <c r="L43" s="295"/>
      <c r="M43" s="294"/>
      <c r="N43" s="1128" t="s">
        <v>195</v>
      </c>
      <c r="O43" s="1129"/>
      <c r="P43" s="295"/>
      <c r="Q43" s="294"/>
      <c r="R43" s="1128" t="s">
        <v>195</v>
      </c>
      <c r="S43" s="1129"/>
      <c r="T43" s="295"/>
      <c r="U43" s="293"/>
      <c r="X43" s="1128" t="s">
        <v>195</v>
      </c>
      <c r="Y43" s="1129"/>
      <c r="Z43" s="292"/>
      <c r="AA43" s="293"/>
      <c r="AB43" s="1128" t="s">
        <v>195</v>
      </c>
      <c r="AC43" s="1129"/>
      <c r="AD43" s="292"/>
      <c r="AE43" s="293"/>
      <c r="AF43" s="1128" t="s">
        <v>195</v>
      </c>
      <c r="AG43" s="1129"/>
      <c r="AH43" s="292"/>
      <c r="AI43" s="293"/>
      <c r="AJ43" s="1128" t="s">
        <v>195</v>
      </c>
      <c r="AK43" s="1129"/>
      <c r="AL43" s="292"/>
      <c r="AM43" s="293"/>
      <c r="AN43" s="1128" t="s">
        <v>195</v>
      </c>
      <c r="AO43" s="1129"/>
      <c r="AP43" s="292"/>
      <c r="AQ43" s="293"/>
      <c r="AT43" s="1128" t="s">
        <v>195</v>
      </c>
      <c r="AU43" s="1129"/>
      <c r="AV43" s="292"/>
      <c r="AW43" s="293"/>
      <c r="AX43" s="1128" t="s">
        <v>195</v>
      </c>
      <c r="AY43" s="1129"/>
      <c r="AZ43" s="292"/>
      <c r="BA43" s="293"/>
      <c r="BB43" s="1128" t="s">
        <v>195</v>
      </c>
      <c r="BC43" s="1129"/>
      <c r="BD43" s="292"/>
      <c r="BE43" s="293"/>
      <c r="BF43" s="1128" t="s">
        <v>195</v>
      </c>
      <c r="BG43" s="1129"/>
      <c r="BH43" s="292"/>
      <c r="BI43" s="293"/>
      <c r="BJ43" s="1130" t="s">
        <v>195</v>
      </c>
      <c r="BK43" s="1131"/>
      <c r="BL43" s="292"/>
      <c r="BM43" s="293"/>
      <c r="BP43" s="1128" t="s">
        <v>195</v>
      </c>
      <c r="BQ43" s="1129"/>
      <c r="BR43" s="292"/>
      <c r="BS43" s="293"/>
      <c r="BT43" s="1128" t="s">
        <v>195</v>
      </c>
      <c r="BU43" s="1129"/>
      <c r="BV43" s="292"/>
      <c r="BW43" s="294"/>
      <c r="BX43" s="1128" t="s">
        <v>195</v>
      </c>
      <c r="BY43" s="1129"/>
      <c r="BZ43" s="295"/>
      <c r="CA43" s="294"/>
      <c r="CB43" s="1128" t="s">
        <v>195</v>
      </c>
      <c r="CC43" s="1129"/>
      <c r="CD43" s="295"/>
      <c r="CE43" s="294"/>
      <c r="CF43" s="1128" t="s">
        <v>195</v>
      </c>
      <c r="CG43" s="1129"/>
      <c r="CH43" s="295"/>
      <c r="CI43" s="293"/>
      <c r="CL43" s="1128" t="s">
        <v>195</v>
      </c>
      <c r="CM43" s="1129"/>
      <c r="CN43" s="292"/>
      <c r="CO43" s="293"/>
      <c r="CP43" s="1128" t="s">
        <v>195</v>
      </c>
      <c r="CQ43" s="1129"/>
      <c r="CR43" s="292"/>
      <c r="CS43" s="293"/>
      <c r="CT43" s="1128" t="s">
        <v>195</v>
      </c>
      <c r="CU43" s="1129"/>
      <c r="CV43" s="292"/>
      <c r="CW43" s="293"/>
      <c r="CX43" s="1128" t="s">
        <v>195</v>
      </c>
      <c r="CY43" s="1129"/>
      <c r="CZ43" s="292"/>
      <c r="DA43" s="293"/>
      <c r="DB43" s="1128" t="s">
        <v>195</v>
      </c>
      <c r="DC43" s="1129"/>
      <c r="DD43" s="292"/>
      <c r="DE43" s="293"/>
      <c r="DH43" s="1128" t="s">
        <v>195</v>
      </c>
      <c r="DI43" s="1129"/>
      <c r="DJ43" s="292"/>
      <c r="DK43" s="293"/>
      <c r="DL43" s="1128" t="s">
        <v>195</v>
      </c>
      <c r="DM43" s="1129"/>
      <c r="DN43" s="292"/>
      <c r="DO43" s="293"/>
      <c r="DP43" s="1128" t="s">
        <v>195</v>
      </c>
      <c r="DQ43" s="1129"/>
      <c r="DR43" s="292"/>
      <c r="DS43" s="293"/>
      <c r="DT43" s="1128" t="s">
        <v>195</v>
      </c>
      <c r="DU43" s="1129"/>
      <c r="DV43" s="292"/>
      <c r="DW43" s="293"/>
      <c r="DX43" s="1130" t="s">
        <v>195</v>
      </c>
      <c r="DY43" s="1131"/>
      <c r="DZ43" s="292"/>
      <c r="EA43" s="293"/>
      <c r="ED43" s="1128" t="s">
        <v>195</v>
      </c>
      <c r="EE43" s="1129"/>
      <c r="EF43" s="292"/>
      <c r="EG43" s="293"/>
      <c r="EH43" s="1128" t="s">
        <v>195</v>
      </c>
      <c r="EI43" s="1129"/>
      <c r="EJ43" s="292"/>
      <c r="EK43" s="294"/>
      <c r="EL43" s="1128" t="s">
        <v>195</v>
      </c>
      <c r="EM43" s="1129"/>
      <c r="EN43" s="295"/>
      <c r="EO43" s="294"/>
      <c r="EP43" s="1128" t="s">
        <v>195</v>
      </c>
      <c r="EQ43" s="1129"/>
      <c r="ER43" s="295"/>
      <c r="ES43" s="294"/>
      <c r="ET43" s="1128" t="s">
        <v>195</v>
      </c>
      <c r="EU43" s="1129"/>
      <c r="EV43" s="295"/>
      <c r="EW43" s="293"/>
      <c r="EZ43" s="1128" t="s">
        <v>195</v>
      </c>
      <c r="FA43" s="1129"/>
      <c r="FB43" s="292"/>
      <c r="FC43" s="293"/>
      <c r="FD43" s="1128" t="s">
        <v>195</v>
      </c>
      <c r="FE43" s="1129"/>
      <c r="FF43" s="292"/>
      <c r="FG43" s="293"/>
      <c r="FH43" s="1128" t="s">
        <v>195</v>
      </c>
      <c r="FI43" s="1129"/>
      <c r="FJ43" s="292"/>
      <c r="FK43" s="293"/>
      <c r="FL43" s="1128" t="s">
        <v>195</v>
      </c>
      <c r="FM43" s="1129"/>
      <c r="FN43" s="292"/>
      <c r="FO43" s="293"/>
      <c r="FP43" s="1128" t="s">
        <v>195</v>
      </c>
      <c r="FQ43" s="1129"/>
      <c r="FR43" s="292"/>
      <c r="FS43" s="293"/>
      <c r="FV43" s="1128" t="s">
        <v>195</v>
      </c>
      <c r="FW43" s="1129"/>
      <c r="FX43" s="292"/>
      <c r="FY43" s="293"/>
      <c r="FZ43" s="1128" t="s">
        <v>195</v>
      </c>
      <c r="GA43" s="1129"/>
      <c r="GB43" s="292"/>
      <c r="GC43" s="293"/>
      <c r="GD43" s="1128" t="s">
        <v>195</v>
      </c>
      <c r="GE43" s="1129"/>
      <c r="GF43" s="292"/>
      <c r="GG43" s="293"/>
      <c r="GH43" s="1128" t="s">
        <v>195</v>
      </c>
      <c r="GI43" s="1129"/>
      <c r="GJ43" s="292"/>
      <c r="GK43" s="293"/>
      <c r="GL43" s="1130" t="s">
        <v>195</v>
      </c>
      <c r="GM43" s="1131"/>
      <c r="GN43" s="292"/>
      <c r="GO43" s="293"/>
    </row>
    <row r="44" spans="1:197" ht="22">
      <c r="A44" s="296"/>
      <c r="B44" s="297"/>
      <c r="C44" s="298">
        <v>1</v>
      </c>
      <c r="D44" s="299">
        <v>23</v>
      </c>
      <c r="E44" s="300">
        <v>17</v>
      </c>
      <c r="F44" s="297"/>
      <c r="G44" s="298">
        <v>9</v>
      </c>
      <c r="H44" s="299">
        <v>15</v>
      </c>
      <c r="I44" s="301">
        <v>25</v>
      </c>
      <c r="J44" s="297"/>
      <c r="K44" s="302" t="s">
        <v>18</v>
      </c>
      <c r="L44" s="303">
        <v>24</v>
      </c>
      <c r="M44" s="301">
        <v>16</v>
      </c>
      <c r="N44" s="297"/>
      <c r="O44" s="302">
        <v>1</v>
      </c>
      <c r="P44" s="303">
        <v>23</v>
      </c>
      <c r="Q44" s="301">
        <v>17</v>
      </c>
      <c r="R44" s="297"/>
      <c r="S44" s="298">
        <v>8</v>
      </c>
      <c r="T44" s="303">
        <v>16</v>
      </c>
      <c r="U44" s="300">
        <v>24</v>
      </c>
      <c r="V44" s="296"/>
      <c r="W44" s="296"/>
      <c r="X44" s="297"/>
      <c r="Y44" s="298" t="s">
        <v>18</v>
      </c>
      <c r="Z44" s="299">
        <v>24</v>
      </c>
      <c r="AA44" s="300">
        <v>16</v>
      </c>
      <c r="AB44" s="297"/>
      <c r="AC44" s="298">
        <v>3</v>
      </c>
      <c r="AD44" s="299">
        <v>21</v>
      </c>
      <c r="AE44" s="300">
        <v>19</v>
      </c>
      <c r="AF44" s="297"/>
      <c r="AG44" s="298">
        <v>2</v>
      </c>
      <c r="AH44" s="299">
        <v>22</v>
      </c>
      <c r="AI44" s="300">
        <v>18</v>
      </c>
      <c r="AJ44" s="297"/>
      <c r="AK44" s="298">
        <v>4</v>
      </c>
      <c r="AL44" s="407" t="s">
        <v>1797</v>
      </c>
      <c r="AM44" s="300">
        <v>20</v>
      </c>
      <c r="AN44" s="297"/>
      <c r="AO44" s="298">
        <v>6</v>
      </c>
      <c r="AP44" s="299">
        <v>18</v>
      </c>
      <c r="AQ44" s="300">
        <v>22</v>
      </c>
      <c r="AR44" s="296"/>
      <c r="AS44" s="296"/>
      <c r="AT44" s="297"/>
      <c r="AU44" s="298">
        <v>10</v>
      </c>
      <c r="AV44" s="299">
        <v>15</v>
      </c>
      <c r="AW44" s="300">
        <v>25</v>
      </c>
      <c r="AX44" s="297">
        <v>3</v>
      </c>
      <c r="AY44" s="298">
        <v>1</v>
      </c>
      <c r="AZ44" s="299">
        <v>24</v>
      </c>
      <c r="BA44" s="300">
        <v>16</v>
      </c>
      <c r="BB44" s="297"/>
      <c r="BC44" s="298">
        <v>9</v>
      </c>
      <c r="BD44" s="299">
        <v>16</v>
      </c>
      <c r="BE44" s="300">
        <v>24</v>
      </c>
      <c r="BF44" s="297"/>
      <c r="BG44" s="298">
        <v>9</v>
      </c>
      <c r="BH44" s="299">
        <v>16</v>
      </c>
      <c r="BI44" s="300">
        <v>24</v>
      </c>
      <c r="BJ44" s="297"/>
      <c r="BK44" s="298" t="s">
        <v>18</v>
      </c>
      <c r="BL44" s="299">
        <v>25</v>
      </c>
      <c r="BM44" s="300">
        <v>15</v>
      </c>
      <c r="BO44" s="296"/>
      <c r="BP44" s="297"/>
      <c r="BQ44" s="298">
        <v>8</v>
      </c>
      <c r="BR44" s="299">
        <v>21</v>
      </c>
      <c r="BS44" s="300">
        <v>19</v>
      </c>
      <c r="BT44" s="297"/>
      <c r="BU44" s="298">
        <v>8</v>
      </c>
      <c r="BV44" s="299">
        <v>21</v>
      </c>
      <c r="BW44" s="301">
        <v>19</v>
      </c>
      <c r="BX44" s="297"/>
      <c r="BY44" s="302">
        <v>4</v>
      </c>
      <c r="BZ44" s="303">
        <v>25</v>
      </c>
      <c r="CA44" s="301">
        <v>15</v>
      </c>
      <c r="CB44" s="297"/>
      <c r="CC44" s="302" t="s">
        <v>18</v>
      </c>
      <c r="CD44" s="303">
        <v>29</v>
      </c>
      <c r="CE44" s="301">
        <v>11</v>
      </c>
      <c r="CF44" s="297"/>
      <c r="CG44" s="298">
        <v>6</v>
      </c>
      <c r="CH44" s="303">
        <v>23</v>
      </c>
      <c r="CI44" s="300">
        <v>17</v>
      </c>
      <c r="CJ44" s="296"/>
      <c r="CK44" s="296"/>
      <c r="CL44" s="297"/>
      <c r="CM44" s="298">
        <v>9</v>
      </c>
      <c r="CN44" s="299">
        <v>14</v>
      </c>
      <c r="CO44" s="300">
        <v>26</v>
      </c>
      <c r="CP44" s="297"/>
      <c r="CQ44" s="298">
        <v>5</v>
      </c>
      <c r="CR44" s="299">
        <v>18</v>
      </c>
      <c r="CS44" s="300">
        <v>22</v>
      </c>
      <c r="CT44" s="297"/>
      <c r="CU44" s="298">
        <v>7</v>
      </c>
      <c r="CV44" s="299">
        <v>16</v>
      </c>
      <c r="CW44" s="300">
        <v>24</v>
      </c>
      <c r="CX44" s="297"/>
      <c r="CY44" s="298">
        <v>2</v>
      </c>
      <c r="CZ44" s="299">
        <v>21</v>
      </c>
      <c r="DA44" s="300">
        <v>19</v>
      </c>
      <c r="DB44" s="297"/>
      <c r="DC44" s="298" t="s">
        <v>18</v>
      </c>
      <c r="DD44" s="299">
        <v>23</v>
      </c>
      <c r="DE44" s="300">
        <v>17</v>
      </c>
      <c r="DF44" s="296"/>
      <c r="DG44" s="296"/>
      <c r="DH44" s="297"/>
      <c r="DI44" s="298" t="s">
        <v>18</v>
      </c>
      <c r="DJ44" s="299">
        <v>22</v>
      </c>
      <c r="DK44" s="300">
        <v>18</v>
      </c>
      <c r="DL44" s="297"/>
      <c r="DM44" s="298">
        <v>6</v>
      </c>
      <c r="DN44" s="299">
        <v>14</v>
      </c>
      <c r="DO44" s="300">
        <v>26</v>
      </c>
      <c r="DP44" s="297"/>
      <c r="DQ44" s="298">
        <v>3</v>
      </c>
      <c r="DR44" s="299">
        <v>19</v>
      </c>
      <c r="DS44" s="300">
        <v>21</v>
      </c>
      <c r="DT44" s="297"/>
      <c r="DU44" s="298">
        <v>2</v>
      </c>
      <c r="DV44" s="299">
        <v>20</v>
      </c>
      <c r="DW44" s="300">
        <v>20</v>
      </c>
      <c r="DX44" s="297"/>
      <c r="DY44" s="298">
        <v>7</v>
      </c>
      <c r="DZ44" s="299">
        <v>15</v>
      </c>
      <c r="EA44" s="300">
        <v>25</v>
      </c>
      <c r="EC44" s="296"/>
      <c r="ED44" s="297"/>
      <c r="EE44" s="298">
        <v>4</v>
      </c>
      <c r="EF44" s="299">
        <v>23</v>
      </c>
      <c r="EG44" s="300">
        <v>17</v>
      </c>
      <c r="EH44" s="297"/>
      <c r="EI44" s="298" t="s">
        <v>31</v>
      </c>
      <c r="EJ44" s="299">
        <v>27</v>
      </c>
      <c r="EK44" s="301">
        <v>13</v>
      </c>
      <c r="EL44" s="297"/>
      <c r="EM44" s="302">
        <v>8</v>
      </c>
      <c r="EN44" s="303">
        <v>19</v>
      </c>
      <c r="EO44" s="301">
        <v>21</v>
      </c>
      <c r="EP44" s="297"/>
      <c r="EQ44" s="302">
        <v>13</v>
      </c>
      <c r="ER44" s="303">
        <v>14</v>
      </c>
      <c r="ES44" s="301">
        <v>26</v>
      </c>
      <c r="ET44" s="297"/>
      <c r="EU44" s="298">
        <v>10</v>
      </c>
      <c r="EV44" s="303">
        <v>17</v>
      </c>
      <c r="EW44" s="300">
        <v>23</v>
      </c>
      <c r="EX44" s="296"/>
      <c r="EY44" s="296"/>
      <c r="EZ44" s="297"/>
      <c r="FA44" s="298">
        <v>2</v>
      </c>
      <c r="FB44" s="299">
        <v>20</v>
      </c>
      <c r="FC44" s="300">
        <v>20</v>
      </c>
      <c r="FD44" s="297"/>
      <c r="FE44" s="298" t="s">
        <v>31</v>
      </c>
      <c r="FF44" s="299">
        <v>22</v>
      </c>
      <c r="FG44" s="300">
        <v>18</v>
      </c>
      <c r="FH44" s="297"/>
      <c r="FI44" s="298">
        <v>1</v>
      </c>
      <c r="FJ44" s="299">
        <v>21</v>
      </c>
      <c r="FK44" s="300">
        <v>19</v>
      </c>
      <c r="FL44" s="297"/>
      <c r="FM44" s="298" t="s">
        <v>31</v>
      </c>
      <c r="FN44" s="299">
        <v>22</v>
      </c>
      <c r="FO44" s="300">
        <v>18</v>
      </c>
      <c r="FP44" s="297"/>
      <c r="FQ44" s="298">
        <v>10</v>
      </c>
      <c r="FR44" s="299">
        <v>12</v>
      </c>
      <c r="FS44" s="300">
        <v>28</v>
      </c>
      <c r="FT44" s="296"/>
      <c r="FU44" s="296"/>
      <c r="FV44" s="297"/>
      <c r="FW44" s="298">
        <v>6</v>
      </c>
      <c r="FX44" s="299">
        <v>19</v>
      </c>
      <c r="FY44" s="300">
        <v>21</v>
      </c>
      <c r="FZ44" s="297"/>
      <c r="GA44" s="298">
        <v>3</v>
      </c>
      <c r="GB44" s="299">
        <v>22</v>
      </c>
      <c r="GC44" s="300">
        <v>18</v>
      </c>
      <c r="GD44" s="297"/>
      <c r="GE44" s="298" t="s">
        <v>31</v>
      </c>
      <c r="GF44" s="299">
        <v>25</v>
      </c>
      <c r="GG44" s="300">
        <v>15</v>
      </c>
      <c r="GH44" s="297"/>
      <c r="GI44" s="298">
        <v>12</v>
      </c>
      <c r="GJ44" s="299">
        <v>13</v>
      </c>
      <c r="GK44" s="300">
        <v>27</v>
      </c>
      <c r="GL44" s="297"/>
      <c r="GM44" s="298">
        <v>5</v>
      </c>
      <c r="GN44" s="299">
        <v>20</v>
      </c>
      <c r="GO44" s="300">
        <v>20</v>
      </c>
    </row>
    <row r="45" spans="1:197" ht="8" customHeight="1"/>
  </sheetData>
  <mergeCells count="99">
    <mergeCell ref="GD43:GE43"/>
    <mergeCell ref="GH43:GI43"/>
    <mergeCell ref="GL43:GM43"/>
    <mergeCell ref="ED43:EE43"/>
    <mergeCell ref="EH43:EI43"/>
    <mergeCell ref="EL43:EM43"/>
    <mergeCell ref="EP43:EQ43"/>
    <mergeCell ref="ET43:EU43"/>
    <mergeCell ref="EZ43:FA43"/>
    <mergeCell ref="GL2:GO2"/>
    <mergeCell ref="BP43:BQ43"/>
    <mergeCell ref="BT43:BU43"/>
    <mergeCell ref="BX43:BY43"/>
    <mergeCell ref="CB43:CC43"/>
    <mergeCell ref="CF43:CG43"/>
    <mergeCell ref="CL43:CM43"/>
    <mergeCell ref="CP43:CQ43"/>
    <mergeCell ref="CT43:CU43"/>
    <mergeCell ref="CX43:CY43"/>
    <mergeCell ref="FL2:FO2"/>
    <mergeCell ref="FP2:FS2"/>
    <mergeCell ref="FV2:FY2"/>
    <mergeCell ref="FZ2:GC2"/>
    <mergeCell ref="GD2:GG2"/>
    <mergeCell ref="GH2:GK2"/>
    <mergeCell ref="DX2:EA2"/>
    <mergeCell ref="CB2:CE2"/>
    <mergeCell ref="CF2:CI2"/>
    <mergeCell ref="CL2:CO2"/>
    <mergeCell ref="CP2:CS2"/>
    <mergeCell ref="CT2:CW2"/>
    <mergeCell ref="CX2:DA2"/>
    <mergeCell ref="DB2:DE2"/>
    <mergeCell ref="DH2:DK2"/>
    <mergeCell ref="DL2:DO2"/>
    <mergeCell ref="DP2:DS2"/>
    <mergeCell ref="DT2:DW2"/>
    <mergeCell ref="BP1:CI1"/>
    <mergeCell ref="CL1:DE1"/>
    <mergeCell ref="DH1:EA1"/>
    <mergeCell ref="ED1:EW1"/>
    <mergeCell ref="EZ1:FS1"/>
    <mergeCell ref="FV1:GO1"/>
    <mergeCell ref="BP2:BS2"/>
    <mergeCell ref="BT2:BW2"/>
    <mergeCell ref="BX2:CA2"/>
    <mergeCell ref="FL43:FM43"/>
    <mergeCell ref="FP43:FQ43"/>
    <mergeCell ref="FV43:FW43"/>
    <mergeCell ref="FZ43:GA43"/>
    <mergeCell ref="FD43:FE43"/>
    <mergeCell ref="FH43:FI43"/>
    <mergeCell ref="DL43:DM43"/>
    <mergeCell ref="DP43:DQ43"/>
    <mergeCell ref="DT43:DU43"/>
    <mergeCell ref="DX43:DY43"/>
    <mergeCell ref="DB43:DC43"/>
    <mergeCell ref="DH43:DI43"/>
    <mergeCell ref="ET2:EW2"/>
    <mergeCell ref="EZ2:FC2"/>
    <mergeCell ref="FD2:FG2"/>
    <mergeCell ref="FH2:FK2"/>
    <mergeCell ref="ED2:EG2"/>
    <mergeCell ref="EH2:EK2"/>
    <mergeCell ref="EL2:EO2"/>
    <mergeCell ref="EP2:ES2"/>
    <mergeCell ref="BJ43:BK43"/>
    <mergeCell ref="AJ43:AK43"/>
    <mergeCell ref="AN43:AO43"/>
    <mergeCell ref="AT43:AU43"/>
    <mergeCell ref="AX43:AY43"/>
    <mergeCell ref="BB43:BC43"/>
    <mergeCell ref="BF43:BG43"/>
    <mergeCell ref="X43:Y43"/>
    <mergeCell ref="AB43:AC43"/>
    <mergeCell ref="AF43:AG43"/>
    <mergeCell ref="AF2:AI2"/>
    <mergeCell ref="AJ2:AM2"/>
    <mergeCell ref="B43:C43"/>
    <mergeCell ref="F43:G43"/>
    <mergeCell ref="J43:K43"/>
    <mergeCell ref="N43:O43"/>
    <mergeCell ref="R43:S43"/>
    <mergeCell ref="B1:U1"/>
    <mergeCell ref="X1:AQ1"/>
    <mergeCell ref="AT1:BM1"/>
    <mergeCell ref="B2:E2"/>
    <mergeCell ref="F2:I2"/>
    <mergeCell ref="J2:M2"/>
    <mergeCell ref="N2:Q2"/>
    <mergeCell ref="R2:U2"/>
    <mergeCell ref="X2:AA2"/>
    <mergeCell ref="AB2:AE2"/>
    <mergeCell ref="BF2:BI2"/>
    <mergeCell ref="BJ2:BM2"/>
    <mergeCell ref="AN2:AQ2"/>
    <mergeCell ref="AT2:AW2"/>
    <mergeCell ref="AX2:BA2"/>
    <mergeCell ref="BB2:BE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GO44"/>
  <sheetViews>
    <sheetView zoomScaleNormal="100"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GQ7" sqref="GQ7"/>
    </sheetView>
  </sheetViews>
  <sheetFormatPr baseColWidth="10" defaultRowHeight="16"/>
  <cols>
    <col min="1" max="1" width="2.83203125" customWidth="1"/>
    <col min="2" max="2" width="2.6640625" style="108" customWidth="1"/>
    <col min="3" max="3" width="5.1640625" customWidth="1"/>
    <col min="4" max="4" width="4.33203125" style="199" customWidth="1"/>
    <col min="5" max="5" width="4.33203125" style="141" customWidth="1"/>
    <col min="6" max="6" width="2.6640625" style="108" customWidth="1"/>
    <col min="7" max="7" width="5.1640625" customWidth="1"/>
    <col min="8" max="8" width="4.33203125" style="199" customWidth="1"/>
    <col min="9" max="9" width="4.33203125" customWidth="1"/>
    <col min="10" max="10" width="2.6640625" style="108" customWidth="1"/>
    <col min="11" max="11" width="5.1640625" customWidth="1"/>
    <col min="12" max="12" width="4.33203125" style="199" customWidth="1"/>
    <col min="13" max="13" width="4.33203125" customWidth="1"/>
    <col min="14" max="14" width="2.6640625" style="108" customWidth="1"/>
    <col min="15" max="15" width="5.1640625" customWidth="1"/>
    <col min="16" max="16" width="4.33203125" style="199" customWidth="1"/>
    <col min="17" max="17" width="4.33203125" customWidth="1"/>
    <col min="18" max="18" width="2.6640625" style="108" customWidth="1"/>
    <col min="19" max="19" width="5.1640625" customWidth="1"/>
    <col min="20" max="20" width="4.33203125" style="199" customWidth="1"/>
    <col min="21" max="21" width="4.33203125" customWidth="1"/>
    <col min="22" max="22" width="3.1640625" bestFit="1" customWidth="1"/>
    <col min="23" max="23" width="2.83203125" bestFit="1" customWidth="1"/>
    <col min="24" max="24" width="2.6640625" style="108" customWidth="1"/>
    <col min="25" max="25" width="5.1640625" customWidth="1"/>
    <col min="26" max="27" width="4.33203125" customWidth="1"/>
    <col min="28" max="28" width="2.6640625" style="108" customWidth="1"/>
    <col min="29" max="29" width="5.1640625" customWidth="1"/>
    <col min="30" max="31" width="4.33203125" customWidth="1"/>
    <col min="32" max="32" width="2.6640625" style="108" customWidth="1"/>
    <col min="33" max="33" width="5.1640625" customWidth="1"/>
    <col min="34" max="35" width="4.33203125" customWidth="1"/>
    <col min="36" max="36" width="2.6640625" style="108" customWidth="1"/>
    <col min="37" max="37" width="5.1640625" customWidth="1"/>
    <col min="38" max="39" width="4.33203125" customWidth="1"/>
    <col min="40" max="40" width="2.6640625" style="108" customWidth="1"/>
    <col min="41" max="41" width="5.1640625" customWidth="1"/>
    <col min="42" max="43" width="4.33203125" customWidth="1"/>
    <col min="44" max="44" width="3.1640625" bestFit="1" customWidth="1"/>
    <col min="45" max="45" width="2.83203125" bestFit="1" customWidth="1"/>
    <col min="46" max="46" width="2.6640625" style="108" customWidth="1"/>
    <col min="47" max="47" width="5.1640625" customWidth="1"/>
    <col min="48" max="49" width="4.33203125" customWidth="1"/>
    <col min="50" max="50" width="2.6640625" style="108" customWidth="1"/>
    <col min="51" max="51" width="5.1640625" customWidth="1"/>
    <col min="52" max="53" width="4.33203125" customWidth="1"/>
    <col min="54" max="54" width="2.6640625" style="108" customWidth="1"/>
    <col min="55" max="55" width="5.1640625" customWidth="1"/>
    <col min="56" max="57" width="4.33203125" customWidth="1"/>
    <col min="58" max="58" width="2.6640625" style="108" customWidth="1"/>
    <col min="59" max="59" width="5.1640625" customWidth="1"/>
    <col min="60" max="61" width="4.33203125" customWidth="1"/>
    <col min="62" max="62" width="2.6640625" style="108" customWidth="1"/>
    <col min="63" max="63" width="5.1640625" customWidth="1"/>
    <col min="64" max="65" width="4.33203125" customWidth="1"/>
    <col min="66" max="66" width="3.1640625" bestFit="1" customWidth="1"/>
    <col min="67" max="67" width="2.83203125" bestFit="1" customWidth="1"/>
    <col min="68" max="68" width="2.6640625" customWidth="1"/>
    <col min="69" max="69" width="5.1640625" customWidth="1"/>
    <col min="70" max="71" width="4.33203125" customWidth="1"/>
    <col min="72" max="72" width="2.6640625" customWidth="1"/>
    <col min="73" max="73" width="5.1640625" customWidth="1"/>
    <col min="74" max="75" width="4.33203125" customWidth="1"/>
    <col min="76" max="76" width="2.6640625" customWidth="1"/>
    <col min="77" max="77" width="5.1640625" customWidth="1"/>
    <col min="78" max="79" width="4.33203125" customWidth="1"/>
    <col min="80" max="80" width="2.6640625" customWidth="1"/>
    <col min="81" max="81" width="5.1640625" customWidth="1"/>
    <col min="82" max="83" width="4.33203125" customWidth="1"/>
    <col min="84" max="84" width="2.6640625" customWidth="1"/>
    <col min="85" max="85" width="5.1640625" customWidth="1"/>
    <col min="86" max="87" width="4.33203125" customWidth="1"/>
    <col min="88" max="88" width="3.1640625" bestFit="1" customWidth="1"/>
    <col min="89" max="89" width="2.83203125" customWidth="1"/>
    <col min="90" max="90" width="2.6640625" customWidth="1"/>
    <col min="91" max="91" width="5.1640625" customWidth="1"/>
    <col min="92" max="93" width="4.33203125" customWidth="1"/>
    <col min="94" max="94" width="2.6640625" customWidth="1"/>
    <col min="95" max="95" width="5.1640625" customWidth="1"/>
    <col min="96" max="97" width="4.33203125" customWidth="1"/>
    <col min="98" max="98" width="2.6640625" customWidth="1"/>
    <col min="99" max="99" width="5.1640625" customWidth="1"/>
    <col min="100" max="101" width="4.33203125" customWidth="1"/>
    <col min="102" max="102" width="2.6640625" customWidth="1"/>
    <col min="103" max="103" width="5.1640625" customWidth="1"/>
    <col min="104" max="105" width="4.33203125" customWidth="1"/>
    <col min="106" max="106" width="2.6640625" customWidth="1"/>
    <col min="107" max="107" width="5.1640625" customWidth="1"/>
    <col min="108" max="109" width="4.33203125" customWidth="1"/>
    <col min="110" max="110" width="3.1640625" bestFit="1" customWidth="1"/>
    <col min="111" max="111" width="2.83203125" customWidth="1"/>
    <col min="112" max="112" width="2.6640625" customWidth="1"/>
    <col min="113" max="113" width="5.1640625" customWidth="1"/>
    <col min="114" max="115" width="4.33203125" customWidth="1"/>
    <col min="116" max="116" width="2.6640625" customWidth="1"/>
    <col min="117" max="117" width="5.1640625" customWidth="1"/>
    <col min="118" max="119" width="4.33203125" customWidth="1"/>
    <col min="120" max="120" width="2.6640625" customWidth="1"/>
    <col min="121" max="121" width="5.1640625" customWidth="1"/>
    <col min="122" max="123" width="4.33203125" customWidth="1"/>
    <col min="124" max="124" width="2.6640625" customWidth="1"/>
    <col min="125" max="125" width="5.1640625" customWidth="1"/>
    <col min="126" max="127" width="4.33203125" customWidth="1"/>
    <col min="128" max="128" width="2.6640625" customWidth="1"/>
    <col min="129" max="129" width="5.1640625" customWidth="1"/>
    <col min="130" max="131" width="4.33203125" customWidth="1"/>
    <col min="132" max="132" width="3.1640625" bestFit="1" customWidth="1"/>
    <col min="133" max="133" width="2.83203125" bestFit="1" customWidth="1"/>
    <col min="134" max="134" width="2.6640625" customWidth="1"/>
    <col min="135" max="135" width="5.1640625" customWidth="1"/>
    <col min="136" max="137" width="4.33203125" customWidth="1"/>
    <col min="138" max="138" width="2.6640625" customWidth="1"/>
    <col min="139" max="139" width="5.1640625" customWidth="1"/>
    <col min="140" max="141" width="4.33203125" customWidth="1"/>
    <col min="142" max="142" width="2.6640625" customWidth="1"/>
    <col min="143" max="143" width="5.1640625" customWidth="1"/>
    <col min="144" max="145" width="4.33203125" customWidth="1"/>
    <col min="146" max="146" width="2.6640625" customWidth="1"/>
    <col min="147" max="147" width="5.1640625" customWidth="1"/>
    <col min="148" max="149" width="4.33203125" customWidth="1"/>
    <col min="150" max="150" width="2.6640625" customWidth="1"/>
    <col min="151" max="151" width="5.1640625" customWidth="1"/>
    <col min="152" max="153" width="4.33203125" customWidth="1"/>
    <col min="154" max="154" width="3.1640625" bestFit="1" customWidth="1"/>
    <col min="155" max="155" width="2.83203125" customWidth="1"/>
    <col min="156" max="156" width="2.6640625" customWidth="1"/>
    <col min="157" max="157" width="5.1640625" customWidth="1"/>
    <col min="158" max="159" width="4.33203125" customWidth="1"/>
    <col min="160" max="160" width="2.6640625" customWidth="1"/>
    <col min="161" max="161" width="5.1640625" customWidth="1"/>
    <col min="162" max="163" width="4.33203125" customWidth="1"/>
    <col min="164" max="164" width="2.6640625" customWidth="1"/>
    <col min="165" max="165" width="5.1640625" customWidth="1"/>
    <col min="166" max="167" width="4.33203125" customWidth="1"/>
    <col min="168" max="168" width="2.6640625" customWidth="1"/>
    <col min="169" max="169" width="5.1640625" customWidth="1"/>
    <col min="170" max="171" width="4.33203125" customWidth="1"/>
    <col min="172" max="172" width="2.6640625" customWidth="1"/>
    <col min="173" max="173" width="5.1640625" customWidth="1"/>
    <col min="174" max="175" width="4.33203125" customWidth="1"/>
    <col min="176" max="176" width="3.1640625" bestFit="1" customWidth="1"/>
    <col min="177" max="177" width="2.83203125" customWidth="1"/>
    <col min="178" max="178" width="2.6640625" customWidth="1"/>
    <col min="179" max="179" width="5.1640625" customWidth="1"/>
    <col min="180" max="181" width="4.33203125" customWidth="1"/>
    <col min="182" max="182" width="2.6640625" customWidth="1"/>
    <col min="183" max="183" width="5.1640625" customWidth="1"/>
    <col min="184" max="185" width="4.33203125" customWidth="1"/>
    <col min="186" max="186" width="2.6640625" customWidth="1"/>
    <col min="187" max="187" width="5.1640625" customWidth="1"/>
    <col min="188" max="189" width="4.33203125" customWidth="1"/>
    <col min="190" max="190" width="2.6640625" customWidth="1"/>
    <col min="191" max="191" width="5.1640625" customWidth="1"/>
    <col min="192" max="193" width="4.33203125" customWidth="1"/>
    <col min="194" max="194" width="2.6640625" customWidth="1"/>
    <col min="195" max="195" width="5.1640625" customWidth="1"/>
    <col min="196" max="197" width="4.33203125" customWidth="1"/>
    <col min="198" max="198" width="3.1640625" bestFit="1" customWidth="1"/>
  </cols>
  <sheetData>
    <row r="1" spans="1:197" ht="32" customHeight="1" thickBot="1">
      <c r="A1" s="199"/>
      <c r="B1" s="1132" t="s">
        <v>764</v>
      </c>
      <c r="C1" s="1133"/>
      <c r="D1" s="1133"/>
      <c r="E1" s="1133"/>
      <c r="F1" s="1133"/>
      <c r="G1" s="1133"/>
      <c r="H1" s="1133"/>
      <c r="I1" s="1133"/>
      <c r="J1" s="1133"/>
      <c r="K1" s="1133"/>
      <c r="L1" s="1133"/>
      <c r="M1" s="1133"/>
      <c r="N1" s="1133"/>
      <c r="O1" s="1133"/>
      <c r="P1" s="1133"/>
      <c r="Q1" s="1133"/>
      <c r="R1" s="1133"/>
      <c r="S1" s="1133"/>
      <c r="T1" s="1133"/>
      <c r="U1" s="1134"/>
      <c r="V1" s="159"/>
      <c r="W1" s="200"/>
      <c r="X1" s="1132" t="s">
        <v>946</v>
      </c>
      <c r="Y1" s="1133"/>
      <c r="Z1" s="1133"/>
      <c r="AA1" s="1133"/>
      <c r="AB1" s="1133"/>
      <c r="AC1" s="1133"/>
      <c r="AD1" s="1133"/>
      <c r="AE1" s="1133"/>
      <c r="AF1" s="1133"/>
      <c r="AG1" s="1133"/>
      <c r="AH1" s="1133"/>
      <c r="AI1" s="1133"/>
      <c r="AJ1" s="1133"/>
      <c r="AK1" s="1133"/>
      <c r="AL1" s="1133"/>
      <c r="AM1" s="1133"/>
      <c r="AN1" s="1133"/>
      <c r="AO1" s="1133"/>
      <c r="AP1" s="1133"/>
      <c r="AQ1" s="1134"/>
      <c r="AR1" s="990"/>
      <c r="AS1" s="990"/>
      <c r="AT1" s="1132" t="s">
        <v>1133</v>
      </c>
      <c r="AU1" s="1133"/>
      <c r="AV1" s="1133"/>
      <c r="AW1" s="1133"/>
      <c r="AX1" s="1133"/>
      <c r="AY1" s="1133"/>
      <c r="AZ1" s="1133"/>
      <c r="BA1" s="1133"/>
      <c r="BB1" s="1133"/>
      <c r="BC1" s="1133"/>
      <c r="BD1" s="1133"/>
      <c r="BE1" s="1133"/>
      <c r="BF1" s="1133"/>
      <c r="BG1" s="1133"/>
      <c r="BH1" s="1133"/>
      <c r="BI1" s="1133"/>
      <c r="BJ1" s="1133"/>
      <c r="BK1" s="1133"/>
      <c r="BL1" s="1133"/>
      <c r="BM1" s="1134"/>
      <c r="BO1" s="199"/>
      <c r="BP1" s="1132" t="s">
        <v>765</v>
      </c>
      <c r="BQ1" s="1133"/>
      <c r="BR1" s="1133"/>
      <c r="BS1" s="1133"/>
      <c r="BT1" s="1133"/>
      <c r="BU1" s="1133"/>
      <c r="BV1" s="1133"/>
      <c r="BW1" s="1133"/>
      <c r="BX1" s="1133"/>
      <c r="BY1" s="1133"/>
      <c r="BZ1" s="1133"/>
      <c r="CA1" s="1133"/>
      <c r="CB1" s="1133"/>
      <c r="CC1" s="1133"/>
      <c r="CD1" s="1133"/>
      <c r="CE1" s="1133"/>
      <c r="CF1" s="1133"/>
      <c r="CG1" s="1133"/>
      <c r="CH1" s="1133"/>
      <c r="CI1" s="1134"/>
      <c r="CJ1" s="159"/>
      <c r="CK1" s="200"/>
      <c r="CL1" s="1132" t="s">
        <v>947</v>
      </c>
      <c r="CM1" s="1133"/>
      <c r="CN1" s="1133"/>
      <c r="CO1" s="1133"/>
      <c r="CP1" s="1133"/>
      <c r="CQ1" s="1133"/>
      <c r="CR1" s="1133"/>
      <c r="CS1" s="1133"/>
      <c r="CT1" s="1133"/>
      <c r="CU1" s="1133"/>
      <c r="CV1" s="1133"/>
      <c r="CW1" s="1133"/>
      <c r="CX1" s="1133"/>
      <c r="CY1" s="1133"/>
      <c r="CZ1" s="1133"/>
      <c r="DA1" s="1133"/>
      <c r="DB1" s="1133"/>
      <c r="DC1" s="1133"/>
      <c r="DD1" s="1133"/>
      <c r="DE1" s="1134"/>
      <c r="DF1" s="362"/>
      <c r="DG1" s="362"/>
      <c r="DH1" s="1132" t="s">
        <v>1134</v>
      </c>
      <c r="DI1" s="1133"/>
      <c r="DJ1" s="1133"/>
      <c r="DK1" s="1133"/>
      <c r="DL1" s="1133"/>
      <c r="DM1" s="1133"/>
      <c r="DN1" s="1133"/>
      <c r="DO1" s="1133"/>
      <c r="DP1" s="1133"/>
      <c r="DQ1" s="1133"/>
      <c r="DR1" s="1133"/>
      <c r="DS1" s="1133"/>
      <c r="DT1" s="1133"/>
      <c r="DU1" s="1133"/>
      <c r="DV1" s="1133"/>
      <c r="DW1" s="1133"/>
      <c r="DX1" s="1133"/>
      <c r="DY1" s="1133"/>
      <c r="DZ1" s="1133"/>
      <c r="EA1" s="1134"/>
      <c r="ED1" s="1132" t="s">
        <v>766</v>
      </c>
      <c r="EE1" s="1133"/>
      <c r="EF1" s="1133"/>
      <c r="EG1" s="1133"/>
      <c r="EH1" s="1133"/>
      <c r="EI1" s="1133"/>
      <c r="EJ1" s="1133"/>
      <c r="EK1" s="1133"/>
      <c r="EL1" s="1133"/>
      <c r="EM1" s="1133"/>
      <c r="EN1" s="1133"/>
      <c r="EO1" s="1133"/>
      <c r="EP1" s="1133"/>
      <c r="EQ1" s="1133"/>
      <c r="ER1" s="1133"/>
      <c r="ES1" s="1133"/>
      <c r="ET1" s="1133"/>
      <c r="EU1" s="1133"/>
      <c r="EV1" s="1133"/>
      <c r="EW1" s="1134"/>
      <c r="EX1" s="159"/>
      <c r="EY1" s="200"/>
      <c r="EZ1" s="1132" t="s">
        <v>948</v>
      </c>
      <c r="FA1" s="1133"/>
      <c r="FB1" s="1133"/>
      <c r="FC1" s="1133"/>
      <c r="FD1" s="1133"/>
      <c r="FE1" s="1133"/>
      <c r="FF1" s="1133"/>
      <c r="FG1" s="1133"/>
      <c r="FH1" s="1133"/>
      <c r="FI1" s="1133"/>
      <c r="FJ1" s="1133"/>
      <c r="FK1" s="1133"/>
      <c r="FL1" s="1133"/>
      <c r="FM1" s="1133"/>
      <c r="FN1" s="1133"/>
      <c r="FO1" s="1133"/>
      <c r="FP1" s="1133"/>
      <c r="FQ1" s="1133"/>
      <c r="FR1" s="1133"/>
      <c r="FS1" s="1134"/>
      <c r="FT1" s="362"/>
      <c r="FU1" s="362"/>
      <c r="FV1" s="1132" t="s">
        <v>1135</v>
      </c>
      <c r="FW1" s="1133"/>
      <c r="FX1" s="1133"/>
      <c r="FY1" s="1133"/>
      <c r="FZ1" s="1133"/>
      <c r="GA1" s="1133"/>
      <c r="GB1" s="1133"/>
      <c r="GC1" s="1133"/>
      <c r="GD1" s="1133"/>
      <c r="GE1" s="1133"/>
      <c r="GF1" s="1133"/>
      <c r="GG1" s="1133"/>
      <c r="GH1" s="1133"/>
      <c r="GI1" s="1133"/>
      <c r="GJ1" s="1133"/>
      <c r="GK1" s="1133"/>
      <c r="GL1" s="1133"/>
      <c r="GM1" s="1133"/>
      <c r="GN1" s="1133"/>
      <c r="GO1" s="1134"/>
    </row>
    <row r="2" spans="1:197" ht="20" thickBot="1">
      <c r="A2" s="163"/>
      <c r="B2" s="1122" t="s">
        <v>869</v>
      </c>
      <c r="C2" s="1123"/>
      <c r="D2" s="1123"/>
      <c r="E2" s="1124"/>
      <c r="F2" s="1122" t="s">
        <v>903</v>
      </c>
      <c r="G2" s="1123"/>
      <c r="H2" s="1123"/>
      <c r="I2" s="1124"/>
      <c r="J2" s="1122" t="s">
        <v>804</v>
      </c>
      <c r="K2" s="1123"/>
      <c r="L2" s="1123"/>
      <c r="M2" s="1124"/>
      <c r="N2" s="1122" t="s">
        <v>835</v>
      </c>
      <c r="O2" s="1123"/>
      <c r="P2" s="1123"/>
      <c r="Q2" s="1124"/>
      <c r="R2" s="1122" t="s">
        <v>770</v>
      </c>
      <c r="S2" s="1123"/>
      <c r="T2" s="1123"/>
      <c r="U2" s="1124"/>
      <c r="W2" s="201"/>
      <c r="X2" s="1069" t="s">
        <v>1025</v>
      </c>
      <c r="Y2" s="1070"/>
      <c r="Z2" s="1070"/>
      <c r="AA2" s="1071"/>
      <c r="AB2" s="1069" t="s">
        <v>1096</v>
      </c>
      <c r="AC2" s="1070"/>
      <c r="AD2" s="1070"/>
      <c r="AE2" s="1071"/>
      <c r="AF2" s="1069" t="s">
        <v>952</v>
      </c>
      <c r="AG2" s="1070"/>
      <c r="AH2" s="1070"/>
      <c r="AI2" s="1071"/>
      <c r="AJ2" s="1069" t="s">
        <v>990</v>
      </c>
      <c r="AK2" s="1070"/>
      <c r="AL2" s="1070"/>
      <c r="AM2" s="1071"/>
      <c r="AN2" s="1069" t="s">
        <v>1062</v>
      </c>
      <c r="AO2" s="1070"/>
      <c r="AP2" s="1070"/>
      <c r="AQ2" s="1071"/>
      <c r="AS2" s="201"/>
      <c r="AT2" s="1125" t="s">
        <v>1265</v>
      </c>
      <c r="AU2" s="1126"/>
      <c r="AV2" s="1126"/>
      <c r="AW2" s="1127"/>
      <c r="AX2" s="1125" t="s">
        <v>1229</v>
      </c>
      <c r="AY2" s="1126"/>
      <c r="AZ2" s="1126"/>
      <c r="BA2" s="1127"/>
      <c r="BB2" s="1125" t="s">
        <v>1139</v>
      </c>
      <c r="BC2" s="1126"/>
      <c r="BD2" s="1126"/>
      <c r="BE2" s="1127"/>
      <c r="BF2" s="1125" t="s">
        <v>1171</v>
      </c>
      <c r="BG2" s="1126"/>
      <c r="BH2" s="1126"/>
      <c r="BI2" s="1127"/>
      <c r="BJ2" s="1125" t="s">
        <v>1200</v>
      </c>
      <c r="BK2" s="1126"/>
      <c r="BL2" s="1126"/>
      <c r="BM2" s="1127"/>
      <c r="BO2" s="163"/>
      <c r="BP2" s="1122" t="s">
        <v>903</v>
      </c>
      <c r="BQ2" s="1123"/>
      <c r="BR2" s="1123"/>
      <c r="BS2" s="1124"/>
      <c r="BT2" s="1122" t="s">
        <v>804</v>
      </c>
      <c r="BU2" s="1123"/>
      <c r="BV2" s="1123"/>
      <c r="BW2" s="1124"/>
      <c r="BX2" s="1122" t="s">
        <v>835</v>
      </c>
      <c r="BY2" s="1123"/>
      <c r="BZ2" s="1123"/>
      <c r="CA2" s="1124"/>
      <c r="CB2" s="1122" t="s">
        <v>770</v>
      </c>
      <c r="CC2" s="1123"/>
      <c r="CD2" s="1123"/>
      <c r="CE2" s="1124"/>
      <c r="CF2" s="1122" t="s">
        <v>869</v>
      </c>
      <c r="CG2" s="1123"/>
      <c r="CH2" s="1123"/>
      <c r="CI2" s="1124"/>
      <c r="CK2" s="201"/>
      <c r="CL2" s="1069" t="s">
        <v>1096</v>
      </c>
      <c r="CM2" s="1070"/>
      <c r="CN2" s="1070"/>
      <c r="CO2" s="1071"/>
      <c r="CP2" s="1069" t="s">
        <v>952</v>
      </c>
      <c r="CQ2" s="1070"/>
      <c r="CR2" s="1070"/>
      <c r="CS2" s="1071"/>
      <c r="CT2" s="1069" t="s">
        <v>990</v>
      </c>
      <c r="CU2" s="1070"/>
      <c r="CV2" s="1070"/>
      <c r="CW2" s="1071"/>
      <c r="CX2" s="1069" t="s">
        <v>1062</v>
      </c>
      <c r="CY2" s="1070"/>
      <c r="CZ2" s="1070"/>
      <c r="DA2" s="1071"/>
      <c r="DB2" s="1069" t="s">
        <v>1025</v>
      </c>
      <c r="DC2" s="1070"/>
      <c r="DD2" s="1070"/>
      <c r="DE2" s="1071"/>
      <c r="DG2" s="201"/>
      <c r="DH2" s="1125" t="s">
        <v>1229</v>
      </c>
      <c r="DI2" s="1126"/>
      <c r="DJ2" s="1126"/>
      <c r="DK2" s="1127"/>
      <c r="DL2" s="1125" t="s">
        <v>1139</v>
      </c>
      <c r="DM2" s="1126"/>
      <c r="DN2" s="1126"/>
      <c r="DO2" s="1127"/>
      <c r="DP2" s="1125" t="s">
        <v>1171</v>
      </c>
      <c r="DQ2" s="1126"/>
      <c r="DR2" s="1126"/>
      <c r="DS2" s="1127"/>
      <c r="DT2" s="1125" t="s">
        <v>1200</v>
      </c>
      <c r="DU2" s="1126"/>
      <c r="DV2" s="1126"/>
      <c r="DW2" s="1127"/>
      <c r="DX2" s="1125" t="s">
        <v>1265</v>
      </c>
      <c r="DY2" s="1126"/>
      <c r="DZ2" s="1126"/>
      <c r="EA2" s="1127"/>
      <c r="ED2" s="1122" t="s">
        <v>804</v>
      </c>
      <c r="EE2" s="1123"/>
      <c r="EF2" s="1123"/>
      <c r="EG2" s="1124"/>
      <c r="EH2" s="1122" t="s">
        <v>835</v>
      </c>
      <c r="EI2" s="1123"/>
      <c r="EJ2" s="1123"/>
      <c r="EK2" s="1124"/>
      <c r="EL2" s="1122" t="s">
        <v>770</v>
      </c>
      <c r="EM2" s="1123"/>
      <c r="EN2" s="1123"/>
      <c r="EO2" s="1124"/>
      <c r="EP2" s="1122" t="s">
        <v>869</v>
      </c>
      <c r="EQ2" s="1123"/>
      <c r="ER2" s="1123"/>
      <c r="ES2" s="1124"/>
      <c r="ET2" s="1122" t="s">
        <v>903</v>
      </c>
      <c r="EU2" s="1123"/>
      <c r="EV2" s="1123"/>
      <c r="EW2" s="1124"/>
      <c r="EY2" s="201"/>
      <c r="EZ2" s="1069" t="s">
        <v>952</v>
      </c>
      <c r="FA2" s="1070"/>
      <c r="FB2" s="1070"/>
      <c r="FC2" s="1071"/>
      <c r="FD2" s="1069" t="s">
        <v>990</v>
      </c>
      <c r="FE2" s="1070"/>
      <c r="FF2" s="1070"/>
      <c r="FG2" s="1071"/>
      <c r="FH2" s="1069" t="s">
        <v>1062</v>
      </c>
      <c r="FI2" s="1070"/>
      <c r="FJ2" s="1070"/>
      <c r="FK2" s="1071"/>
      <c r="FL2" s="1069" t="s">
        <v>1025</v>
      </c>
      <c r="FM2" s="1070"/>
      <c r="FN2" s="1070"/>
      <c r="FO2" s="1071"/>
      <c r="FP2" s="1069" t="s">
        <v>1096</v>
      </c>
      <c r="FQ2" s="1070"/>
      <c r="FR2" s="1070"/>
      <c r="FS2" s="1071"/>
      <c r="FU2" s="201"/>
      <c r="FV2" s="1125" t="s">
        <v>1139</v>
      </c>
      <c r="FW2" s="1126"/>
      <c r="FX2" s="1126"/>
      <c r="FY2" s="1127"/>
      <c r="FZ2" s="1125" t="s">
        <v>1171</v>
      </c>
      <c r="GA2" s="1126"/>
      <c r="GB2" s="1126"/>
      <c r="GC2" s="1127"/>
      <c r="GD2" s="1125" t="s">
        <v>1200</v>
      </c>
      <c r="GE2" s="1126"/>
      <c r="GF2" s="1126"/>
      <c r="GG2" s="1127"/>
      <c r="GH2" s="1125" t="s">
        <v>1265</v>
      </c>
      <c r="GI2" s="1126"/>
      <c r="GJ2" s="1126"/>
      <c r="GK2" s="1127"/>
      <c r="GL2" s="1125" t="s">
        <v>1229</v>
      </c>
      <c r="GM2" s="1126"/>
      <c r="GN2" s="1126"/>
      <c r="GO2" s="1127"/>
    </row>
    <row r="3" spans="1:197" ht="17" thickBot="1">
      <c r="A3" s="202">
        <v>1</v>
      </c>
      <c r="B3" s="203"/>
      <c r="C3" s="204" t="s">
        <v>1096</v>
      </c>
      <c r="D3" s="406">
        <v>2</v>
      </c>
      <c r="E3" s="405">
        <v>3</v>
      </c>
      <c r="F3" s="271"/>
      <c r="G3" s="209" t="s">
        <v>804</v>
      </c>
      <c r="H3" s="393">
        <v>0</v>
      </c>
      <c r="I3" s="397">
        <v>4</v>
      </c>
      <c r="J3" s="271" t="s">
        <v>144</v>
      </c>
      <c r="K3" s="209" t="s">
        <v>903</v>
      </c>
      <c r="L3" s="401">
        <v>4</v>
      </c>
      <c r="M3" s="403">
        <v>0</v>
      </c>
      <c r="N3" s="271"/>
      <c r="O3" s="209" t="s">
        <v>770</v>
      </c>
      <c r="P3" s="216">
        <v>9</v>
      </c>
      <c r="Q3" s="218">
        <v>0</v>
      </c>
      <c r="R3" s="271" t="s">
        <v>144</v>
      </c>
      <c r="S3" s="209" t="s">
        <v>835</v>
      </c>
      <c r="T3" s="210">
        <v>0</v>
      </c>
      <c r="U3" s="211">
        <v>9</v>
      </c>
      <c r="V3" s="163"/>
      <c r="W3" s="202">
        <v>1</v>
      </c>
      <c r="X3" s="203" t="s">
        <v>144</v>
      </c>
      <c r="Y3" s="204" t="s">
        <v>990</v>
      </c>
      <c r="Z3" s="391">
        <v>5</v>
      </c>
      <c r="AA3" s="389">
        <v>1</v>
      </c>
      <c r="AB3" s="271" t="s">
        <v>144</v>
      </c>
      <c r="AC3" s="209" t="s">
        <v>869</v>
      </c>
      <c r="AD3" s="401">
        <v>3</v>
      </c>
      <c r="AE3" s="399">
        <v>2</v>
      </c>
      <c r="AF3" s="203"/>
      <c r="AG3" s="204" t="s">
        <v>1062</v>
      </c>
      <c r="AH3" s="207">
        <v>1</v>
      </c>
      <c r="AI3" s="208">
        <v>0</v>
      </c>
      <c r="AJ3" s="203"/>
      <c r="AK3" s="204" t="s">
        <v>1025</v>
      </c>
      <c r="AL3" s="406">
        <v>1</v>
      </c>
      <c r="AM3" s="405">
        <v>5</v>
      </c>
      <c r="AN3" s="203" t="s">
        <v>144</v>
      </c>
      <c r="AO3" s="204" t="s">
        <v>952</v>
      </c>
      <c r="AP3" s="205">
        <v>0</v>
      </c>
      <c r="AQ3" s="206">
        <v>1</v>
      </c>
      <c r="AR3" s="163"/>
      <c r="AS3" s="202">
        <v>1</v>
      </c>
      <c r="AT3" s="333" t="s">
        <v>144</v>
      </c>
      <c r="AU3" s="334" t="s">
        <v>1171</v>
      </c>
      <c r="AV3" s="413">
        <v>0</v>
      </c>
      <c r="AW3" s="420">
        <v>3</v>
      </c>
      <c r="AX3" s="212" t="s">
        <v>144</v>
      </c>
      <c r="AY3" s="213" t="s">
        <v>611</v>
      </c>
      <c r="AZ3" s="427">
        <v>9</v>
      </c>
      <c r="BA3" s="428">
        <v>8</v>
      </c>
      <c r="BB3" s="333"/>
      <c r="BC3" s="334" t="s">
        <v>1200</v>
      </c>
      <c r="BD3" s="413">
        <v>2</v>
      </c>
      <c r="BE3" s="416">
        <v>3</v>
      </c>
      <c r="BF3" s="333"/>
      <c r="BG3" s="334" t="s">
        <v>1265</v>
      </c>
      <c r="BH3" s="416">
        <v>3</v>
      </c>
      <c r="BI3" s="431">
        <v>0</v>
      </c>
      <c r="BJ3" s="333" t="s">
        <v>144</v>
      </c>
      <c r="BK3" s="334" t="s">
        <v>1139</v>
      </c>
      <c r="BL3" s="416">
        <v>7</v>
      </c>
      <c r="BM3" s="417">
        <v>2</v>
      </c>
      <c r="BO3" s="202">
        <v>1</v>
      </c>
      <c r="BP3" s="203"/>
      <c r="BQ3" s="204" t="s">
        <v>952</v>
      </c>
      <c r="BR3" s="207">
        <v>5</v>
      </c>
      <c r="BS3" s="208">
        <v>3</v>
      </c>
      <c r="BT3" s="271"/>
      <c r="BU3" s="209" t="s">
        <v>835</v>
      </c>
      <c r="BV3" s="216">
        <v>9</v>
      </c>
      <c r="BW3" s="218">
        <v>0</v>
      </c>
      <c r="BX3" s="271" t="s">
        <v>144</v>
      </c>
      <c r="BY3" s="209" t="s">
        <v>804</v>
      </c>
      <c r="BZ3" s="210">
        <v>0</v>
      </c>
      <c r="CA3" s="306">
        <v>9</v>
      </c>
      <c r="CB3" s="271"/>
      <c r="CC3" s="209" t="s">
        <v>869</v>
      </c>
      <c r="CD3" s="210">
        <v>1</v>
      </c>
      <c r="CE3" s="306">
        <v>2</v>
      </c>
      <c r="CF3" s="271" t="s">
        <v>144</v>
      </c>
      <c r="CG3" s="209" t="s">
        <v>770</v>
      </c>
      <c r="CH3" s="216">
        <v>2</v>
      </c>
      <c r="CI3" s="217">
        <v>1</v>
      </c>
      <c r="CJ3" s="163"/>
      <c r="CK3" s="202">
        <v>1</v>
      </c>
      <c r="CL3" s="203" t="s">
        <v>144</v>
      </c>
      <c r="CM3" s="204" t="s">
        <v>1062</v>
      </c>
      <c r="CN3" s="205">
        <v>0</v>
      </c>
      <c r="CO3" s="206">
        <v>4</v>
      </c>
      <c r="CP3" s="271" t="s">
        <v>144</v>
      </c>
      <c r="CQ3" s="209" t="s">
        <v>903</v>
      </c>
      <c r="CR3" s="210">
        <v>3</v>
      </c>
      <c r="CS3" s="211">
        <v>5</v>
      </c>
      <c r="CT3" s="203"/>
      <c r="CU3" s="204" t="s">
        <v>1025</v>
      </c>
      <c r="CV3" s="580">
        <v>1</v>
      </c>
      <c r="CW3" s="206">
        <v>5</v>
      </c>
      <c r="CX3" s="203"/>
      <c r="CY3" s="204" t="s">
        <v>1096</v>
      </c>
      <c r="CZ3" s="207">
        <v>4</v>
      </c>
      <c r="DA3" s="208">
        <v>0</v>
      </c>
      <c r="DB3" s="203" t="s">
        <v>144</v>
      </c>
      <c r="DC3" s="204" t="s">
        <v>990</v>
      </c>
      <c r="DD3" s="207">
        <v>5</v>
      </c>
      <c r="DE3" s="208">
        <v>1</v>
      </c>
      <c r="DF3" s="163"/>
      <c r="DG3" s="202">
        <v>1</v>
      </c>
      <c r="DH3" s="333" t="s">
        <v>144</v>
      </c>
      <c r="DI3" s="334" t="s">
        <v>1200</v>
      </c>
      <c r="DJ3" s="337">
        <v>9</v>
      </c>
      <c r="DK3" s="338">
        <v>7</v>
      </c>
      <c r="DL3" s="212" t="s">
        <v>144</v>
      </c>
      <c r="DM3" s="213" t="s">
        <v>717</v>
      </c>
      <c r="DN3" s="214">
        <v>4</v>
      </c>
      <c r="DO3" s="215">
        <v>2</v>
      </c>
      <c r="DP3" s="333"/>
      <c r="DQ3" s="334" t="s">
        <v>1265</v>
      </c>
      <c r="DR3" s="337">
        <v>4</v>
      </c>
      <c r="DS3" s="338">
        <v>2</v>
      </c>
      <c r="DT3" s="333"/>
      <c r="DU3" s="334" t="s">
        <v>1229</v>
      </c>
      <c r="DV3" s="335">
        <v>7</v>
      </c>
      <c r="DW3" s="344">
        <v>9</v>
      </c>
      <c r="DX3" s="333" t="s">
        <v>144</v>
      </c>
      <c r="DY3" s="334" t="s">
        <v>1171</v>
      </c>
      <c r="DZ3" s="335">
        <v>2</v>
      </c>
      <c r="EA3" s="336">
        <v>4</v>
      </c>
      <c r="EC3" s="202">
        <v>1</v>
      </c>
      <c r="ED3" s="203"/>
      <c r="EE3" s="204" t="s">
        <v>990</v>
      </c>
      <c r="EF3" s="207">
        <v>8</v>
      </c>
      <c r="EG3" s="208">
        <v>1</v>
      </c>
      <c r="EH3" s="271"/>
      <c r="EI3" s="209" t="s">
        <v>770</v>
      </c>
      <c r="EJ3" s="216">
        <v>6</v>
      </c>
      <c r="EK3" s="218">
        <v>3</v>
      </c>
      <c r="EL3" s="271" t="s">
        <v>144</v>
      </c>
      <c r="EM3" s="209" t="s">
        <v>835</v>
      </c>
      <c r="EN3" s="210">
        <v>3</v>
      </c>
      <c r="EO3" s="306">
        <v>6</v>
      </c>
      <c r="EP3" s="271"/>
      <c r="EQ3" s="209" t="s">
        <v>903</v>
      </c>
      <c r="ER3" s="216">
        <v>4</v>
      </c>
      <c r="ES3" s="218">
        <v>3</v>
      </c>
      <c r="ET3" s="271" t="s">
        <v>144</v>
      </c>
      <c r="EU3" s="209" t="s">
        <v>869</v>
      </c>
      <c r="EV3" s="210">
        <v>3</v>
      </c>
      <c r="EW3" s="211">
        <v>4</v>
      </c>
      <c r="EX3" s="163"/>
      <c r="EY3" s="202">
        <v>1</v>
      </c>
      <c r="EZ3" s="203" t="s">
        <v>144</v>
      </c>
      <c r="FA3" s="204" t="s">
        <v>1025</v>
      </c>
      <c r="FB3" s="205">
        <v>0</v>
      </c>
      <c r="FC3" s="206">
        <v>5</v>
      </c>
      <c r="FD3" s="271" t="s">
        <v>144</v>
      </c>
      <c r="FE3" s="209" t="s">
        <v>804</v>
      </c>
      <c r="FF3" s="210">
        <v>1</v>
      </c>
      <c r="FG3" s="211">
        <v>8</v>
      </c>
      <c r="FH3" s="203"/>
      <c r="FI3" s="204" t="s">
        <v>1096</v>
      </c>
      <c r="FJ3" s="207">
        <v>8</v>
      </c>
      <c r="FK3" s="208">
        <v>4</v>
      </c>
      <c r="FL3" s="203"/>
      <c r="FM3" s="204" t="s">
        <v>952</v>
      </c>
      <c r="FN3" s="207">
        <v>5</v>
      </c>
      <c r="FO3" s="208">
        <v>0</v>
      </c>
      <c r="FP3" s="203" t="s">
        <v>144</v>
      </c>
      <c r="FQ3" s="204" t="s">
        <v>1062</v>
      </c>
      <c r="FR3" s="205">
        <v>4</v>
      </c>
      <c r="FS3" s="206">
        <v>8</v>
      </c>
      <c r="FT3" s="163"/>
      <c r="FU3" s="202">
        <v>1</v>
      </c>
      <c r="FV3" s="333" t="s">
        <v>144</v>
      </c>
      <c r="FW3" s="334" t="s">
        <v>1265</v>
      </c>
      <c r="FX3" s="337">
        <v>4</v>
      </c>
      <c r="FY3" s="338">
        <v>2</v>
      </c>
      <c r="FZ3" s="212" t="s">
        <v>144</v>
      </c>
      <c r="GA3" s="213" t="s">
        <v>685</v>
      </c>
      <c r="GB3" s="304">
        <v>1</v>
      </c>
      <c r="GC3" s="305">
        <v>5</v>
      </c>
      <c r="GD3" s="333"/>
      <c r="GE3" s="334" t="s">
        <v>1229</v>
      </c>
      <c r="GF3" s="337">
        <v>5</v>
      </c>
      <c r="GG3" s="338">
        <v>0</v>
      </c>
      <c r="GH3" s="333"/>
      <c r="GI3" s="334" t="s">
        <v>1139</v>
      </c>
      <c r="GJ3" s="335">
        <v>2</v>
      </c>
      <c r="GK3" s="344">
        <v>4</v>
      </c>
      <c r="GL3" s="333" t="s">
        <v>144</v>
      </c>
      <c r="GM3" s="334" t="s">
        <v>1200</v>
      </c>
      <c r="GN3" s="335">
        <v>0</v>
      </c>
      <c r="GO3" s="336">
        <v>5</v>
      </c>
    </row>
    <row r="4" spans="1:197">
      <c r="A4" s="202">
        <v>2</v>
      </c>
      <c r="B4" s="219"/>
      <c r="C4" s="220" t="s">
        <v>1096</v>
      </c>
      <c r="D4" s="221">
        <v>2</v>
      </c>
      <c r="E4" s="222">
        <v>8</v>
      </c>
      <c r="F4" s="229"/>
      <c r="G4" s="230" t="s">
        <v>804</v>
      </c>
      <c r="H4" s="246">
        <v>9</v>
      </c>
      <c r="I4" s="258">
        <v>0</v>
      </c>
      <c r="J4" s="229" t="s">
        <v>144</v>
      </c>
      <c r="K4" s="230" t="s">
        <v>903</v>
      </c>
      <c r="L4" s="237">
        <v>0</v>
      </c>
      <c r="M4" s="268">
        <v>9</v>
      </c>
      <c r="N4" s="229"/>
      <c r="O4" s="230" t="s">
        <v>770</v>
      </c>
      <c r="P4" s="394">
        <v>1</v>
      </c>
      <c r="Q4" s="398">
        <v>3</v>
      </c>
      <c r="R4" s="229" t="s">
        <v>144</v>
      </c>
      <c r="S4" s="230" t="s">
        <v>835</v>
      </c>
      <c r="T4" s="402">
        <v>3</v>
      </c>
      <c r="U4" s="400">
        <v>1</v>
      </c>
      <c r="V4" s="163"/>
      <c r="W4" s="202">
        <v>2</v>
      </c>
      <c r="X4" s="219" t="s">
        <v>144</v>
      </c>
      <c r="Y4" s="220" t="s">
        <v>990</v>
      </c>
      <c r="Z4" s="221">
        <v>0</v>
      </c>
      <c r="AA4" s="222">
        <v>1</v>
      </c>
      <c r="AB4" s="229" t="s">
        <v>144</v>
      </c>
      <c r="AC4" s="230" t="s">
        <v>869</v>
      </c>
      <c r="AD4" s="246">
        <v>8</v>
      </c>
      <c r="AE4" s="247">
        <v>2</v>
      </c>
      <c r="AF4" s="219"/>
      <c r="AG4" s="220" t="s">
        <v>1062</v>
      </c>
      <c r="AH4" s="223">
        <v>4</v>
      </c>
      <c r="AI4" s="224">
        <v>3</v>
      </c>
      <c r="AJ4" s="219"/>
      <c r="AK4" s="220" t="s">
        <v>1025</v>
      </c>
      <c r="AL4" s="225">
        <v>1</v>
      </c>
      <c r="AM4" s="226">
        <v>0</v>
      </c>
      <c r="AN4" s="219" t="s">
        <v>144</v>
      </c>
      <c r="AO4" s="220" t="s">
        <v>952</v>
      </c>
      <c r="AP4" s="227">
        <v>3</v>
      </c>
      <c r="AQ4" s="228">
        <v>4</v>
      </c>
      <c r="AR4" s="163"/>
      <c r="AS4" s="202">
        <v>2</v>
      </c>
      <c r="AT4" s="313" t="s">
        <v>144</v>
      </c>
      <c r="AU4" s="314" t="s">
        <v>1171</v>
      </c>
      <c r="AV4" s="418">
        <v>8</v>
      </c>
      <c r="AW4" s="419">
        <v>9</v>
      </c>
      <c r="AX4" s="233" t="s">
        <v>144</v>
      </c>
      <c r="AY4" s="234" t="s">
        <v>611</v>
      </c>
      <c r="AZ4" s="430">
        <v>0</v>
      </c>
      <c r="BA4" s="429">
        <v>7</v>
      </c>
      <c r="BB4" s="313"/>
      <c r="BC4" s="314" t="s">
        <v>1200</v>
      </c>
      <c r="BD4" s="416">
        <v>3</v>
      </c>
      <c r="BE4" s="321">
        <v>0</v>
      </c>
      <c r="BF4" s="313"/>
      <c r="BG4" s="314" t="s">
        <v>1265</v>
      </c>
      <c r="BH4" s="415">
        <v>9</v>
      </c>
      <c r="BI4" s="414">
        <v>8</v>
      </c>
      <c r="BJ4" s="313" t="s">
        <v>144</v>
      </c>
      <c r="BK4" s="314" t="s">
        <v>1139</v>
      </c>
      <c r="BL4" s="311">
        <v>0</v>
      </c>
      <c r="BM4" s="312">
        <v>2</v>
      </c>
      <c r="BO4" s="202">
        <v>2</v>
      </c>
      <c r="BP4" s="219"/>
      <c r="BQ4" s="220" t="s">
        <v>952</v>
      </c>
      <c r="BR4" s="221">
        <v>4</v>
      </c>
      <c r="BS4" s="222">
        <v>6</v>
      </c>
      <c r="BT4" s="229"/>
      <c r="BU4" s="230" t="s">
        <v>835</v>
      </c>
      <c r="BV4" s="239">
        <v>0</v>
      </c>
      <c r="BW4" s="238">
        <v>2</v>
      </c>
      <c r="BX4" s="229" t="s">
        <v>144</v>
      </c>
      <c r="BY4" s="230" t="s">
        <v>804</v>
      </c>
      <c r="BZ4" s="231">
        <v>2</v>
      </c>
      <c r="CA4" s="264">
        <v>0</v>
      </c>
      <c r="CB4" s="229"/>
      <c r="CC4" s="230" t="s">
        <v>869</v>
      </c>
      <c r="CD4" s="246">
        <v>5</v>
      </c>
      <c r="CE4" s="258">
        <v>4</v>
      </c>
      <c r="CF4" s="229" t="s">
        <v>144</v>
      </c>
      <c r="CG4" s="230" t="s">
        <v>770</v>
      </c>
      <c r="CH4" s="237">
        <v>4</v>
      </c>
      <c r="CI4" s="248">
        <v>5</v>
      </c>
      <c r="CJ4" s="163"/>
      <c r="CK4" s="202">
        <v>2</v>
      </c>
      <c r="CL4" s="219" t="s">
        <v>144</v>
      </c>
      <c r="CM4" s="220" t="s">
        <v>1062</v>
      </c>
      <c r="CN4" s="221">
        <v>2</v>
      </c>
      <c r="CO4" s="222">
        <v>4</v>
      </c>
      <c r="CP4" s="229" t="s">
        <v>144</v>
      </c>
      <c r="CQ4" s="230" t="s">
        <v>903</v>
      </c>
      <c r="CR4" s="246">
        <v>6</v>
      </c>
      <c r="CS4" s="247">
        <v>4</v>
      </c>
      <c r="CT4" s="219"/>
      <c r="CU4" s="220" t="s">
        <v>1025</v>
      </c>
      <c r="CV4" s="581">
        <v>2</v>
      </c>
      <c r="CW4" s="228">
        <v>3</v>
      </c>
      <c r="CX4" s="219"/>
      <c r="CY4" s="220" t="s">
        <v>1096</v>
      </c>
      <c r="CZ4" s="225">
        <v>4</v>
      </c>
      <c r="DA4" s="226">
        <v>2</v>
      </c>
      <c r="DB4" s="219" t="s">
        <v>144</v>
      </c>
      <c r="DC4" s="220" t="s">
        <v>990</v>
      </c>
      <c r="DD4" s="223">
        <v>3</v>
      </c>
      <c r="DE4" s="224">
        <v>2</v>
      </c>
      <c r="DF4" s="163"/>
      <c r="DG4" s="202">
        <v>2</v>
      </c>
      <c r="DH4" s="313" t="s">
        <v>144</v>
      </c>
      <c r="DI4" s="314" t="s">
        <v>1200</v>
      </c>
      <c r="DJ4" s="318">
        <v>4</v>
      </c>
      <c r="DK4" s="321">
        <v>1</v>
      </c>
      <c r="DL4" s="233" t="s">
        <v>144</v>
      </c>
      <c r="DM4" s="234" t="s">
        <v>717</v>
      </c>
      <c r="DN4" s="251">
        <v>9</v>
      </c>
      <c r="DO4" s="257">
        <v>7</v>
      </c>
      <c r="DP4" s="313"/>
      <c r="DQ4" s="314" t="s">
        <v>1265</v>
      </c>
      <c r="DR4" s="318">
        <v>6</v>
      </c>
      <c r="DS4" s="321">
        <v>2</v>
      </c>
      <c r="DT4" s="313"/>
      <c r="DU4" s="314" t="s">
        <v>1229</v>
      </c>
      <c r="DV4" s="322">
        <v>1</v>
      </c>
      <c r="DW4" s="320">
        <v>4</v>
      </c>
      <c r="DX4" s="313" t="s">
        <v>144</v>
      </c>
      <c r="DY4" s="314" t="s">
        <v>1171</v>
      </c>
      <c r="DZ4" s="311">
        <v>2</v>
      </c>
      <c r="EA4" s="312">
        <v>6</v>
      </c>
      <c r="EC4" s="202">
        <v>2</v>
      </c>
      <c r="ED4" s="219"/>
      <c r="EE4" s="220" t="s">
        <v>990</v>
      </c>
      <c r="EF4" s="221">
        <v>6</v>
      </c>
      <c r="EG4" s="222">
        <v>9</v>
      </c>
      <c r="EH4" s="229"/>
      <c r="EI4" s="230" t="s">
        <v>770</v>
      </c>
      <c r="EJ4" s="246">
        <v>5</v>
      </c>
      <c r="EK4" s="258">
        <v>4</v>
      </c>
      <c r="EL4" s="229" t="s">
        <v>144</v>
      </c>
      <c r="EM4" s="230" t="s">
        <v>835</v>
      </c>
      <c r="EN4" s="237">
        <v>4</v>
      </c>
      <c r="EO4" s="268">
        <v>5</v>
      </c>
      <c r="EP4" s="229"/>
      <c r="EQ4" s="230" t="s">
        <v>903</v>
      </c>
      <c r="ER4" s="246">
        <v>2</v>
      </c>
      <c r="ES4" s="258">
        <v>1</v>
      </c>
      <c r="ET4" s="229" t="s">
        <v>144</v>
      </c>
      <c r="EU4" s="230" t="s">
        <v>869</v>
      </c>
      <c r="EV4" s="237">
        <v>1</v>
      </c>
      <c r="EW4" s="248">
        <v>2</v>
      </c>
      <c r="EX4" s="163"/>
      <c r="EY4" s="202">
        <v>2</v>
      </c>
      <c r="EZ4" s="219" t="s">
        <v>144</v>
      </c>
      <c r="FA4" s="220" t="s">
        <v>1025</v>
      </c>
      <c r="FB4" s="221">
        <v>3</v>
      </c>
      <c r="FC4" s="222">
        <v>4</v>
      </c>
      <c r="FD4" s="229" t="s">
        <v>144</v>
      </c>
      <c r="FE4" s="230" t="s">
        <v>804</v>
      </c>
      <c r="FF4" s="246">
        <v>9</v>
      </c>
      <c r="FG4" s="247">
        <v>6</v>
      </c>
      <c r="FH4" s="219"/>
      <c r="FI4" s="220" t="s">
        <v>1096</v>
      </c>
      <c r="FJ4" s="223">
        <v>5</v>
      </c>
      <c r="FK4" s="224">
        <v>4</v>
      </c>
      <c r="FL4" s="219"/>
      <c r="FM4" s="220" t="s">
        <v>952</v>
      </c>
      <c r="FN4" s="225">
        <v>4</v>
      </c>
      <c r="FO4" s="226">
        <v>3</v>
      </c>
      <c r="FP4" s="219" t="s">
        <v>144</v>
      </c>
      <c r="FQ4" s="220" t="s">
        <v>1062</v>
      </c>
      <c r="FR4" s="227">
        <v>4</v>
      </c>
      <c r="FS4" s="228">
        <v>5</v>
      </c>
      <c r="FT4" s="163"/>
      <c r="FU4" s="202">
        <v>2</v>
      </c>
      <c r="FV4" s="313" t="s">
        <v>144</v>
      </c>
      <c r="FW4" s="314" t="s">
        <v>1265</v>
      </c>
      <c r="FX4" s="318">
        <v>3</v>
      </c>
      <c r="FY4" s="321">
        <v>2</v>
      </c>
      <c r="FZ4" s="233" t="s">
        <v>144</v>
      </c>
      <c r="GA4" s="234" t="s">
        <v>685</v>
      </c>
      <c r="GB4" s="251">
        <v>5</v>
      </c>
      <c r="GC4" s="257">
        <v>2</v>
      </c>
      <c r="GD4" s="313"/>
      <c r="GE4" s="314" t="s">
        <v>1229</v>
      </c>
      <c r="GF4" s="318">
        <v>3</v>
      </c>
      <c r="GG4" s="321">
        <v>2</v>
      </c>
      <c r="GH4" s="313"/>
      <c r="GI4" s="314" t="s">
        <v>1139</v>
      </c>
      <c r="GJ4" s="322">
        <v>2</v>
      </c>
      <c r="GK4" s="320">
        <v>3</v>
      </c>
      <c r="GL4" s="313" t="s">
        <v>144</v>
      </c>
      <c r="GM4" s="314" t="s">
        <v>1200</v>
      </c>
      <c r="GN4" s="311">
        <v>2</v>
      </c>
      <c r="GO4" s="312">
        <v>3</v>
      </c>
    </row>
    <row r="5" spans="1:197">
      <c r="A5" s="202">
        <v>3</v>
      </c>
      <c r="B5" s="271"/>
      <c r="C5" s="245" t="s">
        <v>770</v>
      </c>
      <c r="D5" s="246">
        <v>4</v>
      </c>
      <c r="E5" s="247">
        <v>1</v>
      </c>
      <c r="F5" s="244" t="s">
        <v>144</v>
      </c>
      <c r="G5" s="245" t="s">
        <v>835</v>
      </c>
      <c r="H5" s="394">
        <v>3</v>
      </c>
      <c r="I5" s="398">
        <v>7</v>
      </c>
      <c r="J5" s="241" t="s">
        <v>144</v>
      </c>
      <c r="K5" s="242" t="s">
        <v>990</v>
      </c>
      <c r="L5" s="223">
        <v>5</v>
      </c>
      <c r="M5" s="243">
        <v>4</v>
      </c>
      <c r="N5" s="244"/>
      <c r="O5" s="245" t="s">
        <v>903</v>
      </c>
      <c r="P5" s="433">
        <v>7</v>
      </c>
      <c r="Q5" s="432">
        <v>3</v>
      </c>
      <c r="R5" s="244" t="s">
        <v>144</v>
      </c>
      <c r="S5" s="245" t="s">
        <v>869</v>
      </c>
      <c r="T5" s="237">
        <v>1</v>
      </c>
      <c r="U5" s="248">
        <v>4</v>
      </c>
      <c r="V5" s="163"/>
      <c r="W5" s="202">
        <v>3</v>
      </c>
      <c r="X5" s="241"/>
      <c r="Y5" s="242" t="s">
        <v>952</v>
      </c>
      <c r="Z5" s="225">
        <v>8</v>
      </c>
      <c r="AA5" s="226">
        <v>2</v>
      </c>
      <c r="AB5" s="241" t="s">
        <v>144</v>
      </c>
      <c r="AC5" s="242" t="s">
        <v>1062</v>
      </c>
      <c r="AD5" s="221">
        <v>3</v>
      </c>
      <c r="AE5" s="435">
        <v>7</v>
      </c>
      <c r="AF5" s="241" t="s">
        <v>144</v>
      </c>
      <c r="AG5" s="242" t="s">
        <v>1025</v>
      </c>
      <c r="AH5" s="227">
        <v>2</v>
      </c>
      <c r="AI5" s="228">
        <v>8</v>
      </c>
      <c r="AJ5" s="244"/>
      <c r="AK5" s="245" t="s">
        <v>804</v>
      </c>
      <c r="AL5" s="239">
        <v>4</v>
      </c>
      <c r="AM5" s="240">
        <v>5</v>
      </c>
      <c r="AN5" s="241"/>
      <c r="AO5" s="242" t="s">
        <v>1096</v>
      </c>
      <c r="AP5" s="223">
        <v>7</v>
      </c>
      <c r="AQ5" s="224">
        <v>3</v>
      </c>
      <c r="AR5" s="163"/>
      <c r="AS5" s="202">
        <v>3</v>
      </c>
      <c r="AT5" s="309" t="s">
        <v>144</v>
      </c>
      <c r="AU5" s="310" t="s">
        <v>1139</v>
      </c>
      <c r="AV5" s="322">
        <v>2</v>
      </c>
      <c r="AW5" s="323">
        <v>6</v>
      </c>
      <c r="AX5" s="309"/>
      <c r="AY5" s="310" t="s">
        <v>1200</v>
      </c>
      <c r="AZ5" s="311">
        <v>4</v>
      </c>
      <c r="BA5" s="312">
        <v>10</v>
      </c>
      <c r="BB5" s="309"/>
      <c r="BC5" s="310" t="s">
        <v>1265</v>
      </c>
      <c r="BD5" s="318">
        <v>6</v>
      </c>
      <c r="BE5" s="321">
        <v>2</v>
      </c>
      <c r="BF5" s="249"/>
      <c r="BG5" s="250" t="s">
        <v>685</v>
      </c>
      <c r="BH5" s="235">
        <v>1</v>
      </c>
      <c r="BI5" s="255">
        <v>2</v>
      </c>
      <c r="BJ5" s="309" t="s">
        <v>144</v>
      </c>
      <c r="BK5" s="310" t="s">
        <v>1229</v>
      </c>
      <c r="BL5" s="315">
        <v>10</v>
      </c>
      <c r="BM5" s="316">
        <v>4</v>
      </c>
      <c r="BO5" s="202">
        <v>3</v>
      </c>
      <c r="BP5" s="271"/>
      <c r="BQ5" s="245" t="s">
        <v>869</v>
      </c>
      <c r="BR5" s="239">
        <v>2</v>
      </c>
      <c r="BS5" s="240">
        <v>5</v>
      </c>
      <c r="BT5" s="244" t="s">
        <v>144</v>
      </c>
      <c r="BU5" s="245" t="s">
        <v>770</v>
      </c>
      <c r="BV5" s="239">
        <v>5</v>
      </c>
      <c r="BW5" s="238">
        <v>7</v>
      </c>
      <c r="BX5" s="241" t="s">
        <v>144</v>
      </c>
      <c r="BY5" s="242" t="s">
        <v>1062</v>
      </c>
      <c r="BZ5" s="227">
        <v>3</v>
      </c>
      <c r="CA5" s="253">
        <v>4</v>
      </c>
      <c r="CB5" s="244"/>
      <c r="CC5" s="245" t="s">
        <v>804</v>
      </c>
      <c r="CD5" s="246">
        <v>7</v>
      </c>
      <c r="CE5" s="258">
        <v>5</v>
      </c>
      <c r="CF5" s="244" t="s">
        <v>144</v>
      </c>
      <c r="CG5" s="245" t="s">
        <v>903</v>
      </c>
      <c r="CH5" s="231">
        <v>5</v>
      </c>
      <c r="CI5" s="232">
        <v>2</v>
      </c>
      <c r="CJ5" s="163"/>
      <c r="CK5" s="202">
        <v>3</v>
      </c>
      <c r="CL5" s="241"/>
      <c r="CM5" s="242" t="s">
        <v>990</v>
      </c>
      <c r="CN5" s="225">
        <v>5</v>
      </c>
      <c r="CO5" s="226">
        <v>1</v>
      </c>
      <c r="CP5" s="241" t="s">
        <v>144</v>
      </c>
      <c r="CQ5" s="242" t="s">
        <v>1025</v>
      </c>
      <c r="CR5" s="225">
        <v>8</v>
      </c>
      <c r="CS5" s="226">
        <v>3</v>
      </c>
      <c r="CT5" s="241" t="s">
        <v>144</v>
      </c>
      <c r="CU5" s="242" t="s">
        <v>1096</v>
      </c>
      <c r="CV5" s="227">
        <v>1</v>
      </c>
      <c r="CW5" s="228">
        <v>5</v>
      </c>
      <c r="CX5" s="244"/>
      <c r="CY5" s="245" t="s">
        <v>835</v>
      </c>
      <c r="CZ5" s="246">
        <v>4</v>
      </c>
      <c r="DA5" s="247">
        <v>3</v>
      </c>
      <c r="DB5" s="241"/>
      <c r="DC5" s="242" t="s">
        <v>952</v>
      </c>
      <c r="DD5" s="227">
        <v>3</v>
      </c>
      <c r="DE5" s="228">
        <v>8</v>
      </c>
      <c r="DF5" s="163"/>
      <c r="DG5" s="202">
        <v>3</v>
      </c>
      <c r="DH5" s="309" t="s">
        <v>144</v>
      </c>
      <c r="DI5" s="310" t="s">
        <v>1171</v>
      </c>
      <c r="DJ5" s="318">
        <v>2</v>
      </c>
      <c r="DK5" s="321">
        <v>0</v>
      </c>
      <c r="DL5" s="309"/>
      <c r="DM5" s="310" t="s">
        <v>1265</v>
      </c>
      <c r="DN5" s="315">
        <v>5</v>
      </c>
      <c r="DO5" s="316">
        <v>2</v>
      </c>
      <c r="DP5" s="309"/>
      <c r="DQ5" s="310" t="s">
        <v>1229</v>
      </c>
      <c r="DR5" s="322">
        <v>0</v>
      </c>
      <c r="DS5" s="323">
        <v>2</v>
      </c>
      <c r="DT5" s="249"/>
      <c r="DU5" s="250" t="s">
        <v>580</v>
      </c>
      <c r="DV5" s="235">
        <v>0</v>
      </c>
      <c r="DW5" s="255">
        <v>4</v>
      </c>
      <c r="DX5" s="309" t="s">
        <v>144</v>
      </c>
      <c r="DY5" s="310" t="s">
        <v>1139</v>
      </c>
      <c r="DZ5" s="311">
        <v>2</v>
      </c>
      <c r="EA5" s="312">
        <v>5</v>
      </c>
      <c r="EC5" s="202">
        <v>3</v>
      </c>
      <c r="ED5" s="271"/>
      <c r="EE5" s="245" t="s">
        <v>903</v>
      </c>
      <c r="EF5" s="246">
        <v>7</v>
      </c>
      <c r="EG5" s="247">
        <v>5</v>
      </c>
      <c r="EH5" s="244" t="s">
        <v>144</v>
      </c>
      <c r="EI5" s="245" t="s">
        <v>869</v>
      </c>
      <c r="EJ5" s="246">
        <v>12</v>
      </c>
      <c r="EK5" s="258">
        <v>1</v>
      </c>
      <c r="EL5" s="241" t="s">
        <v>144</v>
      </c>
      <c r="EM5" s="242" t="s">
        <v>1025</v>
      </c>
      <c r="EN5" s="223">
        <v>3</v>
      </c>
      <c r="EO5" s="243">
        <v>1</v>
      </c>
      <c r="EP5" s="244"/>
      <c r="EQ5" s="245" t="s">
        <v>835</v>
      </c>
      <c r="ER5" s="239">
        <v>1</v>
      </c>
      <c r="ES5" s="238">
        <v>12</v>
      </c>
      <c r="ET5" s="244" t="s">
        <v>144</v>
      </c>
      <c r="EU5" s="245" t="s">
        <v>804</v>
      </c>
      <c r="EV5" s="237">
        <v>5</v>
      </c>
      <c r="EW5" s="248">
        <v>7</v>
      </c>
      <c r="EX5" s="163"/>
      <c r="EY5" s="202">
        <v>3</v>
      </c>
      <c r="EZ5" s="241"/>
      <c r="FA5" s="242" t="s">
        <v>1062</v>
      </c>
      <c r="FB5" s="225">
        <v>5</v>
      </c>
      <c r="FC5" s="226">
        <v>4</v>
      </c>
      <c r="FD5" s="241" t="s">
        <v>144</v>
      </c>
      <c r="FE5" s="242" t="s">
        <v>1096</v>
      </c>
      <c r="FF5" s="221">
        <v>1</v>
      </c>
      <c r="FG5" s="222">
        <v>4</v>
      </c>
      <c r="FH5" s="241" t="s">
        <v>144</v>
      </c>
      <c r="FI5" s="242" t="s">
        <v>952</v>
      </c>
      <c r="FJ5" s="227">
        <v>4</v>
      </c>
      <c r="FK5" s="228">
        <v>5</v>
      </c>
      <c r="FL5" s="244"/>
      <c r="FM5" s="245" t="s">
        <v>770</v>
      </c>
      <c r="FN5" s="239">
        <v>1</v>
      </c>
      <c r="FO5" s="240">
        <v>3</v>
      </c>
      <c r="FP5" s="241"/>
      <c r="FQ5" s="242" t="s">
        <v>990</v>
      </c>
      <c r="FR5" s="223">
        <v>4</v>
      </c>
      <c r="FS5" s="224">
        <v>1</v>
      </c>
      <c r="FT5" s="163"/>
      <c r="FU5" s="202">
        <v>3</v>
      </c>
      <c r="FV5" s="309" t="s">
        <v>144</v>
      </c>
      <c r="FW5" s="310" t="s">
        <v>1200</v>
      </c>
      <c r="FX5" s="322">
        <v>3</v>
      </c>
      <c r="FY5" s="323">
        <v>6</v>
      </c>
      <c r="FZ5" s="309"/>
      <c r="GA5" s="310" t="s">
        <v>1229</v>
      </c>
      <c r="GB5" s="311">
        <v>2</v>
      </c>
      <c r="GC5" s="312">
        <v>5</v>
      </c>
      <c r="GD5" s="309"/>
      <c r="GE5" s="310" t="s">
        <v>1139</v>
      </c>
      <c r="GF5" s="318">
        <v>6</v>
      </c>
      <c r="GG5" s="321">
        <v>3</v>
      </c>
      <c r="GH5" s="249"/>
      <c r="GI5" s="250" t="s">
        <v>650</v>
      </c>
      <c r="GJ5" s="235">
        <v>4</v>
      </c>
      <c r="GK5" s="255">
        <v>5</v>
      </c>
      <c r="GL5" s="309" t="s">
        <v>144</v>
      </c>
      <c r="GM5" s="310" t="s">
        <v>1171</v>
      </c>
      <c r="GN5" s="315">
        <v>5</v>
      </c>
      <c r="GO5" s="316">
        <v>2</v>
      </c>
    </row>
    <row r="6" spans="1:197">
      <c r="A6" s="202">
        <v>4</v>
      </c>
      <c r="B6" s="229"/>
      <c r="C6" s="230" t="s">
        <v>770</v>
      </c>
      <c r="D6" s="433">
        <v>8</v>
      </c>
      <c r="E6" s="247">
        <v>5</v>
      </c>
      <c r="F6" s="229" t="s">
        <v>144</v>
      </c>
      <c r="G6" s="230" t="s">
        <v>835</v>
      </c>
      <c r="H6" s="239">
        <v>2</v>
      </c>
      <c r="I6" s="238">
        <v>3</v>
      </c>
      <c r="J6" s="219" t="s">
        <v>144</v>
      </c>
      <c r="K6" s="220" t="s">
        <v>990</v>
      </c>
      <c r="L6" s="227">
        <v>2</v>
      </c>
      <c r="M6" s="253">
        <v>5</v>
      </c>
      <c r="N6" s="229"/>
      <c r="O6" s="230" t="s">
        <v>903</v>
      </c>
      <c r="P6" s="246">
        <v>3</v>
      </c>
      <c r="Q6" s="258">
        <v>2</v>
      </c>
      <c r="R6" s="229" t="s">
        <v>144</v>
      </c>
      <c r="S6" s="230" t="s">
        <v>869</v>
      </c>
      <c r="T6" s="237">
        <v>5</v>
      </c>
      <c r="U6" s="248">
        <v>8</v>
      </c>
      <c r="V6" s="163"/>
      <c r="W6" s="202">
        <v>4</v>
      </c>
      <c r="X6" s="219"/>
      <c r="Y6" s="220" t="s">
        <v>952</v>
      </c>
      <c r="Z6" s="225">
        <v>3</v>
      </c>
      <c r="AA6" s="226">
        <v>2</v>
      </c>
      <c r="AB6" s="219" t="s">
        <v>144</v>
      </c>
      <c r="AC6" s="220" t="s">
        <v>1062</v>
      </c>
      <c r="AD6" s="434">
        <v>2</v>
      </c>
      <c r="AE6" s="435">
        <v>5</v>
      </c>
      <c r="AF6" s="219" t="s">
        <v>144</v>
      </c>
      <c r="AG6" s="220" t="s">
        <v>1025</v>
      </c>
      <c r="AH6" s="227">
        <v>2</v>
      </c>
      <c r="AI6" s="228">
        <v>3</v>
      </c>
      <c r="AJ6" s="229"/>
      <c r="AK6" s="230" t="s">
        <v>804</v>
      </c>
      <c r="AL6" s="246">
        <v>5</v>
      </c>
      <c r="AM6" s="247">
        <v>2</v>
      </c>
      <c r="AN6" s="219"/>
      <c r="AO6" s="220" t="s">
        <v>1096</v>
      </c>
      <c r="AP6" s="410">
        <v>5</v>
      </c>
      <c r="AQ6" s="411">
        <v>2</v>
      </c>
      <c r="AR6" s="163"/>
      <c r="AS6" s="202">
        <v>4</v>
      </c>
      <c r="AT6" s="313" t="s">
        <v>144</v>
      </c>
      <c r="AU6" s="314" t="s">
        <v>1139</v>
      </c>
      <c r="AV6" s="418">
        <v>4</v>
      </c>
      <c r="AW6" s="419">
        <v>7</v>
      </c>
      <c r="AX6" s="313"/>
      <c r="AY6" s="314" t="s">
        <v>1200</v>
      </c>
      <c r="AZ6" s="422">
        <v>5</v>
      </c>
      <c r="BA6" s="421">
        <v>2</v>
      </c>
      <c r="BB6" s="313"/>
      <c r="BC6" s="314" t="s">
        <v>1265</v>
      </c>
      <c r="BD6" s="415">
        <v>7</v>
      </c>
      <c r="BE6" s="436">
        <v>4</v>
      </c>
      <c r="BF6" s="233"/>
      <c r="BG6" s="234" t="s">
        <v>685</v>
      </c>
      <c r="BH6" s="261">
        <v>9</v>
      </c>
      <c r="BI6" s="252">
        <v>4</v>
      </c>
      <c r="BJ6" s="313" t="s">
        <v>144</v>
      </c>
      <c r="BK6" s="314" t="s">
        <v>1229</v>
      </c>
      <c r="BL6" s="437">
        <v>2</v>
      </c>
      <c r="BM6" s="438">
        <v>5</v>
      </c>
      <c r="BO6" s="202">
        <v>4</v>
      </c>
      <c r="BP6" s="229"/>
      <c r="BQ6" s="230" t="s">
        <v>869</v>
      </c>
      <c r="BR6" s="246">
        <v>10</v>
      </c>
      <c r="BS6" s="247">
        <v>7</v>
      </c>
      <c r="BT6" s="229" t="s">
        <v>144</v>
      </c>
      <c r="BU6" s="230" t="s">
        <v>770</v>
      </c>
      <c r="BV6" s="239">
        <v>6</v>
      </c>
      <c r="BW6" s="238">
        <v>9</v>
      </c>
      <c r="BX6" s="219" t="s">
        <v>144</v>
      </c>
      <c r="BY6" s="220" t="s">
        <v>1062</v>
      </c>
      <c r="BZ6" s="223">
        <v>5</v>
      </c>
      <c r="CA6" s="243">
        <v>2</v>
      </c>
      <c r="CB6" s="229"/>
      <c r="CC6" s="230" t="s">
        <v>804</v>
      </c>
      <c r="CD6" s="246">
        <v>9</v>
      </c>
      <c r="CE6" s="258">
        <v>6</v>
      </c>
      <c r="CF6" s="229" t="s">
        <v>144</v>
      </c>
      <c r="CG6" s="230" t="s">
        <v>903</v>
      </c>
      <c r="CH6" s="237">
        <v>7</v>
      </c>
      <c r="CI6" s="248">
        <v>10</v>
      </c>
      <c r="CJ6" s="163"/>
      <c r="CK6" s="202">
        <v>4</v>
      </c>
      <c r="CL6" s="219"/>
      <c r="CM6" s="220" t="s">
        <v>990</v>
      </c>
      <c r="CN6" s="225">
        <v>9</v>
      </c>
      <c r="CO6" s="226">
        <v>2</v>
      </c>
      <c r="CP6" s="219" t="s">
        <v>144</v>
      </c>
      <c r="CQ6" s="220" t="s">
        <v>1025</v>
      </c>
      <c r="CR6" s="225">
        <v>6</v>
      </c>
      <c r="CS6" s="226">
        <v>1</v>
      </c>
      <c r="CT6" s="219" t="s">
        <v>144</v>
      </c>
      <c r="CU6" s="220" t="s">
        <v>1096</v>
      </c>
      <c r="CV6" s="227">
        <v>2</v>
      </c>
      <c r="CW6" s="228">
        <v>9</v>
      </c>
      <c r="CX6" s="229"/>
      <c r="CY6" s="230" t="s">
        <v>835</v>
      </c>
      <c r="CZ6" s="239">
        <v>2</v>
      </c>
      <c r="DA6" s="240">
        <v>5</v>
      </c>
      <c r="DB6" s="219"/>
      <c r="DC6" s="220" t="s">
        <v>952</v>
      </c>
      <c r="DD6" s="227">
        <v>1</v>
      </c>
      <c r="DE6" s="228">
        <v>6</v>
      </c>
      <c r="DF6" s="163"/>
      <c r="DG6" s="202">
        <v>4</v>
      </c>
      <c r="DH6" s="313" t="s">
        <v>144</v>
      </c>
      <c r="DI6" s="314" t="s">
        <v>1171</v>
      </c>
      <c r="DJ6" s="322">
        <v>5</v>
      </c>
      <c r="DK6" s="323">
        <v>6</v>
      </c>
      <c r="DL6" s="313"/>
      <c r="DM6" s="314" t="s">
        <v>1265</v>
      </c>
      <c r="DN6" s="315">
        <v>13</v>
      </c>
      <c r="DO6" s="316">
        <v>4</v>
      </c>
      <c r="DP6" s="313"/>
      <c r="DQ6" s="314" t="s">
        <v>1229</v>
      </c>
      <c r="DR6" s="318">
        <v>6</v>
      </c>
      <c r="DS6" s="321">
        <v>5</v>
      </c>
      <c r="DT6" s="233"/>
      <c r="DU6" s="234" t="s">
        <v>580</v>
      </c>
      <c r="DV6" s="261">
        <v>7</v>
      </c>
      <c r="DW6" s="252">
        <v>1</v>
      </c>
      <c r="DX6" s="313" t="s">
        <v>144</v>
      </c>
      <c r="DY6" s="314" t="s">
        <v>1139</v>
      </c>
      <c r="DZ6" s="311">
        <v>4</v>
      </c>
      <c r="EA6" s="312">
        <v>13</v>
      </c>
      <c r="EC6" s="202">
        <v>4</v>
      </c>
      <c r="ED6" s="229"/>
      <c r="EE6" s="230" t="s">
        <v>903</v>
      </c>
      <c r="EF6" s="246">
        <v>14</v>
      </c>
      <c r="EG6" s="247">
        <v>5</v>
      </c>
      <c r="EH6" s="229" t="s">
        <v>144</v>
      </c>
      <c r="EI6" s="230" t="s">
        <v>869</v>
      </c>
      <c r="EJ6" s="239">
        <v>0</v>
      </c>
      <c r="EK6" s="238">
        <v>2</v>
      </c>
      <c r="EL6" s="219" t="s">
        <v>144</v>
      </c>
      <c r="EM6" s="220" t="s">
        <v>1025</v>
      </c>
      <c r="EN6" s="227">
        <v>4</v>
      </c>
      <c r="EO6" s="253">
        <v>5</v>
      </c>
      <c r="EP6" s="229"/>
      <c r="EQ6" s="230" t="s">
        <v>835</v>
      </c>
      <c r="ER6" s="246">
        <v>2</v>
      </c>
      <c r="ES6" s="258">
        <v>0</v>
      </c>
      <c r="ET6" s="229" t="s">
        <v>144</v>
      </c>
      <c r="EU6" s="230" t="s">
        <v>804</v>
      </c>
      <c r="EV6" s="237">
        <v>5</v>
      </c>
      <c r="EW6" s="248">
        <v>14</v>
      </c>
      <c r="EX6" s="163"/>
      <c r="EY6" s="202">
        <v>4</v>
      </c>
      <c r="EZ6" s="219"/>
      <c r="FA6" s="220" t="s">
        <v>1062</v>
      </c>
      <c r="FB6" s="225">
        <v>9</v>
      </c>
      <c r="FC6" s="226">
        <v>5</v>
      </c>
      <c r="FD6" s="219" t="s">
        <v>144</v>
      </c>
      <c r="FE6" s="220" t="s">
        <v>1096</v>
      </c>
      <c r="FF6" s="225">
        <v>8</v>
      </c>
      <c r="FG6" s="226">
        <v>3</v>
      </c>
      <c r="FH6" s="219" t="s">
        <v>144</v>
      </c>
      <c r="FI6" s="220" t="s">
        <v>952</v>
      </c>
      <c r="FJ6" s="227">
        <v>5</v>
      </c>
      <c r="FK6" s="228">
        <v>9</v>
      </c>
      <c r="FL6" s="229"/>
      <c r="FM6" s="230" t="s">
        <v>770</v>
      </c>
      <c r="FN6" s="246">
        <v>5</v>
      </c>
      <c r="FO6" s="247">
        <v>4</v>
      </c>
      <c r="FP6" s="219"/>
      <c r="FQ6" s="220" t="s">
        <v>990</v>
      </c>
      <c r="FR6" s="227">
        <v>3</v>
      </c>
      <c r="FS6" s="228">
        <v>8</v>
      </c>
      <c r="FT6" s="163"/>
      <c r="FU6" s="202">
        <v>4</v>
      </c>
      <c r="FV6" s="313" t="s">
        <v>144</v>
      </c>
      <c r="FW6" s="314" t="s">
        <v>1200</v>
      </c>
      <c r="FX6" s="318">
        <v>8</v>
      </c>
      <c r="FY6" s="321">
        <v>6</v>
      </c>
      <c r="FZ6" s="313"/>
      <c r="GA6" s="314" t="s">
        <v>1229</v>
      </c>
      <c r="GB6" s="311">
        <v>1</v>
      </c>
      <c r="GC6" s="312">
        <v>2</v>
      </c>
      <c r="GD6" s="313"/>
      <c r="GE6" s="314" t="s">
        <v>1139</v>
      </c>
      <c r="GF6" s="322">
        <v>6</v>
      </c>
      <c r="GG6" s="323">
        <v>8</v>
      </c>
      <c r="GH6" s="233"/>
      <c r="GI6" s="234" t="s">
        <v>650</v>
      </c>
      <c r="GJ6" s="261">
        <v>5</v>
      </c>
      <c r="GK6" s="252">
        <v>4</v>
      </c>
      <c r="GL6" s="313" t="s">
        <v>144</v>
      </c>
      <c r="GM6" s="314" t="s">
        <v>1171</v>
      </c>
      <c r="GN6" s="315">
        <v>2</v>
      </c>
      <c r="GO6" s="316">
        <v>1</v>
      </c>
    </row>
    <row r="7" spans="1:197">
      <c r="A7" s="202">
        <v>5</v>
      </c>
      <c r="B7" s="244"/>
      <c r="C7" s="245" t="s">
        <v>835</v>
      </c>
      <c r="D7" s="246">
        <v>3</v>
      </c>
      <c r="E7" s="247">
        <v>2</v>
      </c>
      <c r="F7" s="241"/>
      <c r="G7" s="242" t="s">
        <v>1062</v>
      </c>
      <c r="H7" s="225">
        <v>3</v>
      </c>
      <c r="I7" s="256">
        <v>1</v>
      </c>
      <c r="J7" s="244"/>
      <c r="K7" s="245" t="s">
        <v>770</v>
      </c>
      <c r="L7" s="402">
        <v>11</v>
      </c>
      <c r="M7" s="404">
        <v>4</v>
      </c>
      <c r="N7" s="244" t="s">
        <v>144</v>
      </c>
      <c r="O7" s="245" t="s">
        <v>869</v>
      </c>
      <c r="P7" s="239">
        <v>2</v>
      </c>
      <c r="Q7" s="238">
        <v>3</v>
      </c>
      <c r="R7" s="244" t="s">
        <v>144</v>
      </c>
      <c r="S7" s="245" t="s">
        <v>804</v>
      </c>
      <c r="T7" s="440">
        <v>4</v>
      </c>
      <c r="U7" s="441">
        <v>11</v>
      </c>
      <c r="V7" s="163"/>
      <c r="W7" s="202">
        <v>5</v>
      </c>
      <c r="X7" s="241"/>
      <c r="Y7" s="242" t="s">
        <v>1096</v>
      </c>
      <c r="Z7" s="392">
        <v>2</v>
      </c>
      <c r="AA7" s="390">
        <v>1</v>
      </c>
      <c r="AB7" s="241" t="s">
        <v>144</v>
      </c>
      <c r="AC7" s="242" t="s">
        <v>1025</v>
      </c>
      <c r="AD7" s="434">
        <v>1</v>
      </c>
      <c r="AE7" s="435">
        <v>2</v>
      </c>
      <c r="AF7" s="241" t="s">
        <v>144</v>
      </c>
      <c r="AG7" s="242" t="s">
        <v>990</v>
      </c>
      <c r="AH7" s="410">
        <v>4</v>
      </c>
      <c r="AI7" s="411">
        <v>3</v>
      </c>
      <c r="AJ7" s="241"/>
      <c r="AK7" s="242" t="s">
        <v>952</v>
      </c>
      <c r="AL7" s="579">
        <v>3</v>
      </c>
      <c r="AM7" s="435">
        <v>4</v>
      </c>
      <c r="AN7" s="244" t="s">
        <v>144</v>
      </c>
      <c r="AO7" s="245" t="s">
        <v>903</v>
      </c>
      <c r="AP7" s="237">
        <v>1</v>
      </c>
      <c r="AQ7" s="248">
        <v>3</v>
      </c>
      <c r="AR7" s="163"/>
      <c r="AS7" s="202">
        <v>5</v>
      </c>
      <c r="AT7" s="309" t="s">
        <v>144</v>
      </c>
      <c r="AU7" s="310" t="s">
        <v>1229</v>
      </c>
      <c r="AV7" s="415">
        <v>10</v>
      </c>
      <c r="AW7" s="436">
        <v>2</v>
      </c>
      <c r="AX7" s="309"/>
      <c r="AY7" s="310" t="s">
        <v>1265</v>
      </c>
      <c r="AZ7" s="437">
        <v>2</v>
      </c>
      <c r="BA7" s="438">
        <v>10</v>
      </c>
      <c r="BB7" s="309" t="s">
        <v>144</v>
      </c>
      <c r="BC7" s="310" t="s">
        <v>1171</v>
      </c>
      <c r="BD7" s="318">
        <v>2</v>
      </c>
      <c r="BE7" s="321">
        <v>0</v>
      </c>
      <c r="BF7" s="309"/>
      <c r="BG7" s="310" t="s">
        <v>1139</v>
      </c>
      <c r="BH7" s="311">
        <v>0</v>
      </c>
      <c r="BI7" s="320">
        <v>2</v>
      </c>
      <c r="BJ7" s="249" t="s">
        <v>144</v>
      </c>
      <c r="BK7" s="250" t="s">
        <v>580</v>
      </c>
      <c r="BL7" s="235">
        <v>1</v>
      </c>
      <c r="BM7" s="236">
        <v>4</v>
      </c>
      <c r="BO7" s="202">
        <v>5</v>
      </c>
      <c r="BP7" s="244"/>
      <c r="BQ7" s="245" t="s">
        <v>770</v>
      </c>
      <c r="BR7" s="239">
        <v>3</v>
      </c>
      <c r="BS7" s="240">
        <v>10</v>
      </c>
      <c r="BT7" s="241"/>
      <c r="BU7" s="242" t="s">
        <v>1025</v>
      </c>
      <c r="BV7" s="221">
        <v>3</v>
      </c>
      <c r="BW7" s="259">
        <v>5</v>
      </c>
      <c r="BX7" s="244"/>
      <c r="BY7" s="245" t="s">
        <v>869</v>
      </c>
      <c r="BZ7" s="237">
        <v>1</v>
      </c>
      <c r="CA7" s="268">
        <v>6</v>
      </c>
      <c r="CB7" s="244" t="s">
        <v>144</v>
      </c>
      <c r="CC7" s="245" t="s">
        <v>903</v>
      </c>
      <c r="CD7" s="246">
        <v>10</v>
      </c>
      <c r="CE7" s="258">
        <v>3</v>
      </c>
      <c r="CF7" s="244" t="s">
        <v>144</v>
      </c>
      <c r="CG7" s="245" t="s">
        <v>835</v>
      </c>
      <c r="CH7" s="231">
        <v>6</v>
      </c>
      <c r="CI7" s="232">
        <v>1</v>
      </c>
      <c r="CJ7" s="163"/>
      <c r="CK7" s="202">
        <v>5</v>
      </c>
      <c r="CL7" s="241"/>
      <c r="CM7" s="242" t="s">
        <v>952</v>
      </c>
      <c r="CN7" s="221">
        <v>2</v>
      </c>
      <c r="CO7" s="222">
        <v>3</v>
      </c>
      <c r="CP7" s="241" t="s">
        <v>144</v>
      </c>
      <c r="CQ7" s="242" t="s">
        <v>1096</v>
      </c>
      <c r="CR7" s="225">
        <v>3</v>
      </c>
      <c r="CS7" s="226">
        <v>2</v>
      </c>
      <c r="CT7" s="241" t="s">
        <v>144</v>
      </c>
      <c r="CU7" s="242" t="s">
        <v>1062</v>
      </c>
      <c r="CV7" s="227">
        <v>0</v>
      </c>
      <c r="CW7" s="228">
        <v>4</v>
      </c>
      <c r="CX7" s="241"/>
      <c r="CY7" s="242" t="s">
        <v>990</v>
      </c>
      <c r="CZ7" s="225">
        <v>4</v>
      </c>
      <c r="DA7" s="226">
        <v>0</v>
      </c>
      <c r="DB7" s="244" t="s">
        <v>144</v>
      </c>
      <c r="DC7" s="245" t="s">
        <v>804</v>
      </c>
      <c r="DD7" s="231">
        <v>5</v>
      </c>
      <c r="DE7" s="232">
        <v>3</v>
      </c>
      <c r="DF7" s="163"/>
      <c r="DG7" s="202">
        <v>5</v>
      </c>
      <c r="DH7" s="309" t="s">
        <v>144</v>
      </c>
      <c r="DI7" s="310" t="s">
        <v>1139</v>
      </c>
      <c r="DJ7" s="318">
        <v>8</v>
      </c>
      <c r="DK7" s="321">
        <v>4</v>
      </c>
      <c r="DL7" s="309"/>
      <c r="DM7" s="310" t="s">
        <v>1229</v>
      </c>
      <c r="DN7" s="311">
        <v>4</v>
      </c>
      <c r="DO7" s="312">
        <v>8</v>
      </c>
      <c r="DP7" s="309" t="s">
        <v>144</v>
      </c>
      <c r="DQ7" s="310" t="s">
        <v>1200</v>
      </c>
      <c r="DR7" s="322">
        <v>0</v>
      </c>
      <c r="DS7" s="323">
        <v>4</v>
      </c>
      <c r="DT7" s="309"/>
      <c r="DU7" s="310" t="s">
        <v>1171</v>
      </c>
      <c r="DV7" s="315">
        <v>4</v>
      </c>
      <c r="DW7" s="317">
        <v>0</v>
      </c>
      <c r="DX7" s="249" t="s">
        <v>144</v>
      </c>
      <c r="DY7" s="250" t="s">
        <v>650</v>
      </c>
      <c r="DZ7" s="251">
        <v>4</v>
      </c>
      <c r="EA7" s="257">
        <v>3</v>
      </c>
      <c r="EC7" s="202">
        <v>5</v>
      </c>
      <c r="ED7" s="244"/>
      <c r="EE7" s="245" t="s">
        <v>869</v>
      </c>
      <c r="EF7" s="246">
        <v>3</v>
      </c>
      <c r="EG7" s="247">
        <v>2</v>
      </c>
      <c r="EH7" s="241"/>
      <c r="EI7" s="242" t="s">
        <v>1096</v>
      </c>
      <c r="EJ7" s="225">
        <v>7</v>
      </c>
      <c r="EK7" s="256">
        <v>4</v>
      </c>
      <c r="EL7" s="244"/>
      <c r="EM7" s="245" t="s">
        <v>903</v>
      </c>
      <c r="EN7" s="237">
        <v>3</v>
      </c>
      <c r="EO7" s="268">
        <v>7</v>
      </c>
      <c r="EP7" s="244" t="s">
        <v>144</v>
      </c>
      <c r="EQ7" s="245" t="s">
        <v>804</v>
      </c>
      <c r="ER7" s="239">
        <v>2</v>
      </c>
      <c r="ES7" s="238">
        <v>3</v>
      </c>
      <c r="ET7" s="244" t="s">
        <v>144</v>
      </c>
      <c r="EU7" s="245" t="s">
        <v>770</v>
      </c>
      <c r="EV7" s="231">
        <v>7</v>
      </c>
      <c r="EW7" s="232">
        <v>3</v>
      </c>
      <c r="EX7" s="163"/>
      <c r="EY7" s="202">
        <v>5</v>
      </c>
      <c r="EZ7" s="241"/>
      <c r="FA7" s="242" t="s">
        <v>990</v>
      </c>
      <c r="FB7" s="221">
        <v>4</v>
      </c>
      <c r="FC7" s="222">
        <v>5</v>
      </c>
      <c r="FD7" s="241" t="s">
        <v>144</v>
      </c>
      <c r="FE7" s="242" t="s">
        <v>952</v>
      </c>
      <c r="FF7" s="225">
        <v>5</v>
      </c>
      <c r="FG7" s="226">
        <v>4</v>
      </c>
      <c r="FH7" s="241" t="s">
        <v>144</v>
      </c>
      <c r="FI7" s="242" t="s">
        <v>1025</v>
      </c>
      <c r="FJ7" s="227">
        <v>5</v>
      </c>
      <c r="FK7" s="228">
        <v>10</v>
      </c>
      <c r="FL7" s="241"/>
      <c r="FM7" s="242" t="s">
        <v>1062</v>
      </c>
      <c r="FN7" s="225">
        <v>10</v>
      </c>
      <c r="FO7" s="226">
        <v>5</v>
      </c>
      <c r="FP7" s="244" t="s">
        <v>144</v>
      </c>
      <c r="FQ7" s="245" t="s">
        <v>835</v>
      </c>
      <c r="FR7" s="237">
        <v>4</v>
      </c>
      <c r="FS7" s="248">
        <v>7</v>
      </c>
      <c r="FT7" s="163"/>
      <c r="FU7" s="202">
        <v>5</v>
      </c>
      <c r="FV7" s="309" t="s">
        <v>144</v>
      </c>
      <c r="FW7" s="310" t="s">
        <v>1171</v>
      </c>
      <c r="FX7" s="322">
        <v>0</v>
      </c>
      <c r="FY7" s="323">
        <v>2</v>
      </c>
      <c r="FZ7" s="309"/>
      <c r="GA7" s="310" t="s">
        <v>1139</v>
      </c>
      <c r="GB7" s="315">
        <v>2</v>
      </c>
      <c r="GC7" s="316">
        <v>0</v>
      </c>
      <c r="GD7" s="309" t="s">
        <v>144</v>
      </c>
      <c r="GE7" s="310" t="s">
        <v>1265</v>
      </c>
      <c r="GF7" s="318">
        <v>8</v>
      </c>
      <c r="GG7" s="321">
        <v>4</v>
      </c>
      <c r="GH7" s="309"/>
      <c r="GI7" s="310" t="s">
        <v>1200</v>
      </c>
      <c r="GJ7" s="311">
        <v>4</v>
      </c>
      <c r="GK7" s="320">
        <v>8</v>
      </c>
      <c r="GL7" s="249"/>
      <c r="GM7" s="250" t="s">
        <v>611</v>
      </c>
      <c r="GN7" s="235">
        <v>0</v>
      </c>
      <c r="GO7" s="236">
        <v>5</v>
      </c>
    </row>
    <row r="8" spans="1:197">
      <c r="A8" s="202">
        <v>6</v>
      </c>
      <c r="B8" s="229"/>
      <c r="C8" s="230" t="s">
        <v>835</v>
      </c>
      <c r="D8" s="394">
        <v>1</v>
      </c>
      <c r="E8" s="396">
        <v>10</v>
      </c>
      <c r="F8" s="219"/>
      <c r="G8" s="220" t="s">
        <v>1062</v>
      </c>
      <c r="H8" s="225">
        <v>6</v>
      </c>
      <c r="I8" s="256">
        <v>3</v>
      </c>
      <c r="J8" s="229"/>
      <c r="K8" s="230" t="s">
        <v>770</v>
      </c>
      <c r="L8" s="402">
        <v>4</v>
      </c>
      <c r="M8" s="404">
        <v>2</v>
      </c>
      <c r="N8" s="229" t="s">
        <v>144</v>
      </c>
      <c r="O8" s="230" t="s">
        <v>869</v>
      </c>
      <c r="P8" s="433">
        <v>10</v>
      </c>
      <c r="Q8" s="432">
        <v>1</v>
      </c>
      <c r="R8" s="229" t="s">
        <v>144</v>
      </c>
      <c r="S8" s="230" t="s">
        <v>804</v>
      </c>
      <c r="T8" s="440">
        <v>2</v>
      </c>
      <c r="U8" s="441">
        <v>4</v>
      </c>
      <c r="V8" s="163"/>
      <c r="W8" s="202">
        <v>6</v>
      </c>
      <c r="X8" s="219"/>
      <c r="Y8" s="220" t="s">
        <v>1096</v>
      </c>
      <c r="Z8" s="434">
        <v>1</v>
      </c>
      <c r="AA8" s="435">
        <v>3</v>
      </c>
      <c r="AB8" s="219" t="s">
        <v>144</v>
      </c>
      <c r="AC8" s="220" t="s">
        <v>1025</v>
      </c>
      <c r="AD8" s="392">
        <v>3</v>
      </c>
      <c r="AE8" s="390">
        <v>1</v>
      </c>
      <c r="AF8" s="219" t="s">
        <v>144</v>
      </c>
      <c r="AG8" s="220" t="s">
        <v>990</v>
      </c>
      <c r="AH8" s="408">
        <v>3</v>
      </c>
      <c r="AI8" s="409">
        <v>4</v>
      </c>
      <c r="AJ8" s="219"/>
      <c r="AK8" s="220" t="s">
        <v>952</v>
      </c>
      <c r="AL8" s="392">
        <v>4</v>
      </c>
      <c r="AM8" s="390">
        <v>3</v>
      </c>
      <c r="AN8" s="229" t="s">
        <v>144</v>
      </c>
      <c r="AO8" s="230" t="s">
        <v>903</v>
      </c>
      <c r="AP8" s="237">
        <v>3</v>
      </c>
      <c r="AQ8" s="248">
        <v>6</v>
      </c>
      <c r="AR8" s="163"/>
      <c r="AS8" s="202">
        <v>6</v>
      </c>
      <c r="AT8" s="313" t="s">
        <v>144</v>
      </c>
      <c r="AU8" s="314" t="s">
        <v>1229</v>
      </c>
      <c r="AV8" s="415">
        <v>7</v>
      </c>
      <c r="AW8" s="436">
        <v>2</v>
      </c>
      <c r="AX8" s="313"/>
      <c r="AY8" s="314" t="s">
        <v>1265</v>
      </c>
      <c r="AZ8" s="437">
        <v>2</v>
      </c>
      <c r="BA8" s="438">
        <v>7</v>
      </c>
      <c r="BB8" s="313" t="s">
        <v>144</v>
      </c>
      <c r="BC8" s="314" t="s">
        <v>1171</v>
      </c>
      <c r="BD8" s="415">
        <v>4</v>
      </c>
      <c r="BE8" s="436">
        <v>2</v>
      </c>
      <c r="BF8" s="313"/>
      <c r="BG8" s="314" t="s">
        <v>1139</v>
      </c>
      <c r="BH8" s="418">
        <v>2</v>
      </c>
      <c r="BI8" s="453">
        <v>4</v>
      </c>
      <c r="BJ8" s="233" t="s">
        <v>144</v>
      </c>
      <c r="BK8" s="234" t="s">
        <v>580</v>
      </c>
      <c r="BL8" s="235">
        <v>1</v>
      </c>
      <c r="BM8" s="236">
        <v>6</v>
      </c>
      <c r="BO8" s="202">
        <v>6</v>
      </c>
      <c r="BP8" s="229"/>
      <c r="BQ8" s="230" t="s">
        <v>770</v>
      </c>
      <c r="BR8" s="246">
        <v>7</v>
      </c>
      <c r="BS8" s="247">
        <v>1</v>
      </c>
      <c r="BT8" s="219"/>
      <c r="BU8" s="220" t="s">
        <v>1025</v>
      </c>
      <c r="BV8" s="225">
        <v>5</v>
      </c>
      <c r="BW8" s="256">
        <v>4</v>
      </c>
      <c r="BX8" s="229"/>
      <c r="BY8" s="230" t="s">
        <v>869</v>
      </c>
      <c r="BZ8" s="231">
        <v>5</v>
      </c>
      <c r="CA8" s="264">
        <v>1</v>
      </c>
      <c r="CB8" s="229" t="s">
        <v>144</v>
      </c>
      <c r="CC8" s="230" t="s">
        <v>903</v>
      </c>
      <c r="CD8" s="239">
        <v>1</v>
      </c>
      <c r="CE8" s="238">
        <v>7</v>
      </c>
      <c r="CF8" s="229" t="s">
        <v>144</v>
      </c>
      <c r="CG8" s="230" t="s">
        <v>835</v>
      </c>
      <c r="CH8" s="237">
        <v>1</v>
      </c>
      <c r="CI8" s="248">
        <v>5</v>
      </c>
      <c r="CJ8" s="163"/>
      <c r="CK8" s="202">
        <v>6</v>
      </c>
      <c r="CL8" s="219"/>
      <c r="CM8" s="220" t="s">
        <v>952</v>
      </c>
      <c r="CN8" s="221">
        <v>5</v>
      </c>
      <c r="CO8" s="222">
        <v>10</v>
      </c>
      <c r="CP8" s="219" t="s">
        <v>144</v>
      </c>
      <c r="CQ8" s="220" t="s">
        <v>1096</v>
      </c>
      <c r="CR8" s="225">
        <v>10</v>
      </c>
      <c r="CS8" s="226">
        <v>5</v>
      </c>
      <c r="CT8" s="219" t="s">
        <v>144</v>
      </c>
      <c r="CU8" s="220" t="s">
        <v>1062</v>
      </c>
      <c r="CV8" s="223">
        <v>8</v>
      </c>
      <c r="CW8" s="224">
        <v>0</v>
      </c>
      <c r="CX8" s="219"/>
      <c r="CY8" s="220" t="s">
        <v>990</v>
      </c>
      <c r="CZ8" s="221">
        <v>0</v>
      </c>
      <c r="DA8" s="222">
        <v>8</v>
      </c>
      <c r="DB8" s="229" t="s">
        <v>144</v>
      </c>
      <c r="DC8" s="230" t="s">
        <v>804</v>
      </c>
      <c r="DD8" s="237">
        <v>4</v>
      </c>
      <c r="DE8" s="248">
        <v>5</v>
      </c>
      <c r="DF8" s="163"/>
      <c r="DG8" s="202">
        <v>6</v>
      </c>
      <c r="DH8" s="313" t="s">
        <v>144</v>
      </c>
      <c r="DI8" s="314" t="s">
        <v>1139</v>
      </c>
      <c r="DJ8" s="322">
        <v>2</v>
      </c>
      <c r="DK8" s="323">
        <v>7</v>
      </c>
      <c r="DL8" s="313"/>
      <c r="DM8" s="314" t="s">
        <v>1229</v>
      </c>
      <c r="DN8" s="315">
        <v>7</v>
      </c>
      <c r="DO8" s="316">
        <v>2</v>
      </c>
      <c r="DP8" s="313" t="s">
        <v>144</v>
      </c>
      <c r="DQ8" s="314" t="s">
        <v>1200</v>
      </c>
      <c r="DR8" s="322">
        <v>0</v>
      </c>
      <c r="DS8" s="323">
        <v>3</v>
      </c>
      <c r="DT8" s="313"/>
      <c r="DU8" s="314" t="s">
        <v>1171</v>
      </c>
      <c r="DV8" s="318">
        <v>3</v>
      </c>
      <c r="DW8" s="317">
        <v>0</v>
      </c>
      <c r="DX8" s="233" t="s">
        <v>144</v>
      </c>
      <c r="DY8" s="234" t="s">
        <v>650</v>
      </c>
      <c r="DZ8" s="235">
        <v>4</v>
      </c>
      <c r="EA8" s="236">
        <v>6</v>
      </c>
      <c r="EC8" s="202">
        <v>6</v>
      </c>
      <c r="ED8" s="229"/>
      <c r="EE8" s="230" t="s">
        <v>869</v>
      </c>
      <c r="EF8" s="246">
        <v>10</v>
      </c>
      <c r="EG8" s="247">
        <v>4</v>
      </c>
      <c r="EH8" s="219"/>
      <c r="EI8" s="220" t="s">
        <v>1096</v>
      </c>
      <c r="EJ8" s="225">
        <v>6</v>
      </c>
      <c r="EK8" s="256">
        <v>5</v>
      </c>
      <c r="EL8" s="229"/>
      <c r="EM8" s="230" t="s">
        <v>903</v>
      </c>
      <c r="EN8" s="237">
        <v>2</v>
      </c>
      <c r="EO8" s="268">
        <v>3</v>
      </c>
      <c r="EP8" s="229" t="s">
        <v>144</v>
      </c>
      <c r="EQ8" s="230" t="s">
        <v>804</v>
      </c>
      <c r="ER8" s="239">
        <v>4</v>
      </c>
      <c r="ES8" s="238">
        <v>10</v>
      </c>
      <c r="ET8" s="229" t="s">
        <v>144</v>
      </c>
      <c r="EU8" s="230" t="s">
        <v>770</v>
      </c>
      <c r="EV8" s="231">
        <v>3</v>
      </c>
      <c r="EW8" s="232">
        <v>2</v>
      </c>
      <c r="EX8" s="163"/>
      <c r="EY8" s="202">
        <v>6</v>
      </c>
      <c r="EZ8" s="219"/>
      <c r="FA8" s="220" t="s">
        <v>990</v>
      </c>
      <c r="FB8" s="225">
        <v>5</v>
      </c>
      <c r="FC8" s="226">
        <v>4</v>
      </c>
      <c r="FD8" s="219" t="s">
        <v>144</v>
      </c>
      <c r="FE8" s="220" t="s">
        <v>952</v>
      </c>
      <c r="FF8" s="221">
        <v>4</v>
      </c>
      <c r="FG8" s="222">
        <v>5</v>
      </c>
      <c r="FH8" s="219" t="s">
        <v>144</v>
      </c>
      <c r="FI8" s="220" t="s">
        <v>1025</v>
      </c>
      <c r="FJ8" s="223">
        <v>3</v>
      </c>
      <c r="FK8" s="224">
        <v>1</v>
      </c>
      <c r="FL8" s="219"/>
      <c r="FM8" s="220" t="s">
        <v>1062</v>
      </c>
      <c r="FN8" s="221">
        <v>1</v>
      </c>
      <c r="FO8" s="222">
        <v>3</v>
      </c>
      <c r="FP8" s="229" t="s">
        <v>144</v>
      </c>
      <c r="FQ8" s="230" t="s">
        <v>835</v>
      </c>
      <c r="FR8" s="237">
        <v>5</v>
      </c>
      <c r="FS8" s="248">
        <v>6</v>
      </c>
      <c r="FT8" s="163"/>
      <c r="FU8" s="202">
        <v>6</v>
      </c>
      <c r="FV8" s="313" t="s">
        <v>144</v>
      </c>
      <c r="FW8" s="314" t="s">
        <v>1171</v>
      </c>
      <c r="FX8" s="322">
        <v>2</v>
      </c>
      <c r="FY8" s="323">
        <v>5</v>
      </c>
      <c r="FZ8" s="313"/>
      <c r="GA8" s="314" t="s">
        <v>1139</v>
      </c>
      <c r="GB8" s="315">
        <v>5</v>
      </c>
      <c r="GC8" s="316">
        <v>2</v>
      </c>
      <c r="GD8" s="313" t="s">
        <v>144</v>
      </c>
      <c r="GE8" s="314" t="s">
        <v>1265</v>
      </c>
      <c r="GF8" s="322">
        <v>2</v>
      </c>
      <c r="GG8" s="323">
        <v>7</v>
      </c>
      <c r="GH8" s="313"/>
      <c r="GI8" s="314" t="s">
        <v>1200</v>
      </c>
      <c r="GJ8" s="318">
        <v>7</v>
      </c>
      <c r="GK8" s="317">
        <v>2</v>
      </c>
      <c r="GL8" s="233"/>
      <c r="GM8" s="234" t="s">
        <v>611</v>
      </c>
      <c r="GN8" s="235">
        <v>2</v>
      </c>
      <c r="GO8" s="236">
        <v>4</v>
      </c>
    </row>
    <row r="9" spans="1:197">
      <c r="A9" s="202">
        <v>7</v>
      </c>
      <c r="B9" s="244" t="s">
        <v>144</v>
      </c>
      <c r="C9" s="245" t="s">
        <v>804</v>
      </c>
      <c r="D9" s="394">
        <v>8</v>
      </c>
      <c r="E9" s="396">
        <v>12</v>
      </c>
      <c r="F9" s="244" t="s">
        <v>144</v>
      </c>
      <c r="G9" s="245" t="s">
        <v>770</v>
      </c>
      <c r="H9" s="394">
        <v>4</v>
      </c>
      <c r="I9" s="398">
        <v>8</v>
      </c>
      <c r="J9" s="244"/>
      <c r="K9" s="245" t="s">
        <v>869</v>
      </c>
      <c r="L9" s="402">
        <v>12</v>
      </c>
      <c r="M9" s="404">
        <v>8</v>
      </c>
      <c r="N9" s="241" t="s">
        <v>144</v>
      </c>
      <c r="O9" s="242" t="s">
        <v>952</v>
      </c>
      <c r="P9" s="221">
        <v>2</v>
      </c>
      <c r="Q9" s="259">
        <v>10</v>
      </c>
      <c r="R9" s="244"/>
      <c r="S9" s="245" t="s">
        <v>903</v>
      </c>
      <c r="T9" s="402">
        <v>8</v>
      </c>
      <c r="U9" s="400">
        <v>4</v>
      </c>
      <c r="V9" s="163"/>
      <c r="W9" s="202">
        <v>7</v>
      </c>
      <c r="X9" s="241" t="s">
        <v>144</v>
      </c>
      <c r="Y9" s="242" t="s">
        <v>1062</v>
      </c>
      <c r="Z9" s="434">
        <v>1</v>
      </c>
      <c r="AA9" s="435">
        <v>5</v>
      </c>
      <c r="AB9" s="241"/>
      <c r="AC9" s="242" t="s">
        <v>990</v>
      </c>
      <c r="AD9" s="221">
        <v>3</v>
      </c>
      <c r="AE9" s="222">
        <v>7</v>
      </c>
      <c r="AF9" s="244"/>
      <c r="AG9" s="245" t="s">
        <v>835</v>
      </c>
      <c r="AH9" s="231">
        <v>10</v>
      </c>
      <c r="AI9" s="232">
        <v>2</v>
      </c>
      <c r="AJ9" s="241" t="s">
        <v>144</v>
      </c>
      <c r="AK9" s="242" t="s">
        <v>1096</v>
      </c>
      <c r="AL9" s="225">
        <v>7</v>
      </c>
      <c r="AM9" s="226">
        <v>3</v>
      </c>
      <c r="AN9" s="241"/>
      <c r="AO9" s="242" t="s">
        <v>1025</v>
      </c>
      <c r="AP9" s="410">
        <v>5</v>
      </c>
      <c r="AQ9" s="411">
        <v>1</v>
      </c>
      <c r="AR9" s="163"/>
      <c r="AS9" s="202">
        <v>7</v>
      </c>
      <c r="AT9" s="309"/>
      <c r="AU9" s="310" t="s">
        <v>1200</v>
      </c>
      <c r="AV9" s="322">
        <v>3</v>
      </c>
      <c r="AW9" s="323">
        <v>4</v>
      </c>
      <c r="AX9" s="309" t="s">
        <v>144</v>
      </c>
      <c r="AY9" s="310" t="s">
        <v>1171</v>
      </c>
      <c r="AZ9" s="315">
        <v>6</v>
      </c>
      <c r="BA9" s="316">
        <v>5</v>
      </c>
      <c r="BB9" s="249"/>
      <c r="BC9" s="250" t="s">
        <v>717</v>
      </c>
      <c r="BD9" s="261">
        <v>3</v>
      </c>
      <c r="BE9" s="262">
        <v>2</v>
      </c>
      <c r="BF9" s="309"/>
      <c r="BG9" s="310" t="s">
        <v>1229</v>
      </c>
      <c r="BH9" s="311">
        <v>5</v>
      </c>
      <c r="BI9" s="320">
        <v>6</v>
      </c>
      <c r="BJ9" s="309" t="s">
        <v>144</v>
      </c>
      <c r="BK9" s="310" t="s">
        <v>1265</v>
      </c>
      <c r="BL9" s="315">
        <v>4</v>
      </c>
      <c r="BM9" s="316">
        <v>3</v>
      </c>
      <c r="BO9" s="202">
        <v>7</v>
      </c>
      <c r="BP9" s="244" t="s">
        <v>144</v>
      </c>
      <c r="BQ9" s="245" t="s">
        <v>835</v>
      </c>
      <c r="BR9" s="239">
        <v>5</v>
      </c>
      <c r="BS9" s="240">
        <v>6</v>
      </c>
      <c r="BT9" s="244" t="s">
        <v>144</v>
      </c>
      <c r="BU9" s="245" t="s">
        <v>869</v>
      </c>
      <c r="BV9" s="246">
        <v>10</v>
      </c>
      <c r="BW9" s="258">
        <v>2</v>
      </c>
      <c r="BX9" s="244"/>
      <c r="BY9" s="245" t="s">
        <v>903</v>
      </c>
      <c r="BZ9" s="231">
        <v>6</v>
      </c>
      <c r="CA9" s="264">
        <v>5</v>
      </c>
      <c r="CB9" s="241" t="s">
        <v>144</v>
      </c>
      <c r="CC9" s="242" t="s">
        <v>990</v>
      </c>
      <c r="CD9" s="221">
        <v>6</v>
      </c>
      <c r="CE9" s="259">
        <v>7</v>
      </c>
      <c r="CF9" s="244"/>
      <c r="CG9" s="245" t="s">
        <v>804</v>
      </c>
      <c r="CH9" s="237">
        <v>2</v>
      </c>
      <c r="CI9" s="248">
        <v>10</v>
      </c>
      <c r="CJ9" s="163"/>
      <c r="CK9" s="202">
        <v>7</v>
      </c>
      <c r="CL9" s="241" t="s">
        <v>144</v>
      </c>
      <c r="CM9" s="242" t="s">
        <v>1025</v>
      </c>
      <c r="CN9" s="221">
        <v>2</v>
      </c>
      <c r="CO9" s="222">
        <v>3</v>
      </c>
      <c r="CP9" s="241"/>
      <c r="CQ9" s="242" t="s">
        <v>1062</v>
      </c>
      <c r="CR9" s="225">
        <v>4</v>
      </c>
      <c r="CS9" s="226">
        <v>2</v>
      </c>
      <c r="CT9" s="244"/>
      <c r="CU9" s="245" t="s">
        <v>770</v>
      </c>
      <c r="CV9" s="231">
        <v>7</v>
      </c>
      <c r="CW9" s="232">
        <v>6</v>
      </c>
      <c r="CX9" s="241" t="s">
        <v>144</v>
      </c>
      <c r="CY9" s="242" t="s">
        <v>952</v>
      </c>
      <c r="CZ9" s="221">
        <v>2</v>
      </c>
      <c r="DA9" s="222">
        <v>4</v>
      </c>
      <c r="DB9" s="241"/>
      <c r="DC9" s="242" t="s">
        <v>1096</v>
      </c>
      <c r="DD9" s="223">
        <v>3</v>
      </c>
      <c r="DE9" s="224">
        <v>2</v>
      </c>
      <c r="DF9" s="163"/>
      <c r="DG9" s="202">
        <v>7</v>
      </c>
      <c r="DH9" s="309"/>
      <c r="DI9" s="310" t="s">
        <v>1265</v>
      </c>
      <c r="DJ9" s="322">
        <v>4</v>
      </c>
      <c r="DK9" s="323">
        <v>6</v>
      </c>
      <c r="DL9" s="309" t="s">
        <v>144</v>
      </c>
      <c r="DM9" s="310" t="s">
        <v>1200</v>
      </c>
      <c r="DN9" s="315">
        <v>7</v>
      </c>
      <c r="DO9" s="316">
        <v>5</v>
      </c>
      <c r="DP9" s="249"/>
      <c r="DQ9" s="250" t="s">
        <v>685</v>
      </c>
      <c r="DR9" s="254">
        <v>1</v>
      </c>
      <c r="DS9" s="260">
        <v>2</v>
      </c>
      <c r="DT9" s="309"/>
      <c r="DU9" s="310" t="s">
        <v>1139</v>
      </c>
      <c r="DV9" s="311">
        <v>5</v>
      </c>
      <c r="DW9" s="320">
        <v>7</v>
      </c>
      <c r="DX9" s="309" t="s">
        <v>144</v>
      </c>
      <c r="DY9" s="310" t="s">
        <v>1229</v>
      </c>
      <c r="DZ9" s="315">
        <v>6</v>
      </c>
      <c r="EA9" s="316">
        <v>4</v>
      </c>
      <c r="EC9" s="202">
        <v>7</v>
      </c>
      <c r="ED9" s="244" t="s">
        <v>144</v>
      </c>
      <c r="EE9" s="245" t="s">
        <v>770</v>
      </c>
      <c r="EF9" s="246">
        <v>3</v>
      </c>
      <c r="EG9" s="247">
        <v>2</v>
      </c>
      <c r="EH9" s="244" t="s">
        <v>144</v>
      </c>
      <c r="EI9" s="245" t="s">
        <v>903</v>
      </c>
      <c r="EJ9" s="246">
        <v>2</v>
      </c>
      <c r="EK9" s="258">
        <v>0</v>
      </c>
      <c r="EL9" s="244"/>
      <c r="EM9" s="245" t="s">
        <v>804</v>
      </c>
      <c r="EN9" s="237">
        <v>2</v>
      </c>
      <c r="EO9" s="268">
        <v>3</v>
      </c>
      <c r="EP9" s="241" t="s">
        <v>144</v>
      </c>
      <c r="EQ9" s="242" t="s">
        <v>1062</v>
      </c>
      <c r="ER9" s="221">
        <v>5</v>
      </c>
      <c r="ES9" s="259">
        <v>7</v>
      </c>
      <c r="ET9" s="244"/>
      <c r="EU9" s="245" t="s">
        <v>835</v>
      </c>
      <c r="EV9" s="237">
        <v>0</v>
      </c>
      <c r="EW9" s="248">
        <v>2</v>
      </c>
      <c r="EX9" s="163"/>
      <c r="EY9" s="202">
        <v>7</v>
      </c>
      <c r="EZ9" s="241" t="s">
        <v>144</v>
      </c>
      <c r="FA9" s="242" t="s">
        <v>1096</v>
      </c>
      <c r="FB9" s="225">
        <v>6</v>
      </c>
      <c r="FC9" s="226">
        <v>5</v>
      </c>
      <c r="FD9" s="241"/>
      <c r="FE9" s="242" t="s">
        <v>1025</v>
      </c>
      <c r="FF9" s="221">
        <v>3</v>
      </c>
      <c r="FG9" s="222">
        <v>4</v>
      </c>
      <c r="FH9" s="244"/>
      <c r="FI9" s="245" t="s">
        <v>869</v>
      </c>
      <c r="FJ9" s="231">
        <v>7</v>
      </c>
      <c r="FK9" s="232">
        <v>5</v>
      </c>
      <c r="FL9" s="241" t="s">
        <v>144</v>
      </c>
      <c r="FM9" s="242" t="s">
        <v>990</v>
      </c>
      <c r="FN9" s="225">
        <v>4</v>
      </c>
      <c r="FO9" s="226">
        <v>3</v>
      </c>
      <c r="FP9" s="241"/>
      <c r="FQ9" s="242" t="s">
        <v>952</v>
      </c>
      <c r="FR9" s="227">
        <v>5</v>
      </c>
      <c r="FS9" s="228">
        <v>6</v>
      </c>
      <c r="FT9" s="163"/>
      <c r="FU9" s="202">
        <v>7</v>
      </c>
      <c r="FV9" s="309"/>
      <c r="FW9" s="310" t="s">
        <v>1229</v>
      </c>
      <c r="FX9" s="322">
        <v>2</v>
      </c>
      <c r="FY9" s="323">
        <v>8</v>
      </c>
      <c r="FZ9" s="309" t="s">
        <v>144</v>
      </c>
      <c r="GA9" s="310" t="s">
        <v>1265</v>
      </c>
      <c r="GB9" s="315">
        <v>10</v>
      </c>
      <c r="GC9" s="316">
        <v>9</v>
      </c>
      <c r="GD9" s="249"/>
      <c r="GE9" s="250" t="s">
        <v>580</v>
      </c>
      <c r="GF9" s="261">
        <v>11</v>
      </c>
      <c r="GG9" s="262">
        <v>6</v>
      </c>
      <c r="GH9" s="309"/>
      <c r="GI9" s="310" t="s">
        <v>1171</v>
      </c>
      <c r="GJ9" s="311">
        <v>9</v>
      </c>
      <c r="GK9" s="320">
        <v>10</v>
      </c>
      <c r="GL9" s="309" t="s">
        <v>144</v>
      </c>
      <c r="GM9" s="310" t="s">
        <v>1139</v>
      </c>
      <c r="GN9" s="315">
        <v>8</v>
      </c>
      <c r="GO9" s="316">
        <v>2</v>
      </c>
    </row>
    <row r="10" spans="1:197">
      <c r="A10" s="202">
        <v>8</v>
      </c>
      <c r="B10" s="229" t="s">
        <v>144</v>
      </c>
      <c r="C10" s="230" t="s">
        <v>804</v>
      </c>
      <c r="D10" s="394">
        <v>2</v>
      </c>
      <c r="E10" s="396">
        <v>5</v>
      </c>
      <c r="F10" s="229" t="s">
        <v>144</v>
      </c>
      <c r="G10" s="230" t="s">
        <v>770</v>
      </c>
      <c r="H10" s="394">
        <v>5</v>
      </c>
      <c r="I10" s="398">
        <v>10</v>
      </c>
      <c r="J10" s="229"/>
      <c r="K10" s="230" t="s">
        <v>869</v>
      </c>
      <c r="L10" s="402">
        <v>5</v>
      </c>
      <c r="M10" s="404">
        <v>2</v>
      </c>
      <c r="N10" s="219" t="s">
        <v>144</v>
      </c>
      <c r="O10" s="220" t="s">
        <v>952</v>
      </c>
      <c r="P10" s="225">
        <v>6</v>
      </c>
      <c r="Q10" s="256">
        <v>5</v>
      </c>
      <c r="R10" s="229"/>
      <c r="S10" s="230" t="s">
        <v>903</v>
      </c>
      <c r="T10" s="402">
        <v>10</v>
      </c>
      <c r="U10" s="400">
        <v>5</v>
      </c>
      <c r="V10" s="163"/>
      <c r="W10" s="202">
        <v>8</v>
      </c>
      <c r="X10" s="219" t="s">
        <v>144</v>
      </c>
      <c r="Y10" s="220" t="s">
        <v>1062</v>
      </c>
      <c r="Z10" s="434">
        <v>1</v>
      </c>
      <c r="AA10" s="435">
        <v>3</v>
      </c>
      <c r="AB10" s="219"/>
      <c r="AC10" s="220" t="s">
        <v>990</v>
      </c>
      <c r="AD10" s="221">
        <v>2</v>
      </c>
      <c r="AE10" s="222">
        <v>7</v>
      </c>
      <c r="AF10" s="229"/>
      <c r="AG10" s="230" t="s">
        <v>835</v>
      </c>
      <c r="AH10" s="237">
        <v>5</v>
      </c>
      <c r="AI10" s="248">
        <v>6</v>
      </c>
      <c r="AJ10" s="219" t="s">
        <v>144</v>
      </c>
      <c r="AK10" s="220" t="s">
        <v>1096</v>
      </c>
      <c r="AL10" s="225">
        <v>7</v>
      </c>
      <c r="AM10" s="226">
        <v>2</v>
      </c>
      <c r="AN10" s="219"/>
      <c r="AO10" s="220" t="s">
        <v>1025</v>
      </c>
      <c r="AP10" s="410">
        <v>3</v>
      </c>
      <c r="AQ10" s="411">
        <v>1</v>
      </c>
      <c r="AR10" s="163"/>
      <c r="AS10" s="202">
        <v>8</v>
      </c>
      <c r="AT10" s="313"/>
      <c r="AU10" s="314" t="s">
        <v>1200</v>
      </c>
      <c r="AV10" s="418">
        <v>2</v>
      </c>
      <c r="AW10" s="419">
        <v>4</v>
      </c>
      <c r="AX10" s="313" t="s">
        <v>144</v>
      </c>
      <c r="AY10" s="314" t="s">
        <v>1171</v>
      </c>
      <c r="AZ10" s="311">
        <v>9</v>
      </c>
      <c r="BA10" s="312">
        <v>11</v>
      </c>
      <c r="BB10" s="233"/>
      <c r="BC10" s="234" t="s">
        <v>717</v>
      </c>
      <c r="BD10" s="461">
        <v>1</v>
      </c>
      <c r="BE10" s="462">
        <v>8</v>
      </c>
      <c r="BF10" s="313"/>
      <c r="BG10" s="314" t="s">
        <v>1229</v>
      </c>
      <c r="BH10" s="318">
        <v>11</v>
      </c>
      <c r="BI10" s="317">
        <v>9</v>
      </c>
      <c r="BJ10" s="313" t="s">
        <v>144</v>
      </c>
      <c r="BK10" s="314" t="s">
        <v>1265</v>
      </c>
      <c r="BL10" s="422">
        <v>4</v>
      </c>
      <c r="BM10" s="421">
        <v>2</v>
      </c>
      <c r="BO10" s="202">
        <v>8</v>
      </c>
      <c r="BP10" s="229" t="s">
        <v>144</v>
      </c>
      <c r="BQ10" s="230" t="s">
        <v>835</v>
      </c>
      <c r="BR10" s="239">
        <v>2</v>
      </c>
      <c r="BS10" s="240">
        <v>17</v>
      </c>
      <c r="BT10" s="229" t="s">
        <v>144</v>
      </c>
      <c r="BU10" s="230" t="s">
        <v>869</v>
      </c>
      <c r="BV10" s="246">
        <v>7</v>
      </c>
      <c r="BW10" s="258">
        <v>3</v>
      </c>
      <c r="BX10" s="229"/>
      <c r="BY10" s="230" t="s">
        <v>903</v>
      </c>
      <c r="BZ10" s="231">
        <v>17</v>
      </c>
      <c r="CA10" s="264">
        <v>2</v>
      </c>
      <c r="CB10" s="219" t="s">
        <v>144</v>
      </c>
      <c r="CC10" s="220" t="s">
        <v>990</v>
      </c>
      <c r="CD10" s="225">
        <v>6</v>
      </c>
      <c r="CE10" s="256">
        <v>2</v>
      </c>
      <c r="CF10" s="229"/>
      <c r="CG10" s="230" t="s">
        <v>804</v>
      </c>
      <c r="CH10" s="237">
        <v>3</v>
      </c>
      <c r="CI10" s="248">
        <v>7</v>
      </c>
      <c r="CJ10" s="163"/>
      <c r="CK10" s="202">
        <v>8</v>
      </c>
      <c r="CL10" s="219" t="s">
        <v>144</v>
      </c>
      <c r="CM10" s="220" t="s">
        <v>1025</v>
      </c>
      <c r="CN10" s="221">
        <v>7</v>
      </c>
      <c r="CO10" s="222">
        <v>9</v>
      </c>
      <c r="CP10" s="219"/>
      <c r="CQ10" s="220" t="s">
        <v>1062</v>
      </c>
      <c r="CR10" s="225">
        <v>4</v>
      </c>
      <c r="CS10" s="226">
        <v>1</v>
      </c>
      <c r="CT10" s="229"/>
      <c r="CU10" s="230" t="s">
        <v>770</v>
      </c>
      <c r="CV10" s="237">
        <v>2</v>
      </c>
      <c r="CW10" s="248">
        <v>6</v>
      </c>
      <c r="CX10" s="219" t="s">
        <v>144</v>
      </c>
      <c r="CY10" s="220" t="s">
        <v>952</v>
      </c>
      <c r="CZ10" s="221">
        <v>1</v>
      </c>
      <c r="DA10" s="222">
        <v>4</v>
      </c>
      <c r="DB10" s="219"/>
      <c r="DC10" s="220" t="s">
        <v>1096</v>
      </c>
      <c r="DD10" s="223">
        <v>9</v>
      </c>
      <c r="DE10" s="224">
        <v>7</v>
      </c>
      <c r="DF10" s="163"/>
      <c r="DG10" s="202">
        <v>8</v>
      </c>
      <c r="DH10" s="313"/>
      <c r="DI10" s="314" t="s">
        <v>1265</v>
      </c>
      <c r="DJ10" s="318">
        <v>5</v>
      </c>
      <c r="DK10" s="321">
        <v>0</v>
      </c>
      <c r="DL10" s="313" t="s">
        <v>144</v>
      </c>
      <c r="DM10" s="314" t="s">
        <v>1200</v>
      </c>
      <c r="DN10" s="315">
        <v>5</v>
      </c>
      <c r="DO10" s="316">
        <v>4</v>
      </c>
      <c r="DP10" s="233"/>
      <c r="DQ10" s="234" t="s">
        <v>685</v>
      </c>
      <c r="DR10" s="254">
        <v>3</v>
      </c>
      <c r="DS10" s="260">
        <v>6</v>
      </c>
      <c r="DT10" s="313"/>
      <c r="DU10" s="314" t="s">
        <v>1139</v>
      </c>
      <c r="DV10" s="322">
        <v>4</v>
      </c>
      <c r="DW10" s="320">
        <v>5</v>
      </c>
      <c r="DX10" s="313" t="s">
        <v>144</v>
      </c>
      <c r="DY10" s="314" t="s">
        <v>1229</v>
      </c>
      <c r="DZ10" s="311">
        <v>0</v>
      </c>
      <c r="EA10" s="312">
        <v>5</v>
      </c>
      <c r="EC10" s="202">
        <v>8</v>
      </c>
      <c r="ED10" s="229" t="s">
        <v>144</v>
      </c>
      <c r="EE10" s="230" t="s">
        <v>770</v>
      </c>
      <c r="EF10" s="246">
        <v>3</v>
      </c>
      <c r="EG10" s="247">
        <v>2</v>
      </c>
      <c r="EH10" s="229" t="s">
        <v>144</v>
      </c>
      <c r="EI10" s="230" t="s">
        <v>903</v>
      </c>
      <c r="EJ10" s="246">
        <v>5</v>
      </c>
      <c r="EK10" s="258">
        <v>1</v>
      </c>
      <c r="EL10" s="229"/>
      <c r="EM10" s="230" t="s">
        <v>804</v>
      </c>
      <c r="EN10" s="237">
        <v>2</v>
      </c>
      <c r="EO10" s="268">
        <v>3</v>
      </c>
      <c r="EP10" s="219" t="s">
        <v>144</v>
      </c>
      <c r="EQ10" s="220" t="s">
        <v>1062</v>
      </c>
      <c r="ER10" s="225">
        <v>10</v>
      </c>
      <c r="ES10" s="256">
        <v>5</v>
      </c>
      <c r="ET10" s="229"/>
      <c r="EU10" s="230" t="s">
        <v>835</v>
      </c>
      <c r="EV10" s="237">
        <v>1</v>
      </c>
      <c r="EW10" s="248">
        <v>5</v>
      </c>
      <c r="EX10" s="163"/>
      <c r="EY10" s="202">
        <v>8</v>
      </c>
      <c r="EZ10" s="219" t="s">
        <v>144</v>
      </c>
      <c r="FA10" s="220" t="s">
        <v>1096</v>
      </c>
      <c r="FB10" s="225">
        <v>8</v>
      </c>
      <c r="FC10" s="226">
        <v>3</v>
      </c>
      <c r="FD10" s="219"/>
      <c r="FE10" s="220" t="s">
        <v>1025</v>
      </c>
      <c r="FF10" s="221">
        <v>2</v>
      </c>
      <c r="FG10" s="222">
        <v>3</v>
      </c>
      <c r="FH10" s="229"/>
      <c r="FI10" s="230" t="s">
        <v>869</v>
      </c>
      <c r="FJ10" s="237">
        <v>5</v>
      </c>
      <c r="FK10" s="248">
        <v>10</v>
      </c>
      <c r="FL10" s="219" t="s">
        <v>144</v>
      </c>
      <c r="FM10" s="220" t="s">
        <v>990</v>
      </c>
      <c r="FN10" s="225">
        <v>3</v>
      </c>
      <c r="FO10" s="226">
        <v>2</v>
      </c>
      <c r="FP10" s="219"/>
      <c r="FQ10" s="220" t="s">
        <v>952</v>
      </c>
      <c r="FR10" s="227">
        <v>3</v>
      </c>
      <c r="FS10" s="228">
        <v>8</v>
      </c>
      <c r="FT10" s="163"/>
      <c r="FU10" s="202">
        <v>8</v>
      </c>
      <c r="FV10" s="313"/>
      <c r="FW10" s="314" t="s">
        <v>1229</v>
      </c>
      <c r="FX10" s="318">
        <v>4</v>
      </c>
      <c r="FY10" s="321">
        <v>0</v>
      </c>
      <c r="FZ10" s="313" t="s">
        <v>144</v>
      </c>
      <c r="GA10" s="314" t="s">
        <v>1265</v>
      </c>
      <c r="GB10" s="311">
        <v>1</v>
      </c>
      <c r="GC10" s="312">
        <v>4</v>
      </c>
      <c r="GD10" s="233"/>
      <c r="GE10" s="234" t="s">
        <v>580</v>
      </c>
      <c r="GF10" s="261">
        <v>2</v>
      </c>
      <c r="GG10" s="262">
        <v>1</v>
      </c>
      <c r="GH10" s="313"/>
      <c r="GI10" s="314" t="s">
        <v>1171</v>
      </c>
      <c r="GJ10" s="318">
        <v>4</v>
      </c>
      <c r="GK10" s="317">
        <v>1</v>
      </c>
      <c r="GL10" s="313" t="s">
        <v>144</v>
      </c>
      <c r="GM10" s="314" t="s">
        <v>1139</v>
      </c>
      <c r="GN10" s="311">
        <v>0</v>
      </c>
      <c r="GO10" s="312">
        <v>4</v>
      </c>
    </row>
    <row r="11" spans="1:197">
      <c r="A11" s="202">
        <v>9</v>
      </c>
      <c r="B11" s="244" t="s">
        <v>144</v>
      </c>
      <c r="C11" s="245" t="s">
        <v>903</v>
      </c>
      <c r="D11" s="239">
        <v>0</v>
      </c>
      <c r="E11" s="240">
        <v>1</v>
      </c>
      <c r="F11" s="244"/>
      <c r="G11" s="245" t="s">
        <v>869</v>
      </c>
      <c r="H11" s="246">
        <v>1</v>
      </c>
      <c r="I11" s="258">
        <v>0</v>
      </c>
      <c r="J11" s="244" t="s">
        <v>144</v>
      </c>
      <c r="K11" s="245" t="s">
        <v>835</v>
      </c>
      <c r="L11" s="231">
        <v>3</v>
      </c>
      <c r="M11" s="264">
        <v>0</v>
      </c>
      <c r="N11" s="244"/>
      <c r="O11" s="245" t="s">
        <v>804</v>
      </c>
      <c r="P11" s="239">
        <v>0</v>
      </c>
      <c r="Q11" s="238">
        <v>3</v>
      </c>
      <c r="R11" s="241"/>
      <c r="S11" s="242" t="s">
        <v>1025</v>
      </c>
      <c r="T11" s="223">
        <v>4</v>
      </c>
      <c r="U11" s="224">
        <v>3</v>
      </c>
      <c r="V11" s="163"/>
      <c r="W11" s="202">
        <v>9</v>
      </c>
      <c r="X11" s="244" t="s">
        <v>144</v>
      </c>
      <c r="Y11" s="245" t="s">
        <v>770</v>
      </c>
      <c r="Z11" s="239">
        <v>3</v>
      </c>
      <c r="AA11" s="240">
        <v>4</v>
      </c>
      <c r="AB11" s="241"/>
      <c r="AC11" s="242" t="s">
        <v>952</v>
      </c>
      <c r="AD11" s="392">
        <v>3</v>
      </c>
      <c r="AE11" s="390">
        <v>2</v>
      </c>
      <c r="AF11" s="241" t="s">
        <v>144</v>
      </c>
      <c r="AG11" s="242" t="s">
        <v>1096</v>
      </c>
      <c r="AH11" s="408">
        <v>2</v>
      </c>
      <c r="AI11" s="409">
        <v>3</v>
      </c>
      <c r="AJ11" s="241" t="s">
        <v>144</v>
      </c>
      <c r="AK11" s="242" t="s">
        <v>1062</v>
      </c>
      <c r="AL11" s="434">
        <v>6</v>
      </c>
      <c r="AM11" s="435">
        <v>7</v>
      </c>
      <c r="AN11" s="241"/>
      <c r="AO11" s="242" t="s">
        <v>990</v>
      </c>
      <c r="AP11" s="410">
        <v>7</v>
      </c>
      <c r="AQ11" s="411">
        <v>6</v>
      </c>
      <c r="AR11" s="163"/>
      <c r="AS11" s="202">
        <v>9</v>
      </c>
      <c r="AT11" s="249"/>
      <c r="AU11" s="250" t="s">
        <v>650</v>
      </c>
      <c r="AV11" s="460">
        <v>2</v>
      </c>
      <c r="AW11" s="459">
        <v>0</v>
      </c>
      <c r="AX11" s="309" t="s">
        <v>144</v>
      </c>
      <c r="AY11" s="310" t="s">
        <v>1139</v>
      </c>
      <c r="AZ11" s="311">
        <v>6</v>
      </c>
      <c r="BA11" s="312">
        <v>12</v>
      </c>
      <c r="BB11" s="309"/>
      <c r="BC11" s="310" t="s">
        <v>1229</v>
      </c>
      <c r="BD11" s="318">
        <v>12</v>
      </c>
      <c r="BE11" s="321">
        <v>6</v>
      </c>
      <c r="BF11" s="309" t="s">
        <v>144</v>
      </c>
      <c r="BG11" s="310" t="s">
        <v>1200</v>
      </c>
      <c r="BH11" s="311">
        <v>4</v>
      </c>
      <c r="BI11" s="320">
        <v>5</v>
      </c>
      <c r="BJ11" s="309"/>
      <c r="BK11" s="310" t="s">
        <v>1171</v>
      </c>
      <c r="BL11" s="422">
        <v>5</v>
      </c>
      <c r="BM11" s="316">
        <v>4</v>
      </c>
      <c r="BO11" s="202">
        <v>9</v>
      </c>
      <c r="BP11" s="244" t="s">
        <v>144</v>
      </c>
      <c r="BQ11" s="245" t="s">
        <v>804</v>
      </c>
      <c r="BR11" s="239">
        <v>0</v>
      </c>
      <c r="BS11" s="240">
        <v>1</v>
      </c>
      <c r="BT11" s="244"/>
      <c r="BU11" s="245" t="s">
        <v>903</v>
      </c>
      <c r="BV11" s="246">
        <v>1</v>
      </c>
      <c r="BW11" s="258">
        <v>0</v>
      </c>
      <c r="BX11" s="244" t="s">
        <v>144</v>
      </c>
      <c r="BY11" s="245" t="s">
        <v>770</v>
      </c>
      <c r="BZ11" s="231">
        <v>5</v>
      </c>
      <c r="CA11" s="264">
        <v>4</v>
      </c>
      <c r="CB11" s="244"/>
      <c r="CC11" s="245" t="s">
        <v>835</v>
      </c>
      <c r="CD11" s="239">
        <v>4</v>
      </c>
      <c r="CE11" s="238">
        <v>5</v>
      </c>
      <c r="CF11" s="241"/>
      <c r="CG11" s="242" t="s">
        <v>1096</v>
      </c>
      <c r="CH11" s="223">
        <v>3</v>
      </c>
      <c r="CI11" s="224">
        <v>2</v>
      </c>
      <c r="CJ11" s="163"/>
      <c r="CK11" s="202">
        <v>9</v>
      </c>
      <c r="CL11" s="244" t="s">
        <v>144</v>
      </c>
      <c r="CM11" s="245" t="s">
        <v>869</v>
      </c>
      <c r="CN11" s="239">
        <v>2</v>
      </c>
      <c r="CO11" s="240">
        <v>3</v>
      </c>
      <c r="CP11" s="241"/>
      <c r="CQ11" s="242" t="s">
        <v>990</v>
      </c>
      <c r="CR11" s="221">
        <v>3</v>
      </c>
      <c r="CS11" s="222">
        <v>6</v>
      </c>
      <c r="CT11" s="241" t="s">
        <v>144</v>
      </c>
      <c r="CU11" s="242" t="s">
        <v>952</v>
      </c>
      <c r="CV11" s="223">
        <v>6</v>
      </c>
      <c r="CW11" s="224">
        <v>3</v>
      </c>
      <c r="CX11" s="241" t="s">
        <v>144</v>
      </c>
      <c r="CY11" s="242" t="s">
        <v>1025</v>
      </c>
      <c r="CZ11" s="221">
        <v>5</v>
      </c>
      <c r="DA11" s="222">
        <v>6</v>
      </c>
      <c r="DB11" s="241"/>
      <c r="DC11" s="242" t="s">
        <v>1062</v>
      </c>
      <c r="DD11" s="223">
        <v>6</v>
      </c>
      <c r="DE11" s="224">
        <v>5</v>
      </c>
      <c r="DF11" s="163"/>
      <c r="DG11" s="202">
        <v>9</v>
      </c>
      <c r="DH11" s="249"/>
      <c r="DI11" s="250" t="s">
        <v>611</v>
      </c>
      <c r="DJ11" s="261">
        <v>3</v>
      </c>
      <c r="DK11" s="262">
        <v>2</v>
      </c>
      <c r="DL11" s="309" t="s">
        <v>144</v>
      </c>
      <c r="DM11" s="310" t="s">
        <v>1171</v>
      </c>
      <c r="DN11" s="311">
        <v>3</v>
      </c>
      <c r="DO11" s="312">
        <v>6</v>
      </c>
      <c r="DP11" s="309"/>
      <c r="DQ11" s="310" t="s">
        <v>1139</v>
      </c>
      <c r="DR11" s="318">
        <v>6</v>
      </c>
      <c r="DS11" s="321">
        <v>3</v>
      </c>
      <c r="DT11" s="309" t="s">
        <v>144</v>
      </c>
      <c r="DU11" s="310" t="s">
        <v>1265</v>
      </c>
      <c r="DV11" s="315">
        <v>3</v>
      </c>
      <c r="DW11" s="317">
        <v>1</v>
      </c>
      <c r="DX11" s="309"/>
      <c r="DY11" s="310" t="s">
        <v>1200</v>
      </c>
      <c r="DZ11" s="311">
        <v>1</v>
      </c>
      <c r="EA11" s="312">
        <v>3</v>
      </c>
      <c r="EC11" s="202">
        <v>9</v>
      </c>
      <c r="ED11" s="244" t="s">
        <v>144</v>
      </c>
      <c r="EE11" s="245" t="s">
        <v>835</v>
      </c>
      <c r="EF11" s="239">
        <v>2</v>
      </c>
      <c r="EG11" s="240">
        <v>4</v>
      </c>
      <c r="EH11" s="244"/>
      <c r="EI11" s="245" t="s">
        <v>804</v>
      </c>
      <c r="EJ11" s="246">
        <v>4</v>
      </c>
      <c r="EK11" s="258">
        <v>2</v>
      </c>
      <c r="EL11" s="244" t="s">
        <v>144</v>
      </c>
      <c r="EM11" s="245" t="s">
        <v>869</v>
      </c>
      <c r="EN11" s="231">
        <v>12</v>
      </c>
      <c r="EO11" s="264">
        <v>0</v>
      </c>
      <c r="EP11" s="244"/>
      <c r="EQ11" s="245" t="s">
        <v>770</v>
      </c>
      <c r="ER11" s="239">
        <v>0</v>
      </c>
      <c r="ES11" s="238">
        <v>12</v>
      </c>
      <c r="ET11" s="241"/>
      <c r="EU11" s="242" t="s">
        <v>952</v>
      </c>
      <c r="EV11" s="223">
        <v>2</v>
      </c>
      <c r="EW11" s="224">
        <v>1</v>
      </c>
      <c r="EX11" s="163"/>
      <c r="EY11" s="202">
        <v>9</v>
      </c>
      <c r="EZ11" s="244" t="s">
        <v>144</v>
      </c>
      <c r="FA11" s="245" t="s">
        <v>903</v>
      </c>
      <c r="FB11" s="239">
        <v>1</v>
      </c>
      <c r="FC11" s="240">
        <v>2</v>
      </c>
      <c r="FD11" s="241"/>
      <c r="FE11" s="242" t="s">
        <v>1062</v>
      </c>
      <c r="FF11" s="221">
        <v>4</v>
      </c>
      <c r="FG11" s="222">
        <v>5</v>
      </c>
      <c r="FH11" s="241" t="s">
        <v>144</v>
      </c>
      <c r="FI11" s="242" t="s">
        <v>990</v>
      </c>
      <c r="FJ11" s="223">
        <v>5</v>
      </c>
      <c r="FK11" s="224">
        <v>4</v>
      </c>
      <c r="FL11" s="241" t="s">
        <v>144</v>
      </c>
      <c r="FM11" s="242" t="s">
        <v>1096</v>
      </c>
      <c r="FN11" s="225">
        <v>5</v>
      </c>
      <c r="FO11" s="226">
        <v>3</v>
      </c>
      <c r="FP11" s="241"/>
      <c r="FQ11" s="242" t="s">
        <v>1025</v>
      </c>
      <c r="FR11" s="227">
        <v>3</v>
      </c>
      <c r="FS11" s="228">
        <v>5</v>
      </c>
      <c r="FT11" s="163"/>
      <c r="FU11" s="202">
        <v>9</v>
      </c>
      <c r="FV11" s="249"/>
      <c r="FW11" s="250" t="s">
        <v>717</v>
      </c>
      <c r="FX11" s="254">
        <v>2</v>
      </c>
      <c r="FY11" s="260">
        <v>8</v>
      </c>
      <c r="FZ11" s="309" t="s">
        <v>144</v>
      </c>
      <c r="GA11" s="310" t="s">
        <v>1200</v>
      </c>
      <c r="GB11" s="311">
        <v>1</v>
      </c>
      <c r="GC11" s="312">
        <v>6</v>
      </c>
      <c r="GD11" s="309"/>
      <c r="GE11" s="310" t="s">
        <v>1171</v>
      </c>
      <c r="GF11" s="318">
        <v>6</v>
      </c>
      <c r="GG11" s="321">
        <v>1</v>
      </c>
      <c r="GH11" s="309" t="s">
        <v>144</v>
      </c>
      <c r="GI11" s="310" t="s">
        <v>1229</v>
      </c>
      <c r="GJ11" s="311">
        <v>4</v>
      </c>
      <c r="GK11" s="320">
        <v>6</v>
      </c>
      <c r="GL11" s="309"/>
      <c r="GM11" s="310" t="s">
        <v>1265</v>
      </c>
      <c r="GN11" s="315">
        <v>6</v>
      </c>
      <c r="GO11" s="316">
        <v>4</v>
      </c>
    </row>
    <row r="12" spans="1:197">
      <c r="A12" s="202">
        <v>10</v>
      </c>
      <c r="B12" s="229" t="s">
        <v>144</v>
      </c>
      <c r="C12" s="230" t="s">
        <v>903</v>
      </c>
      <c r="D12" s="246">
        <v>3</v>
      </c>
      <c r="E12" s="247">
        <v>1</v>
      </c>
      <c r="F12" s="229"/>
      <c r="G12" s="230" t="s">
        <v>869</v>
      </c>
      <c r="H12" s="239">
        <v>1</v>
      </c>
      <c r="I12" s="238">
        <v>3</v>
      </c>
      <c r="J12" s="229" t="s">
        <v>144</v>
      </c>
      <c r="K12" s="230" t="s">
        <v>835</v>
      </c>
      <c r="L12" s="231">
        <v>3</v>
      </c>
      <c r="M12" s="264">
        <v>1</v>
      </c>
      <c r="N12" s="229"/>
      <c r="O12" s="230" t="s">
        <v>804</v>
      </c>
      <c r="P12" s="239">
        <v>1</v>
      </c>
      <c r="Q12" s="238">
        <v>3</v>
      </c>
      <c r="R12" s="219"/>
      <c r="S12" s="220" t="s">
        <v>1025</v>
      </c>
      <c r="T12" s="227">
        <v>5</v>
      </c>
      <c r="U12" s="228">
        <v>6</v>
      </c>
      <c r="V12" s="163"/>
      <c r="W12" s="202">
        <v>10</v>
      </c>
      <c r="X12" s="229" t="s">
        <v>144</v>
      </c>
      <c r="Y12" s="230" t="s">
        <v>770</v>
      </c>
      <c r="Z12" s="246">
        <v>6</v>
      </c>
      <c r="AA12" s="247">
        <v>5</v>
      </c>
      <c r="AB12" s="219"/>
      <c r="AC12" s="220" t="s">
        <v>952</v>
      </c>
      <c r="AD12" s="225">
        <v>3</v>
      </c>
      <c r="AE12" s="226">
        <v>2</v>
      </c>
      <c r="AF12" s="219" t="s">
        <v>144</v>
      </c>
      <c r="AG12" s="220" t="s">
        <v>1096</v>
      </c>
      <c r="AH12" s="227">
        <v>2</v>
      </c>
      <c r="AI12" s="228">
        <v>3</v>
      </c>
      <c r="AJ12" s="219" t="s">
        <v>144</v>
      </c>
      <c r="AK12" s="220" t="s">
        <v>1062</v>
      </c>
      <c r="AL12" s="392">
        <v>1</v>
      </c>
      <c r="AM12" s="390">
        <v>0</v>
      </c>
      <c r="AN12" s="219"/>
      <c r="AO12" s="220" t="s">
        <v>990</v>
      </c>
      <c r="AP12" s="408">
        <v>0</v>
      </c>
      <c r="AQ12" s="409">
        <v>1</v>
      </c>
      <c r="AR12" s="163"/>
      <c r="AS12" s="202">
        <v>10</v>
      </c>
      <c r="AT12" s="233"/>
      <c r="AU12" s="234" t="s">
        <v>650</v>
      </c>
      <c r="AV12" s="461">
        <v>9</v>
      </c>
      <c r="AW12" s="462">
        <v>10</v>
      </c>
      <c r="AX12" s="313" t="s">
        <v>144</v>
      </c>
      <c r="AY12" s="314" t="s">
        <v>1139</v>
      </c>
      <c r="AZ12" s="437">
        <v>7</v>
      </c>
      <c r="BA12" s="438">
        <v>8</v>
      </c>
      <c r="BB12" s="313"/>
      <c r="BC12" s="314" t="s">
        <v>1229</v>
      </c>
      <c r="BD12" s="415">
        <v>8</v>
      </c>
      <c r="BE12" s="436">
        <v>7</v>
      </c>
      <c r="BF12" s="313" t="s">
        <v>144</v>
      </c>
      <c r="BG12" s="314" t="s">
        <v>1200</v>
      </c>
      <c r="BH12" s="415">
        <v>4</v>
      </c>
      <c r="BI12" s="414">
        <v>0</v>
      </c>
      <c r="BJ12" s="313"/>
      <c r="BK12" s="314" t="s">
        <v>1171</v>
      </c>
      <c r="BL12" s="437">
        <v>0</v>
      </c>
      <c r="BM12" s="438">
        <v>4</v>
      </c>
      <c r="BO12" s="202">
        <v>10</v>
      </c>
      <c r="BP12" s="229" t="s">
        <v>144</v>
      </c>
      <c r="BQ12" s="230" t="s">
        <v>804</v>
      </c>
      <c r="BR12" s="239">
        <v>1</v>
      </c>
      <c r="BS12" s="240">
        <v>3</v>
      </c>
      <c r="BT12" s="229"/>
      <c r="BU12" s="230" t="s">
        <v>903</v>
      </c>
      <c r="BV12" s="246">
        <v>3</v>
      </c>
      <c r="BW12" s="258">
        <v>1</v>
      </c>
      <c r="BX12" s="229" t="s">
        <v>144</v>
      </c>
      <c r="BY12" s="230" t="s">
        <v>770</v>
      </c>
      <c r="BZ12" s="237">
        <v>3</v>
      </c>
      <c r="CA12" s="268">
        <v>6</v>
      </c>
      <c r="CB12" s="229"/>
      <c r="CC12" s="230" t="s">
        <v>835</v>
      </c>
      <c r="CD12" s="246">
        <v>6</v>
      </c>
      <c r="CE12" s="258">
        <v>3</v>
      </c>
      <c r="CF12" s="219"/>
      <c r="CG12" s="220" t="s">
        <v>1096</v>
      </c>
      <c r="CH12" s="223">
        <v>4</v>
      </c>
      <c r="CI12" s="224">
        <v>2</v>
      </c>
      <c r="CJ12" s="163"/>
      <c r="CK12" s="202">
        <v>10</v>
      </c>
      <c r="CL12" s="229" t="s">
        <v>144</v>
      </c>
      <c r="CM12" s="230" t="s">
        <v>869</v>
      </c>
      <c r="CN12" s="239">
        <v>2</v>
      </c>
      <c r="CO12" s="240">
        <v>4</v>
      </c>
      <c r="CP12" s="219"/>
      <c r="CQ12" s="220" t="s">
        <v>990</v>
      </c>
      <c r="CR12" s="221">
        <v>1</v>
      </c>
      <c r="CS12" s="222">
        <v>2</v>
      </c>
      <c r="CT12" s="219" t="s">
        <v>144</v>
      </c>
      <c r="CU12" s="220" t="s">
        <v>952</v>
      </c>
      <c r="CV12" s="223">
        <v>2</v>
      </c>
      <c r="CW12" s="224">
        <v>1</v>
      </c>
      <c r="CX12" s="219" t="s">
        <v>144</v>
      </c>
      <c r="CY12" s="220" t="s">
        <v>1025</v>
      </c>
      <c r="CZ12" s="221">
        <v>4</v>
      </c>
      <c r="DA12" s="222">
        <v>5</v>
      </c>
      <c r="DB12" s="219"/>
      <c r="DC12" s="220" t="s">
        <v>1062</v>
      </c>
      <c r="DD12" s="223">
        <v>5</v>
      </c>
      <c r="DE12" s="224">
        <v>4</v>
      </c>
      <c r="DF12" s="163"/>
      <c r="DG12" s="202">
        <v>10</v>
      </c>
      <c r="DH12" s="233"/>
      <c r="DI12" s="234" t="s">
        <v>611</v>
      </c>
      <c r="DJ12" s="254">
        <v>4</v>
      </c>
      <c r="DK12" s="260">
        <v>5</v>
      </c>
      <c r="DL12" s="313" t="s">
        <v>144</v>
      </c>
      <c r="DM12" s="314" t="s">
        <v>1171</v>
      </c>
      <c r="DN12" s="315">
        <v>4</v>
      </c>
      <c r="DO12" s="316">
        <v>2</v>
      </c>
      <c r="DP12" s="313"/>
      <c r="DQ12" s="314" t="s">
        <v>1139</v>
      </c>
      <c r="DR12" s="322">
        <v>2</v>
      </c>
      <c r="DS12" s="323">
        <v>4</v>
      </c>
      <c r="DT12" s="313" t="s">
        <v>144</v>
      </c>
      <c r="DU12" s="314" t="s">
        <v>1265</v>
      </c>
      <c r="DV12" s="322">
        <v>1</v>
      </c>
      <c r="DW12" s="320">
        <v>2</v>
      </c>
      <c r="DX12" s="313"/>
      <c r="DY12" s="314" t="s">
        <v>1200</v>
      </c>
      <c r="DZ12" s="315">
        <v>2</v>
      </c>
      <c r="EA12" s="316">
        <v>1</v>
      </c>
      <c r="EC12" s="202">
        <v>10</v>
      </c>
      <c r="ED12" s="229" t="s">
        <v>144</v>
      </c>
      <c r="EE12" s="230" t="s">
        <v>835</v>
      </c>
      <c r="EF12" s="246">
        <v>5</v>
      </c>
      <c r="EG12" s="247">
        <v>0</v>
      </c>
      <c r="EH12" s="229"/>
      <c r="EI12" s="230" t="s">
        <v>804</v>
      </c>
      <c r="EJ12" s="239">
        <v>0</v>
      </c>
      <c r="EK12" s="238">
        <v>5</v>
      </c>
      <c r="EL12" s="229" t="s">
        <v>144</v>
      </c>
      <c r="EM12" s="230" t="s">
        <v>869</v>
      </c>
      <c r="EN12" s="231">
        <v>3</v>
      </c>
      <c r="EO12" s="264">
        <v>1</v>
      </c>
      <c r="EP12" s="229"/>
      <c r="EQ12" s="230" t="s">
        <v>770</v>
      </c>
      <c r="ER12" s="239">
        <v>1</v>
      </c>
      <c r="ES12" s="238">
        <v>3</v>
      </c>
      <c r="ET12" s="219"/>
      <c r="EU12" s="220" t="s">
        <v>952</v>
      </c>
      <c r="EV12" s="227">
        <v>0</v>
      </c>
      <c r="EW12" s="228">
        <v>3</v>
      </c>
      <c r="EX12" s="163"/>
      <c r="EY12" s="202">
        <v>10</v>
      </c>
      <c r="EZ12" s="229" t="s">
        <v>144</v>
      </c>
      <c r="FA12" s="230" t="s">
        <v>903</v>
      </c>
      <c r="FB12" s="246">
        <v>3</v>
      </c>
      <c r="FC12" s="247">
        <v>0</v>
      </c>
      <c r="FD12" s="219"/>
      <c r="FE12" s="220" t="s">
        <v>1062</v>
      </c>
      <c r="FF12" s="225">
        <v>5</v>
      </c>
      <c r="FG12" s="226">
        <v>2</v>
      </c>
      <c r="FH12" s="219" t="s">
        <v>144</v>
      </c>
      <c r="FI12" s="220" t="s">
        <v>990</v>
      </c>
      <c r="FJ12" s="227">
        <v>2</v>
      </c>
      <c r="FK12" s="228">
        <v>5</v>
      </c>
      <c r="FL12" s="219" t="s">
        <v>144</v>
      </c>
      <c r="FM12" s="220" t="s">
        <v>1096</v>
      </c>
      <c r="FN12" s="221">
        <v>4</v>
      </c>
      <c r="FO12" s="222">
        <v>5</v>
      </c>
      <c r="FP12" s="219"/>
      <c r="FQ12" s="220" t="s">
        <v>1025</v>
      </c>
      <c r="FR12" s="223">
        <v>5</v>
      </c>
      <c r="FS12" s="224">
        <v>4</v>
      </c>
      <c r="FT12" s="163"/>
      <c r="FU12" s="202">
        <v>10</v>
      </c>
      <c r="FV12" s="233"/>
      <c r="FW12" s="234" t="s">
        <v>717</v>
      </c>
      <c r="FX12" s="261">
        <v>5</v>
      </c>
      <c r="FY12" s="262">
        <v>3</v>
      </c>
      <c r="FZ12" s="313" t="s">
        <v>144</v>
      </c>
      <c r="GA12" s="314" t="s">
        <v>1200</v>
      </c>
      <c r="GB12" s="315">
        <v>4</v>
      </c>
      <c r="GC12" s="316">
        <v>3</v>
      </c>
      <c r="GD12" s="313"/>
      <c r="GE12" s="314" t="s">
        <v>1171</v>
      </c>
      <c r="GF12" s="322">
        <v>3</v>
      </c>
      <c r="GG12" s="323">
        <v>4</v>
      </c>
      <c r="GH12" s="313" t="s">
        <v>144</v>
      </c>
      <c r="GI12" s="314" t="s">
        <v>1229</v>
      </c>
      <c r="GJ12" s="322">
        <v>1</v>
      </c>
      <c r="GK12" s="320">
        <v>4</v>
      </c>
      <c r="GL12" s="313"/>
      <c r="GM12" s="314" t="s">
        <v>1265</v>
      </c>
      <c r="GN12" s="315">
        <v>4</v>
      </c>
      <c r="GO12" s="316">
        <v>1</v>
      </c>
    </row>
    <row r="13" spans="1:197">
      <c r="A13" s="202">
        <v>11</v>
      </c>
      <c r="B13" s="309" t="s">
        <v>144</v>
      </c>
      <c r="C13" s="310" t="s">
        <v>1139</v>
      </c>
      <c r="D13" s="422">
        <v>5</v>
      </c>
      <c r="E13" s="421">
        <v>2</v>
      </c>
      <c r="F13" s="309"/>
      <c r="G13" s="310" t="s">
        <v>1171</v>
      </c>
      <c r="H13" s="311">
        <v>3</v>
      </c>
      <c r="I13" s="320">
        <v>4</v>
      </c>
      <c r="J13" s="241"/>
      <c r="K13" s="242" t="s">
        <v>1062</v>
      </c>
      <c r="L13" s="223">
        <v>7</v>
      </c>
      <c r="M13" s="243">
        <v>2</v>
      </c>
      <c r="N13" s="309" t="s">
        <v>144</v>
      </c>
      <c r="O13" s="310" t="s">
        <v>1200</v>
      </c>
      <c r="P13" s="311">
        <v>3</v>
      </c>
      <c r="Q13" s="320">
        <v>5</v>
      </c>
      <c r="R13" s="241"/>
      <c r="S13" s="242" t="s">
        <v>952</v>
      </c>
      <c r="T13" s="223">
        <v>7</v>
      </c>
      <c r="U13" s="224">
        <v>0</v>
      </c>
      <c r="V13" s="163"/>
      <c r="W13" s="202">
        <v>11</v>
      </c>
      <c r="X13" s="309"/>
      <c r="Y13" s="310" t="s">
        <v>1265</v>
      </c>
      <c r="Z13" s="437">
        <v>3</v>
      </c>
      <c r="AA13" s="438">
        <v>8</v>
      </c>
      <c r="AB13" s="309" t="s">
        <v>144</v>
      </c>
      <c r="AC13" s="310" t="s">
        <v>1229</v>
      </c>
      <c r="AD13" s="437">
        <v>7</v>
      </c>
      <c r="AE13" s="438">
        <v>8</v>
      </c>
      <c r="AF13" s="244" t="s">
        <v>144</v>
      </c>
      <c r="AG13" s="245" t="s">
        <v>770</v>
      </c>
      <c r="AH13" s="237">
        <v>0</v>
      </c>
      <c r="AI13" s="248">
        <v>7</v>
      </c>
      <c r="AJ13" s="249"/>
      <c r="AK13" s="250" t="s">
        <v>539</v>
      </c>
      <c r="AL13" s="430">
        <v>4</v>
      </c>
      <c r="AM13" s="429">
        <v>5</v>
      </c>
      <c r="AN13" s="244" t="s">
        <v>144</v>
      </c>
      <c r="AO13" s="245" t="s">
        <v>804</v>
      </c>
      <c r="AP13" s="237">
        <v>2</v>
      </c>
      <c r="AQ13" s="248">
        <v>7</v>
      </c>
      <c r="AR13" s="163"/>
      <c r="AS13" s="202">
        <v>11</v>
      </c>
      <c r="AT13" s="241" t="s">
        <v>144</v>
      </c>
      <c r="AU13" s="242" t="s">
        <v>1025</v>
      </c>
      <c r="AV13" s="410">
        <v>8</v>
      </c>
      <c r="AW13" s="411">
        <v>3</v>
      </c>
      <c r="AX13" s="241"/>
      <c r="AY13" s="242" t="s">
        <v>1096</v>
      </c>
      <c r="AZ13" s="392">
        <v>8</v>
      </c>
      <c r="BA13" s="390">
        <v>7</v>
      </c>
      <c r="BB13" s="244"/>
      <c r="BC13" s="245" t="s">
        <v>869</v>
      </c>
      <c r="BD13" s="440">
        <v>2</v>
      </c>
      <c r="BE13" s="441">
        <v>5</v>
      </c>
      <c r="BF13" s="244" t="s">
        <v>144</v>
      </c>
      <c r="BG13" s="245" t="s">
        <v>903</v>
      </c>
      <c r="BH13" s="246">
        <v>4</v>
      </c>
      <c r="BI13" s="258">
        <v>3</v>
      </c>
      <c r="BJ13" s="244"/>
      <c r="BK13" s="245" t="s">
        <v>835</v>
      </c>
      <c r="BL13" s="246">
        <v>5</v>
      </c>
      <c r="BM13" s="247">
        <v>3</v>
      </c>
      <c r="BO13" s="202">
        <v>11</v>
      </c>
      <c r="BP13" s="309" t="s">
        <v>144</v>
      </c>
      <c r="BQ13" s="310" t="s">
        <v>1171</v>
      </c>
      <c r="BR13" s="311">
        <v>0</v>
      </c>
      <c r="BS13" s="312">
        <v>4</v>
      </c>
      <c r="BT13" s="309"/>
      <c r="BU13" s="310" t="s">
        <v>1200</v>
      </c>
      <c r="BV13" s="311">
        <v>1</v>
      </c>
      <c r="BW13" s="320">
        <v>5</v>
      </c>
      <c r="BX13" s="241"/>
      <c r="BY13" s="242" t="s">
        <v>1025</v>
      </c>
      <c r="BZ13" s="223">
        <v>8</v>
      </c>
      <c r="CA13" s="243">
        <v>4</v>
      </c>
      <c r="CB13" s="309" t="s">
        <v>144</v>
      </c>
      <c r="CC13" s="310" t="s">
        <v>1265</v>
      </c>
      <c r="CD13" s="315">
        <v>3</v>
      </c>
      <c r="CE13" s="317">
        <v>2</v>
      </c>
      <c r="CF13" s="241"/>
      <c r="CG13" s="242" t="s">
        <v>990</v>
      </c>
      <c r="CH13" s="227">
        <v>2</v>
      </c>
      <c r="CI13" s="228">
        <v>7</v>
      </c>
      <c r="CJ13" s="163"/>
      <c r="CK13" s="202">
        <v>11</v>
      </c>
      <c r="CL13" s="309"/>
      <c r="CM13" s="310" t="s">
        <v>1229</v>
      </c>
      <c r="CN13" s="315">
        <v>5</v>
      </c>
      <c r="CO13" s="316">
        <v>3</v>
      </c>
      <c r="CP13" s="309" t="s">
        <v>144</v>
      </c>
      <c r="CQ13" s="310" t="s">
        <v>1139</v>
      </c>
      <c r="CR13" s="311">
        <v>4</v>
      </c>
      <c r="CS13" s="312">
        <v>5</v>
      </c>
      <c r="CT13" s="244" t="s">
        <v>144</v>
      </c>
      <c r="CU13" s="245" t="s">
        <v>869</v>
      </c>
      <c r="CV13" s="231">
        <v>7</v>
      </c>
      <c r="CW13" s="232">
        <v>2</v>
      </c>
      <c r="CX13" s="249"/>
      <c r="CY13" s="250" t="s">
        <v>429</v>
      </c>
      <c r="CZ13" s="235">
        <v>2</v>
      </c>
      <c r="DA13" s="236">
        <v>3</v>
      </c>
      <c r="DB13" s="244" t="s">
        <v>144</v>
      </c>
      <c r="DC13" s="245" t="s">
        <v>835</v>
      </c>
      <c r="DD13" s="237">
        <v>4</v>
      </c>
      <c r="DE13" s="248">
        <v>8</v>
      </c>
      <c r="DF13" s="163"/>
      <c r="DG13" s="202">
        <v>11</v>
      </c>
      <c r="DH13" s="241" t="s">
        <v>144</v>
      </c>
      <c r="DI13" s="242" t="s">
        <v>1096</v>
      </c>
      <c r="DJ13" s="227">
        <v>3</v>
      </c>
      <c r="DK13" s="228">
        <v>5</v>
      </c>
      <c r="DL13" s="241"/>
      <c r="DM13" s="242" t="s">
        <v>952</v>
      </c>
      <c r="DN13" s="225">
        <v>5</v>
      </c>
      <c r="DO13" s="226">
        <v>4</v>
      </c>
      <c r="DP13" s="244"/>
      <c r="DQ13" s="245" t="s">
        <v>903</v>
      </c>
      <c r="DR13" s="231">
        <v>4</v>
      </c>
      <c r="DS13" s="232">
        <v>0</v>
      </c>
      <c r="DT13" s="244" t="s">
        <v>144</v>
      </c>
      <c r="DU13" s="245" t="s">
        <v>804</v>
      </c>
      <c r="DV13" s="246">
        <v>5</v>
      </c>
      <c r="DW13" s="258">
        <v>1</v>
      </c>
      <c r="DX13" s="244"/>
      <c r="DY13" s="245" t="s">
        <v>770</v>
      </c>
      <c r="DZ13" s="239">
        <v>2</v>
      </c>
      <c r="EA13" s="240">
        <v>3</v>
      </c>
      <c r="EC13" s="202">
        <v>11</v>
      </c>
      <c r="ED13" s="309" t="s">
        <v>144</v>
      </c>
      <c r="EE13" s="310" t="s">
        <v>1200</v>
      </c>
      <c r="EF13" s="311">
        <v>2</v>
      </c>
      <c r="EG13" s="312">
        <v>4</v>
      </c>
      <c r="EH13" s="309"/>
      <c r="EI13" s="310" t="s">
        <v>1265</v>
      </c>
      <c r="EJ13" s="311">
        <v>3</v>
      </c>
      <c r="EK13" s="320">
        <v>10</v>
      </c>
      <c r="EL13" s="241"/>
      <c r="EM13" s="242" t="s">
        <v>1096</v>
      </c>
      <c r="EN13" s="223">
        <v>4</v>
      </c>
      <c r="EO13" s="243">
        <v>0</v>
      </c>
      <c r="EP13" s="309" t="s">
        <v>144</v>
      </c>
      <c r="EQ13" s="310" t="s">
        <v>1229</v>
      </c>
      <c r="ER13" s="311">
        <v>4</v>
      </c>
      <c r="ES13" s="320">
        <v>5</v>
      </c>
      <c r="ET13" s="241"/>
      <c r="EU13" s="242" t="s">
        <v>1062</v>
      </c>
      <c r="EV13" s="223">
        <v>5</v>
      </c>
      <c r="EW13" s="224">
        <v>3</v>
      </c>
      <c r="EX13" s="163"/>
      <c r="EY13" s="202">
        <v>11</v>
      </c>
      <c r="EZ13" s="309"/>
      <c r="FA13" s="310" t="s">
        <v>1139</v>
      </c>
      <c r="FB13" s="315">
        <v>6</v>
      </c>
      <c r="FC13" s="316">
        <v>2</v>
      </c>
      <c r="FD13" s="309" t="s">
        <v>144</v>
      </c>
      <c r="FE13" s="310" t="s">
        <v>1171</v>
      </c>
      <c r="FF13" s="315">
        <v>5</v>
      </c>
      <c r="FG13" s="316">
        <v>0</v>
      </c>
      <c r="FH13" s="244" t="s">
        <v>144</v>
      </c>
      <c r="FI13" s="245" t="s">
        <v>903</v>
      </c>
      <c r="FJ13" s="237">
        <v>3</v>
      </c>
      <c r="FK13" s="248">
        <v>5</v>
      </c>
      <c r="FL13" s="249" t="s">
        <v>144</v>
      </c>
      <c r="FM13" s="250" t="s">
        <v>394</v>
      </c>
      <c r="FN13" s="251">
        <v>6</v>
      </c>
      <c r="FO13" s="257">
        <v>2</v>
      </c>
      <c r="FP13" s="244" t="s">
        <v>144</v>
      </c>
      <c r="FQ13" s="245" t="s">
        <v>770</v>
      </c>
      <c r="FR13" s="237">
        <v>0</v>
      </c>
      <c r="FS13" s="248">
        <v>4</v>
      </c>
      <c r="FT13" s="163"/>
      <c r="FU13" s="202">
        <v>11</v>
      </c>
      <c r="FV13" s="241" t="s">
        <v>144</v>
      </c>
      <c r="FW13" s="242" t="s">
        <v>952</v>
      </c>
      <c r="FX13" s="227">
        <v>2</v>
      </c>
      <c r="FY13" s="228">
        <v>6</v>
      </c>
      <c r="FZ13" s="241"/>
      <c r="GA13" s="242" t="s">
        <v>990</v>
      </c>
      <c r="GB13" s="221">
        <v>0</v>
      </c>
      <c r="GC13" s="222">
        <v>5</v>
      </c>
      <c r="GD13" s="244"/>
      <c r="GE13" s="245" t="s">
        <v>804</v>
      </c>
      <c r="GF13" s="231">
        <v>4</v>
      </c>
      <c r="GG13" s="232">
        <v>2</v>
      </c>
      <c r="GH13" s="244" t="s">
        <v>144</v>
      </c>
      <c r="GI13" s="245" t="s">
        <v>835</v>
      </c>
      <c r="GJ13" s="246">
        <v>10</v>
      </c>
      <c r="GK13" s="258">
        <v>3</v>
      </c>
      <c r="GL13" s="244"/>
      <c r="GM13" s="245" t="s">
        <v>869</v>
      </c>
      <c r="GN13" s="246">
        <v>5</v>
      </c>
      <c r="GO13" s="247">
        <v>4</v>
      </c>
    </row>
    <row r="14" spans="1:197">
      <c r="A14" s="202">
        <v>12</v>
      </c>
      <c r="B14" s="313" t="s">
        <v>144</v>
      </c>
      <c r="C14" s="314" t="s">
        <v>1139</v>
      </c>
      <c r="D14" s="311">
        <v>3</v>
      </c>
      <c r="E14" s="312">
        <v>9</v>
      </c>
      <c r="F14" s="313"/>
      <c r="G14" s="314" t="s">
        <v>1171</v>
      </c>
      <c r="H14" s="437">
        <v>1</v>
      </c>
      <c r="I14" s="453">
        <v>5</v>
      </c>
      <c r="J14" s="219"/>
      <c r="K14" s="220" t="s">
        <v>1062</v>
      </c>
      <c r="L14" s="223">
        <v>4</v>
      </c>
      <c r="M14" s="243">
        <v>1</v>
      </c>
      <c r="N14" s="313" t="s">
        <v>144</v>
      </c>
      <c r="O14" s="314" t="s">
        <v>1200</v>
      </c>
      <c r="P14" s="315">
        <v>6</v>
      </c>
      <c r="Q14" s="317">
        <v>2</v>
      </c>
      <c r="R14" s="219"/>
      <c r="S14" s="220" t="s">
        <v>952</v>
      </c>
      <c r="T14" s="223">
        <v>2</v>
      </c>
      <c r="U14" s="224">
        <v>0</v>
      </c>
      <c r="V14" s="163"/>
      <c r="W14" s="202">
        <v>12</v>
      </c>
      <c r="X14" s="313"/>
      <c r="Y14" s="314" t="s">
        <v>1265</v>
      </c>
      <c r="Z14" s="422">
        <v>6</v>
      </c>
      <c r="AA14" s="421">
        <v>5</v>
      </c>
      <c r="AB14" s="313" t="s">
        <v>144</v>
      </c>
      <c r="AC14" s="314" t="s">
        <v>1229</v>
      </c>
      <c r="AD14" s="315">
        <v>6</v>
      </c>
      <c r="AE14" s="316">
        <v>5</v>
      </c>
      <c r="AF14" s="229" t="s">
        <v>144</v>
      </c>
      <c r="AG14" s="230" t="s">
        <v>770</v>
      </c>
      <c r="AH14" s="237">
        <v>0</v>
      </c>
      <c r="AI14" s="248">
        <v>2</v>
      </c>
      <c r="AJ14" s="233"/>
      <c r="AK14" s="234" t="s">
        <v>539</v>
      </c>
      <c r="AL14" s="426">
        <v>4</v>
      </c>
      <c r="AM14" s="425">
        <v>3</v>
      </c>
      <c r="AN14" s="229" t="s">
        <v>144</v>
      </c>
      <c r="AO14" s="230" t="s">
        <v>804</v>
      </c>
      <c r="AP14" s="237">
        <v>1</v>
      </c>
      <c r="AQ14" s="248">
        <v>4</v>
      </c>
      <c r="AR14" s="163"/>
      <c r="AS14" s="202">
        <v>12</v>
      </c>
      <c r="AT14" s="219" t="s">
        <v>144</v>
      </c>
      <c r="AU14" s="220" t="s">
        <v>1025</v>
      </c>
      <c r="AV14" s="408">
        <v>5</v>
      </c>
      <c r="AW14" s="409">
        <v>6</v>
      </c>
      <c r="AX14" s="219"/>
      <c r="AY14" s="220" t="s">
        <v>1096</v>
      </c>
      <c r="AZ14" s="221">
        <v>5</v>
      </c>
      <c r="BA14" s="222">
        <v>6</v>
      </c>
      <c r="BB14" s="229"/>
      <c r="BC14" s="230" t="s">
        <v>869</v>
      </c>
      <c r="BD14" s="231">
        <v>9</v>
      </c>
      <c r="BE14" s="232">
        <v>3</v>
      </c>
      <c r="BF14" s="229" t="s">
        <v>144</v>
      </c>
      <c r="BG14" s="230" t="s">
        <v>903</v>
      </c>
      <c r="BH14" s="402">
        <v>5</v>
      </c>
      <c r="BI14" s="432">
        <v>1</v>
      </c>
      <c r="BJ14" s="229"/>
      <c r="BK14" s="230" t="s">
        <v>835</v>
      </c>
      <c r="BL14" s="239">
        <v>2</v>
      </c>
      <c r="BM14" s="240">
        <v>6</v>
      </c>
      <c r="BO14" s="202">
        <v>12</v>
      </c>
      <c r="BP14" s="313" t="s">
        <v>144</v>
      </c>
      <c r="BQ14" s="314" t="s">
        <v>1171</v>
      </c>
      <c r="BR14" s="311">
        <v>2</v>
      </c>
      <c r="BS14" s="312">
        <v>11</v>
      </c>
      <c r="BT14" s="313"/>
      <c r="BU14" s="314" t="s">
        <v>1200</v>
      </c>
      <c r="BV14" s="315">
        <v>5</v>
      </c>
      <c r="BW14" s="317">
        <v>0</v>
      </c>
      <c r="BX14" s="219"/>
      <c r="BY14" s="220" t="s">
        <v>1025</v>
      </c>
      <c r="BZ14" s="227">
        <v>7</v>
      </c>
      <c r="CA14" s="253">
        <v>9</v>
      </c>
      <c r="CB14" s="313" t="s">
        <v>144</v>
      </c>
      <c r="CC14" s="314" t="s">
        <v>1265</v>
      </c>
      <c r="CD14" s="311">
        <v>3</v>
      </c>
      <c r="CE14" s="320">
        <v>6</v>
      </c>
      <c r="CF14" s="219"/>
      <c r="CG14" s="220" t="s">
        <v>990</v>
      </c>
      <c r="CH14" s="227">
        <v>2</v>
      </c>
      <c r="CI14" s="228">
        <v>9</v>
      </c>
      <c r="CJ14" s="163"/>
      <c r="CK14" s="202">
        <v>12</v>
      </c>
      <c r="CL14" s="313"/>
      <c r="CM14" s="314" t="s">
        <v>1229</v>
      </c>
      <c r="CN14" s="315">
        <v>5</v>
      </c>
      <c r="CO14" s="316">
        <v>2</v>
      </c>
      <c r="CP14" s="313" t="s">
        <v>144</v>
      </c>
      <c r="CQ14" s="314" t="s">
        <v>1139</v>
      </c>
      <c r="CR14" s="311">
        <v>4</v>
      </c>
      <c r="CS14" s="312">
        <v>12</v>
      </c>
      <c r="CT14" s="229" t="s">
        <v>144</v>
      </c>
      <c r="CU14" s="230" t="s">
        <v>869</v>
      </c>
      <c r="CV14" s="231">
        <v>9</v>
      </c>
      <c r="CW14" s="232">
        <v>2</v>
      </c>
      <c r="CX14" s="233"/>
      <c r="CY14" s="234" t="s">
        <v>429</v>
      </c>
      <c r="CZ14" s="251">
        <v>4</v>
      </c>
      <c r="DA14" s="257">
        <v>3</v>
      </c>
      <c r="DB14" s="229" t="s">
        <v>144</v>
      </c>
      <c r="DC14" s="230" t="s">
        <v>835</v>
      </c>
      <c r="DD14" s="231">
        <v>9</v>
      </c>
      <c r="DE14" s="232">
        <v>7</v>
      </c>
      <c r="DF14" s="163"/>
      <c r="DG14" s="202">
        <v>12</v>
      </c>
      <c r="DH14" s="219" t="s">
        <v>144</v>
      </c>
      <c r="DI14" s="220" t="s">
        <v>1096</v>
      </c>
      <c r="DJ14" s="227">
        <v>2</v>
      </c>
      <c r="DK14" s="228">
        <v>5</v>
      </c>
      <c r="DL14" s="219"/>
      <c r="DM14" s="220" t="s">
        <v>952</v>
      </c>
      <c r="DN14" s="225">
        <v>12</v>
      </c>
      <c r="DO14" s="226">
        <v>4</v>
      </c>
      <c r="DP14" s="229"/>
      <c r="DQ14" s="230" t="s">
        <v>903</v>
      </c>
      <c r="DR14" s="231">
        <v>11</v>
      </c>
      <c r="DS14" s="232">
        <v>2</v>
      </c>
      <c r="DT14" s="229" t="s">
        <v>144</v>
      </c>
      <c r="DU14" s="230" t="s">
        <v>804</v>
      </c>
      <c r="DV14" s="237">
        <v>0</v>
      </c>
      <c r="DW14" s="238">
        <v>5</v>
      </c>
      <c r="DX14" s="229"/>
      <c r="DY14" s="230" t="s">
        <v>770</v>
      </c>
      <c r="DZ14" s="246">
        <v>6</v>
      </c>
      <c r="EA14" s="247">
        <v>3</v>
      </c>
      <c r="EC14" s="202">
        <v>12</v>
      </c>
      <c r="ED14" s="313" t="s">
        <v>144</v>
      </c>
      <c r="EE14" s="314" t="s">
        <v>1200</v>
      </c>
      <c r="EF14" s="311">
        <v>3</v>
      </c>
      <c r="EG14" s="312">
        <v>7</v>
      </c>
      <c r="EH14" s="313"/>
      <c r="EI14" s="314" t="s">
        <v>1265</v>
      </c>
      <c r="EJ14" s="315">
        <v>7</v>
      </c>
      <c r="EK14" s="317">
        <v>2</v>
      </c>
      <c r="EL14" s="219"/>
      <c r="EM14" s="220" t="s">
        <v>1096</v>
      </c>
      <c r="EN14" s="223">
        <v>7</v>
      </c>
      <c r="EO14" s="243">
        <v>5</v>
      </c>
      <c r="EP14" s="313" t="s">
        <v>144</v>
      </c>
      <c r="EQ14" s="314" t="s">
        <v>1229</v>
      </c>
      <c r="ER14" s="315">
        <v>5</v>
      </c>
      <c r="ES14" s="317">
        <v>4</v>
      </c>
      <c r="ET14" s="219"/>
      <c r="EU14" s="220" t="s">
        <v>1062</v>
      </c>
      <c r="EV14" s="223">
        <v>5</v>
      </c>
      <c r="EW14" s="224">
        <v>4</v>
      </c>
      <c r="EX14" s="163"/>
      <c r="EY14" s="202">
        <v>12</v>
      </c>
      <c r="EZ14" s="313"/>
      <c r="FA14" s="314" t="s">
        <v>1139</v>
      </c>
      <c r="FB14" s="311">
        <v>4</v>
      </c>
      <c r="FC14" s="312">
        <v>5</v>
      </c>
      <c r="FD14" s="313" t="s">
        <v>144</v>
      </c>
      <c r="FE14" s="314" t="s">
        <v>1171</v>
      </c>
      <c r="FF14" s="315">
        <v>5</v>
      </c>
      <c r="FG14" s="316">
        <v>2</v>
      </c>
      <c r="FH14" s="229" t="s">
        <v>144</v>
      </c>
      <c r="FI14" s="230" t="s">
        <v>903</v>
      </c>
      <c r="FJ14" s="237">
        <v>4</v>
      </c>
      <c r="FK14" s="248">
        <v>5</v>
      </c>
      <c r="FL14" s="233" t="s">
        <v>144</v>
      </c>
      <c r="FM14" s="234" t="s">
        <v>394</v>
      </c>
      <c r="FN14" s="235">
        <v>7</v>
      </c>
      <c r="FO14" s="236">
        <v>10</v>
      </c>
      <c r="FP14" s="229" t="s">
        <v>144</v>
      </c>
      <c r="FQ14" s="230" t="s">
        <v>770</v>
      </c>
      <c r="FR14" s="237">
        <v>5</v>
      </c>
      <c r="FS14" s="248">
        <v>7</v>
      </c>
      <c r="FT14" s="163"/>
      <c r="FU14" s="202">
        <v>12</v>
      </c>
      <c r="FV14" s="219" t="s">
        <v>144</v>
      </c>
      <c r="FW14" s="220" t="s">
        <v>952</v>
      </c>
      <c r="FX14" s="223">
        <v>5</v>
      </c>
      <c r="FY14" s="224">
        <v>4</v>
      </c>
      <c r="FZ14" s="219"/>
      <c r="GA14" s="220" t="s">
        <v>990</v>
      </c>
      <c r="GB14" s="221">
        <v>2</v>
      </c>
      <c r="GC14" s="222">
        <v>5</v>
      </c>
      <c r="GD14" s="229"/>
      <c r="GE14" s="230" t="s">
        <v>804</v>
      </c>
      <c r="GF14" s="231">
        <v>7</v>
      </c>
      <c r="GG14" s="232">
        <v>3</v>
      </c>
      <c r="GH14" s="229" t="s">
        <v>144</v>
      </c>
      <c r="GI14" s="230" t="s">
        <v>835</v>
      </c>
      <c r="GJ14" s="237">
        <v>2</v>
      </c>
      <c r="GK14" s="238">
        <v>7</v>
      </c>
      <c r="GL14" s="229"/>
      <c r="GM14" s="230" t="s">
        <v>869</v>
      </c>
      <c r="GN14" s="239">
        <v>4</v>
      </c>
      <c r="GO14" s="240">
        <v>5</v>
      </c>
    </row>
    <row r="15" spans="1:197">
      <c r="A15" s="202">
        <v>13</v>
      </c>
      <c r="B15" s="249" t="s">
        <v>144</v>
      </c>
      <c r="C15" s="250" t="s">
        <v>300</v>
      </c>
      <c r="D15" s="235">
        <v>2</v>
      </c>
      <c r="E15" s="236">
        <v>5</v>
      </c>
      <c r="F15" s="309"/>
      <c r="G15" s="310" t="s">
        <v>1139</v>
      </c>
      <c r="H15" s="311">
        <v>2</v>
      </c>
      <c r="I15" s="320">
        <v>3</v>
      </c>
      <c r="J15" s="309" t="s">
        <v>144</v>
      </c>
      <c r="K15" s="310" t="s">
        <v>1171</v>
      </c>
      <c r="L15" s="418">
        <v>0</v>
      </c>
      <c r="M15" s="467">
        <v>1</v>
      </c>
      <c r="N15" s="241" t="s">
        <v>144</v>
      </c>
      <c r="O15" s="242" t="s">
        <v>1025</v>
      </c>
      <c r="P15" s="225">
        <v>5</v>
      </c>
      <c r="Q15" s="256">
        <v>0</v>
      </c>
      <c r="R15" s="241" t="s">
        <v>144</v>
      </c>
      <c r="S15" s="242" t="s">
        <v>990</v>
      </c>
      <c r="T15" s="223">
        <v>5</v>
      </c>
      <c r="U15" s="224">
        <v>4</v>
      </c>
      <c r="V15" s="163"/>
      <c r="W15" s="202">
        <v>13</v>
      </c>
      <c r="X15" s="244"/>
      <c r="Y15" s="245" t="s">
        <v>835</v>
      </c>
      <c r="Z15" s="239">
        <v>0</v>
      </c>
      <c r="AA15" s="240">
        <v>5</v>
      </c>
      <c r="AB15" s="309" t="s">
        <v>144</v>
      </c>
      <c r="AC15" s="310" t="s">
        <v>1265</v>
      </c>
      <c r="AD15" s="437">
        <v>5</v>
      </c>
      <c r="AE15" s="438">
        <v>13</v>
      </c>
      <c r="AF15" s="309"/>
      <c r="AG15" s="310" t="s">
        <v>1229</v>
      </c>
      <c r="AH15" s="415">
        <v>10</v>
      </c>
      <c r="AI15" s="436">
        <v>3</v>
      </c>
      <c r="AJ15" s="244"/>
      <c r="AK15" s="245" t="s">
        <v>770</v>
      </c>
      <c r="AL15" s="239">
        <v>4</v>
      </c>
      <c r="AM15" s="240">
        <v>5</v>
      </c>
      <c r="AN15" s="309" t="s">
        <v>144</v>
      </c>
      <c r="AO15" s="310" t="s">
        <v>1200</v>
      </c>
      <c r="AP15" s="415">
        <v>9</v>
      </c>
      <c r="AQ15" s="436">
        <v>0</v>
      </c>
      <c r="AR15" s="163"/>
      <c r="AS15" s="202">
        <v>13</v>
      </c>
      <c r="AT15" s="241"/>
      <c r="AU15" s="242" t="s">
        <v>1096</v>
      </c>
      <c r="AV15" s="410">
        <v>13</v>
      </c>
      <c r="AW15" s="411">
        <v>5</v>
      </c>
      <c r="AX15" s="241" t="s">
        <v>144</v>
      </c>
      <c r="AY15" s="242" t="s">
        <v>952</v>
      </c>
      <c r="AZ15" s="434">
        <v>3</v>
      </c>
      <c r="BA15" s="435">
        <v>10</v>
      </c>
      <c r="BB15" s="244" t="s">
        <v>144</v>
      </c>
      <c r="BC15" s="245" t="s">
        <v>903</v>
      </c>
      <c r="BD15" s="231">
        <v>3</v>
      </c>
      <c r="BE15" s="232">
        <v>2</v>
      </c>
      <c r="BF15" s="244"/>
      <c r="BG15" s="245" t="s">
        <v>804</v>
      </c>
      <c r="BH15" s="433">
        <v>1</v>
      </c>
      <c r="BI15" s="432">
        <v>0</v>
      </c>
      <c r="BJ15" s="241"/>
      <c r="BK15" s="242" t="s">
        <v>1062</v>
      </c>
      <c r="BL15" s="434">
        <v>0</v>
      </c>
      <c r="BM15" s="435">
        <v>9</v>
      </c>
      <c r="BO15" s="202">
        <v>13</v>
      </c>
      <c r="BP15" s="249" t="s">
        <v>144</v>
      </c>
      <c r="BQ15" s="250" t="s">
        <v>339</v>
      </c>
      <c r="BR15" s="235">
        <v>3</v>
      </c>
      <c r="BS15" s="236">
        <v>5</v>
      </c>
      <c r="BT15" s="309"/>
      <c r="BU15" s="310" t="s">
        <v>1171</v>
      </c>
      <c r="BV15" s="311">
        <v>1</v>
      </c>
      <c r="BW15" s="320">
        <v>3</v>
      </c>
      <c r="BX15" s="309" t="s">
        <v>144</v>
      </c>
      <c r="BY15" s="310" t="s">
        <v>1200</v>
      </c>
      <c r="BZ15" s="322">
        <v>1</v>
      </c>
      <c r="CA15" s="324">
        <v>2</v>
      </c>
      <c r="CB15" s="241" t="s">
        <v>144</v>
      </c>
      <c r="CC15" s="242" t="s">
        <v>1096</v>
      </c>
      <c r="CD15" s="225">
        <v>4</v>
      </c>
      <c r="CE15" s="256">
        <v>2</v>
      </c>
      <c r="CF15" s="241" t="s">
        <v>144</v>
      </c>
      <c r="CG15" s="242" t="s">
        <v>1062</v>
      </c>
      <c r="CH15" s="227">
        <v>1</v>
      </c>
      <c r="CI15" s="228">
        <v>2</v>
      </c>
      <c r="CJ15" s="163"/>
      <c r="CK15" s="202">
        <v>13</v>
      </c>
      <c r="CL15" s="244"/>
      <c r="CM15" s="245" t="s">
        <v>770</v>
      </c>
      <c r="CN15" s="239">
        <v>2</v>
      </c>
      <c r="CO15" s="240">
        <v>4</v>
      </c>
      <c r="CP15" s="309" t="s">
        <v>144</v>
      </c>
      <c r="CQ15" s="310" t="s">
        <v>1229</v>
      </c>
      <c r="CR15" s="311">
        <v>5</v>
      </c>
      <c r="CS15" s="312">
        <v>7</v>
      </c>
      <c r="CT15" s="309"/>
      <c r="CU15" s="310" t="s">
        <v>1139</v>
      </c>
      <c r="CV15" s="318">
        <v>3</v>
      </c>
      <c r="CW15" s="321">
        <v>2</v>
      </c>
      <c r="CX15" s="244"/>
      <c r="CY15" s="245" t="s">
        <v>869</v>
      </c>
      <c r="CZ15" s="246">
        <v>2</v>
      </c>
      <c r="DA15" s="247">
        <v>1</v>
      </c>
      <c r="DB15" s="309" t="s">
        <v>144</v>
      </c>
      <c r="DC15" s="310" t="s">
        <v>1265</v>
      </c>
      <c r="DD15" s="318">
        <v>6</v>
      </c>
      <c r="DE15" s="321">
        <v>0</v>
      </c>
      <c r="DF15" s="163"/>
      <c r="DG15" s="202">
        <v>13</v>
      </c>
      <c r="DH15" s="241"/>
      <c r="DI15" s="242" t="s">
        <v>952</v>
      </c>
      <c r="DJ15" s="223">
        <v>7</v>
      </c>
      <c r="DK15" s="224">
        <v>5</v>
      </c>
      <c r="DL15" s="241" t="s">
        <v>144</v>
      </c>
      <c r="DM15" s="242" t="s">
        <v>990</v>
      </c>
      <c r="DN15" s="221">
        <v>2</v>
      </c>
      <c r="DO15" s="222">
        <v>3</v>
      </c>
      <c r="DP15" s="244" t="s">
        <v>144</v>
      </c>
      <c r="DQ15" s="245" t="s">
        <v>804</v>
      </c>
      <c r="DR15" s="231">
        <v>3</v>
      </c>
      <c r="DS15" s="232">
        <v>1</v>
      </c>
      <c r="DT15" s="244"/>
      <c r="DU15" s="245" t="s">
        <v>835</v>
      </c>
      <c r="DV15" s="246">
        <v>2</v>
      </c>
      <c r="DW15" s="258">
        <v>1</v>
      </c>
      <c r="DX15" s="241"/>
      <c r="DY15" s="242" t="s">
        <v>1025</v>
      </c>
      <c r="DZ15" s="221">
        <v>0</v>
      </c>
      <c r="EA15" s="222">
        <v>6</v>
      </c>
      <c r="EC15" s="202">
        <v>13</v>
      </c>
      <c r="ED15" s="249" t="s">
        <v>144</v>
      </c>
      <c r="EE15" s="250" t="s">
        <v>165</v>
      </c>
      <c r="EF15" s="235">
        <v>3</v>
      </c>
      <c r="EG15" s="236">
        <v>4</v>
      </c>
      <c r="EH15" s="309"/>
      <c r="EI15" s="310" t="s">
        <v>1200</v>
      </c>
      <c r="EJ15" s="311">
        <v>2</v>
      </c>
      <c r="EK15" s="320">
        <v>5</v>
      </c>
      <c r="EL15" s="309" t="s">
        <v>144</v>
      </c>
      <c r="EM15" s="310" t="s">
        <v>1265</v>
      </c>
      <c r="EN15" s="318">
        <v>3</v>
      </c>
      <c r="EO15" s="319">
        <v>1</v>
      </c>
      <c r="EP15" s="241" t="s">
        <v>144</v>
      </c>
      <c r="EQ15" s="242" t="s">
        <v>952</v>
      </c>
      <c r="ER15" s="225">
        <v>3</v>
      </c>
      <c r="ES15" s="256">
        <v>0</v>
      </c>
      <c r="ET15" s="241" t="s">
        <v>144</v>
      </c>
      <c r="EU15" s="242" t="s">
        <v>1025</v>
      </c>
      <c r="EV15" s="223">
        <v>4</v>
      </c>
      <c r="EW15" s="224">
        <v>0</v>
      </c>
      <c r="EX15" s="163"/>
      <c r="EY15" s="202">
        <v>13</v>
      </c>
      <c r="EZ15" s="244"/>
      <c r="FA15" s="245" t="s">
        <v>869</v>
      </c>
      <c r="FB15" s="239">
        <v>0</v>
      </c>
      <c r="FC15" s="240">
        <v>3</v>
      </c>
      <c r="FD15" s="309" t="s">
        <v>144</v>
      </c>
      <c r="FE15" s="310" t="s">
        <v>1139</v>
      </c>
      <c r="FF15" s="315">
        <v>3</v>
      </c>
      <c r="FG15" s="316">
        <v>2</v>
      </c>
      <c r="FH15" s="309"/>
      <c r="FI15" s="310" t="s">
        <v>1171</v>
      </c>
      <c r="FJ15" s="322">
        <v>1</v>
      </c>
      <c r="FK15" s="323">
        <v>6</v>
      </c>
      <c r="FL15" s="244"/>
      <c r="FM15" s="245" t="s">
        <v>903</v>
      </c>
      <c r="FN15" s="239">
        <v>0</v>
      </c>
      <c r="FO15" s="240">
        <v>4</v>
      </c>
      <c r="FP15" s="309" t="s">
        <v>144</v>
      </c>
      <c r="FQ15" s="310" t="s">
        <v>1229</v>
      </c>
      <c r="FR15" s="322">
        <v>5</v>
      </c>
      <c r="FS15" s="323">
        <v>7</v>
      </c>
      <c r="FT15" s="163"/>
      <c r="FU15" s="202">
        <v>13</v>
      </c>
      <c r="FV15" s="241"/>
      <c r="FW15" s="242" t="s">
        <v>990</v>
      </c>
      <c r="FX15" s="227">
        <v>2</v>
      </c>
      <c r="FY15" s="228">
        <v>3</v>
      </c>
      <c r="FZ15" s="241" t="s">
        <v>144</v>
      </c>
      <c r="GA15" s="242" t="s">
        <v>1062</v>
      </c>
      <c r="GB15" s="225">
        <v>6</v>
      </c>
      <c r="GC15" s="226">
        <v>1</v>
      </c>
      <c r="GD15" s="244" t="s">
        <v>144</v>
      </c>
      <c r="GE15" s="245" t="s">
        <v>835</v>
      </c>
      <c r="GF15" s="231">
        <v>5</v>
      </c>
      <c r="GG15" s="232">
        <v>2</v>
      </c>
      <c r="GH15" s="244"/>
      <c r="GI15" s="245" t="s">
        <v>770</v>
      </c>
      <c r="GJ15" s="239">
        <v>1</v>
      </c>
      <c r="GK15" s="238">
        <v>3</v>
      </c>
      <c r="GL15" s="241"/>
      <c r="GM15" s="242" t="s">
        <v>1096</v>
      </c>
      <c r="GN15" s="225">
        <v>7</v>
      </c>
      <c r="GO15" s="226">
        <v>5</v>
      </c>
    </row>
    <row r="16" spans="1:197">
      <c r="A16" s="202">
        <v>14</v>
      </c>
      <c r="B16" s="233" t="s">
        <v>144</v>
      </c>
      <c r="C16" s="234" t="s">
        <v>300</v>
      </c>
      <c r="D16" s="235">
        <v>2</v>
      </c>
      <c r="E16" s="236">
        <v>4</v>
      </c>
      <c r="F16" s="313"/>
      <c r="G16" s="314" t="s">
        <v>1139</v>
      </c>
      <c r="H16" s="311">
        <v>3</v>
      </c>
      <c r="I16" s="320">
        <v>9</v>
      </c>
      <c r="J16" s="313" t="s">
        <v>144</v>
      </c>
      <c r="K16" s="314" t="s">
        <v>1171</v>
      </c>
      <c r="L16" s="318">
        <v>6</v>
      </c>
      <c r="M16" s="319">
        <v>0</v>
      </c>
      <c r="N16" s="219" t="s">
        <v>144</v>
      </c>
      <c r="O16" s="220" t="s">
        <v>1025</v>
      </c>
      <c r="P16" s="225">
        <v>2</v>
      </c>
      <c r="Q16" s="256">
        <v>0</v>
      </c>
      <c r="R16" s="219" t="s">
        <v>144</v>
      </c>
      <c r="S16" s="220" t="s">
        <v>990</v>
      </c>
      <c r="T16" s="227">
        <v>4</v>
      </c>
      <c r="U16" s="228">
        <v>5</v>
      </c>
      <c r="V16" s="163"/>
      <c r="W16" s="202">
        <v>14</v>
      </c>
      <c r="X16" s="229"/>
      <c r="Y16" s="230" t="s">
        <v>835</v>
      </c>
      <c r="Z16" s="239">
        <v>0</v>
      </c>
      <c r="AA16" s="240">
        <v>2</v>
      </c>
      <c r="AB16" s="313" t="s">
        <v>144</v>
      </c>
      <c r="AC16" s="314" t="s">
        <v>1265</v>
      </c>
      <c r="AD16" s="311">
        <v>0</v>
      </c>
      <c r="AE16" s="312">
        <v>4</v>
      </c>
      <c r="AF16" s="313"/>
      <c r="AG16" s="314" t="s">
        <v>1229</v>
      </c>
      <c r="AH16" s="318">
        <v>6</v>
      </c>
      <c r="AI16" s="321">
        <v>0</v>
      </c>
      <c r="AJ16" s="229"/>
      <c r="AK16" s="230" t="s">
        <v>770</v>
      </c>
      <c r="AL16" s="246">
        <v>5</v>
      </c>
      <c r="AM16" s="247">
        <v>4</v>
      </c>
      <c r="AN16" s="313" t="s">
        <v>144</v>
      </c>
      <c r="AO16" s="314" t="s">
        <v>1200</v>
      </c>
      <c r="AP16" s="318">
        <v>7</v>
      </c>
      <c r="AQ16" s="321">
        <v>1</v>
      </c>
      <c r="AR16" s="163"/>
      <c r="AS16" s="202">
        <v>14</v>
      </c>
      <c r="AT16" s="219"/>
      <c r="AU16" s="220" t="s">
        <v>1096</v>
      </c>
      <c r="AV16" s="223">
        <v>4</v>
      </c>
      <c r="AW16" s="224">
        <v>0</v>
      </c>
      <c r="AX16" s="219" t="s">
        <v>144</v>
      </c>
      <c r="AY16" s="220" t="s">
        <v>952</v>
      </c>
      <c r="AZ16" s="221">
        <v>0</v>
      </c>
      <c r="BA16" s="222">
        <v>6</v>
      </c>
      <c r="BB16" s="229" t="s">
        <v>144</v>
      </c>
      <c r="BC16" s="230" t="s">
        <v>903</v>
      </c>
      <c r="BD16" s="231">
        <v>9</v>
      </c>
      <c r="BE16" s="232">
        <v>3</v>
      </c>
      <c r="BF16" s="229"/>
      <c r="BG16" s="230" t="s">
        <v>804</v>
      </c>
      <c r="BH16" s="237">
        <v>0</v>
      </c>
      <c r="BI16" s="238">
        <v>6</v>
      </c>
      <c r="BJ16" s="219"/>
      <c r="BK16" s="220" t="s">
        <v>1062</v>
      </c>
      <c r="BL16" s="221">
        <v>1</v>
      </c>
      <c r="BM16" s="222">
        <v>7</v>
      </c>
      <c r="BO16" s="202">
        <v>14</v>
      </c>
      <c r="BP16" s="233" t="s">
        <v>144</v>
      </c>
      <c r="BQ16" s="234" t="s">
        <v>339</v>
      </c>
      <c r="BR16" s="251">
        <v>2</v>
      </c>
      <c r="BS16" s="257">
        <v>1</v>
      </c>
      <c r="BT16" s="313"/>
      <c r="BU16" s="314" t="s">
        <v>1171</v>
      </c>
      <c r="BV16" s="311">
        <v>0</v>
      </c>
      <c r="BW16" s="320">
        <v>4</v>
      </c>
      <c r="BX16" s="313" t="s">
        <v>144</v>
      </c>
      <c r="BY16" s="314" t="s">
        <v>1200</v>
      </c>
      <c r="BZ16" s="318">
        <v>6</v>
      </c>
      <c r="CA16" s="319">
        <v>0</v>
      </c>
      <c r="CB16" s="219" t="s">
        <v>144</v>
      </c>
      <c r="CC16" s="220" t="s">
        <v>1096</v>
      </c>
      <c r="CD16" s="225">
        <v>6</v>
      </c>
      <c r="CE16" s="256">
        <v>4</v>
      </c>
      <c r="CF16" s="219" t="s">
        <v>144</v>
      </c>
      <c r="CG16" s="220" t="s">
        <v>1062</v>
      </c>
      <c r="CH16" s="223">
        <v>5</v>
      </c>
      <c r="CI16" s="224">
        <v>1</v>
      </c>
      <c r="CJ16" s="163"/>
      <c r="CK16" s="202">
        <v>14</v>
      </c>
      <c r="CL16" s="229"/>
      <c r="CM16" s="230" t="s">
        <v>770</v>
      </c>
      <c r="CN16" s="239">
        <v>4</v>
      </c>
      <c r="CO16" s="240">
        <v>6</v>
      </c>
      <c r="CP16" s="313" t="s">
        <v>144</v>
      </c>
      <c r="CQ16" s="314" t="s">
        <v>1229</v>
      </c>
      <c r="CR16" s="311">
        <v>5</v>
      </c>
      <c r="CS16" s="312">
        <v>9</v>
      </c>
      <c r="CT16" s="313"/>
      <c r="CU16" s="314" t="s">
        <v>1139</v>
      </c>
      <c r="CV16" s="318">
        <v>6</v>
      </c>
      <c r="CW16" s="321">
        <v>2</v>
      </c>
      <c r="CX16" s="229"/>
      <c r="CY16" s="230" t="s">
        <v>869</v>
      </c>
      <c r="CZ16" s="239">
        <v>1</v>
      </c>
      <c r="DA16" s="240">
        <v>5</v>
      </c>
      <c r="DB16" s="313" t="s">
        <v>144</v>
      </c>
      <c r="DC16" s="314" t="s">
        <v>1265</v>
      </c>
      <c r="DD16" s="318">
        <v>4</v>
      </c>
      <c r="DE16" s="321">
        <v>3</v>
      </c>
      <c r="DF16" s="163"/>
      <c r="DG16" s="202">
        <v>14</v>
      </c>
      <c r="DH16" s="219"/>
      <c r="DI16" s="220" t="s">
        <v>952</v>
      </c>
      <c r="DJ16" s="223">
        <v>9</v>
      </c>
      <c r="DK16" s="224">
        <v>5</v>
      </c>
      <c r="DL16" s="219" t="s">
        <v>144</v>
      </c>
      <c r="DM16" s="220" t="s">
        <v>990</v>
      </c>
      <c r="DN16" s="221">
        <v>2</v>
      </c>
      <c r="DO16" s="222">
        <v>6</v>
      </c>
      <c r="DP16" s="229" t="s">
        <v>144</v>
      </c>
      <c r="DQ16" s="230" t="s">
        <v>804</v>
      </c>
      <c r="DR16" s="231">
        <v>4</v>
      </c>
      <c r="DS16" s="232">
        <v>0</v>
      </c>
      <c r="DT16" s="229"/>
      <c r="DU16" s="230" t="s">
        <v>835</v>
      </c>
      <c r="DV16" s="237">
        <v>0</v>
      </c>
      <c r="DW16" s="238">
        <v>6</v>
      </c>
      <c r="DX16" s="219"/>
      <c r="DY16" s="220" t="s">
        <v>1025</v>
      </c>
      <c r="DZ16" s="221">
        <v>3</v>
      </c>
      <c r="EA16" s="222">
        <v>4</v>
      </c>
      <c r="EC16" s="202">
        <v>14</v>
      </c>
      <c r="ED16" s="233" t="s">
        <v>144</v>
      </c>
      <c r="EE16" s="234" t="s">
        <v>165</v>
      </c>
      <c r="EF16" s="235">
        <v>0</v>
      </c>
      <c r="EG16" s="236">
        <v>3</v>
      </c>
      <c r="EH16" s="313"/>
      <c r="EI16" s="314" t="s">
        <v>1200</v>
      </c>
      <c r="EJ16" s="311">
        <v>5</v>
      </c>
      <c r="EK16" s="320">
        <v>9</v>
      </c>
      <c r="EL16" s="313" t="s">
        <v>144</v>
      </c>
      <c r="EM16" s="314" t="s">
        <v>1265</v>
      </c>
      <c r="EN16" s="318">
        <v>4</v>
      </c>
      <c r="EO16" s="319">
        <v>2</v>
      </c>
      <c r="EP16" s="219" t="s">
        <v>144</v>
      </c>
      <c r="EQ16" s="220" t="s">
        <v>952</v>
      </c>
      <c r="ER16" s="225">
        <v>7</v>
      </c>
      <c r="ES16" s="256">
        <v>2</v>
      </c>
      <c r="ET16" s="219" t="s">
        <v>144</v>
      </c>
      <c r="EU16" s="220" t="s">
        <v>1025</v>
      </c>
      <c r="EV16" s="227">
        <v>4</v>
      </c>
      <c r="EW16" s="228">
        <v>7</v>
      </c>
      <c r="EX16" s="163"/>
      <c r="EY16" s="202">
        <v>14</v>
      </c>
      <c r="EZ16" s="229"/>
      <c r="FA16" s="230" t="s">
        <v>869</v>
      </c>
      <c r="FB16" s="239">
        <v>2</v>
      </c>
      <c r="FC16" s="240">
        <v>7</v>
      </c>
      <c r="FD16" s="313" t="s">
        <v>144</v>
      </c>
      <c r="FE16" s="314" t="s">
        <v>1139</v>
      </c>
      <c r="FF16" s="311">
        <v>7</v>
      </c>
      <c r="FG16" s="312">
        <v>14</v>
      </c>
      <c r="FH16" s="313"/>
      <c r="FI16" s="314" t="s">
        <v>1171</v>
      </c>
      <c r="FJ16" s="318">
        <v>6</v>
      </c>
      <c r="FK16" s="321">
        <v>1</v>
      </c>
      <c r="FL16" s="229"/>
      <c r="FM16" s="230" t="s">
        <v>903</v>
      </c>
      <c r="FN16" s="246">
        <v>7</v>
      </c>
      <c r="FO16" s="247">
        <v>4</v>
      </c>
      <c r="FP16" s="313" t="s">
        <v>144</v>
      </c>
      <c r="FQ16" s="314" t="s">
        <v>1229</v>
      </c>
      <c r="FR16" s="318">
        <v>6</v>
      </c>
      <c r="FS16" s="321">
        <v>5</v>
      </c>
      <c r="FT16" s="163"/>
      <c r="FU16" s="202">
        <v>14</v>
      </c>
      <c r="FV16" s="219"/>
      <c r="FW16" s="220" t="s">
        <v>990</v>
      </c>
      <c r="FX16" s="223">
        <v>14</v>
      </c>
      <c r="FY16" s="224">
        <v>7</v>
      </c>
      <c r="FZ16" s="219" t="s">
        <v>144</v>
      </c>
      <c r="GA16" s="220" t="s">
        <v>1062</v>
      </c>
      <c r="GB16" s="221">
        <v>1</v>
      </c>
      <c r="GC16" s="222">
        <v>6</v>
      </c>
      <c r="GD16" s="229" t="s">
        <v>144</v>
      </c>
      <c r="GE16" s="230" t="s">
        <v>835</v>
      </c>
      <c r="GF16" s="231">
        <v>9</v>
      </c>
      <c r="GG16" s="232">
        <v>5</v>
      </c>
      <c r="GH16" s="229"/>
      <c r="GI16" s="230" t="s">
        <v>770</v>
      </c>
      <c r="GJ16" s="237">
        <v>2</v>
      </c>
      <c r="GK16" s="238">
        <v>4</v>
      </c>
      <c r="GL16" s="219"/>
      <c r="GM16" s="220" t="s">
        <v>1096</v>
      </c>
      <c r="GN16" s="221">
        <v>5</v>
      </c>
      <c r="GO16" s="222">
        <v>6</v>
      </c>
    </row>
    <row r="17" spans="1:197">
      <c r="A17" s="202">
        <v>15</v>
      </c>
      <c r="B17" s="241" t="s">
        <v>144</v>
      </c>
      <c r="C17" s="242" t="s">
        <v>1062</v>
      </c>
      <c r="D17" s="225">
        <v>3</v>
      </c>
      <c r="E17" s="226">
        <v>1</v>
      </c>
      <c r="F17" s="249"/>
      <c r="G17" s="250" t="s">
        <v>339</v>
      </c>
      <c r="H17" s="251">
        <v>4</v>
      </c>
      <c r="I17" s="252">
        <v>3</v>
      </c>
      <c r="J17" s="249"/>
      <c r="K17" s="250" t="s">
        <v>165</v>
      </c>
      <c r="L17" s="460">
        <v>5</v>
      </c>
      <c r="M17" s="471">
        <v>4</v>
      </c>
      <c r="N17" s="309"/>
      <c r="O17" s="310" t="s">
        <v>1171</v>
      </c>
      <c r="P17" s="422">
        <v>4</v>
      </c>
      <c r="Q17" s="414">
        <v>3</v>
      </c>
      <c r="R17" s="309"/>
      <c r="S17" s="310" t="s">
        <v>1139</v>
      </c>
      <c r="T17" s="415">
        <v>3</v>
      </c>
      <c r="U17" s="436">
        <v>2</v>
      </c>
      <c r="V17" s="163"/>
      <c r="W17" s="202">
        <v>15</v>
      </c>
      <c r="X17" s="249"/>
      <c r="Y17" s="250" t="s">
        <v>394</v>
      </c>
      <c r="Z17" s="430">
        <v>1</v>
      </c>
      <c r="AA17" s="429">
        <v>5</v>
      </c>
      <c r="AB17" s="309"/>
      <c r="AC17" s="310" t="s">
        <v>1200</v>
      </c>
      <c r="AD17" s="311">
        <v>2</v>
      </c>
      <c r="AE17" s="312">
        <v>7</v>
      </c>
      <c r="AF17" s="309" t="s">
        <v>144</v>
      </c>
      <c r="AG17" s="310" t="s">
        <v>1265</v>
      </c>
      <c r="AH17" s="322">
        <v>6</v>
      </c>
      <c r="AI17" s="323">
        <v>10</v>
      </c>
      <c r="AJ17" s="309"/>
      <c r="AK17" s="310" t="s">
        <v>1229</v>
      </c>
      <c r="AL17" s="311">
        <v>1</v>
      </c>
      <c r="AM17" s="312">
        <v>2</v>
      </c>
      <c r="AN17" s="244"/>
      <c r="AO17" s="245" t="s">
        <v>869</v>
      </c>
      <c r="AP17" s="237">
        <v>1</v>
      </c>
      <c r="AQ17" s="238">
        <v>3</v>
      </c>
      <c r="AR17" s="163"/>
      <c r="AS17" s="202">
        <v>15</v>
      </c>
      <c r="AT17" s="241"/>
      <c r="AU17" s="242" t="s">
        <v>952</v>
      </c>
      <c r="AV17" s="223">
        <v>10</v>
      </c>
      <c r="AW17" s="224">
        <v>6</v>
      </c>
      <c r="AX17" s="241" t="s">
        <v>144</v>
      </c>
      <c r="AY17" s="242" t="s">
        <v>990</v>
      </c>
      <c r="AZ17" s="225">
        <v>2</v>
      </c>
      <c r="BA17" s="226">
        <v>1</v>
      </c>
      <c r="BB17" s="244" t="s">
        <v>144</v>
      </c>
      <c r="BC17" s="245" t="s">
        <v>770</v>
      </c>
      <c r="BD17" s="440">
        <v>2</v>
      </c>
      <c r="BE17" s="441">
        <v>3</v>
      </c>
      <c r="BF17" s="244" t="s">
        <v>144</v>
      </c>
      <c r="BG17" s="245" t="s">
        <v>835</v>
      </c>
      <c r="BH17" s="394">
        <v>3</v>
      </c>
      <c r="BI17" s="398">
        <v>4</v>
      </c>
      <c r="BJ17" s="241" t="s">
        <v>144</v>
      </c>
      <c r="BK17" s="242" t="s">
        <v>1096</v>
      </c>
      <c r="BL17" s="225">
        <v>7</v>
      </c>
      <c r="BM17" s="226">
        <v>2</v>
      </c>
      <c r="BO17" s="202">
        <v>15</v>
      </c>
      <c r="BP17" s="241" t="s">
        <v>144</v>
      </c>
      <c r="BQ17" s="242" t="s">
        <v>1025</v>
      </c>
      <c r="BR17" s="221">
        <v>2</v>
      </c>
      <c r="BS17" s="222">
        <v>3</v>
      </c>
      <c r="BT17" s="249"/>
      <c r="BU17" s="250" t="s">
        <v>165</v>
      </c>
      <c r="BV17" s="251">
        <v>12</v>
      </c>
      <c r="BW17" s="252">
        <v>3</v>
      </c>
      <c r="BX17" s="249"/>
      <c r="BY17" s="250" t="s">
        <v>226</v>
      </c>
      <c r="BZ17" s="261">
        <v>3</v>
      </c>
      <c r="CA17" s="266">
        <v>1</v>
      </c>
      <c r="CB17" s="309"/>
      <c r="CC17" s="310" t="s">
        <v>1200</v>
      </c>
      <c r="CD17" s="311">
        <v>4</v>
      </c>
      <c r="CE17" s="320">
        <v>5</v>
      </c>
      <c r="CF17" s="309"/>
      <c r="CG17" s="310" t="s">
        <v>1171</v>
      </c>
      <c r="CH17" s="318">
        <v>7</v>
      </c>
      <c r="CI17" s="321">
        <v>4</v>
      </c>
      <c r="CJ17" s="163"/>
      <c r="CK17" s="202">
        <v>15</v>
      </c>
      <c r="CL17" s="249"/>
      <c r="CM17" s="250" t="s">
        <v>463</v>
      </c>
      <c r="CN17" s="251">
        <v>3</v>
      </c>
      <c r="CO17" s="257">
        <v>1</v>
      </c>
      <c r="CP17" s="309"/>
      <c r="CQ17" s="310" t="s">
        <v>1265</v>
      </c>
      <c r="CR17" s="315">
        <v>4</v>
      </c>
      <c r="CS17" s="316">
        <v>3</v>
      </c>
      <c r="CT17" s="309" t="s">
        <v>144</v>
      </c>
      <c r="CU17" s="310" t="s">
        <v>1229</v>
      </c>
      <c r="CV17" s="318">
        <v>5</v>
      </c>
      <c r="CW17" s="321">
        <v>3</v>
      </c>
      <c r="CX17" s="309"/>
      <c r="CY17" s="310" t="s">
        <v>1139</v>
      </c>
      <c r="CZ17" s="311">
        <v>6</v>
      </c>
      <c r="DA17" s="312">
        <v>9</v>
      </c>
      <c r="DB17" s="244"/>
      <c r="DC17" s="245" t="s">
        <v>903</v>
      </c>
      <c r="DD17" s="231">
        <v>3</v>
      </c>
      <c r="DE17" s="258">
        <v>2</v>
      </c>
      <c r="DF17" s="163"/>
      <c r="DG17" s="202">
        <v>15</v>
      </c>
      <c r="DH17" s="241"/>
      <c r="DI17" s="242" t="s">
        <v>990</v>
      </c>
      <c r="DJ17" s="227">
        <v>3</v>
      </c>
      <c r="DK17" s="228">
        <v>5</v>
      </c>
      <c r="DL17" s="241" t="s">
        <v>144</v>
      </c>
      <c r="DM17" s="242" t="s">
        <v>1062</v>
      </c>
      <c r="DN17" s="225">
        <v>9</v>
      </c>
      <c r="DO17" s="226">
        <v>6</v>
      </c>
      <c r="DP17" s="244" t="s">
        <v>144</v>
      </c>
      <c r="DQ17" s="245" t="s">
        <v>869</v>
      </c>
      <c r="DR17" s="237">
        <v>4</v>
      </c>
      <c r="DS17" s="248">
        <v>7</v>
      </c>
      <c r="DT17" s="244" t="s">
        <v>144</v>
      </c>
      <c r="DU17" s="245" t="s">
        <v>770</v>
      </c>
      <c r="DV17" s="246">
        <v>5</v>
      </c>
      <c r="DW17" s="258">
        <v>4</v>
      </c>
      <c r="DX17" s="241" t="s">
        <v>144</v>
      </c>
      <c r="DY17" s="242" t="s">
        <v>952</v>
      </c>
      <c r="DZ17" s="221">
        <v>3</v>
      </c>
      <c r="EA17" s="222">
        <v>4</v>
      </c>
      <c r="EC17" s="202">
        <v>15</v>
      </c>
      <c r="ED17" s="241" t="s">
        <v>144</v>
      </c>
      <c r="EE17" s="242" t="s">
        <v>1096</v>
      </c>
      <c r="EF17" s="225">
        <v>16</v>
      </c>
      <c r="EG17" s="226">
        <v>5</v>
      </c>
      <c r="EH17" s="249"/>
      <c r="EI17" s="250" t="s">
        <v>226</v>
      </c>
      <c r="EJ17" s="251">
        <v>7</v>
      </c>
      <c r="EK17" s="252">
        <v>4</v>
      </c>
      <c r="EL17" s="249"/>
      <c r="EM17" s="250" t="s">
        <v>266</v>
      </c>
      <c r="EN17" s="254">
        <v>6</v>
      </c>
      <c r="EO17" s="267">
        <v>7</v>
      </c>
      <c r="EP17" s="309"/>
      <c r="EQ17" s="310" t="s">
        <v>1265</v>
      </c>
      <c r="ER17" s="311">
        <v>5</v>
      </c>
      <c r="ES17" s="320">
        <v>11</v>
      </c>
      <c r="ET17" s="309"/>
      <c r="EU17" s="310" t="s">
        <v>1200</v>
      </c>
      <c r="EV17" s="322">
        <v>2</v>
      </c>
      <c r="EW17" s="323">
        <v>4</v>
      </c>
      <c r="EX17" s="163"/>
      <c r="EY17" s="202">
        <v>15</v>
      </c>
      <c r="EZ17" s="249"/>
      <c r="FA17" s="250" t="s">
        <v>502</v>
      </c>
      <c r="FB17" s="251">
        <v>8</v>
      </c>
      <c r="FC17" s="257">
        <v>6</v>
      </c>
      <c r="FD17" s="309"/>
      <c r="FE17" s="310" t="s">
        <v>1229</v>
      </c>
      <c r="FF17" s="311">
        <v>6</v>
      </c>
      <c r="FG17" s="312">
        <v>9</v>
      </c>
      <c r="FH17" s="309" t="s">
        <v>144</v>
      </c>
      <c r="FI17" s="310" t="s">
        <v>1139</v>
      </c>
      <c r="FJ17" s="322">
        <v>1</v>
      </c>
      <c r="FK17" s="323">
        <v>2</v>
      </c>
      <c r="FL17" s="309"/>
      <c r="FM17" s="310" t="s">
        <v>1171</v>
      </c>
      <c r="FN17" s="311">
        <v>3</v>
      </c>
      <c r="FO17" s="312">
        <v>7</v>
      </c>
      <c r="FP17" s="244"/>
      <c r="FQ17" s="245" t="s">
        <v>804</v>
      </c>
      <c r="FR17" s="237">
        <v>5</v>
      </c>
      <c r="FS17" s="238">
        <v>16</v>
      </c>
      <c r="FT17" s="163"/>
      <c r="FU17" s="202">
        <v>15</v>
      </c>
      <c r="FV17" s="241"/>
      <c r="FW17" s="242" t="s">
        <v>1062</v>
      </c>
      <c r="FX17" s="223">
        <v>2</v>
      </c>
      <c r="FY17" s="224">
        <v>1</v>
      </c>
      <c r="FZ17" s="241" t="s">
        <v>144</v>
      </c>
      <c r="GA17" s="242" t="s">
        <v>1025</v>
      </c>
      <c r="GB17" s="225">
        <v>7</v>
      </c>
      <c r="GC17" s="226">
        <v>3</v>
      </c>
      <c r="GD17" s="244" t="s">
        <v>144</v>
      </c>
      <c r="GE17" s="245" t="s">
        <v>903</v>
      </c>
      <c r="GF17" s="231">
        <v>4</v>
      </c>
      <c r="GG17" s="232">
        <v>2</v>
      </c>
      <c r="GH17" s="244" t="s">
        <v>144</v>
      </c>
      <c r="GI17" s="245" t="s">
        <v>869</v>
      </c>
      <c r="GJ17" s="246">
        <v>11</v>
      </c>
      <c r="GK17" s="258">
        <v>5</v>
      </c>
      <c r="GL17" s="241" t="s">
        <v>144</v>
      </c>
      <c r="GM17" s="242" t="s">
        <v>990</v>
      </c>
      <c r="GN17" s="225">
        <v>9</v>
      </c>
      <c r="GO17" s="226">
        <v>6</v>
      </c>
    </row>
    <row r="18" spans="1:197">
      <c r="A18" s="202">
        <v>16</v>
      </c>
      <c r="B18" s="219" t="s">
        <v>144</v>
      </c>
      <c r="C18" s="220" t="s">
        <v>1062</v>
      </c>
      <c r="D18" s="225">
        <v>4</v>
      </c>
      <c r="E18" s="226">
        <v>0</v>
      </c>
      <c r="F18" s="233"/>
      <c r="G18" s="234" t="s">
        <v>339</v>
      </c>
      <c r="H18" s="426">
        <v>4</v>
      </c>
      <c r="I18" s="469">
        <v>0</v>
      </c>
      <c r="J18" s="233"/>
      <c r="K18" s="234" t="s">
        <v>165</v>
      </c>
      <c r="L18" s="261">
        <v>3</v>
      </c>
      <c r="M18" s="266">
        <v>2</v>
      </c>
      <c r="N18" s="313"/>
      <c r="O18" s="314" t="s">
        <v>1171</v>
      </c>
      <c r="P18" s="311">
        <v>1</v>
      </c>
      <c r="Q18" s="320">
        <v>2</v>
      </c>
      <c r="R18" s="313"/>
      <c r="S18" s="314" t="s">
        <v>1139</v>
      </c>
      <c r="T18" s="318">
        <v>6</v>
      </c>
      <c r="U18" s="321">
        <v>0</v>
      </c>
      <c r="V18" s="163"/>
      <c r="W18" s="202">
        <v>16</v>
      </c>
      <c r="X18" s="233"/>
      <c r="Y18" s="234" t="s">
        <v>394</v>
      </c>
      <c r="Z18" s="430">
        <v>2</v>
      </c>
      <c r="AA18" s="429">
        <v>3</v>
      </c>
      <c r="AB18" s="313"/>
      <c r="AC18" s="314" t="s">
        <v>1200</v>
      </c>
      <c r="AD18" s="315">
        <v>5</v>
      </c>
      <c r="AE18" s="316">
        <v>1</v>
      </c>
      <c r="AF18" s="313" t="s">
        <v>144</v>
      </c>
      <c r="AG18" s="314" t="s">
        <v>1265</v>
      </c>
      <c r="AH18" s="318">
        <v>10</v>
      </c>
      <c r="AI18" s="321">
        <v>0</v>
      </c>
      <c r="AJ18" s="313"/>
      <c r="AK18" s="314" t="s">
        <v>1229</v>
      </c>
      <c r="AL18" s="315">
        <v>3</v>
      </c>
      <c r="AM18" s="316">
        <v>2</v>
      </c>
      <c r="AN18" s="229"/>
      <c r="AO18" s="230" t="s">
        <v>869</v>
      </c>
      <c r="AP18" s="237">
        <v>0</v>
      </c>
      <c r="AQ18" s="268">
        <v>4</v>
      </c>
      <c r="AR18" s="163"/>
      <c r="AS18" s="202">
        <v>16</v>
      </c>
      <c r="AT18" s="219"/>
      <c r="AU18" s="220" t="s">
        <v>952</v>
      </c>
      <c r="AV18" s="227">
        <v>0</v>
      </c>
      <c r="AW18" s="228">
        <v>10</v>
      </c>
      <c r="AX18" s="219" t="s">
        <v>144</v>
      </c>
      <c r="AY18" s="220" t="s">
        <v>990</v>
      </c>
      <c r="AZ18" s="221">
        <v>2</v>
      </c>
      <c r="BA18" s="222">
        <v>3</v>
      </c>
      <c r="BB18" s="229" t="s">
        <v>144</v>
      </c>
      <c r="BC18" s="230" t="s">
        <v>770</v>
      </c>
      <c r="BD18" s="237">
        <v>0</v>
      </c>
      <c r="BE18" s="248">
        <v>6</v>
      </c>
      <c r="BF18" s="229" t="s">
        <v>144</v>
      </c>
      <c r="BG18" s="230" t="s">
        <v>835</v>
      </c>
      <c r="BH18" s="402">
        <v>2</v>
      </c>
      <c r="BI18" s="258">
        <v>1</v>
      </c>
      <c r="BJ18" s="219" t="s">
        <v>144</v>
      </c>
      <c r="BK18" s="220" t="s">
        <v>1096</v>
      </c>
      <c r="BL18" s="221">
        <v>1</v>
      </c>
      <c r="BM18" s="222">
        <v>5</v>
      </c>
      <c r="BO18" s="202">
        <v>16</v>
      </c>
      <c r="BP18" s="219" t="s">
        <v>144</v>
      </c>
      <c r="BQ18" s="220" t="s">
        <v>1025</v>
      </c>
      <c r="BR18" s="225">
        <v>9</v>
      </c>
      <c r="BS18" s="226">
        <v>6</v>
      </c>
      <c r="BT18" s="233"/>
      <c r="BU18" s="234" t="s">
        <v>165</v>
      </c>
      <c r="BV18" s="251">
        <v>12</v>
      </c>
      <c r="BW18" s="252">
        <v>6</v>
      </c>
      <c r="BX18" s="233"/>
      <c r="BY18" s="234" t="s">
        <v>226</v>
      </c>
      <c r="BZ18" s="254">
        <v>1</v>
      </c>
      <c r="CA18" s="267">
        <v>7</v>
      </c>
      <c r="CB18" s="313"/>
      <c r="CC18" s="314" t="s">
        <v>1200</v>
      </c>
      <c r="CD18" s="315">
        <v>9</v>
      </c>
      <c r="CE18" s="317">
        <v>5</v>
      </c>
      <c r="CF18" s="313"/>
      <c r="CG18" s="314" t="s">
        <v>1171</v>
      </c>
      <c r="CH18" s="318">
        <v>3</v>
      </c>
      <c r="CI18" s="321">
        <v>2</v>
      </c>
      <c r="CJ18" s="163"/>
      <c r="CK18" s="202">
        <v>16</v>
      </c>
      <c r="CL18" s="233"/>
      <c r="CM18" s="234" t="s">
        <v>463</v>
      </c>
      <c r="CN18" s="251">
        <v>5</v>
      </c>
      <c r="CO18" s="257">
        <v>0</v>
      </c>
      <c r="CP18" s="313"/>
      <c r="CQ18" s="314" t="s">
        <v>1265</v>
      </c>
      <c r="CR18" s="311">
        <v>1</v>
      </c>
      <c r="CS18" s="312">
        <v>4</v>
      </c>
      <c r="CT18" s="313" t="s">
        <v>144</v>
      </c>
      <c r="CU18" s="314" t="s">
        <v>1229</v>
      </c>
      <c r="CV18" s="322">
        <v>6</v>
      </c>
      <c r="CW18" s="323">
        <v>8</v>
      </c>
      <c r="CX18" s="313"/>
      <c r="CY18" s="314" t="s">
        <v>1139</v>
      </c>
      <c r="CZ18" s="315">
        <v>6</v>
      </c>
      <c r="DA18" s="316">
        <v>5</v>
      </c>
      <c r="DB18" s="229"/>
      <c r="DC18" s="230" t="s">
        <v>903</v>
      </c>
      <c r="DD18" s="237">
        <v>6</v>
      </c>
      <c r="DE18" s="268">
        <v>9</v>
      </c>
      <c r="DF18" s="163"/>
      <c r="DG18" s="202">
        <v>16</v>
      </c>
      <c r="DH18" s="219"/>
      <c r="DI18" s="220" t="s">
        <v>990</v>
      </c>
      <c r="DJ18" s="223">
        <v>8</v>
      </c>
      <c r="DK18" s="224">
        <v>6</v>
      </c>
      <c r="DL18" s="219" t="s">
        <v>144</v>
      </c>
      <c r="DM18" s="220" t="s">
        <v>1062</v>
      </c>
      <c r="DN18" s="221">
        <v>5</v>
      </c>
      <c r="DO18" s="222">
        <v>6</v>
      </c>
      <c r="DP18" s="229" t="s">
        <v>144</v>
      </c>
      <c r="DQ18" s="230" t="s">
        <v>869</v>
      </c>
      <c r="DR18" s="237">
        <v>2</v>
      </c>
      <c r="DS18" s="248">
        <v>3</v>
      </c>
      <c r="DT18" s="229" t="s">
        <v>144</v>
      </c>
      <c r="DU18" s="230" t="s">
        <v>770</v>
      </c>
      <c r="DV18" s="237">
        <v>5</v>
      </c>
      <c r="DW18" s="238">
        <v>9</v>
      </c>
      <c r="DX18" s="219" t="s">
        <v>144</v>
      </c>
      <c r="DY18" s="220" t="s">
        <v>952</v>
      </c>
      <c r="DZ18" s="225">
        <v>4</v>
      </c>
      <c r="EA18" s="226">
        <v>1</v>
      </c>
      <c r="EC18" s="202">
        <v>16</v>
      </c>
      <c r="ED18" s="219" t="s">
        <v>144</v>
      </c>
      <c r="EE18" s="220" t="s">
        <v>1096</v>
      </c>
      <c r="EF18" s="225">
        <v>5</v>
      </c>
      <c r="EG18" s="226">
        <v>0</v>
      </c>
      <c r="EH18" s="233"/>
      <c r="EI18" s="234" t="s">
        <v>226</v>
      </c>
      <c r="EJ18" s="235">
        <v>1</v>
      </c>
      <c r="EK18" s="255">
        <v>10</v>
      </c>
      <c r="EL18" s="233"/>
      <c r="EM18" s="234" t="s">
        <v>266</v>
      </c>
      <c r="EN18" s="261">
        <v>3</v>
      </c>
      <c r="EO18" s="266">
        <v>2</v>
      </c>
      <c r="EP18" s="313"/>
      <c r="EQ18" s="314" t="s">
        <v>1265</v>
      </c>
      <c r="ER18" s="311">
        <v>3</v>
      </c>
      <c r="ES18" s="320">
        <v>5</v>
      </c>
      <c r="ET18" s="313"/>
      <c r="EU18" s="314" t="s">
        <v>1200</v>
      </c>
      <c r="EV18" s="318">
        <v>8</v>
      </c>
      <c r="EW18" s="321">
        <v>6</v>
      </c>
      <c r="EX18" s="163"/>
      <c r="EY18" s="202">
        <v>16</v>
      </c>
      <c r="EZ18" s="233"/>
      <c r="FA18" s="234" t="s">
        <v>502</v>
      </c>
      <c r="FB18" s="251">
        <v>5</v>
      </c>
      <c r="FC18" s="257">
        <v>4</v>
      </c>
      <c r="FD18" s="313"/>
      <c r="FE18" s="314" t="s">
        <v>1229</v>
      </c>
      <c r="FF18" s="315">
        <v>14</v>
      </c>
      <c r="FG18" s="316">
        <v>2</v>
      </c>
      <c r="FH18" s="313" t="s">
        <v>144</v>
      </c>
      <c r="FI18" s="314" t="s">
        <v>1139</v>
      </c>
      <c r="FJ18" s="318">
        <v>4</v>
      </c>
      <c r="FK18" s="321">
        <v>2</v>
      </c>
      <c r="FL18" s="313"/>
      <c r="FM18" s="314" t="s">
        <v>1171</v>
      </c>
      <c r="FN18" s="315">
        <v>3</v>
      </c>
      <c r="FO18" s="316">
        <v>2</v>
      </c>
      <c r="FP18" s="229"/>
      <c r="FQ18" s="230" t="s">
        <v>804</v>
      </c>
      <c r="FR18" s="237">
        <v>0</v>
      </c>
      <c r="FS18" s="268">
        <v>5</v>
      </c>
      <c r="FT18" s="163"/>
      <c r="FU18" s="202">
        <v>16</v>
      </c>
      <c r="FV18" s="219"/>
      <c r="FW18" s="220" t="s">
        <v>1062</v>
      </c>
      <c r="FX18" s="227">
        <v>2</v>
      </c>
      <c r="FY18" s="228">
        <v>4</v>
      </c>
      <c r="FZ18" s="219" t="s">
        <v>144</v>
      </c>
      <c r="GA18" s="220" t="s">
        <v>1025</v>
      </c>
      <c r="GB18" s="221">
        <v>2</v>
      </c>
      <c r="GC18" s="222">
        <v>3</v>
      </c>
      <c r="GD18" s="229" t="s">
        <v>144</v>
      </c>
      <c r="GE18" s="230" t="s">
        <v>903</v>
      </c>
      <c r="GF18" s="237">
        <v>6</v>
      </c>
      <c r="GG18" s="248">
        <v>8</v>
      </c>
      <c r="GH18" s="229" t="s">
        <v>144</v>
      </c>
      <c r="GI18" s="230" t="s">
        <v>869</v>
      </c>
      <c r="GJ18" s="231">
        <v>5</v>
      </c>
      <c r="GK18" s="258">
        <v>3</v>
      </c>
      <c r="GL18" s="219" t="s">
        <v>144</v>
      </c>
      <c r="GM18" s="220" t="s">
        <v>990</v>
      </c>
      <c r="GN18" s="221">
        <v>2</v>
      </c>
      <c r="GO18" s="222">
        <v>14</v>
      </c>
    </row>
    <row r="19" spans="1:197">
      <c r="A19" s="202">
        <v>17</v>
      </c>
      <c r="B19" s="241"/>
      <c r="C19" s="242" t="s">
        <v>952</v>
      </c>
      <c r="D19" s="221">
        <v>0</v>
      </c>
      <c r="E19" s="222">
        <v>1</v>
      </c>
      <c r="F19" s="309" t="s">
        <v>144</v>
      </c>
      <c r="G19" s="310" t="s">
        <v>1200</v>
      </c>
      <c r="H19" s="437">
        <v>0</v>
      </c>
      <c r="I19" s="453">
        <v>2</v>
      </c>
      <c r="J19" s="241"/>
      <c r="K19" s="242" t="s">
        <v>1025</v>
      </c>
      <c r="L19" s="410">
        <v>8</v>
      </c>
      <c r="M19" s="243">
        <v>7</v>
      </c>
      <c r="N19" s="309"/>
      <c r="O19" s="310" t="s">
        <v>1139</v>
      </c>
      <c r="P19" s="315">
        <v>4</v>
      </c>
      <c r="Q19" s="317">
        <v>2</v>
      </c>
      <c r="R19" s="309" t="s">
        <v>144</v>
      </c>
      <c r="S19" s="310" t="s">
        <v>1171</v>
      </c>
      <c r="T19" s="418">
        <v>2</v>
      </c>
      <c r="U19" s="419">
        <v>3</v>
      </c>
      <c r="V19" s="163"/>
      <c r="W19" s="202">
        <v>17</v>
      </c>
      <c r="X19" s="244" t="s">
        <v>144</v>
      </c>
      <c r="Y19" s="245" t="s">
        <v>804</v>
      </c>
      <c r="Z19" s="239">
        <v>7</v>
      </c>
      <c r="AA19" s="240">
        <v>8</v>
      </c>
      <c r="AB19" s="249" t="s">
        <v>144</v>
      </c>
      <c r="AC19" s="250" t="s">
        <v>463</v>
      </c>
      <c r="AD19" s="430">
        <v>3</v>
      </c>
      <c r="AE19" s="429">
        <v>6</v>
      </c>
      <c r="AF19" s="244" t="s">
        <v>144</v>
      </c>
      <c r="AG19" s="245" t="s">
        <v>869</v>
      </c>
      <c r="AH19" s="231">
        <v>1</v>
      </c>
      <c r="AI19" s="232">
        <v>0</v>
      </c>
      <c r="AJ19" s="309" t="s">
        <v>144</v>
      </c>
      <c r="AK19" s="310" t="s">
        <v>1265</v>
      </c>
      <c r="AL19" s="311">
        <v>0</v>
      </c>
      <c r="AM19" s="312">
        <v>10</v>
      </c>
      <c r="AN19" s="309"/>
      <c r="AO19" s="310" t="s">
        <v>1229</v>
      </c>
      <c r="AP19" s="322">
        <v>1</v>
      </c>
      <c r="AQ19" s="323">
        <v>7</v>
      </c>
      <c r="AR19" s="163"/>
      <c r="AS19" s="202">
        <v>17</v>
      </c>
      <c r="AT19" s="241"/>
      <c r="AU19" s="242" t="s">
        <v>990</v>
      </c>
      <c r="AV19" s="223">
        <v>10</v>
      </c>
      <c r="AW19" s="224">
        <v>0</v>
      </c>
      <c r="AX19" s="241" t="s">
        <v>144</v>
      </c>
      <c r="AY19" s="242" t="s">
        <v>1062</v>
      </c>
      <c r="AZ19" s="225">
        <v>7</v>
      </c>
      <c r="BA19" s="226">
        <v>1</v>
      </c>
      <c r="BB19" s="244" t="s">
        <v>144</v>
      </c>
      <c r="BC19" s="245" t="s">
        <v>835</v>
      </c>
      <c r="BD19" s="237">
        <v>2</v>
      </c>
      <c r="BE19" s="248">
        <v>4</v>
      </c>
      <c r="BF19" s="244"/>
      <c r="BG19" s="245" t="s">
        <v>770</v>
      </c>
      <c r="BH19" s="433">
        <v>3</v>
      </c>
      <c r="BI19" s="432">
        <v>2</v>
      </c>
      <c r="BJ19" s="244"/>
      <c r="BK19" s="245" t="s">
        <v>903</v>
      </c>
      <c r="BL19" s="433">
        <v>2</v>
      </c>
      <c r="BM19" s="464">
        <v>0</v>
      </c>
      <c r="BO19" s="202">
        <v>17</v>
      </c>
      <c r="BP19" s="241"/>
      <c r="BQ19" s="242" t="s">
        <v>990</v>
      </c>
      <c r="BR19" s="225">
        <v>4</v>
      </c>
      <c r="BS19" s="226">
        <v>1</v>
      </c>
      <c r="BT19" s="309" t="s">
        <v>144</v>
      </c>
      <c r="BU19" s="310" t="s">
        <v>1265</v>
      </c>
      <c r="BV19" s="315">
        <v>7</v>
      </c>
      <c r="BW19" s="317">
        <v>1</v>
      </c>
      <c r="BX19" s="241"/>
      <c r="BY19" s="242" t="s">
        <v>1096</v>
      </c>
      <c r="BZ19" s="223">
        <v>1</v>
      </c>
      <c r="CA19" s="243">
        <v>0</v>
      </c>
      <c r="CB19" s="309"/>
      <c r="CC19" s="310" t="s">
        <v>1171</v>
      </c>
      <c r="CD19" s="311">
        <v>0</v>
      </c>
      <c r="CE19" s="320">
        <v>5</v>
      </c>
      <c r="CF19" s="309" t="s">
        <v>144</v>
      </c>
      <c r="CG19" s="310" t="s">
        <v>1200</v>
      </c>
      <c r="CH19" s="322">
        <v>3</v>
      </c>
      <c r="CI19" s="323">
        <v>5</v>
      </c>
      <c r="CJ19" s="163"/>
      <c r="CK19" s="202">
        <v>17</v>
      </c>
      <c r="CL19" s="244" t="s">
        <v>144</v>
      </c>
      <c r="CM19" s="245" t="s">
        <v>835</v>
      </c>
      <c r="CN19" s="239">
        <v>0</v>
      </c>
      <c r="CO19" s="240">
        <v>1</v>
      </c>
      <c r="CP19" s="249" t="s">
        <v>144</v>
      </c>
      <c r="CQ19" s="250" t="s">
        <v>502</v>
      </c>
      <c r="CR19" s="235">
        <v>2</v>
      </c>
      <c r="CS19" s="236">
        <v>5</v>
      </c>
      <c r="CT19" s="244" t="s">
        <v>144</v>
      </c>
      <c r="CU19" s="245" t="s">
        <v>903</v>
      </c>
      <c r="CV19" s="237">
        <v>1</v>
      </c>
      <c r="CW19" s="248">
        <v>4</v>
      </c>
      <c r="CX19" s="309" t="s">
        <v>144</v>
      </c>
      <c r="CY19" s="310" t="s">
        <v>1229</v>
      </c>
      <c r="CZ19" s="311">
        <v>4</v>
      </c>
      <c r="DA19" s="312">
        <v>5</v>
      </c>
      <c r="DB19" s="309"/>
      <c r="DC19" s="310" t="s">
        <v>1139</v>
      </c>
      <c r="DD19" s="318">
        <v>3</v>
      </c>
      <c r="DE19" s="321">
        <v>1</v>
      </c>
      <c r="DF19" s="163"/>
      <c r="DG19" s="202">
        <v>17</v>
      </c>
      <c r="DH19" s="241"/>
      <c r="DI19" s="242" t="s">
        <v>1062</v>
      </c>
      <c r="DJ19" s="223">
        <v>5</v>
      </c>
      <c r="DK19" s="224">
        <v>4</v>
      </c>
      <c r="DL19" s="241" t="s">
        <v>144</v>
      </c>
      <c r="DM19" s="242" t="s">
        <v>1025</v>
      </c>
      <c r="DN19" s="221">
        <v>1</v>
      </c>
      <c r="DO19" s="222">
        <v>3</v>
      </c>
      <c r="DP19" s="244" t="s">
        <v>144</v>
      </c>
      <c r="DQ19" s="245" t="s">
        <v>770</v>
      </c>
      <c r="DR19" s="231">
        <v>6</v>
      </c>
      <c r="DS19" s="232">
        <v>0</v>
      </c>
      <c r="DT19" s="244"/>
      <c r="DU19" s="245" t="s">
        <v>869</v>
      </c>
      <c r="DV19" s="246">
        <v>5</v>
      </c>
      <c r="DW19" s="258">
        <v>3</v>
      </c>
      <c r="DX19" s="244"/>
      <c r="DY19" s="245" t="s">
        <v>804</v>
      </c>
      <c r="DZ19" s="239">
        <v>1</v>
      </c>
      <c r="EA19" s="240">
        <v>7</v>
      </c>
      <c r="EC19" s="202">
        <v>17</v>
      </c>
      <c r="ED19" s="241"/>
      <c r="EE19" s="242" t="s">
        <v>1062</v>
      </c>
      <c r="EF19" s="221">
        <v>0</v>
      </c>
      <c r="EG19" s="222">
        <v>2</v>
      </c>
      <c r="EH19" s="309" t="s">
        <v>144</v>
      </c>
      <c r="EI19" s="310" t="s">
        <v>1229</v>
      </c>
      <c r="EJ19" s="315">
        <v>9</v>
      </c>
      <c r="EK19" s="317">
        <v>5</v>
      </c>
      <c r="EL19" s="241"/>
      <c r="EM19" s="242" t="s">
        <v>952</v>
      </c>
      <c r="EN19" s="223">
        <v>3</v>
      </c>
      <c r="EO19" s="243">
        <v>2</v>
      </c>
      <c r="EP19" s="309"/>
      <c r="EQ19" s="310" t="s">
        <v>1200</v>
      </c>
      <c r="ER19" s="315">
        <v>6</v>
      </c>
      <c r="ES19" s="317">
        <v>1</v>
      </c>
      <c r="ET19" s="309" t="s">
        <v>144</v>
      </c>
      <c r="EU19" s="310" t="s">
        <v>1265</v>
      </c>
      <c r="EV19" s="318">
        <v>12</v>
      </c>
      <c r="EW19" s="321">
        <v>1</v>
      </c>
      <c r="EX19" s="163"/>
      <c r="EY19" s="202">
        <v>17</v>
      </c>
      <c r="EZ19" s="244" t="s">
        <v>144</v>
      </c>
      <c r="FA19" s="245" t="s">
        <v>770</v>
      </c>
      <c r="FB19" s="239">
        <v>2</v>
      </c>
      <c r="FC19" s="240">
        <v>3</v>
      </c>
      <c r="FD19" s="249" t="s">
        <v>144</v>
      </c>
      <c r="FE19" s="250" t="s">
        <v>539</v>
      </c>
      <c r="FF19" s="251">
        <v>1</v>
      </c>
      <c r="FG19" s="257">
        <v>0</v>
      </c>
      <c r="FH19" s="244" t="s">
        <v>144</v>
      </c>
      <c r="FI19" s="245" t="s">
        <v>804</v>
      </c>
      <c r="FJ19" s="231">
        <v>2</v>
      </c>
      <c r="FK19" s="232">
        <v>0</v>
      </c>
      <c r="FL19" s="309" t="s">
        <v>144</v>
      </c>
      <c r="FM19" s="310" t="s">
        <v>1139</v>
      </c>
      <c r="FN19" s="311">
        <v>4</v>
      </c>
      <c r="FO19" s="312">
        <v>5</v>
      </c>
      <c r="FP19" s="309"/>
      <c r="FQ19" s="310" t="s">
        <v>1171</v>
      </c>
      <c r="FR19" s="322">
        <v>4</v>
      </c>
      <c r="FS19" s="323">
        <v>6</v>
      </c>
      <c r="FT19" s="163"/>
      <c r="FU19" s="202">
        <v>17</v>
      </c>
      <c r="FV19" s="241"/>
      <c r="FW19" s="242" t="s">
        <v>1025</v>
      </c>
      <c r="FX19" s="223">
        <v>5</v>
      </c>
      <c r="FY19" s="224">
        <v>4</v>
      </c>
      <c r="FZ19" s="241" t="s">
        <v>144</v>
      </c>
      <c r="GA19" s="242" t="s">
        <v>1096</v>
      </c>
      <c r="GB19" s="225">
        <v>6</v>
      </c>
      <c r="GC19" s="226">
        <v>4</v>
      </c>
      <c r="GD19" s="244" t="s">
        <v>144</v>
      </c>
      <c r="GE19" s="245" t="s">
        <v>869</v>
      </c>
      <c r="GF19" s="237">
        <v>1</v>
      </c>
      <c r="GG19" s="248">
        <v>6</v>
      </c>
      <c r="GH19" s="244"/>
      <c r="GI19" s="245" t="s">
        <v>903</v>
      </c>
      <c r="GJ19" s="239">
        <v>1</v>
      </c>
      <c r="GK19" s="238">
        <v>12</v>
      </c>
      <c r="GL19" s="244"/>
      <c r="GM19" s="245" t="s">
        <v>835</v>
      </c>
      <c r="GN19" s="239">
        <v>5</v>
      </c>
      <c r="GO19" s="240">
        <v>9</v>
      </c>
    </row>
    <row r="20" spans="1:197">
      <c r="A20" s="202">
        <v>18</v>
      </c>
      <c r="B20" s="219"/>
      <c r="C20" s="220" t="s">
        <v>952</v>
      </c>
      <c r="D20" s="221">
        <v>4</v>
      </c>
      <c r="E20" s="222">
        <v>5</v>
      </c>
      <c r="F20" s="313" t="s">
        <v>144</v>
      </c>
      <c r="G20" s="314" t="s">
        <v>1200</v>
      </c>
      <c r="H20" s="437">
        <v>0</v>
      </c>
      <c r="I20" s="453">
        <v>1</v>
      </c>
      <c r="J20" s="219"/>
      <c r="K20" s="220" t="s">
        <v>1025</v>
      </c>
      <c r="L20" s="410">
        <v>9</v>
      </c>
      <c r="M20" s="465">
        <v>5</v>
      </c>
      <c r="N20" s="313"/>
      <c r="O20" s="314" t="s">
        <v>1139</v>
      </c>
      <c r="P20" s="315">
        <v>5</v>
      </c>
      <c r="Q20" s="317">
        <v>2</v>
      </c>
      <c r="R20" s="313" t="s">
        <v>144</v>
      </c>
      <c r="S20" s="314" t="s">
        <v>1171</v>
      </c>
      <c r="T20" s="318">
        <v>5</v>
      </c>
      <c r="U20" s="321">
        <v>0</v>
      </c>
      <c r="V20" s="163"/>
      <c r="W20" s="202">
        <v>18</v>
      </c>
      <c r="X20" s="229" t="s">
        <v>144</v>
      </c>
      <c r="Y20" s="230" t="s">
        <v>804</v>
      </c>
      <c r="Z20" s="394">
        <v>5</v>
      </c>
      <c r="AA20" s="396">
        <v>9</v>
      </c>
      <c r="AB20" s="233" t="s">
        <v>144</v>
      </c>
      <c r="AC20" s="234" t="s">
        <v>463</v>
      </c>
      <c r="AD20" s="235">
        <v>5</v>
      </c>
      <c r="AE20" s="429">
        <v>6</v>
      </c>
      <c r="AF20" s="229" t="s">
        <v>144</v>
      </c>
      <c r="AG20" s="230" t="s">
        <v>869</v>
      </c>
      <c r="AH20" s="231">
        <v>5</v>
      </c>
      <c r="AI20" s="232">
        <v>4</v>
      </c>
      <c r="AJ20" s="313" t="s">
        <v>144</v>
      </c>
      <c r="AK20" s="314" t="s">
        <v>1265</v>
      </c>
      <c r="AL20" s="437">
        <v>0</v>
      </c>
      <c r="AM20" s="438">
        <v>12</v>
      </c>
      <c r="AN20" s="313"/>
      <c r="AO20" s="314" t="s">
        <v>1229</v>
      </c>
      <c r="AP20" s="318">
        <v>2</v>
      </c>
      <c r="AQ20" s="321">
        <v>0</v>
      </c>
      <c r="AR20" s="163"/>
      <c r="AS20" s="202">
        <v>18</v>
      </c>
      <c r="AT20" s="219"/>
      <c r="AU20" s="220" t="s">
        <v>990</v>
      </c>
      <c r="AV20" s="410">
        <v>12</v>
      </c>
      <c r="AW20" s="411">
        <v>0</v>
      </c>
      <c r="AX20" s="219" t="s">
        <v>144</v>
      </c>
      <c r="AY20" s="220" t="s">
        <v>1062</v>
      </c>
      <c r="AZ20" s="221">
        <v>0</v>
      </c>
      <c r="BA20" s="222">
        <v>2</v>
      </c>
      <c r="BB20" s="229" t="s">
        <v>144</v>
      </c>
      <c r="BC20" s="230" t="s">
        <v>835</v>
      </c>
      <c r="BD20" s="237">
        <v>2</v>
      </c>
      <c r="BE20" s="248">
        <v>5</v>
      </c>
      <c r="BF20" s="229"/>
      <c r="BG20" s="230" t="s">
        <v>770</v>
      </c>
      <c r="BH20" s="237">
        <v>0</v>
      </c>
      <c r="BI20" s="238">
        <v>5</v>
      </c>
      <c r="BJ20" s="229"/>
      <c r="BK20" s="230" t="s">
        <v>903</v>
      </c>
      <c r="BL20" s="433">
        <v>1</v>
      </c>
      <c r="BM20" s="464">
        <v>0</v>
      </c>
      <c r="BO20" s="202">
        <v>18</v>
      </c>
      <c r="BP20" s="219"/>
      <c r="BQ20" s="220" t="s">
        <v>990</v>
      </c>
      <c r="BR20" s="221">
        <v>1</v>
      </c>
      <c r="BS20" s="222">
        <v>4</v>
      </c>
      <c r="BT20" s="313" t="s">
        <v>144</v>
      </c>
      <c r="BU20" s="314" t="s">
        <v>1265</v>
      </c>
      <c r="BV20" s="315">
        <v>9</v>
      </c>
      <c r="BW20" s="317">
        <v>4</v>
      </c>
      <c r="BX20" s="219"/>
      <c r="BY20" s="220" t="s">
        <v>1096</v>
      </c>
      <c r="BZ20" s="223">
        <v>3</v>
      </c>
      <c r="CA20" s="243">
        <v>2</v>
      </c>
      <c r="CB20" s="313"/>
      <c r="CC20" s="314" t="s">
        <v>1171</v>
      </c>
      <c r="CD20" s="311">
        <v>2</v>
      </c>
      <c r="CE20" s="320">
        <v>3</v>
      </c>
      <c r="CF20" s="313" t="s">
        <v>144</v>
      </c>
      <c r="CG20" s="314" t="s">
        <v>1200</v>
      </c>
      <c r="CH20" s="318">
        <v>4</v>
      </c>
      <c r="CI20" s="321">
        <v>1</v>
      </c>
      <c r="CJ20" s="163"/>
      <c r="CK20" s="202">
        <v>18</v>
      </c>
      <c r="CL20" s="229" t="s">
        <v>144</v>
      </c>
      <c r="CM20" s="230" t="s">
        <v>835</v>
      </c>
      <c r="CN20" s="239">
        <v>2</v>
      </c>
      <c r="CO20" s="240">
        <v>3</v>
      </c>
      <c r="CP20" s="233" t="s">
        <v>144</v>
      </c>
      <c r="CQ20" s="234" t="s">
        <v>502</v>
      </c>
      <c r="CR20" s="251">
        <v>6</v>
      </c>
      <c r="CS20" s="257">
        <v>5</v>
      </c>
      <c r="CT20" s="229" t="s">
        <v>144</v>
      </c>
      <c r="CU20" s="230" t="s">
        <v>903</v>
      </c>
      <c r="CV20" s="231">
        <v>4</v>
      </c>
      <c r="CW20" s="232">
        <v>1</v>
      </c>
      <c r="CX20" s="313" t="s">
        <v>144</v>
      </c>
      <c r="CY20" s="314" t="s">
        <v>1229</v>
      </c>
      <c r="CZ20" s="315">
        <v>4</v>
      </c>
      <c r="DA20" s="316">
        <v>1</v>
      </c>
      <c r="DB20" s="313"/>
      <c r="DC20" s="314" t="s">
        <v>1139</v>
      </c>
      <c r="DD20" s="322">
        <v>4</v>
      </c>
      <c r="DE20" s="323">
        <v>8</v>
      </c>
      <c r="DF20" s="163"/>
      <c r="DG20" s="202">
        <v>18</v>
      </c>
      <c r="DH20" s="219"/>
      <c r="DI20" s="220" t="s">
        <v>1062</v>
      </c>
      <c r="DJ20" s="227">
        <v>1</v>
      </c>
      <c r="DK20" s="228">
        <v>4</v>
      </c>
      <c r="DL20" s="219" t="s">
        <v>144</v>
      </c>
      <c r="DM20" s="220" t="s">
        <v>1025</v>
      </c>
      <c r="DN20" s="225">
        <v>8</v>
      </c>
      <c r="DO20" s="226">
        <v>4</v>
      </c>
      <c r="DP20" s="229" t="s">
        <v>144</v>
      </c>
      <c r="DQ20" s="230" t="s">
        <v>770</v>
      </c>
      <c r="DR20" s="231">
        <v>3</v>
      </c>
      <c r="DS20" s="232">
        <v>2</v>
      </c>
      <c r="DT20" s="229"/>
      <c r="DU20" s="230" t="s">
        <v>869</v>
      </c>
      <c r="DV20" s="237">
        <v>1</v>
      </c>
      <c r="DW20" s="238">
        <v>4</v>
      </c>
      <c r="DX20" s="229"/>
      <c r="DY20" s="230" t="s">
        <v>804</v>
      </c>
      <c r="DZ20" s="239">
        <v>4</v>
      </c>
      <c r="EA20" s="240">
        <v>9</v>
      </c>
      <c r="EC20" s="202">
        <v>18</v>
      </c>
      <c r="ED20" s="219"/>
      <c r="EE20" s="220" t="s">
        <v>1062</v>
      </c>
      <c r="EF20" s="221">
        <v>2</v>
      </c>
      <c r="EG20" s="222">
        <v>3</v>
      </c>
      <c r="EH20" s="313" t="s">
        <v>144</v>
      </c>
      <c r="EI20" s="314" t="s">
        <v>1229</v>
      </c>
      <c r="EJ20" s="315">
        <v>5</v>
      </c>
      <c r="EK20" s="317">
        <v>3</v>
      </c>
      <c r="EL20" s="219"/>
      <c r="EM20" s="220" t="s">
        <v>952</v>
      </c>
      <c r="EN20" s="227">
        <v>1</v>
      </c>
      <c r="EO20" s="253">
        <v>7</v>
      </c>
      <c r="EP20" s="313"/>
      <c r="EQ20" s="314" t="s">
        <v>1200</v>
      </c>
      <c r="ER20" s="315">
        <v>2</v>
      </c>
      <c r="ES20" s="317">
        <v>0</v>
      </c>
      <c r="ET20" s="313" t="s">
        <v>144</v>
      </c>
      <c r="EU20" s="314" t="s">
        <v>1265</v>
      </c>
      <c r="EV20" s="318">
        <v>4</v>
      </c>
      <c r="EW20" s="321">
        <v>2</v>
      </c>
      <c r="EX20" s="163"/>
      <c r="EY20" s="202">
        <v>18</v>
      </c>
      <c r="EZ20" s="229" t="s">
        <v>144</v>
      </c>
      <c r="FA20" s="230" t="s">
        <v>770</v>
      </c>
      <c r="FB20" s="246">
        <v>7</v>
      </c>
      <c r="FC20" s="247">
        <v>1</v>
      </c>
      <c r="FD20" s="233" t="s">
        <v>144</v>
      </c>
      <c r="FE20" s="234" t="s">
        <v>539</v>
      </c>
      <c r="FF20" s="235">
        <v>2</v>
      </c>
      <c r="FG20" s="236">
        <v>5</v>
      </c>
      <c r="FH20" s="229" t="s">
        <v>144</v>
      </c>
      <c r="FI20" s="230" t="s">
        <v>804</v>
      </c>
      <c r="FJ20" s="231">
        <v>3</v>
      </c>
      <c r="FK20" s="232">
        <v>2</v>
      </c>
      <c r="FL20" s="313" t="s">
        <v>144</v>
      </c>
      <c r="FM20" s="314" t="s">
        <v>1139</v>
      </c>
      <c r="FN20" s="315">
        <v>6</v>
      </c>
      <c r="FO20" s="316">
        <v>3</v>
      </c>
      <c r="FP20" s="313"/>
      <c r="FQ20" s="314" t="s">
        <v>1171</v>
      </c>
      <c r="FR20" s="318">
        <v>3</v>
      </c>
      <c r="FS20" s="321">
        <v>2</v>
      </c>
      <c r="FT20" s="163"/>
      <c r="FU20" s="202">
        <v>18</v>
      </c>
      <c r="FV20" s="219"/>
      <c r="FW20" s="220" t="s">
        <v>1025</v>
      </c>
      <c r="FX20" s="227">
        <v>3</v>
      </c>
      <c r="FY20" s="228">
        <v>6</v>
      </c>
      <c r="FZ20" s="219" t="s">
        <v>144</v>
      </c>
      <c r="GA20" s="220" t="s">
        <v>1096</v>
      </c>
      <c r="GB20" s="221">
        <v>2</v>
      </c>
      <c r="GC20" s="222">
        <v>3</v>
      </c>
      <c r="GD20" s="229" t="s">
        <v>144</v>
      </c>
      <c r="GE20" s="230" t="s">
        <v>869</v>
      </c>
      <c r="GF20" s="237">
        <v>0</v>
      </c>
      <c r="GG20" s="248">
        <v>2</v>
      </c>
      <c r="GH20" s="229"/>
      <c r="GI20" s="230" t="s">
        <v>903</v>
      </c>
      <c r="GJ20" s="237">
        <v>2</v>
      </c>
      <c r="GK20" s="238">
        <v>4</v>
      </c>
      <c r="GL20" s="229"/>
      <c r="GM20" s="230" t="s">
        <v>835</v>
      </c>
      <c r="GN20" s="239">
        <v>3</v>
      </c>
      <c r="GO20" s="240">
        <v>5</v>
      </c>
    </row>
    <row r="21" spans="1:197">
      <c r="A21" s="202">
        <v>19</v>
      </c>
      <c r="B21" s="309" t="s">
        <v>144</v>
      </c>
      <c r="C21" s="310" t="s">
        <v>1229</v>
      </c>
      <c r="D21" s="315">
        <v>8</v>
      </c>
      <c r="E21" s="316">
        <v>5</v>
      </c>
      <c r="F21" s="241"/>
      <c r="G21" s="242" t="s">
        <v>990</v>
      </c>
      <c r="H21" s="225">
        <v>3</v>
      </c>
      <c r="I21" s="256">
        <v>2</v>
      </c>
      <c r="J21" s="309" t="s">
        <v>144</v>
      </c>
      <c r="K21" s="310" t="s">
        <v>1139</v>
      </c>
      <c r="L21" s="415">
        <v>3</v>
      </c>
      <c r="M21" s="474">
        <v>2</v>
      </c>
      <c r="N21" s="241"/>
      <c r="O21" s="242" t="s">
        <v>1096</v>
      </c>
      <c r="P21" s="225">
        <v>4</v>
      </c>
      <c r="Q21" s="256">
        <v>3</v>
      </c>
      <c r="R21" s="249" t="s">
        <v>144</v>
      </c>
      <c r="S21" s="250" t="s">
        <v>266</v>
      </c>
      <c r="T21" s="461">
        <v>4</v>
      </c>
      <c r="U21" s="462">
        <v>5</v>
      </c>
      <c r="V21" s="269"/>
      <c r="W21" s="202">
        <v>19</v>
      </c>
      <c r="X21" s="309"/>
      <c r="Y21" s="310" t="s">
        <v>1171</v>
      </c>
      <c r="Z21" s="311">
        <v>1</v>
      </c>
      <c r="AA21" s="312">
        <v>3</v>
      </c>
      <c r="AB21" s="244" t="s">
        <v>144</v>
      </c>
      <c r="AC21" s="245" t="s">
        <v>835</v>
      </c>
      <c r="AD21" s="239">
        <v>3</v>
      </c>
      <c r="AE21" s="240">
        <v>4</v>
      </c>
      <c r="AF21" s="309"/>
      <c r="AG21" s="310" t="s">
        <v>1200</v>
      </c>
      <c r="AH21" s="322">
        <v>0</v>
      </c>
      <c r="AI21" s="323">
        <v>7</v>
      </c>
      <c r="AJ21" s="244" t="s">
        <v>144</v>
      </c>
      <c r="AK21" s="245" t="s">
        <v>903</v>
      </c>
      <c r="AL21" s="239">
        <v>2</v>
      </c>
      <c r="AM21" s="240">
        <v>3</v>
      </c>
      <c r="AN21" s="309"/>
      <c r="AO21" s="310" t="s">
        <v>1265</v>
      </c>
      <c r="AP21" s="415">
        <v>6</v>
      </c>
      <c r="AQ21" s="436">
        <v>4</v>
      </c>
      <c r="AR21" s="163"/>
      <c r="AS21" s="202">
        <v>19</v>
      </c>
      <c r="AT21" s="241" t="s">
        <v>144</v>
      </c>
      <c r="AU21" s="242" t="s">
        <v>1062</v>
      </c>
      <c r="AV21" s="408">
        <v>4</v>
      </c>
      <c r="AW21" s="409">
        <v>6</v>
      </c>
      <c r="AX21" s="244"/>
      <c r="AY21" s="245" t="s">
        <v>869</v>
      </c>
      <c r="AZ21" s="239">
        <v>5</v>
      </c>
      <c r="BA21" s="396">
        <v>8</v>
      </c>
      <c r="BB21" s="244"/>
      <c r="BC21" s="245" t="s">
        <v>804</v>
      </c>
      <c r="BD21" s="440">
        <v>2</v>
      </c>
      <c r="BE21" s="441">
        <v>3</v>
      </c>
      <c r="BF21" s="241" t="s">
        <v>144</v>
      </c>
      <c r="BG21" s="242" t="s">
        <v>1025</v>
      </c>
      <c r="BH21" s="392">
        <v>3</v>
      </c>
      <c r="BI21" s="256">
        <v>1</v>
      </c>
      <c r="BJ21" s="241" t="s">
        <v>144</v>
      </c>
      <c r="BK21" s="242" t="s">
        <v>952</v>
      </c>
      <c r="BL21" s="225">
        <v>7</v>
      </c>
      <c r="BM21" s="226">
        <v>0</v>
      </c>
      <c r="BO21" s="202">
        <v>19</v>
      </c>
      <c r="BP21" s="309" t="s">
        <v>144</v>
      </c>
      <c r="BQ21" s="310" t="s">
        <v>1139</v>
      </c>
      <c r="BR21" s="311">
        <v>1</v>
      </c>
      <c r="BS21" s="312">
        <v>2</v>
      </c>
      <c r="BT21" s="241"/>
      <c r="BU21" s="242" t="s">
        <v>1062</v>
      </c>
      <c r="BV21" s="225">
        <v>1</v>
      </c>
      <c r="BW21" s="256">
        <v>0</v>
      </c>
      <c r="BX21" s="309" t="s">
        <v>144</v>
      </c>
      <c r="BY21" s="310" t="s">
        <v>1171</v>
      </c>
      <c r="BZ21" s="318">
        <v>9</v>
      </c>
      <c r="CA21" s="319">
        <v>5</v>
      </c>
      <c r="CB21" s="241"/>
      <c r="CC21" s="242" t="s">
        <v>952</v>
      </c>
      <c r="CD21" s="225">
        <v>9</v>
      </c>
      <c r="CE21" s="256">
        <v>2</v>
      </c>
      <c r="CF21" s="249" t="s">
        <v>144</v>
      </c>
      <c r="CG21" s="250" t="s">
        <v>300</v>
      </c>
      <c r="CH21" s="254">
        <v>1</v>
      </c>
      <c r="CI21" s="260">
        <v>2</v>
      </c>
      <c r="CJ21" s="269"/>
      <c r="CK21" s="202">
        <v>19</v>
      </c>
      <c r="CL21" s="309"/>
      <c r="CM21" s="310" t="s">
        <v>1200</v>
      </c>
      <c r="CN21" s="315">
        <v>4</v>
      </c>
      <c r="CO21" s="316">
        <v>3</v>
      </c>
      <c r="CP21" s="244" t="s">
        <v>144</v>
      </c>
      <c r="CQ21" s="245" t="s">
        <v>770</v>
      </c>
      <c r="CR21" s="239">
        <v>2</v>
      </c>
      <c r="CS21" s="240">
        <v>9</v>
      </c>
      <c r="CT21" s="309"/>
      <c r="CU21" s="310" t="s">
        <v>1265</v>
      </c>
      <c r="CV21" s="318">
        <v>4</v>
      </c>
      <c r="CW21" s="321">
        <v>3</v>
      </c>
      <c r="CX21" s="244" t="s">
        <v>144</v>
      </c>
      <c r="CY21" s="245" t="s">
        <v>804</v>
      </c>
      <c r="CZ21" s="239">
        <v>0</v>
      </c>
      <c r="DA21" s="240">
        <v>1</v>
      </c>
      <c r="DB21" s="309"/>
      <c r="DC21" s="310" t="s">
        <v>1229</v>
      </c>
      <c r="DD21" s="318">
        <v>3</v>
      </c>
      <c r="DE21" s="321">
        <v>1</v>
      </c>
      <c r="DF21" s="163"/>
      <c r="DG21" s="202">
        <v>19</v>
      </c>
      <c r="DH21" s="241" t="s">
        <v>144</v>
      </c>
      <c r="DI21" s="242" t="s">
        <v>1025</v>
      </c>
      <c r="DJ21" s="227">
        <v>1</v>
      </c>
      <c r="DK21" s="228">
        <v>3</v>
      </c>
      <c r="DL21" s="244"/>
      <c r="DM21" s="245" t="s">
        <v>903</v>
      </c>
      <c r="DN21" s="246">
        <v>2</v>
      </c>
      <c r="DO21" s="247">
        <v>1</v>
      </c>
      <c r="DP21" s="244"/>
      <c r="DQ21" s="245" t="s">
        <v>835</v>
      </c>
      <c r="DR21" s="237">
        <v>5</v>
      </c>
      <c r="DS21" s="248">
        <v>9</v>
      </c>
      <c r="DT21" s="241" t="s">
        <v>144</v>
      </c>
      <c r="DU21" s="242" t="s">
        <v>1096</v>
      </c>
      <c r="DV21" s="221">
        <v>3</v>
      </c>
      <c r="DW21" s="259">
        <v>4</v>
      </c>
      <c r="DX21" s="241" t="s">
        <v>144</v>
      </c>
      <c r="DY21" s="242" t="s">
        <v>990</v>
      </c>
      <c r="DZ21" s="221">
        <v>3</v>
      </c>
      <c r="EA21" s="222">
        <v>4</v>
      </c>
      <c r="EC21" s="202">
        <v>19</v>
      </c>
      <c r="ED21" s="309" t="s">
        <v>144</v>
      </c>
      <c r="EE21" s="310" t="s">
        <v>1171</v>
      </c>
      <c r="EF21" s="315">
        <v>8</v>
      </c>
      <c r="EG21" s="316">
        <v>6</v>
      </c>
      <c r="EH21" s="241"/>
      <c r="EI21" s="242" t="s">
        <v>1025</v>
      </c>
      <c r="EJ21" s="225">
        <v>4</v>
      </c>
      <c r="EK21" s="256">
        <v>0</v>
      </c>
      <c r="EL21" s="309" t="s">
        <v>144</v>
      </c>
      <c r="EM21" s="310" t="s">
        <v>1200</v>
      </c>
      <c r="EN21" s="322">
        <v>5</v>
      </c>
      <c r="EO21" s="324">
        <v>6</v>
      </c>
      <c r="EP21" s="241"/>
      <c r="EQ21" s="242" t="s">
        <v>990</v>
      </c>
      <c r="ER21" s="225">
        <v>4</v>
      </c>
      <c r="ES21" s="256">
        <v>3</v>
      </c>
      <c r="ET21" s="249" t="s">
        <v>144</v>
      </c>
      <c r="EU21" s="250" t="s">
        <v>339</v>
      </c>
      <c r="EV21" s="261">
        <v>6</v>
      </c>
      <c r="EW21" s="262">
        <v>5</v>
      </c>
      <c r="EX21" s="269"/>
      <c r="EY21" s="202">
        <v>19</v>
      </c>
      <c r="EZ21" s="309"/>
      <c r="FA21" s="310" t="s">
        <v>1265</v>
      </c>
      <c r="FB21" s="311">
        <v>3</v>
      </c>
      <c r="FC21" s="312">
        <v>7</v>
      </c>
      <c r="FD21" s="244" t="s">
        <v>144</v>
      </c>
      <c r="FE21" s="245" t="s">
        <v>869</v>
      </c>
      <c r="FF21" s="239">
        <v>3</v>
      </c>
      <c r="FG21" s="240">
        <v>4</v>
      </c>
      <c r="FH21" s="309"/>
      <c r="FI21" s="310" t="s">
        <v>1229</v>
      </c>
      <c r="FJ21" s="322">
        <v>0</v>
      </c>
      <c r="FK21" s="323">
        <v>2</v>
      </c>
      <c r="FL21" s="244" t="s">
        <v>144</v>
      </c>
      <c r="FM21" s="245" t="s">
        <v>835</v>
      </c>
      <c r="FN21" s="239">
        <v>0</v>
      </c>
      <c r="FO21" s="240">
        <v>4</v>
      </c>
      <c r="FP21" s="309"/>
      <c r="FQ21" s="310" t="s">
        <v>1139</v>
      </c>
      <c r="FR21" s="322">
        <v>5</v>
      </c>
      <c r="FS21" s="323">
        <v>9</v>
      </c>
      <c r="FT21" s="163"/>
      <c r="FU21" s="202">
        <v>19</v>
      </c>
      <c r="FV21" s="241" t="s">
        <v>144</v>
      </c>
      <c r="FW21" s="242" t="s">
        <v>1096</v>
      </c>
      <c r="FX21" s="223">
        <v>9</v>
      </c>
      <c r="FY21" s="224">
        <v>5</v>
      </c>
      <c r="FZ21" s="244"/>
      <c r="GA21" s="245" t="s">
        <v>804</v>
      </c>
      <c r="GB21" s="239">
        <v>6</v>
      </c>
      <c r="GC21" s="240">
        <v>8</v>
      </c>
      <c r="GD21" s="244"/>
      <c r="GE21" s="245" t="s">
        <v>770</v>
      </c>
      <c r="GF21" s="231">
        <v>6</v>
      </c>
      <c r="GG21" s="232">
        <v>5</v>
      </c>
      <c r="GH21" s="241" t="s">
        <v>144</v>
      </c>
      <c r="GI21" s="242" t="s">
        <v>952</v>
      </c>
      <c r="GJ21" s="225">
        <v>7</v>
      </c>
      <c r="GK21" s="256">
        <v>3</v>
      </c>
      <c r="GL21" s="241" t="s">
        <v>144</v>
      </c>
      <c r="GM21" s="242" t="s">
        <v>1062</v>
      </c>
      <c r="GN21" s="225">
        <v>2</v>
      </c>
      <c r="GO21" s="226">
        <v>0</v>
      </c>
    </row>
    <row r="22" spans="1:197">
      <c r="A22" s="202">
        <v>20</v>
      </c>
      <c r="B22" s="313" t="s">
        <v>144</v>
      </c>
      <c r="C22" s="314" t="s">
        <v>1229</v>
      </c>
      <c r="D22" s="311">
        <v>2</v>
      </c>
      <c r="E22" s="312">
        <v>7</v>
      </c>
      <c r="F22" s="219"/>
      <c r="G22" s="220" t="s">
        <v>990</v>
      </c>
      <c r="H22" s="225">
        <v>7</v>
      </c>
      <c r="I22" s="256">
        <v>0</v>
      </c>
      <c r="J22" s="313" t="s">
        <v>144</v>
      </c>
      <c r="K22" s="314" t="s">
        <v>1139</v>
      </c>
      <c r="L22" s="318">
        <v>11</v>
      </c>
      <c r="M22" s="319">
        <v>2</v>
      </c>
      <c r="N22" s="219"/>
      <c r="O22" s="220" t="s">
        <v>1096</v>
      </c>
      <c r="P22" s="221">
        <v>1</v>
      </c>
      <c r="Q22" s="259">
        <v>5</v>
      </c>
      <c r="R22" s="233" t="s">
        <v>144</v>
      </c>
      <c r="S22" s="234" t="s">
        <v>266</v>
      </c>
      <c r="T22" s="460">
        <v>10</v>
      </c>
      <c r="U22" s="459">
        <v>7</v>
      </c>
      <c r="V22" s="269"/>
      <c r="W22" s="202">
        <v>20</v>
      </c>
      <c r="X22" s="313"/>
      <c r="Y22" s="314" t="s">
        <v>1171</v>
      </c>
      <c r="Z22" s="437">
        <v>0</v>
      </c>
      <c r="AA22" s="438">
        <v>5</v>
      </c>
      <c r="AB22" s="229" t="s">
        <v>144</v>
      </c>
      <c r="AC22" s="230" t="s">
        <v>835</v>
      </c>
      <c r="AD22" s="246">
        <v>5</v>
      </c>
      <c r="AE22" s="247">
        <v>1</v>
      </c>
      <c r="AF22" s="313"/>
      <c r="AG22" s="314" t="s">
        <v>1200</v>
      </c>
      <c r="AH22" s="318">
        <v>7</v>
      </c>
      <c r="AI22" s="321">
        <v>4</v>
      </c>
      <c r="AJ22" s="229" t="s">
        <v>144</v>
      </c>
      <c r="AK22" s="230" t="s">
        <v>903</v>
      </c>
      <c r="AL22" s="239">
        <v>0</v>
      </c>
      <c r="AM22" s="240">
        <v>7</v>
      </c>
      <c r="AN22" s="313"/>
      <c r="AO22" s="314" t="s">
        <v>1265</v>
      </c>
      <c r="AP22" s="322">
        <v>6</v>
      </c>
      <c r="AQ22" s="323">
        <v>7</v>
      </c>
      <c r="AR22" s="163"/>
      <c r="AS22" s="202">
        <v>20</v>
      </c>
      <c r="AT22" s="219" t="s">
        <v>144</v>
      </c>
      <c r="AU22" s="220" t="s">
        <v>1062</v>
      </c>
      <c r="AV22" s="223">
        <v>7</v>
      </c>
      <c r="AW22" s="224">
        <v>6</v>
      </c>
      <c r="AX22" s="229"/>
      <c r="AY22" s="230" t="s">
        <v>869</v>
      </c>
      <c r="AZ22" s="246">
        <v>7</v>
      </c>
      <c r="BA22" s="247">
        <v>2</v>
      </c>
      <c r="BB22" s="229"/>
      <c r="BC22" s="230" t="s">
        <v>804</v>
      </c>
      <c r="BD22" s="237">
        <v>2</v>
      </c>
      <c r="BE22" s="248">
        <v>11</v>
      </c>
      <c r="BF22" s="219" t="s">
        <v>144</v>
      </c>
      <c r="BG22" s="220" t="s">
        <v>1025</v>
      </c>
      <c r="BH22" s="410">
        <v>5</v>
      </c>
      <c r="BI22" s="456">
        <v>0</v>
      </c>
      <c r="BJ22" s="219" t="s">
        <v>144</v>
      </c>
      <c r="BK22" s="220" t="s">
        <v>952</v>
      </c>
      <c r="BL22" s="221">
        <v>4</v>
      </c>
      <c r="BM22" s="222">
        <v>7</v>
      </c>
      <c r="BO22" s="202">
        <v>20</v>
      </c>
      <c r="BP22" s="313" t="s">
        <v>144</v>
      </c>
      <c r="BQ22" s="314" t="s">
        <v>1139</v>
      </c>
      <c r="BR22" s="311">
        <v>1</v>
      </c>
      <c r="BS22" s="312">
        <v>3</v>
      </c>
      <c r="BT22" s="219"/>
      <c r="BU22" s="220" t="s">
        <v>1062</v>
      </c>
      <c r="BV22" s="221">
        <v>3</v>
      </c>
      <c r="BW22" s="259">
        <v>8</v>
      </c>
      <c r="BX22" s="313" t="s">
        <v>144</v>
      </c>
      <c r="BY22" s="314" t="s">
        <v>1171</v>
      </c>
      <c r="BZ22" s="318">
        <v>8</v>
      </c>
      <c r="CA22" s="319">
        <v>6</v>
      </c>
      <c r="CB22" s="219"/>
      <c r="CC22" s="220" t="s">
        <v>952</v>
      </c>
      <c r="CD22" s="221">
        <v>2</v>
      </c>
      <c r="CE22" s="259">
        <v>4</v>
      </c>
      <c r="CF22" s="233" t="s">
        <v>144</v>
      </c>
      <c r="CG22" s="234" t="s">
        <v>300</v>
      </c>
      <c r="CH22" s="254">
        <v>6</v>
      </c>
      <c r="CI22" s="260">
        <v>7</v>
      </c>
      <c r="CJ22" s="269"/>
      <c r="CK22" s="202">
        <v>20</v>
      </c>
      <c r="CL22" s="313"/>
      <c r="CM22" s="314" t="s">
        <v>1200</v>
      </c>
      <c r="CN22" s="311">
        <v>1</v>
      </c>
      <c r="CO22" s="312">
        <v>7</v>
      </c>
      <c r="CP22" s="229" t="s">
        <v>144</v>
      </c>
      <c r="CQ22" s="230" t="s">
        <v>770</v>
      </c>
      <c r="CR22" s="246">
        <v>4</v>
      </c>
      <c r="CS22" s="247">
        <v>2</v>
      </c>
      <c r="CT22" s="313"/>
      <c r="CU22" s="314" t="s">
        <v>1265</v>
      </c>
      <c r="CV22" s="318">
        <v>5</v>
      </c>
      <c r="CW22" s="321">
        <v>3</v>
      </c>
      <c r="CX22" s="229" t="s">
        <v>144</v>
      </c>
      <c r="CY22" s="230" t="s">
        <v>804</v>
      </c>
      <c r="CZ22" s="246">
        <v>8</v>
      </c>
      <c r="DA22" s="247">
        <v>3</v>
      </c>
      <c r="DB22" s="313"/>
      <c r="DC22" s="314" t="s">
        <v>1229</v>
      </c>
      <c r="DD22" s="318">
        <v>9</v>
      </c>
      <c r="DE22" s="321">
        <v>1</v>
      </c>
      <c r="DF22" s="163"/>
      <c r="DG22" s="202">
        <v>20</v>
      </c>
      <c r="DH22" s="219" t="s">
        <v>144</v>
      </c>
      <c r="DI22" s="220" t="s">
        <v>1025</v>
      </c>
      <c r="DJ22" s="227">
        <v>1</v>
      </c>
      <c r="DK22" s="228">
        <v>9</v>
      </c>
      <c r="DL22" s="229"/>
      <c r="DM22" s="230" t="s">
        <v>903</v>
      </c>
      <c r="DN22" s="246">
        <v>3</v>
      </c>
      <c r="DO22" s="247">
        <v>1</v>
      </c>
      <c r="DP22" s="229"/>
      <c r="DQ22" s="230" t="s">
        <v>835</v>
      </c>
      <c r="DR22" s="237">
        <v>6</v>
      </c>
      <c r="DS22" s="248">
        <v>8</v>
      </c>
      <c r="DT22" s="219" t="s">
        <v>144</v>
      </c>
      <c r="DU22" s="220" t="s">
        <v>1096</v>
      </c>
      <c r="DV22" s="223">
        <v>7</v>
      </c>
      <c r="DW22" s="256">
        <v>1</v>
      </c>
      <c r="DX22" s="219" t="s">
        <v>144</v>
      </c>
      <c r="DY22" s="220" t="s">
        <v>990</v>
      </c>
      <c r="DZ22" s="221">
        <v>3</v>
      </c>
      <c r="EA22" s="222">
        <v>5</v>
      </c>
      <c r="EC22" s="202">
        <v>20</v>
      </c>
      <c r="ED22" s="313" t="s">
        <v>144</v>
      </c>
      <c r="EE22" s="314" t="s">
        <v>1171</v>
      </c>
      <c r="EF22" s="311">
        <v>1</v>
      </c>
      <c r="EG22" s="312">
        <v>6</v>
      </c>
      <c r="EH22" s="219"/>
      <c r="EI22" s="220" t="s">
        <v>1025</v>
      </c>
      <c r="EJ22" s="225">
        <v>4</v>
      </c>
      <c r="EK22" s="256">
        <v>3</v>
      </c>
      <c r="EL22" s="313" t="s">
        <v>144</v>
      </c>
      <c r="EM22" s="314" t="s">
        <v>1200</v>
      </c>
      <c r="EN22" s="318">
        <v>7</v>
      </c>
      <c r="EO22" s="319">
        <v>6</v>
      </c>
      <c r="EP22" s="219"/>
      <c r="EQ22" s="220" t="s">
        <v>990</v>
      </c>
      <c r="ER22" s="221">
        <v>0</v>
      </c>
      <c r="ES22" s="259">
        <v>7</v>
      </c>
      <c r="ET22" s="233" t="s">
        <v>144</v>
      </c>
      <c r="EU22" s="234" t="s">
        <v>339</v>
      </c>
      <c r="EV22" s="254">
        <v>0</v>
      </c>
      <c r="EW22" s="260">
        <v>3</v>
      </c>
      <c r="EX22" s="269"/>
      <c r="EY22" s="202">
        <v>20</v>
      </c>
      <c r="EZ22" s="313"/>
      <c r="FA22" s="314" t="s">
        <v>1265</v>
      </c>
      <c r="FB22" s="315">
        <v>8</v>
      </c>
      <c r="FC22" s="316">
        <v>1</v>
      </c>
      <c r="FD22" s="229" t="s">
        <v>144</v>
      </c>
      <c r="FE22" s="230" t="s">
        <v>869</v>
      </c>
      <c r="FF22" s="246">
        <v>7</v>
      </c>
      <c r="FG22" s="247">
        <v>0</v>
      </c>
      <c r="FH22" s="313"/>
      <c r="FI22" s="314" t="s">
        <v>1229</v>
      </c>
      <c r="FJ22" s="318">
        <v>9</v>
      </c>
      <c r="FK22" s="321">
        <v>8</v>
      </c>
      <c r="FL22" s="229" t="s">
        <v>144</v>
      </c>
      <c r="FM22" s="230" t="s">
        <v>835</v>
      </c>
      <c r="FN22" s="239">
        <v>3</v>
      </c>
      <c r="FO22" s="240">
        <v>4</v>
      </c>
      <c r="FP22" s="313"/>
      <c r="FQ22" s="314" t="s">
        <v>1139</v>
      </c>
      <c r="FR22" s="322">
        <v>10</v>
      </c>
      <c r="FS22" s="323">
        <v>11</v>
      </c>
      <c r="FT22" s="163"/>
      <c r="FU22" s="202">
        <v>20</v>
      </c>
      <c r="FV22" s="219" t="s">
        <v>144</v>
      </c>
      <c r="FW22" s="220" t="s">
        <v>1096</v>
      </c>
      <c r="FX22" s="223">
        <v>11</v>
      </c>
      <c r="FY22" s="224">
        <v>10</v>
      </c>
      <c r="FZ22" s="229"/>
      <c r="GA22" s="230" t="s">
        <v>804</v>
      </c>
      <c r="GB22" s="246">
        <v>6</v>
      </c>
      <c r="GC22" s="247">
        <v>1</v>
      </c>
      <c r="GD22" s="229"/>
      <c r="GE22" s="230" t="s">
        <v>770</v>
      </c>
      <c r="GF22" s="237">
        <v>6</v>
      </c>
      <c r="GG22" s="248">
        <v>7</v>
      </c>
      <c r="GH22" s="219" t="s">
        <v>144</v>
      </c>
      <c r="GI22" s="220" t="s">
        <v>952</v>
      </c>
      <c r="GJ22" s="227">
        <v>1</v>
      </c>
      <c r="GK22" s="259">
        <v>8</v>
      </c>
      <c r="GL22" s="219" t="s">
        <v>144</v>
      </c>
      <c r="GM22" s="220" t="s">
        <v>1062</v>
      </c>
      <c r="GN22" s="221">
        <v>8</v>
      </c>
      <c r="GO22" s="222">
        <v>9</v>
      </c>
    </row>
    <row r="23" spans="1:197">
      <c r="A23" s="202">
        <v>21</v>
      </c>
      <c r="B23" s="309"/>
      <c r="C23" s="310" t="s">
        <v>1265</v>
      </c>
      <c r="D23" s="311">
        <v>7</v>
      </c>
      <c r="E23" s="312">
        <v>8</v>
      </c>
      <c r="F23" s="309" t="s">
        <v>144</v>
      </c>
      <c r="G23" s="310" t="s">
        <v>1229</v>
      </c>
      <c r="H23" s="437">
        <v>1</v>
      </c>
      <c r="I23" s="453">
        <v>4</v>
      </c>
      <c r="J23" s="249" t="s">
        <v>144</v>
      </c>
      <c r="K23" s="250" t="s">
        <v>165</v>
      </c>
      <c r="L23" s="254">
        <v>3</v>
      </c>
      <c r="M23" s="267">
        <v>5</v>
      </c>
      <c r="N23" s="241" t="s">
        <v>144</v>
      </c>
      <c r="O23" s="242" t="s">
        <v>1062</v>
      </c>
      <c r="P23" s="225">
        <v>2</v>
      </c>
      <c r="Q23" s="256">
        <v>1</v>
      </c>
      <c r="R23" s="309"/>
      <c r="S23" s="310" t="s">
        <v>1200</v>
      </c>
      <c r="T23" s="418">
        <v>0</v>
      </c>
      <c r="U23" s="419">
        <v>3</v>
      </c>
      <c r="V23" s="163"/>
      <c r="W23" s="202">
        <v>21</v>
      </c>
      <c r="X23" s="309" t="s">
        <v>144</v>
      </c>
      <c r="Y23" s="310" t="s">
        <v>1139</v>
      </c>
      <c r="Z23" s="311">
        <v>0</v>
      </c>
      <c r="AA23" s="312">
        <v>3</v>
      </c>
      <c r="AB23" s="309"/>
      <c r="AC23" s="310" t="s">
        <v>1171</v>
      </c>
      <c r="AD23" s="311">
        <v>2</v>
      </c>
      <c r="AE23" s="312">
        <v>4</v>
      </c>
      <c r="AF23" s="249"/>
      <c r="AG23" s="250" t="s">
        <v>502</v>
      </c>
      <c r="AH23" s="254">
        <v>4</v>
      </c>
      <c r="AI23" s="260">
        <v>6</v>
      </c>
      <c r="AJ23" s="249" t="s">
        <v>144</v>
      </c>
      <c r="AK23" s="250" t="s">
        <v>539</v>
      </c>
      <c r="AL23" s="430">
        <v>1</v>
      </c>
      <c r="AM23" s="429">
        <v>8</v>
      </c>
      <c r="AN23" s="244"/>
      <c r="AO23" s="245" t="s">
        <v>835</v>
      </c>
      <c r="AP23" s="237">
        <v>1</v>
      </c>
      <c r="AQ23" s="248">
        <v>2</v>
      </c>
      <c r="AR23" s="163"/>
      <c r="AS23" s="202">
        <v>21</v>
      </c>
      <c r="AT23" s="244" t="s">
        <v>144</v>
      </c>
      <c r="AU23" s="245" t="s">
        <v>869</v>
      </c>
      <c r="AV23" s="231">
        <v>8</v>
      </c>
      <c r="AW23" s="232">
        <v>7</v>
      </c>
      <c r="AX23" s="244"/>
      <c r="AY23" s="245" t="s">
        <v>903</v>
      </c>
      <c r="AZ23" s="433">
        <v>4</v>
      </c>
      <c r="BA23" s="464">
        <v>1</v>
      </c>
      <c r="BB23" s="241"/>
      <c r="BC23" s="242" t="s">
        <v>1025</v>
      </c>
      <c r="BD23" s="223">
        <v>3</v>
      </c>
      <c r="BE23" s="224">
        <v>0</v>
      </c>
      <c r="BF23" s="241" t="s">
        <v>144</v>
      </c>
      <c r="BG23" s="242" t="s">
        <v>1096</v>
      </c>
      <c r="BH23" s="225">
        <v>4</v>
      </c>
      <c r="BI23" s="256">
        <v>2</v>
      </c>
      <c r="BJ23" s="244" t="s">
        <v>144</v>
      </c>
      <c r="BK23" s="245" t="s">
        <v>770</v>
      </c>
      <c r="BL23" s="246">
        <v>3</v>
      </c>
      <c r="BM23" s="247">
        <v>0</v>
      </c>
      <c r="BO23" s="202">
        <v>21</v>
      </c>
      <c r="BP23" s="309"/>
      <c r="BQ23" s="310" t="s">
        <v>1229</v>
      </c>
      <c r="BR23" s="315">
        <v>4</v>
      </c>
      <c r="BS23" s="316">
        <v>0</v>
      </c>
      <c r="BT23" s="309" t="s">
        <v>144</v>
      </c>
      <c r="BU23" s="310" t="s">
        <v>1139</v>
      </c>
      <c r="BV23" s="315">
        <v>5</v>
      </c>
      <c r="BW23" s="317">
        <v>0</v>
      </c>
      <c r="BX23" s="249" t="s">
        <v>144</v>
      </c>
      <c r="BY23" s="250" t="s">
        <v>226</v>
      </c>
      <c r="BZ23" s="261">
        <v>3</v>
      </c>
      <c r="CA23" s="266">
        <v>2</v>
      </c>
      <c r="CB23" s="241" t="s">
        <v>144</v>
      </c>
      <c r="CC23" s="242" t="s">
        <v>1025</v>
      </c>
      <c r="CD23" s="221">
        <v>0</v>
      </c>
      <c r="CE23" s="259">
        <v>5</v>
      </c>
      <c r="CF23" s="309"/>
      <c r="CG23" s="310" t="s">
        <v>1265</v>
      </c>
      <c r="CH23" s="322">
        <v>2</v>
      </c>
      <c r="CI23" s="323">
        <v>3</v>
      </c>
      <c r="CJ23" s="163"/>
      <c r="CK23" s="202">
        <v>21</v>
      </c>
      <c r="CL23" s="309" t="s">
        <v>144</v>
      </c>
      <c r="CM23" s="310" t="s">
        <v>1171</v>
      </c>
      <c r="CN23" s="311">
        <v>7</v>
      </c>
      <c r="CO23" s="312">
        <v>11</v>
      </c>
      <c r="CP23" s="309"/>
      <c r="CQ23" s="310" t="s">
        <v>1200</v>
      </c>
      <c r="CR23" s="311">
        <v>0</v>
      </c>
      <c r="CS23" s="312">
        <v>1</v>
      </c>
      <c r="CT23" s="249"/>
      <c r="CU23" s="250" t="s">
        <v>539</v>
      </c>
      <c r="CV23" s="261">
        <v>3</v>
      </c>
      <c r="CW23" s="262">
        <v>1</v>
      </c>
      <c r="CX23" s="249" t="s">
        <v>144</v>
      </c>
      <c r="CY23" s="250" t="s">
        <v>429</v>
      </c>
      <c r="CZ23" s="235">
        <v>2</v>
      </c>
      <c r="DA23" s="236">
        <v>6</v>
      </c>
      <c r="DB23" s="244"/>
      <c r="DC23" s="245" t="s">
        <v>770</v>
      </c>
      <c r="DD23" s="231">
        <v>5</v>
      </c>
      <c r="DE23" s="232">
        <v>0</v>
      </c>
      <c r="DF23" s="163"/>
      <c r="DG23" s="202">
        <v>21</v>
      </c>
      <c r="DH23" s="244" t="s">
        <v>144</v>
      </c>
      <c r="DI23" s="245" t="s">
        <v>903</v>
      </c>
      <c r="DJ23" s="237">
        <v>0</v>
      </c>
      <c r="DK23" s="248">
        <v>4</v>
      </c>
      <c r="DL23" s="244"/>
      <c r="DM23" s="245" t="s">
        <v>804</v>
      </c>
      <c r="DN23" s="239">
        <v>0</v>
      </c>
      <c r="DO23" s="240">
        <v>5</v>
      </c>
      <c r="DP23" s="241"/>
      <c r="DQ23" s="242" t="s">
        <v>1096</v>
      </c>
      <c r="DR23" s="223">
        <v>11</v>
      </c>
      <c r="DS23" s="224">
        <v>7</v>
      </c>
      <c r="DT23" s="241" t="s">
        <v>144</v>
      </c>
      <c r="DU23" s="242" t="s">
        <v>952</v>
      </c>
      <c r="DV23" s="225">
        <v>1</v>
      </c>
      <c r="DW23" s="256">
        <v>0</v>
      </c>
      <c r="DX23" s="244" t="s">
        <v>144</v>
      </c>
      <c r="DY23" s="245" t="s">
        <v>869</v>
      </c>
      <c r="DZ23" s="246">
        <v>3</v>
      </c>
      <c r="EA23" s="247">
        <v>2</v>
      </c>
      <c r="EC23" s="202">
        <v>21</v>
      </c>
      <c r="ED23" s="309"/>
      <c r="EE23" s="310" t="s">
        <v>1139</v>
      </c>
      <c r="EF23" s="311">
        <v>0</v>
      </c>
      <c r="EG23" s="312">
        <v>3</v>
      </c>
      <c r="EH23" s="309" t="s">
        <v>144</v>
      </c>
      <c r="EI23" s="310" t="s">
        <v>1171</v>
      </c>
      <c r="EJ23" s="315">
        <v>1</v>
      </c>
      <c r="EK23" s="317">
        <v>0</v>
      </c>
      <c r="EL23" s="249" t="s">
        <v>144</v>
      </c>
      <c r="EM23" s="250" t="s">
        <v>266</v>
      </c>
      <c r="EN23" s="254">
        <v>0</v>
      </c>
      <c r="EO23" s="267">
        <v>1</v>
      </c>
      <c r="EP23" s="241" t="s">
        <v>144</v>
      </c>
      <c r="EQ23" s="242" t="s">
        <v>1096</v>
      </c>
      <c r="ER23" s="225">
        <v>3</v>
      </c>
      <c r="ES23" s="256">
        <v>0</v>
      </c>
      <c r="ET23" s="309"/>
      <c r="EU23" s="310" t="s">
        <v>1229</v>
      </c>
      <c r="EV23" s="322">
        <v>4</v>
      </c>
      <c r="EW23" s="323">
        <v>6</v>
      </c>
      <c r="EX23" s="163"/>
      <c r="EY23" s="202">
        <v>21</v>
      </c>
      <c r="EZ23" s="309" t="s">
        <v>144</v>
      </c>
      <c r="FA23" s="310" t="s">
        <v>1200</v>
      </c>
      <c r="FB23" s="311">
        <v>4</v>
      </c>
      <c r="FC23" s="312">
        <v>5</v>
      </c>
      <c r="FD23" s="309"/>
      <c r="FE23" s="310" t="s">
        <v>1265</v>
      </c>
      <c r="FF23" s="311">
        <v>1</v>
      </c>
      <c r="FG23" s="312">
        <v>4</v>
      </c>
      <c r="FH23" s="249"/>
      <c r="FI23" s="250" t="s">
        <v>429</v>
      </c>
      <c r="FJ23" s="254">
        <v>3</v>
      </c>
      <c r="FK23" s="260">
        <v>11</v>
      </c>
      <c r="FL23" s="249"/>
      <c r="FM23" s="250" t="s">
        <v>394</v>
      </c>
      <c r="FN23" s="251">
        <v>4</v>
      </c>
      <c r="FO23" s="257">
        <v>2</v>
      </c>
      <c r="FP23" s="244"/>
      <c r="FQ23" s="245" t="s">
        <v>869</v>
      </c>
      <c r="FR23" s="237">
        <v>0</v>
      </c>
      <c r="FS23" s="248">
        <v>3</v>
      </c>
      <c r="FT23" s="163"/>
      <c r="FU23" s="202">
        <v>21</v>
      </c>
      <c r="FV23" s="244" t="s">
        <v>144</v>
      </c>
      <c r="FW23" s="245" t="s">
        <v>804</v>
      </c>
      <c r="FX23" s="231">
        <v>3</v>
      </c>
      <c r="FY23" s="232">
        <v>0</v>
      </c>
      <c r="FZ23" s="244"/>
      <c r="GA23" s="245" t="s">
        <v>835</v>
      </c>
      <c r="GB23" s="239">
        <v>0</v>
      </c>
      <c r="GC23" s="240">
        <v>1</v>
      </c>
      <c r="GD23" s="241"/>
      <c r="GE23" s="242" t="s">
        <v>952</v>
      </c>
      <c r="GF23" s="223">
        <v>5</v>
      </c>
      <c r="GG23" s="224">
        <v>4</v>
      </c>
      <c r="GH23" s="241" t="s">
        <v>144</v>
      </c>
      <c r="GI23" s="242" t="s">
        <v>990</v>
      </c>
      <c r="GJ23" s="225">
        <v>4</v>
      </c>
      <c r="GK23" s="256">
        <v>1</v>
      </c>
      <c r="GL23" s="244" t="s">
        <v>144</v>
      </c>
      <c r="GM23" s="245" t="s">
        <v>903</v>
      </c>
      <c r="GN23" s="246">
        <v>6</v>
      </c>
      <c r="GO23" s="247">
        <v>4</v>
      </c>
    </row>
    <row r="24" spans="1:197">
      <c r="A24" s="202">
        <v>22</v>
      </c>
      <c r="B24" s="313"/>
      <c r="C24" s="314" t="s">
        <v>1265</v>
      </c>
      <c r="D24" s="315">
        <v>7</v>
      </c>
      <c r="E24" s="316">
        <v>6</v>
      </c>
      <c r="F24" s="313" t="s">
        <v>144</v>
      </c>
      <c r="G24" s="314" t="s">
        <v>1229</v>
      </c>
      <c r="H24" s="315">
        <v>7</v>
      </c>
      <c r="I24" s="317">
        <v>3</v>
      </c>
      <c r="J24" s="233" t="s">
        <v>144</v>
      </c>
      <c r="K24" s="234" t="s">
        <v>165</v>
      </c>
      <c r="L24" s="261">
        <v>3</v>
      </c>
      <c r="M24" s="266">
        <v>1</v>
      </c>
      <c r="N24" s="219" t="s">
        <v>144</v>
      </c>
      <c r="O24" s="220" t="s">
        <v>1062</v>
      </c>
      <c r="P24" s="392">
        <v>5</v>
      </c>
      <c r="Q24" s="456">
        <v>3</v>
      </c>
      <c r="R24" s="313"/>
      <c r="S24" s="314" t="s">
        <v>1200</v>
      </c>
      <c r="T24" s="322">
        <v>0</v>
      </c>
      <c r="U24" s="419">
        <v>8</v>
      </c>
      <c r="V24" s="163"/>
      <c r="W24" s="202">
        <v>22</v>
      </c>
      <c r="X24" s="313" t="s">
        <v>144</v>
      </c>
      <c r="Y24" s="314" t="s">
        <v>1139</v>
      </c>
      <c r="Z24" s="315">
        <v>4</v>
      </c>
      <c r="AA24" s="316">
        <v>1</v>
      </c>
      <c r="AB24" s="313"/>
      <c r="AC24" s="314" t="s">
        <v>1171</v>
      </c>
      <c r="AD24" s="422">
        <v>1</v>
      </c>
      <c r="AE24" s="421">
        <v>0</v>
      </c>
      <c r="AF24" s="233"/>
      <c r="AG24" s="234" t="s">
        <v>502</v>
      </c>
      <c r="AH24" s="461">
        <v>0</v>
      </c>
      <c r="AI24" s="462">
        <v>4</v>
      </c>
      <c r="AJ24" s="233" t="s">
        <v>144</v>
      </c>
      <c r="AK24" s="234" t="s">
        <v>539</v>
      </c>
      <c r="AL24" s="426">
        <v>6</v>
      </c>
      <c r="AM24" s="425">
        <v>0</v>
      </c>
      <c r="AN24" s="229"/>
      <c r="AO24" s="230" t="s">
        <v>835</v>
      </c>
      <c r="AP24" s="440">
        <v>3</v>
      </c>
      <c r="AQ24" s="441">
        <v>5</v>
      </c>
      <c r="AR24" s="163"/>
      <c r="AS24" s="202">
        <v>22</v>
      </c>
      <c r="AT24" s="229" t="s">
        <v>144</v>
      </c>
      <c r="AU24" s="230" t="s">
        <v>869</v>
      </c>
      <c r="AV24" s="237">
        <v>6</v>
      </c>
      <c r="AW24" s="248">
        <v>7</v>
      </c>
      <c r="AX24" s="229"/>
      <c r="AY24" s="230" t="s">
        <v>903</v>
      </c>
      <c r="AZ24" s="239">
        <v>3</v>
      </c>
      <c r="BA24" s="240">
        <v>7</v>
      </c>
      <c r="BB24" s="219"/>
      <c r="BC24" s="220" t="s">
        <v>1025</v>
      </c>
      <c r="BD24" s="227">
        <v>1</v>
      </c>
      <c r="BE24" s="228">
        <v>4</v>
      </c>
      <c r="BF24" s="219" t="s">
        <v>144</v>
      </c>
      <c r="BG24" s="220" t="s">
        <v>1096</v>
      </c>
      <c r="BH24" s="408">
        <v>0</v>
      </c>
      <c r="BI24" s="451">
        <v>1</v>
      </c>
      <c r="BJ24" s="229" t="s">
        <v>144</v>
      </c>
      <c r="BK24" s="230" t="s">
        <v>770</v>
      </c>
      <c r="BL24" s="246">
        <v>8</v>
      </c>
      <c r="BM24" s="247">
        <v>0</v>
      </c>
      <c r="BO24" s="202">
        <v>22</v>
      </c>
      <c r="BP24" s="313"/>
      <c r="BQ24" s="314" t="s">
        <v>1229</v>
      </c>
      <c r="BR24" s="311">
        <v>2</v>
      </c>
      <c r="BS24" s="312">
        <v>8</v>
      </c>
      <c r="BT24" s="313" t="s">
        <v>144</v>
      </c>
      <c r="BU24" s="314" t="s">
        <v>1139</v>
      </c>
      <c r="BV24" s="315">
        <v>3</v>
      </c>
      <c r="BW24" s="317">
        <v>1</v>
      </c>
      <c r="BX24" s="233" t="s">
        <v>144</v>
      </c>
      <c r="BY24" s="234" t="s">
        <v>226</v>
      </c>
      <c r="BZ24" s="254">
        <v>6</v>
      </c>
      <c r="CA24" s="267">
        <v>7</v>
      </c>
      <c r="CB24" s="219" t="s">
        <v>144</v>
      </c>
      <c r="CC24" s="220" t="s">
        <v>1025</v>
      </c>
      <c r="CD24" s="225">
        <v>10</v>
      </c>
      <c r="CE24" s="256">
        <v>3</v>
      </c>
      <c r="CF24" s="313"/>
      <c r="CG24" s="314" t="s">
        <v>1265</v>
      </c>
      <c r="CH24" s="318">
        <v>9</v>
      </c>
      <c r="CI24" s="321">
        <v>0</v>
      </c>
      <c r="CJ24" s="163"/>
      <c r="CK24" s="202">
        <v>22</v>
      </c>
      <c r="CL24" s="313" t="s">
        <v>144</v>
      </c>
      <c r="CM24" s="314" t="s">
        <v>1171</v>
      </c>
      <c r="CN24" s="311">
        <v>2</v>
      </c>
      <c r="CO24" s="312">
        <v>4</v>
      </c>
      <c r="CP24" s="313"/>
      <c r="CQ24" s="314" t="s">
        <v>1200</v>
      </c>
      <c r="CR24" s="311">
        <v>0</v>
      </c>
      <c r="CS24" s="312">
        <v>8</v>
      </c>
      <c r="CT24" s="233"/>
      <c r="CU24" s="234" t="s">
        <v>539</v>
      </c>
      <c r="CV24" s="261">
        <v>5</v>
      </c>
      <c r="CW24" s="262">
        <v>2</v>
      </c>
      <c r="CX24" s="233" t="s">
        <v>144</v>
      </c>
      <c r="CY24" s="234" t="s">
        <v>429</v>
      </c>
      <c r="CZ24" s="251">
        <v>5</v>
      </c>
      <c r="DA24" s="257">
        <v>0</v>
      </c>
      <c r="DB24" s="229"/>
      <c r="DC24" s="230" t="s">
        <v>770</v>
      </c>
      <c r="DD24" s="237">
        <v>3</v>
      </c>
      <c r="DE24" s="248">
        <v>10</v>
      </c>
      <c r="DF24" s="163"/>
      <c r="DG24" s="202">
        <v>22</v>
      </c>
      <c r="DH24" s="229" t="s">
        <v>144</v>
      </c>
      <c r="DI24" s="230" t="s">
        <v>903</v>
      </c>
      <c r="DJ24" s="231">
        <v>8</v>
      </c>
      <c r="DK24" s="232">
        <v>2</v>
      </c>
      <c r="DL24" s="229"/>
      <c r="DM24" s="230" t="s">
        <v>804</v>
      </c>
      <c r="DN24" s="239">
        <v>1</v>
      </c>
      <c r="DO24" s="240">
        <v>3</v>
      </c>
      <c r="DP24" s="219"/>
      <c r="DQ24" s="220" t="s">
        <v>1096</v>
      </c>
      <c r="DR24" s="223">
        <v>4</v>
      </c>
      <c r="DS24" s="224">
        <v>2</v>
      </c>
      <c r="DT24" s="219" t="s">
        <v>144</v>
      </c>
      <c r="DU24" s="220" t="s">
        <v>952</v>
      </c>
      <c r="DV24" s="223">
        <v>8</v>
      </c>
      <c r="DW24" s="256">
        <v>0</v>
      </c>
      <c r="DX24" s="229" t="s">
        <v>144</v>
      </c>
      <c r="DY24" s="230" t="s">
        <v>869</v>
      </c>
      <c r="DZ24" s="239">
        <v>0</v>
      </c>
      <c r="EA24" s="240">
        <v>9</v>
      </c>
      <c r="EC24" s="202">
        <v>22</v>
      </c>
      <c r="ED24" s="313"/>
      <c r="EE24" s="314" t="s">
        <v>1139</v>
      </c>
      <c r="EF24" s="315">
        <v>2</v>
      </c>
      <c r="EG24" s="316">
        <v>1</v>
      </c>
      <c r="EH24" s="313" t="s">
        <v>144</v>
      </c>
      <c r="EI24" s="314" t="s">
        <v>1171</v>
      </c>
      <c r="EJ24" s="315">
        <v>7</v>
      </c>
      <c r="EK24" s="317">
        <v>2</v>
      </c>
      <c r="EL24" s="233" t="s">
        <v>144</v>
      </c>
      <c r="EM24" s="234" t="s">
        <v>266</v>
      </c>
      <c r="EN24" s="261">
        <v>4</v>
      </c>
      <c r="EO24" s="266">
        <v>3</v>
      </c>
      <c r="EP24" s="219" t="s">
        <v>144</v>
      </c>
      <c r="EQ24" s="220" t="s">
        <v>1096</v>
      </c>
      <c r="ER24" s="221">
        <v>0</v>
      </c>
      <c r="ES24" s="259">
        <v>1</v>
      </c>
      <c r="ET24" s="313"/>
      <c r="EU24" s="314" t="s">
        <v>1229</v>
      </c>
      <c r="EV24" s="322">
        <v>4</v>
      </c>
      <c r="EW24" s="323">
        <v>6</v>
      </c>
      <c r="EX24" s="163"/>
      <c r="EY24" s="202">
        <v>22</v>
      </c>
      <c r="EZ24" s="313" t="s">
        <v>144</v>
      </c>
      <c r="FA24" s="314" t="s">
        <v>1200</v>
      </c>
      <c r="FB24" s="315">
        <v>12</v>
      </c>
      <c r="FC24" s="316">
        <v>10</v>
      </c>
      <c r="FD24" s="313"/>
      <c r="FE24" s="314" t="s">
        <v>1265</v>
      </c>
      <c r="FF24" s="311">
        <v>3</v>
      </c>
      <c r="FG24" s="312">
        <v>4</v>
      </c>
      <c r="FH24" s="233"/>
      <c r="FI24" s="234" t="s">
        <v>429</v>
      </c>
      <c r="FJ24" s="261">
        <v>3</v>
      </c>
      <c r="FK24" s="262">
        <v>1</v>
      </c>
      <c r="FL24" s="233"/>
      <c r="FM24" s="234" t="s">
        <v>394</v>
      </c>
      <c r="FN24" s="235">
        <v>0</v>
      </c>
      <c r="FO24" s="236">
        <v>6</v>
      </c>
      <c r="FP24" s="229"/>
      <c r="FQ24" s="230" t="s">
        <v>869</v>
      </c>
      <c r="FR24" s="231">
        <v>1</v>
      </c>
      <c r="FS24" s="232">
        <v>0</v>
      </c>
      <c r="FT24" s="163"/>
      <c r="FU24" s="202">
        <v>22</v>
      </c>
      <c r="FV24" s="229" t="s">
        <v>144</v>
      </c>
      <c r="FW24" s="230" t="s">
        <v>804</v>
      </c>
      <c r="FX24" s="237">
        <v>1</v>
      </c>
      <c r="FY24" s="248">
        <v>2</v>
      </c>
      <c r="FZ24" s="229"/>
      <c r="GA24" s="230" t="s">
        <v>835</v>
      </c>
      <c r="GB24" s="239">
        <v>2</v>
      </c>
      <c r="GC24" s="240">
        <v>7</v>
      </c>
      <c r="GD24" s="219"/>
      <c r="GE24" s="220" t="s">
        <v>952</v>
      </c>
      <c r="GF24" s="227">
        <v>10</v>
      </c>
      <c r="GG24" s="228">
        <v>12</v>
      </c>
      <c r="GH24" s="219" t="s">
        <v>144</v>
      </c>
      <c r="GI24" s="220" t="s">
        <v>990</v>
      </c>
      <c r="GJ24" s="223">
        <v>4</v>
      </c>
      <c r="GK24" s="256">
        <v>3</v>
      </c>
      <c r="GL24" s="229" t="s">
        <v>144</v>
      </c>
      <c r="GM24" s="230" t="s">
        <v>903</v>
      </c>
      <c r="GN24" s="246">
        <v>6</v>
      </c>
      <c r="GO24" s="247">
        <v>4</v>
      </c>
    </row>
    <row r="25" spans="1:197">
      <c r="A25" s="202">
        <v>23</v>
      </c>
      <c r="B25" s="241" t="s">
        <v>144</v>
      </c>
      <c r="C25" s="242" t="s">
        <v>990</v>
      </c>
      <c r="D25" s="225">
        <v>1</v>
      </c>
      <c r="E25" s="226">
        <v>0</v>
      </c>
      <c r="F25" s="309" t="s">
        <v>144</v>
      </c>
      <c r="G25" s="310" t="s">
        <v>1265</v>
      </c>
      <c r="H25" s="311">
        <v>0</v>
      </c>
      <c r="I25" s="320">
        <v>7</v>
      </c>
      <c r="J25" s="309"/>
      <c r="K25" s="310" t="s">
        <v>1229</v>
      </c>
      <c r="L25" s="318">
        <v>7</v>
      </c>
      <c r="M25" s="319">
        <v>1</v>
      </c>
      <c r="N25" s="249" t="s">
        <v>144</v>
      </c>
      <c r="O25" s="250" t="s">
        <v>226</v>
      </c>
      <c r="P25" s="235">
        <v>2</v>
      </c>
      <c r="Q25" s="255">
        <v>7</v>
      </c>
      <c r="R25" s="249"/>
      <c r="S25" s="250" t="s">
        <v>266</v>
      </c>
      <c r="T25" s="261">
        <v>2</v>
      </c>
      <c r="U25" s="262">
        <v>1</v>
      </c>
      <c r="V25" s="269"/>
      <c r="W25" s="202">
        <v>23</v>
      </c>
      <c r="X25" s="309" t="s">
        <v>144</v>
      </c>
      <c r="Y25" s="310" t="s">
        <v>1200</v>
      </c>
      <c r="Z25" s="437">
        <v>2</v>
      </c>
      <c r="AA25" s="438">
        <v>3</v>
      </c>
      <c r="AB25" s="309"/>
      <c r="AC25" s="310" t="s">
        <v>1139</v>
      </c>
      <c r="AD25" s="422">
        <v>7</v>
      </c>
      <c r="AE25" s="316">
        <v>1</v>
      </c>
      <c r="AF25" s="309" t="s">
        <v>144</v>
      </c>
      <c r="AG25" s="310" t="s">
        <v>1171</v>
      </c>
      <c r="AH25" s="418">
        <v>0</v>
      </c>
      <c r="AI25" s="419">
        <v>4</v>
      </c>
      <c r="AJ25" s="244"/>
      <c r="AK25" s="245" t="s">
        <v>869</v>
      </c>
      <c r="AL25" s="239">
        <v>0</v>
      </c>
      <c r="AM25" s="240">
        <v>1</v>
      </c>
      <c r="AN25" s="249" t="s">
        <v>144</v>
      </c>
      <c r="AO25" s="250" t="s">
        <v>429</v>
      </c>
      <c r="AP25" s="254">
        <v>1</v>
      </c>
      <c r="AQ25" s="260">
        <v>7</v>
      </c>
      <c r="AR25" s="269"/>
      <c r="AS25" s="202">
        <v>23</v>
      </c>
      <c r="AT25" s="244"/>
      <c r="AU25" s="245" t="s">
        <v>903</v>
      </c>
      <c r="AV25" s="231">
        <v>7</v>
      </c>
      <c r="AW25" s="232">
        <v>0</v>
      </c>
      <c r="AX25" s="244" t="s">
        <v>144</v>
      </c>
      <c r="AY25" s="245" t="s">
        <v>804</v>
      </c>
      <c r="AZ25" s="239">
        <v>1</v>
      </c>
      <c r="BA25" s="240">
        <v>7</v>
      </c>
      <c r="BB25" s="241" t="s">
        <v>144</v>
      </c>
      <c r="BC25" s="242" t="s">
        <v>1096</v>
      </c>
      <c r="BD25" s="227">
        <v>1</v>
      </c>
      <c r="BE25" s="228">
        <v>7</v>
      </c>
      <c r="BF25" s="241"/>
      <c r="BG25" s="242" t="s">
        <v>952</v>
      </c>
      <c r="BH25" s="392">
        <v>4</v>
      </c>
      <c r="BI25" s="456">
        <v>0</v>
      </c>
      <c r="BJ25" s="241"/>
      <c r="BK25" s="242" t="s">
        <v>1025</v>
      </c>
      <c r="BL25" s="392">
        <v>3</v>
      </c>
      <c r="BM25" s="390">
        <v>2</v>
      </c>
      <c r="BO25" s="202">
        <v>23</v>
      </c>
      <c r="BP25" s="241" t="s">
        <v>144</v>
      </c>
      <c r="BQ25" s="242" t="s">
        <v>1062</v>
      </c>
      <c r="BR25" s="225">
        <v>7</v>
      </c>
      <c r="BS25" s="226">
        <v>5</v>
      </c>
      <c r="BT25" s="309" t="s">
        <v>144</v>
      </c>
      <c r="BU25" s="310" t="s">
        <v>1229</v>
      </c>
      <c r="BV25" s="315">
        <v>13</v>
      </c>
      <c r="BW25" s="317">
        <v>7</v>
      </c>
      <c r="BX25" s="309"/>
      <c r="BY25" s="310" t="s">
        <v>1139</v>
      </c>
      <c r="BZ25" s="322">
        <v>2</v>
      </c>
      <c r="CA25" s="324">
        <v>4</v>
      </c>
      <c r="CB25" s="249" t="s">
        <v>144</v>
      </c>
      <c r="CC25" s="250" t="s">
        <v>266</v>
      </c>
      <c r="CD25" s="235">
        <v>1</v>
      </c>
      <c r="CE25" s="255">
        <v>2</v>
      </c>
      <c r="CF25" s="249"/>
      <c r="CG25" s="250" t="s">
        <v>300</v>
      </c>
      <c r="CH25" s="254">
        <v>1</v>
      </c>
      <c r="CI25" s="260">
        <v>5</v>
      </c>
      <c r="CJ25" s="269"/>
      <c r="CK25" s="202">
        <v>23</v>
      </c>
      <c r="CL25" s="309" t="s">
        <v>144</v>
      </c>
      <c r="CM25" s="310" t="s">
        <v>1265</v>
      </c>
      <c r="CN25" s="311">
        <v>3</v>
      </c>
      <c r="CO25" s="312">
        <v>9</v>
      </c>
      <c r="CP25" s="309"/>
      <c r="CQ25" s="310" t="s">
        <v>1171</v>
      </c>
      <c r="CR25" s="315">
        <v>3</v>
      </c>
      <c r="CS25" s="316">
        <v>2</v>
      </c>
      <c r="CT25" s="309" t="s">
        <v>144</v>
      </c>
      <c r="CU25" s="310" t="s">
        <v>1200</v>
      </c>
      <c r="CV25" s="318">
        <v>7</v>
      </c>
      <c r="CW25" s="321">
        <v>0</v>
      </c>
      <c r="CX25" s="244"/>
      <c r="CY25" s="245" t="s">
        <v>903</v>
      </c>
      <c r="CZ25" s="239">
        <v>5</v>
      </c>
      <c r="DA25" s="240">
        <v>7</v>
      </c>
      <c r="DB25" s="249" t="s">
        <v>144</v>
      </c>
      <c r="DC25" s="250" t="s">
        <v>394</v>
      </c>
      <c r="DD25" s="254">
        <v>1</v>
      </c>
      <c r="DE25" s="260">
        <v>2</v>
      </c>
      <c r="DF25" s="269"/>
      <c r="DG25" s="202">
        <v>23</v>
      </c>
      <c r="DH25" s="244"/>
      <c r="DI25" s="245" t="s">
        <v>804</v>
      </c>
      <c r="DJ25" s="237">
        <v>7</v>
      </c>
      <c r="DK25" s="248">
        <v>13</v>
      </c>
      <c r="DL25" s="244" t="s">
        <v>144</v>
      </c>
      <c r="DM25" s="245" t="s">
        <v>835</v>
      </c>
      <c r="DN25" s="246">
        <v>4</v>
      </c>
      <c r="DO25" s="247">
        <v>2</v>
      </c>
      <c r="DP25" s="241" t="s">
        <v>144</v>
      </c>
      <c r="DQ25" s="242" t="s">
        <v>952</v>
      </c>
      <c r="DR25" s="227">
        <v>2</v>
      </c>
      <c r="DS25" s="228">
        <v>3</v>
      </c>
      <c r="DT25" s="241"/>
      <c r="DU25" s="242" t="s">
        <v>990</v>
      </c>
      <c r="DV25" s="221">
        <v>0</v>
      </c>
      <c r="DW25" s="259">
        <v>7</v>
      </c>
      <c r="DX25" s="241"/>
      <c r="DY25" s="242" t="s">
        <v>1096</v>
      </c>
      <c r="DZ25" s="225">
        <v>9</v>
      </c>
      <c r="EA25" s="226">
        <v>3</v>
      </c>
      <c r="EC25" s="202">
        <v>23</v>
      </c>
      <c r="ED25" s="241" t="s">
        <v>144</v>
      </c>
      <c r="EE25" s="242" t="s">
        <v>1025</v>
      </c>
      <c r="EF25" s="225">
        <v>9</v>
      </c>
      <c r="EG25" s="226">
        <v>8</v>
      </c>
      <c r="EH25" s="309" t="s">
        <v>144</v>
      </c>
      <c r="EI25" s="310" t="s">
        <v>1139</v>
      </c>
      <c r="EJ25" s="311">
        <v>0</v>
      </c>
      <c r="EK25" s="320">
        <v>2</v>
      </c>
      <c r="EL25" s="309"/>
      <c r="EM25" s="310" t="s">
        <v>1171</v>
      </c>
      <c r="EN25" s="318">
        <v>11</v>
      </c>
      <c r="EO25" s="319">
        <v>0</v>
      </c>
      <c r="EP25" s="249" t="s">
        <v>144</v>
      </c>
      <c r="EQ25" s="250" t="s">
        <v>300</v>
      </c>
      <c r="ER25" s="235">
        <v>0</v>
      </c>
      <c r="ES25" s="255">
        <v>2</v>
      </c>
      <c r="ET25" s="249"/>
      <c r="EU25" s="250" t="s">
        <v>339</v>
      </c>
      <c r="EV25" s="261">
        <v>3</v>
      </c>
      <c r="EW25" s="262">
        <v>0</v>
      </c>
      <c r="EX25" s="269"/>
      <c r="EY25" s="202">
        <v>23</v>
      </c>
      <c r="EZ25" s="309" t="s">
        <v>144</v>
      </c>
      <c r="FA25" s="310" t="s">
        <v>1229</v>
      </c>
      <c r="FB25" s="315">
        <v>4</v>
      </c>
      <c r="FC25" s="316">
        <v>3</v>
      </c>
      <c r="FD25" s="309"/>
      <c r="FE25" s="310" t="s">
        <v>1200</v>
      </c>
      <c r="FF25" s="315">
        <v>6</v>
      </c>
      <c r="FG25" s="316">
        <v>2</v>
      </c>
      <c r="FH25" s="309" t="s">
        <v>144</v>
      </c>
      <c r="FI25" s="310" t="s">
        <v>1265</v>
      </c>
      <c r="FJ25" s="318">
        <v>5</v>
      </c>
      <c r="FK25" s="321">
        <v>3</v>
      </c>
      <c r="FL25" s="244"/>
      <c r="FM25" s="245" t="s">
        <v>804</v>
      </c>
      <c r="FN25" s="239">
        <v>8</v>
      </c>
      <c r="FO25" s="240">
        <v>9</v>
      </c>
      <c r="FP25" s="249" t="s">
        <v>144</v>
      </c>
      <c r="FQ25" s="250" t="s">
        <v>463</v>
      </c>
      <c r="FR25" s="254">
        <v>3</v>
      </c>
      <c r="FS25" s="260">
        <v>5</v>
      </c>
      <c r="FT25" s="269"/>
      <c r="FU25" s="202">
        <v>23</v>
      </c>
      <c r="FV25" s="244"/>
      <c r="FW25" s="245" t="s">
        <v>835</v>
      </c>
      <c r="FX25" s="231">
        <v>2</v>
      </c>
      <c r="FY25" s="232">
        <v>0</v>
      </c>
      <c r="FZ25" s="244" t="s">
        <v>144</v>
      </c>
      <c r="GA25" s="245" t="s">
        <v>770</v>
      </c>
      <c r="GB25" s="239">
        <v>0</v>
      </c>
      <c r="GC25" s="240">
        <v>11</v>
      </c>
      <c r="GD25" s="241" t="s">
        <v>144</v>
      </c>
      <c r="GE25" s="242" t="s">
        <v>990</v>
      </c>
      <c r="GF25" s="227">
        <v>2</v>
      </c>
      <c r="GG25" s="228">
        <v>6</v>
      </c>
      <c r="GH25" s="241"/>
      <c r="GI25" s="242" t="s">
        <v>1062</v>
      </c>
      <c r="GJ25" s="221">
        <v>3</v>
      </c>
      <c r="GK25" s="259">
        <v>5</v>
      </c>
      <c r="GL25" s="241"/>
      <c r="GM25" s="242" t="s">
        <v>952</v>
      </c>
      <c r="GN25" s="221">
        <v>3</v>
      </c>
      <c r="GO25" s="222">
        <v>4</v>
      </c>
    </row>
    <row r="26" spans="1:197">
      <c r="A26" s="202">
        <v>24</v>
      </c>
      <c r="B26" s="219" t="s">
        <v>144</v>
      </c>
      <c r="C26" s="220" t="s">
        <v>990</v>
      </c>
      <c r="D26" s="225">
        <v>3</v>
      </c>
      <c r="E26" s="226">
        <v>1</v>
      </c>
      <c r="F26" s="313" t="s">
        <v>144</v>
      </c>
      <c r="G26" s="314" t="s">
        <v>1265</v>
      </c>
      <c r="H26" s="311">
        <v>4</v>
      </c>
      <c r="I26" s="320">
        <v>6</v>
      </c>
      <c r="J26" s="313"/>
      <c r="K26" s="314" t="s">
        <v>1229</v>
      </c>
      <c r="L26" s="415">
        <v>7</v>
      </c>
      <c r="M26" s="474">
        <v>2</v>
      </c>
      <c r="N26" s="233" t="s">
        <v>144</v>
      </c>
      <c r="O26" s="234" t="s">
        <v>226</v>
      </c>
      <c r="P26" s="251">
        <v>6</v>
      </c>
      <c r="Q26" s="252">
        <v>2</v>
      </c>
      <c r="R26" s="233"/>
      <c r="S26" s="234" t="s">
        <v>266</v>
      </c>
      <c r="T26" s="461">
        <v>2</v>
      </c>
      <c r="U26" s="462">
        <v>4</v>
      </c>
      <c r="V26" s="269"/>
      <c r="W26" s="202">
        <v>24</v>
      </c>
      <c r="X26" s="313" t="s">
        <v>144</v>
      </c>
      <c r="Y26" s="314" t="s">
        <v>1200</v>
      </c>
      <c r="Z26" s="437">
        <v>4</v>
      </c>
      <c r="AA26" s="438">
        <v>10</v>
      </c>
      <c r="AB26" s="313"/>
      <c r="AC26" s="314" t="s">
        <v>1139</v>
      </c>
      <c r="AD26" s="311">
        <v>3</v>
      </c>
      <c r="AE26" s="312">
        <v>5</v>
      </c>
      <c r="AF26" s="313" t="s">
        <v>144</v>
      </c>
      <c r="AG26" s="314" t="s">
        <v>1171</v>
      </c>
      <c r="AH26" s="415">
        <v>11</v>
      </c>
      <c r="AI26" s="436">
        <v>8</v>
      </c>
      <c r="AJ26" s="229"/>
      <c r="AK26" s="230" t="s">
        <v>869</v>
      </c>
      <c r="AL26" s="239">
        <v>1</v>
      </c>
      <c r="AM26" s="240">
        <v>3</v>
      </c>
      <c r="AN26" s="233" t="s">
        <v>144</v>
      </c>
      <c r="AO26" s="234" t="s">
        <v>429</v>
      </c>
      <c r="AP26" s="261">
        <v>4</v>
      </c>
      <c r="AQ26" s="262">
        <v>2</v>
      </c>
      <c r="AR26" s="269"/>
      <c r="AS26" s="202">
        <v>24</v>
      </c>
      <c r="AT26" s="229"/>
      <c r="AU26" s="230" t="s">
        <v>903</v>
      </c>
      <c r="AV26" s="231">
        <v>6</v>
      </c>
      <c r="AW26" s="232">
        <v>4</v>
      </c>
      <c r="AX26" s="229" t="s">
        <v>144</v>
      </c>
      <c r="AY26" s="230" t="s">
        <v>804</v>
      </c>
      <c r="AZ26" s="394">
        <v>2</v>
      </c>
      <c r="BA26" s="396">
        <v>7</v>
      </c>
      <c r="BB26" s="219" t="s">
        <v>144</v>
      </c>
      <c r="BC26" s="220" t="s">
        <v>1096</v>
      </c>
      <c r="BD26" s="223">
        <v>5</v>
      </c>
      <c r="BE26" s="224">
        <v>3</v>
      </c>
      <c r="BF26" s="219"/>
      <c r="BG26" s="220" t="s">
        <v>952</v>
      </c>
      <c r="BH26" s="408">
        <v>8</v>
      </c>
      <c r="BI26" s="451">
        <v>11</v>
      </c>
      <c r="BJ26" s="219"/>
      <c r="BK26" s="220" t="s">
        <v>1025</v>
      </c>
      <c r="BL26" s="392">
        <v>10</v>
      </c>
      <c r="BM26" s="390">
        <v>4</v>
      </c>
      <c r="BO26" s="202">
        <v>24</v>
      </c>
      <c r="BP26" s="219" t="s">
        <v>144</v>
      </c>
      <c r="BQ26" s="220" t="s">
        <v>1062</v>
      </c>
      <c r="BR26" s="221">
        <v>5</v>
      </c>
      <c r="BS26" s="222">
        <v>9</v>
      </c>
      <c r="BT26" s="313" t="s">
        <v>144</v>
      </c>
      <c r="BU26" s="314" t="s">
        <v>1229</v>
      </c>
      <c r="BV26" s="311">
        <v>8</v>
      </c>
      <c r="BW26" s="320">
        <v>10</v>
      </c>
      <c r="BX26" s="313"/>
      <c r="BY26" s="314" t="s">
        <v>1139</v>
      </c>
      <c r="BZ26" s="322">
        <v>4</v>
      </c>
      <c r="CA26" s="324">
        <v>8</v>
      </c>
      <c r="CB26" s="233" t="s">
        <v>144</v>
      </c>
      <c r="CC26" s="234" t="s">
        <v>266</v>
      </c>
      <c r="CD26" s="235">
        <v>2</v>
      </c>
      <c r="CE26" s="255">
        <v>5</v>
      </c>
      <c r="CF26" s="233"/>
      <c r="CG26" s="234" t="s">
        <v>300</v>
      </c>
      <c r="CH26" s="261">
        <v>3</v>
      </c>
      <c r="CI26" s="262">
        <v>2</v>
      </c>
      <c r="CJ26" s="269"/>
      <c r="CK26" s="202">
        <v>24</v>
      </c>
      <c r="CL26" s="313" t="s">
        <v>144</v>
      </c>
      <c r="CM26" s="314" t="s">
        <v>1265</v>
      </c>
      <c r="CN26" s="311">
        <v>9</v>
      </c>
      <c r="CO26" s="312">
        <v>10</v>
      </c>
      <c r="CP26" s="313"/>
      <c r="CQ26" s="314" t="s">
        <v>1171</v>
      </c>
      <c r="CR26" s="315">
        <v>3</v>
      </c>
      <c r="CS26" s="316">
        <v>1</v>
      </c>
      <c r="CT26" s="313" t="s">
        <v>144</v>
      </c>
      <c r="CU26" s="314" t="s">
        <v>1200</v>
      </c>
      <c r="CV26" s="318">
        <v>12</v>
      </c>
      <c r="CW26" s="321">
        <v>6</v>
      </c>
      <c r="CX26" s="229"/>
      <c r="CY26" s="230" t="s">
        <v>903</v>
      </c>
      <c r="CZ26" s="246">
        <v>9</v>
      </c>
      <c r="DA26" s="247">
        <v>5</v>
      </c>
      <c r="DB26" s="233" t="s">
        <v>144</v>
      </c>
      <c r="DC26" s="234" t="s">
        <v>394</v>
      </c>
      <c r="DD26" s="254">
        <v>1</v>
      </c>
      <c r="DE26" s="260">
        <v>10</v>
      </c>
      <c r="DF26" s="269"/>
      <c r="DG26" s="202">
        <v>24</v>
      </c>
      <c r="DH26" s="229"/>
      <c r="DI26" s="230" t="s">
        <v>804</v>
      </c>
      <c r="DJ26" s="231">
        <v>10</v>
      </c>
      <c r="DK26" s="232">
        <v>8</v>
      </c>
      <c r="DL26" s="229" t="s">
        <v>144</v>
      </c>
      <c r="DM26" s="230" t="s">
        <v>835</v>
      </c>
      <c r="DN26" s="246">
        <v>8</v>
      </c>
      <c r="DO26" s="247">
        <v>4</v>
      </c>
      <c r="DP26" s="219" t="s">
        <v>144</v>
      </c>
      <c r="DQ26" s="220" t="s">
        <v>952</v>
      </c>
      <c r="DR26" s="227">
        <v>1</v>
      </c>
      <c r="DS26" s="228">
        <v>3</v>
      </c>
      <c r="DT26" s="219"/>
      <c r="DU26" s="220" t="s">
        <v>990</v>
      </c>
      <c r="DV26" s="227">
        <v>6</v>
      </c>
      <c r="DW26" s="259">
        <v>12</v>
      </c>
      <c r="DX26" s="219"/>
      <c r="DY26" s="220" t="s">
        <v>1096</v>
      </c>
      <c r="DZ26" s="225">
        <v>10</v>
      </c>
      <c r="EA26" s="226">
        <v>9</v>
      </c>
      <c r="EC26" s="202">
        <v>24</v>
      </c>
      <c r="ED26" s="219" t="s">
        <v>144</v>
      </c>
      <c r="EE26" s="220" t="s">
        <v>1025</v>
      </c>
      <c r="EF26" s="225">
        <v>3</v>
      </c>
      <c r="EG26" s="226">
        <v>2</v>
      </c>
      <c r="EH26" s="313" t="s">
        <v>144</v>
      </c>
      <c r="EI26" s="314" t="s">
        <v>1139</v>
      </c>
      <c r="EJ26" s="311">
        <v>3</v>
      </c>
      <c r="EK26" s="320">
        <v>4</v>
      </c>
      <c r="EL26" s="313"/>
      <c r="EM26" s="314" t="s">
        <v>1171</v>
      </c>
      <c r="EN26" s="322">
        <v>4</v>
      </c>
      <c r="EO26" s="324">
        <v>9</v>
      </c>
      <c r="EP26" s="233" t="s">
        <v>144</v>
      </c>
      <c r="EQ26" s="234" t="s">
        <v>300</v>
      </c>
      <c r="ER26" s="251">
        <v>4</v>
      </c>
      <c r="ES26" s="252">
        <v>3</v>
      </c>
      <c r="ET26" s="233"/>
      <c r="EU26" s="234" t="s">
        <v>339</v>
      </c>
      <c r="EV26" s="261">
        <v>7</v>
      </c>
      <c r="EW26" s="262">
        <v>5</v>
      </c>
      <c r="EX26" s="269"/>
      <c r="EY26" s="202">
        <v>24</v>
      </c>
      <c r="EZ26" s="313" t="s">
        <v>144</v>
      </c>
      <c r="FA26" s="314" t="s">
        <v>1229</v>
      </c>
      <c r="FB26" s="315">
        <v>10</v>
      </c>
      <c r="FC26" s="316">
        <v>9</v>
      </c>
      <c r="FD26" s="313"/>
      <c r="FE26" s="314" t="s">
        <v>1200</v>
      </c>
      <c r="FF26" s="311">
        <v>3</v>
      </c>
      <c r="FG26" s="312">
        <v>6</v>
      </c>
      <c r="FH26" s="313" t="s">
        <v>144</v>
      </c>
      <c r="FI26" s="314" t="s">
        <v>1265</v>
      </c>
      <c r="FJ26" s="322">
        <v>1</v>
      </c>
      <c r="FK26" s="323">
        <v>4</v>
      </c>
      <c r="FL26" s="229"/>
      <c r="FM26" s="230" t="s">
        <v>804</v>
      </c>
      <c r="FN26" s="239">
        <v>2</v>
      </c>
      <c r="FO26" s="240">
        <v>3</v>
      </c>
      <c r="FP26" s="233" t="s">
        <v>144</v>
      </c>
      <c r="FQ26" s="234" t="s">
        <v>463</v>
      </c>
      <c r="FR26" s="261">
        <v>9</v>
      </c>
      <c r="FS26" s="262">
        <v>2</v>
      </c>
      <c r="FT26" s="269"/>
      <c r="FU26" s="202">
        <v>24</v>
      </c>
      <c r="FV26" s="229"/>
      <c r="FW26" s="230" t="s">
        <v>835</v>
      </c>
      <c r="FX26" s="231">
        <v>4</v>
      </c>
      <c r="FY26" s="232">
        <v>3</v>
      </c>
      <c r="FZ26" s="229" t="s">
        <v>144</v>
      </c>
      <c r="GA26" s="230" t="s">
        <v>770</v>
      </c>
      <c r="GB26" s="246">
        <v>9</v>
      </c>
      <c r="GC26" s="247">
        <v>4</v>
      </c>
      <c r="GD26" s="219" t="s">
        <v>144</v>
      </c>
      <c r="GE26" s="220" t="s">
        <v>990</v>
      </c>
      <c r="GF26" s="223">
        <v>6</v>
      </c>
      <c r="GG26" s="224">
        <v>3</v>
      </c>
      <c r="GH26" s="219"/>
      <c r="GI26" s="220" t="s">
        <v>1062</v>
      </c>
      <c r="GJ26" s="223">
        <v>4</v>
      </c>
      <c r="GK26" s="256">
        <v>1</v>
      </c>
      <c r="GL26" s="219"/>
      <c r="GM26" s="220" t="s">
        <v>952</v>
      </c>
      <c r="GN26" s="221">
        <v>9</v>
      </c>
      <c r="GO26" s="222">
        <v>10</v>
      </c>
    </row>
    <row r="27" spans="1:197">
      <c r="A27" s="202">
        <v>25</v>
      </c>
      <c r="B27" s="309"/>
      <c r="C27" s="310" t="s">
        <v>1200</v>
      </c>
      <c r="D27" s="437">
        <v>2</v>
      </c>
      <c r="E27" s="438">
        <v>3</v>
      </c>
      <c r="F27" s="249" t="s">
        <v>144</v>
      </c>
      <c r="G27" s="250" t="s">
        <v>339</v>
      </c>
      <c r="H27" s="251">
        <v>3</v>
      </c>
      <c r="I27" s="252">
        <v>2</v>
      </c>
      <c r="J27" s="309"/>
      <c r="K27" s="310" t="s">
        <v>1265</v>
      </c>
      <c r="L27" s="415">
        <v>2</v>
      </c>
      <c r="M27" s="474">
        <v>0</v>
      </c>
      <c r="N27" s="309" t="s">
        <v>144</v>
      </c>
      <c r="O27" s="310" t="s">
        <v>1229</v>
      </c>
      <c r="P27" s="315">
        <v>6</v>
      </c>
      <c r="Q27" s="317">
        <v>5</v>
      </c>
      <c r="R27" s="241"/>
      <c r="S27" s="242" t="s">
        <v>1096</v>
      </c>
      <c r="T27" s="223">
        <v>2</v>
      </c>
      <c r="U27" s="224">
        <v>1</v>
      </c>
      <c r="V27" s="163"/>
      <c r="W27" s="202">
        <v>25</v>
      </c>
      <c r="X27" s="249" t="s">
        <v>144</v>
      </c>
      <c r="Y27" s="250" t="s">
        <v>394</v>
      </c>
      <c r="Z27" s="430">
        <v>1</v>
      </c>
      <c r="AA27" s="429">
        <v>2</v>
      </c>
      <c r="AB27" s="244" t="s">
        <v>144</v>
      </c>
      <c r="AC27" s="245" t="s">
        <v>770</v>
      </c>
      <c r="AD27" s="239">
        <v>1</v>
      </c>
      <c r="AE27" s="240">
        <v>2</v>
      </c>
      <c r="AF27" s="309"/>
      <c r="AG27" s="310" t="s">
        <v>1139</v>
      </c>
      <c r="AH27" s="415">
        <v>6</v>
      </c>
      <c r="AI27" s="436">
        <v>2</v>
      </c>
      <c r="AJ27" s="309" t="s">
        <v>144</v>
      </c>
      <c r="AK27" s="310" t="s">
        <v>1171</v>
      </c>
      <c r="AL27" s="437">
        <v>7</v>
      </c>
      <c r="AM27" s="438">
        <v>17</v>
      </c>
      <c r="AN27" s="249"/>
      <c r="AO27" s="250" t="s">
        <v>429</v>
      </c>
      <c r="AP27" s="261">
        <v>14</v>
      </c>
      <c r="AQ27" s="262">
        <v>2</v>
      </c>
      <c r="AR27" s="269"/>
      <c r="AS27" s="202">
        <v>25</v>
      </c>
      <c r="AT27" s="244" t="s">
        <v>144</v>
      </c>
      <c r="AU27" s="245" t="s">
        <v>804</v>
      </c>
      <c r="AV27" s="440">
        <v>0</v>
      </c>
      <c r="AW27" s="441">
        <v>2</v>
      </c>
      <c r="AX27" s="244"/>
      <c r="AY27" s="245" t="s">
        <v>835</v>
      </c>
      <c r="AZ27" s="239">
        <v>5</v>
      </c>
      <c r="BA27" s="396">
        <v>6</v>
      </c>
      <c r="BB27" s="241" t="s">
        <v>144</v>
      </c>
      <c r="BC27" s="242" t="s">
        <v>952</v>
      </c>
      <c r="BD27" s="408">
        <v>2</v>
      </c>
      <c r="BE27" s="409">
        <v>6</v>
      </c>
      <c r="BF27" s="241"/>
      <c r="BG27" s="242" t="s">
        <v>990</v>
      </c>
      <c r="BH27" s="392">
        <v>17</v>
      </c>
      <c r="BI27" s="456">
        <v>7</v>
      </c>
      <c r="BJ27" s="244" t="s">
        <v>144</v>
      </c>
      <c r="BK27" s="245" t="s">
        <v>869</v>
      </c>
      <c r="BL27" s="433">
        <v>3</v>
      </c>
      <c r="BM27" s="464">
        <v>2</v>
      </c>
      <c r="BO27" s="202">
        <v>25</v>
      </c>
      <c r="BP27" s="309"/>
      <c r="BQ27" s="310" t="s">
        <v>1265</v>
      </c>
      <c r="BR27" s="315">
        <v>3</v>
      </c>
      <c r="BS27" s="316">
        <v>1</v>
      </c>
      <c r="BT27" s="249" t="s">
        <v>144</v>
      </c>
      <c r="BU27" s="250" t="s">
        <v>165</v>
      </c>
      <c r="BV27" s="235">
        <v>1</v>
      </c>
      <c r="BW27" s="255">
        <v>6</v>
      </c>
      <c r="BX27" s="309"/>
      <c r="BY27" s="310" t="s">
        <v>1229</v>
      </c>
      <c r="BZ27" s="318">
        <v>2</v>
      </c>
      <c r="CA27" s="319">
        <v>1</v>
      </c>
      <c r="CB27" s="309" t="s">
        <v>144</v>
      </c>
      <c r="CC27" s="310" t="s">
        <v>1139</v>
      </c>
      <c r="CD27" s="311">
        <v>0</v>
      </c>
      <c r="CE27" s="320">
        <v>5</v>
      </c>
      <c r="CF27" s="241"/>
      <c r="CG27" s="242" t="s">
        <v>952</v>
      </c>
      <c r="CH27" s="227">
        <v>3</v>
      </c>
      <c r="CI27" s="228">
        <v>5</v>
      </c>
      <c r="CJ27" s="163"/>
      <c r="CK27" s="202">
        <v>25</v>
      </c>
      <c r="CL27" s="249" t="s">
        <v>144</v>
      </c>
      <c r="CM27" s="250" t="s">
        <v>463</v>
      </c>
      <c r="CN27" s="251">
        <v>13</v>
      </c>
      <c r="CO27" s="257">
        <v>4</v>
      </c>
      <c r="CP27" s="244" t="s">
        <v>144</v>
      </c>
      <c r="CQ27" s="245" t="s">
        <v>869</v>
      </c>
      <c r="CR27" s="246">
        <v>5</v>
      </c>
      <c r="CS27" s="247">
        <v>3</v>
      </c>
      <c r="CT27" s="309"/>
      <c r="CU27" s="310" t="s">
        <v>1171</v>
      </c>
      <c r="CV27" s="322">
        <v>2</v>
      </c>
      <c r="CW27" s="323">
        <v>3</v>
      </c>
      <c r="CX27" s="309" t="s">
        <v>144</v>
      </c>
      <c r="CY27" s="310" t="s">
        <v>1200</v>
      </c>
      <c r="CZ27" s="311">
        <v>1</v>
      </c>
      <c r="DA27" s="312">
        <v>3</v>
      </c>
      <c r="DB27" s="249"/>
      <c r="DC27" s="250" t="s">
        <v>394</v>
      </c>
      <c r="DD27" s="261">
        <v>4</v>
      </c>
      <c r="DE27" s="262">
        <v>3</v>
      </c>
      <c r="DF27" s="269"/>
      <c r="DG27" s="202">
        <v>25</v>
      </c>
      <c r="DH27" s="244" t="s">
        <v>144</v>
      </c>
      <c r="DI27" s="245" t="s">
        <v>835</v>
      </c>
      <c r="DJ27" s="237">
        <v>1</v>
      </c>
      <c r="DK27" s="248">
        <v>2</v>
      </c>
      <c r="DL27" s="244"/>
      <c r="DM27" s="245" t="s">
        <v>770</v>
      </c>
      <c r="DN27" s="246">
        <v>5</v>
      </c>
      <c r="DO27" s="247">
        <v>0</v>
      </c>
      <c r="DP27" s="241" t="s">
        <v>144</v>
      </c>
      <c r="DQ27" s="242" t="s">
        <v>990</v>
      </c>
      <c r="DR27" s="223">
        <v>3</v>
      </c>
      <c r="DS27" s="224">
        <v>2</v>
      </c>
      <c r="DT27" s="241"/>
      <c r="DU27" s="242" t="s">
        <v>1062</v>
      </c>
      <c r="DV27" s="225">
        <v>3</v>
      </c>
      <c r="DW27" s="256">
        <v>1</v>
      </c>
      <c r="DX27" s="244" t="s">
        <v>144</v>
      </c>
      <c r="DY27" s="245" t="s">
        <v>903</v>
      </c>
      <c r="DZ27" s="239">
        <v>1</v>
      </c>
      <c r="EA27" s="240">
        <v>3</v>
      </c>
      <c r="EC27" s="202">
        <v>25</v>
      </c>
      <c r="ED27" s="309"/>
      <c r="EE27" s="310" t="s">
        <v>1229</v>
      </c>
      <c r="EF27" s="315">
        <v>6</v>
      </c>
      <c r="EG27" s="316">
        <v>3</v>
      </c>
      <c r="EH27" s="249" t="s">
        <v>144</v>
      </c>
      <c r="EI27" s="250" t="s">
        <v>226</v>
      </c>
      <c r="EJ27" s="251">
        <v>7</v>
      </c>
      <c r="EK27" s="252">
        <v>3</v>
      </c>
      <c r="EL27" s="309"/>
      <c r="EM27" s="310" t="s">
        <v>1139</v>
      </c>
      <c r="EN27" s="322">
        <v>0</v>
      </c>
      <c r="EO27" s="324">
        <v>2</v>
      </c>
      <c r="EP27" s="309" t="s">
        <v>144</v>
      </c>
      <c r="EQ27" s="310" t="s">
        <v>1171</v>
      </c>
      <c r="ER27" s="315">
        <v>6</v>
      </c>
      <c r="ES27" s="317">
        <v>1</v>
      </c>
      <c r="ET27" s="241"/>
      <c r="EU27" s="242" t="s">
        <v>990</v>
      </c>
      <c r="EV27" s="223">
        <v>6</v>
      </c>
      <c r="EW27" s="224">
        <v>4</v>
      </c>
      <c r="EX27" s="163"/>
      <c r="EY27" s="202">
        <v>25</v>
      </c>
      <c r="EZ27" s="249" t="s">
        <v>144</v>
      </c>
      <c r="FA27" s="250" t="s">
        <v>502</v>
      </c>
      <c r="FB27" s="251">
        <v>6</v>
      </c>
      <c r="FC27" s="257">
        <v>2</v>
      </c>
      <c r="FD27" s="244" t="s">
        <v>144</v>
      </c>
      <c r="FE27" s="245" t="s">
        <v>903</v>
      </c>
      <c r="FF27" s="239">
        <v>4</v>
      </c>
      <c r="FG27" s="240">
        <v>6</v>
      </c>
      <c r="FH27" s="309"/>
      <c r="FI27" s="310" t="s">
        <v>1200</v>
      </c>
      <c r="FJ27" s="322">
        <v>2</v>
      </c>
      <c r="FK27" s="323">
        <v>4</v>
      </c>
      <c r="FL27" s="309" t="s">
        <v>144</v>
      </c>
      <c r="FM27" s="310" t="s">
        <v>1265</v>
      </c>
      <c r="FN27" s="315">
        <v>3</v>
      </c>
      <c r="FO27" s="316">
        <v>0</v>
      </c>
      <c r="FP27" s="249"/>
      <c r="FQ27" s="250" t="s">
        <v>463</v>
      </c>
      <c r="FR27" s="261">
        <v>7</v>
      </c>
      <c r="FS27" s="262">
        <v>1</v>
      </c>
      <c r="FT27" s="269"/>
      <c r="FU27" s="202">
        <v>25</v>
      </c>
      <c r="FV27" s="244" t="s">
        <v>144</v>
      </c>
      <c r="FW27" s="245" t="s">
        <v>770</v>
      </c>
      <c r="FX27" s="231">
        <v>2</v>
      </c>
      <c r="FY27" s="232">
        <v>0</v>
      </c>
      <c r="FZ27" s="244"/>
      <c r="GA27" s="245" t="s">
        <v>869</v>
      </c>
      <c r="GB27" s="239">
        <v>1</v>
      </c>
      <c r="GC27" s="240">
        <v>6</v>
      </c>
      <c r="GD27" s="241" t="s">
        <v>144</v>
      </c>
      <c r="GE27" s="242" t="s">
        <v>1062</v>
      </c>
      <c r="GF27" s="223">
        <v>4</v>
      </c>
      <c r="GG27" s="224">
        <v>2</v>
      </c>
      <c r="GH27" s="241"/>
      <c r="GI27" s="242" t="s">
        <v>1025</v>
      </c>
      <c r="GJ27" s="221">
        <v>0</v>
      </c>
      <c r="GK27" s="259">
        <v>3</v>
      </c>
      <c r="GL27" s="244" t="s">
        <v>144</v>
      </c>
      <c r="GM27" s="245" t="s">
        <v>804</v>
      </c>
      <c r="GN27" s="239">
        <v>3</v>
      </c>
      <c r="GO27" s="240">
        <v>6</v>
      </c>
    </row>
    <row r="28" spans="1:197">
      <c r="A28" s="202">
        <v>26</v>
      </c>
      <c r="B28" s="313"/>
      <c r="C28" s="314" t="s">
        <v>1200</v>
      </c>
      <c r="D28" s="437">
        <v>2</v>
      </c>
      <c r="E28" s="438">
        <v>3</v>
      </c>
      <c r="F28" s="233" t="s">
        <v>144</v>
      </c>
      <c r="G28" s="234" t="s">
        <v>339</v>
      </c>
      <c r="H28" s="430">
        <v>2</v>
      </c>
      <c r="I28" s="468">
        <v>8</v>
      </c>
      <c r="J28" s="313"/>
      <c r="K28" s="314" t="s">
        <v>1265</v>
      </c>
      <c r="L28" s="322">
        <v>2</v>
      </c>
      <c r="M28" s="324">
        <v>3</v>
      </c>
      <c r="N28" s="313" t="s">
        <v>144</v>
      </c>
      <c r="O28" s="314" t="s">
        <v>1229</v>
      </c>
      <c r="P28" s="422">
        <v>8</v>
      </c>
      <c r="Q28" s="414">
        <v>3</v>
      </c>
      <c r="R28" s="219"/>
      <c r="S28" s="220" t="s">
        <v>1096</v>
      </c>
      <c r="T28" s="223">
        <v>6</v>
      </c>
      <c r="U28" s="224">
        <v>2</v>
      </c>
      <c r="V28" s="163"/>
      <c r="W28" s="202">
        <v>26</v>
      </c>
      <c r="X28" s="233" t="s">
        <v>144</v>
      </c>
      <c r="Y28" s="234" t="s">
        <v>394</v>
      </c>
      <c r="Z28" s="430">
        <v>1</v>
      </c>
      <c r="AA28" s="429">
        <v>4</v>
      </c>
      <c r="AB28" s="229" t="s">
        <v>144</v>
      </c>
      <c r="AC28" s="230" t="s">
        <v>770</v>
      </c>
      <c r="AD28" s="239">
        <v>2</v>
      </c>
      <c r="AE28" s="240">
        <v>6</v>
      </c>
      <c r="AF28" s="313"/>
      <c r="AG28" s="314" t="s">
        <v>1139</v>
      </c>
      <c r="AH28" s="322">
        <v>0</v>
      </c>
      <c r="AI28" s="323">
        <v>1</v>
      </c>
      <c r="AJ28" s="313" t="s">
        <v>144</v>
      </c>
      <c r="AK28" s="314" t="s">
        <v>1171</v>
      </c>
      <c r="AL28" s="422">
        <v>6</v>
      </c>
      <c r="AM28" s="421">
        <v>4</v>
      </c>
      <c r="AN28" s="233"/>
      <c r="AO28" s="234" t="s">
        <v>429</v>
      </c>
      <c r="AP28" s="460">
        <v>7</v>
      </c>
      <c r="AQ28" s="459">
        <v>3</v>
      </c>
      <c r="AR28" s="269"/>
      <c r="AS28" s="202">
        <v>26</v>
      </c>
      <c r="AT28" s="229" t="s">
        <v>144</v>
      </c>
      <c r="AU28" s="230" t="s">
        <v>804</v>
      </c>
      <c r="AV28" s="231">
        <v>3</v>
      </c>
      <c r="AW28" s="232">
        <v>2</v>
      </c>
      <c r="AX28" s="229"/>
      <c r="AY28" s="230" t="s">
        <v>835</v>
      </c>
      <c r="AZ28" s="394">
        <v>3</v>
      </c>
      <c r="BA28" s="396">
        <v>8</v>
      </c>
      <c r="BB28" s="219" t="s">
        <v>144</v>
      </c>
      <c r="BC28" s="220" t="s">
        <v>952</v>
      </c>
      <c r="BD28" s="223">
        <v>1</v>
      </c>
      <c r="BE28" s="224">
        <v>0</v>
      </c>
      <c r="BF28" s="219"/>
      <c r="BG28" s="220" t="s">
        <v>990</v>
      </c>
      <c r="BH28" s="408">
        <v>4</v>
      </c>
      <c r="BI28" s="451">
        <v>6</v>
      </c>
      <c r="BJ28" s="229" t="s">
        <v>144</v>
      </c>
      <c r="BK28" s="230" t="s">
        <v>869</v>
      </c>
      <c r="BL28" s="433">
        <v>3</v>
      </c>
      <c r="BM28" s="464">
        <v>2</v>
      </c>
      <c r="BO28" s="202">
        <v>26</v>
      </c>
      <c r="BP28" s="313"/>
      <c r="BQ28" s="314" t="s">
        <v>1265</v>
      </c>
      <c r="BR28" s="315">
        <v>4</v>
      </c>
      <c r="BS28" s="316">
        <v>3</v>
      </c>
      <c r="BT28" s="233" t="s">
        <v>144</v>
      </c>
      <c r="BU28" s="234" t="s">
        <v>165</v>
      </c>
      <c r="BV28" s="235">
        <v>4</v>
      </c>
      <c r="BW28" s="255">
        <v>12</v>
      </c>
      <c r="BX28" s="313"/>
      <c r="BY28" s="314" t="s">
        <v>1229</v>
      </c>
      <c r="BZ28" s="318">
        <v>6</v>
      </c>
      <c r="CA28" s="319">
        <v>2</v>
      </c>
      <c r="CB28" s="313" t="s">
        <v>144</v>
      </c>
      <c r="CC28" s="314" t="s">
        <v>1139</v>
      </c>
      <c r="CD28" s="315">
        <v>5</v>
      </c>
      <c r="CE28" s="317">
        <v>3</v>
      </c>
      <c r="CF28" s="219"/>
      <c r="CG28" s="220" t="s">
        <v>952</v>
      </c>
      <c r="CH28" s="227">
        <v>2</v>
      </c>
      <c r="CI28" s="228">
        <v>5</v>
      </c>
      <c r="CJ28" s="163"/>
      <c r="CK28" s="202">
        <v>26</v>
      </c>
      <c r="CL28" s="233" t="s">
        <v>144</v>
      </c>
      <c r="CM28" s="234" t="s">
        <v>463</v>
      </c>
      <c r="CN28" s="235">
        <v>5</v>
      </c>
      <c r="CO28" s="236">
        <v>6</v>
      </c>
      <c r="CP28" s="229" t="s">
        <v>144</v>
      </c>
      <c r="CQ28" s="230" t="s">
        <v>869</v>
      </c>
      <c r="CR28" s="246">
        <v>5</v>
      </c>
      <c r="CS28" s="247">
        <v>2</v>
      </c>
      <c r="CT28" s="313"/>
      <c r="CU28" s="314" t="s">
        <v>1171</v>
      </c>
      <c r="CV28" s="322">
        <v>4</v>
      </c>
      <c r="CW28" s="323">
        <v>5</v>
      </c>
      <c r="CX28" s="313" t="s">
        <v>144</v>
      </c>
      <c r="CY28" s="314" t="s">
        <v>1200</v>
      </c>
      <c r="CZ28" s="315">
        <v>5</v>
      </c>
      <c r="DA28" s="316">
        <v>1</v>
      </c>
      <c r="DB28" s="233"/>
      <c r="DC28" s="234" t="s">
        <v>394</v>
      </c>
      <c r="DD28" s="254">
        <v>3</v>
      </c>
      <c r="DE28" s="260">
        <v>4</v>
      </c>
      <c r="DF28" s="269"/>
      <c r="DG28" s="202">
        <v>26</v>
      </c>
      <c r="DH28" s="229" t="s">
        <v>144</v>
      </c>
      <c r="DI28" s="230" t="s">
        <v>835</v>
      </c>
      <c r="DJ28" s="237">
        <v>2</v>
      </c>
      <c r="DK28" s="248">
        <v>6</v>
      </c>
      <c r="DL28" s="229"/>
      <c r="DM28" s="230" t="s">
        <v>770</v>
      </c>
      <c r="DN28" s="239">
        <v>3</v>
      </c>
      <c r="DO28" s="240">
        <v>5</v>
      </c>
      <c r="DP28" s="219" t="s">
        <v>144</v>
      </c>
      <c r="DQ28" s="220" t="s">
        <v>990</v>
      </c>
      <c r="DR28" s="223">
        <v>5</v>
      </c>
      <c r="DS28" s="224">
        <v>4</v>
      </c>
      <c r="DT28" s="219"/>
      <c r="DU28" s="220" t="s">
        <v>1062</v>
      </c>
      <c r="DV28" s="227">
        <v>1</v>
      </c>
      <c r="DW28" s="259">
        <v>5</v>
      </c>
      <c r="DX28" s="229" t="s">
        <v>144</v>
      </c>
      <c r="DY28" s="230" t="s">
        <v>903</v>
      </c>
      <c r="DZ28" s="239">
        <v>3</v>
      </c>
      <c r="EA28" s="240">
        <v>4</v>
      </c>
      <c r="EC28" s="202">
        <v>26</v>
      </c>
      <c r="ED28" s="313"/>
      <c r="EE28" s="314" t="s">
        <v>1229</v>
      </c>
      <c r="EF28" s="315">
        <v>8</v>
      </c>
      <c r="EG28" s="316">
        <v>0</v>
      </c>
      <c r="EH28" s="233" t="s">
        <v>144</v>
      </c>
      <c r="EI28" s="234" t="s">
        <v>226</v>
      </c>
      <c r="EJ28" s="251">
        <v>9</v>
      </c>
      <c r="EK28" s="252">
        <v>0</v>
      </c>
      <c r="EL28" s="313"/>
      <c r="EM28" s="314" t="s">
        <v>1139</v>
      </c>
      <c r="EN28" s="322">
        <v>2</v>
      </c>
      <c r="EO28" s="324">
        <v>3</v>
      </c>
      <c r="EP28" s="313" t="s">
        <v>144</v>
      </c>
      <c r="EQ28" s="314" t="s">
        <v>1171</v>
      </c>
      <c r="ER28" s="311">
        <v>1</v>
      </c>
      <c r="ES28" s="320">
        <v>4</v>
      </c>
      <c r="ET28" s="219"/>
      <c r="EU28" s="220" t="s">
        <v>990</v>
      </c>
      <c r="EV28" s="223">
        <v>4</v>
      </c>
      <c r="EW28" s="224">
        <v>3</v>
      </c>
      <c r="EX28" s="163"/>
      <c r="EY28" s="202">
        <v>26</v>
      </c>
      <c r="EZ28" s="233" t="s">
        <v>144</v>
      </c>
      <c r="FA28" s="234" t="s">
        <v>502</v>
      </c>
      <c r="FB28" s="251">
        <v>4</v>
      </c>
      <c r="FC28" s="257">
        <v>1</v>
      </c>
      <c r="FD28" s="229" t="s">
        <v>144</v>
      </c>
      <c r="FE28" s="230" t="s">
        <v>903</v>
      </c>
      <c r="FF28" s="239">
        <v>3</v>
      </c>
      <c r="FG28" s="240">
        <v>4</v>
      </c>
      <c r="FH28" s="313"/>
      <c r="FI28" s="314" t="s">
        <v>1200</v>
      </c>
      <c r="FJ28" s="322">
        <v>3</v>
      </c>
      <c r="FK28" s="323">
        <v>8</v>
      </c>
      <c r="FL28" s="313" t="s">
        <v>144</v>
      </c>
      <c r="FM28" s="314" t="s">
        <v>1265</v>
      </c>
      <c r="FN28" s="311">
        <v>2</v>
      </c>
      <c r="FO28" s="312">
        <v>6</v>
      </c>
      <c r="FP28" s="233"/>
      <c r="FQ28" s="234" t="s">
        <v>463</v>
      </c>
      <c r="FR28" s="254">
        <v>4</v>
      </c>
      <c r="FS28" s="260">
        <v>6</v>
      </c>
      <c r="FT28" s="269"/>
      <c r="FU28" s="202">
        <v>26</v>
      </c>
      <c r="FV28" s="229" t="s">
        <v>144</v>
      </c>
      <c r="FW28" s="230" t="s">
        <v>770</v>
      </c>
      <c r="FX28" s="231">
        <v>3</v>
      </c>
      <c r="FY28" s="232">
        <v>2</v>
      </c>
      <c r="FZ28" s="229"/>
      <c r="GA28" s="230" t="s">
        <v>869</v>
      </c>
      <c r="GB28" s="246">
        <v>4</v>
      </c>
      <c r="GC28" s="247">
        <v>1</v>
      </c>
      <c r="GD28" s="219" t="s">
        <v>144</v>
      </c>
      <c r="GE28" s="220" t="s">
        <v>1062</v>
      </c>
      <c r="GF28" s="223">
        <v>8</v>
      </c>
      <c r="GG28" s="224">
        <v>3</v>
      </c>
      <c r="GH28" s="219"/>
      <c r="GI28" s="220" t="s">
        <v>1025</v>
      </c>
      <c r="GJ28" s="223">
        <v>6</v>
      </c>
      <c r="GK28" s="256">
        <v>2</v>
      </c>
      <c r="GL28" s="229" t="s">
        <v>144</v>
      </c>
      <c r="GM28" s="230" t="s">
        <v>804</v>
      </c>
      <c r="GN28" s="239">
        <v>0</v>
      </c>
      <c r="GO28" s="240">
        <v>8</v>
      </c>
    </row>
    <row r="29" spans="1:197">
      <c r="A29" s="202">
        <v>27</v>
      </c>
      <c r="B29" s="249"/>
      <c r="C29" s="250" t="s">
        <v>300</v>
      </c>
      <c r="D29" s="235">
        <v>3</v>
      </c>
      <c r="E29" s="236">
        <v>4</v>
      </c>
      <c r="F29" s="241"/>
      <c r="G29" s="242" t="s">
        <v>1025</v>
      </c>
      <c r="H29" s="392">
        <v>14</v>
      </c>
      <c r="I29" s="456">
        <v>2</v>
      </c>
      <c r="J29" s="309" t="s">
        <v>144</v>
      </c>
      <c r="K29" s="310" t="s">
        <v>1200</v>
      </c>
      <c r="L29" s="418">
        <v>2</v>
      </c>
      <c r="M29" s="467">
        <v>5</v>
      </c>
      <c r="N29" s="309"/>
      <c r="O29" s="310" t="s">
        <v>1265</v>
      </c>
      <c r="P29" s="422">
        <v>3</v>
      </c>
      <c r="Q29" s="414">
        <v>2</v>
      </c>
      <c r="R29" s="309" t="s">
        <v>144</v>
      </c>
      <c r="S29" s="310" t="s">
        <v>1229</v>
      </c>
      <c r="T29" s="415">
        <v>12</v>
      </c>
      <c r="U29" s="436">
        <v>3</v>
      </c>
      <c r="V29" s="163"/>
      <c r="W29" s="202">
        <v>27</v>
      </c>
      <c r="X29" s="244" t="s">
        <v>144</v>
      </c>
      <c r="Y29" s="245" t="s">
        <v>903</v>
      </c>
      <c r="Z29" s="394">
        <v>2</v>
      </c>
      <c r="AA29" s="396">
        <v>14</v>
      </c>
      <c r="AB29" s="249"/>
      <c r="AC29" s="250" t="s">
        <v>463</v>
      </c>
      <c r="AD29" s="235">
        <v>2</v>
      </c>
      <c r="AE29" s="236">
        <v>3</v>
      </c>
      <c r="AF29" s="249" t="s">
        <v>144</v>
      </c>
      <c r="AG29" s="250" t="s">
        <v>502</v>
      </c>
      <c r="AH29" s="460">
        <v>2</v>
      </c>
      <c r="AI29" s="262">
        <v>1</v>
      </c>
      <c r="AJ29" s="309" t="s">
        <v>144</v>
      </c>
      <c r="AK29" s="310" t="s">
        <v>1139</v>
      </c>
      <c r="AL29" s="311">
        <v>3</v>
      </c>
      <c r="AM29" s="312">
        <v>7</v>
      </c>
      <c r="AN29" s="309" t="s">
        <v>144</v>
      </c>
      <c r="AO29" s="310" t="s">
        <v>1171</v>
      </c>
      <c r="AP29" s="418">
        <v>5</v>
      </c>
      <c r="AQ29" s="467">
        <v>6</v>
      </c>
      <c r="AR29" s="163"/>
      <c r="AS29" s="202">
        <v>27</v>
      </c>
      <c r="AT29" s="244" t="s">
        <v>144</v>
      </c>
      <c r="AU29" s="245" t="s">
        <v>835</v>
      </c>
      <c r="AV29" s="440">
        <v>2</v>
      </c>
      <c r="AW29" s="441">
        <v>3</v>
      </c>
      <c r="AX29" s="244"/>
      <c r="AY29" s="245" t="s">
        <v>770</v>
      </c>
      <c r="AZ29" s="394">
        <v>3</v>
      </c>
      <c r="BA29" s="396">
        <v>12</v>
      </c>
      <c r="BB29" s="241"/>
      <c r="BC29" s="242" t="s">
        <v>990</v>
      </c>
      <c r="BD29" s="410">
        <v>7</v>
      </c>
      <c r="BE29" s="224">
        <v>3</v>
      </c>
      <c r="BF29" s="241"/>
      <c r="BG29" s="242" t="s">
        <v>1062</v>
      </c>
      <c r="BH29" s="392">
        <v>6</v>
      </c>
      <c r="BI29" s="456">
        <v>5</v>
      </c>
      <c r="BJ29" s="244"/>
      <c r="BK29" s="245" t="s">
        <v>804</v>
      </c>
      <c r="BL29" s="433">
        <v>5</v>
      </c>
      <c r="BM29" s="464">
        <v>2</v>
      </c>
      <c r="BO29" s="202">
        <v>27</v>
      </c>
      <c r="BP29" s="249"/>
      <c r="BQ29" s="250" t="s">
        <v>339</v>
      </c>
      <c r="BR29" s="251">
        <v>3</v>
      </c>
      <c r="BS29" s="257">
        <v>2</v>
      </c>
      <c r="BT29" s="241"/>
      <c r="BU29" s="242" t="s">
        <v>1096</v>
      </c>
      <c r="BV29" s="225">
        <v>9</v>
      </c>
      <c r="BW29" s="256">
        <v>8</v>
      </c>
      <c r="BX29" s="309" t="s">
        <v>144</v>
      </c>
      <c r="BY29" s="310" t="s">
        <v>1265</v>
      </c>
      <c r="BZ29" s="318">
        <v>5</v>
      </c>
      <c r="CA29" s="319">
        <v>2</v>
      </c>
      <c r="CB29" s="309"/>
      <c r="CC29" s="310" t="s">
        <v>1229</v>
      </c>
      <c r="CD29" s="311">
        <v>4</v>
      </c>
      <c r="CE29" s="320">
        <v>5</v>
      </c>
      <c r="CF29" s="309" t="s">
        <v>144</v>
      </c>
      <c r="CG29" s="310" t="s">
        <v>1139</v>
      </c>
      <c r="CH29" s="322">
        <v>1</v>
      </c>
      <c r="CI29" s="323">
        <v>2</v>
      </c>
      <c r="CJ29" s="163"/>
      <c r="CK29" s="202">
        <v>27</v>
      </c>
      <c r="CL29" s="244" t="s">
        <v>144</v>
      </c>
      <c r="CM29" s="245" t="s">
        <v>804</v>
      </c>
      <c r="CN29" s="239">
        <v>8</v>
      </c>
      <c r="CO29" s="240">
        <v>9</v>
      </c>
      <c r="CP29" s="249"/>
      <c r="CQ29" s="250" t="s">
        <v>502</v>
      </c>
      <c r="CR29" s="251">
        <v>10</v>
      </c>
      <c r="CS29" s="257">
        <v>8</v>
      </c>
      <c r="CT29" s="249" t="s">
        <v>144</v>
      </c>
      <c r="CU29" s="250" t="s">
        <v>539</v>
      </c>
      <c r="CV29" s="261">
        <v>6</v>
      </c>
      <c r="CW29" s="262">
        <v>2</v>
      </c>
      <c r="CX29" s="309" t="s">
        <v>144</v>
      </c>
      <c r="CY29" s="310" t="s">
        <v>1171</v>
      </c>
      <c r="CZ29" s="311">
        <v>1</v>
      </c>
      <c r="DA29" s="312">
        <v>5</v>
      </c>
      <c r="DB29" s="309" t="s">
        <v>144</v>
      </c>
      <c r="DC29" s="310" t="s">
        <v>1200</v>
      </c>
      <c r="DD29" s="322">
        <v>5</v>
      </c>
      <c r="DE29" s="324">
        <v>7</v>
      </c>
      <c r="DF29" s="163"/>
      <c r="DG29" s="202">
        <v>27</v>
      </c>
      <c r="DH29" s="244" t="s">
        <v>144</v>
      </c>
      <c r="DI29" s="245" t="s">
        <v>770</v>
      </c>
      <c r="DJ29" s="231">
        <v>5</v>
      </c>
      <c r="DK29" s="232">
        <v>4</v>
      </c>
      <c r="DL29" s="244"/>
      <c r="DM29" s="245" t="s">
        <v>869</v>
      </c>
      <c r="DN29" s="246">
        <v>2</v>
      </c>
      <c r="DO29" s="247">
        <v>1</v>
      </c>
      <c r="DP29" s="241"/>
      <c r="DQ29" s="242" t="s">
        <v>1062</v>
      </c>
      <c r="DR29" s="223">
        <v>5</v>
      </c>
      <c r="DS29" s="224">
        <v>1</v>
      </c>
      <c r="DT29" s="241"/>
      <c r="DU29" s="242" t="s">
        <v>1025</v>
      </c>
      <c r="DV29" s="225">
        <v>7</v>
      </c>
      <c r="DW29" s="256">
        <v>5</v>
      </c>
      <c r="DX29" s="244"/>
      <c r="DY29" s="245" t="s">
        <v>835</v>
      </c>
      <c r="DZ29" s="239">
        <v>2</v>
      </c>
      <c r="EA29" s="240">
        <v>5</v>
      </c>
      <c r="EC29" s="202">
        <v>27</v>
      </c>
      <c r="ED29" s="249"/>
      <c r="EE29" s="250" t="s">
        <v>165</v>
      </c>
      <c r="EF29" s="235">
        <v>3</v>
      </c>
      <c r="EG29" s="236">
        <v>10</v>
      </c>
      <c r="EH29" s="241"/>
      <c r="EI29" s="242" t="s">
        <v>952</v>
      </c>
      <c r="EJ29" s="221">
        <v>2</v>
      </c>
      <c r="EK29" s="259">
        <v>5</v>
      </c>
      <c r="EL29" s="309" t="s">
        <v>144</v>
      </c>
      <c r="EM29" s="310" t="s">
        <v>1229</v>
      </c>
      <c r="EN29" s="318">
        <v>5</v>
      </c>
      <c r="EO29" s="319">
        <v>3</v>
      </c>
      <c r="EP29" s="309"/>
      <c r="EQ29" s="310" t="s">
        <v>1139</v>
      </c>
      <c r="ER29" s="311">
        <v>1</v>
      </c>
      <c r="ES29" s="320">
        <v>5</v>
      </c>
      <c r="ET29" s="309" t="s">
        <v>144</v>
      </c>
      <c r="EU29" s="310" t="s">
        <v>1171</v>
      </c>
      <c r="EV29" s="322">
        <v>0</v>
      </c>
      <c r="EW29" s="323">
        <v>3</v>
      </c>
      <c r="EX29" s="163"/>
      <c r="EY29" s="202">
        <v>27</v>
      </c>
      <c r="EZ29" s="244" t="s">
        <v>144</v>
      </c>
      <c r="FA29" s="245" t="s">
        <v>835</v>
      </c>
      <c r="FB29" s="246">
        <v>5</v>
      </c>
      <c r="FC29" s="247">
        <v>2</v>
      </c>
      <c r="FD29" s="249"/>
      <c r="FE29" s="250" t="s">
        <v>539</v>
      </c>
      <c r="FF29" s="235">
        <v>2</v>
      </c>
      <c r="FG29" s="236">
        <v>6</v>
      </c>
      <c r="FH29" s="249" t="s">
        <v>144</v>
      </c>
      <c r="FI29" s="250" t="s">
        <v>429</v>
      </c>
      <c r="FJ29" s="261">
        <v>10</v>
      </c>
      <c r="FK29" s="262">
        <v>2</v>
      </c>
      <c r="FL29" s="309" t="s">
        <v>144</v>
      </c>
      <c r="FM29" s="310" t="s">
        <v>1200</v>
      </c>
      <c r="FN29" s="311">
        <v>0</v>
      </c>
      <c r="FO29" s="312">
        <v>1</v>
      </c>
      <c r="FP29" s="309" t="s">
        <v>144</v>
      </c>
      <c r="FQ29" s="310" t="s">
        <v>1265</v>
      </c>
      <c r="FR29" s="318">
        <v>7</v>
      </c>
      <c r="FS29" s="319">
        <v>6</v>
      </c>
      <c r="FT29" s="163"/>
      <c r="FU29" s="202">
        <v>27</v>
      </c>
      <c r="FV29" s="244" t="s">
        <v>144</v>
      </c>
      <c r="FW29" s="245" t="s">
        <v>869</v>
      </c>
      <c r="FX29" s="231">
        <v>5</v>
      </c>
      <c r="FY29" s="232">
        <v>1</v>
      </c>
      <c r="FZ29" s="244"/>
      <c r="GA29" s="245" t="s">
        <v>903</v>
      </c>
      <c r="GB29" s="246">
        <v>3</v>
      </c>
      <c r="GC29" s="247">
        <v>0</v>
      </c>
      <c r="GD29" s="241"/>
      <c r="GE29" s="242" t="s">
        <v>1025</v>
      </c>
      <c r="GF29" s="223">
        <v>1</v>
      </c>
      <c r="GG29" s="224">
        <v>0</v>
      </c>
      <c r="GH29" s="241"/>
      <c r="GI29" s="242" t="s">
        <v>1096</v>
      </c>
      <c r="GJ29" s="221">
        <v>6</v>
      </c>
      <c r="GK29" s="259">
        <v>7</v>
      </c>
      <c r="GL29" s="244"/>
      <c r="GM29" s="245" t="s">
        <v>770</v>
      </c>
      <c r="GN29" s="239">
        <v>3</v>
      </c>
      <c r="GO29" s="240">
        <v>5</v>
      </c>
    </row>
    <row r="30" spans="1:197">
      <c r="A30" s="202">
        <v>28</v>
      </c>
      <c r="B30" s="233"/>
      <c r="C30" s="234" t="s">
        <v>300</v>
      </c>
      <c r="D30" s="426">
        <v>3</v>
      </c>
      <c r="E30" s="425">
        <v>2</v>
      </c>
      <c r="F30" s="219"/>
      <c r="G30" s="220" t="s">
        <v>1025</v>
      </c>
      <c r="H30" s="392">
        <v>10</v>
      </c>
      <c r="I30" s="456">
        <v>9</v>
      </c>
      <c r="J30" s="313" t="s">
        <v>144</v>
      </c>
      <c r="K30" s="314" t="s">
        <v>1200</v>
      </c>
      <c r="L30" s="415">
        <v>4</v>
      </c>
      <c r="M30" s="578">
        <v>2</v>
      </c>
      <c r="N30" s="313"/>
      <c r="O30" s="314" t="s">
        <v>1265</v>
      </c>
      <c r="P30" s="311">
        <v>7</v>
      </c>
      <c r="Q30" s="320">
        <v>17</v>
      </c>
      <c r="R30" s="313" t="s">
        <v>144</v>
      </c>
      <c r="S30" s="314" t="s">
        <v>1229</v>
      </c>
      <c r="T30" s="322">
        <v>2</v>
      </c>
      <c r="U30" s="323">
        <v>5</v>
      </c>
      <c r="V30" s="163"/>
      <c r="W30" s="202">
        <v>28</v>
      </c>
      <c r="X30" s="229" t="s">
        <v>144</v>
      </c>
      <c r="Y30" s="230" t="s">
        <v>903</v>
      </c>
      <c r="Z30" s="394">
        <v>9</v>
      </c>
      <c r="AA30" s="396">
        <v>10</v>
      </c>
      <c r="AB30" s="233"/>
      <c r="AC30" s="234" t="s">
        <v>463</v>
      </c>
      <c r="AD30" s="251">
        <v>3</v>
      </c>
      <c r="AE30" s="257">
        <v>0</v>
      </c>
      <c r="AF30" s="233" t="s">
        <v>144</v>
      </c>
      <c r="AG30" s="234" t="s">
        <v>502</v>
      </c>
      <c r="AH30" s="461">
        <v>2</v>
      </c>
      <c r="AI30" s="462">
        <v>3</v>
      </c>
      <c r="AJ30" s="313" t="s">
        <v>144</v>
      </c>
      <c r="AK30" s="314" t="s">
        <v>1139</v>
      </c>
      <c r="AL30" s="422">
        <v>5</v>
      </c>
      <c r="AM30" s="421">
        <v>3</v>
      </c>
      <c r="AN30" s="313" t="s">
        <v>144</v>
      </c>
      <c r="AO30" s="314" t="s">
        <v>1171</v>
      </c>
      <c r="AP30" s="322">
        <v>2</v>
      </c>
      <c r="AQ30" s="323">
        <v>3</v>
      </c>
      <c r="AR30" s="163"/>
      <c r="AS30" s="202">
        <v>28</v>
      </c>
      <c r="AT30" s="229" t="s">
        <v>144</v>
      </c>
      <c r="AU30" s="230" t="s">
        <v>835</v>
      </c>
      <c r="AV30" s="231">
        <v>17</v>
      </c>
      <c r="AW30" s="232">
        <v>7</v>
      </c>
      <c r="AX30" s="229"/>
      <c r="AY30" s="230" t="s">
        <v>770</v>
      </c>
      <c r="AZ30" s="246">
        <v>5</v>
      </c>
      <c r="BA30" s="247">
        <v>2</v>
      </c>
      <c r="BB30" s="219"/>
      <c r="BC30" s="220" t="s">
        <v>990</v>
      </c>
      <c r="BD30" s="408">
        <v>3</v>
      </c>
      <c r="BE30" s="409">
        <v>5</v>
      </c>
      <c r="BF30" s="219"/>
      <c r="BG30" s="220" t="s">
        <v>1062</v>
      </c>
      <c r="BH30" s="410">
        <v>3</v>
      </c>
      <c r="BI30" s="256">
        <v>2</v>
      </c>
      <c r="BJ30" s="229"/>
      <c r="BK30" s="230" t="s">
        <v>804</v>
      </c>
      <c r="BL30" s="394">
        <v>2</v>
      </c>
      <c r="BM30" s="396">
        <v>4</v>
      </c>
      <c r="BO30" s="202">
        <v>28</v>
      </c>
      <c r="BP30" s="233"/>
      <c r="BQ30" s="234" t="s">
        <v>339</v>
      </c>
      <c r="BR30" s="235">
        <v>0</v>
      </c>
      <c r="BS30" s="236">
        <v>9</v>
      </c>
      <c r="BT30" s="219"/>
      <c r="BU30" s="220" t="s">
        <v>1096</v>
      </c>
      <c r="BV30" s="225">
        <v>4</v>
      </c>
      <c r="BW30" s="256">
        <v>3</v>
      </c>
      <c r="BX30" s="313" t="s">
        <v>144</v>
      </c>
      <c r="BY30" s="314" t="s">
        <v>1265</v>
      </c>
      <c r="BZ30" s="318">
        <v>5</v>
      </c>
      <c r="CA30" s="319">
        <v>0</v>
      </c>
      <c r="CB30" s="313"/>
      <c r="CC30" s="314" t="s">
        <v>1229</v>
      </c>
      <c r="CD30" s="315">
        <v>4</v>
      </c>
      <c r="CE30" s="317">
        <v>2</v>
      </c>
      <c r="CF30" s="313" t="s">
        <v>144</v>
      </c>
      <c r="CG30" s="314" t="s">
        <v>1139</v>
      </c>
      <c r="CH30" s="322">
        <v>3</v>
      </c>
      <c r="CI30" s="323">
        <v>4</v>
      </c>
      <c r="CJ30" s="163"/>
      <c r="CK30" s="202">
        <v>28</v>
      </c>
      <c r="CL30" s="229" t="s">
        <v>144</v>
      </c>
      <c r="CM30" s="230" t="s">
        <v>804</v>
      </c>
      <c r="CN30" s="239">
        <v>3</v>
      </c>
      <c r="CO30" s="240">
        <v>4</v>
      </c>
      <c r="CP30" s="233"/>
      <c r="CQ30" s="234" t="s">
        <v>502</v>
      </c>
      <c r="CR30" s="235">
        <v>2</v>
      </c>
      <c r="CS30" s="236">
        <v>3</v>
      </c>
      <c r="CT30" s="233" t="s">
        <v>144</v>
      </c>
      <c r="CU30" s="234" t="s">
        <v>539</v>
      </c>
      <c r="CV30" s="261">
        <v>4</v>
      </c>
      <c r="CW30" s="262">
        <v>3</v>
      </c>
      <c r="CX30" s="313" t="s">
        <v>144</v>
      </c>
      <c r="CY30" s="314" t="s">
        <v>1171</v>
      </c>
      <c r="CZ30" s="315">
        <v>8</v>
      </c>
      <c r="DA30" s="316">
        <v>6</v>
      </c>
      <c r="DB30" s="313" t="s">
        <v>144</v>
      </c>
      <c r="DC30" s="314" t="s">
        <v>1200</v>
      </c>
      <c r="DD30" s="318">
        <v>11</v>
      </c>
      <c r="DE30" s="321">
        <v>2</v>
      </c>
      <c r="DF30" s="163"/>
      <c r="DG30" s="202">
        <v>28</v>
      </c>
      <c r="DH30" s="229" t="s">
        <v>144</v>
      </c>
      <c r="DI30" s="230" t="s">
        <v>770</v>
      </c>
      <c r="DJ30" s="237">
        <v>2</v>
      </c>
      <c r="DK30" s="248">
        <v>4</v>
      </c>
      <c r="DL30" s="229"/>
      <c r="DM30" s="230" t="s">
        <v>869</v>
      </c>
      <c r="DN30" s="246">
        <v>4</v>
      </c>
      <c r="DO30" s="247">
        <v>3</v>
      </c>
      <c r="DP30" s="219"/>
      <c r="DQ30" s="220" t="s">
        <v>1062</v>
      </c>
      <c r="DR30" s="227">
        <v>6</v>
      </c>
      <c r="DS30" s="228">
        <v>8</v>
      </c>
      <c r="DT30" s="219"/>
      <c r="DU30" s="220" t="s">
        <v>1025</v>
      </c>
      <c r="DV30" s="227">
        <v>2</v>
      </c>
      <c r="DW30" s="259">
        <v>11</v>
      </c>
      <c r="DX30" s="229"/>
      <c r="DY30" s="230" t="s">
        <v>835</v>
      </c>
      <c r="DZ30" s="239">
        <v>0</v>
      </c>
      <c r="EA30" s="240">
        <v>5</v>
      </c>
      <c r="EC30" s="202">
        <v>28</v>
      </c>
      <c r="ED30" s="233"/>
      <c r="EE30" s="234" t="s">
        <v>165</v>
      </c>
      <c r="EF30" s="235">
        <v>2</v>
      </c>
      <c r="EG30" s="236">
        <v>10</v>
      </c>
      <c r="EH30" s="219"/>
      <c r="EI30" s="220" t="s">
        <v>952</v>
      </c>
      <c r="EJ30" s="221">
        <v>5</v>
      </c>
      <c r="EK30" s="259">
        <v>11</v>
      </c>
      <c r="EL30" s="313" t="s">
        <v>144</v>
      </c>
      <c r="EM30" s="314" t="s">
        <v>1229</v>
      </c>
      <c r="EN30" s="322">
        <v>4</v>
      </c>
      <c r="EO30" s="324">
        <v>10</v>
      </c>
      <c r="EP30" s="313"/>
      <c r="EQ30" s="314" t="s">
        <v>1139</v>
      </c>
      <c r="ER30" s="311">
        <v>6</v>
      </c>
      <c r="ES30" s="320">
        <v>12</v>
      </c>
      <c r="ET30" s="313" t="s">
        <v>144</v>
      </c>
      <c r="EU30" s="314" t="s">
        <v>1171</v>
      </c>
      <c r="EV30" s="322">
        <v>0</v>
      </c>
      <c r="EW30" s="323">
        <v>6</v>
      </c>
      <c r="EX30" s="163"/>
      <c r="EY30" s="202">
        <v>28</v>
      </c>
      <c r="EZ30" s="229" t="s">
        <v>144</v>
      </c>
      <c r="FA30" s="230" t="s">
        <v>835</v>
      </c>
      <c r="FB30" s="246">
        <v>11</v>
      </c>
      <c r="FC30" s="247">
        <v>5</v>
      </c>
      <c r="FD30" s="233"/>
      <c r="FE30" s="234" t="s">
        <v>539</v>
      </c>
      <c r="FF30" s="251">
        <v>7</v>
      </c>
      <c r="FG30" s="257">
        <v>2</v>
      </c>
      <c r="FH30" s="233" t="s">
        <v>144</v>
      </c>
      <c r="FI30" s="234" t="s">
        <v>429</v>
      </c>
      <c r="FJ30" s="261">
        <v>3</v>
      </c>
      <c r="FK30" s="262">
        <v>2</v>
      </c>
      <c r="FL30" s="313" t="s">
        <v>144</v>
      </c>
      <c r="FM30" s="314" t="s">
        <v>1200</v>
      </c>
      <c r="FN30" s="311">
        <v>2</v>
      </c>
      <c r="FO30" s="312">
        <v>5</v>
      </c>
      <c r="FP30" s="313" t="s">
        <v>144</v>
      </c>
      <c r="FQ30" s="314" t="s">
        <v>1265</v>
      </c>
      <c r="FR30" s="322">
        <v>8</v>
      </c>
      <c r="FS30" s="323">
        <v>9</v>
      </c>
      <c r="FT30" s="163"/>
      <c r="FU30" s="202">
        <v>28</v>
      </c>
      <c r="FV30" s="229" t="s">
        <v>144</v>
      </c>
      <c r="FW30" s="230" t="s">
        <v>869</v>
      </c>
      <c r="FX30" s="231">
        <v>12</v>
      </c>
      <c r="FY30" s="232">
        <v>6</v>
      </c>
      <c r="FZ30" s="229"/>
      <c r="GA30" s="230" t="s">
        <v>903</v>
      </c>
      <c r="GB30" s="246">
        <v>6</v>
      </c>
      <c r="GC30" s="247">
        <v>0</v>
      </c>
      <c r="GD30" s="219"/>
      <c r="GE30" s="220" t="s">
        <v>1025</v>
      </c>
      <c r="GF30" s="223">
        <v>5</v>
      </c>
      <c r="GG30" s="224">
        <v>2</v>
      </c>
      <c r="GH30" s="219"/>
      <c r="GI30" s="220" t="s">
        <v>1096</v>
      </c>
      <c r="GJ30" s="223">
        <v>9</v>
      </c>
      <c r="GK30" s="256">
        <v>8</v>
      </c>
      <c r="GL30" s="229"/>
      <c r="GM30" s="230" t="s">
        <v>770</v>
      </c>
      <c r="GN30" s="246">
        <v>10</v>
      </c>
      <c r="GO30" s="247">
        <v>4</v>
      </c>
    </row>
    <row r="31" spans="1:197">
      <c r="A31" s="202">
        <v>29</v>
      </c>
      <c r="B31" s="309"/>
      <c r="C31" s="310" t="s">
        <v>1171</v>
      </c>
      <c r="D31" s="311">
        <v>4</v>
      </c>
      <c r="E31" s="312">
        <v>6</v>
      </c>
      <c r="F31" s="241" t="s">
        <v>144</v>
      </c>
      <c r="G31" s="242" t="s">
        <v>952</v>
      </c>
      <c r="H31" s="392">
        <v>4</v>
      </c>
      <c r="I31" s="456">
        <v>0</v>
      </c>
      <c r="J31" s="241" t="s">
        <v>144</v>
      </c>
      <c r="K31" s="242" t="s">
        <v>1096</v>
      </c>
      <c r="L31" s="408">
        <v>2</v>
      </c>
      <c r="M31" s="486">
        <v>5</v>
      </c>
      <c r="N31" s="249"/>
      <c r="O31" s="250" t="s">
        <v>226</v>
      </c>
      <c r="P31" s="430">
        <v>3</v>
      </c>
      <c r="Q31" s="468">
        <v>4</v>
      </c>
      <c r="R31" s="309" t="s">
        <v>144</v>
      </c>
      <c r="S31" s="310" t="s">
        <v>1265</v>
      </c>
      <c r="T31" s="322">
        <v>4</v>
      </c>
      <c r="U31" s="323">
        <v>10</v>
      </c>
      <c r="V31" s="163"/>
      <c r="W31" s="202">
        <v>29</v>
      </c>
      <c r="X31" s="309"/>
      <c r="Y31" s="310" t="s">
        <v>1229</v>
      </c>
      <c r="Z31" s="422">
        <v>9</v>
      </c>
      <c r="AA31" s="421">
        <v>0</v>
      </c>
      <c r="AB31" s="244"/>
      <c r="AC31" s="245" t="s">
        <v>804</v>
      </c>
      <c r="AD31" s="433">
        <v>5</v>
      </c>
      <c r="AE31" s="464">
        <v>2</v>
      </c>
      <c r="AF31" s="244"/>
      <c r="AG31" s="245" t="s">
        <v>903</v>
      </c>
      <c r="AH31" s="440">
        <v>0</v>
      </c>
      <c r="AI31" s="441">
        <v>4</v>
      </c>
      <c r="AJ31" s="309"/>
      <c r="AK31" s="310" t="s">
        <v>1200</v>
      </c>
      <c r="AL31" s="315">
        <v>3</v>
      </c>
      <c r="AM31" s="316">
        <v>2</v>
      </c>
      <c r="AN31" s="309" t="s">
        <v>144</v>
      </c>
      <c r="AO31" s="310" t="s">
        <v>1139</v>
      </c>
      <c r="AP31" s="415">
        <v>6</v>
      </c>
      <c r="AQ31" s="436">
        <v>1</v>
      </c>
      <c r="AR31" s="163"/>
      <c r="AS31" s="202">
        <v>29</v>
      </c>
      <c r="AT31" s="244"/>
      <c r="AU31" s="245" t="s">
        <v>770</v>
      </c>
      <c r="AV31" s="231">
        <v>10</v>
      </c>
      <c r="AW31" s="232">
        <v>4</v>
      </c>
      <c r="AX31" s="241" t="s">
        <v>144</v>
      </c>
      <c r="AY31" s="242" t="s">
        <v>1025</v>
      </c>
      <c r="AZ31" s="434">
        <v>0</v>
      </c>
      <c r="BA31" s="435">
        <v>9</v>
      </c>
      <c r="BB31" s="241"/>
      <c r="BC31" s="242" t="s">
        <v>1062</v>
      </c>
      <c r="BD31" s="408">
        <v>1</v>
      </c>
      <c r="BE31" s="409">
        <v>6</v>
      </c>
      <c r="BF31" s="244" t="s">
        <v>144</v>
      </c>
      <c r="BG31" s="245" t="s">
        <v>869</v>
      </c>
      <c r="BH31" s="246">
        <v>6</v>
      </c>
      <c r="BI31" s="258">
        <v>4</v>
      </c>
      <c r="BJ31" s="241" t="s">
        <v>144</v>
      </c>
      <c r="BK31" s="242" t="s">
        <v>990</v>
      </c>
      <c r="BL31" s="221">
        <v>2</v>
      </c>
      <c r="BM31" s="222">
        <v>3</v>
      </c>
      <c r="BO31" s="202">
        <v>29</v>
      </c>
      <c r="BP31" s="309"/>
      <c r="BQ31" s="310" t="s">
        <v>1200</v>
      </c>
      <c r="BR31" s="311">
        <v>1</v>
      </c>
      <c r="BS31" s="312">
        <v>3</v>
      </c>
      <c r="BT31" s="241" t="s">
        <v>144</v>
      </c>
      <c r="BU31" s="242" t="s">
        <v>990</v>
      </c>
      <c r="BV31" s="225">
        <v>5</v>
      </c>
      <c r="BW31" s="256">
        <v>2</v>
      </c>
      <c r="BX31" s="241" t="s">
        <v>144</v>
      </c>
      <c r="BY31" s="242" t="s">
        <v>952</v>
      </c>
      <c r="BZ31" s="227">
        <v>1</v>
      </c>
      <c r="CA31" s="253">
        <v>2</v>
      </c>
      <c r="CB31" s="249"/>
      <c r="CC31" s="250" t="s">
        <v>266</v>
      </c>
      <c r="CD31" s="235">
        <v>0</v>
      </c>
      <c r="CE31" s="255">
        <v>7</v>
      </c>
      <c r="CF31" s="309" t="s">
        <v>144</v>
      </c>
      <c r="CG31" s="310" t="s">
        <v>1229</v>
      </c>
      <c r="CH31" s="318">
        <v>3</v>
      </c>
      <c r="CI31" s="321">
        <v>2</v>
      </c>
      <c r="CJ31" s="163"/>
      <c r="CK31" s="202">
        <v>29</v>
      </c>
      <c r="CL31" s="309"/>
      <c r="CM31" s="310" t="s">
        <v>1139</v>
      </c>
      <c r="CN31" s="311">
        <v>0</v>
      </c>
      <c r="CO31" s="312">
        <v>7</v>
      </c>
      <c r="CP31" s="244"/>
      <c r="CQ31" s="245" t="s">
        <v>835</v>
      </c>
      <c r="CR31" s="246">
        <v>2</v>
      </c>
      <c r="CS31" s="247">
        <v>1</v>
      </c>
      <c r="CT31" s="244"/>
      <c r="CU31" s="245" t="s">
        <v>804</v>
      </c>
      <c r="CV31" s="237">
        <v>2</v>
      </c>
      <c r="CW31" s="248">
        <v>5</v>
      </c>
      <c r="CX31" s="309"/>
      <c r="CY31" s="310" t="s">
        <v>1265</v>
      </c>
      <c r="CZ31" s="315">
        <v>3</v>
      </c>
      <c r="DA31" s="316">
        <v>1</v>
      </c>
      <c r="DB31" s="309" t="s">
        <v>144</v>
      </c>
      <c r="DC31" s="310" t="s">
        <v>1171</v>
      </c>
      <c r="DD31" s="322">
        <v>4</v>
      </c>
      <c r="DE31" s="323">
        <v>5</v>
      </c>
      <c r="DF31" s="163"/>
      <c r="DG31" s="202">
        <v>29</v>
      </c>
      <c r="DH31" s="244"/>
      <c r="DI31" s="245" t="s">
        <v>869</v>
      </c>
      <c r="DJ31" s="237">
        <v>2</v>
      </c>
      <c r="DK31" s="248">
        <v>3</v>
      </c>
      <c r="DL31" s="241" t="s">
        <v>144</v>
      </c>
      <c r="DM31" s="242" t="s">
        <v>1096</v>
      </c>
      <c r="DN31" s="225">
        <v>7</v>
      </c>
      <c r="DO31" s="226">
        <v>0</v>
      </c>
      <c r="DP31" s="241"/>
      <c r="DQ31" s="242" t="s">
        <v>1025</v>
      </c>
      <c r="DR31" s="223">
        <v>5</v>
      </c>
      <c r="DS31" s="224">
        <v>4</v>
      </c>
      <c r="DT31" s="244" t="s">
        <v>144</v>
      </c>
      <c r="DU31" s="245" t="s">
        <v>903</v>
      </c>
      <c r="DV31" s="246">
        <v>3</v>
      </c>
      <c r="DW31" s="258">
        <v>1</v>
      </c>
      <c r="DX31" s="241" t="s">
        <v>144</v>
      </c>
      <c r="DY31" s="242" t="s">
        <v>1062</v>
      </c>
      <c r="DZ31" s="221">
        <v>1</v>
      </c>
      <c r="EA31" s="222">
        <v>3</v>
      </c>
      <c r="EC31" s="202">
        <v>29</v>
      </c>
      <c r="ED31" s="309"/>
      <c r="EE31" s="310" t="s">
        <v>1265</v>
      </c>
      <c r="EF31" s="311">
        <v>0</v>
      </c>
      <c r="EG31" s="312">
        <v>13</v>
      </c>
      <c r="EH31" s="241" t="s">
        <v>144</v>
      </c>
      <c r="EI31" s="242" t="s">
        <v>1062</v>
      </c>
      <c r="EJ31" s="221">
        <v>2</v>
      </c>
      <c r="EK31" s="259">
        <v>3</v>
      </c>
      <c r="EL31" s="241" t="s">
        <v>144</v>
      </c>
      <c r="EM31" s="242" t="s">
        <v>990</v>
      </c>
      <c r="EN31" s="223">
        <v>9</v>
      </c>
      <c r="EO31" s="243">
        <v>0</v>
      </c>
      <c r="EP31" s="249"/>
      <c r="EQ31" s="250" t="s">
        <v>300</v>
      </c>
      <c r="ER31" s="251">
        <v>4</v>
      </c>
      <c r="ES31" s="252">
        <v>3</v>
      </c>
      <c r="ET31" s="309" t="s">
        <v>144</v>
      </c>
      <c r="EU31" s="310" t="s">
        <v>1139</v>
      </c>
      <c r="EV31" s="322">
        <v>2</v>
      </c>
      <c r="EW31" s="323">
        <v>3</v>
      </c>
      <c r="EX31" s="163"/>
      <c r="EY31" s="202">
        <v>29</v>
      </c>
      <c r="EZ31" s="309"/>
      <c r="FA31" s="310" t="s">
        <v>1171</v>
      </c>
      <c r="FB31" s="311">
        <v>0</v>
      </c>
      <c r="FC31" s="312">
        <v>7</v>
      </c>
      <c r="FD31" s="244"/>
      <c r="FE31" s="245" t="s">
        <v>770</v>
      </c>
      <c r="FF31" s="239">
        <v>0</v>
      </c>
      <c r="FG31" s="240">
        <v>9</v>
      </c>
      <c r="FH31" s="244"/>
      <c r="FI31" s="245" t="s">
        <v>835</v>
      </c>
      <c r="FJ31" s="231">
        <v>3</v>
      </c>
      <c r="FK31" s="232">
        <v>2</v>
      </c>
      <c r="FL31" s="309"/>
      <c r="FM31" s="310" t="s">
        <v>1229</v>
      </c>
      <c r="FN31" s="315">
        <v>17</v>
      </c>
      <c r="FO31" s="316">
        <v>6</v>
      </c>
      <c r="FP31" s="309" t="s">
        <v>144</v>
      </c>
      <c r="FQ31" s="310" t="s">
        <v>1200</v>
      </c>
      <c r="FR31" s="322">
        <v>3</v>
      </c>
      <c r="FS31" s="323">
        <v>4</v>
      </c>
      <c r="FT31" s="163"/>
      <c r="FU31" s="202">
        <v>29</v>
      </c>
      <c r="FV31" s="244"/>
      <c r="FW31" s="245" t="s">
        <v>903</v>
      </c>
      <c r="FX31" s="231">
        <v>3</v>
      </c>
      <c r="FY31" s="232">
        <v>2</v>
      </c>
      <c r="FZ31" s="241" t="s">
        <v>144</v>
      </c>
      <c r="GA31" s="242" t="s">
        <v>952</v>
      </c>
      <c r="GB31" s="225">
        <v>7</v>
      </c>
      <c r="GC31" s="226">
        <v>0</v>
      </c>
      <c r="GD31" s="241"/>
      <c r="GE31" s="242" t="s">
        <v>1096</v>
      </c>
      <c r="GF31" s="223">
        <v>4</v>
      </c>
      <c r="GG31" s="224">
        <v>3</v>
      </c>
      <c r="GH31" s="244" t="s">
        <v>144</v>
      </c>
      <c r="GI31" s="245" t="s">
        <v>804</v>
      </c>
      <c r="GJ31" s="246">
        <v>13</v>
      </c>
      <c r="GK31" s="258">
        <v>0</v>
      </c>
      <c r="GL31" s="241" t="s">
        <v>144</v>
      </c>
      <c r="GM31" s="242" t="s">
        <v>1025</v>
      </c>
      <c r="GN31" s="221">
        <v>6</v>
      </c>
      <c r="GO31" s="222">
        <v>17</v>
      </c>
    </row>
    <row r="32" spans="1:197">
      <c r="A32" s="202">
        <v>30</v>
      </c>
      <c r="B32" s="313"/>
      <c r="C32" s="314" t="s">
        <v>1171</v>
      </c>
      <c r="D32" s="315">
        <v>2</v>
      </c>
      <c r="E32" s="316">
        <v>1</v>
      </c>
      <c r="F32" s="219" t="s">
        <v>144</v>
      </c>
      <c r="G32" s="220" t="s">
        <v>952</v>
      </c>
      <c r="H32" s="221">
        <v>1</v>
      </c>
      <c r="I32" s="259">
        <v>2</v>
      </c>
      <c r="J32" s="219" t="s">
        <v>144</v>
      </c>
      <c r="K32" s="220" t="s">
        <v>1096</v>
      </c>
      <c r="L32" s="410">
        <v>5</v>
      </c>
      <c r="M32" s="465">
        <v>1</v>
      </c>
      <c r="N32" s="233"/>
      <c r="O32" s="234" t="s">
        <v>226</v>
      </c>
      <c r="P32" s="430">
        <v>3</v>
      </c>
      <c r="Q32" s="468">
        <v>6</v>
      </c>
      <c r="R32" s="313" t="s">
        <v>144</v>
      </c>
      <c r="S32" s="314" t="s">
        <v>1265</v>
      </c>
      <c r="T32" s="415">
        <v>5</v>
      </c>
      <c r="U32" s="436">
        <v>2</v>
      </c>
      <c r="V32" s="163"/>
      <c r="W32" s="202">
        <v>30</v>
      </c>
      <c r="X32" s="313"/>
      <c r="Y32" s="314" t="s">
        <v>1229</v>
      </c>
      <c r="Z32" s="422">
        <v>9</v>
      </c>
      <c r="AA32" s="421">
        <v>5</v>
      </c>
      <c r="AB32" s="229"/>
      <c r="AC32" s="230" t="s">
        <v>804</v>
      </c>
      <c r="AD32" s="394">
        <v>1</v>
      </c>
      <c r="AE32" s="396">
        <v>5</v>
      </c>
      <c r="AF32" s="229"/>
      <c r="AG32" s="230" t="s">
        <v>903</v>
      </c>
      <c r="AH32" s="231">
        <v>2</v>
      </c>
      <c r="AI32" s="232">
        <v>1</v>
      </c>
      <c r="AJ32" s="313"/>
      <c r="AK32" s="314" t="s">
        <v>1200</v>
      </c>
      <c r="AL32" s="437">
        <v>3</v>
      </c>
      <c r="AM32" s="438">
        <v>8</v>
      </c>
      <c r="AN32" s="313" t="s">
        <v>144</v>
      </c>
      <c r="AO32" s="314" t="s">
        <v>1139</v>
      </c>
      <c r="AP32" s="415">
        <v>8</v>
      </c>
      <c r="AQ32" s="436">
        <v>2</v>
      </c>
      <c r="AR32" s="163"/>
      <c r="AS32" s="202">
        <v>30</v>
      </c>
      <c r="AT32" s="229"/>
      <c r="AU32" s="230" t="s">
        <v>770</v>
      </c>
      <c r="AV32" s="440">
        <v>2</v>
      </c>
      <c r="AW32" s="441">
        <v>5</v>
      </c>
      <c r="AX32" s="219" t="s">
        <v>144</v>
      </c>
      <c r="AY32" s="220" t="s">
        <v>1025</v>
      </c>
      <c r="AZ32" s="434">
        <v>5</v>
      </c>
      <c r="BA32" s="435">
        <v>9</v>
      </c>
      <c r="BB32" s="219"/>
      <c r="BC32" s="220" t="s">
        <v>1062</v>
      </c>
      <c r="BD32" s="408">
        <v>2</v>
      </c>
      <c r="BE32" s="409">
        <v>8</v>
      </c>
      <c r="BF32" s="229" t="s">
        <v>144</v>
      </c>
      <c r="BG32" s="230" t="s">
        <v>869</v>
      </c>
      <c r="BH32" s="237">
        <v>1</v>
      </c>
      <c r="BI32" s="238">
        <v>2</v>
      </c>
      <c r="BJ32" s="219" t="s">
        <v>144</v>
      </c>
      <c r="BK32" s="220" t="s">
        <v>990</v>
      </c>
      <c r="BL32" s="392">
        <v>8</v>
      </c>
      <c r="BM32" s="390">
        <v>3</v>
      </c>
      <c r="BO32" s="202">
        <v>30</v>
      </c>
      <c r="BP32" s="313"/>
      <c r="BQ32" s="314" t="s">
        <v>1200</v>
      </c>
      <c r="BR32" s="311">
        <v>2</v>
      </c>
      <c r="BS32" s="312">
        <v>3</v>
      </c>
      <c r="BT32" s="219" t="s">
        <v>144</v>
      </c>
      <c r="BU32" s="220" t="s">
        <v>990</v>
      </c>
      <c r="BV32" s="221">
        <v>4</v>
      </c>
      <c r="BW32" s="259">
        <v>9</v>
      </c>
      <c r="BX32" s="219" t="s">
        <v>144</v>
      </c>
      <c r="BY32" s="220" t="s">
        <v>952</v>
      </c>
      <c r="BZ32" s="223">
        <v>4</v>
      </c>
      <c r="CA32" s="243">
        <v>3</v>
      </c>
      <c r="CB32" s="233"/>
      <c r="CC32" s="234" t="s">
        <v>266</v>
      </c>
      <c r="CD32" s="251">
        <v>4</v>
      </c>
      <c r="CE32" s="252">
        <v>3</v>
      </c>
      <c r="CF32" s="313" t="s">
        <v>144</v>
      </c>
      <c r="CG32" s="314" t="s">
        <v>1229</v>
      </c>
      <c r="CH32" s="322">
        <v>2</v>
      </c>
      <c r="CI32" s="323">
        <v>4</v>
      </c>
      <c r="CJ32" s="163"/>
      <c r="CK32" s="202">
        <v>30</v>
      </c>
      <c r="CL32" s="313"/>
      <c r="CM32" s="314" t="s">
        <v>1139</v>
      </c>
      <c r="CN32" s="311">
        <v>3</v>
      </c>
      <c r="CO32" s="312">
        <v>6</v>
      </c>
      <c r="CP32" s="229"/>
      <c r="CQ32" s="230" t="s">
        <v>835</v>
      </c>
      <c r="CR32" s="239">
        <v>3</v>
      </c>
      <c r="CS32" s="240">
        <v>4</v>
      </c>
      <c r="CT32" s="229"/>
      <c r="CU32" s="230" t="s">
        <v>804</v>
      </c>
      <c r="CV32" s="231">
        <v>9</v>
      </c>
      <c r="CW32" s="232">
        <v>4</v>
      </c>
      <c r="CX32" s="313"/>
      <c r="CY32" s="314" t="s">
        <v>1265</v>
      </c>
      <c r="CZ32" s="315">
        <v>9</v>
      </c>
      <c r="DA32" s="316">
        <v>3</v>
      </c>
      <c r="DB32" s="313" t="s">
        <v>144</v>
      </c>
      <c r="DC32" s="314" t="s">
        <v>1171</v>
      </c>
      <c r="DD32" s="322">
        <v>1</v>
      </c>
      <c r="DE32" s="323">
        <v>5</v>
      </c>
      <c r="DF32" s="163"/>
      <c r="DG32" s="202">
        <v>30</v>
      </c>
      <c r="DH32" s="229"/>
      <c r="DI32" s="230" t="s">
        <v>869</v>
      </c>
      <c r="DJ32" s="231">
        <v>4</v>
      </c>
      <c r="DK32" s="232">
        <v>2</v>
      </c>
      <c r="DL32" s="219" t="s">
        <v>144</v>
      </c>
      <c r="DM32" s="220" t="s">
        <v>1096</v>
      </c>
      <c r="DN32" s="225">
        <v>6</v>
      </c>
      <c r="DO32" s="226">
        <v>3</v>
      </c>
      <c r="DP32" s="219"/>
      <c r="DQ32" s="220" t="s">
        <v>1025</v>
      </c>
      <c r="DR32" s="223">
        <v>5</v>
      </c>
      <c r="DS32" s="224">
        <v>1</v>
      </c>
      <c r="DT32" s="229" t="s">
        <v>144</v>
      </c>
      <c r="DU32" s="230" t="s">
        <v>903</v>
      </c>
      <c r="DV32" s="231">
        <v>3</v>
      </c>
      <c r="DW32" s="258">
        <v>2</v>
      </c>
      <c r="DX32" s="219" t="s">
        <v>144</v>
      </c>
      <c r="DY32" s="220" t="s">
        <v>1062</v>
      </c>
      <c r="DZ32" s="221">
        <v>3</v>
      </c>
      <c r="EA32" s="222">
        <v>9</v>
      </c>
      <c r="EC32" s="202">
        <v>30</v>
      </c>
      <c r="ED32" s="313"/>
      <c r="EE32" s="314" t="s">
        <v>1265</v>
      </c>
      <c r="EF32" s="315">
        <v>5</v>
      </c>
      <c r="EG32" s="316">
        <v>2</v>
      </c>
      <c r="EH32" s="219" t="s">
        <v>144</v>
      </c>
      <c r="EI32" s="220" t="s">
        <v>1062</v>
      </c>
      <c r="EJ32" s="221">
        <v>3</v>
      </c>
      <c r="EK32" s="259">
        <v>4</v>
      </c>
      <c r="EL32" s="219" t="s">
        <v>144</v>
      </c>
      <c r="EM32" s="220" t="s">
        <v>990</v>
      </c>
      <c r="EN32" s="227">
        <v>2</v>
      </c>
      <c r="EO32" s="253">
        <v>3</v>
      </c>
      <c r="EP32" s="233"/>
      <c r="EQ32" s="234" t="s">
        <v>300</v>
      </c>
      <c r="ER32" s="251">
        <v>2</v>
      </c>
      <c r="ES32" s="252">
        <v>1</v>
      </c>
      <c r="ET32" s="313" t="s">
        <v>144</v>
      </c>
      <c r="EU32" s="314" t="s">
        <v>1139</v>
      </c>
      <c r="EV32" s="322">
        <v>2</v>
      </c>
      <c r="EW32" s="323">
        <v>10</v>
      </c>
      <c r="EX32" s="163"/>
      <c r="EY32" s="202">
        <v>30</v>
      </c>
      <c r="EZ32" s="313"/>
      <c r="FA32" s="314" t="s">
        <v>1171</v>
      </c>
      <c r="FB32" s="311">
        <v>1</v>
      </c>
      <c r="FC32" s="312">
        <v>3</v>
      </c>
      <c r="FD32" s="229"/>
      <c r="FE32" s="230" t="s">
        <v>770</v>
      </c>
      <c r="FF32" s="246">
        <v>3</v>
      </c>
      <c r="FG32" s="247">
        <v>2</v>
      </c>
      <c r="FH32" s="229"/>
      <c r="FI32" s="230" t="s">
        <v>835</v>
      </c>
      <c r="FJ32" s="231">
        <v>4</v>
      </c>
      <c r="FK32" s="232">
        <v>3</v>
      </c>
      <c r="FL32" s="313"/>
      <c r="FM32" s="314" t="s">
        <v>1229</v>
      </c>
      <c r="FN32" s="315">
        <v>6</v>
      </c>
      <c r="FO32" s="316">
        <v>0</v>
      </c>
      <c r="FP32" s="313" t="s">
        <v>144</v>
      </c>
      <c r="FQ32" s="314" t="s">
        <v>1200</v>
      </c>
      <c r="FR32" s="322">
        <v>3</v>
      </c>
      <c r="FS32" s="323">
        <v>6</v>
      </c>
      <c r="FT32" s="163"/>
      <c r="FU32" s="202">
        <v>30</v>
      </c>
      <c r="FV32" s="229"/>
      <c r="FW32" s="230" t="s">
        <v>903</v>
      </c>
      <c r="FX32" s="231">
        <v>10</v>
      </c>
      <c r="FY32" s="232">
        <v>2</v>
      </c>
      <c r="FZ32" s="219" t="s">
        <v>144</v>
      </c>
      <c r="GA32" s="220" t="s">
        <v>952</v>
      </c>
      <c r="GB32" s="225">
        <v>3</v>
      </c>
      <c r="GC32" s="226">
        <v>1</v>
      </c>
      <c r="GD32" s="219"/>
      <c r="GE32" s="220" t="s">
        <v>1096</v>
      </c>
      <c r="GF32" s="223">
        <v>6</v>
      </c>
      <c r="GG32" s="224">
        <v>3</v>
      </c>
      <c r="GH32" s="229" t="s">
        <v>144</v>
      </c>
      <c r="GI32" s="230" t="s">
        <v>804</v>
      </c>
      <c r="GJ32" s="237">
        <v>2</v>
      </c>
      <c r="GK32" s="238">
        <v>5</v>
      </c>
      <c r="GL32" s="219" t="s">
        <v>144</v>
      </c>
      <c r="GM32" s="220" t="s">
        <v>1025</v>
      </c>
      <c r="GN32" s="221">
        <v>0</v>
      </c>
      <c r="GO32" s="222">
        <v>6</v>
      </c>
    </row>
    <row r="33" spans="1:197">
      <c r="A33" s="202">
        <v>31</v>
      </c>
      <c r="B33" s="241" t="s">
        <v>144</v>
      </c>
      <c r="C33" s="242" t="s">
        <v>1025</v>
      </c>
      <c r="D33" s="434">
        <v>2</v>
      </c>
      <c r="E33" s="435">
        <v>5</v>
      </c>
      <c r="F33" s="244" t="s">
        <v>144</v>
      </c>
      <c r="G33" s="245" t="s">
        <v>804</v>
      </c>
      <c r="H33" s="433">
        <v>12</v>
      </c>
      <c r="I33" s="432">
        <v>1</v>
      </c>
      <c r="J33" s="244"/>
      <c r="K33" s="245" t="s">
        <v>903</v>
      </c>
      <c r="L33" s="440">
        <v>1</v>
      </c>
      <c r="M33" s="463">
        <v>12</v>
      </c>
      <c r="N33" s="244" t="s">
        <v>144</v>
      </c>
      <c r="O33" s="245" t="s">
        <v>770</v>
      </c>
      <c r="P33" s="433">
        <v>7</v>
      </c>
      <c r="Q33" s="432">
        <v>1</v>
      </c>
      <c r="R33" s="244"/>
      <c r="S33" s="245" t="s">
        <v>835</v>
      </c>
      <c r="T33" s="440">
        <v>1</v>
      </c>
      <c r="U33" s="441">
        <v>7</v>
      </c>
      <c r="V33" s="163"/>
      <c r="W33" s="202">
        <v>31</v>
      </c>
      <c r="X33" s="244"/>
      <c r="Y33" s="245" t="s">
        <v>869</v>
      </c>
      <c r="Z33" s="433">
        <v>5</v>
      </c>
      <c r="AA33" s="464">
        <v>2</v>
      </c>
      <c r="AB33" s="241" t="s">
        <v>144</v>
      </c>
      <c r="AC33" s="242" t="s">
        <v>952</v>
      </c>
      <c r="AD33" s="221">
        <v>5</v>
      </c>
      <c r="AE33" s="222">
        <v>8</v>
      </c>
      <c r="AF33" s="241"/>
      <c r="AG33" s="242" t="s">
        <v>1096</v>
      </c>
      <c r="AH33" s="223">
        <v>8</v>
      </c>
      <c r="AI33" s="224">
        <v>5</v>
      </c>
      <c r="AJ33" s="241"/>
      <c r="AK33" s="242" t="s">
        <v>1062</v>
      </c>
      <c r="AL33" s="221">
        <v>3</v>
      </c>
      <c r="AM33" s="222">
        <v>12</v>
      </c>
      <c r="AN33" s="241" t="s">
        <v>144</v>
      </c>
      <c r="AO33" s="242" t="s">
        <v>990</v>
      </c>
      <c r="AP33" s="223">
        <v>12</v>
      </c>
      <c r="AQ33" s="224">
        <v>3</v>
      </c>
      <c r="AR33" s="163"/>
      <c r="AS33" s="202">
        <v>31</v>
      </c>
      <c r="AT33" s="249" t="s">
        <v>144</v>
      </c>
      <c r="AU33" s="250" t="s">
        <v>650</v>
      </c>
      <c r="AV33" s="461">
        <v>2</v>
      </c>
      <c r="AW33" s="462">
        <v>3</v>
      </c>
      <c r="AX33" s="309"/>
      <c r="AY33" s="310" t="s">
        <v>1139</v>
      </c>
      <c r="AZ33" s="315">
        <v>5</v>
      </c>
      <c r="BA33" s="316">
        <v>3</v>
      </c>
      <c r="BB33" s="309" t="s">
        <v>144</v>
      </c>
      <c r="BC33" s="310" t="s">
        <v>1229</v>
      </c>
      <c r="BD33" s="322">
        <v>3</v>
      </c>
      <c r="BE33" s="323">
        <v>5</v>
      </c>
      <c r="BF33" s="309"/>
      <c r="BG33" s="310" t="s">
        <v>1200</v>
      </c>
      <c r="BH33" s="311">
        <v>0</v>
      </c>
      <c r="BI33" s="320">
        <v>5</v>
      </c>
      <c r="BJ33" s="309" t="s">
        <v>144</v>
      </c>
      <c r="BK33" s="310" t="s">
        <v>1171</v>
      </c>
      <c r="BL33" s="315">
        <v>5</v>
      </c>
      <c r="BM33" s="316">
        <v>0</v>
      </c>
      <c r="BO33" s="202">
        <v>31</v>
      </c>
      <c r="BP33" s="241" t="s">
        <v>144</v>
      </c>
      <c r="BQ33" s="242" t="s">
        <v>1096</v>
      </c>
      <c r="BR33" s="225">
        <v>6</v>
      </c>
      <c r="BS33" s="226">
        <v>5</v>
      </c>
      <c r="BT33" s="244" t="s">
        <v>144</v>
      </c>
      <c r="BU33" s="245" t="s">
        <v>835</v>
      </c>
      <c r="BV33" s="246">
        <v>7</v>
      </c>
      <c r="BW33" s="258">
        <v>3</v>
      </c>
      <c r="BX33" s="244"/>
      <c r="BY33" s="245" t="s">
        <v>804</v>
      </c>
      <c r="BZ33" s="237">
        <v>3</v>
      </c>
      <c r="CA33" s="268">
        <v>7</v>
      </c>
      <c r="CB33" s="244" t="s">
        <v>144</v>
      </c>
      <c r="CC33" s="245" t="s">
        <v>869</v>
      </c>
      <c r="CD33" s="239">
        <v>3</v>
      </c>
      <c r="CE33" s="238">
        <v>4</v>
      </c>
      <c r="CF33" s="244"/>
      <c r="CG33" s="245" t="s">
        <v>770</v>
      </c>
      <c r="CH33" s="231">
        <v>4</v>
      </c>
      <c r="CI33" s="232">
        <v>3</v>
      </c>
      <c r="CJ33" s="163"/>
      <c r="CK33" s="202">
        <v>31</v>
      </c>
      <c r="CL33" s="244"/>
      <c r="CM33" s="245" t="s">
        <v>903</v>
      </c>
      <c r="CN33" s="239">
        <v>5</v>
      </c>
      <c r="CO33" s="240">
        <v>6</v>
      </c>
      <c r="CP33" s="241" t="s">
        <v>144</v>
      </c>
      <c r="CQ33" s="242" t="s">
        <v>990</v>
      </c>
      <c r="CR33" s="221">
        <v>3</v>
      </c>
      <c r="CS33" s="222">
        <v>4</v>
      </c>
      <c r="CT33" s="241"/>
      <c r="CU33" s="242" t="s">
        <v>952</v>
      </c>
      <c r="CV33" s="223">
        <v>4</v>
      </c>
      <c r="CW33" s="224">
        <v>3</v>
      </c>
      <c r="CX33" s="241"/>
      <c r="CY33" s="242" t="s">
        <v>1025</v>
      </c>
      <c r="CZ33" s="221">
        <v>6</v>
      </c>
      <c r="DA33" s="222">
        <v>7</v>
      </c>
      <c r="DB33" s="241" t="s">
        <v>144</v>
      </c>
      <c r="DC33" s="242" t="s">
        <v>1062</v>
      </c>
      <c r="DD33" s="223">
        <v>7</v>
      </c>
      <c r="DE33" s="224">
        <v>6</v>
      </c>
      <c r="DF33" s="163"/>
      <c r="DG33" s="202">
        <v>31</v>
      </c>
      <c r="DH33" s="249" t="s">
        <v>144</v>
      </c>
      <c r="DI33" s="250" t="s">
        <v>611</v>
      </c>
      <c r="DJ33" s="254">
        <v>1</v>
      </c>
      <c r="DK33" s="260">
        <v>2</v>
      </c>
      <c r="DL33" s="309"/>
      <c r="DM33" s="310" t="s">
        <v>1171</v>
      </c>
      <c r="DN33" s="311">
        <v>3</v>
      </c>
      <c r="DO33" s="312">
        <v>4</v>
      </c>
      <c r="DP33" s="309" t="s">
        <v>144</v>
      </c>
      <c r="DQ33" s="310" t="s">
        <v>1139</v>
      </c>
      <c r="DR33" s="318">
        <v>4</v>
      </c>
      <c r="DS33" s="321">
        <v>3</v>
      </c>
      <c r="DT33" s="309"/>
      <c r="DU33" s="310" t="s">
        <v>1265</v>
      </c>
      <c r="DV33" s="315">
        <v>5</v>
      </c>
      <c r="DW33" s="317">
        <v>2</v>
      </c>
      <c r="DX33" s="309" t="s">
        <v>144</v>
      </c>
      <c r="DY33" s="310" t="s">
        <v>1200</v>
      </c>
      <c r="DZ33" s="311">
        <v>2</v>
      </c>
      <c r="EA33" s="312">
        <v>5</v>
      </c>
      <c r="EC33" s="202">
        <v>31</v>
      </c>
      <c r="ED33" s="241" t="s">
        <v>144</v>
      </c>
      <c r="EE33" s="242" t="s">
        <v>952</v>
      </c>
      <c r="EF33" s="225">
        <v>8</v>
      </c>
      <c r="EG33" s="226">
        <v>5</v>
      </c>
      <c r="EH33" s="244" t="s">
        <v>144</v>
      </c>
      <c r="EI33" s="245" t="s">
        <v>770</v>
      </c>
      <c r="EJ33" s="239">
        <v>0</v>
      </c>
      <c r="EK33" s="238">
        <v>13</v>
      </c>
      <c r="EL33" s="244"/>
      <c r="EM33" s="245" t="s">
        <v>835</v>
      </c>
      <c r="EN33" s="231">
        <v>13</v>
      </c>
      <c r="EO33" s="264">
        <v>0</v>
      </c>
      <c r="EP33" s="244" t="s">
        <v>144</v>
      </c>
      <c r="EQ33" s="245" t="s">
        <v>903</v>
      </c>
      <c r="ER33" s="239">
        <v>1</v>
      </c>
      <c r="ES33" s="238">
        <v>6</v>
      </c>
      <c r="ET33" s="244"/>
      <c r="EU33" s="245" t="s">
        <v>869</v>
      </c>
      <c r="EV33" s="231">
        <v>6</v>
      </c>
      <c r="EW33" s="232">
        <v>1</v>
      </c>
      <c r="EX33" s="163"/>
      <c r="EY33" s="202">
        <v>31</v>
      </c>
      <c r="EZ33" s="244"/>
      <c r="FA33" s="245" t="s">
        <v>804</v>
      </c>
      <c r="FB33" s="239">
        <v>5</v>
      </c>
      <c r="FC33" s="240">
        <v>8</v>
      </c>
      <c r="FD33" s="241" t="s">
        <v>144</v>
      </c>
      <c r="FE33" s="242" t="s">
        <v>1062</v>
      </c>
      <c r="FF33" s="221">
        <v>3</v>
      </c>
      <c r="FG33" s="222">
        <v>9</v>
      </c>
      <c r="FH33" s="241"/>
      <c r="FI33" s="242" t="s">
        <v>990</v>
      </c>
      <c r="FJ33" s="223">
        <v>9</v>
      </c>
      <c r="FK33" s="224">
        <v>3</v>
      </c>
      <c r="FL33" s="241"/>
      <c r="FM33" s="242" t="s">
        <v>1096</v>
      </c>
      <c r="FN33" s="221">
        <v>2</v>
      </c>
      <c r="FO33" s="222">
        <v>6</v>
      </c>
      <c r="FP33" s="241" t="s">
        <v>144</v>
      </c>
      <c r="FQ33" s="242" t="s">
        <v>1025</v>
      </c>
      <c r="FR33" s="223">
        <v>6</v>
      </c>
      <c r="FS33" s="224">
        <v>2</v>
      </c>
      <c r="FT33" s="163"/>
      <c r="FU33" s="202">
        <v>31</v>
      </c>
      <c r="FV33" s="249" t="s">
        <v>144</v>
      </c>
      <c r="FW33" s="250" t="s">
        <v>717</v>
      </c>
      <c r="FX33" s="261">
        <v>3</v>
      </c>
      <c r="FY33" s="262">
        <v>1</v>
      </c>
      <c r="FZ33" s="309"/>
      <c r="GA33" s="310" t="s">
        <v>1200</v>
      </c>
      <c r="GB33" s="315">
        <v>4</v>
      </c>
      <c r="GC33" s="316">
        <v>0</v>
      </c>
      <c r="GD33" s="309" t="s">
        <v>144</v>
      </c>
      <c r="GE33" s="310" t="s">
        <v>1171</v>
      </c>
      <c r="GF33" s="322">
        <v>0</v>
      </c>
      <c r="GG33" s="323">
        <v>4</v>
      </c>
      <c r="GH33" s="309"/>
      <c r="GI33" s="310" t="s">
        <v>1229</v>
      </c>
      <c r="GJ33" s="311">
        <v>3</v>
      </c>
      <c r="GK33" s="320">
        <v>8</v>
      </c>
      <c r="GL33" s="309" t="s">
        <v>144</v>
      </c>
      <c r="GM33" s="310" t="s">
        <v>1265</v>
      </c>
      <c r="GN33" s="315">
        <v>8</v>
      </c>
      <c r="GO33" s="316">
        <v>3</v>
      </c>
    </row>
    <row r="34" spans="1:197">
      <c r="A34" s="202">
        <v>32</v>
      </c>
      <c r="B34" s="219" t="s">
        <v>144</v>
      </c>
      <c r="C34" s="220" t="s">
        <v>1025</v>
      </c>
      <c r="D34" s="434">
        <v>4</v>
      </c>
      <c r="E34" s="435">
        <v>6</v>
      </c>
      <c r="F34" s="229" t="s">
        <v>144</v>
      </c>
      <c r="G34" s="230" t="s">
        <v>804</v>
      </c>
      <c r="H34" s="394">
        <v>3</v>
      </c>
      <c r="I34" s="398">
        <v>5</v>
      </c>
      <c r="J34" s="229"/>
      <c r="K34" s="230" t="s">
        <v>903</v>
      </c>
      <c r="L34" s="402">
        <v>5</v>
      </c>
      <c r="M34" s="404">
        <v>3</v>
      </c>
      <c r="N34" s="229" t="s">
        <v>144</v>
      </c>
      <c r="O34" s="230" t="s">
        <v>770</v>
      </c>
      <c r="P34" s="394">
        <v>7</v>
      </c>
      <c r="Q34" s="398">
        <v>8</v>
      </c>
      <c r="R34" s="229"/>
      <c r="S34" s="230" t="s">
        <v>835</v>
      </c>
      <c r="T34" s="402">
        <v>8</v>
      </c>
      <c r="U34" s="400">
        <v>7</v>
      </c>
      <c r="V34" s="163"/>
      <c r="W34" s="202">
        <v>32</v>
      </c>
      <c r="X34" s="229"/>
      <c r="Y34" s="230" t="s">
        <v>869</v>
      </c>
      <c r="Z34" s="433">
        <v>6</v>
      </c>
      <c r="AA34" s="464">
        <v>4</v>
      </c>
      <c r="AB34" s="219" t="s">
        <v>144</v>
      </c>
      <c r="AC34" s="220" t="s">
        <v>952</v>
      </c>
      <c r="AD34" s="434">
        <v>6</v>
      </c>
      <c r="AE34" s="435">
        <v>7</v>
      </c>
      <c r="AF34" s="219"/>
      <c r="AG34" s="220" t="s">
        <v>1096</v>
      </c>
      <c r="AH34" s="410">
        <v>7</v>
      </c>
      <c r="AI34" s="411">
        <v>6</v>
      </c>
      <c r="AJ34" s="219"/>
      <c r="AK34" s="220" t="s">
        <v>1062</v>
      </c>
      <c r="AL34" s="225">
        <v>3</v>
      </c>
      <c r="AM34" s="226">
        <v>2</v>
      </c>
      <c r="AN34" s="219" t="s">
        <v>144</v>
      </c>
      <c r="AO34" s="220" t="s">
        <v>990</v>
      </c>
      <c r="AP34" s="227">
        <v>2</v>
      </c>
      <c r="AQ34" s="228">
        <v>3</v>
      </c>
      <c r="AR34" s="163"/>
      <c r="AS34" s="202">
        <v>32</v>
      </c>
      <c r="AT34" s="233" t="s">
        <v>144</v>
      </c>
      <c r="AU34" s="234" t="s">
        <v>650</v>
      </c>
      <c r="AV34" s="261">
        <v>3</v>
      </c>
      <c r="AW34" s="262">
        <v>1</v>
      </c>
      <c r="AX34" s="313"/>
      <c r="AY34" s="314" t="s">
        <v>1139</v>
      </c>
      <c r="AZ34" s="311">
        <v>7</v>
      </c>
      <c r="BA34" s="312">
        <v>8</v>
      </c>
      <c r="BB34" s="313" t="s">
        <v>144</v>
      </c>
      <c r="BC34" s="314" t="s">
        <v>1229</v>
      </c>
      <c r="BD34" s="318">
        <v>8</v>
      </c>
      <c r="BE34" s="321">
        <v>7</v>
      </c>
      <c r="BF34" s="313"/>
      <c r="BG34" s="314" t="s">
        <v>1200</v>
      </c>
      <c r="BH34" s="415">
        <v>3</v>
      </c>
      <c r="BI34" s="414">
        <v>1</v>
      </c>
      <c r="BJ34" s="313" t="s">
        <v>144</v>
      </c>
      <c r="BK34" s="314" t="s">
        <v>1171</v>
      </c>
      <c r="BL34" s="437">
        <v>1</v>
      </c>
      <c r="BM34" s="438">
        <v>3</v>
      </c>
      <c r="BO34" s="202">
        <v>32</v>
      </c>
      <c r="BP34" s="219" t="s">
        <v>144</v>
      </c>
      <c r="BQ34" s="220" t="s">
        <v>1096</v>
      </c>
      <c r="BR34" s="225">
        <v>10</v>
      </c>
      <c r="BS34" s="226">
        <v>4</v>
      </c>
      <c r="BT34" s="229" t="s">
        <v>144</v>
      </c>
      <c r="BU34" s="230" t="s">
        <v>835</v>
      </c>
      <c r="BV34" s="246">
        <v>12</v>
      </c>
      <c r="BW34" s="258">
        <v>1</v>
      </c>
      <c r="BX34" s="229"/>
      <c r="BY34" s="230" t="s">
        <v>804</v>
      </c>
      <c r="BZ34" s="237">
        <v>1</v>
      </c>
      <c r="CA34" s="268">
        <v>12</v>
      </c>
      <c r="CB34" s="229" t="s">
        <v>144</v>
      </c>
      <c r="CC34" s="230" t="s">
        <v>869</v>
      </c>
      <c r="CD34" s="239">
        <v>4</v>
      </c>
      <c r="CE34" s="238">
        <v>5</v>
      </c>
      <c r="CF34" s="229"/>
      <c r="CG34" s="230" t="s">
        <v>770</v>
      </c>
      <c r="CH34" s="231">
        <v>5</v>
      </c>
      <c r="CI34" s="232">
        <v>4</v>
      </c>
      <c r="CJ34" s="163"/>
      <c r="CK34" s="202">
        <v>32</v>
      </c>
      <c r="CL34" s="229"/>
      <c r="CM34" s="230" t="s">
        <v>903</v>
      </c>
      <c r="CN34" s="239">
        <v>4</v>
      </c>
      <c r="CO34" s="240">
        <v>10</v>
      </c>
      <c r="CP34" s="219" t="s">
        <v>144</v>
      </c>
      <c r="CQ34" s="220" t="s">
        <v>990</v>
      </c>
      <c r="CR34" s="221">
        <v>4</v>
      </c>
      <c r="CS34" s="222">
        <v>7</v>
      </c>
      <c r="CT34" s="219"/>
      <c r="CU34" s="220" t="s">
        <v>952</v>
      </c>
      <c r="CV34" s="223">
        <v>7</v>
      </c>
      <c r="CW34" s="224">
        <v>4</v>
      </c>
      <c r="CX34" s="219"/>
      <c r="CY34" s="220" t="s">
        <v>1025</v>
      </c>
      <c r="CZ34" s="221">
        <v>5</v>
      </c>
      <c r="DA34" s="222">
        <v>9</v>
      </c>
      <c r="DB34" s="219" t="s">
        <v>144</v>
      </c>
      <c r="DC34" s="220" t="s">
        <v>1062</v>
      </c>
      <c r="DD34" s="223">
        <v>9</v>
      </c>
      <c r="DE34" s="224">
        <v>5</v>
      </c>
      <c r="DF34" s="163"/>
      <c r="DG34" s="202">
        <v>32</v>
      </c>
      <c r="DH34" s="233" t="s">
        <v>144</v>
      </c>
      <c r="DI34" s="234" t="s">
        <v>611</v>
      </c>
      <c r="DJ34" s="254">
        <v>8</v>
      </c>
      <c r="DK34" s="260">
        <v>10</v>
      </c>
      <c r="DL34" s="313"/>
      <c r="DM34" s="314" t="s">
        <v>1171</v>
      </c>
      <c r="DN34" s="311">
        <v>3</v>
      </c>
      <c r="DO34" s="312">
        <v>5</v>
      </c>
      <c r="DP34" s="313" t="s">
        <v>144</v>
      </c>
      <c r="DQ34" s="314" t="s">
        <v>1139</v>
      </c>
      <c r="DR34" s="318">
        <v>5</v>
      </c>
      <c r="DS34" s="321">
        <v>3</v>
      </c>
      <c r="DT34" s="313"/>
      <c r="DU34" s="314" t="s">
        <v>1265</v>
      </c>
      <c r="DV34" s="318">
        <v>4</v>
      </c>
      <c r="DW34" s="317">
        <v>3</v>
      </c>
      <c r="DX34" s="313" t="s">
        <v>144</v>
      </c>
      <c r="DY34" s="314" t="s">
        <v>1200</v>
      </c>
      <c r="DZ34" s="311">
        <v>3</v>
      </c>
      <c r="EA34" s="312">
        <v>4</v>
      </c>
      <c r="EC34" s="202">
        <v>32</v>
      </c>
      <c r="ED34" s="219" t="s">
        <v>144</v>
      </c>
      <c r="EE34" s="220" t="s">
        <v>952</v>
      </c>
      <c r="EF34" s="225">
        <v>7</v>
      </c>
      <c r="EG34" s="226">
        <v>6</v>
      </c>
      <c r="EH34" s="229" t="s">
        <v>144</v>
      </c>
      <c r="EI34" s="230" t="s">
        <v>770</v>
      </c>
      <c r="EJ34" s="246">
        <v>4</v>
      </c>
      <c r="EK34" s="258">
        <v>3</v>
      </c>
      <c r="EL34" s="229"/>
      <c r="EM34" s="230" t="s">
        <v>835</v>
      </c>
      <c r="EN34" s="237">
        <v>3</v>
      </c>
      <c r="EO34" s="268">
        <v>4</v>
      </c>
      <c r="EP34" s="229" t="s">
        <v>144</v>
      </c>
      <c r="EQ34" s="230" t="s">
        <v>903</v>
      </c>
      <c r="ER34" s="246">
        <v>5</v>
      </c>
      <c r="ES34" s="258">
        <v>3</v>
      </c>
      <c r="ET34" s="229"/>
      <c r="EU34" s="230" t="s">
        <v>869</v>
      </c>
      <c r="EV34" s="237">
        <v>3</v>
      </c>
      <c r="EW34" s="248">
        <v>5</v>
      </c>
      <c r="EX34" s="163"/>
      <c r="EY34" s="202">
        <v>32</v>
      </c>
      <c r="EZ34" s="229"/>
      <c r="FA34" s="230" t="s">
        <v>804</v>
      </c>
      <c r="FB34" s="239">
        <v>6</v>
      </c>
      <c r="FC34" s="240">
        <v>7</v>
      </c>
      <c r="FD34" s="219" t="s">
        <v>144</v>
      </c>
      <c r="FE34" s="220" t="s">
        <v>1062</v>
      </c>
      <c r="FF34" s="225">
        <v>15</v>
      </c>
      <c r="FG34" s="226">
        <v>0</v>
      </c>
      <c r="FH34" s="219"/>
      <c r="FI34" s="220" t="s">
        <v>990</v>
      </c>
      <c r="FJ34" s="227">
        <v>0</v>
      </c>
      <c r="FK34" s="228">
        <v>15</v>
      </c>
      <c r="FL34" s="219"/>
      <c r="FM34" s="220" t="s">
        <v>1096</v>
      </c>
      <c r="FN34" s="225">
        <v>4</v>
      </c>
      <c r="FO34" s="226">
        <v>3</v>
      </c>
      <c r="FP34" s="219" t="s">
        <v>144</v>
      </c>
      <c r="FQ34" s="220" t="s">
        <v>1025</v>
      </c>
      <c r="FR34" s="227">
        <v>3</v>
      </c>
      <c r="FS34" s="228">
        <v>4</v>
      </c>
      <c r="FT34" s="163"/>
      <c r="FU34" s="202">
        <v>32</v>
      </c>
      <c r="FV34" s="233" t="s">
        <v>144</v>
      </c>
      <c r="FW34" s="234" t="s">
        <v>717</v>
      </c>
      <c r="FX34" s="261">
        <v>8</v>
      </c>
      <c r="FY34" s="262">
        <v>6</v>
      </c>
      <c r="FZ34" s="313"/>
      <c r="GA34" s="314" t="s">
        <v>1200</v>
      </c>
      <c r="GB34" s="311">
        <v>8</v>
      </c>
      <c r="GC34" s="312">
        <v>9</v>
      </c>
      <c r="GD34" s="313" t="s">
        <v>144</v>
      </c>
      <c r="GE34" s="314" t="s">
        <v>1171</v>
      </c>
      <c r="GF34" s="318">
        <v>9</v>
      </c>
      <c r="GG34" s="321">
        <v>8</v>
      </c>
      <c r="GH34" s="313"/>
      <c r="GI34" s="314" t="s">
        <v>1229</v>
      </c>
      <c r="GJ34" s="322">
        <v>4</v>
      </c>
      <c r="GK34" s="320">
        <v>16</v>
      </c>
      <c r="GL34" s="313" t="s">
        <v>144</v>
      </c>
      <c r="GM34" s="314" t="s">
        <v>1265</v>
      </c>
      <c r="GN34" s="315">
        <v>16</v>
      </c>
      <c r="GO34" s="316">
        <v>4</v>
      </c>
    </row>
    <row r="35" spans="1:197">
      <c r="A35" s="202">
        <v>33</v>
      </c>
      <c r="B35" s="244" t="s">
        <v>144</v>
      </c>
      <c r="C35" s="245" t="s">
        <v>770</v>
      </c>
      <c r="D35" s="239">
        <v>3</v>
      </c>
      <c r="E35" s="240">
        <v>6</v>
      </c>
      <c r="F35" s="244"/>
      <c r="G35" s="245" t="s">
        <v>835</v>
      </c>
      <c r="H35" s="239">
        <v>0</v>
      </c>
      <c r="I35" s="238">
        <v>2</v>
      </c>
      <c r="J35" s="241"/>
      <c r="K35" s="242" t="s">
        <v>952</v>
      </c>
      <c r="L35" s="408">
        <v>1</v>
      </c>
      <c r="M35" s="486">
        <v>2</v>
      </c>
      <c r="N35" s="244" t="s">
        <v>144</v>
      </c>
      <c r="O35" s="245" t="s">
        <v>903</v>
      </c>
      <c r="P35" s="246">
        <v>2</v>
      </c>
      <c r="Q35" s="258">
        <v>0</v>
      </c>
      <c r="R35" s="244"/>
      <c r="S35" s="245" t="s">
        <v>869</v>
      </c>
      <c r="T35" s="231">
        <v>6</v>
      </c>
      <c r="U35" s="232">
        <v>3</v>
      </c>
      <c r="V35" s="163"/>
      <c r="W35" s="202">
        <v>33</v>
      </c>
      <c r="X35" s="241"/>
      <c r="Y35" s="242" t="s">
        <v>1062</v>
      </c>
      <c r="Z35" s="434">
        <v>0</v>
      </c>
      <c r="AA35" s="435">
        <v>2</v>
      </c>
      <c r="AB35" s="241" t="s">
        <v>144</v>
      </c>
      <c r="AC35" s="242" t="s">
        <v>990</v>
      </c>
      <c r="AD35" s="392">
        <v>8</v>
      </c>
      <c r="AE35" s="390">
        <v>1</v>
      </c>
      <c r="AF35" s="244" t="s">
        <v>144</v>
      </c>
      <c r="AG35" s="245" t="s">
        <v>804</v>
      </c>
      <c r="AH35" s="402">
        <v>2</v>
      </c>
      <c r="AI35" s="400">
        <v>1</v>
      </c>
      <c r="AJ35" s="241"/>
      <c r="AK35" s="242" t="s">
        <v>1096</v>
      </c>
      <c r="AL35" s="434">
        <v>1</v>
      </c>
      <c r="AM35" s="435">
        <v>8</v>
      </c>
      <c r="AN35" s="241" t="s">
        <v>144</v>
      </c>
      <c r="AO35" s="242" t="s">
        <v>1025</v>
      </c>
      <c r="AP35" s="410">
        <v>2</v>
      </c>
      <c r="AQ35" s="411">
        <v>0</v>
      </c>
      <c r="AR35" s="163"/>
      <c r="AS35" s="202">
        <v>33</v>
      </c>
      <c r="AT35" s="309" t="s">
        <v>144</v>
      </c>
      <c r="AU35" s="310" t="s">
        <v>1200</v>
      </c>
      <c r="AV35" s="322">
        <v>3</v>
      </c>
      <c r="AW35" s="323">
        <v>4</v>
      </c>
      <c r="AX35" s="309"/>
      <c r="AY35" s="310" t="s">
        <v>1171</v>
      </c>
      <c r="AZ35" s="437">
        <v>2</v>
      </c>
      <c r="BA35" s="438">
        <v>10</v>
      </c>
      <c r="BB35" s="249" t="s">
        <v>144</v>
      </c>
      <c r="BC35" s="250" t="s">
        <v>717</v>
      </c>
      <c r="BD35" s="460">
        <v>4</v>
      </c>
      <c r="BE35" s="459">
        <v>3</v>
      </c>
      <c r="BF35" s="309" t="s">
        <v>144</v>
      </c>
      <c r="BG35" s="310" t="s">
        <v>1229</v>
      </c>
      <c r="BH35" s="422">
        <v>10</v>
      </c>
      <c r="BI35" s="414">
        <v>2</v>
      </c>
      <c r="BJ35" s="309"/>
      <c r="BK35" s="310" t="s">
        <v>1265</v>
      </c>
      <c r="BL35" s="315">
        <v>4</v>
      </c>
      <c r="BM35" s="316">
        <v>3</v>
      </c>
      <c r="BO35" s="202">
        <v>33</v>
      </c>
      <c r="BP35" s="244" t="s">
        <v>144</v>
      </c>
      <c r="BQ35" s="245" t="s">
        <v>869</v>
      </c>
      <c r="BR35" s="239">
        <v>0</v>
      </c>
      <c r="BS35" s="240">
        <v>3</v>
      </c>
      <c r="BT35" s="244"/>
      <c r="BU35" s="245" t="s">
        <v>770</v>
      </c>
      <c r="BV35" s="246">
        <v>6</v>
      </c>
      <c r="BW35" s="258">
        <v>1</v>
      </c>
      <c r="BX35" s="241"/>
      <c r="BY35" s="242" t="s">
        <v>990</v>
      </c>
      <c r="BZ35" s="223">
        <v>5</v>
      </c>
      <c r="CA35" s="243">
        <v>4</v>
      </c>
      <c r="CB35" s="244" t="s">
        <v>144</v>
      </c>
      <c r="CC35" s="245" t="s">
        <v>804</v>
      </c>
      <c r="CD35" s="239">
        <v>1</v>
      </c>
      <c r="CE35" s="238">
        <v>6</v>
      </c>
      <c r="CF35" s="244"/>
      <c r="CG35" s="245" t="s">
        <v>903</v>
      </c>
      <c r="CH35" s="231">
        <v>3</v>
      </c>
      <c r="CI35" s="232">
        <v>0</v>
      </c>
      <c r="CJ35" s="163"/>
      <c r="CK35" s="202">
        <v>33</v>
      </c>
      <c r="CL35" s="241"/>
      <c r="CM35" s="242" t="s">
        <v>1025</v>
      </c>
      <c r="CN35" s="221">
        <v>0</v>
      </c>
      <c r="CO35" s="222">
        <v>7</v>
      </c>
      <c r="CP35" s="241" t="s">
        <v>144</v>
      </c>
      <c r="CQ35" s="242" t="s">
        <v>1062</v>
      </c>
      <c r="CR35" s="221">
        <v>0</v>
      </c>
      <c r="CS35" s="222">
        <v>6</v>
      </c>
      <c r="CT35" s="244" t="s">
        <v>144</v>
      </c>
      <c r="CU35" s="245" t="s">
        <v>835</v>
      </c>
      <c r="CV35" s="237">
        <v>4</v>
      </c>
      <c r="CW35" s="248">
        <v>5</v>
      </c>
      <c r="CX35" s="241"/>
      <c r="CY35" s="242" t="s">
        <v>952</v>
      </c>
      <c r="CZ35" s="225">
        <v>6</v>
      </c>
      <c r="DA35" s="226">
        <v>0</v>
      </c>
      <c r="DB35" s="241" t="s">
        <v>144</v>
      </c>
      <c r="DC35" s="242" t="s">
        <v>1096</v>
      </c>
      <c r="DD35" s="223">
        <v>7</v>
      </c>
      <c r="DE35" s="224">
        <v>0</v>
      </c>
      <c r="DF35" s="163"/>
      <c r="DG35" s="202">
        <v>33</v>
      </c>
      <c r="DH35" s="309" t="s">
        <v>144</v>
      </c>
      <c r="DI35" s="310" t="s">
        <v>1265</v>
      </c>
      <c r="DJ35" s="322">
        <v>2</v>
      </c>
      <c r="DK35" s="323">
        <v>5</v>
      </c>
      <c r="DL35" s="309"/>
      <c r="DM35" s="310" t="s">
        <v>1200</v>
      </c>
      <c r="DN35" s="311">
        <v>2</v>
      </c>
      <c r="DO35" s="312">
        <v>3</v>
      </c>
      <c r="DP35" s="249" t="s">
        <v>144</v>
      </c>
      <c r="DQ35" s="250" t="s">
        <v>685</v>
      </c>
      <c r="DR35" s="254">
        <v>3</v>
      </c>
      <c r="DS35" s="260">
        <v>8</v>
      </c>
      <c r="DT35" s="309" t="s">
        <v>144</v>
      </c>
      <c r="DU35" s="310" t="s">
        <v>1139</v>
      </c>
      <c r="DV35" s="315">
        <v>3</v>
      </c>
      <c r="DW35" s="317">
        <v>2</v>
      </c>
      <c r="DX35" s="309"/>
      <c r="DY35" s="310" t="s">
        <v>1229</v>
      </c>
      <c r="DZ35" s="315">
        <v>5</v>
      </c>
      <c r="EA35" s="316">
        <v>2</v>
      </c>
      <c r="EC35" s="202">
        <v>33</v>
      </c>
      <c r="ED35" s="244" t="s">
        <v>144</v>
      </c>
      <c r="EE35" s="245" t="s">
        <v>903</v>
      </c>
      <c r="EF35" s="239">
        <v>2</v>
      </c>
      <c r="EG35" s="240">
        <v>4</v>
      </c>
      <c r="EH35" s="244"/>
      <c r="EI35" s="245" t="s">
        <v>869</v>
      </c>
      <c r="EJ35" s="239">
        <v>1</v>
      </c>
      <c r="EK35" s="238">
        <v>8</v>
      </c>
      <c r="EL35" s="241"/>
      <c r="EM35" s="242" t="s">
        <v>1062</v>
      </c>
      <c r="EN35" s="223">
        <v>3</v>
      </c>
      <c r="EO35" s="243">
        <v>0</v>
      </c>
      <c r="EP35" s="244" t="s">
        <v>144</v>
      </c>
      <c r="EQ35" s="245" t="s">
        <v>835</v>
      </c>
      <c r="ER35" s="246">
        <v>8</v>
      </c>
      <c r="ES35" s="258">
        <v>1</v>
      </c>
      <c r="ET35" s="244"/>
      <c r="EU35" s="245" t="s">
        <v>804</v>
      </c>
      <c r="EV35" s="231">
        <v>4</v>
      </c>
      <c r="EW35" s="232">
        <v>2</v>
      </c>
      <c r="EX35" s="163"/>
      <c r="EY35" s="202">
        <v>33</v>
      </c>
      <c r="EZ35" s="241"/>
      <c r="FA35" s="242" t="s">
        <v>1096</v>
      </c>
      <c r="FB35" s="225">
        <v>4</v>
      </c>
      <c r="FC35" s="226">
        <v>2</v>
      </c>
      <c r="FD35" s="241" t="s">
        <v>144</v>
      </c>
      <c r="FE35" s="242" t="s">
        <v>1025</v>
      </c>
      <c r="FF35" s="221">
        <v>3</v>
      </c>
      <c r="FG35" s="222">
        <v>6</v>
      </c>
      <c r="FH35" s="244" t="s">
        <v>144</v>
      </c>
      <c r="FI35" s="245" t="s">
        <v>770</v>
      </c>
      <c r="FJ35" s="237">
        <v>0</v>
      </c>
      <c r="FK35" s="248">
        <v>3</v>
      </c>
      <c r="FL35" s="241"/>
      <c r="FM35" s="242" t="s">
        <v>990</v>
      </c>
      <c r="FN35" s="225">
        <v>6</v>
      </c>
      <c r="FO35" s="226">
        <v>3</v>
      </c>
      <c r="FP35" s="241" t="s">
        <v>144</v>
      </c>
      <c r="FQ35" s="242" t="s">
        <v>952</v>
      </c>
      <c r="FR35" s="227">
        <v>2</v>
      </c>
      <c r="FS35" s="228">
        <v>4</v>
      </c>
      <c r="FT35" s="163"/>
      <c r="FU35" s="202">
        <v>33</v>
      </c>
      <c r="FV35" s="309" t="s">
        <v>144</v>
      </c>
      <c r="FW35" s="310" t="s">
        <v>1229</v>
      </c>
      <c r="FX35" s="322">
        <v>4</v>
      </c>
      <c r="FY35" s="323">
        <v>5</v>
      </c>
      <c r="FZ35" s="309"/>
      <c r="GA35" s="310" t="s">
        <v>1265</v>
      </c>
      <c r="GB35" s="315">
        <v>3</v>
      </c>
      <c r="GC35" s="316">
        <v>2</v>
      </c>
      <c r="GD35" s="249" t="s">
        <v>144</v>
      </c>
      <c r="GE35" s="250" t="s">
        <v>580</v>
      </c>
      <c r="GF35" s="254">
        <v>0</v>
      </c>
      <c r="GG35" s="260">
        <v>7</v>
      </c>
      <c r="GH35" s="309" t="s">
        <v>144</v>
      </c>
      <c r="GI35" s="310" t="s">
        <v>1171</v>
      </c>
      <c r="GJ35" s="311">
        <v>2</v>
      </c>
      <c r="GK35" s="320">
        <v>3</v>
      </c>
      <c r="GL35" s="309"/>
      <c r="GM35" s="310" t="s">
        <v>1139</v>
      </c>
      <c r="GN35" s="315">
        <v>5</v>
      </c>
      <c r="GO35" s="316">
        <v>4</v>
      </c>
    </row>
    <row r="36" spans="1:197">
      <c r="A36" s="202">
        <v>34</v>
      </c>
      <c r="B36" s="229" t="s">
        <v>144</v>
      </c>
      <c r="C36" s="230" t="s">
        <v>770</v>
      </c>
      <c r="D36" s="394">
        <v>5</v>
      </c>
      <c r="E36" s="396">
        <v>6</v>
      </c>
      <c r="F36" s="229"/>
      <c r="G36" s="230" t="s">
        <v>835</v>
      </c>
      <c r="H36" s="239">
        <v>4</v>
      </c>
      <c r="I36" s="238">
        <v>11</v>
      </c>
      <c r="J36" s="219"/>
      <c r="K36" s="220" t="s">
        <v>952</v>
      </c>
      <c r="L36" s="408">
        <v>10</v>
      </c>
      <c r="M36" s="486">
        <v>12</v>
      </c>
      <c r="N36" s="229" t="s">
        <v>144</v>
      </c>
      <c r="O36" s="230" t="s">
        <v>903</v>
      </c>
      <c r="P36" s="246">
        <v>11</v>
      </c>
      <c r="Q36" s="258">
        <v>4</v>
      </c>
      <c r="R36" s="229"/>
      <c r="S36" s="230" t="s">
        <v>869</v>
      </c>
      <c r="T36" s="402">
        <v>6</v>
      </c>
      <c r="U36" s="400">
        <v>5</v>
      </c>
      <c r="V36" s="163"/>
      <c r="W36" s="202">
        <v>34</v>
      </c>
      <c r="X36" s="219"/>
      <c r="Y36" s="220" t="s">
        <v>1062</v>
      </c>
      <c r="Z36" s="434">
        <v>2</v>
      </c>
      <c r="AA36" s="435">
        <v>8</v>
      </c>
      <c r="AB36" s="219" t="s">
        <v>144</v>
      </c>
      <c r="AC36" s="220" t="s">
        <v>990</v>
      </c>
      <c r="AD36" s="392">
        <v>6</v>
      </c>
      <c r="AE36" s="390">
        <v>5</v>
      </c>
      <c r="AF36" s="229" t="s">
        <v>144</v>
      </c>
      <c r="AG36" s="230" t="s">
        <v>804</v>
      </c>
      <c r="AH36" s="402">
        <v>12</v>
      </c>
      <c r="AI36" s="400">
        <v>10</v>
      </c>
      <c r="AJ36" s="219"/>
      <c r="AK36" s="220" t="s">
        <v>1096</v>
      </c>
      <c r="AL36" s="434">
        <v>5</v>
      </c>
      <c r="AM36" s="435">
        <v>6</v>
      </c>
      <c r="AN36" s="219" t="s">
        <v>144</v>
      </c>
      <c r="AO36" s="220" t="s">
        <v>1025</v>
      </c>
      <c r="AP36" s="410">
        <v>8</v>
      </c>
      <c r="AQ36" s="411">
        <v>2</v>
      </c>
      <c r="AR36" s="163"/>
      <c r="AS36" s="202">
        <v>34</v>
      </c>
      <c r="AT36" s="313" t="s">
        <v>144</v>
      </c>
      <c r="AU36" s="314" t="s">
        <v>1200</v>
      </c>
      <c r="AV36" s="318">
        <v>10</v>
      </c>
      <c r="AW36" s="321">
        <v>1</v>
      </c>
      <c r="AX36" s="313"/>
      <c r="AY36" s="314" t="s">
        <v>1171</v>
      </c>
      <c r="AZ36" s="437">
        <v>4</v>
      </c>
      <c r="BA36" s="438">
        <v>9</v>
      </c>
      <c r="BB36" s="233" t="s">
        <v>144</v>
      </c>
      <c r="BC36" s="234" t="s">
        <v>717</v>
      </c>
      <c r="BD36" s="460">
        <v>6</v>
      </c>
      <c r="BE36" s="459">
        <v>1</v>
      </c>
      <c r="BF36" s="313" t="s">
        <v>144</v>
      </c>
      <c r="BG36" s="314" t="s">
        <v>1229</v>
      </c>
      <c r="BH36" s="415">
        <v>9</v>
      </c>
      <c r="BI36" s="414">
        <v>4</v>
      </c>
      <c r="BJ36" s="313"/>
      <c r="BK36" s="314" t="s">
        <v>1265</v>
      </c>
      <c r="BL36" s="311">
        <v>1</v>
      </c>
      <c r="BM36" s="312">
        <v>10</v>
      </c>
      <c r="BO36" s="202">
        <v>34</v>
      </c>
      <c r="BP36" s="229" t="s">
        <v>144</v>
      </c>
      <c r="BQ36" s="230" t="s">
        <v>869</v>
      </c>
      <c r="BR36" s="246">
        <v>4</v>
      </c>
      <c r="BS36" s="247">
        <v>1</v>
      </c>
      <c r="BT36" s="229"/>
      <c r="BU36" s="230" t="s">
        <v>770</v>
      </c>
      <c r="BV36" s="239">
        <v>2</v>
      </c>
      <c r="BW36" s="238">
        <v>7</v>
      </c>
      <c r="BX36" s="219"/>
      <c r="BY36" s="220" t="s">
        <v>990</v>
      </c>
      <c r="BZ36" s="223">
        <v>2</v>
      </c>
      <c r="CA36" s="243">
        <v>1</v>
      </c>
      <c r="CB36" s="229" t="s">
        <v>144</v>
      </c>
      <c r="CC36" s="230" t="s">
        <v>804</v>
      </c>
      <c r="CD36" s="246">
        <v>7</v>
      </c>
      <c r="CE36" s="258">
        <v>2</v>
      </c>
      <c r="CF36" s="229"/>
      <c r="CG36" s="230" t="s">
        <v>903</v>
      </c>
      <c r="CH36" s="237">
        <v>1</v>
      </c>
      <c r="CI36" s="248">
        <v>4</v>
      </c>
      <c r="CJ36" s="163"/>
      <c r="CK36" s="202">
        <v>34</v>
      </c>
      <c r="CL36" s="219"/>
      <c r="CM36" s="220" t="s">
        <v>1025</v>
      </c>
      <c r="CN36" s="221">
        <v>3</v>
      </c>
      <c r="CO36" s="222">
        <v>8</v>
      </c>
      <c r="CP36" s="219" t="s">
        <v>144</v>
      </c>
      <c r="CQ36" s="220" t="s">
        <v>1062</v>
      </c>
      <c r="CR36" s="225">
        <v>4</v>
      </c>
      <c r="CS36" s="226">
        <v>3</v>
      </c>
      <c r="CT36" s="229" t="s">
        <v>144</v>
      </c>
      <c r="CU36" s="230" t="s">
        <v>835</v>
      </c>
      <c r="CV36" s="237">
        <v>1</v>
      </c>
      <c r="CW36" s="248">
        <v>2</v>
      </c>
      <c r="CX36" s="219"/>
      <c r="CY36" s="220" t="s">
        <v>952</v>
      </c>
      <c r="CZ36" s="221">
        <v>3</v>
      </c>
      <c r="DA36" s="222">
        <v>4</v>
      </c>
      <c r="DB36" s="219" t="s">
        <v>144</v>
      </c>
      <c r="DC36" s="220" t="s">
        <v>1096</v>
      </c>
      <c r="DD36" s="223">
        <v>8</v>
      </c>
      <c r="DE36" s="224">
        <v>3</v>
      </c>
      <c r="DF36" s="163"/>
      <c r="DG36" s="202">
        <v>34</v>
      </c>
      <c r="DH36" s="313" t="s">
        <v>144</v>
      </c>
      <c r="DI36" s="314" t="s">
        <v>1265</v>
      </c>
      <c r="DJ36" s="318">
        <v>7</v>
      </c>
      <c r="DK36" s="321">
        <v>5</v>
      </c>
      <c r="DL36" s="313"/>
      <c r="DM36" s="314" t="s">
        <v>1200</v>
      </c>
      <c r="DN36" s="315">
        <v>5</v>
      </c>
      <c r="DO36" s="316">
        <v>0</v>
      </c>
      <c r="DP36" s="233" t="s">
        <v>144</v>
      </c>
      <c r="DQ36" s="234" t="s">
        <v>685</v>
      </c>
      <c r="DR36" s="254">
        <v>4</v>
      </c>
      <c r="DS36" s="260">
        <v>5</v>
      </c>
      <c r="DT36" s="313" t="s">
        <v>144</v>
      </c>
      <c r="DU36" s="314" t="s">
        <v>1139</v>
      </c>
      <c r="DV36" s="322">
        <v>0</v>
      </c>
      <c r="DW36" s="320">
        <v>5</v>
      </c>
      <c r="DX36" s="313"/>
      <c r="DY36" s="314" t="s">
        <v>1229</v>
      </c>
      <c r="DZ36" s="311">
        <v>5</v>
      </c>
      <c r="EA36" s="312">
        <v>7</v>
      </c>
      <c r="EC36" s="202">
        <v>34</v>
      </c>
      <c r="ED36" s="229" t="s">
        <v>144</v>
      </c>
      <c r="EE36" s="230" t="s">
        <v>903</v>
      </c>
      <c r="EF36" s="246">
        <v>3</v>
      </c>
      <c r="EG36" s="247">
        <v>2</v>
      </c>
      <c r="EH36" s="229"/>
      <c r="EI36" s="230" t="s">
        <v>869</v>
      </c>
      <c r="EJ36" s="239">
        <v>0</v>
      </c>
      <c r="EK36" s="238">
        <v>13</v>
      </c>
      <c r="EL36" s="219"/>
      <c r="EM36" s="220" t="s">
        <v>1062</v>
      </c>
      <c r="EN36" s="223">
        <v>8</v>
      </c>
      <c r="EO36" s="243">
        <v>2</v>
      </c>
      <c r="EP36" s="229" t="s">
        <v>144</v>
      </c>
      <c r="EQ36" s="230" t="s">
        <v>835</v>
      </c>
      <c r="ER36" s="246">
        <v>13</v>
      </c>
      <c r="ES36" s="258">
        <v>0</v>
      </c>
      <c r="ET36" s="229"/>
      <c r="EU36" s="230" t="s">
        <v>804</v>
      </c>
      <c r="EV36" s="237">
        <v>2</v>
      </c>
      <c r="EW36" s="248">
        <v>3</v>
      </c>
      <c r="EX36" s="163"/>
      <c r="EY36" s="202">
        <v>34</v>
      </c>
      <c r="EZ36" s="219"/>
      <c r="FA36" s="220" t="s">
        <v>1096</v>
      </c>
      <c r="FB36" s="225">
        <v>6</v>
      </c>
      <c r="FC36" s="226">
        <v>2</v>
      </c>
      <c r="FD36" s="219" t="s">
        <v>144</v>
      </c>
      <c r="FE36" s="220" t="s">
        <v>1025</v>
      </c>
      <c r="FF36" s="221">
        <v>2</v>
      </c>
      <c r="FG36" s="222">
        <v>11</v>
      </c>
      <c r="FH36" s="229" t="s">
        <v>144</v>
      </c>
      <c r="FI36" s="230" t="s">
        <v>770</v>
      </c>
      <c r="FJ36" s="237">
        <v>2</v>
      </c>
      <c r="FK36" s="248">
        <v>8</v>
      </c>
      <c r="FL36" s="219"/>
      <c r="FM36" s="220" t="s">
        <v>990</v>
      </c>
      <c r="FN36" s="225">
        <v>11</v>
      </c>
      <c r="FO36" s="226">
        <v>2</v>
      </c>
      <c r="FP36" s="219" t="s">
        <v>144</v>
      </c>
      <c r="FQ36" s="220" t="s">
        <v>952</v>
      </c>
      <c r="FR36" s="227">
        <v>2</v>
      </c>
      <c r="FS36" s="228">
        <v>6</v>
      </c>
      <c r="FT36" s="163"/>
      <c r="FU36" s="202">
        <v>34</v>
      </c>
      <c r="FV36" s="313" t="s">
        <v>144</v>
      </c>
      <c r="FW36" s="314" t="s">
        <v>1229</v>
      </c>
      <c r="FX36" s="318">
        <v>6</v>
      </c>
      <c r="FY36" s="321">
        <v>4</v>
      </c>
      <c r="FZ36" s="313"/>
      <c r="GA36" s="314" t="s">
        <v>1265</v>
      </c>
      <c r="GB36" s="315">
        <v>4</v>
      </c>
      <c r="GC36" s="316">
        <v>3</v>
      </c>
      <c r="GD36" s="233" t="s">
        <v>144</v>
      </c>
      <c r="GE36" s="234" t="s">
        <v>580</v>
      </c>
      <c r="GF36" s="254">
        <v>1</v>
      </c>
      <c r="GG36" s="260">
        <v>4</v>
      </c>
      <c r="GH36" s="313" t="s">
        <v>144</v>
      </c>
      <c r="GI36" s="314" t="s">
        <v>1171</v>
      </c>
      <c r="GJ36" s="322">
        <v>3</v>
      </c>
      <c r="GK36" s="320">
        <v>4</v>
      </c>
      <c r="GL36" s="313"/>
      <c r="GM36" s="314" t="s">
        <v>1139</v>
      </c>
      <c r="GN36" s="311">
        <v>4</v>
      </c>
      <c r="GO36" s="312">
        <v>6</v>
      </c>
    </row>
    <row r="37" spans="1:197">
      <c r="A37" s="202">
        <v>35</v>
      </c>
      <c r="B37" s="244" t="s">
        <v>144</v>
      </c>
      <c r="C37" s="245" t="s">
        <v>835</v>
      </c>
      <c r="D37" s="394">
        <v>0</v>
      </c>
      <c r="E37" s="396">
        <v>6</v>
      </c>
      <c r="F37" s="241" t="s">
        <v>144</v>
      </c>
      <c r="G37" s="242" t="s">
        <v>1096</v>
      </c>
      <c r="H37" s="392">
        <v>9</v>
      </c>
      <c r="I37" s="456">
        <v>1</v>
      </c>
      <c r="J37" s="244" t="s">
        <v>144</v>
      </c>
      <c r="K37" s="245" t="s">
        <v>770</v>
      </c>
      <c r="L37" s="231">
        <v>6</v>
      </c>
      <c r="M37" s="264">
        <v>1</v>
      </c>
      <c r="N37" s="244"/>
      <c r="O37" s="245" t="s">
        <v>869</v>
      </c>
      <c r="P37" s="433">
        <v>6</v>
      </c>
      <c r="Q37" s="432">
        <v>0</v>
      </c>
      <c r="R37" s="244"/>
      <c r="S37" s="245" t="s">
        <v>804</v>
      </c>
      <c r="T37" s="237">
        <v>1</v>
      </c>
      <c r="U37" s="248">
        <v>6</v>
      </c>
      <c r="V37" s="163"/>
      <c r="W37" s="202">
        <v>35</v>
      </c>
      <c r="X37" s="241"/>
      <c r="Y37" s="242" t="s">
        <v>990</v>
      </c>
      <c r="Z37" s="225">
        <v>2</v>
      </c>
      <c r="AA37" s="226">
        <v>1</v>
      </c>
      <c r="AB37" s="244"/>
      <c r="AC37" s="245" t="s">
        <v>903</v>
      </c>
      <c r="AD37" s="394">
        <v>1</v>
      </c>
      <c r="AE37" s="396">
        <v>9</v>
      </c>
      <c r="AF37" s="241" t="s">
        <v>144</v>
      </c>
      <c r="AG37" s="242" t="s">
        <v>1062</v>
      </c>
      <c r="AH37" s="408">
        <v>6</v>
      </c>
      <c r="AI37" s="409">
        <v>9</v>
      </c>
      <c r="AJ37" s="241" t="s">
        <v>144</v>
      </c>
      <c r="AK37" s="242" t="s">
        <v>1025</v>
      </c>
      <c r="AL37" s="221">
        <v>1</v>
      </c>
      <c r="AM37" s="435">
        <v>2</v>
      </c>
      <c r="AN37" s="241"/>
      <c r="AO37" s="242" t="s">
        <v>952</v>
      </c>
      <c r="AP37" s="410">
        <v>9</v>
      </c>
      <c r="AQ37" s="411">
        <v>6</v>
      </c>
      <c r="AR37" s="163"/>
      <c r="AS37" s="202">
        <v>35</v>
      </c>
      <c r="AT37" s="309"/>
      <c r="AU37" s="310" t="s">
        <v>1171</v>
      </c>
      <c r="AV37" s="318">
        <v>1</v>
      </c>
      <c r="AW37" s="321">
        <v>0</v>
      </c>
      <c r="AX37" s="249"/>
      <c r="AY37" s="250" t="s">
        <v>611</v>
      </c>
      <c r="AZ37" s="251">
        <v>4</v>
      </c>
      <c r="BA37" s="257">
        <v>2</v>
      </c>
      <c r="BB37" s="309" t="s">
        <v>144</v>
      </c>
      <c r="BC37" s="310" t="s">
        <v>1200</v>
      </c>
      <c r="BD37" s="318">
        <v>5</v>
      </c>
      <c r="BE37" s="321">
        <v>3</v>
      </c>
      <c r="BF37" s="309" t="s">
        <v>144</v>
      </c>
      <c r="BG37" s="310" t="s">
        <v>1265</v>
      </c>
      <c r="BH37" s="311">
        <v>0</v>
      </c>
      <c r="BI37" s="320">
        <v>1</v>
      </c>
      <c r="BJ37" s="309"/>
      <c r="BK37" s="310" t="s">
        <v>1139</v>
      </c>
      <c r="BL37" s="311">
        <v>3</v>
      </c>
      <c r="BM37" s="438">
        <v>5</v>
      </c>
      <c r="BO37" s="202">
        <v>35</v>
      </c>
      <c r="BP37" s="244" t="s">
        <v>144</v>
      </c>
      <c r="BQ37" s="245" t="s">
        <v>770</v>
      </c>
      <c r="BR37" s="239">
        <v>2</v>
      </c>
      <c r="BS37" s="240">
        <v>4</v>
      </c>
      <c r="BT37" s="241" t="s">
        <v>144</v>
      </c>
      <c r="BU37" s="242" t="s">
        <v>952</v>
      </c>
      <c r="BV37" s="225">
        <v>7</v>
      </c>
      <c r="BW37" s="256">
        <v>3</v>
      </c>
      <c r="BX37" s="244" t="s">
        <v>144</v>
      </c>
      <c r="BY37" s="245" t="s">
        <v>869</v>
      </c>
      <c r="BZ37" s="231">
        <v>7</v>
      </c>
      <c r="CA37" s="264">
        <v>4</v>
      </c>
      <c r="CB37" s="244"/>
      <c r="CC37" s="245" t="s">
        <v>903</v>
      </c>
      <c r="CD37" s="246">
        <v>4</v>
      </c>
      <c r="CE37" s="258">
        <v>2</v>
      </c>
      <c r="CF37" s="244"/>
      <c r="CG37" s="245" t="s">
        <v>835</v>
      </c>
      <c r="CH37" s="237">
        <v>4</v>
      </c>
      <c r="CI37" s="248">
        <v>7</v>
      </c>
      <c r="CJ37" s="163"/>
      <c r="CK37" s="202">
        <v>35</v>
      </c>
      <c r="CL37" s="241"/>
      <c r="CM37" s="242" t="s">
        <v>1062</v>
      </c>
      <c r="CN37" s="225">
        <v>5</v>
      </c>
      <c r="CO37" s="226">
        <v>4</v>
      </c>
      <c r="CP37" s="244"/>
      <c r="CQ37" s="245" t="s">
        <v>804</v>
      </c>
      <c r="CR37" s="239">
        <v>3</v>
      </c>
      <c r="CS37" s="240">
        <v>7</v>
      </c>
      <c r="CT37" s="241" t="s">
        <v>144</v>
      </c>
      <c r="CU37" s="242" t="s">
        <v>1025</v>
      </c>
      <c r="CV37" s="223">
        <v>10</v>
      </c>
      <c r="CW37" s="224">
        <v>3</v>
      </c>
      <c r="CX37" s="241" t="s">
        <v>144</v>
      </c>
      <c r="CY37" s="242" t="s">
        <v>1096</v>
      </c>
      <c r="CZ37" s="221">
        <v>4</v>
      </c>
      <c r="DA37" s="222">
        <v>5</v>
      </c>
      <c r="DB37" s="241"/>
      <c r="DC37" s="242" t="s">
        <v>990</v>
      </c>
      <c r="DD37" s="227">
        <v>3</v>
      </c>
      <c r="DE37" s="228">
        <v>10</v>
      </c>
      <c r="DF37" s="163"/>
      <c r="DG37" s="202">
        <v>35</v>
      </c>
      <c r="DH37" s="309"/>
      <c r="DI37" s="310" t="s">
        <v>1200</v>
      </c>
      <c r="DJ37" s="322">
        <v>5</v>
      </c>
      <c r="DK37" s="323">
        <v>7</v>
      </c>
      <c r="DL37" s="249"/>
      <c r="DM37" s="250" t="s">
        <v>717</v>
      </c>
      <c r="DN37" s="251">
        <v>4</v>
      </c>
      <c r="DO37" s="257">
        <v>0</v>
      </c>
      <c r="DP37" s="309" t="s">
        <v>144</v>
      </c>
      <c r="DQ37" s="310" t="s">
        <v>1265</v>
      </c>
      <c r="DR37" s="318">
        <v>13</v>
      </c>
      <c r="DS37" s="321">
        <v>0</v>
      </c>
      <c r="DT37" s="309" t="s">
        <v>144</v>
      </c>
      <c r="DU37" s="310" t="s">
        <v>1229</v>
      </c>
      <c r="DV37" s="315">
        <v>7</v>
      </c>
      <c r="DW37" s="317">
        <v>5</v>
      </c>
      <c r="DX37" s="309"/>
      <c r="DY37" s="310" t="s">
        <v>1171</v>
      </c>
      <c r="DZ37" s="311">
        <v>0</v>
      </c>
      <c r="EA37" s="312">
        <v>13</v>
      </c>
      <c r="EC37" s="202">
        <v>35</v>
      </c>
      <c r="ED37" s="244" t="s">
        <v>144</v>
      </c>
      <c r="EE37" s="245" t="s">
        <v>869</v>
      </c>
      <c r="EF37" s="246">
        <v>2</v>
      </c>
      <c r="EG37" s="247">
        <v>1</v>
      </c>
      <c r="EH37" s="241" t="s">
        <v>144</v>
      </c>
      <c r="EI37" s="242" t="s">
        <v>990</v>
      </c>
      <c r="EJ37" s="221">
        <v>2</v>
      </c>
      <c r="EK37" s="259">
        <v>3</v>
      </c>
      <c r="EL37" s="244" t="s">
        <v>144</v>
      </c>
      <c r="EM37" s="245" t="s">
        <v>903</v>
      </c>
      <c r="EN37" s="231">
        <v>8</v>
      </c>
      <c r="EO37" s="264">
        <v>4</v>
      </c>
      <c r="EP37" s="244"/>
      <c r="EQ37" s="245" t="s">
        <v>804</v>
      </c>
      <c r="ER37" s="239">
        <v>1</v>
      </c>
      <c r="ES37" s="238">
        <v>2</v>
      </c>
      <c r="ET37" s="244"/>
      <c r="EU37" s="245" t="s">
        <v>770</v>
      </c>
      <c r="EV37" s="237">
        <v>4</v>
      </c>
      <c r="EW37" s="248">
        <v>8</v>
      </c>
      <c r="EX37" s="163"/>
      <c r="EY37" s="202">
        <v>35</v>
      </c>
      <c r="EZ37" s="241"/>
      <c r="FA37" s="242" t="s">
        <v>1025</v>
      </c>
      <c r="FB37" s="225">
        <v>3</v>
      </c>
      <c r="FC37" s="226">
        <v>1</v>
      </c>
      <c r="FD37" s="244"/>
      <c r="FE37" s="245" t="s">
        <v>835</v>
      </c>
      <c r="FF37" s="246">
        <v>3</v>
      </c>
      <c r="FG37" s="247">
        <v>2</v>
      </c>
      <c r="FH37" s="241" t="s">
        <v>144</v>
      </c>
      <c r="FI37" s="242" t="s">
        <v>1096</v>
      </c>
      <c r="FJ37" s="223">
        <v>10</v>
      </c>
      <c r="FK37" s="224">
        <v>3</v>
      </c>
      <c r="FL37" s="241" t="s">
        <v>144</v>
      </c>
      <c r="FM37" s="242" t="s">
        <v>952</v>
      </c>
      <c r="FN37" s="221">
        <v>1</v>
      </c>
      <c r="FO37" s="222">
        <v>3</v>
      </c>
      <c r="FP37" s="241"/>
      <c r="FQ37" s="242" t="s">
        <v>1062</v>
      </c>
      <c r="FR37" s="227">
        <v>3</v>
      </c>
      <c r="FS37" s="228">
        <v>10</v>
      </c>
      <c r="FT37" s="163"/>
      <c r="FU37" s="202">
        <v>35</v>
      </c>
      <c r="FV37" s="309"/>
      <c r="FW37" s="310" t="s">
        <v>1265</v>
      </c>
      <c r="FX37" s="318">
        <v>9</v>
      </c>
      <c r="FY37" s="321">
        <v>0</v>
      </c>
      <c r="FZ37" s="249"/>
      <c r="GA37" s="250" t="s">
        <v>685</v>
      </c>
      <c r="GB37" s="251">
        <v>3</v>
      </c>
      <c r="GC37" s="257">
        <v>1</v>
      </c>
      <c r="GD37" s="309" t="s">
        <v>144</v>
      </c>
      <c r="GE37" s="310" t="s">
        <v>1229</v>
      </c>
      <c r="GF37" s="318">
        <v>14</v>
      </c>
      <c r="GG37" s="321">
        <v>2</v>
      </c>
      <c r="GH37" s="309" t="s">
        <v>144</v>
      </c>
      <c r="GI37" s="310" t="s">
        <v>1139</v>
      </c>
      <c r="GJ37" s="311">
        <v>0</v>
      </c>
      <c r="GK37" s="320">
        <v>9</v>
      </c>
      <c r="GL37" s="309"/>
      <c r="GM37" s="310" t="s">
        <v>1200</v>
      </c>
      <c r="GN37" s="311">
        <v>2</v>
      </c>
      <c r="GO37" s="312">
        <v>14</v>
      </c>
    </row>
    <row r="38" spans="1:197">
      <c r="A38" s="202">
        <v>36</v>
      </c>
      <c r="B38" s="229" t="s">
        <v>144</v>
      </c>
      <c r="C38" s="230" t="s">
        <v>835</v>
      </c>
      <c r="D38" s="239">
        <v>6</v>
      </c>
      <c r="E38" s="240">
        <v>7</v>
      </c>
      <c r="F38" s="219" t="s">
        <v>144</v>
      </c>
      <c r="G38" s="220" t="s">
        <v>1096</v>
      </c>
      <c r="H38" s="221">
        <v>3</v>
      </c>
      <c r="I38" s="259">
        <v>4</v>
      </c>
      <c r="J38" s="229" t="s">
        <v>144</v>
      </c>
      <c r="K38" s="230" t="s">
        <v>770</v>
      </c>
      <c r="L38" s="231">
        <v>9</v>
      </c>
      <c r="M38" s="264">
        <v>3</v>
      </c>
      <c r="N38" s="229"/>
      <c r="O38" s="230" t="s">
        <v>869</v>
      </c>
      <c r="P38" s="246">
        <v>7</v>
      </c>
      <c r="Q38" s="258">
        <v>6</v>
      </c>
      <c r="R38" s="229"/>
      <c r="S38" s="230" t="s">
        <v>804</v>
      </c>
      <c r="T38" s="237">
        <v>3</v>
      </c>
      <c r="U38" s="248">
        <v>9</v>
      </c>
      <c r="V38" s="163"/>
      <c r="W38" s="202">
        <v>36</v>
      </c>
      <c r="X38" s="219"/>
      <c r="Y38" s="220" t="s">
        <v>990</v>
      </c>
      <c r="Z38" s="221">
        <v>3</v>
      </c>
      <c r="AA38" s="259">
        <v>6</v>
      </c>
      <c r="AB38" s="229"/>
      <c r="AC38" s="230" t="s">
        <v>903</v>
      </c>
      <c r="AD38" s="433">
        <v>4</v>
      </c>
      <c r="AE38" s="247">
        <v>3</v>
      </c>
      <c r="AF38" s="219" t="s">
        <v>144</v>
      </c>
      <c r="AG38" s="220" t="s">
        <v>1062</v>
      </c>
      <c r="AH38" s="410">
        <v>5</v>
      </c>
      <c r="AI38" s="411">
        <v>4</v>
      </c>
      <c r="AJ38" s="219" t="s">
        <v>144</v>
      </c>
      <c r="AK38" s="220" t="s">
        <v>1025</v>
      </c>
      <c r="AL38" s="225">
        <v>6</v>
      </c>
      <c r="AM38" s="226">
        <v>3</v>
      </c>
      <c r="AN38" s="219"/>
      <c r="AO38" s="220" t="s">
        <v>952</v>
      </c>
      <c r="AP38" s="408">
        <v>4</v>
      </c>
      <c r="AQ38" s="409">
        <v>5</v>
      </c>
      <c r="AR38" s="163"/>
      <c r="AS38" s="202">
        <v>36</v>
      </c>
      <c r="AT38" s="313"/>
      <c r="AU38" s="314" t="s">
        <v>1171</v>
      </c>
      <c r="AV38" s="418">
        <v>3</v>
      </c>
      <c r="AW38" s="419">
        <v>7</v>
      </c>
      <c r="AX38" s="233"/>
      <c r="AY38" s="234" t="s">
        <v>611</v>
      </c>
      <c r="AZ38" s="235">
        <v>6</v>
      </c>
      <c r="BA38" s="236">
        <v>8</v>
      </c>
      <c r="BB38" s="313" t="s">
        <v>144</v>
      </c>
      <c r="BC38" s="314" t="s">
        <v>1200</v>
      </c>
      <c r="BD38" s="415">
        <v>6</v>
      </c>
      <c r="BE38" s="436">
        <v>3</v>
      </c>
      <c r="BF38" s="313" t="s">
        <v>144</v>
      </c>
      <c r="BG38" s="314" t="s">
        <v>1265</v>
      </c>
      <c r="BH38" s="415">
        <v>7</v>
      </c>
      <c r="BI38" s="414">
        <v>3</v>
      </c>
      <c r="BJ38" s="313"/>
      <c r="BK38" s="314" t="s">
        <v>1139</v>
      </c>
      <c r="BL38" s="437">
        <v>3</v>
      </c>
      <c r="BM38" s="438">
        <v>6</v>
      </c>
      <c r="BO38" s="202">
        <v>36</v>
      </c>
      <c r="BP38" s="229" t="s">
        <v>144</v>
      </c>
      <c r="BQ38" s="230" t="s">
        <v>770</v>
      </c>
      <c r="BR38" s="239">
        <v>0</v>
      </c>
      <c r="BS38" s="240">
        <v>5</v>
      </c>
      <c r="BT38" s="219" t="s">
        <v>144</v>
      </c>
      <c r="BU38" s="220" t="s">
        <v>952</v>
      </c>
      <c r="BV38" s="221">
        <v>0</v>
      </c>
      <c r="BW38" s="259">
        <v>3</v>
      </c>
      <c r="BX38" s="229" t="s">
        <v>144</v>
      </c>
      <c r="BY38" s="230" t="s">
        <v>869</v>
      </c>
      <c r="BZ38" s="231">
        <v>5</v>
      </c>
      <c r="CA38" s="264">
        <v>0</v>
      </c>
      <c r="CB38" s="229"/>
      <c r="CC38" s="230" t="s">
        <v>903</v>
      </c>
      <c r="CD38" s="246">
        <v>5</v>
      </c>
      <c r="CE38" s="258">
        <v>0</v>
      </c>
      <c r="CF38" s="229"/>
      <c r="CG38" s="230" t="s">
        <v>835</v>
      </c>
      <c r="CH38" s="237">
        <v>0</v>
      </c>
      <c r="CI38" s="248">
        <v>5</v>
      </c>
      <c r="CJ38" s="163"/>
      <c r="CK38" s="202">
        <v>36</v>
      </c>
      <c r="CL38" s="219"/>
      <c r="CM38" s="220" t="s">
        <v>1062</v>
      </c>
      <c r="CN38" s="225">
        <v>8</v>
      </c>
      <c r="CO38" s="256">
        <v>7</v>
      </c>
      <c r="CP38" s="229"/>
      <c r="CQ38" s="230" t="s">
        <v>804</v>
      </c>
      <c r="CR38" s="246">
        <v>3</v>
      </c>
      <c r="CS38" s="247">
        <v>0</v>
      </c>
      <c r="CT38" s="219" t="s">
        <v>144</v>
      </c>
      <c r="CU38" s="220" t="s">
        <v>1025</v>
      </c>
      <c r="CV38" s="223">
        <v>6</v>
      </c>
      <c r="CW38" s="224">
        <v>3</v>
      </c>
      <c r="CX38" s="219" t="s">
        <v>144</v>
      </c>
      <c r="CY38" s="220" t="s">
        <v>1096</v>
      </c>
      <c r="CZ38" s="221">
        <v>7</v>
      </c>
      <c r="DA38" s="222">
        <v>8</v>
      </c>
      <c r="DB38" s="219"/>
      <c r="DC38" s="220" t="s">
        <v>990</v>
      </c>
      <c r="DD38" s="227">
        <v>3</v>
      </c>
      <c r="DE38" s="228">
        <v>6</v>
      </c>
      <c r="DF38" s="163"/>
      <c r="DG38" s="202">
        <v>36</v>
      </c>
      <c r="DH38" s="313"/>
      <c r="DI38" s="314" t="s">
        <v>1200</v>
      </c>
      <c r="DJ38" s="322">
        <v>4</v>
      </c>
      <c r="DK38" s="323">
        <v>6</v>
      </c>
      <c r="DL38" s="233"/>
      <c r="DM38" s="234" t="s">
        <v>717</v>
      </c>
      <c r="DN38" s="251">
        <v>10</v>
      </c>
      <c r="DO38" s="257">
        <v>0</v>
      </c>
      <c r="DP38" s="313" t="s">
        <v>144</v>
      </c>
      <c r="DQ38" s="314" t="s">
        <v>1265</v>
      </c>
      <c r="DR38" s="318">
        <v>3</v>
      </c>
      <c r="DS38" s="321">
        <v>1</v>
      </c>
      <c r="DT38" s="313" t="s">
        <v>144</v>
      </c>
      <c r="DU38" s="314" t="s">
        <v>1229</v>
      </c>
      <c r="DV38" s="318">
        <v>6</v>
      </c>
      <c r="DW38" s="317">
        <v>4</v>
      </c>
      <c r="DX38" s="313"/>
      <c r="DY38" s="314" t="s">
        <v>1171</v>
      </c>
      <c r="DZ38" s="311">
        <v>1</v>
      </c>
      <c r="EA38" s="312">
        <v>3</v>
      </c>
      <c r="EC38" s="202">
        <v>36</v>
      </c>
      <c r="ED38" s="229" t="s">
        <v>144</v>
      </c>
      <c r="EE38" s="230" t="s">
        <v>869</v>
      </c>
      <c r="EF38" s="239">
        <v>0</v>
      </c>
      <c r="EG38" s="240">
        <v>4</v>
      </c>
      <c r="EH38" s="219" t="s">
        <v>144</v>
      </c>
      <c r="EI38" s="220" t="s">
        <v>990</v>
      </c>
      <c r="EJ38" s="221">
        <v>4</v>
      </c>
      <c r="EK38" s="259">
        <v>5</v>
      </c>
      <c r="EL38" s="229" t="s">
        <v>144</v>
      </c>
      <c r="EM38" s="230" t="s">
        <v>903</v>
      </c>
      <c r="EN38" s="231">
        <v>5</v>
      </c>
      <c r="EO38" s="264">
        <v>0</v>
      </c>
      <c r="EP38" s="229"/>
      <c r="EQ38" s="230" t="s">
        <v>804</v>
      </c>
      <c r="ER38" s="246">
        <v>4</v>
      </c>
      <c r="ES38" s="258">
        <v>0</v>
      </c>
      <c r="ET38" s="229"/>
      <c r="EU38" s="230" t="s">
        <v>770</v>
      </c>
      <c r="EV38" s="237">
        <v>0</v>
      </c>
      <c r="EW38" s="248">
        <v>5</v>
      </c>
      <c r="EX38" s="163"/>
      <c r="EY38" s="202">
        <v>36</v>
      </c>
      <c r="EZ38" s="219"/>
      <c r="FA38" s="220" t="s">
        <v>1025</v>
      </c>
      <c r="FB38" s="221">
        <v>3</v>
      </c>
      <c r="FC38" s="259">
        <v>10</v>
      </c>
      <c r="FD38" s="229"/>
      <c r="FE38" s="230" t="s">
        <v>835</v>
      </c>
      <c r="FF38" s="246">
        <v>5</v>
      </c>
      <c r="FG38" s="247">
        <v>4</v>
      </c>
      <c r="FH38" s="219" t="s">
        <v>144</v>
      </c>
      <c r="FI38" s="220" t="s">
        <v>1096</v>
      </c>
      <c r="FJ38" s="227">
        <v>1</v>
      </c>
      <c r="FK38" s="228">
        <v>6</v>
      </c>
      <c r="FL38" s="219" t="s">
        <v>144</v>
      </c>
      <c r="FM38" s="220" t="s">
        <v>952</v>
      </c>
      <c r="FN38" s="225">
        <v>10</v>
      </c>
      <c r="FO38" s="226">
        <v>3</v>
      </c>
      <c r="FP38" s="219"/>
      <c r="FQ38" s="220" t="s">
        <v>1062</v>
      </c>
      <c r="FR38" s="223">
        <v>6</v>
      </c>
      <c r="FS38" s="224">
        <v>1</v>
      </c>
      <c r="FT38" s="163"/>
      <c r="FU38" s="202">
        <v>36</v>
      </c>
      <c r="FV38" s="313"/>
      <c r="FW38" s="314" t="s">
        <v>1265</v>
      </c>
      <c r="FX38" s="318">
        <v>6</v>
      </c>
      <c r="FY38" s="321">
        <v>5</v>
      </c>
      <c r="FZ38" s="233"/>
      <c r="GA38" s="234" t="s">
        <v>685</v>
      </c>
      <c r="GB38" s="235">
        <v>1</v>
      </c>
      <c r="GC38" s="236">
        <v>2</v>
      </c>
      <c r="GD38" s="313" t="s">
        <v>144</v>
      </c>
      <c r="GE38" s="314" t="s">
        <v>1229</v>
      </c>
      <c r="GF38" s="322">
        <v>5</v>
      </c>
      <c r="GG38" s="323">
        <v>6</v>
      </c>
      <c r="GH38" s="313" t="s">
        <v>144</v>
      </c>
      <c r="GI38" s="314" t="s">
        <v>1139</v>
      </c>
      <c r="GJ38" s="322">
        <v>5</v>
      </c>
      <c r="GK38" s="320">
        <v>6</v>
      </c>
      <c r="GL38" s="313"/>
      <c r="GM38" s="314" t="s">
        <v>1200</v>
      </c>
      <c r="GN38" s="315">
        <v>6</v>
      </c>
      <c r="GO38" s="316">
        <v>5</v>
      </c>
    </row>
    <row r="39" spans="1:197">
      <c r="A39" s="202">
        <v>37</v>
      </c>
      <c r="B39" s="244"/>
      <c r="C39" s="245" t="s">
        <v>804</v>
      </c>
      <c r="D39" s="239">
        <v>0</v>
      </c>
      <c r="E39" s="240">
        <v>7</v>
      </c>
      <c r="F39" s="244"/>
      <c r="G39" s="245" t="s">
        <v>770</v>
      </c>
      <c r="H39" s="239">
        <v>0</v>
      </c>
      <c r="I39" s="238">
        <v>1</v>
      </c>
      <c r="J39" s="244" t="s">
        <v>144</v>
      </c>
      <c r="K39" s="245" t="s">
        <v>869</v>
      </c>
      <c r="L39" s="231">
        <v>7</v>
      </c>
      <c r="M39" s="264">
        <v>0</v>
      </c>
      <c r="N39" s="241"/>
      <c r="O39" s="242" t="s">
        <v>990</v>
      </c>
      <c r="P39" s="434">
        <v>1</v>
      </c>
      <c r="Q39" s="451">
        <v>2</v>
      </c>
      <c r="R39" s="244" t="s">
        <v>144</v>
      </c>
      <c r="S39" s="245" t="s">
        <v>903</v>
      </c>
      <c r="T39" s="231">
        <v>1</v>
      </c>
      <c r="U39" s="232">
        <v>0</v>
      </c>
      <c r="V39" s="163"/>
      <c r="W39" s="202">
        <v>37</v>
      </c>
      <c r="X39" s="241" t="s">
        <v>144</v>
      </c>
      <c r="Y39" s="242" t="s">
        <v>952</v>
      </c>
      <c r="Z39" s="392">
        <v>8</v>
      </c>
      <c r="AA39" s="390">
        <v>5</v>
      </c>
      <c r="AB39" s="241"/>
      <c r="AC39" s="242" t="s">
        <v>1062</v>
      </c>
      <c r="AD39" s="392">
        <v>4</v>
      </c>
      <c r="AE39" s="390">
        <v>0</v>
      </c>
      <c r="AF39" s="241"/>
      <c r="AG39" s="242" t="s">
        <v>1025</v>
      </c>
      <c r="AH39" s="408">
        <v>5</v>
      </c>
      <c r="AI39" s="409">
        <v>8</v>
      </c>
      <c r="AJ39" s="244" t="s">
        <v>144</v>
      </c>
      <c r="AK39" s="245" t="s">
        <v>835</v>
      </c>
      <c r="AL39" s="433">
        <v>2</v>
      </c>
      <c r="AM39" s="464">
        <v>1</v>
      </c>
      <c r="AN39" s="241" t="s">
        <v>144</v>
      </c>
      <c r="AO39" s="242" t="s">
        <v>1096</v>
      </c>
      <c r="AP39" s="408">
        <v>0</v>
      </c>
      <c r="AQ39" s="409">
        <v>4</v>
      </c>
      <c r="AR39" s="163"/>
      <c r="AS39" s="202">
        <v>37</v>
      </c>
      <c r="AT39" s="309"/>
      <c r="AU39" s="310" t="s">
        <v>1139</v>
      </c>
      <c r="AV39" s="318">
        <v>6</v>
      </c>
      <c r="AW39" s="321">
        <v>4</v>
      </c>
      <c r="AX39" s="309" t="s">
        <v>144</v>
      </c>
      <c r="AY39" s="310" t="s">
        <v>1200</v>
      </c>
      <c r="AZ39" s="311">
        <v>1</v>
      </c>
      <c r="BA39" s="312">
        <v>6</v>
      </c>
      <c r="BB39" s="309" t="s">
        <v>144</v>
      </c>
      <c r="BC39" s="310" t="s">
        <v>1265</v>
      </c>
      <c r="BD39" s="322">
        <v>4</v>
      </c>
      <c r="BE39" s="323">
        <v>6</v>
      </c>
      <c r="BF39" s="249" t="s">
        <v>144</v>
      </c>
      <c r="BG39" s="250" t="s">
        <v>685</v>
      </c>
      <c r="BH39" s="426">
        <v>5</v>
      </c>
      <c r="BI39" s="469">
        <v>2</v>
      </c>
      <c r="BJ39" s="309"/>
      <c r="BK39" s="310" t="s">
        <v>1229</v>
      </c>
      <c r="BL39" s="422">
        <v>6</v>
      </c>
      <c r="BM39" s="421">
        <v>1</v>
      </c>
      <c r="BO39" s="202">
        <v>37</v>
      </c>
      <c r="BP39" s="244"/>
      <c r="BQ39" s="245" t="s">
        <v>835</v>
      </c>
      <c r="BR39" s="239">
        <v>2</v>
      </c>
      <c r="BS39" s="240">
        <v>4</v>
      </c>
      <c r="BT39" s="244"/>
      <c r="BU39" s="245" t="s">
        <v>869</v>
      </c>
      <c r="BV39" s="239">
        <v>0</v>
      </c>
      <c r="BW39" s="238">
        <v>1</v>
      </c>
      <c r="BX39" s="244" t="s">
        <v>144</v>
      </c>
      <c r="BY39" s="245" t="s">
        <v>903</v>
      </c>
      <c r="BZ39" s="231">
        <v>4</v>
      </c>
      <c r="CA39" s="264">
        <v>2</v>
      </c>
      <c r="CB39" s="241"/>
      <c r="CC39" s="242" t="s">
        <v>1062</v>
      </c>
      <c r="CD39" s="225">
        <v>10</v>
      </c>
      <c r="CE39" s="256">
        <v>4</v>
      </c>
      <c r="CF39" s="244" t="s">
        <v>144</v>
      </c>
      <c r="CG39" s="245" t="s">
        <v>804</v>
      </c>
      <c r="CH39" s="231">
        <v>1</v>
      </c>
      <c r="CI39" s="232">
        <v>0</v>
      </c>
      <c r="CJ39" s="163"/>
      <c r="CK39" s="202">
        <v>37</v>
      </c>
      <c r="CL39" s="241" t="s">
        <v>144</v>
      </c>
      <c r="CM39" s="242" t="s">
        <v>990</v>
      </c>
      <c r="CN39" s="221">
        <v>2</v>
      </c>
      <c r="CO39" s="222">
        <v>6</v>
      </c>
      <c r="CP39" s="241"/>
      <c r="CQ39" s="242" t="s">
        <v>1025</v>
      </c>
      <c r="CR39" s="225">
        <v>5</v>
      </c>
      <c r="CS39" s="226">
        <v>2</v>
      </c>
      <c r="CT39" s="241"/>
      <c r="CU39" s="242" t="s">
        <v>1096</v>
      </c>
      <c r="CV39" s="223">
        <v>6</v>
      </c>
      <c r="CW39" s="224">
        <v>2</v>
      </c>
      <c r="CX39" s="244" t="s">
        <v>144</v>
      </c>
      <c r="CY39" s="245" t="s">
        <v>770</v>
      </c>
      <c r="CZ39" s="239">
        <v>4</v>
      </c>
      <c r="DA39" s="240">
        <v>10</v>
      </c>
      <c r="DB39" s="241" t="s">
        <v>144</v>
      </c>
      <c r="DC39" s="242" t="s">
        <v>952</v>
      </c>
      <c r="DD39" s="227">
        <v>2</v>
      </c>
      <c r="DE39" s="228">
        <v>5</v>
      </c>
      <c r="DF39" s="163"/>
      <c r="DG39" s="202">
        <v>37</v>
      </c>
      <c r="DH39" s="309"/>
      <c r="DI39" s="310" t="s">
        <v>1171</v>
      </c>
      <c r="DJ39" s="322">
        <v>0</v>
      </c>
      <c r="DK39" s="323">
        <v>14</v>
      </c>
      <c r="DL39" s="309" t="s">
        <v>144</v>
      </c>
      <c r="DM39" s="310" t="s">
        <v>1265</v>
      </c>
      <c r="DN39" s="315">
        <v>3</v>
      </c>
      <c r="DO39" s="316">
        <v>2</v>
      </c>
      <c r="DP39" s="309" t="s">
        <v>144</v>
      </c>
      <c r="DQ39" s="310" t="s">
        <v>1229</v>
      </c>
      <c r="DR39" s="318">
        <v>14</v>
      </c>
      <c r="DS39" s="321">
        <v>0</v>
      </c>
      <c r="DT39" s="249" t="s">
        <v>144</v>
      </c>
      <c r="DU39" s="250" t="s">
        <v>580</v>
      </c>
      <c r="DV39" s="235">
        <v>1</v>
      </c>
      <c r="DW39" s="255">
        <v>2</v>
      </c>
      <c r="DX39" s="309"/>
      <c r="DY39" s="310" t="s">
        <v>1139</v>
      </c>
      <c r="DZ39" s="311">
        <v>2</v>
      </c>
      <c r="EA39" s="312">
        <v>3</v>
      </c>
      <c r="EC39" s="202">
        <v>37</v>
      </c>
      <c r="ED39" s="244"/>
      <c r="EE39" s="245" t="s">
        <v>770</v>
      </c>
      <c r="EF39" s="239">
        <v>2</v>
      </c>
      <c r="EG39" s="240">
        <v>3</v>
      </c>
      <c r="EH39" s="244"/>
      <c r="EI39" s="245" t="s">
        <v>903</v>
      </c>
      <c r="EJ39" s="239">
        <v>1</v>
      </c>
      <c r="EK39" s="238">
        <v>2</v>
      </c>
      <c r="EL39" s="244" t="s">
        <v>144</v>
      </c>
      <c r="EM39" s="245" t="s">
        <v>804</v>
      </c>
      <c r="EN39" s="231">
        <v>3</v>
      </c>
      <c r="EO39" s="264">
        <v>2</v>
      </c>
      <c r="EP39" s="241"/>
      <c r="EQ39" s="242" t="s">
        <v>1025</v>
      </c>
      <c r="ER39" s="225">
        <v>5</v>
      </c>
      <c r="ES39" s="256">
        <v>2</v>
      </c>
      <c r="ET39" s="244" t="s">
        <v>144</v>
      </c>
      <c r="EU39" s="245" t="s">
        <v>835</v>
      </c>
      <c r="EV39" s="231">
        <v>2</v>
      </c>
      <c r="EW39" s="232">
        <v>1</v>
      </c>
      <c r="EX39" s="163"/>
      <c r="EY39" s="202">
        <v>37</v>
      </c>
      <c r="EZ39" s="241" t="s">
        <v>144</v>
      </c>
      <c r="FA39" s="242" t="s">
        <v>1062</v>
      </c>
      <c r="FB39" s="221">
        <v>5</v>
      </c>
      <c r="FC39" s="222">
        <v>7</v>
      </c>
      <c r="FD39" s="241"/>
      <c r="FE39" s="242" t="s">
        <v>1096</v>
      </c>
      <c r="FF39" s="221">
        <v>0</v>
      </c>
      <c r="FG39" s="222">
        <v>12</v>
      </c>
      <c r="FH39" s="241"/>
      <c r="FI39" s="242" t="s">
        <v>952</v>
      </c>
      <c r="FJ39" s="223">
        <v>7</v>
      </c>
      <c r="FK39" s="224">
        <v>5</v>
      </c>
      <c r="FL39" s="244" t="s">
        <v>144</v>
      </c>
      <c r="FM39" s="245" t="s">
        <v>869</v>
      </c>
      <c r="FN39" s="239">
        <v>2</v>
      </c>
      <c r="FO39" s="240">
        <v>5</v>
      </c>
      <c r="FP39" s="241" t="s">
        <v>144</v>
      </c>
      <c r="FQ39" s="242" t="s">
        <v>990</v>
      </c>
      <c r="FR39" s="223">
        <v>12</v>
      </c>
      <c r="FS39" s="224">
        <v>0</v>
      </c>
      <c r="FT39" s="163"/>
      <c r="FU39" s="202">
        <v>37</v>
      </c>
      <c r="FV39" s="309"/>
      <c r="FW39" s="310" t="s">
        <v>1200</v>
      </c>
      <c r="FX39" s="318">
        <v>6</v>
      </c>
      <c r="FY39" s="321">
        <v>0</v>
      </c>
      <c r="FZ39" s="309" t="s">
        <v>144</v>
      </c>
      <c r="GA39" s="310" t="s">
        <v>1229</v>
      </c>
      <c r="GB39" s="311">
        <v>5</v>
      </c>
      <c r="GC39" s="312">
        <v>6</v>
      </c>
      <c r="GD39" s="309" t="s">
        <v>144</v>
      </c>
      <c r="GE39" s="310" t="s">
        <v>1139</v>
      </c>
      <c r="GF39" s="322">
        <v>0</v>
      </c>
      <c r="GG39" s="323">
        <v>6</v>
      </c>
      <c r="GH39" s="249" t="s">
        <v>144</v>
      </c>
      <c r="GI39" s="250" t="s">
        <v>650</v>
      </c>
      <c r="GJ39" s="235">
        <v>6</v>
      </c>
      <c r="GK39" s="255">
        <v>13</v>
      </c>
      <c r="GL39" s="309"/>
      <c r="GM39" s="310" t="s">
        <v>1171</v>
      </c>
      <c r="GN39" s="315">
        <v>6</v>
      </c>
      <c r="GO39" s="577">
        <v>5</v>
      </c>
    </row>
    <row r="40" spans="1:197">
      <c r="A40" s="202">
        <v>38</v>
      </c>
      <c r="B40" s="229"/>
      <c r="C40" s="230" t="s">
        <v>804</v>
      </c>
      <c r="D40" s="239">
        <v>0</v>
      </c>
      <c r="E40" s="240">
        <v>2</v>
      </c>
      <c r="F40" s="229"/>
      <c r="G40" s="230" t="s">
        <v>770</v>
      </c>
      <c r="H40" s="394">
        <v>2</v>
      </c>
      <c r="I40" s="398">
        <v>3</v>
      </c>
      <c r="J40" s="229" t="s">
        <v>144</v>
      </c>
      <c r="K40" s="230" t="s">
        <v>869</v>
      </c>
      <c r="L40" s="231">
        <v>2</v>
      </c>
      <c r="M40" s="264">
        <v>0</v>
      </c>
      <c r="N40" s="219"/>
      <c r="O40" s="220" t="s">
        <v>990</v>
      </c>
      <c r="P40" s="392">
        <v>6</v>
      </c>
      <c r="Q40" s="456">
        <v>2</v>
      </c>
      <c r="R40" s="229" t="s">
        <v>144</v>
      </c>
      <c r="S40" s="230" t="s">
        <v>903</v>
      </c>
      <c r="T40" s="402">
        <v>3</v>
      </c>
      <c r="U40" s="400">
        <v>2</v>
      </c>
      <c r="V40" s="163"/>
      <c r="W40" s="202">
        <v>38</v>
      </c>
      <c r="X40" s="219" t="s">
        <v>144</v>
      </c>
      <c r="Y40" s="220" t="s">
        <v>952</v>
      </c>
      <c r="Z40" s="392">
        <v>3</v>
      </c>
      <c r="AA40" s="390">
        <v>2</v>
      </c>
      <c r="AB40" s="219"/>
      <c r="AC40" s="220" t="s">
        <v>1062</v>
      </c>
      <c r="AD40" s="221">
        <v>2</v>
      </c>
      <c r="AE40" s="222">
        <v>3</v>
      </c>
      <c r="AF40" s="219"/>
      <c r="AG40" s="220" t="s">
        <v>1025</v>
      </c>
      <c r="AH40" s="408">
        <v>2</v>
      </c>
      <c r="AI40" s="409">
        <v>3</v>
      </c>
      <c r="AJ40" s="229" t="s">
        <v>144</v>
      </c>
      <c r="AK40" s="230" t="s">
        <v>835</v>
      </c>
      <c r="AL40" s="394">
        <v>2</v>
      </c>
      <c r="AM40" s="396">
        <v>6</v>
      </c>
      <c r="AN40" s="219" t="s">
        <v>144</v>
      </c>
      <c r="AO40" s="220" t="s">
        <v>1096</v>
      </c>
      <c r="AP40" s="223">
        <v>3</v>
      </c>
      <c r="AQ40" s="224">
        <v>2</v>
      </c>
      <c r="AR40" s="163"/>
      <c r="AS40" s="202">
        <v>38</v>
      </c>
      <c r="AT40" s="313"/>
      <c r="AU40" s="314" t="s">
        <v>1139</v>
      </c>
      <c r="AV40" s="415">
        <v>4</v>
      </c>
      <c r="AW40" s="436">
        <v>2</v>
      </c>
      <c r="AX40" s="313" t="s">
        <v>144</v>
      </c>
      <c r="AY40" s="314" t="s">
        <v>1200</v>
      </c>
      <c r="AZ40" s="437">
        <v>7</v>
      </c>
      <c r="BA40" s="438">
        <v>8</v>
      </c>
      <c r="BB40" s="313" t="s">
        <v>144</v>
      </c>
      <c r="BC40" s="314" t="s">
        <v>1265</v>
      </c>
      <c r="BD40" s="418">
        <v>2</v>
      </c>
      <c r="BE40" s="419">
        <v>4</v>
      </c>
      <c r="BF40" s="233" t="s">
        <v>144</v>
      </c>
      <c r="BG40" s="234" t="s">
        <v>685</v>
      </c>
      <c r="BH40" s="261">
        <v>6</v>
      </c>
      <c r="BI40" s="252">
        <v>0</v>
      </c>
      <c r="BJ40" s="313"/>
      <c r="BK40" s="314" t="s">
        <v>1229</v>
      </c>
      <c r="BL40" s="422">
        <v>8</v>
      </c>
      <c r="BM40" s="421">
        <v>7</v>
      </c>
      <c r="BO40" s="202">
        <v>38</v>
      </c>
      <c r="BP40" s="229"/>
      <c r="BQ40" s="230" t="s">
        <v>835</v>
      </c>
      <c r="BR40" s="246">
        <v>2</v>
      </c>
      <c r="BS40" s="247">
        <v>0</v>
      </c>
      <c r="BT40" s="229"/>
      <c r="BU40" s="230" t="s">
        <v>869</v>
      </c>
      <c r="BV40" s="246">
        <v>8</v>
      </c>
      <c r="BW40" s="258">
        <v>2</v>
      </c>
      <c r="BX40" s="229" t="s">
        <v>144</v>
      </c>
      <c r="BY40" s="230" t="s">
        <v>903</v>
      </c>
      <c r="BZ40" s="237">
        <v>0</v>
      </c>
      <c r="CA40" s="268">
        <v>2</v>
      </c>
      <c r="CB40" s="219"/>
      <c r="CC40" s="220" t="s">
        <v>1062</v>
      </c>
      <c r="CD40" s="221">
        <v>4</v>
      </c>
      <c r="CE40" s="259">
        <v>6</v>
      </c>
      <c r="CF40" s="229" t="s">
        <v>144</v>
      </c>
      <c r="CG40" s="230" t="s">
        <v>804</v>
      </c>
      <c r="CH40" s="237">
        <v>2</v>
      </c>
      <c r="CI40" s="248">
        <v>8</v>
      </c>
      <c r="CJ40" s="163"/>
      <c r="CK40" s="202">
        <v>38</v>
      </c>
      <c r="CL40" s="219" t="s">
        <v>144</v>
      </c>
      <c r="CM40" s="220" t="s">
        <v>990</v>
      </c>
      <c r="CN40" s="225">
        <v>5</v>
      </c>
      <c r="CO40" s="226">
        <v>3</v>
      </c>
      <c r="CP40" s="219"/>
      <c r="CQ40" s="220" t="s">
        <v>1025</v>
      </c>
      <c r="CR40" s="221">
        <v>4</v>
      </c>
      <c r="CS40" s="222">
        <v>5</v>
      </c>
      <c r="CT40" s="219"/>
      <c r="CU40" s="220" t="s">
        <v>1096</v>
      </c>
      <c r="CV40" s="227">
        <v>3</v>
      </c>
      <c r="CW40" s="228">
        <v>5</v>
      </c>
      <c r="CX40" s="229" t="s">
        <v>144</v>
      </c>
      <c r="CY40" s="230" t="s">
        <v>770</v>
      </c>
      <c r="CZ40" s="246">
        <v>6</v>
      </c>
      <c r="DA40" s="247">
        <v>4</v>
      </c>
      <c r="DB40" s="219" t="s">
        <v>144</v>
      </c>
      <c r="DC40" s="220" t="s">
        <v>952</v>
      </c>
      <c r="DD40" s="223">
        <v>5</v>
      </c>
      <c r="DE40" s="224">
        <v>4</v>
      </c>
      <c r="DF40" s="163"/>
      <c r="DG40" s="202">
        <v>38</v>
      </c>
      <c r="DH40" s="313"/>
      <c r="DI40" s="314" t="s">
        <v>1171</v>
      </c>
      <c r="DJ40" s="322">
        <v>2</v>
      </c>
      <c r="DK40" s="323">
        <v>9</v>
      </c>
      <c r="DL40" s="313" t="s">
        <v>144</v>
      </c>
      <c r="DM40" s="314" t="s">
        <v>1265</v>
      </c>
      <c r="DN40" s="311">
        <v>1</v>
      </c>
      <c r="DO40" s="312">
        <v>2</v>
      </c>
      <c r="DP40" s="313" t="s">
        <v>144</v>
      </c>
      <c r="DQ40" s="314" t="s">
        <v>1229</v>
      </c>
      <c r="DR40" s="318">
        <v>9</v>
      </c>
      <c r="DS40" s="321">
        <v>2</v>
      </c>
      <c r="DT40" s="233" t="s">
        <v>144</v>
      </c>
      <c r="DU40" s="234" t="s">
        <v>580</v>
      </c>
      <c r="DV40" s="254">
        <v>3</v>
      </c>
      <c r="DW40" s="255">
        <v>9</v>
      </c>
      <c r="DX40" s="313"/>
      <c r="DY40" s="314" t="s">
        <v>1139</v>
      </c>
      <c r="DZ40" s="315">
        <v>2</v>
      </c>
      <c r="EA40" s="316">
        <v>1</v>
      </c>
      <c r="EC40" s="202">
        <v>38</v>
      </c>
      <c r="ED40" s="229"/>
      <c r="EE40" s="230" t="s">
        <v>770</v>
      </c>
      <c r="EF40" s="239">
        <v>2</v>
      </c>
      <c r="EG40" s="240">
        <v>3</v>
      </c>
      <c r="EH40" s="229"/>
      <c r="EI40" s="230" t="s">
        <v>903</v>
      </c>
      <c r="EJ40" s="246">
        <v>8</v>
      </c>
      <c r="EK40" s="258">
        <v>1</v>
      </c>
      <c r="EL40" s="229" t="s">
        <v>144</v>
      </c>
      <c r="EM40" s="230" t="s">
        <v>804</v>
      </c>
      <c r="EN40" s="231">
        <v>3</v>
      </c>
      <c r="EO40" s="264">
        <v>2</v>
      </c>
      <c r="EP40" s="219"/>
      <c r="EQ40" s="220" t="s">
        <v>1025</v>
      </c>
      <c r="ER40" s="221">
        <v>3</v>
      </c>
      <c r="ES40" s="259">
        <v>4</v>
      </c>
      <c r="ET40" s="229" t="s">
        <v>144</v>
      </c>
      <c r="EU40" s="230" t="s">
        <v>835</v>
      </c>
      <c r="EV40" s="237">
        <v>1</v>
      </c>
      <c r="EW40" s="248">
        <v>8</v>
      </c>
      <c r="EX40" s="163"/>
      <c r="EY40" s="202">
        <v>38</v>
      </c>
      <c r="EZ40" s="219" t="s">
        <v>144</v>
      </c>
      <c r="FA40" s="220" t="s">
        <v>1062</v>
      </c>
      <c r="FB40" s="221">
        <v>2</v>
      </c>
      <c r="FC40" s="222">
        <v>9</v>
      </c>
      <c r="FD40" s="219"/>
      <c r="FE40" s="220" t="s">
        <v>1096</v>
      </c>
      <c r="FF40" s="221">
        <v>2</v>
      </c>
      <c r="FG40" s="222">
        <v>5</v>
      </c>
      <c r="FH40" s="219"/>
      <c r="FI40" s="220" t="s">
        <v>952</v>
      </c>
      <c r="FJ40" s="223">
        <v>9</v>
      </c>
      <c r="FK40" s="224">
        <v>2</v>
      </c>
      <c r="FL40" s="229" t="s">
        <v>144</v>
      </c>
      <c r="FM40" s="230" t="s">
        <v>869</v>
      </c>
      <c r="FN40" s="246">
        <v>4</v>
      </c>
      <c r="FO40" s="247">
        <v>3</v>
      </c>
      <c r="FP40" s="219" t="s">
        <v>144</v>
      </c>
      <c r="FQ40" s="220" t="s">
        <v>990</v>
      </c>
      <c r="FR40" s="223">
        <v>5</v>
      </c>
      <c r="FS40" s="224">
        <v>2</v>
      </c>
      <c r="FT40" s="163"/>
      <c r="FU40" s="202">
        <v>38</v>
      </c>
      <c r="FV40" s="313"/>
      <c r="FW40" s="314" t="s">
        <v>1200</v>
      </c>
      <c r="FX40" s="322">
        <v>4</v>
      </c>
      <c r="FY40" s="323">
        <v>7</v>
      </c>
      <c r="FZ40" s="313" t="s">
        <v>144</v>
      </c>
      <c r="GA40" s="314" t="s">
        <v>1229</v>
      </c>
      <c r="GB40" s="315">
        <v>5</v>
      </c>
      <c r="GC40" s="316">
        <v>4</v>
      </c>
      <c r="GD40" s="313" t="s">
        <v>144</v>
      </c>
      <c r="GE40" s="314" t="s">
        <v>1139</v>
      </c>
      <c r="GF40" s="318">
        <v>7</v>
      </c>
      <c r="GG40" s="321">
        <v>4</v>
      </c>
      <c r="GH40" s="233" t="s">
        <v>144</v>
      </c>
      <c r="GI40" s="234" t="s">
        <v>650</v>
      </c>
      <c r="GJ40" s="261">
        <v>7</v>
      </c>
      <c r="GK40" s="252">
        <v>0</v>
      </c>
      <c r="GL40" s="313"/>
      <c r="GM40" s="314" t="s">
        <v>1171</v>
      </c>
      <c r="GN40" s="311">
        <v>4</v>
      </c>
      <c r="GO40" s="312">
        <v>5</v>
      </c>
    </row>
    <row r="41" spans="1:197">
      <c r="A41" s="202">
        <v>39</v>
      </c>
      <c r="B41" s="271"/>
      <c r="C41" s="272" t="s">
        <v>903</v>
      </c>
      <c r="D41" s="394">
        <v>6</v>
      </c>
      <c r="E41" s="396">
        <v>7</v>
      </c>
      <c r="F41" s="271" t="s">
        <v>144</v>
      </c>
      <c r="G41" s="272" t="s">
        <v>869</v>
      </c>
      <c r="H41" s="433">
        <v>7</v>
      </c>
      <c r="I41" s="432">
        <v>6</v>
      </c>
      <c r="J41" s="271"/>
      <c r="K41" s="272" t="s">
        <v>835</v>
      </c>
      <c r="L41" s="231">
        <v>4</v>
      </c>
      <c r="M41" s="264">
        <v>3</v>
      </c>
      <c r="N41" s="271" t="s">
        <v>144</v>
      </c>
      <c r="O41" s="272" t="s">
        <v>804</v>
      </c>
      <c r="P41" s="239">
        <v>3</v>
      </c>
      <c r="Q41" s="238">
        <v>4</v>
      </c>
      <c r="R41" s="203" t="s">
        <v>144</v>
      </c>
      <c r="S41" s="270" t="s">
        <v>1062</v>
      </c>
      <c r="T41" s="410">
        <v>8</v>
      </c>
      <c r="U41" s="411">
        <v>3</v>
      </c>
      <c r="V41" s="163"/>
      <c r="W41" s="202">
        <v>39</v>
      </c>
      <c r="X41" s="203" t="s">
        <v>144</v>
      </c>
      <c r="Y41" s="270" t="s">
        <v>1096</v>
      </c>
      <c r="Z41" s="221">
        <v>2</v>
      </c>
      <c r="AA41" s="222">
        <v>4</v>
      </c>
      <c r="AB41" s="203"/>
      <c r="AC41" s="270" t="s">
        <v>1025</v>
      </c>
      <c r="AD41" s="225">
        <v>4</v>
      </c>
      <c r="AE41" s="226">
        <v>2</v>
      </c>
      <c r="AF41" s="203"/>
      <c r="AG41" s="270" t="s">
        <v>990</v>
      </c>
      <c r="AH41" s="408">
        <v>0</v>
      </c>
      <c r="AI41" s="409">
        <v>3</v>
      </c>
      <c r="AJ41" s="203" t="s">
        <v>144</v>
      </c>
      <c r="AK41" s="270" t="s">
        <v>952</v>
      </c>
      <c r="AL41" s="410">
        <v>3</v>
      </c>
      <c r="AM41" s="411">
        <v>0</v>
      </c>
      <c r="AN41" s="271"/>
      <c r="AO41" s="272" t="s">
        <v>770</v>
      </c>
      <c r="AP41" s="440">
        <v>3</v>
      </c>
      <c r="AQ41" s="441">
        <v>8</v>
      </c>
      <c r="AR41" s="163"/>
      <c r="AS41" s="202">
        <v>39</v>
      </c>
      <c r="AT41" s="325"/>
      <c r="AU41" s="326" t="s">
        <v>1229</v>
      </c>
      <c r="AV41" s="418">
        <v>1</v>
      </c>
      <c r="AW41" s="419">
        <v>3</v>
      </c>
      <c r="AX41" s="325" t="s">
        <v>144</v>
      </c>
      <c r="AY41" s="326" t="s">
        <v>1265</v>
      </c>
      <c r="AZ41" s="422">
        <v>3</v>
      </c>
      <c r="BA41" s="421">
        <v>1</v>
      </c>
      <c r="BB41" s="325"/>
      <c r="BC41" s="326" t="s">
        <v>1171</v>
      </c>
      <c r="BD41" s="322">
        <v>4</v>
      </c>
      <c r="BE41" s="323">
        <v>5</v>
      </c>
      <c r="BF41" s="325" t="s">
        <v>144</v>
      </c>
      <c r="BG41" s="326" t="s">
        <v>1139</v>
      </c>
      <c r="BH41" s="315">
        <v>5</v>
      </c>
      <c r="BI41" s="317">
        <v>4</v>
      </c>
      <c r="BJ41" s="273"/>
      <c r="BK41" s="274" t="s">
        <v>580</v>
      </c>
      <c r="BL41" s="235">
        <v>1</v>
      </c>
      <c r="BM41" s="236">
        <v>7</v>
      </c>
      <c r="BO41" s="202">
        <v>39</v>
      </c>
      <c r="BP41" s="271"/>
      <c r="BQ41" s="272" t="s">
        <v>804</v>
      </c>
      <c r="BR41" s="246">
        <v>3</v>
      </c>
      <c r="BS41" s="247">
        <v>2</v>
      </c>
      <c r="BT41" s="271" t="s">
        <v>144</v>
      </c>
      <c r="BU41" s="272" t="s">
        <v>903</v>
      </c>
      <c r="BV41" s="239">
        <v>2</v>
      </c>
      <c r="BW41" s="238">
        <v>3</v>
      </c>
      <c r="BX41" s="271"/>
      <c r="BY41" s="272" t="s">
        <v>770</v>
      </c>
      <c r="BZ41" s="237">
        <v>6</v>
      </c>
      <c r="CA41" s="268">
        <v>7</v>
      </c>
      <c r="CB41" s="271" t="s">
        <v>144</v>
      </c>
      <c r="CC41" s="272" t="s">
        <v>835</v>
      </c>
      <c r="CD41" s="246">
        <v>7</v>
      </c>
      <c r="CE41" s="258">
        <v>6</v>
      </c>
      <c r="CF41" s="203" t="s">
        <v>144</v>
      </c>
      <c r="CG41" s="270" t="s">
        <v>1025</v>
      </c>
      <c r="CH41" s="223">
        <v>13</v>
      </c>
      <c r="CI41" s="224">
        <v>2</v>
      </c>
      <c r="CJ41" s="163"/>
      <c r="CK41" s="202">
        <v>39</v>
      </c>
      <c r="CL41" s="203" t="s">
        <v>144</v>
      </c>
      <c r="CM41" s="270" t="s">
        <v>952</v>
      </c>
      <c r="CN41" s="225">
        <v>5</v>
      </c>
      <c r="CO41" s="226">
        <v>0</v>
      </c>
      <c r="CP41" s="203"/>
      <c r="CQ41" s="270" t="s">
        <v>1096</v>
      </c>
      <c r="CR41" s="221">
        <v>0</v>
      </c>
      <c r="CS41" s="222">
        <v>5</v>
      </c>
      <c r="CT41" s="203"/>
      <c r="CU41" s="270" t="s">
        <v>1062</v>
      </c>
      <c r="CV41" s="223">
        <v>6</v>
      </c>
      <c r="CW41" s="224">
        <v>2</v>
      </c>
      <c r="CX41" s="203" t="s">
        <v>144</v>
      </c>
      <c r="CY41" s="270" t="s">
        <v>990</v>
      </c>
      <c r="CZ41" s="227">
        <v>2</v>
      </c>
      <c r="DA41" s="228">
        <v>6</v>
      </c>
      <c r="DB41" s="271"/>
      <c r="DC41" s="272" t="s">
        <v>869</v>
      </c>
      <c r="DD41" s="237">
        <v>2</v>
      </c>
      <c r="DE41" s="248">
        <v>13</v>
      </c>
      <c r="DF41" s="163"/>
      <c r="DG41" s="202">
        <v>39</v>
      </c>
      <c r="DH41" s="325"/>
      <c r="DI41" s="326" t="s">
        <v>1139</v>
      </c>
      <c r="DJ41" s="318">
        <v>8</v>
      </c>
      <c r="DK41" s="321">
        <v>7</v>
      </c>
      <c r="DL41" s="325" t="s">
        <v>144</v>
      </c>
      <c r="DM41" s="326" t="s">
        <v>1229</v>
      </c>
      <c r="DN41" s="311">
        <v>7</v>
      </c>
      <c r="DO41" s="312">
        <v>8</v>
      </c>
      <c r="DP41" s="325"/>
      <c r="DQ41" s="326" t="s">
        <v>1200</v>
      </c>
      <c r="DR41" s="318">
        <v>7</v>
      </c>
      <c r="DS41" s="321">
        <v>3</v>
      </c>
      <c r="DT41" s="325" t="s">
        <v>144</v>
      </c>
      <c r="DU41" s="326" t="s">
        <v>1171</v>
      </c>
      <c r="DV41" s="311">
        <v>3</v>
      </c>
      <c r="DW41" s="320">
        <v>7</v>
      </c>
      <c r="DX41" s="273"/>
      <c r="DY41" s="274" t="s">
        <v>650</v>
      </c>
      <c r="DZ41" s="251">
        <v>4</v>
      </c>
      <c r="EA41" s="257">
        <v>2</v>
      </c>
      <c r="EC41" s="202">
        <v>39</v>
      </c>
      <c r="ED41" s="271"/>
      <c r="EE41" s="272" t="s">
        <v>835</v>
      </c>
      <c r="EF41" s="246">
        <v>9</v>
      </c>
      <c r="EG41" s="247">
        <v>6</v>
      </c>
      <c r="EH41" s="271" t="s">
        <v>144</v>
      </c>
      <c r="EI41" s="272" t="s">
        <v>804</v>
      </c>
      <c r="EJ41" s="239">
        <v>6</v>
      </c>
      <c r="EK41" s="238">
        <v>9</v>
      </c>
      <c r="EL41" s="271"/>
      <c r="EM41" s="272" t="s">
        <v>869</v>
      </c>
      <c r="EN41" s="231">
        <v>12</v>
      </c>
      <c r="EO41" s="264">
        <v>4</v>
      </c>
      <c r="EP41" s="271" t="s">
        <v>144</v>
      </c>
      <c r="EQ41" s="272" t="s">
        <v>770</v>
      </c>
      <c r="ER41" s="239">
        <v>4</v>
      </c>
      <c r="ES41" s="238">
        <v>12</v>
      </c>
      <c r="ET41" s="203" t="s">
        <v>144</v>
      </c>
      <c r="EU41" s="270" t="s">
        <v>1096</v>
      </c>
      <c r="EV41" s="227">
        <v>1</v>
      </c>
      <c r="EW41" s="228">
        <v>2</v>
      </c>
      <c r="EX41" s="163"/>
      <c r="EY41" s="202">
        <v>39</v>
      </c>
      <c r="EZ41" s="203" t="s">
        <v>144</v>
      </c>
      <c r="FA41" s="270" t="s">
        <v>990</v>
      </c>
      <c r="FB41" s="221">
        <v>3</v>
      </c>
      <c r="FC41" s="222">
        <v>5</v>
      </c>
      <c r="FD41" s="203"/>
      <c r="FE41" s="270" t="s">
        <v>952</v>
      </c>
      <c r="FF41" s="225">
        <v>5</v>
      </c>
      <c r="FG41" s="226">
        <v>3</v>
      </c>
      <c r="FH41" s="203"/>
      <c r="FI41" s="270" t="s">
        <v>1025</v>
      </c>
      <c r="FJ41" s="223">
        <v>9</v>
      </c>
      <c r="FK41" s="224">
        <v>2</v>
      </c>
      <c r="FL41" s="203" t="s">
        <v>144</v>
      </c>
      <c r="FM41" s="270" t="s">
        <v>1062</v>
      </c>
      <c r="FN41" s="227">
        <v>2</v>
      </c>
      <c r="FO41" s="228">
        <v>9</v>
      </c>
      <c r="FP41" s="271"/>
      <c r="FQ41" s="272" t="s">
        <v>903</v>
      </c>
      <c r="FR41" s="231">
        <v>2</v>
      </c>
      <c r="FS41" s="232">
        <v>1</v>
      </c>
      <c r="FT41" s="163"/>
      <c r="FU41" s="202">
        <v>39</v>
      </c>
      <c r="FV41" s="325"/>
      <c r="FW41" s="326" t="s">
        <v>1171</v>
      </c>
      <c r="FX41" s="318">
        <v>7</v>
      </c>
      <c r="FY41" s="321">
        <v>2</v>
      </c>
      <c r="FZ41" s="325" t="s">
        <v>144</v>
      </c>
      <c r="GA41" s="326" t="s">
        <v>1139</v>
      </c>
      <c r="GB41" s="311">
        <v>2</v>
      </c>
      <c r="GC41" s="312">
        <v>7</v>
      </c>
      <c r="GD41" s="325"/>
      <c r="GE41" s="326" t="s">
        <v>1265</v>
      </c>
      <c r="GF41" s="322">
        <v>2</v>
      </c>
      <c r="GG41" s="323">
        <v>6</v>
      </c>
      <c r="GH41" s="325" t="s">
        <v>144</v>
      </c>
      <c r="GI41" s="326" t="s">
        <v>1200</v>
      </c>
      <c r="GJ41" s="315">
        <v>6</v>
      </c>
      <c r="GK41" s="317">
        <v>2</v>
      </c>
      <c r="GL41" s="273" t="s">
        <v>144</v>
      </c>
      <c r="GM41" s="274" t="s">
        <v>611</v>
      </c>
      <c r="GN41" s="235">
        <v>6</v>
      </c>
      <c r="GO41" s="236">
        <v>12</v>
      </c>
    </row>
    <row r="42" spans="1:197" ht="17" thickBot="1">
      <c r="A42" s="202">
        <v>40</v>
      </c>
      <c r="B42" s="282"/>
      <c r="C42" s="283" t="s">
        <v>903</v>
      </c>
      <c r="D42" s="284">
        <v>0</v>
      </c>
      <c r="E42" s="285">
        <v>6</v>
      </c>
      <c r="F42" s="282" t="s">
        <v>144</v>
      </c>
      <c r="G42" s="283" t="s">
        <v>869</v>
      </c>
      <c r="H42" s="286">
        <v>6</v>
      </c>
      <c r="I42" s="342">
        <v>0</v>
      </c>
      <c r="J42" s="282"/>
      <c r="K42" s="283" t="s">
        <v>835</v>
      </c>
      <c r="L42" s="341">
        <v>8</v>
      </c>
      <c r="M42" s="342">
        <v>7</v>
      </c>
      <c r="N42" s="282" t="s">
        <v>144</v>
      </c>
      <c r="O42" s="283" t="s">
        <v>804</v>
      </c>
      <c r="P42" s="283">
        <v>7</v>
      </c>
      <c r="Q42" s="340">
        <v>8</v>
      </c>
      <c r="R42" s="275" t="s">
        <v>144</v>
      </c>
      <c r="S42" s="276" t="s">
        <v>1062</v>
      </c>
      <c r="T42" s="499">
        <v>2</v>
      </c>
      <c r="U42" s="491">
        <v>1</v>
      </c>
      <c r="V42" s="163"/>
      <c r="W42" s="202">
        <v>40</v>
      </c>
      <c r="X42" s="275" t="s">
        <v>144</v>
      </c>
      <c r="Y42" s="276" t="s">
        <v>1096</v>
      </c>
      <c r="Z42" s="493">
        <v>2</v>
      </c>
      <c r="AA42" s="494">
        <v>8</v>
      </c>
      <c r="AB42" s="275"/>
      <c r="AC42" s="276" t="s">
        <v>1025</v>
      </c>
      <c r="AD42" s="492">
        <v>8</v>
      </c>
      <c r="AE42" s="491">
        <v>2</v>
      </c>
      <c r="AF42" s="275"/>
      <c r="AG42" s="276" t="s">
        <v>990</v>
      </c>
      <c r="AH42" s="493">
        <v>3</v>
      </c>
      <c r="AI42" s="494">
        <v>11</v>
      </c>
      <c r="AJ42" s="275" t="s">
        <v>144</v>
      </c>
      <c r="AK42" s="276" t="s">
        <v>952</v>
      </c>
      <c r="AL42" s="492">
        <v>11</v>
      </c>
      <c r="AM42" s="491">
        <v>3</v>
      </c>
      <c r="AN42" s="282"/>
      <c r="AO42" s="283" t="s">
        <v>770</v>
      </c>
      <c r="AP42" s="500">
        <v>1</v>
      </c>
      <c r="AQ42" s="501">
        <v>2</v>
      </c>
      <c r="AR42" s="163"/>
      <c r="AS42" s="202">
        <v>40</v>
      </c>
      <c r="AT42" s="327"/>
      <c r="AU42" s="328" t="s">
        <v>1229</v>
      </c>
      <c r="AV42" s="329">
        <v>6</v>
      </c>
      <c r="AW42" s="330">
        <v>11</v>
      </c>
      <c r="AX42" s="327" t="s">
        <v>144</v>
      </c>
      <c r="AY42" s="328" t="s">
        <v>1265</v>
      </c>
      <c r="AZ42" s="331">
        <v>11</v>
      </c>
      <c r="BA42" s="332">
        <v>6</v>
      </c>
      <c r="BB42" s="327"/>
      <c r="BC42" s="328" t="s">
        <v>1171</v>
      </c>
      <c r="BD42" s="331">
        <v>3</v>
      </c>
      <c r="BE42" s="332">
        <v>1</v>
      </c>
      <c r="BF42" s="327" t="s">
        <v>144</v>
      </c>
      <c r="BG42" s="328" t="s">
        <v>1139</v>
      </c>
      <c r="BH42" s="329">
        <v>1</v>
      </c>
      <c r="BI42" s="330">
        <v>3</v>
      </c>
      <c r="BJ42" s="288"/>
      <c r="BK42" s="289" t="s">
        <v>580</v>
      </c>
      <c r="BL42" s="307">
        <v>5</v>
      </c>
      <c r="BM42" s="308">
        <v>1</v>
      </c>
      <c r="BO42" s="202">
        <v>40</v>
      </c>
      <c r="BP42" s="282"/>
      <c r="BQ42" s="283" t="s">
        <v>804</v>
      </c>
      <c r="BR42" s="286">
        <v>5</v>
      </c>
      <c r="BS42" s="287">
        <v>0</v>
      </c>
      <c r="BT42" s="282" t="s">
        <v>144</v>
      </c>
      <c r="BU42" s="283" t="s">
        <v>903</v>
      </c>
      <c r="BV42" s="284">
        <v>0</v>
      </c>
      <c r="BW42" s="340">
        <v>5</v>
      </c>
      <c r="BX42" s="282"/>
      <c r="BY42" s="283" t="s">
        <v>770</v>
      </c>
      <c r="BZ42" s="341">
        <v>9</v>
      </c>
      <c r="CA42" s="342">
        <v>3</v>
      </c>
      <c r="CB42" s="282" t="s">
        <v>144</v>
      </c>
      <c r="CC42" s="283" t="s">
        <v>835</v>
      </c>
      <c r="CD42" s="283">
        <v>3</v>
      </c>
      <c r="CE42" s="340">
        <v>9</v>
      </c>
      <c r="CF42" s="275" t="s">
        <v>144</v>
      </c>
      <c r="CG42" s="276" t="s">
        <v>1025</v>
      </c>
      <c r="CH42" s="277">
        <v>4</v>
      </c>
      <c r="CI42" s="278">
        <v>1</v>
      </c>
      <c r="CJ42" s="163"/>
      <c r="CK42" s="202">
        <v>40</v>
      </c>
      <c r="CL42" s="275" t="s">
        <v>144</v>
      </c>
      <c r="CM42" s="276" t="s">
        <v>952</v>
      </c>
      <c r="CN42" s="280">
        <v>2</v>
      </c>
      <c r="CO42" s="281">
        <v>10</v>
      </c>
      <c r="CP42" s="275"/>
      <c r="CQ42" s="276" t="s">
        <v>1096</v>
      </c>
      <c r="CR42" s="279">
        <v>10</v>
      </c>
      <c r="CS42" s="278">
        <v>2</v>
      </c>
      <c r="CT42" s="275"/>
      <c r="CU42" s="276" t="s">
        <v>1062</v>
      </c>
      <c r="CV42" s="280">
        <v>2</v>
      </c>
      <c r="CW42" s="281">
        <v>4</v>
      </c>
      <c r="CX42" s="275" t="s">
        <v>144</v>
      </c>
      <c r="CY42" s="276" t="s">
        <v>990</v>
      </c>
      <c r="CZ42" s="279">
        <v>4</v>
      </c>
      <c r="DA42" s="278">
        <v>2</v>
      </c>
      <c r="DB42" s="282"/>
      <c r="DC42" s="283" t="s">
        <v>869</v>
      </c>
      <c r="DD42" s="284">
        <v>1</v>
      </c>
      <c r="DE42" s="285">
        <v>4</v>
      </c>
      <c r="DF42" s="163"/>
      <c r="DG42" s="202">
        <v>40</v>
      </c>
      <c r="DH42" s="327"/>
      <c r="DI42" s="328" t="s">
        <v>1139</v>
      </c>
      <c r="DJ42" s="329">
        <v>0</v>
      </c>
      <c r="DK42" s="330">
        <v>6</v>
      </c>
      <c r="DL42" s="327" t="s">
        <v>144</v>
      </c>
      <c r="DM42" s="328" t="s">
        <v>1229</v>
      </c>
      <c r="DN42" s="331">
        <v>6</v>
      </c>
      <c r="DO42" s="332">
        <v>0</v>
      </c>
      <c r="DP42" s="327"/>
      <c r="DQ42" s="328" t="s">
        <v>1200</v>
      </c>
      <c r="DR42" s="329">
        <v>5</v>
      </c>
      <c r="DS42" s="330">
        <v>6</v>
      </c>
      <c r="DT42" s="327" t="s">
        <v>144</v>
      </c>
      <c r="DU42" s="328" t="s">
        <v>1171</v>
      </c>
      <c r="DV42" s="331">
        <v>6</v>
      </c>
      <c r="DW42" s="332">
        <v>5</v>
      </c>
      <c r="DX42" s="288"/>
      <c r="DY42" s="289" t="s">
        <v>650</v>
      </c>
      <c r="DZ42" s="307">
        <v>6</v>
      </c>
      <c r="EA42" s="308">
        <v>3</v>
      </c>
      <c r="EC42" s="202">
        <v>40</v>
      </c>
      <c r="ED42" s="282"/>
      <c r="EE42" s="283" t="s">
        <v>835</v>
      </c>
      <c r="EF42" s="284">
        <v>5</v>
      </c>
      <c r="EG42" s="285">
        <v>6</v>
      </c>
      <c r="EH42" s="282" t="s">
        <v>144</v>
      </c>
      <c r="EI42" s="283" t="s">
        <v>804</v>
      </c>
      <c r="EJ42" s="286">
        <v>6</v>
      </c>
      <c r="EK42" s="342">
        <v>5</v>
      </c>
      <c r="EL42" s="282"/>
      <c r="EM42" s="283" t="s">
        <v>869</v>
      </c>
      <c r="EN42" s="341">
        <v>5</v>
      </c>
      <c r="EO42" s="342">
        <v>3</v>
      </c>
      <c r="EP42" s="282" t="s">
        <v>144</v>
      </c>
      <c r="EQ42" s="283" t="s">
        <v>770</v>
      </c>
      <c r="ER42" s="283">
        <v>3</v>
      </c>
      <c r="ES42" s="340">
        <v>5</v>
      </c>
      <c r="ET42" s="275" t="s">
        <v>144</v>
      </c>
      <c r="EU42" s="276" t="s">
        <v>1096</v>
      </c>
      <c r="EV42" s="276">
        <v>4</v>
      </c>
      <c r="EW42" s="281">
        <v>8</v>
      </c>
      <c r="EX42" s="163"/>
      <c r="EY42" s="202">
        <v>40</v>
      </c>
      <c r="EZ42" s="275" t="s">
        <v>144</v>
      </c>
      <c r="FA42" s="276" t="s">
        <v>990</v>
      </c>
      <c r="FB42" s="279">
        <v>11</v>
      </c>
      <c r="FC42" s="278">
        <v>2</v>
      </c>
      <c r="FD42" s="275"/>
      <c r="FE42" s="276" t="s">
        <v>952</v>
      </c>
      <c r="FF42" s="280">
        <v>2</v>
      </c>
      <c r="FG42" s="281">
        <v>11</v>
      </c>
      <c r="FH42" s="275"/>
      <c r="FI42" s="276" t="s">
        <v>1025</v>
      </c>
      <c r="FJ42" s="279">
        <v>4</v>
      </c>
      <c r="FK42" s="278">
        <v>3</v>
      </c>
      <c r="FL42" s="275" t="s">
        <v>144</v>
      </c>
      <c r="FM42" s="276" t="s">
        <v>1062</v>
      </c>
      <c r="FN42" s="280">
        <v>3</v>
      </c>
      <c r="FO42" s="281">
        <v>4</v>
      </c>
      <c r="FP42" s="282"/>
      <c r="FQ42" s="283" t="s">
        <v>903</v>
      </c>
      <c r="FR42" s="286">
        <v>8</v>
      </c>
      <c r="FS42" s="287">
        <v>4</v>
      </c>
      <c r="FT42" s="163"/>
      <c r="FU42" s="202">
        <v>40</v>
      </c>
      <c r="FV42" s="327"/>
      <c r="FW42" s="328" t="s">
        <v>1171</v>
      </c>
      <c r="FX42" s="329">
        <v>1</v>
      </c>
      <c r="FY42" s="330">
        <v>2</v>
      </c>
      <c r="FZ42" s="327" t="s">
        <v>144</v>
      </c>
      <c r="GA42" s="328" t="s">
        <v>1139</v>
      </c>
      <c r="GB42" s="331">
        <v>2</v>
      </c>
      <c r="GC42" s="332">
        <v>1</v>
      </c>
      <c r="GD42" s="327"/>
      <c r="GE42" s="328" t="s">
        <v>1265</v>
      </c>
      <c r="GF42" s="331">
        <v>3</v>
      </c>
      <c r="GG42" s="332">
        <v>2</v>
      </c>
      <c r="GH42" s="327" t="s">
        <v>144</v>
      </c>
      <c r="GI42" s="328" t="s">
        <v>1200</v>
      </c>
      <c r="GJ42" s="329">
        <v>2</v>
      </c>
      <c r="GK42" s="330">
        <v>3</v>
      </c>
      <c r="GL42" s="288" t="s">
        <v>144</v>
      </c>
      <c r="GM42" s="289" t="s">
        <v>611</v>
      </c>
      <c r="GN42" s="307">
        <v>7</v>
      </c>
      <c r="GO42" s="308">
        <v>1</v>
      </c>
    </row>
    <row r="43" spans="1:197">
      <c r="B43" s="1128" t="s">
        <v>195</v>
      </c>
      <c r="C43" s="1129"/>
      <c r="D43" s="292"/>
      <c r="E43" s="293"/>
      <c r="F43" s="1128" t="s">
        <v>195</v>
      </c>
      <c r="G43" s="1129"/>
      <c r="H43" s="292"/>
      <c r="I43" s="294"/>
      <c r="J43" s="1128" t="s">
        <v>195</v>
      </c>
      <c r="K43" s="1129"/>
      <c r="L43" s="295"/>
      <c r="M43" s="294"/>
      <c r="N43" s="1128" t="s">
        <v>195</v>
      </c>
      <c r="O43" s="1129"/>
      <c r="P43" s="295"/>
      <c r="Q43" s="294"/>
      <c r="R43" s="1128" t="s">
        <v>195</v>
      </c>
      <c r="S43" s="1129"/>
      <c r="T43" s="295"/>
      <c r="U43" s="293"/>
      <c r="X43" s="1128" t="s">
        <v>195</v>
      </c>
      <c r="Y43" s="1129"/>
      <c r="Z43" s="292"/>
      <c r="AA43" s="293"/>
      <c r="AB43" s="1128" t="s">
        <v>195</v>
      </c>
      <c r="AC43" s="1129"/>
      <c r="AD43" s="292"/>
      <c r="AE43" s="293"/>
      <c r="AF43" s="1128" t="s">
        <v>195</v>
      </c>
      <c r="AG43" s="1129"/>
      <c r="AH43" s="292"/>
      <c r="AI43" s="293"/>
      <c r="AJ43" s="1128" t="s">
        <v>195</v>
      </c>
      <c r="AK43" s="1129"/>
      <c r="AL43" s="292"/>
      <c r="AM43" s="293"/>
      <c r="AN43" s="1128" t="s">
        <v>195</v>
      </c>
      <c r="AO43" s="1129"/>
      <c r="AP43" s="292"/>
      <c r="AQ43" s="293"/>
      <c r="AT43" s="1128" t="s">
        <v>195</v>
      </c>
      <c r="AU43" s="1129"/>
      <c r="AV43" s="292"/>
      <c r="AW43" s="293"/>
      <c r="AX43" s="1128" t="s">
        <v>195</v>
      </c>
      <c r="AY43" s="1129"/>
      <c r="AZ43" s="292"/>
      <c r="BA43" s="293"/>
      <c r="BB43" s="1128" t="s">
        <v>195</v>
      </c>
      <c r="BC43" s="1129"/>
      <c r="BD43" s="292"/>
      <c r="BE43" s="293"/>
      <c r="BF43" s="1128" t="s">
        <v>195</v>
      </c>
      <c r="BG43" s="1129"/>
      <c r="BH43" s="292"/>
      <c r="BI43" s="293"/>
      <c r="BJ43" s="1130" t="s">
        <v>195</v>
      </c>
      <c r="BK43" s="1131"/>
      <c r="BL43" s="292"/>
      <c r="BM43" s="293"/>
      <c r="BP43" s="1128" t="s">
        <v>195</v>
      </c>
      <c r="BQ43" s="1129"/>
      <c r="BR43" s="292"/>
      <c r="BS43" s="293"/>
      <c r="BT43" s="1128" t="s">
        <v>195</v>
      </c>
      <c r="BU43" s="1129"/>
      <c r="BV43" s="292"/>
      <c r="BW43" s="294"/>
      <c r="BX43" s="1128" t="s">
        <v>195</v>
      </c>
      <c r="BY43" s="1129"/>
      <c r="BZ43" s="295"/>
      <c r="CA43" s="294"/>
      <c r="CB43" s="1128" t="s">
        <v>195</v>
      </c>
      <c r="CC43" s="1129"/>
      <c r="CD43" s="295"/>
      <c r="CE43" s="294"/>
      <c r="CF43" s="1128" t="s">
        <v>195</v>
      </c>
      <c r="CG43" s="1129"/>
      <c r="CH43" s="295"/>
      <c r="CI43" s="293"/>
      <c r="CL43" s="1128" t="s">
        <v>195</v>
      </c>
      <c r="CM43" s="1129"/>
      <c r="CN43" s="292"/>
      <c r="CO43" s="293"/>
      <c r="CP43" s="1128" t="s">
        <v>195</v>
      </c>
      <c r="CQ43" s="1129"/>
      <c r="CR43" s="292"/>
      <c r="CS43" s="293"/>
      <c r="CT43" s="1128" t="s">
        <v>195</v>
      </c>
      <c r="CU43" s="1129"/>
      <c r="CV43" s="292"/>
      <c r="CW43" s="293"/>
      <c r="CX43" s="1128" t="s">
        <v>195</v>
      </c>
      <c r="CY43" s="1129"/>
      <c r="CZ43" s="292"/>
      <c r="DA43" s="293"/>
      <c r="DB43" s="1128" t="s">
        <v>195</v>
      </c>
      <c r="DC43" s="1129"/>
      <c r="DD43" s="292"/>
      <c r="DE43" s="293"/>
      <c r="DH43" s="1128" t="s">
        <v>195</v>
      </c>
      <c r="DI43" s="1129"/>
      <c r="DJ43" s="292"/>
      <c r="DK43" s="293"/>
      <c r="DL43" s="1128" t="s">
        <v>195</v>
      </c>
      <c r="DM43" s="1129"/>
      <c r="DN43" s="292"/>
      <c r="DO43" s="293"/>
      <c r="DP43" s="1128" t="s">
        <v>195</v>
      </c>
      <c r="DQ43" s="1129"/>
      <c r="DR43" s="292"/>
      <c r="DS43" s="293"/>
      <c r="DT43" s="1128" t="s">
        <v>195</v>
      </c>
      <c r="DU43" s="1129"/>
      <c r="DV43" s="292"/>
      <c r="DW43" s="293"/>
      <c r="DX43" s="1130" t="s">
        <v>195</v>
      </c>
      <c r="DY43" s="1131"/>
      <c r="DZ43" s="292"/>
      <c r="EA43" s="293"/>
      <c r="ED43" s="1128" t="s">
        <v>195</v>
      </c>
      <c r="EE43" s="1129"/>
      <c r="EF43" s="292"/>
      <c r="EG43" s="293"/>
      <c r="EH43" s="1128" t="s">
        <v>195</v>
      </c>
      <c r="EI43" s="1129"/>
      <c r="EJ43" s="292"/>
      <c r="EK43" s="294"/>
      <c r="EL43" s="1128" t="s">
        <v>195</v>
      </c>
      <c r="EM43" s="1129"/>
      <c r="EN43" s="295"/>
      <c r="EO43" s="294"/>
      <c r="EP43" s="1128" t="s">
        <v>195</v>
      </c>
      <c r="EQ43" s="1129"/>
      <c r="ER43" s="295"/>
      <c r="ES43" s="294"/>
      <c r="ET43" s="1128" t="s">
        <v>195</v>
      </c>
      <c r="EU43" s="1129"/>
      <c r="EV43" s="295"/>
      <c r="EW43" s="293"/>
      <c r="EZ43" s="1128" t="s">
        <v>195</v>
      </c>
      <c r="FA43" s="1129"/>
      <c r="FB43" s="292"/>
      <c r="FC43" s="293"/>
      <c r="FD43" s="1128" t="s">
        <v>195</v>
      </c>
      <c r="FE43" s="1129"/>
      <c r="FF43" s="292"/>
      <c r="FG43" s="293"/>
      <c r="FH43" s="1128" t="s">
        <v>195</v>
      </c>
      <c r="FI43" s="1129"/>
      <c r="FJ43" s="292"/>
      <c r="FK43" s="293"/>
      <c r="FL43" s="1128" t="s">
        <v>195</v>
      </c>
      <c r="FM43" s="1129"/>
      <c r="FN43" s="292"/>
      <c r="FO43" s="293"/>
      <c r="FP43" s="1128" t="s">
        <v>195</v>
      </c>
      <c r="FQ43" s="1129"/>
      <c r="FR43" s="292"/>
      <c r="FS43" s="293"/>
      <c r="FV43" s="1128" t="s">
        <v>195</v>
      </c>
      <c r="FW43" s="1129"/>
      <c r="FX43" s="292"/>
      <c r="FY43" s="293"/>
      <c r="FZ43" s="1128" t="s">
        <v>195</v>
      </c>
      <c r="GA43" s="1129"/>
      <c r="GB43" s="292"/>
      <c r="GC43" s="293"/>
      <c r="GD43" s="1128" t="s">
        <v>195</v>
      </c>
      <c r="GE43" s="1129"/>
      <c r="GF43" s="292"/>
      <c r="GG43" s="293"/>
      <c r="GH43" s="1128" t="s">
        <v>195</v>
      </c>
      <c r="GI43" s="1129"/>
      <c r="GJ43" s="292"/>
      <c r="GK43" s="293"/>
      <c r="GL43" s="1130" t="s">
        <v>195</v>
      </c>
      <c r="GM43" s="1131"/>
      <c r="GN43" s="292"/>
      <c r="GO43" s="293"/>
    </row>
    <row r="44" spans="1:197" s="296" customFormat="1" ht="29.25" customHeight="1" thickBot="1">
      <c r="B44" s="297"/>
      <c r="C44" s="298">
        <v>17</v>
      </c>
      <c r="D44" s="299">
        <v>13</v>
      </c>
      <c r="E44" s="300">
        <v>27</v>
      </c>
      <c r="F44" s="297"/>
      <c r="G44" s="298">
        <v>13</v>
      </c>
      <c r="H44" s="299">
        <v>17</v>
      </c>
      <c r="I44" s="301">
        <v>23</v>
      </c>
      <c r="J44" s="297"/>
      <c r="K44" s="302" t="s">
        <v>18</v>
      </c>
      <c r="L44" s="303">
        <v>30</v>
      </c>
      <c r="M44" s="301">
        <v>10</v>
      </c>
      <c r="N44" s="297"/>
      <c r="O44" s="302">
        <v>6</v>
      </c>
      <c r="P44" s="303">
        <v>24</v>
      </c>
      <c r="Q44" s="301">
        <v>16</v>
      </c>
      <c r="R44" s="297"/>
      <c r="S44" s="298">
        <v>7</v>
      </c>
      <c r="T44" s="303">
        <v>23</v>
      </c>
      <c r="U44" s="300">
        <v>17</v>
      </c>
      <c r="X44" s="297"/>
      <c r="Y44" s="298">
        <v>5</v>
      </c>
      <c r="Z44" s="299">
        <v>14</v>
      </c>
      <c r="AA44" s="300">
        <v>26</v>
      </c>
      <c r="AB44" s="297"/>
      <c r="AC44" s="298">
        <v>1</v>
      </c>
      <c r="AD44" s="299">
        <v>18</v>
      </c>
      <c r="AE44" s="300">
        <v>22</v>
      </c>
      <c r="AF44" s="297"/>
      <c r="AG44" s="298" t="s">
        <v>18</v>
      </c>
      <c r="AH44" s="299">
        <v>19</v>
      </c>
      <c r="AI44" s="300">
        <v>21</v>
      </c>
      <c r="AJ44" s="297"/>
      <c r="AK44" s="298">
        <v>1</v>
      </c>
      <c r="AL44" s="299">
        <v>18</v>
      </c>
      <c r="AM44" s="300">
        <v>22</v>
      </c>
      <c r="AN44" s="297"/>
      <c r="AO44" s="298" t="s">
        <v>18</v>
      </c>
      <c r="AP44" s="299">
        <v>19</v>
      </c>
      <c r="AQ44" s="300">
        <v>21</v>
      </c>
      <c r="AT44" s="297"/>
      <c r="AU44" s="298">
        <v>4</v>
      </c>
      <c r="AV44" s="299">
        <v>21</v>
      </c>
      <c r="AW44" s="300">
        <v>19</v>
      </c>
      <c r="AX44" s="297"/>
      <c r="AY44" s="298">
        <v>12</v>
      </c>
      <c r="AZ44" s="299">
        <v>13</v>
      </c>
      <c r="BA44" s="300">
        <v>27</v>
      </c>
      <c r="BB44" s="297"/>
      <c r="BC44" s="298">
        <v>4</v>
      </c>
      <c r="BD44" s="299">
        <v>21</v>
      </c>
      <c r="BE44" s="300">
        <v>19</v>
      </c>
      <c r="BF44" s="297"/>
      <c r="BG44" s="298" t="s">
        <v>18</v>
      </c>
      <c r="BH44" s="299">
        <v>25</v>
      </c>
      <c r="BI44" s="300">
        <v>15</v>
      </c>
      <c r="BJ44" s="297"/>
      <c r="BK44" s="298">
        <v>2</v>
      </c>
      <c r="BL44" s="299">
        <v>23</v>
      </c>
      <c r="BM44" s="300">
        <v>17</v>
      </c>
      <c r="BP44" s="297"/>
      <c r="BQ44" s="298">
        <v>8</v>
      </c>
      <c r="BR44" s="299">
        <v>17</v>
      </c>
      <c r="BS44" s="300">
        <v>23</v>
      </c>
      <c r="BT44" s="297"/>
      <c r="BU44" s="298">
        <v>2</v>
      </c>
      <c r="BV44" s="299">
        <v>23</v>
      </c>
      <c r="BW44" s="301">
        <v>17</v>
      </c>
      <c r="BX44" s="297"/>
      <c r="BY44" s="302" t="s">
        <v>18</v>
      </c>
      <c r="BZ44" s="303">
        <v>25</v>
      </c>
      <c r="CA44" s="301">
        <v>15</v>
      </c>
      <c r="CB44" s="297"/>
      <c r="CC44" s="302">
        <v>5</v>
      </c>
      <c r="CD44" s="303">
        <v>20</v>
      </c>
      <c r="CE44" s="301">
        <v>20</v>
      </c>
      <c r="CF44" s="297"/>
      <c r="CG44" s="298">
        <v>7</v>
      </c>
      <c r="CH44" s="303">
        <v>18</v>
      </c>
      <c r="CI44" s="300">
        <v>22</v>
      </c>
      <c r="CL44" s="297"/>
      <c r="CM44" s="298">
        <v>13</v>
      </c>
      <c r="CN44" s="299">
        <v>12</v>
      </c>
      <c r="CO44" s="300">
        <v>28</v>
      </c>
      <c r="CP44" s="297"/>
      <c r="CQ44" s="298">
        <v>5</v>
      </c>
      <c r="CR44" s="299">
        <v>20</v>
      </c>
      <c r="CS44" s="300">
        <v>20</v>
      </c>
      <c r="CT44" s="297"/>
      <c r="CU44" s="298" t="s">
        <v>18</v>
      </c>
      <c r="CV44" s="299">
        <v>25</v>
      </c>
      <c r="CW44" s="300">
        <v>15</v>
      </c>
      <c r="CX44" s="297"/>
      <c r="CY44" s="298">
        <v>7</v>
      </c>
      <c r="CZ44" s="299">
        <v>18</v>
      </c>
      <c r="DA44" s="300">
        <v>22</v>
      </c>
      <c r="DB44" s="297"/>
      <c r="DC44" s="298">
        <v>3</v>
      </c>
      <c r="DD44" s="299">
        <v>22</v>
      </c>
      <c r="DE44" s="300">
        <v>18</v>
      </c>
      <c r="DH44" s="297"/>
      <c r="DI44" s="298">
        <v>10</v>
      </c>
      <c r="DJ44" s="299">
        <v>16</v>
      </c>
      <c r="DK44" s="300">
        <v>24</v>
      </c>
      <c r="DL44" s="297"/>
      <c r="DM44" s="298" t="s">
        <v>18</v>
      </c>
      <c r="DN44" s="299">
        <v>26</v>
      </c>
      <c r="DO44" s="300">
        <v>14</v>
      </c>
      <c r="DP44" s="297"/>
      <c r="DQ44" s="298">
        <v>2</v>
      </c>
      <c r="DR44" s="299">
        <v>24</v>
      </c>
      <c r="DS44" s="300">
        <v>16</v>
      </c>
      <c r="DT44" s="297"/>
      <c r="DU44" s="298">
        <v>5</v>
      </c>
      <c r="DV44" s="299">
        <v>21</v>
      </c>
      <c r="DW44" s="300">
        <v>19</v>
      </c>
      <c r="DX44" s="297"/>
      <c r="DY44" s="298">
        <v>16</v>
      </c>
      <c r="DZ44" s="299">
        <v>12</v>
      </c>
      <c r="EA44" s="300">
        <v>28</v>
      </c>
      <c r="ED44" s="297"/>
      <c r="EE44" s="298">
        <v>1</v>
      </c>
      <c r="EF44" s="299">
        <v>22</v>
      </c>
      <c r="EG44" s="300">
        <v>18</v>
      </c>
      <c r="EH44" s="297"/>
      <c r="EI44" s="298">
        <v>2</v>
      </c>
      <c r="EJ44" s="299">
        <v>21</v>
      </c>
      <c r="EK44" s="301">
        <v>19</v>
      </c>
      <c r="EL44" s="297"/>
      <c r="EM44" s="302" t="s">
        <v>31</v>
      </c>
      <c r="EN44" s="303">
        <v>23</v>
      </c>
      <c r="EO44" s="301">
        <v>17</v>
      </c>
      <c r="EP44" s="297"/>
      <c r="EQ44" s="302">
        <v>3</v>
      </c>
      <c r="ER44" s="303">
        <v>20</v>
      </c>
      <c r="ES44" s="301">
        <v>20</v>
      </c>
      <c r="ET44" s="297"/>
      <c r="EU44" s="298">
        <v>6</v>
      </c>
      <c r="EV44" s="303">
        <v>17</v>
      </c>
      <c r="EW44" s="300">
        <v>23</v>
      </c>
      <c r="EZ44" s="297"/>
      <c r="FA44" s="298" t="s">
        <v>31</v>
      </c>
      <c r="FB44" s="299">
        <v>22</v>
      </c>
      <c r="FC44" s="300">
        <v>18</v>
      </c>
      <c r="FD44" s="297"/>
      <c r="FE44" s="298">
        <v>5</v>
      </c>
      <c r="FF44" s="299">
        <v>17</v>
      </c>
      <c r="FG44" s="300">
        <v>23</v>
      </c>
      <c r="FH44" s="297"/>
      <c r="FI44" s="298" t="s">
        <v>31</v>
      </c>
      <c r="FJ44" s="299">
        <v>22</v>
      </c>
      <c r="FK44" s="300">
        <v>18</v>
      </c>
      <c r="FL44" s="297"/>
      <c r="FM44" s="298">
        <v>2</v>
      </c>
      <c r="FN44" s="299">
        <v>20</v>
      </c>
      <c r="FO44" s="300">
        <v>20</v>
      </c>
      <c r="FP44" s="297"/>
      <c r="FQ44" s="298">
        <v>8</v>
      </c>
      <c r="FR44" s="299">
        <v>14</v>
      </c>
      <c r="FS44" s="300">
        <v>26</v>
      </c>
      <c r="FV44" s="297"/>
      <c r="FW44" s="298" t="s">
        <v>31</v>
      </c>
      <c r="FX44" s="299">
        <v>27</v>
      </c>
      <c r="FY44" s="300">
        <v>13</v>
      </c>
      <c r="FZ44" s="297"/>
      <c r="GA44" s="298">
        <v>6</v>
      </c>
      <c r="GB44" s="299">
        <v>21</v>
      </c>
      <c r="GC44" s="300">
        <v>19</v>
      </c>
      <c r="GD44" s="297"/>
      <c r="GE44" s="298">
        <v>2</v>
      </c>
      <c r="GF44" s="299">
        <v>25</v>
      </c>
      <c r="GG44" s="300">
        <v>15</v>
      </c>
      <c r="GH44" s="297"/>
      <c r="GI44" s="298">
        <v>12</v>
      </c>
      <c r="GJ44" s="299">
        <v>15</v>
      </c>
      <c r="GK44" s="300">
        <v>25</v>
      </c>
      <c r="GL44" s="297"/>
      <c r="GM44" s="298">
        <v>9</v>
      </c>
      <c r="GN44" s="299">
        <v>18</v>
      </c>
      <c r="GO44" s="300">
        <v>22</v>
      </c>
    </row>
  </sheetData>
  <mergeCells count="99">
    <mergeCell ref="FD43:FE43"/>
    <mergeCell ref="GL43:GM43"/>
    <mergeCell ref="FL43:FM43"/>
    <mergeCell ref="FP43:FQ43"/>
    <mergeCell ref="FV43:FW43"/>
    <mergeCell ref="FZ43:GA43"/>
    <mergeCell ref="GD43:GE43"/>
    <mergeCell ref="GH43:GI43"/>
    <mergeCell ref="FP2:FS2"/>
    <mergeCell ref="CP43:CQ43"/>
    <mergeCell ref="CT43:CU43"/>
    <mergeCell ref="CX43:CY43"/>
    <mergeCell ref="DB43:DC43"/>
    <mergeCell ref="FH43:FI43"/>
    <mergeCell ref="DL43:DM43"/>
    <mergeCell ref="DP43:DQ43"/>
    <mergeCell ref="DT43:DU43"/>
    <mergeCell ref="DX43:DY43"/>
    <mergeCell ref="ED43:EE43"/>
    <mergeCell ref="EH43:EI43"/>
    <mergeCell ref="EL43:EM43"/>
    <mergeCell ref="EP43:EQ43"/>
    <mergeCell ref="ET43:EU43"/>
    <mergeCell ref="EZ43:FA43"/>
    <mergeCell ref="FV1:GO1"/>
    <mergeCell ref="GL2:GO2"/>
    <mergeCell ref="FV2:FY2"/>
    <mergeCell ref="FZ2:GC2"/>
    <mergeCell ref="GD2:GG2"/>
    <mergeCell ref="GH2:GK2"/>
    <mergeCell ref="BP2:BS2"/>
    <mergeCell ref="BT2:BW2"/>
    <mergeCell ref="BX2:CA2"/>
    <mergeCell ref="CB2:CE2"/>
    <mergeCell ref="CF2:CI2"/>
    <mergeCell ref="CL2:CO2"/>
    <mergeCell ref="CP2:CS2"/>
    <mergeCell ref="CT2:CW2"/>
    <mergeCell ref="CX2:DA2"/>
    <mergeCell ref="EZ1:FS1"/>
    <mergeCell ref="ET2:EW2"/>
    <mergeCell ref="EZ2:FC2"/>
    <mergeCell ref="FD2:FG2"/>
    <mergeCell ref="FH2:FK2"/>
    <mergeCell ref="DT2:DW2"/>
    <mergeCell ref="DX2:EA2"/>
    <mergeCell ref="ED2:EG2"/>
    <mergeCell ref="EH2:EK2"/>
    <mergeCell ref="EL2:EO2"/>
    <mergeCell ref="EP2:ES2"/>
    <mergeCell ref="FL2:FO2"/>
    <mergeCell ref="BJ43:BK43"/>
    <mergeCell ref="BP1:CI1"/>
    <mergeCell ref="CL1:DE1"/>
    <mergeCell ref="DH1:EA1"/>
    <mergeCell ref="ED1:EW1"/>
    <mergeCell ref="DB2:DE2"/>
    <mergeCell ref="DH2:DK2"/>
    <mergeCell ref="DL2:DO2"/>
    <mergeCell ref="DP2:DS2"/>
    <mergeCell ref="BP43:BQ43"/>
    <mergeCell ref="BT43:BU43"/>
    <mergeCell ref="BX43:BY43"/>
    <mergeCell ref="CB43:CC43"/>
    <mergeCell ref="CF43:CG43"/>
    <mergeCell ref="DH43:DI43"/>
    <mergeCell ref="CL43:CM43"/>
    <mergeCell ref="AJ43:AK43"/>
    <mergeCell ref="AN43:AO43"/>
    <mergeCell ref="AT43:AU43"/>
    <mergeCell ref="AX43:AY43"/>
    <mergeCell ref="BB43:BC43"/>
    <mergeCell ref="BF43:BG43"/>
    <mergeCell ref="BF2:BI2"/>
    <mergeCell ref="BJ2:BM2"/>
    <mergeCell ref="B43:C43"/>
    <mergeCell ref="F43:G43"/>
    <mergeCell ref="J43:K43"/>
    <mergeCell ref="N43:O43"/>
    <mergeCell ref="R43:S43"/>
    <mergeCell ref="X43:Y43"/>
    <mergeCell ref="AB43:AC43"/>
    <mergeCell ref="AF43:AG43"/>
    <mergeCell ref="AF2:AI2"/>
    <mergeCell ref="AJ2:AM2"/>
    <mergeCell ref="AN2:AQ2"/>
    <mergeCell ref="AT2:AW2"/>
    <mergeCell ref="AX2:BA2"/>
    <mergeCell ref="BB2:BE2"/>
    <mergeCell ref="B1:U1"/>
    <mergeCell ref="X1:AQ1"/>
    <mergeCell ref="AT1:BM1"/>
    <mergeCell ref="B2:E2"/>
    <mergeCell ref="F2:I2"/>
    <mergeCell ref="J2:M2"/>
    <mergeCell ref="N2:Q2"/>
    <mergeCell ref="R2:U2"/>
    <mergeCell ref="X2:AA2"/>
    <mergeCell ref="AB2:A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STANDINGS 2024</vt:lpstr>
      <vt:lpstr>AL EAST 2024</vt:lpstr>
      <vt:lpstr>AL CENTRAL 2024</vt:lpstr>
      <vt:lpstr>AL WEST 2024</vt:lpstr>
      <vt:lpstr>NL EAST 2024</vt:lpstr>
      <vt:lpstr>NL CENTRAL 2024</vt:lpstr>
      <vt:lpstr>NL WEST 2024</vt:lpstr>
      <vt:lpstr>AWARDS 2024</vt:lpstr>
      <vt:lpstr>MLB BATTING LEADERS 2024</vt:lpstr>
      <vt:lpstr>MLB PITCHING LEADERS 2024</vt:lpstr>
      <vt:lpstr>AL BATTING LEADERS 2024</vt:lpstr>
      <vt:lpstr>NL BATTING LEADERS 2024</vt:lpstr>
      <vt:lpstr>AL PITCHING LEADERS 2024</vt:lpstr>
      <vt:lpstr>NL PITCHING LEADERS 2024</vt:lpstr>
      <vt:lpstr>AL HITTERS 2024</vt:lpstr>
      <vt:lpstr>NL HITTERS 2024</vt:lpstr>
      <vt:lpstr>AL PITCHERS 2024</vt:lpstr>
      <vt:lpstr>NL PITCHERS 2024</vt:lpstr>
      <vt:lpstr>TEAM STATS 2024</vt:lpstr>
      <vt:lpstr>SEASON RECORDS 2024</vt:lpstr>
      <vt:lpstr>ALL STARS 2024</vt:lpstr>
      <vt:lpstr>PLAYOFF HITTERS 2024</vt:lpstr>
      <vt:lpstr>PLAYOFF PITCHERS 2024</vt:lpstr>
      <vt:lpstr>AL SCHEDULE 2024</vt:lpstr>
      <vt:lpstr>NL SCHEDULE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thewritingjones@gmail.com</cp:lastModifiedBy>
  <dcterms:created xsi:type="dcterms:W3CDTF">2026-08-25T22:34:10Z</dcterms:created>
  <dcterms:modified xsi:type="dcterms:W3CDTF">2026-09-22T14:17:59Z</dcterms:modified>
</cp:coreProperties>
</file>